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24226"/>
  <mc:AlternateContent xmlns:mc="http://schemas.openxmlformats.org/markup-compatibility/2006">
    <mc:Choice Requires="x15">
      <x15ac:absPath xmlns:x15ac="http://schemas.microsoft.com/office/spreadsheetml/2010/11/ac" url="\\corp.dir.ameren.com\dfs\Orgdrv\MPSC Cases\ER-2023-XXXX Rider EEIC\"/>
    </mc:Choice>
  </mc:AlternateContent>
  <xr:revisionPtr revIDLastSave="0" documentId="13_ncr:1_{09AEE02C-4306-4A6E-8E01-149597E9D44F}" xr6:coauthVersionLast="47" xr6:coauthVersionMax="47" xr10:uidLastSave="{00000000-0000-0000-0000-000000000000}"/>
  <bookViews>
    <workbookView xWindow="-110" yWindow="-110" windowWidth="22780" windowHeight="14660" tabRatio="751" xr2:uid="{00000000-000D-0000-FFFF-FFFF00000000}"/>
  </bookViews>
  <sheets>
    <sheet name="MEEIA 3 calcs" sheetId="27" r:id="rId1"/>
    <sheet name="PAYS interest calculation" sheetId="33" r:id="rId2"/>
    <sheet name="MEEIA 3 adjs" sheetId="29" r:id="rId3"/>
    <sheet name="M3 Allocations - TD" sheetId="28" r:id="rId4"/>
    <sheet name="M3 TD amort" sheetId="30" r:id="rId5"/>
    <sheet name="MEEIA 2 calcs" sheetId="1" r:id="rId6"/>
    <sheet name="MEEIA 2 adjs" sheetId="26" r:id="rId7"/>
    <sheet name="M2 Allocations - TD" sheetId="11" r:id="rId8"/>
    <sheet name="M2 TD amort" sheetId="22"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s>
  <definedNames>
    <definedName name="\A">#REF!</definedName>
    <definedName name="\B">#REF!</definedName>
    <definedName name="\C">#REF!</definedName>
    <definedName name="\D">#REF!</definedName>
    <definedName name="\E">#REF!</definedName>
    <definedName name="\F">#REF!</definedName>
    <definedName name="\G">#REF!</definedName>
    <definedName name="\i">#N/A</definedName>
    <definedName name="\M">#REF!</definedName>
    <definedName name="\N">#REF!</definedName>
    <definedName name="\O">#REF!</definedName>
    <definedName name="\P">#REF!</definedName>
    <definedName name="\Q">#REF!</definedName>
    <definedName name="\R">#REF!</definedName>
    <definedName name="\S">#REF!</definedName>
    <definedName name="\t">#N/A</definedName>
    <definedName name="\U">#REF!</definedName>
    <definedName name="\V">#REF!</definedName>
    <definedName name="\W">[1]JobDefinition!#REF!</definedName>
    <definedName name="\X">#REF!</definedName>
    <definedName name="\Y">#REF!</definedName>
    <definedName name="\Z">#REF!</definedName>
    <definedName name="_" hidden="1">#REF!</definedName>
    <definedName name="____________________________________Key2" hidden="1">#REF!</definedName>
    <definedName name="___________________________________Key2" hidden="1">#REF!</definedName>
    <definedName name="__________________________________Key2" hidden="1">#REF!</definedName>
    <definedName name="_________________________________Key2" hidden="1">#REF!</definedName>
    <definedName name="________________________________Key2" hidden="1">#REF!</definedName>
    <definedName name="_______________________________Key2" hidden="1">#REF!</definedName>
    <definedName name="______________________________Key2" hidden="1">#REF!</definedName>
    <definedName name="_____________________________Key2" hidden="1">#REF!</definedName>
    <definedName name="____________________________Key2" hidden="1">#REF!</definedName>
    <definedName name="___________________________Key2" hidden="1">#REF!</definedName>
    <definedName name="__________________________Key2" hidden="1">#REF!</definedName>
    <definedName name="_________________________Key2" hidden="1">#REF!</definedName>
    <definedName name="________________________Key2" hidden="1">#REF!</definedName>
    <definedName name="_______________________Key2" hidden="1">#REF!</definedName>
    <definedName name="______________________Key2" hidden="1">#REF!</definedName>
    <definedName name="_____________________Key2" hidden="1">#REF!</definedName>
    <definedName name="_____________________p1">'[2]#REF'!$A$1:$Q$49</definedName>
    <definedName name="____________________Com1">[3]Roadmap!$B$217</definedName>
    <definedName name="____________________Com2">[3]Roadmap!$B$218</definedName>
    <definedName name="____________________Com3">[4]Roadmap!$B$209</definedName>
    <definedName name="____________________COM94">#REF!</definedName>
    <definedName name="____________________COM95">#REF!</definedName>
    <definedName name="____________________EXH1">#REF!</definedName>
    <definedName name="____________________EXH5">#REF!</definedName>
    <definedName name="____________________JV13">#REF!</definedName>
    <definedName name="____________________Key2" hidden="1">#REF!</definedName>
    <definedName name="____________________ms01">#REF!</definedName>
    <definedName name="____________________ms02">#REF!</definedName>
    <definedName name="____________________ms03">#REF!</definedName>
    <definedName name="____________________ms04">#REF!</definedName>
    <definedName name="____________________omd1">[5]Roadmap!$C$160</definedName>
    <definedName name="____________________omd2">[6]Roadmap!$C$96</definedName>
    <definedName name="____________________p1">'[7]#REF'!$A$1:$Q$49</definedName>
    <definedName name="____________________rb1">[8]Roadmap!$C$110</definedName>
    <definedName name="____________________rbd1">[9]Roadmap!$C$156</definedName>
    <definedName name="____________________rbd2">[10]Roadmap!$C$157</definedName>
    <definedName name="____________________RMC2">'[11]RMC-Descrip'!#REF!</definedName>
    <definedName name="____________________SF3">#REF!</definedName>
    <definedName name="____________________td01">'[12]WPC-11.1a'!$J$115</definedName>
    <definedName name="____________________td02">'[12]WPC-11.1a'!$J$86</definedName>
    <definedName name="____________________td03">'[12]WPC-11.1a'!$J$57</definedName>
    <definedName name="____________________td04">'[13]WPC-11.1a'!$J$26</definedName>
    <definedName name="____________________TDG01">'[12]WPC-11.1a'!$H$123</definedName>
    <definedName name="____________________TDG02">'[12]WPC-11.1a'!$H$94</definedName>
    <definedName name="____________________TDG03">'[12]WPC-11.1a'!$H$65</definedName>
    <definedName name="____________________TDG04">'[12]WPC-11.1a'!$H$36</definedName>
    <definedName name="___________________Com1">[3]Roadmap!$B$217</definedName>
    <definedName name="___________________Com2">[3]Roadmap!$B$218</definedName>
    <definedName name="___________________Com3">[4]Roadmap!$B$209</definedName>
    <definedName name="___________________COM94">#REF!</definedName>
    <definedName name="___________________COM95">#REF!</definedName>
    <definedName name="___________________EXH1">#REF!</definedName>
    <definedName name="___________________EXH5">#REF!</definedName>
    <definedName name="___________________JV13">#REF!</definedName>
    <definedName name="___________________Key2" hidden="1">#REF!</definedName>
    <definedName name="___________________ms01">#REF!</definedName>
    <definedName name="___________________ms02">#REF!</definedName>
    <definedName name="___________________ms03">#REF!</definedName>
    <definedName name="___________________ms04">#REF!</definedName>
    <definedName name="___________________omd1">[5]Roadmap!$C$160</definedName>
    <definedName name="___________________omd2">[6]Roadmap!$C$96</definedName>
    <definedName name="___________________p1">'[7]#REF'!$A$1:$Q$49</definedName>
    <definedName name="___________________rb1">[8]Roadmap!$C$110</definedName>
    <definedName name="___________________rbd1">[9]Roadmap!$C$156</definedName>
    <definedName name="___________________rbd2">[10]Roadmap!$C$157</definedName>
    <definedName name="___________________RMC2">'[11]RMC-Descrip'!#REF!</definedName>
    <definedName name="___________________SF3">#REF!</definedName>
    <definedName name="___________________td01">'[12]WPC-11.1a'!$J$115</definedName>
    <definedName name="___________________td02">'[12]WPC-11.1a'!$J$86</definedName>
    <definedName name="___________________td03">'[12]WPC-11.1a'!$J$57</definedName>
    <definedName name="___________________td04">'[13]WPC-11.1a'!$J$26</definedName>
    <definedName name="___________________TDG01">'[12]WPC-11.1a'!$H$123</definedName>
    <definedName name="___________________TDG02">'[12]WPC-11.1a'!$H$94</definedName>
    <definedName name="___________________TDG03">'[12]WPC-11.1a'!$H$65</definedName>
    <definedName name="___________________TDG04">'[12]WPC-11.1a'!$H$36</definedName>
    <definedName name="__________________Com1">[14]Roadmap!$B$217</definedName>
    <definedName name="__________________Com2">[14]Roadmap!$B$218</definedName>
    <definedName name="__________________Com3">[15]Roadmap!$B$209</definedName>
    <definedName name="__________________COM94">#REF!</definedName>
    <definedName name="__________________COM95">#REF!</definedName>
    <definedName name="__________________EXH1">#REF!</definedName>
    <definedName name="__________________EXH5">#REF!</definedName>
    <definedName name="__________________JV13">#REF!</definedName>
    <definedName name="__________________Key2" hidden="1">#REF!</definedName>
    <definedName name="__________________ms01">#REF!</definedName>
    <definedName name="__________________ms02">#REF!</definedName>
    <definedName name="__________________ms03">#REF!</definedName>
    <definedName name="__________________ms04">#REF!</definedName>
    <definedName name="__________________om1">[8]Roadmap!$C$112</definedName>
    <definedName name="__________________om2">[8]Roadmap!$C$113</definedName>
    <definedName name="__________________omd1">[5]Roadmap!$C$160</definedName>
    <definedName name="__________________omd2">[6]Roadmap!$C$96</definedName>
    <definedName name="__________________p1">'[16]#REF'!$A$1:$Q$49</definedName>
    <definedName name="__________________rb1">[17]Roadmap!$C$110</definedName>
    <definedName name="__________________rb2">[8]Roadmap!$C$111</definedName>
    <definedName name="__________________rbd1">[9]Roadmap!$C$156</definedName>
    <definedName name="__________________rbd2">[10]Roadmap!$C$157</definedName>
    <definedName name="__________________RMC2">'[18]RMC-Descrip'!#REF!</definedName>
    <definedName name="__________________SF3">#REF!</definedName>
    <definedName name="__________________td01">'[19]WPC-11.1a'!$J$115</definedName>
    <definedName name="__________________td02">'[19]WPC-11.1a'!$J$86</definedName>
    <definedName name="__________________td03">'[19]WPC-11.1a'!$J$57</definedName>
    <definedName name="__________________td04">'[20]WPC-11.1a'!$J$26</definedName>
    <definedName name="__________________TDG01">'[19]WPC-11.1a'!$H$123</definedName>
    <definedName name="__________________TDG02">'[19]WPC-11.1a'!$H$94</definedName>
    <definedName name="__________________TDG03">'[19]WPC-11.1a'!$H$65</definedName>
    <definedName name="__________________TDG04">'[19]WPC-11.1a'!$H$36</definedName>
    <definedName name="_________________Com1">[14]Roadmap!$B$217</definedName>
    <definedName name="_________________Com2">[14]Roadmap!$B$218</definedName>
    <definedName name="_________________Com3">[15]Roadmap!$B$209</definedName>
    <definedName name="_________________COM94">#REF!</definedName>
    <definedName name="_________________COM95">#REF!</definedName>
    <definedName name="_________________EXH1">#REF!</definedName>
    <definedName name="_________________EXH5">#REF!</definedName>
    <definedName name="_________________JV13">#REF!</definedName>
    <definedName name="_________________Key2" hidden="1">#REF!</definedName>
    <definedName name="_________________ms01">#REF!</definedName>
    <definedName name="_________________ms02">#REF!</definedName>
    <definedName name="_________________ms03">#REF!</definedName>
    <definedName name="_________________ms04">#REF!</definedName>
    <definedName name="_________________om1">[8]Roadmap!$C$112</definedName>
    <definedName name="_________________om2">[8]Roadmap!$C$113</definedName>
    <definedName name="_________________omd1">[5]Roadmap!$C$160</definedName>
    <definedName name="_________________omd2">[6]Roadmap!$C$96</definedName>
    <definedName name="_________________p1">'[16]#REF'!$A$1:$Q$49</definedName>
    <definedName name="_________________rb1">[17]Roadmap!$C$110</definedName>
    <definedName name="_________________rb2">[8]Roadmap!$C$111</definedName>
    <definedName name="_________________rbd1">[9]Roadmap!$C$156</definedName>
    <definedName name="_________________rbd2">[10]Roadmap!$C$157</definedName>
    <definedName name="_________________RMC2">'[18]RMC-Descrip'!#REF!</definedName>
    <definedName name="_________________SF3">#REF!</definedName>
    <definedName name="_________________td01">'[19]WPC-11.1a'!$J$115</definedName>
    <definedName name="_________________td02">'[19]WPC-11.1a'!$J$86</definedName>
    <definedName name="_________________td03">'[19]WPC-11.1a'!$J$57</definedName>
    <definedName name="_________________td04">'[20]WPC-11.1a'!$J$26</definedName>
    <definedName name="_________________TDG01">'[19]WPC-11.1a'!$H$123</definedName>
    <definedName name="_________________TDG02">'[19]WPC-11.1a'!$H$94</definedName>
    <definedName name="_________________TDG03">'[19]WPC-11.1a'!$H$65</definedName>
    <definedName name="_________________TDG04">'[19]WPC-11.1a'!$H$36</definedName>
    <definedName name="________________Com1">[14]Roadmap!$B$217</definedName>
    <definedName name="________________Com2">[14]Roadmap!$B$218</definedName>
    <definedName name="________________Com3">[15]Roadmap!$B$209</definedName>
    <definedName name="________________COM94">#REF!</definedName>
    <definedName name="________________COM95">#REF!</definedName>
    <definedName name="________________EXH1">#REF!</definedName>
    <definedName name="________________EXH5">#REF!</definedName>
    <definedName name="________________JV13">#REF!</definedName>
    <definedName name="________________Key2" hidden="1">#REF!</definedName>
    <definedName name="________________ms01">#REF!</definedName>
    <definedName name="________________ms02">#REF!</definedName>
    <definedName name="________________ms03">#REF!</definedName>
    <definedName name="________________ms04">#REF!</definedName>
    <definedName name="________________om1">[17]Roadmap!$C$112</definedName>
    <definedName name="________________om2">[17]Roadmap!$C$113</definedName>
    <definedName name="________________omd1">[5]Roadmap!$C$160</definedName>
    <definedName name="________________omd2">[6]Roadmap!$C$96</definedName>
    <definedName name="________________p1">'[16]#REF'!$A$1:$Q$49</definedName>
    <definedName name="________________rb1">[17]Roadmap!$C$110</definedName>
    <definedName name="________________rb2">[17]Roadmap!$C$111</definedName>
    <definedName name="________________rbd1">[9]Roadmap!$C$156</definedName>
    <definedName name="________________rbd2">[10]Roadmap!$C$157</definedName>
    <definedName name="________________RMC2">'[18]RMC-Descrip'!#REF!</definedName>
    <definedName name="________________SF3">#REF!</definedName>
    <definedName name="________________td01">'[19]WPC-11.1a'!$J$115</definedName>
    <definedName name="________________td02">'[19]WPC-11.1a'!$J$86</definedName>
    <definedName name="________________td03">'[19]WPC-11.1a'!$J$57</definedName>
    <definedName name="________________td04">'[20]WPC-11.1a'!$J$26</definedName>
    <definedName name="________________TDG01">'[19]WPC-11.1a'!$H$123</definedName>
    <definedName name="________________TDG02">'[19]WPC-11.1a'!$H$94</definedName>
    <definedName name="________________TDG03">'[19]WPC-11.1a'!$H$65</definedName>
    <definedName name="________________TDG04">'[19]WPC-11.1a'!$H$36</definedName>
    <definedName name="_______________Com1">[14]Roadmap!$B$217</definedName>
    <definedName name="_______________Com2">[14]Roadmap!$B$218</definedName>
    <definedName name="_______________Com3">[15]Roadmap!$B$209</definedName>
    <definedName name="_______________COM94">#REF!</definedName>
    <definedName name="_______________COM95">#REF!</definedName>
    <definedName name="_______________EXH1">#REF!</definedName>
    <definedName name="_______________EXH5">#REF!</definedName>
    <definedName name="_______________JV13">#REF!</definedName>
    <definedName name="_______________Key2" hidden="1">#REF!</definedName>
    <definedName name="_______________ms01">#REF!</definedName>
    <definedName name="_______________ms02">#REF!</definedName>
    <definedName name="_______________ms03">#REF!</definedName>
    <definedName name="_______________ms04">#REF!</definedName>
    <definedName name="_______________om1">[17]Roadmap!$C$112</definedName>
    <definedName name="_______________om2">[17]Roadmap!$C$113</definedName>
    <definedName name="_______________omd1">[5]Roadmap!$C$160</definedName>
    <definedName name="_______________omd2">[6]Roadmap!$C$96</definedName>
    <definedName name="_______________p1">'[16]#REF'!$A$1:$Q$49</definedName>
    <definedName name="_______________rb1">[17]Roadmap!$C$110</definedName>
    <definedName name="_______________rb2">[17]Roadmap!$C$111</definedName>
    <definedName name="_______________rbd1">[9]Roadmap!$C$156</definedName>
    <definedName name="_______________rbd2">[10]Roadmap!$C$157</definedName>
    <definedName name="_______________RMC2">'[18]RMC-Descrip'!#REF!</definedName>
    <definedName name="_______________SF3">#REF!</definedName>
    <definedName name="_______________td01">'[19]WPC-11.1a'!$J$115</definedName>
    <definedName name="_______________td02">'[19]WPC-11.1a'!$J$86</definedName>
    <definedName name="_______________td03">'[19]WPC-11.1a'!$J$57</definedName>
    <definedName name="_______________td04">'[20]WPC-11.1a'!$J$26</definedName>
    <definedName name="_______________TDG01">'[19]WPC-11.1a'!$H$123</definedName>
    <definedName name="_______________TDG02">'[19]WPC-11.1a'!$H$94</definedName>
    <definedName name="_______________TDG03">'[19]WPC-11.1a'!$H$65</definedName>
    <definedName name="_______________TDG04">'[19]WPC-11.1a'!$H$36</definedName>
    <definedName name="______________Com1">[14]Roadmap!$B$217</definedName>
    <definedName name="______________Com2">[14]Roadmap!$B$218</definedName>
    <definedName name="______________Com3">[15]Roadmap!$B$209</definedName>
    <definedName name="______________COM94">#REF!</definedName>
    <definedName name="______________COM95">#REF!</definedName>
    <definedName name="______________EXH1">#REF!</definedName>
    <definedName name="______________EXH5">#REF!</definedName>
    <definedName name="______________JV13">#REF!</definedName>
    <definedName name="______________Key2" hidden="1">#REF!</definedName>
    <definedName name="______________ms01">#REF!</definedName>
    <definedName name="______________ms02">#REF!</definedName>
    <definedName name="______________ms03">#REF!</definedName>
    <definedName name="______________ms04">#REF!</definedName>
    <definedName name="______________om1">[17]Roadmap!$C$112</definedName>
    <definedName name="______________om2">[17]Roadmap!$C$113</definedName>
    <definedName name="______________omd1">[5]Roadmap!$C$160</definedName>
    <definedName name="______________omd2">[6]Roadmap!$C$96</definedName>
    <definedName name="______________p1">'[16]#REF'!$A$1:$Q$49</definedName>
    <definedName name="______________rb1">[17]Roadmap!$C$110</definedName>
    <definedName name="______________rb2">[17]Roadmap!$C$111</definedName>
    <definedName name="______________rbd1">[9]Roadmap!$C$156</definedName>
    <definedName name="______________rbd2">[10]Roadmap!$C$157</definedName>
    <definedName name="______________RMC2">'[18]RMC-Descrip'!#REF!</definedName>
    <definedName name="______________SF3">#REF!</definedName>
    <definedName name="______________td01">'[19]WPC-11.1a'!$J$115</definedName>
    <definedName name="______________td02">'[19]WPC-11.1a'!$J$86</definedName>
    <definedName name="______________td03">'[19]WPC-11.1a'!$J$57</definedName>
    <definedName name="______________td04">'[20]WPC-11.1a'!$J$26</definedName>
    <definedName name="______________TDG01">'[19]WPC-11.1a'!$H$123</definedName>
    <definedName name="______________TDG02">'[19]WPC-11.1a'!$H$94</definedName>
    <definedName name="______________TDG03">'[19]WPC-11.1a'!$H$65</definedName>
    <definedName name="______________TDG04">'[19]WPC-11.1a'!$H$36</definedName>
    <definedName name="_____________Com1">[21]Roadmap!$B$217</definedName>
    <definedName name="_____________Com2">[21]Roadmap!$B$218</definedName>
    <definedName name="_____________Com3">[4]Roadmap!$B$209</definedName>
    <definedName name="_____________COM94">#REF!</definedName>
    <definedName name="_____________COM95">#REF!</definedName>
    <definedName name="_____________EXH1">#REF!</definedName>
    <definedName name="_____________EXH5">#REF!</definedName>
    <definedName name="_____________JV13">#REF!</definedName>
    <definedName name="_____________Key2" hidden="1">#REF!</definedName>
    <definedName name="_____________ms01">#REF!</definedName>
    <definedName name="_____________ms02">#REF!</definedName>
    <definedName name="_____________ms03">#REF!</definedName>
    <definedName name="_____________ms04">#REF!</definedName>
    <definedName name="_____________om1">[17]Roadmap!$C$112</definedName>
    <definedName name="_____________om2">[17]Roadmap!$C$113</definedName>
    <definedName name="_____________omd1">[9]Roadmap!$C$158</definedName>
    <definedName name="_____________omd2">[6]Roadmap!$C$96</definedName>
    <definedName name="_____________p1">'[22]#REF'!$A$1:$Q$49</definedName>
    <definedName name="_____________rb1">[23]INDEX!$B$165</definedName>
    <definedName name="_____________rb2">[17]Roadmap!$C$111</definedName>
    <definedName name="_____________rbd1">[9]Roadmap!$C$156</definedName>
    <definedName name="_____________rbd2">[10]Roadmap!$C$157</definedName>
    <definedName name="_____________RMC2">'[24]RMC-Descrip'!#REF!</definedName>
    <definedName name="_____________SF3">#REF!</definedName>
    <definedName name="_____________td01">'[12]WPC-11.1a'!$J$115</definedName>
    <definedName name="_____________td02">'[12]WPC-11.1a'!$J$86</definedName>
    <definedName name="_____________td03">'[12]WPC-11.1a'!$J$57</definedName>
    <definedName name="_____________td04">'[13]WPC-11.1a'!$J$26</definedName>
    <definedName name="_____________TDG01">'[12]WPC-11.1a'!$H$123</definedName>
    <definedName name="_____________TDG02">'[12]WPC-11.1a'!$H$94</definedName>
    <definedName name="_____________TDG03">'[12]WPC-11.1a'!$H$65</definedName>
    <definedName name="_____________TDG04">'[12]WPC-11.1a'!$H$36</definedName>
    <definedName name="____________Com1">[3]Roadmap!$B$217</definedName>
    <definedName name="____________Com2">[25]Roadmap!$C$187</definedName>
    <definedName name="____________Com3">[4]Roadmap!$B$209</definedName>
    <definedName name="____________COM94">#REF!</definedName>
    <definedName name="____________COM95">#REF!</definedName>
    <definedName name="____________EXH1">#REF!</definedName>
    <definedName name="____________EXH5">#REF!</definedName>
    <definedName name="____________JV13">#REF!</definedName>
    <definedName name="____________Key2" hidden="1">#REF!</definedName>
    <definedName name="____________ms01">#REF!</definedName>
    <definedName name="____________ms02">#REF!</definedName>
    <definedName name="____________ms03">#REF!</definedName>
    <definedName name="____________ms04">#REF!</definedName>
    <definedName name="____________om1">[17]Roadmap!$C$112</definedName>
    <definedName name="____________om2">[17]Roadmap!$C$113</definedName>
    <definedName name="____________OMD1">[25]Roadmap!$C$194</definedName>
    <definedName name="____________omd2">[6]Roadmap!$C$96</definedName>
    <definedName name="____________p1">'[26]#REF'!$A$1:$Q$49</definedName>
    <definedName name="____________rb1">[27]Roadmap!$C$110</definedName>
    <definedName name="____________rb2">[17]Roadmap!$C$111</definedName>
    <definedName name="____________rbd1">[9]Roadmap!$C$156</definedName>
    <definedName name="____________rbd2">[10]Roadmap!$C$157</definedName>
    <definedName name="____________RMC2">'[18]RMC-Descrip'!#REF!</definedName>
    <definedName name="____________SF3">#REF!</definedName>
    <definedName name="____________td01">'[19]WPC-11.1a'!$J$115</definedName>
    <definedName name="____________td02">'[19]WPC-11.1a'!$J$86</definedName>
    <definedName name="____________td03">'[19]WPC-11.1a'!$J$57</definedName>
    <definedName name="____________td04">'[28]WPC-11.1a'!$J$26</definedName>
    <definedName name="____________TDG01">'[19]WPC-11.1a'!$H$123</definedName>
    <definedName name="____________TDG02">'[19]WPC-11.1a'!$H$94</definedName>
    <definedName name="____________TDG03">'[19]WPC-11.1a'!$H$65</definedName>
    <definedName name="____________TDG04">'[19]WPC-11.1a'!$H$36</definedName>
    <definedName name="___________Com1">[3]Roadmap!$B$217</definedName>
    <definedName name="___________Com2">[3]Roadmap!$B$218</definedName>
    <definedName name="___________Com3">[4]Roadmap!$B$209</definedName>
    <definedName name="___________COM94">#REF!</definedName>
    <definedName name="___________COM95">#REF!</definedName>
    <definedName name="___________EXH1">#REF!</definedName>
    <definedName name="___________EXH5">#REF!</definedName>
    <definedName name="___________JV13">#REF!</definedName>
    <definedName name="___________Key2" hidden="1">#REF!</definedName>
    <definedName name="___________ms01">#REF!</definedName>
    <definedName name="___________ms02">#REF!</definedName>
    <definedName name="___________ms03">#REF!</definedName>
    <definedName name="___________ms04">#REF!</definedName>
    <definedName name="___________om1">[27]Roadmap!$C$112</definedName>
    <definedName name="___________om2">[23]INDEX!$B$168</definedName>
    <definedName name="___________omd1">[5]Roadmap!$C$160</definedName>
    <definedName name="___________omd2">[6]Roadmap!$C$96</definedName>
    <definedName name="___________p1">'[7]#REF'!$A$1:$Q$49</definedName>
    <definedName name="___________rb1">[8]Roadmap!$C$110</definedName>
    <definedName name="___________rb2">[23]INDEX!$B$166</definedName>
    <definedName name="___________rbd1">[9]Roadmap!$C$156</definedName>
    <definedName name="___________rbd2">[10]Roadmap!$C$157</definedName>
    <definedName name="___________RMC2">'[11]RMC-Descrip'!#REF!</definedName>
    <definedName name="___________SF3">#REF!</definedName>
    <definedName name="___________td01">'[12]WPC-11.1a'!$J$115</definedName>
    <definedName name="___________td02">'[12]WPC-11.1a'!$J$86</definedName>
    <definedName name="___________td03">'[12]WPC-11.1a'!$J$57</definedName>
    <definedName name="___________td04">'[13]WPC-11.1a'!$J$26</definedName>
    <definedName name="___________TDG01">'[12]WPC-11.1a'!$H$123</definedName>
    <definedName name="___________TDG02">'[12]WPC-11.1a'!$H$94</definedName>
    <definedName name="___________TDG03">'[12]WPC-11.1a'!$H$65</definedName>
    <definedName name="___________TDG04">'[12]WPC-11.1a'!$H$36</definedName>
    <definedName name="__________Com1">[29]Roadmap!$B$217</definedName>
    <definedName name="__________Com2">[29]Roadmap!$B$218</definedName>
    <definedName name="__________Com3">[30]Roadmap!$B$209</definedName>
    <definedName name="__________COM94">#REF!</definedName>
    <definedName name="__________COM95">#REF!</definedName>
    <definedName name="__________EXH1">#REF!</definedName>
    <definedName name="__________EXH5">#REF!</definedName>
    <definedName name="__________JV13">#REF!</definedName>
    <definedName name="__________Key2" hidden="1">#REF!</definedName>
    <definedName name="__________ms01">#REF!</definedName>
    <definedName name="__________ms02">#REF!</definedName>
    <definedName name="__________ms03">#REF!</definedName>
    <definedName name="__________ms04">#REF!</definedName>
    <definedName name="__________om1">[17]Roadmap!$C$112</definedName>
    <definedName name="__________om2">[31]INDEX!$B$159</definedName>
    <definedName name="__________omd1">[5]Roadmap!$C$160</definedName>
    <definedName name="__________omd2">[6]Roadmap!$C$96</definedName>
    <definedName name="__________p1">'[32]#REF'!$A$1:$Q$49</definedName>
    <definedName name="__________rb1">[33]Roadmap!$C$110</definedName>
    <definedName name="__________rb2">[27]Roadmap!$C$111</definedName>
    <definedName name="__________rbd1">[9]Roadmap!$C$156</definedName>
    <definedName name="__________rbd2">[10]Roadmap!$C$157</definedName>
    <definedName name="__________RMC2">'[34]RMC-Descrip'!#REF!</definedName>
    <definedName name="__________SF3">#REF!</definedName>
    <definedName name="__________td01">'[35]WPC-11.1a'!$J$115</definedName>
    <definedName name="__________td02">'[35]WPC-11.1a'!$J$86</definedName>
    <definedName name="__________td03">'[35]WPC-11.1a'!$J$57</definedName>
    <definedName name="__________td04">'[36]WPC-11.1a'!$J$26</definedName>
    <definedName name="__________TDG01">'[35]WPC-11.1a'!$H$123</definedName>
    <definedName name="__________TDG02">'[35]WPC-11.1a'!$H$94</definedName>
    <definedName name="__________TDG03">'[35]WPC-11.1a'!$H$65</definedName>
    <definedName name="__________TDG04">'[35]WPC-11.1a'!$H$36</definedName>
    <definedName name="_________Com1">[29]Roadmap!$B$217</definedName>
    <definedName name="_________Com2">[29]Roadmap!$B$218</definedName>
    <definedName name="_________Com3">[30]Roadmap!$B$209</definedName>
    <definedName name="_________COM94">#REF!</definedName>
    <definedName name="_________COM95">#REF!</definedName>
    <definedName name="_________EXH1">#REF!</definedName>
    <definedName name="_________EXH5">#REF!</definedName>
    <definedName name="_________JV13">#REF!</definedName>
    <definedName name="_________Key2" hidden="1">#REF!</definedName>
    <definedName name="_________ms01">#REF!</definedName>
    <definedName name="_________ms02">#REF!</definedName>
    <definedName name="_________ms03">#REF!</definedName>
    <definedName name="_________ms04">#REF!</definedName>
    <definedName name="_________om1">[8]Roadmap!$C$112</definedName>
    <definedName name="_________om2">[8]Roadmap!$C$113</definedName>
    <definedName name="_________omd1">[5]Roadmap!$C$160</definedName>
    <definedName name="_________omd2">[6]Roadmap!$C$96</definedName>
    <definedName name="_________p1">'[32]#REF'!$A$1:$Q$49</definedName>
    <definedName name="_________rb1">[33]Roadmap!$C$110</definedName>
    <definedName name="_________rb2">[8]Roadmap!$C$111</definedName>
    <definedName name="_________rbd1">[9]Roadmap!$C$156</definedName>
    <definedName name="_________rbd2">[10]Roadmap!$C$157</definedName>
    <definedName name="_________RMC2">'[34]RMC-Descrip'!#REF!</definedName>
    <definedName name="_________SF3">#REF!</definedName>
    <definedName name="_________td01">'[35]WPC-11.1a'!$J$115</definedName>
    <definedName name="_________td02">'[35]WPC-11.1a'!$J$86</definedName>
    <definedName name="_________td03">'[35]WPC-11.1a'!$J$57</definedName>
    <definedName name="_________td04">'[36]WPC-11.1a'!$J$26</definedName>
    <definedName name="_________TDG01">'[35]WPC-11.1a'!$H$123</definedName>
    <definedName name="_________TDG02">'[35]WPC-11.1a'!$H$94</definedName>
    <definedName name="_________TDG03">'[35]WPC-11.1a'!$H$65</definedName>
    <definedName name="_________TDG04">'[35]WPC-11.1a'!$H$36</definedName>
    <definedName name="________Com1">[14]Roadmap!$B$217</definedName>
    <definedName name="________Com2">[14]Roadmap!$B$218</definedName>
    <definedName name="________Com3">[15]Roadmap!$B$209</definedName>
    <definedName name="________COM94">#REF!</definedName>
    <definedName name="________COM95">#REF!</definedName>
    <definedName name="________EXH1">#REF!</definedName>
    <definedName name="________EXH5">#REF!</definedName>
    <definedName name="________JV13">#REF!</definedName>
    <definedName name="________Key2" hidden="1">#REF!</definedName>
    <definedName name="________ms01">#REF!</definedName>
    <definedName name="________ms02">#REF!</definedName>
    <definedName name="________ms03">#REF!</definedName>
    <definedName name="________ms04">#REF!</definedName>
    <definedName name="________om1">[17]Roadmap!$C$112</definedName>
    <definedName name="________om2">[17]Roadmap!$C$113</definedName>
    <definedName name="________omd1">[5]Roadmap!$C$160</definedName>
    <definedName name="________omd2">[6]Roadmap!$C$96</definedName>
    <definedName name="________p1">'[16]#REF'!$A$1:$Q$49</definedName>
    <definedName name="________rb1">[17]Roadmap!$C$110</definedName>
    <definedName name="________rb2">[17]Roadmap!$C$111</definedName>
    <definedName name="________rbd1">[9]Roadmap!$C$156</definedName>
    <definedName name="________rbd2">[10]Roadmap!$C$157</definedName>
    <definedName name="________RMC2">'[18]RMC-Descrip'!#REF!</definedName>
    <definedName name="________SF3">#REF!</definedName>
    <definedName name="________td01">'[19]WPC-11.1a'!$J$115</definedName>
    <definedName name="________td02">'[19]WPC-11.1a'!$J$86</definedName>
    <definedName name="________td03">'[19]WPC-11.1a'!$J$57</definedName>
    <definedName name="________td04">'[20]WPC-11.1a'!$J$26</definedName>
    <definedName name="________TDG01">'[19]WPC-11.1a'!$H$123</definedName>
    <definedName name="________TDG02">'[19]WPC-11.1a'!$H$94</definedName>
    <definedName name="________TDG03">'[19]WPC-11.1a'!$H$65</definedName>
    <definedName name="________TDG04">'[19]WPC-11.1a'!$H$36</definedName>
    <definedName name="_______Com1">[14]Roadmap!$B$217</definedName>
    <definedName name="_______Com2">[14]Roadmap!$B$218</definedName>
    <definedName name="_______Com3">[15]Roadmap!$B$209</definedName>
    <definedName name="_______COM94">#REF!</definedName>
    <definedName name="_______COM95">#REF!</definedName>
    <definedName name="_______EXH1">#REF!</definedName>
    <definedName name="_______EXH5">#REF!</definedName>
    <definedName name="_______JV13">#REF!</definedName>
    <definedName name="_______Key2" hidden="1">#REF!</definedName>
    <definedName name="_______ms01">#REF!</definedName>
    <definedName name="_______ms02">#REF!</definedName>
    <definedName name="_______ms03">#REF!</definedName>
    <definedName name="_______ms04">#REF!</definedName>
    <definedName name="_______om1">[17]Roadmap!$C$112</definedName>
    <definedName name="_______om2">[17]Roadmap!$C$113</definedName>
    <definedName name="_______omd1">[5]Roadmap!$C$160</definedName>
    <definedName name="_______omd2">[6]Roadmap!$C$96</definedName>
    <definedName name="_______p1">'[16]#REF'!$A$1:$Q$49</definedName>
    <definedName name="_______rb1">[17]Roadmap!$C$110</definedName>
    <definedName name="_______rb2">[17]Roadmap!$C$111</definedName>
    <definedName name="_______rbd1">[9]Roadmap!$C$156</definedName>
    <definedName name="_______rbd2">[10]Roadmap!$C$157</definedName>
    <definedName name="_______RMC2">'[18]RMC-Descrip'!#REF!</definedName>
    <definedName name="_______SF3">#REF!</definedName>
    <definedName name="_______td01">'[19]WPC-11.1a'!$J$115</definedName>
    <definedName name="_______td02">'[19]WPC-11.1a'!$J$86</definedName>
    <definedName name="_______td03">'[19]WPC-11.1a'!$J$57</definedName>
    <definedName name="_______td04">'[20]WPC-11.1a'!$J$26</definedName>
    <definedName name="_______TDG01">'[19]WPC-11.1a'!$H$123</definedName>
    <definedName name="_______TDG02">'[19]WPC-11.1a'!$H$94</definedName>
    <definedName name="_______TDG03">'[19]WPC-11.1a'!$H$65</definedName>
    <definedName name="_______TDG04">'[19]WPC-11.1a'!$H$36</definedName>
    <definedName name="______Com1">[3]Roadmap!$B$217</definedName>
    <definedName name="______Com2">[25]Roadmap!$C$187</definedName>
    <definedName name="______Com3">[4]Roadmap!$B$209</definedName>
    <definedName name="______COM94">#REF!</definedName>
    <definedName name="______COM95">#REF!</definedName>
    <definedName name="______EXH1">#REF!</definedName>
    <definedName name="______EXH5">#REF!</definedName>
    <definedName name="______JV13">#REF!</definedName>
    <definedName name="______Key2" hidden="1">#REF!</definedName>
    <definedName name="______ms01">#REF!</definedName>
    <definedName name="______ms02">#REF!</definedName>
    <definedName name="______ms03">#REF!</definedName>
    <definedName name="______ms04">#REF!</definedName>
    <definedName name="______om1">[17]Roadmap!$C$112</definedName>
    <definedName name="______om2">[31]INDEX!$B$159</definedName>
    <definedName name="______OMD1">[25]Roadmap!$C$194</definedName>
    <definedName name="______omd2">[6]Roadmap!$C$96</definedName>
    <definedName name="______p1">'[26]#REF'!$A$1:$Q$49</definedName>
    <definedName name="______rb1">[27]Roadmap!$C$110</definedName>
    <definedName name="______rb2">[27]Roadmap!$C$111</definedName>
    <definedName name="______rbd1">[9]Roadmap!$C$156</definedName>
    <definedName name="______rbd2">[10]Roadmap!$C$157</definedName>
    <definedName name="______RMC2">'[18]RMC-Descrip'!#REF!</definedName>
    <definedName name="______SF3">#REF!</definedName>
    <definedName name="______td01">'[19]WPC-11.1a'!$J$115</definedName>
    <definedName name="______td02">'[19]WPC-11.1a'!$J$86</definedName>
    <definedName name="______td03">'[19]WPC-11.1a'!$J$57</definedName>
    <definedName name="______td04">'[28]WPC-11.1a'!$J$26</definedName>
    <definedName name="______TDG01">'[19]WPC-11.1a'!$H$123</definedName>
    <definedName name="______TDG02">'[19]WPC-11.1a'!$H$94</definedName>
    <definedName name="______TDG03">'[19]WPC-11.1a'!$H$65</definedName>
    <definedName name="______TDG04">'[19]WPC-11.1a'!$H$36</definedName>
    <definedName name="_____Com1">[21]Roadmap!$B$217</definedName>
    <definedName name="_____Com2">[21]Roadmap!$B$218</definedName>
    <definedName name="_____Com3">[4]Roadmap!$B$209</definedName>
    <definedName name="_____COM94">#REF!</definedName>
    <definedName name="_____COM95">#REF!</definedName>
    <definedName name="_____EXH1">#REF!</definedName>
    <definedName name="_____EXH5">#REF!</definedName>
    <definedName name="_____JV13">#REF!</definedName>
    <definedName name="_____Key2" hidden="1">#REF!</definedName>
    <definedName name="_____ms01">#REF!</definedName>
    <definedName name="_____ms02">#REF!</definedName>
    <definedName name="_____ms03">#REF!</definedName>
    <definedName name="_____ms04">#REF!</definedName>
    <definedName name="_____om1">[27]Roadmap!$C$112</definedName>
    <definedName name="_____om2">[23]INDEX!$B$168</definedName>
    <definedName name="_____omd1">[9]Roadmap!$C$158</definedName>
    <definedName name="_____omd2">[6]Roadmap!$C$96</definedName>
    <definedName name="_____p1">'[22]#REF'!$A$1:$Q$49</definedName>
    <definedName name="_____rb1">[23]INDEX!$B$165</definedName>
    <definedName name="_____rb2">[23]INDEX!$B$166</definedName>
    <definedName name="_____rbd1">[9]Roadmap!$C$156</definedName>
    <definedName name="_____rbd2">[10]Roadmap!$C$157</definedName>
    <definedName name="_____RMC2">'[24]RMC-Descrip'!#REF!</definedName>
    <definedName name="_____SF3">#REF!</definedName>
    <definedName name="_____td01">#REF!</definedName>
    <definedName name="_____td02">#REF!</definedName>
    <definedName name="_____td03">#REF!</definedName>
    <definedName name="_____td04">#REF!</definedName>
    <definedName name="_____TDG01">#REF!</definedName>
    <definedName name="_____TDG02">#REF!</definedName>
    <definedName name="_____TDG03">#REF!</definedName>
    <definedName name="_____TDG04">#REF!</definedName>
    <definedName name="____Com1">[14]Roadmap!$B$217</definedName>
    <definedName name="____Com2">[25]Roadmap!$C$187</definedName>
    <definedName name="____Com3">[15]Roadmap!$B$209</definedName>
    <definedName name="____COM94">#REF!</definedName>
    <definedName name="____COM95">#REF!</definedName>
    <definedName name="____EXH1">#REF!</definedName>
    <definedName name="____EXH5">#REF!</definedName>
    <definedName name="____JV13">#REF!</definedName>
    <definedName name="____Key2" hidden="1">#REF!</definedName>
    <definedName name="____ms01">#REF!</definedName>
    <definedName name="____ms02">#REF!</definedName>
    <definedName name="____ms03">#REF!</definedName>
    <definedName name="____ms04">#REF!</definedName>
    <definedName name="____om1">[17]Roadmap!$C$112</definedName>
    <definedName name="____om2">[31]INDEX!$B$159</definedName>
    <definedName name="____OMD1">[25]Roadmap!$C$194</definedName>
    <definedName name="____omd2">[6]Roadmap!$C$96</definedName>
    <definedName name="____p1">'[26]#REF'!$A$1:$Q$49</definedName>
    <definedName name="____rb1">[27]Roadmap!$C$110</definedName>
    <definedName name="____rb2">[27]Roadmap!$C$111</definedName>
    <definedName name="____rbd1">[9]Roadmap!$C$156</definedName>
    <definedName name="____rbd2">[10]Roadmap!$C$157</definedName>
    <definedName name="____RMC2">'[18]RMC-Descrip'!#REF!</definedName>
    <definedName name="____SF3">#REF!</definedName>
    <definedName name="____td01">'[19]WPC-11.1a'!$J$115</definedName>
    <definedName name="____td02">'[19]WPC-11.1a'!$J$86</definedName>
    <definedName name="____td03">'[19]WPC-11.1a'!$J$57</definedName>
    <definedName name="____td04">'[28]WPC-11.1a'!$J$26</definedName>
    <definedName name="____TDG01">'[19]WPC-11.1a'!$H$123</definedName>
    <definedName name="____TDG02">'[19]WPC-11.1a'!$H$94</definedName>
    <definedName name="____TDG03">'[19]WPC-11.1a'!$H$65</definedName>
    <definedName name="____TDG04">'[19]WPC-11.1a'!$H$36</definedName>
    <definedName name="___Com1">[14]Roadmap!$B$217</definedName>
    <definedName name="___Com2">[14]Roadmap!$B$218</definedName>
    <definedName name="___Com3">[4]Roadmap!$B$209</definedName>
    <definedName name="___COM94">#REF!</definedName>
    <definedName name="___COM95">#REF!</definedName>
    <definedName name="___EXH1">#REF!</definedName>
    <definedName name="___EXH5">#REF!</definedName>
    <definedName name="___JV13">#REF!</definedName>
    <definedName name="___Key2" hidden="1">#REF!</definedName>
    <definedName name="___ms01">#REF!</definedName>
    <definedName name="___ms02">#REF!</definedName>
    <definedName name="___ms03">#REF!</definedName>
    <definedName name="___ms04">#REF!</definedName>
    <definedName name="___om1">[17]Roadmap!$C$112</definedName>
    <definedName name="___om2">[17]Roadmap!$C$113</definedName>
    <definedName name="___omd1">[9]Roadmap!$C$158</definedName>
    <definedName name="___omd2">[6]Roadmap!$C$96</definedName>
    <definedName name="___p1">'[7]#REF'!$A$1:$Q$49</definedName>
    <definedName name="___rb1">[17]Roadmap!$C$110</definedName>
    <definedName name="___rb2">[17]Roadmap!$C$111</definedName>
    <definedName name="___rbd1">[9]Roadmap!$C$156</definedName>
    <definedName name="___rbd2">[10]Roadmap!$C$157</definedName>
    <definedName name="___RMC2">'[18]RMC-Descrip'!#REF!</definedName>
    <definedName name="___SF3">#REF!</definedName>
    <definedName name="___td01">'[19]WPC-11.1a'!$J$115</definedName>
    <definedName name="___td02">'[19]WPC-11.1a'!$J$86</definedName>
    <definedName name="___td03">'[19]WPC-11.1a'!$J$57</definedName>
    <definedName name="___td04">'[20]WPC-11.1a'!$J$26</definedName>
    <definedName name="___TDG01">'[19]WPC-11.1a'!$H$123</definedName>
    <definedName name="___TDG02">'[19]WPC-11.1a'!$H$94</definedName>
    <definedName name="___TDG03">'[19]WPC-11.1a'!$H$65</definedName>
    <definedName name="___TDG04">'[19]WPC-11.1a'!$H$36</definedName>
    <definedName name="__Com1">[3]Roadmap!$B$217</definedName>
    <definedName name="__Com2">[3]Roadmap!$B$218</definedName>
    <definedName name="__Com3">[4]Roadmap!$B$209</definedName>
    <definedName name="__COM94">#REF!</definedName>
    <definedName name="__COM95">#REF!</definedName>
    <definedName name="__EXH1">#REF!</definedName>
    <definedName name="__EXH5">#REF!</definedName>
    <definedName name="__JV13">#REF!</definedName>
    <definedName name="__key1" hidden="1">#REF!</definedName>
    <definedName name="__Key2" hidden="1">#REF!</definedName>
    <definedName name="__ms01">#REF!</definedName>
    <definedName name="__ms02">#REF!</definedName>
    <definedName name="__ms03">#REF!</definedName>
    <definedName name="__ms04">#REF!</definedName>
    <definedName name="__om1">[8]Roadmap!$C$112</definedName>
    <definedName name="__om2">[37]Roadmap!$C$139</definedName>
    <definedName name="__omd1">[38]Roadmap!$C$158</definedName>
    <definedName name="__omd2">[39]Roadmap!$C$96</definedName>
    <definedName name="__p1">'[7]#REF'!$A$1:$Q$49</definedName>
    <definedName name="__rb1">[8]Roadmap!$C$110</definedName>
    <definedName name="__rb2">[8]Roadmap!$C$111</definedName>
    <definedName name="__rbd1">[38]Roadmap!$C$156</definedName>
    <definedName name="__rbd2">[40]Roadmap!$C$157</definedName>
    <definedName name="__RMC2">'[11]RMC-Descrip'!#REF!</definedName>
    <definedName name="__SF3">#REF!</definedName>
    <definedName name="__td01">'[12]WPC-11.1a'!$J$115</definedName>
    <definedName name="__td02">'[12]WPC-11.1a'!$J$86</definedName>
    <definedName name="__td03">'[12]WPC-11.1a'!$J$57</definedName>
    <definedName name="__td04">'[13]WPC-11.1a'!$J$26</definedName>
    <definedName name="__TDG01">'[12]WPC-11.1a'!$H$123</definedName>
    <definedName name="__TDG02">'[12]WPC-11.1a'!$H$94</definedName>
    <definedName name="__TDG03">'[12]WPC-11.1a'!$H$65</definedName>
    <definedName name="__TDG04">'[12]WPC-11.1a'!$H$36</definedName>
    <definedName name="_1__123Graph_ACONTRACT_BY_B_U" hidden="1">'[41]QRE Charts'!$D$275:$Q$275</definedName>
    <definedName name="_10__123Graph_BQRE_S_BY_TYPE" hidden="1">'[41]QRE''s'!$D$100:$R$100</definedName>
    <definedName name="_11__123Graph_BSENS_COMPARISON" hidden="1">'[41]QRE Charts'!$E$366:$O$366</definedName>
    <definedName name="_12__123Graph_BSUPPLIES_BY_B_U" hidden="1">'[41]QRE Charts'!$D$250:$Q$250</definedName>
    <definedName name="_13__123Graph_BTAX_CREDIT" hidden="1">'[41]QRE Charts'!$E$332:$E$342</definedName>
    <definedName name="_14__123Graph_BWAGES_BY_B_U" hidden="1">'[41]QRE Charts'!$D$224:$R$224</definedName>
    <definedName name="_15__123Graph_CCONTRACT_BY_B_U" hidden="1">'[41]QRE Charts'!$D$277:$Q$277</definedName>
    <definedName name="_16__123Graph_CQRE_S_BY_CO." hidden="1">'[41]QRE Charts'!$D$303:$R$303</definedName>
    <definedName name="_17__123Graph_CQRE_S_BY_TYPE" hidden="1">'[41]QRE''s'!$D$101:$R$101</definedName>
    <definedName name="_18__123Graph_CSENS_COMPARISON" hidden="1">'[41]QRE Charts'!$E$367:$O$367</definedName>
    <definedName name="_19__123Graph_CSUPPLIES_BY_B_U" hidden="1">'[41]QRE Charts'!$D$251:$Q$251</definedName>
    <definedName name="_2__123Graph_AQRE_S_BY_CO." hidden="1">'[41]QRE Charts'!$D$301:$R$301</definedName>
    <definedName name="_20__123Graph_CWAGES_BY_B_U" hidden="1">'[41]QRE Charts'!$D$225:$R$225</definedName>
    <definedName name="_20_MWS">#REF!</definedName>
    <definedName name="_21__123Graph_DCONTRACT_BY_B_U" hidden="1">'[41]QRE Charts'!$D$278:$Q$278</definedName>
    <definedName name="_21_MWS">#REF!</definedName>
    <definedName name="_22__123Graph_DQRE_S_BY_CO." hidden="1">'[41]QRE Charts'!$D$304:$R$304</definedName>
    <definedName name="_23__123Graph_DSUPPLIES_BY_B_U" hidden="1">'[41]QRE Charts'!$D$252:$Q$252</definedName>
    <definedName name="_23_MWS">#REF!</definedName>
    <definedName name="_24__123Graph_DWAGES_BY_B_U" hidden="1">'[41]QRE Charts'!$D$226:$R$226</definedName>
    <definedName name="_24_MWS">#REF!</definedName>
    <definedName name="_25__123Graph_ECONTRACT_BY_B_U" hidden="1">'[41]QRE Charts'!$D$279:$Q$279</definedName>
    <definedName name="_26__123Graph_EQRE_S_BY_CO." hidden="1">'[41]QRE Charts'!$D$305:$R$305</definedName>
    <definedName name="_27__123Graph_ESUPPLIES_BY_B_U" hidden="1">'[41]QRE Charts'!$D$253:$Q$253</definedName>
    <definedName name="_28__123Graph_EWAGES_BY_B_U" hidden="1">'[41]QRE Charts'!$D$227:$R$227</definedName>
    <definedName name="_29__123Graph_FCONTRACT_BY_B_U" hidden="1">'[41]QRE Charts'!$D$280:$Q$280</definedName>
    <definedName name="_3__123Graph_AQRE_S_BY_TYPE" hidden="1">'[41]QRE''s'!$D$99:$R$99</definedName>
    <definedName name="_30__123Graph_FQRE_S_BY_CO." hidden="1">'[41]QRE Charts'!$D$306:$R$306</definedName>
    <definedName name="_31__123Graph_FSUPPLIES_BY_B_U" hidden="1">'[41]QRE Charts'!$D$254:$Q$254</definedName>
    <definedName name="_32__123Graph_FWAGES_BY_B_U" hidden="1">'[41]QRE Charts'!$D$228:$R$228</definedName>
    <definedName name="_33__123Graph_XCONTRACT_BY_B_U" hidden="1">'[41]QRE Charts'!$D$222:$R$222</definedName>
    <definedName name="_34__123Graph_XQRE_S_BY_CO." hidden="1">'[41]QRE Charts'!$D$222:$R$222</definedName>
    <definedName name="_35__123Graph_XQRE_S_BY_TYPE" hidden="1">'[41]QRE Charts'!$D$222:$R$222</definedName>
    <definedName name="_35_MWS">#REF!</definedName>
    <definedName name="_36__123Graph_XSUPPLIES_BY_B_U" hidden="1">'[41]QRE Charts'!$D$222:$R$222</definedName>
    <definedName name="_37__123Graph_XTAX_CREDIT" hidden="1">'[41]QRE Charts'!$C$332:$C$342</definedName>
    <definedName name="_38_0_0_K" hidden="1">#REF!</definedName>
    <definedName name="_39_0_0_K" hidden="1">[42]Masterdata!#REF!</definedName>
    <definedName name="_3YR_SUMMARY">#REF!</definedName>
    <definedName name="_4__123Graph_ASENS_COMPARISON" hidden="1">'[41]QRE Charts'!$E$365:$O$365</definedName>
    <definedName name="_40_0_0_S" hidden="1">#REF!</definedName>
    <definedName name="_40_MWS">#REF!</definedName>
    <definedName name="_41_0_0_S" hidden="1">[42]Masterdata!#REF!</definedName>
    <definedName name="_45_MWS">#REF!</definedName>
    <definedName name="_5__123Graph_ASUPPLIES_BY_B_U" hidden="1">'[41]QRE Charts'!$D$249:$Q$249</definedName>
    <definedName name="_50_MWS">#REF!</definedName>
    <definedName name="_55_MWS">#REF!</definedName>
    <definedName name="_6__123Graph_ATAX_CREDIT" hidden="1">'[41]QRE Charts'!$D$332:$D$342</definedName>
    <definedName name="_7__123Graph_AWAGES_BY_B_U" hidden="1">'[41]QRE Charts'!$D$223:$R$223</definedName>
    <definedName name="_8__123Graph_BCONTRACT_BY_B_U" hidden="1">'[41]QRE Charts'!$D$276:$Q$276</definedName>
    <definedName name="_84_PHASE1">[41]Comparison!$E$9:$E$165</definedName>
    <definedName name="_85_PHASE1">[41]Comparison!$I$9:$I$165</definedName>
    <definedName name="_86_PHASE1">[41]Comparison!$M$9:$M$165</definedName>
    <definedName name="_87_PHASE1">[41]Comparison!$Q$9:$Q$165</definedName>
    <definedName name="_88_PHASE1">[41]Comparison!$U$9:$U$165</definedName>
    <definedName name="_89_PHASE1">[41]Comparison!$AD$9:$AD$165</definedName>
    <definedName name="_9__123Graph_BQRE_S_BY_CO." hidden="1">'[41]QRE Charts'!$D$302:$R$302</definedName>
    <definedName name="_90_PHASE1">[41]Comparison!$AH$9:$AH$165</definedName>
    <definedName name="_91_PHASE1">[41]Comparison!$AL$9:$AL$165</definedName>
    <definedName name="_92_PHASE1">[41]Comparison!$AP$9:$AP$165</definedName>
    <definedName name="_93_PHASE1">[41]Comparison!$AT$9:$AT$165</definedName>
    <definedName name="_94_PHASE1">[41]Comparison!$AX$9:$AX$165</definedName>
    <definedName name="_95_PHASE1">[41]Comparison!$BB$9:$BB$165</definedName>
    <definedName name="_96_PHASE1">[41]Comparison!$BF$9:$BF$165</definedName>
    <definedName name="_97_PHASE1">[41]Comparison!$BJ$9:$BJ$165</definedName>
    <definedName name="_98_PHASE1">[41]Comparison!$BN$9:$BN$165</definedName>
    <definedName name="_AAL1">#REF!</definedName>
    <definedName name="_agr8690">[41]Model!$I$58</definedName>
    <definedName name="_agr8790">[41]Model!$I$59</definedName>
    <definedName name="_agr8791">[41]Model!$J$59</definedName>
    <definedName name="_agr8890">[41]Model!$I$60</definedName>
    <definedName name="_agr8891">[41]Model!$J$60</definedName>
    <definedName name="_agr8892">[41]Model!$K$60</definedName>
    <definedName name="_agr8990">[41]Model!$I$61</definedName>
    <definedName name="_agr8991">[41]Model!$J$61</definedName>
    <definedName name="_agr8992">[41]Model!$K$61</definedName>
    <definedName name="_agr8993">[41]Model!$L$61</definedName>
    <definedName name="_agr9091">[41]Model!$J$62</definedName>
    <definedName name="_agr9092">[41]Model!$K$62</definedName>
    <definedName name="_agr9093">[41]Model!$L$62</definedName>
    <definedName name="_agr9094">[41]Model!$M$62</definedName>
    <definedName name="_agr9192">[41]Model!$K$63</definedName>
    <definedName name="_agr9193">[41]Model!$L$63</definedName>
    <definedName name="_agr9194">[41]Model!$M$63</definedName>
    <definedName name="_agr9195">[41]Model!$N$63</definedName>
    <definedName name="_agr9293">[41]Model!$L$64</definedName>
    <definedName name="_agr9294">[41]Model!$M$64</definedName>
    <definedName name="_agr9295">[41]Model!$N$64</definedName>
    <definedName name="_agr9296">[41]Model!$O$64</definedName>
    <definedName name="_agr9394">[41]Model!$M$65</definedName>
    <definedName name="_agr9395">[41]Model!$N$65</definedName>
    <definedName name="_agr9396">[41]Model!$O$65</definedName>
    <definedName name="_agr9397">[41]Model!$P$65</definedName>
    <definedName name="_agr9495">[41]Model!$N$66</definedName>
    <definedName name="_agr9496">[41]Model!$O$66</definedName>
    <definedName name="_agr9497">[41]Model!$P$66</definedName>
    <definedName name="_agr9498">[41]Model!$Q$66</definedName>
    <definedName name="_agr9596">[41]Model!$O$67</definedName>
    <definedName name="_agr9597">[41]Model!$P$67</definedName>
    <definedName name="_agr9598">[41]Model!$Q$67</definedName>
    <definedName name="_agr9697">[41]Model!$P$68</definedName>
    <definedName name="_agr9698">[41]Model!$Q$68</definedName>
    <definedName name="_agr9798">[41]Model!$Q$69</definedName>
    <definedName name="_ALT_PPONU_D__Q">#REF!</definedName>
    <definedName name="_AMO_UniqueIdentifier" hidden="1">"'bcb5811d-712a-4535-a3da-8914e2dcdab9'"</definedName>
    <definedName name="_Com1">#REF!</definedName>
    <definedName name="_Com2">#REF!</definedName>
    <definedName name="_Com3">#REF!</definedName>
    <definedName name="_COM94">#REF!</definedName>
    <definedName name="_COM95">#REF!</definedName>
    <definedName name="_EXH1">#REF!</definedName>
    <definedName name="_EXH5">#REF!</definedName>
    <definedName name="_Fill" hidden="1">'[43]o&amp;m'!#REF!</definedName>
    <definedName name="_JV13">#REF!</definedName>
    <definedName name="_Key1" hidden="1">#REF!</definedName>
    <definedName name="_Key2" hidden="1">#REF!</definedName>
    <definedName name="_key7">[44]Sheet2!$AE$1:$AE$24</definedName>
    <definedName name="_mm1">#REF!</definedName>
    <definedName name="_mm10">#REF!</definedName>
    <definedName name="_mm11">#REF!</definedName>
    <definedName name="_mm12">#REF!</definedName>
    <definedName name="_mm13">#REF!</definedName>
    <definedName name="_mm14">#REF!</definedName>
    <definedName name="_mm15">#REF!</definedName>
    <definedName name="_mm16">#REF!</definedName>
    <definedName name="_mm17">#REF!</definedName>
    <definedName name="_mm18">#REF!</definedName>
    <definedName name="_mm19">#REF!</definedName>
    <definedName name="_mm2">#REF!</definedName>
    <definedName name="_mm3">#REF!</definedName>
    <definedName name="_mm4">#REF!</definedName>
    <definedName name="_mm5">#REF!</definedName>
    <definedName name="_mm7">#REF!</definedName>
    <definedName name="_mm8">#REF!</definedName>
    <definedName name="_mm9">#REF!</definedName>
    <definedName name="_ms01">#REF!</definedName>
    <definedName name="_ms02">#REF!</definedName>
    <definedName name="_ms03">#REF!</definedName>
    <definedName name="_ms04">#REF!</definedName>
    <definedName name="_om1">[45]Roadmap!$B$138</definedName>
    <definedName name="_om2">[45]Roadmap!$B$139</definedName>
    <definedName name="_OMD1">#REF!</definedName>
    <definedName name="_OMD2">#REF!</definedName>
    <definedName name="_Order1" hidden="1">255</definedName>
    <definedName name="_Order2" hidden="1">255</definedName>
    <definedName name="_p1">'[7]#REF'!$A$1:$Q$49</definedName>
    <definedName name="_pgm5">[44]Sheet2!$AF$1:$AF$3</definedName>
    <definedName name="_qre2">'[46]IDR 15'!$A$1:$H$214</definedName>
    <definedName name="_qre84">'[41]QRE''s'!$D:$D</definedName>
    <definedName name="_qre8490">[41]Model!$I$126</definedName>
    <definedName name="_qre8491">[41]Model!$J$126</definedName>
    <definedName name="_qre8492">[41]Model!$K$126</definedName>
    <definedName name="_qre8493">[41]Model!$L$126</definedName>
    <definedName name="_qre8494">[41]Model!$M$126</definedName>
    <definedName name="_qre8495">[41]Model!$N$126</definedName>
    <definedName name="_qre8496">[41]Model!$O$126</definedName>
    <definedName name="_qre8497">[41]Model!$P$126</definedName>
    <definedName name="_qre8498">[41]Model!$Q$126</definedName>
    <definedName name="_qre85">'[41]QRE''s'!$E:$E</definedName>
    <definedName name="_qre8590">[41]Model!$I$127</definedName>
    <definedName name="_qre8591">[41]Model!$J$127</definedName>
    <definedName name="_qre8592">[41]Model!$K$127</definedName>
    <definedName name="_qre8593">[41]Model!$L$127</definedName>
    <definedName name="_qre8594">[41]Model!$M$127</definedName>
    <definedName name="_qre8595">[41]Model!$N$127</definedName>
    <definedName name="_qre8596">[41]Model!$O$127</definedName>
    <definedName name="_qre8597">[41]Model!$P$127</definedName>
    <definedName name="_qre8598">[41]Model!$Q$127</definedName>
    <definedName name="_qre86">'[41]QRE''s'!$F:$F</definedName>
    <definedName name="_qre8690">[41]Model!$I$128</definedName>
    <definedName name="_qre8691">[41]Model!$J$128</definedName>
    <definedName name="_qre8692">[41]Model!$K$128</definedName>
    <definedName name="_qre8693">[41]Model!$L$128</definedName>
    <definedName name="_qre8694">[41]Model!$M$128</definedName>
    <definedName name="_qre8695">[41]Model!$N$128</definedName>
    <definedName name="_qre8696">[41]Model!$O$128</definedName>
    <definedName name="_qre8697">[41]Model!$P$128</definedName>
    <definedName name="_qre8698">[41]Model!$Q$128</definedName>
    <definedName name="_qre87">'[41]QRE''s'!$G:$G</definedName>
    <definedName name="_qre8790">[41]Model!$I$129</definedName>
    <definedName name="_qre8791">[41]Model!$J$129</definedName>
    <definedName name="_qre8792">[41]Model!$K$129</definedName>
    <definedName name="_qre8793">[41]Model!$L$129</definedName>
    <definedName name="_qre8794">[41]Model!$M$129</definedName>
    <definedName name="_qre8795">[41]Model!$N$129</definedName>
    <definedName name="_qre8796">[41]Model!$O$129</definedName>
    <definedName name="_qre8797">[41]Model!$P$129</definedName>
    <definedName name="_qre8798">[41]Model!$Q$129</definedName>
    <definedName name="_qre88">'[41]QRE''s'!$H:$H</definedName>
    <definedName name="_qre8890">[41]Model!$I$130</definedName>
    <definedName name="_qre8891">[41]Model!$J$130</definedName>
    <definedName name="_qre8892">[41]Model!$K$130</definedName>
    <definedName name="_qre8893">[41]Model!$L$130</definedName>
    <definedName name="_qre8894">[41]Model!$M$130</definedName>
    <definedName name="_qre8895">[41]Model!$N$130</definedName>
    <definedName name="_qre8896">[41]Model!$O$130</definedName>
    <definedName name="_qre8897">[41]Model!$P$130</definedName>
    <definedName name="_qre8898">[41]Model!$Q$130</definedName>
    <definedName name="_qre89">'[41]QRE''s'!$I:$I</definedName>
    <definedName name="_qre90">'[41]QRE''s'!$J:$J</definedName>
    <definedName name="_qre91">'[41]QRE''s'!$K:$K</definedName>
    <definedName name="_qre92">'[41]QRE''s'!$L:$L</definedName>
    <definedName name="_qre93">'[41]QRE''s'!$M:$M</definedName>
    <definedName name="_qre94">'[41]QRE''s'!$N:$N</definedName>
    <definedName name="_qre95">'[41]QRE''s'!$O:$O</definedName>
    <definedName name="_qre96">'[41]QRE''s'!$P:$P</definedName>
    <definedName name="_qre97">'[41]QRE''s'!$Q:$Q</definedName>
    <definedName name="_qre98">'[41]QRE''s'!$R:$R</definedName>
    <definedName name="_rb1">[45]Roadmap!$B$136</definedName>
    <definedName name="_rb2">[45]Roadmap!$B$137</definedName>
    <definedName name="_RBD1">#REF!</definedName>
    <definedName name="_RBD2">#REF!</definedName>
    <definedName name="_reg4">[44]Sheet2!$AF$1:$AF$3</definedName>
    <definedName name="_RMC2">'[18]RMC-Descrip'!#REF!</definedName>
    <definedName name="_ryr56565" hidden="1">{#N/A,#N/A,FALSE,"Monthly SAIFI";#N/A,#N/A,FALSE,"Yearly SAIFI";#N/A,#N/A,FALSE,"Monthly CAIDI";#N/A,#N/A,FALSE,"Yearly CAIDI";#N/A,#N/A,FALSE,"Monthly SAIDI";#N/A,#N/A,FALSE,"Yearly SAIDI";#N/A,#N/A,FALSE,"Monthly MAIFI";#N/A,#N/A,FALSE,"Yearly MAIFI";#N/A,#N/A,FALSE,"Monthly Cust &gt;=4 Int"}</definedName>
    <definedName name="_SF3">#REF!</definedName>
    <definedName name="_Sort" hidden="1">#REF!</definedName>
    <definedName name="_td01">'[19]WPC-11.1a'!$J$115</definedName>
    <definedName name="_td02">'[19]WPC-11.1a'!$J$86</definedName>
    <definedName name="_td03">'[19]WPC-11.1a'!$J$57</definedName>
    <definedName name="_td04">'[20]WPC-11.1a'!$J$26</definedName>
    <definedName name="_TDG01">'[19]WPC-11.1a'!$H$123</definedName>
    <definedName name="_TDG02">'[19]WPC-11.1a'!$H$94</definedName>
    <definedName name="_TDG03">'[19]WPC-11.1a'!$H$65</definedName>
    <definedName name="_TDG04">'[19]WPC-11.1a'!$H$36</definedName>
    <definedName name="_tqc90">'[41]QRE''s'!$J$101</definedName>
    <definedName name="_tqc91">'[41]QRE''s'!$K$101</definedName>
    <definedName name="_tqc92">'[41]QRE''s'!$L$101</definedName>
    <definedName name="_tqc93">'[41]QRE''s'!$M$101</definedName>
    <definedName name="_tqc94">'[41]QRE''s'!$N$101</definedName>
    <definedName name="_tqc95">'[41]QRE''s'!$O$101</definedName>
    <definedName name="_tqc96">'[41]QRE''s'!$P$101</definedName>
    <definedName name="_tqc97">'[41]QRE''s'!$Q$101</definedName>
    <definedName name="_tqc98">'[41]QRE''s'!$R$101</definedName>
    <definedName name="_tql90">'[41]QRE''s'!$J$99</definedName>
    <definedName name="_tql91">'[41]QRE''s'!$K$99</definedName>
    <definedName name="_tql92">'[41]QRE''s'!$L$99</definedName>
    <definedName name="_tql93">'[41]QRE''s'!$M$99</definedName>
    <definedName name="_tql94">'[41]QRE''s'!$N$99</definedName>
    <definedName name="_tql95">'[41]QRE''s'!$O$99</definedName>
    <definedName name="_tql96">'[41]QRE''s'!$P$99</definedName>
    <definedName name="_tql97">'[41]QRE''s'!$Q$99</definedName>
    <definedName name="_tql98">'[41]QRE''s'!$R$99</definedName>
    <definedName name="_tqs90">'[41]QRE''s'!$J$100</definedName>
    <definedName name="_tqs91">'[41]QRE''s'!$K$100</definedName>
    <definedName name="_tqs92">'[41]QRE''s'!$L$100</definedName>
    <definedName name="_tqs93">'[41]QRE''s'!$M$100</definedName>
    <definedName name="_tqs94">'[41]QRE''s'!$N$100</definedName>
    <definedName name="_tqs95">'[41]QRE''s'!$O$100</definedName>
    <definedName name="_tqs96">'[41]QRE''s'!$P$100</definedName>
    <definedName name="_tqs97">'[41]QRE''s'!$Q$100</definedName>
    <definedName name="_tqs98">'[41]QRE''s'!$R$100</definedName>
    <definedName name="_WORLDOX">#REF!</definedName>
    <definedName name="a" hidden="1">{#N/A,#N/A,FALSE,"Monthly SAIFI";#N/A,#N/A,FALSE,"Yearly SAIFI";#N/A,#N/A,FALSE,"Monthly CAIDI";#N/A,#N/A,FALSE,"Yearly CAIDI";#N/A,#N/A,FALSE,"Monthly SAIDI";#N/A,#N/A,FALSE,"Yearly SAIDI";#N/A,#N/A,FALSE,"Monthly MAIFI";#N/A,#N/A,FALSE,"Yearly MAIFI";#N/A,#N/A,FALSE,"Monthly Cust &gt;=4 Int"}</definedName>
    <definedName name="aa">#REF!</definedName>
    <definedName name="AAL">#REF!</definedName>
    <definedName name="AALDR">#REF!</definedName>
    <definedName name="AALSAP">#REF!</definedName>
    <definedName name="aashitii">'[47]2005 CapEx (By VP By Dept) Budg'!$A$3:$P$431</definedName>
    <definedName name="ac" hidden="1">{#N/A,#N/A,FALSE,"Monthly SAIFI";#N/A,#N/A,FALSE,"Yearly SAIFI";#N/A,#N/A,FALSE,"Monthly CAIDI";#N/A,#N/A,FALSE,"Yearly CAIDI";#N/A,#N/A,FALSE,"Monthly SAIDI";#N/A,#N/A,FALSE,"Yearly SAIDI";#N/A,#N/A,FALSE,"Monthly MAIFI";#N/A,#N/A,FALSE,"Yearly MAIFI";#N/A,#N/A,FALSE,"Monthly Cust &gt;=4 Int"}</definedName>
    <definedName name="Account_name">[48]FLAP!#REF!</definedName>
    <definedName name="Account_Number">[48]FLAP!#REF!</definedName>
    <definedName name="Accounts">#REF!</definedName>
    <definedName name="ACCTG_SERV">#REF!</definedName>
    <definedName name="ACTUAL_YTD">[49]Administrator!$L$60</definedName>
    <definedName name="acx" hidden="1">{#N/A,#N/A,FALSE,"Monthly SAIFI";#N/A,#N/A,FALSE,"Yearly SAIFI";#N/A,#N/A,FALSE,"Monthly CAIDI";#N/A,#N/A,FALSE,"Yearly CAIDI";#N/A,#N/A,FALSE,"Monthly SAIDI";#N/A,#N/A,FALSE,"Yearly SAIDI";#N/A,#N/A,FALSE,"Monthly MAIFI";#N/A,#N/A,FALSE,"Yearly MAIFI";#N/A,#N/A,FALSE,"Monthly Cust &gt;=4 Int"}</definedName>
    <definedName name="Address">#REF!</definedName>
    <definedName name="adfsadfds" hidden="1">{#N/A,#N/A,FALSE,"Monthly SAIFI";#N/A,#N/A,FALSE,"Yearly SAIFI";#N/A,#N/A,FALSE,"Monthly CAIDI";#N/A,#N/A,FALSE,"Yearly CAIDI";#N/A,#N/A,FALSE,"Monthly SAIDI";#N/A,#N/A,FALSE,"Yearly SAIDI";#N/A,#N/A,FALSE,"Monthly MAIFI";#N/A,#N/A,FALSE,"Yearly MAIFI";#N/A,#N/A,FALSE,"Monthly Cust &gt;=4 Int"}</definedName>
    <definedName name="af">'[50]WPC-11.1a'!#REF!</definedName>
    <definedName name="afds">[51]Roadmap!$B$226</definedName>
    <definedName name="afdsE">[52]Roadmap!$B$226</definedName>
    <definedName name="afE">'[53]WPC-11.1a'!#REF!</definedName>
    <definedName name="AIP" hidden="1">{#N/A,#N/A,FALSE,"Monthly SAIFI";#N/A,#N/A,FALSE,"Yearly SAIFI";#N/A,#N/A,FALSE,"Monthly CAIDI";#N/A,#N/A,FALSE,"Yearly CAIDI";#N/A,#N/A,FALSE,"Monthly SAIDI";#N/A,#N/A,FALSE,"Yearly SAIDI";#N/A,#N/A,FALSE,"Monthly MAIFI";#N/A,#N/A,FALSE,"Yearly MAIFI";#N/A,#N/A,FALSE,"Monthly Cust &gt;=4 Int"}</definedName>
    <definedName name="aircgrtm1">[41]AIRC!#REF!</definedName>
    <definedName name="aircgrtm2">[41]AIRC!#REF!</definedName>
    <definedName name="aircgrtm3">[41]AIRC!#REF!</definedName>
    <definedName name="aircgrtm4">[41]AIRC!#REF!</definedName>
    <definedName name="aircqre">[41]AIRC!$C$15</definedName>
    <definedName name="aircqrelabel">[41]AIRC!$B$15</definedName>
    <definedName name="airctitle">[41]AIRC!$A$1</definedName>
    <definedName name="airctm1">[41]AIRC!#REF!</definedName>
    <definedName name="airctm2">[41]AIRC!#REF!</definedName>
    <definedName name="airctm3">[41]AIRC!#REF!</definedName>
    <definedName name="airctm4">[41]AIRC!#REF!</definedName>
    <definedName name="ALERT1">#REF!</definedName>
    <definedName name="ALERT2">#REF!</definedName>
    <definedName name="ALERT3">#REF!</definedName>
    <definedName name="all">#REF!</definedName>
    <definedName name="ALL_ACCRUALS">#REF!</definedName>
    <definedName name="ALL_PAYMENTS">#REF!</definedName>
    <definedName name="ALL_QRES">[41]Sens_QRE_Factor!$D$8:$R$98</definedName>
    <definedName name="ALL_QRES0.75">'[41]QRE Charts'!$E$365</definedName>
    <definedName name="ALL_QRES0.80">'[41]QRE Charts'!$F$365</definedName>
    <definedName name="ALL_QRES0.85">'[41]QRE Charts'!$G$365</definedName>
    <definedName name="ALL_QRES0.90">'[41]QRE Charts'!$H$365</definedName>
    <definedName name="ALL_QRES0.95">'[41]QRE Charts'!$I$365</definedName>
    <definedName name="ALL_QRES1.00">'[41]QRE Charts'!$J$365</definedName>
    <definedName name="ALL_QRES1.05">'[41]QRE Charts'!$K$365</definedName>
    <definedName name="ALL_QRES1.10">'[41]QRE Charts'!$L$365</definedName>
    <definedName name="ALL_QRES1.15">'[41]QRE Charts'!$M$365</definedName>
    <definedName name="ALL_QRES1.20">'[41]QRE Charts'!$N$365</definedName>
    <definedName name="ALL_QRES1.25">'[41]QRE Charts'!$O$365</definedName>
    <definedName name="ALL_SENS_FACT">#REF!</definedName>
    <definedName name="Allocation">'[18]2005-SR-AllocFactors'!$B$6:$F$2461</definedName>
    <definedName name="AllocationE">'[11]2005-SR-AllocFactors'!$B$6:$F$2461</definedName>
    <definedName name="Allocators">'[54]Allocation Matrix'!$C$4:$Q$17</definedName>
    <definedName name="ALLYRS_MESSAGE">#REF!</definedName>
    <definedName name="alsdfa" hidden="1">{#N/A,#N/A,FALSE,"Monthly SAIFI";#N/A,#N/A,FALSE,"Yearly SAIFI";#N/A,#N/A,FALSE,"Monthly CAIDI";#N/A,#N/A,FALSE,"Yearly CAIDI";#N/A,#N/A,FALSE,"Monthly SAIDI";#N/A,#N/A,FALSE,"Yearly SAIDI";#N/A,#N/A,FALSE,"Monthly MAIFI";#N/A,#N/A,FALSE,"Yearly MAIFI";#N/A,#N/A,FALSE,"Monthly Cust &gt;=4 Int"}</definedName>
    <definedName name="AmerenCIPS">'[55]C - 17c'!#REF!</definedName>
    <definedName name="AmerenCIPSE">'[56]C - 17c'!#REF!</definedName>
    <definedName name="Amounts">#REF!</definedName>
    <definedName name="anish">#REF!</definedName>
    <definedName name="anish21212">#REF!</definedName>
    <definedName name="anisha2157">'[47]2005 CapEx (By VP By Dept) Budg'!$A$3:$P$431</definedName>
    <definedName name="anisha216">'[47]2005 CapEx (By VP By Dept) Budg'!$A$3:$P$431</definedName>
    <definedName name="anishhh">'[47]2005 CapEx (By VP By Dept) Budg'!$A$3:$P$431</definedName>
    <definedName name="anishilov">'[47]2005 CapEx (By VP By Dept) Budg'!$A$3:$P$431</definedName>
    <definedName name="ANT">#REF!</definedName>
    <definedName name="APA">'[57]PECO Bal Sht'!#REF!</definedName>
    <definedName name="ApprvDate">#REF!</definedName>
    <definedName name="ApprvEmplNbr">#REF!</definedName>
    <definedName name="Apr">#REF!</definedName>
    <definedName name="APV">#REF!</definedName>
    <definedName name="Area">'[58]all EED O&amp;M BO data'!$W$2:$W$5000</definedName>
    <definedName name="as">'[47]2005 CapEx (By VP By Dept) Budg'!$A$3:$P$395</definedName>
    <definedName name="AS2DocOpenMode" hidden="1">"AS2DocumentEdit"</definedName>
    <definedName name="asasasas">'[47]2005 CapEx (By VP By Dept) Budg'!$A$3:$P$431</definedName>
    <definedName name="ASD">'[57]PECO Bal Sht'!#REF!</definedName>
    <definedName name="asdada">#REF!</definedName>
    <definedName name="asdasd">'[47]2005 CapEx (By VP By Dept) Budg'!$A$3:$P$431</definedName>
    <definedName name="asdasda">#REF!</definedName>
    <definedName name="asdf" hidden="1">{#N/A,#N/A,FALSE,"Monthly SAIFI";#N/A,#N/A,FALSE,"Yearly SAIFI";#N/A,#N/A,FALSE,"Monthly CAIDI";#N/A,#N/A,FALSE,"Yearly CAIDI";#N/A,#N/A,FALSE,"Monthly SAIDI";#N/A,#N/A,FALSE,"Yearly SAIDI";#N/A,#N/A,FALSE,"Monthly MAIFI";#N/A,#N/A,FALSE,"Yearly MAIFI";#N/A,#N/A,FALSE,"Monthly Cust &gt;=4 Int"}</definedName>
    <definedName name="asdfasdfasdfasdfsdfa" hidden="1">{#N/A,#N/A,FALSE,"Monthly SAIFI";#N/A,#N/A,FALSE,"Yearly SAIFI";#N/A,#N/A,FALSE,"Monthly CAIDI";#N/A,#N/A,FALSE,"Yearly CAIDI";#N/A,#N/A,FALSE,"Monthly SAIDI";#N/A,#N/A,FALSE,"Yearly SAIDI";#N/A,#N/A,FALSE,"Monthly MAIFI";#N/A,#N/A,FALSE,"Yearly MAIFI";#N/A,#N/A,FALSE,"Monthly Cust &gt;=4 Int"}</definedName>
    <definedName name="asdfasfasf">#REF!</definedName>
    <definedName name="asdfsd">#REF!</definedName>
    <definedName name="asdfsdf">'[47]2005 CapEx (By VP By Dept) Budg'!$A$3:$P$431</definedName>
    <definedName name="asdfsdfsadfs">'[47]2005 CapEx (By VP By Dept) Budg'!$A$3:$P$431</definedName>
    <definedName name="asfas">#REF!</definedName>
    <definedName name="asfasdfasfasfsadf">#REF!</definedName>
    <definedName name="asfsdfsdfsdfsfwer">#REF!</definedName>
    <definedName name="asfsdfsfs">#REF!</definedName>
    <definedName name="asfsft">#REF!</definedName>
    <definedName name="asgdfsjgfdk1">'[47]2005 CapEx (By VP By Dept) Budg'!$A$3:$P$431</definedName>
    <definedName name="ashaita" hidden="1">{#N/A,#N/A,FALSE,"Monthly SAIFI";#N/A,#N/A,FALSE,"Yearly SAIFI";#N/A,#N/A,FALSE,"Monthly CAIDI";#N/A,#N/A,FALSE,"Yearly CAIDI";#N/A,#N/A,FALSE,"Monthly SAIDI";#N/A,#N/A,FALSE,"Yearly SAIDI";#N/A,#N/A,FALSE,"Monthly MAIFI";#N/A,#N/A,FALSE,"Yearly MAIFI";#N/A,#N/A,FALSE,"Monthly Cust &gt;=4 Int"}</definedName>
    <definedName name="ashhhjjjjjj">'[47]2005 CapEx (By VP By Dept) Budg'!$A$3:$P$431</definedName>
    <definedName name="ashi21">'[47]2005 CapEx (By VP By Dept) Budg'!$A$3:$P$431</definedName>
    <definedName name="ashia">#REF!</definedName>
    <definedName name="ashita">#REF!</definedName>
    <definedName name="ashita216">'[47]2005 CapEx (By VP By Dept) Budg'!$A$3:$P$431</definedName>
    <definedName name="ASO_SUMMARY">#REF!</definedName>
    <definedName name="AsOfDt">'[59]#REF'!$B$2</definedName>
    <definedName name="ASPGE">#REF!</definedName>
    <definedName name="ASPINTAN">#REF!</definedName>
    <definedName name="asrada">#REF!</definedName>
    <definedName name="assd" hidden="1">{#N/A,#N/A,FALSE,"Monthly SAIFI";#N/A,#N/A,FALSE,"Yearly SAIFI";#N/A,#N/A,FALSE,"Monthly CAIDI";#N/A,#N/A,FALSE,"Yearly CAIDI";#N/A,#N/A,FALSE,"Monthly SAIDI";#N/A,#N/A,FALSE,"Yearly SAIDI";#N/A,#N/A,FALSE,"Monthly MAIFI";#N/A,#N/A,FALSE,"Yearly MAIFI";#N/A,#N/A,FALSE,"Monthly Cust &gt;=4 Int"}</definedName>
    <definedName name="Asset_Management">#REF!</definedName>
    <definedName name="Asset_Management_">#REF!</definedName>
    <definedName name="AuditDescr">#REF!</definedName>
    <definedName name="Aug">#REF!</definedName>
    <definedName name="b" hidden="1">{#N/A,#N/A,FALSE,"Monthly SAIFI";#N/A,#N/A,FALSE,"Yearly SAIFI";#N/A,#N/A,FALSE,"Monthly CAIDI";#N/A,#N/A,FALSE,"Yearly CAIDI";#N/A,#N/A,FALSE,"Monthly SAIDI";#N/A,#N/A,FALSE,"Yearly SAIDI";#N/A,#N/A,FALSE,"Monthly MAIFI";#N/A,#N/A,FALSE,"Yearly MAIFI";#N/A,#N/A,FALSE,"Monthly Cust &gt;=4 Int"}</definedName>
    <definedName name="b_u_10">'[41]QRE''s'!$39:$94</definedName>
    <definedName name="b_u_11">'[41]QRE''s'!$43:$94</definedName>
    <definedName name="b_u_12">'[41]QRE''s'!$47:$94</definedName>
    <definedName name="b_u_13">'[41]QRE''s'!$51:$94</definedName>
    <definedName name="b_u_14">'[41]QRE''s'!$55:$94</definedName>
    <definedName name="b_u_15">'[41]QRE''s'!$59:$94</definedName>
    <definedName name="b_u_16">'[41]QRE''s'!$63:$94</definedName>
    <definedName name="b_u_17">'[41]QRE''s'!$67:$94</definedName>
    <definedName name="b_u_18">'[41]QRE''s'!$71:$94</definedName>
    <definedName name="b_u_19">'[41]QRE''s'!$75:$94</definedName>
    <definedName name="b_u_2">'[41]QRE''s'!$11:$94</definedName>
    <definedName name="b_u_20">'[41]QRE''s'!$79:$94</definedName>
    <definedName name="b_u_21">'[41]QRE''s'!$83:$94</definedName>
    <definedName name="b_u_22">'[41]QRE''s'!$87:$94</definedName>
    <definedName name="b_u_23">'[41]QRE''s'!$91:$94</definedName>
    <definedName name="b_u_3">'[41]QRE''s'!$11:$94</definedName>
    <definedName name="b_u_4">'[41]QRE''s'!$15:$94</definedName>
    <definedName name="b_u_5">'[41]QRE''s'!$19:$94</definedName>
    <definedName name="b_u_6">'[41]QRE''s'!$23:$94</definedName>
    <definedName name="b_u_7">'[41]QRE''s'!$27:$94</definedName>
    <definedName name="b_u_8">'[41]QRE''s'!$31:$94</definedName>
    <definedName name="b_u_9">'[41]QRE''s'!$35:$94</definedName>
    <definedName name="Balance_Sheet_Date">[60]Update!$B$3</definedName>
    <definedName name="Balance_Sheet_Heading">[60]Update!$B$4</definedName>
    <definedName name="BalSht">#REF!</definedName>
    <definedName name="BalShtE">#REF!</definedName>
    <definedName name="bankidrange">[61]Control!$AI$5:$AI$284</definedName>
    <definedName name="BASE_DETAIL_QRE">[41]Sens_QRE_Factor!$D$8:$H$98</definedName>
    <definedName name="BASE_MESSAGE">#REF!</definedName>
    <definedName name="BASE_QRES">[41]Sens_QRE_Factor!$D$8:$H$98</definedName>
    <definedName name="BASE_QRES0.75">'[41]QRE Charts'!$E$366</definedName>
    <definedName name="BASE_QRES0.80">'[41]QRE Charts'!$F$366</definedName>
    <definedName name="BASE_QRES0.85">'[41]QRE Charts'!$G$366</definedName>
    <definedName name="BASE_QRES0.90">'[41]QRE Charts'!$H$366</definedName>
    <definedName name="BASE_QRES0.95">'[41]QRE Charts'!$I$366</definedName>
    <definedName name="BASE_QRES1.00">'[41]QRE Charts'!$J$366</definedName>
    <definedName name="BASE_QRES1.05">'[41]QRE Charts'!$K$366</definedName>
    <definedName name="BASE_QRES1.10">'[41]QRE Charts'!$L$366</definedName>
    <definedName name="BASE_QRES1.15">'[41]QRE Charts'!$M$366</definedName>
    <definedName name="BASE_QRES1.20">'[41]QRE Charts'!$N$366</definedName>
    <definedName name="BASE_QRES1.25">'[41]QRE Charts'!$O$366</definedName>
    <definedName name="BASE_SENS_FACT">#REF!</definedName>
    <definedName name="Baseline">'[62]Valid Table Values'!#REF!</definedName>
    <definedName name="bcbcvb">'[47]2005 CapEx (By VP By Dept) Budg'!$A$3:$P$431</definedName>
    <definedName name="beny" hidden="1">{#N/A,#N/A,FALSE,"Monthly SAIFI";#N/A,#N/A,FALSE,"Yearly SAIFI";#N/A,#N/A,FALSE,"Monthly CAIDI";#N/A,#N/A,FALSE,"Yearly CAIDI";#N/A,#N/A,FALSE,"Monthly SAIDI";#N/A,#N/A,FALSE,"Yearly SAIDI";#N/A,#N/A,FALSE,"Monthly MAIFI";#N/A,#N/A,FALSE,"Yearly MAIFI";#N/A,#N/A,FALSE,"Monthly Cust &gt;=4 Int"}</definedName>
    <definedName name="Bi10LTIP_Table">'[63]98LTIP6b-10b'!$A$7:$D$17</definedName>
    <definedName name="booka_g">#REF!</definedName>
    <definedName name="bpgr84">[41]Print!$C$48</definedName>
    <definedName name="bpgr85">[41]Print!$E$48</definedName>
    <definedName name="bpgr86">[41]Print!$G$48</definedName>
    <definedName name="bpgr87">[41]Print!$I$48</definedName>
    <definedName name="bpgr88">[41]Print!$K$48</definedName>
    <definedName name="bpqre84">[41]Print!$C$41</definedName>
    <definedName name="bpqre85">[41]Print!$E$41</definedName>
    <definedName name="bpqre86">[41]Print!$G$41</definedName>
    <definedName name="bpqre87">[41]Print!$I$41</definedName>
    <definedName name="bpqre88">[41]Print!$K$41</definedName>
    <definedName name="Brett041">'[47]2005 CapEx (By VP By Dept) Budg'!$A$3:$P$431</definedName>
    <definedName name="Brett0415">'[47]2005 CapEx (By VP By Dept) Budg'!$A$3:$P$431</definedName>
    <definedName name="Brett0416">#REF!</definedName>
    <definedName name="Brett042">#REF!</definedName>
    <definedName name="brett0420">'[47]2005 CapEx (By VP By Dept) Budg'!$A$3:$P$431</definedName>
    <definedName name="brett0421">#REF!</definedName>
    <definedName name="Brett0422">'[47]2005 CapEx (By VP By Dept) Budg'!$A$3:$P$431</definedName>
    <definedName name="Brett0423">#REF!</definedName>
    <definedName name="Brett0601">'[47]2005 CapEx (By VP By Dept) Budg'!$A$3:$P$431</definedName>
    <definedName name="Brett0602">#REF!</definedName>
    <definedName name="Brett403">'[47]2005 CapEx (By VP By Dept) Budg'!$A$3:$P$431</definedName>
    <definedName name="Brett404">#REF!</definedName>
    <definedName name="Brett406">'[47]2005 CapEx (By VP By Dept) Budg'!$A$3:$P$431</definedName>
    <definedName name="Brett407">#REF!</definedName>
    <definedName name="Brett408">'[47]2005 CapEx (By VP By Dept) Budg'!$A$3:$P$431</definedName>
    <definedName name="Brett409">#REF!</definedName>
    <definedName name="Brett410">'[47]2005 CapEx (By VP By Dept) Budg'!$A$3:$P$431</definedName>
    <definedName name="Brett411">#REF!</definedName>
    <definedName name="Brett418">'[47]2005 CapEx (By VP By Dept) Budg'!$A$3:$P$431</definedName>
    <definedName name="Brett419">#REF!</definedName>
    <definedName name="BSYEAREND">[64]SETUP!$C$21</definedName>
    <definedName name="bu10total84">[41]B_U_10!$C$95</definedName>
    <definedName name="bu10total84a">[41]B_U_10!$C$103</definedName>
    <definedName name="bu10total85">[41]B_U_10!$D$95</definedName>
    <definedName name="bu10total85a">[41]B_U_10!$D$103</definedName>
    <definedName name="bu10total86">[41]B_U_10!$E$95</definedName>
    <definedName name="bu10total86a">[41]B_U_10!$E$103</definedName>
    <definedName name="bu10total87">[41]B_U_10!$F$95</definedName>
    <definedName name="bu10total87a">[41]B_U_10!$F$103</definedName>
    <definedName name="bu10total88">[41]B_U_10!$G$95</definedName>
    <definedName name="bu10total88a">[41]B_U_10!$G$103</definedName>
    <definedName name="bu10total89">[41]B_U_10!$H$95</definedName>
    <definedName name="bu10total89a">[41]B_U_10!$H$103</definedName>
    <definedName name="bu10total90">[41]B_U_10!$I$95</definedName>
    <definedName name="bu10total90a">[41]B_U_10!$I$103</definedName>
    <definedName name="bu10total91">[41]B_U_10!$J$95</definedName>
    <definedName name="bu10total91a">[41]B_U_10!$J$103</definedName>
    <definedName name="bu10total92">[41]B_U_10!$K$95</definedName>
    <definedName name="bu10total92a">[41]B_U_10!$K$103</definedName>
    <definedName name="bu10total93">[41]B_U_10!$L$95</definedName>
    <definedName name="bu10total93a">[41]B_U_10!$L$103</definedName>
    <definedName name="bu10total94">[41]B_U_10!$M$95</definedName>
    <definedName name="bu10total94a">[41]B_U_10!$M$103</definedName>
    <definedName name="bu10total95">[41]B_U_10!$N$95</definedName>
    <definedName name="bu10total95a">[41]B_U_10!$N$103</definedName>
    <definedName name="bu10total96">[41]B_U_10!$O$95</definedName>
    <definedName name="bu10total96a">[41]B_U_10!$O$103</definedName>
    <definedName name="bu10total97">[41]B_U_10!$P$95</definedName>
    <definedName name="bu10total97a">[41]B_U_10!$P$103</definedName>
    <definedName name="bu10total98">[41]B_U_10!$Q$95</definedName>
    <definedName name="bu10total98a">[41]B_U_10!$Q$103</definedName>
    <definedName name="bu11total84">[41]B_U_11!$C$95</definedName>
    <definedName name="bu11total84a">[41]B_U_11!$C$103</definedName>
    <definedName name="bu11total85">[41]B_U_11!$D$95</definedName>
    <definedName name="bu11total85a">[41]B_U_11!$D$103</definedName>
    <definedName name="bu11total86">[41]B_U_11!$E$95</definedName>
    <definedName name="bu11total86a">[41]B_U_11!$E$103</definedName>
    <definedName name="bu11total87">[41]B_U_11!$F$95</definedName>
    <definedName name="bu11total87a">[41]B_U_11!$F$103</definedName>
    <definedName name="bu11total88">[41]B_U_11!$G$95</definedName>
    <definedName name="bu11total88a">[41]B_U_11!$G$103</definedName>
    <definedName name="bu11total89">[41]B_U_11!$H$95</definedName>
    <definedName name="bu11total89a">[41]B_U_11!$H$103</definedName>
    <definedName name="bu11total90">[41]B_U_11!$I$95</definedName>
    <definedName name="bu11total90a">[41]B_U_11!$I$103</definedName>
    <definedName name="bu11total91">[41]B_U_11!$J$95</definedName>
    <definedName name="bu11total91a">[41]B_U_11!$J$103</definedName>
    <definedName name="bu11total92">[41]B_U_11!$K$95</definedName>
    <definedName name="bu11total92a">[41]B_U_11!$K$103</definedName>
    <definedName name="bu11total93">[41]B_U_11!$L$95</definedName>
    <definedName name="bu11total93a">[41]B_U_11!$L$103</definedName>
    <definedName name="bu11total94">[41]B_U_11!$M$95</definedName>
    <definedName name="bu11total94a">[41]B_U_11!$M$103</definedName>
    <definedName name="bu11total95">[41]B_U_11!$N$95</definedName>
    <definedName name="bu11total95a">[41]B_U_11!$N$103</definedName>
    <definedName name="bu11total96">[41]B_U_11!$O$95</definedName>
    <definedName name="bu11total96a">[41]B_U_11!$O$103</definedName>
    <definedName name="bu11total97">[41]B_U_11!$P$95</definedName>
    <definedName name="bu11total97a">[41]B_U_11!$P$103</definedName>
    <definedName name="bu11total98">[41]B_U_11!$Q$95</definedName>
    <definedName name="bu11total98a">[41]B_U_11!$Q$103</definedName>
    <definedName name="bu12total84">[41]B_U_12!$C$95</definedName>
    <definedName name="bu12total84a">[41]B_U_12!$C$103</definedName>
    <definedName name="bu12total85">[41]B_U_12!$D$95</definedName>
    <definedName name="bu12total85a">[41]B_U_12!$D$103</definedName>
    <definedName name="bu12total86">[41]B_U_12!$E$95</definedName>
    <definedName name="bu12total86a">[41]B_U_12!$E$103</definedName>
    <definedName name="bu12total87">[41]B_U_12!$F$95</definedName>
    <definedName name="bu12total87a">[41]B_U_12!$F$103</definedName>
    <definedName name="bu12total88">[41]B_U_12!$G$95</definedName>
    <definedName name="bu12total88a">[41]B_U_12!$G$103</definedName>
    <definedName name="bu12total89">[41]B_U_12!$H$95</definedName>
    <definedName name="bu12total89a">[41]B_U_12!$H$103</definedName>
    <definedName name="bu12total90">[41]B_U_12!$I$95</definedName>
    <definedName name="bu12total90a">[41]B_U_12!$I$103</definedName>
    <definedName name="bu12total91">[41]B_U_12!$J$95</definedName>
    <definedName name="bu12total91a">[41]B_U_12!$J$103</definedName>
    <definedName name="bu12total92">[41]B_U_12!$K$95</definedName>
    <definedName name="bu12total92a">[41]B_U_12!$K$103</definedName>
    <definedName name="bu12total93">[41]B_U_12!$L$95</definedName>
    <definedName name="bu12total93a">[41]B_U_12!$L$103</definedName>
    <definedName name="bu12total94">[41]B_U_12!$M$95</definedName>
    <definedName name="bu12total94a">[41]B_U_12!$M$103</definedName>
    <definedName name="bu12total95">[41]B_U_12!$N$95</definedName>
    <definedName name="bu12total95a">[41]B_U_12!$N$103</definedName>
    <definedName name="bu12total96">[41]B_U_12!$O$95</definedName>
    <definedName name="bu12total96a">[41]B_U_12!$O$103</definedName>
    <definedName name="bu12total97">[41]B_U_12!$P$95</definedName>
    <definedName name="bu12total97a">[41]B_U_12!$P$103</definedName>
    <definedName name="bu12total98">[41]B_U_12!$Q$95</definedName>
    <definedName name="bu12total98a">[41]B_U_12!$Q$103</definedName>
    <definedName name="bu13total84">[41]B_U_13!$C$95</definedName>
    <definedName name="bu13total84a">[41]B_U_13!$C$103</definedName>
    <definedName name="bu13total85">[41]B_U_13!$D$95</definedName>
    <definedName name="bu13total85a">[41]B_U_13!$D$103</definedName>
    <definedName name="bu13total86">[41]B_U_13!$E$95</definedName>
    <definedName name="bu13total86a">[41]B_U_13!$E$103</definedName>
    <definedName name="bu13total87">[41]B_U_13!$F$95</definedName>
    <definedName name="bu13total87a">[41]B_U_13!$F$103</definedName>
    <definedName name="bu13total88">[41]B_U_13!$G$95</definedName>
    <definedName name="bu13total88a">[41]B_U_13!$G$103</definedName>
    <definedName name="bu13total89">[41]B_U_13!$H$95</definedName>
    <definedName name="bu13total89a">[41]B_U_13!$H$103</definedName>
    <definedName name="bu13total90">[41]B_U_13!$I$95</definedName>
    <definedName name="bu13total90a">[41]B_U_13!$I$103</definedName>
    <definedName name="bu13total91">[41]B_U_13!$J$95</definedName>
    <definedName name="bu13total91a">[41]B_U_13!$J$103</definedName>
    <definedName name="bu13total92">[41]B_U_13!$K$95</definedName>
    <definedName name="bu13total92a">[41]B_U_13!$K$103</definedName>
    <definedName name="bu13total93">[41]B_U_13!$L$95</definedName>
    <definedName name="bu13total93a">[41]B_U_13!$L$103</definedName>
    <definedName name="bu13total94">[41]B_U_13!$M$95</definedName>
    <definedName name="bu13total94a">[41]B_U_13!$M$103</definedName>
    <definedName name="bu13total95">[41]B_U_13!$N$95</definedName>
    <definedName name="bu13total95a">[41]B_U_13!$N$103</definedName>
    <definedName name="bu13total96">[41]B_U_13!$O$95</definedName>
    <definedName name="bu13total96a">[41]B_U_13!$O$103</definedName>
    <definedName name="bu13total97">[41]B_U_13!$P$95</definedName>
    <definedName name="bu13total97a">[41]B_U_13!$P$103</definedName>
    <definedName name="bu13total98">[41]B_U_13!$Q$95</definedName>
    <definedName name="bu13total98a">[41]B_U_13!$Q$103</definedName>
    <definedName name="bu14total84">[41]B_U_14!$C$95</definedName>
    <definedName name="bu14total84a">[41]B_U_14!$C$103</definedName>
    <definedName name="bu14total85">[41]B_U_14!$D$95</definedName>
    <definedName name="bu14total85a">[41]B_U_14!$D$103</definedName>
    <definedName name="bu14total86">[41]B_U_14!$E$95</definedName>
    <definedName name="bu14total86a">[41]B_U_14!$E$103</definedName>
    <definedName name="bu14total87">[41]B_U_14!$F$95</definedName>
    <definedName name="bu14total87a">[41]B_U_14!$F$103</definedName>
    <definedName name="bu14total88">[41]B_U_14!$G$95</definedName>
    <definedName name="bu14total88a">[41]B_U_14!$G$103</definedName>
    <definedName name="bu14total89">[41]B_U_14!$H$95</definedName>
    <definedName name="bu14total89a">[41]B_U_14!$H$103</definedName>
    <definedName name="bu14total90">[41]B_U_14!$I$95</definedName>
    <definedName name="bu14total90a">[41]B_U_14!$I$103</definedName>
    <definedName name="bu14total91">[41]B_U_14!$J$95</definedName>
    <definedName name="bu14total91a">[41]B_U_14!$J$103</definedName>
    <definedName name="bu14total92">[41]B_U_14!$K$95</definedName>
    <definedName name="bu14total92a">[41]B_U_14!$K$103</definedName>
    <definedName name="bu14total93">[41]B_U_14!$L$95</definedName>
    <definedName name="bu14total93a">[41]B_U_14!$L$103</definedName>
    <definedName name="bu14total94">[41]B_U_14!$M$95</definedName>
    <definedName name="bu14total94a">[41]B_U_14!$M$103</definedName>
    <definedName name="bu14total95">[41]B_U_14!$N$95</definedName>
    <definedName name="bu14total95a">[41]B_U_14!$N$103</definedName>
    <definedName name="bu14total96">[41]B_U_14!$O$95</definedName>
    <definedName name="bu14total96a">[41]B_U_14!$O$103</definedName>
    <definedName name="bu14total97">[41]B_U_14!$P$95</definedName>
    <definedName name="bu14total97a">[41]B_U_14!$P$103</definedName>
    <definedName name="bu14total98">[41]B_U_14!$Q$95</definedName>
    <definedName name="bu14total98a">[41]B_U_14!$Q$103</definedName>
    <definedName name="bu15total84">[41]B_U_15!$C$95</definedName>
    <definedName name="bu15total84a">[41]B_U_15!$C$103</definedName>
    <definedName name="bu15total85">[41]B_U_15!$D$95</definedName>
    <definedName name="bu15total85a">[41]B_U_15!$D$103</definedName>
    <definedName name="bu15total86">[41]B_U_15!$E$95</definedName>
    <definedName name="bu15total86a">[41]B_U_15!$E$103</definedName>
    <definedName name="bu15total87">[41]B_U_15!$F$95</definedName>
    <definedName name="bu15total87a">[41]B_U_15!$F$103</definedName>
    <definedName name="bu15total88">[41]B_U_15!$G$95</definedName>
    <definedName name="bu15total88a">[41]B_U_15!$G$103</definedName>
    <definedName name="bu15total89">[41]B_U_15!$H$95</definedName>
    <definedName name="bu15total89a">[41]B_U_15!$H$103</definedName>
    <definedName name="bu15total90">[41]B_U_15!$I$95</definedName>
    <definedName name="bu15total90a">[41]B_U_15!$I$103</definedName>
    <definedName name="bu15total91">[41]B_U_15!$J$95</definedName>
    <definedName name="bu15total91a">[41]B_U_15!$J$103</definedName>
    <definedName name="bu15total92">[41]B_U_15!$K$95</definedName>
    <definedName name="bu15total92a">[41]B_U_15!$K$103</definedName>
    <definedName name="bu15total93">[41]B_U_15!$L$95</definedName>
    <definedName name="bu15total93a">[41]B_U_15!$L$103</definedName>
    <definedName name="bu15total94">[41]B_U_15!$M$95</definedName>
    <definedName name="bu15total94a">[41]B_U_15!$M$103</definedName>
    <definedName name="bu15total95">[41]B_U_15!$N$95</definedName>
    <definedName name="bu15total95a">[41]B_U_15!$N$103</definedName>
    <definedName name="bu15total96">[41]B_U_15!$O$95</definedName>
    <definedName name="bu15total96a">[41]B_U_15!$O$103</definedName>
    <definedName name="bu15total97">[41]B_U_15!$P$95</definedName>
    <definedName name="bu15total97a">[41]B_U_15!$P$103</definedName>
    <definedName name="bu15total98">[41]B_U_15!$Q$95</definedName>
    <definedName name="bu15total98a">[41]B_U_15!$Q$103</definedName>
    <definedName name="bu16total84">[41]B_U_16!$C$95</definedName>
    <definedName name="bu16total84a">[41]B_U_16!$C$103</definedName>
    <definedName name="bu16total85">[41]B_U_16!$D$95</definedName>
    <definedName name="bu16total85a">[41]B_U_16!$D$103</definedName>
    <definedName name="bu16total86">[41]B_U_16!$E$95</definedName>
    <definedName name="bu16total86a">[41]B_U_16!$E$103</definedName>
    <definedName name="bu16total87">[41]B_U_16!$F$95</definedName>
    <definedName name="bu16total87a">[41]B_U_16!$F$103</definedName>
    <definedName name="bu16total88">[41]B_U_16!$G$95</definedName>
    <definedName name="bu16total88a">[41]B_U_16!$G$103</definedName>
    <definedName name="bu16total89">[41]B_U_16!$H$95</definedName>
    <definedName name="bu16total89a">[41]B_U_16!$H$103</definedName>
    <definedName name="bu16total90">[41]B_U_16!$I$95</definedName>
    <definedName name="bu16total90a">[41]B_U_16!$I$103</definedName>
    <definedName name="bu16total91">[41]B_U_16!$J$95</definedName>
    <definedName name="bu16total91a">[41]B_U_16!$J$103</definedName>
    <definedName name="bu16total92">[41]B_U_16!$K$95</definedName>
    <definedName name="bu16total92a">[41]B_U_16!$K$103</definedName>
    <definedName name="bu16total93">[41]B_U_16!$L$95</definedName>
    <definedName name="bu16total93a">[41]B_U_16!$L$103</definedName>
    <definedName name="bu16total94">[41]B_U_16!$M$95</definedName>
    <definedName name="bu16total94a">[41]B_U_16!$M$103</definedName>
    <definedName name="bu16total95">[41]B_U_16!$N$95</definedName>
    <definedName name="bu16total95a">[41]B_U_16!$N$103</definedName>
    <definedName name="bu16total96">[41]B_U_16!$O$95</definedName>
    <definedName name="bu16total96a">[41]B_U_16!$O$103</definedName>
    <definedName name="bu16total97">[41]B_U_16!$P$95</definedName>
    <definedName name="bu16total97a">[41]B_U_16!$P$103</definedName>
    <definedName name="bu16total98">[41]B_U_16!$Q$95</definedName>
    <definedName name="bu16total98a">[41]B_U_16!$Q$103</definedName>
    <definedName name="bu17total84">[41]B_U_17!$C$95</definedName>
    <definedName name="bu17total84a">[41]B_U_17!$C$103</definedName>
    <definedName name="bu17total85">[41]B_U_17!$D$95</definedName>
    <definedName name="bu17total85a">[41]B_U_17!$D$103</definedName>
    <definedName name="bu17total86">[41]B_U_17!$E$95</definedName>
    <definedName name="bu17total86a">[41]B_U_17!$E$103</definedName>
    <definedName name="bu17total87">[41]B_U_17!$F$95</definedName>
    <definedName name="bu17total87a">[41]B_U_17!$F$103</definedName>
    <definedName name="bu17total88">[41]B_U_17!$G$95</definedName>
    <definedName name="bu17total88a">[41]B_U_17!$G$103</definedName>
    <definedName name="bu17total89">[41]B_U_17!$H$95</definedName>
    <definedName name="bu17total89a">[41]B_U_17!$H$103</definedName>
    <definedName name="bu17total90">[41]B_U_17!$I$95</definedName>
    <definedName name="bu17total90a">[41]B_U_17!$I$103</definedName>
    <definedName name="bu17total91">[41]B_U_17!$J$95</definedName>
    <definedName name="bu17total91a">[41]B_U_17!$J$103</definedName>
    <definedName name="bu17total92">[41]B_U_17!$K$95</definedName>
    <definedName name="bu17total92a">[41]B_U_17!$K$103</definedName>
    <definedName name="bu17total93">[41]B_U_17!$L$95</definedName>
    <definedName name="bu17total93a">[41]B_U_17!$L$103</definedName>
    <definedName name="bu17total94">[41]B_U_17!$M$95</definedName>
    <definedName name="bu17total94a">[41]B_U_17!$M$103</definedName>
    <definedName name="bu17total95">[41]B_U_17!$N$95</definedName>
    <definedName name="bu17total95a">[41]B_U_17!$N$103</definedName>
    <definedName name="bu17total96">[41]B_U_17!$O$95</definedName>
    <definedName name="bu17total96a">[41]B_U_17!$O$103</definedName>
    <definedName name="bu17total97">[41]B_U_17!$P$95</definedName>
    <definedName name="bu17total97a">[41]B_U_17!$P$103</definedName>
    <definedName name="bu17total98">[41]B_U_17!$Q$95</definedName>
    <definedName name="bu17total98a">[41]B_U_17!$Q$103</definedName>
    <definedName name="bu18total84">[41]B_U_18!$C$95</definedName>
    <definedName name="bu18total84a">[41]B_U_18!$C$103</definedName>
    <definedName name="bu18total85">[41]B_U_18!$D$95</definedName>
    <definedName name="bu18total85a">[41]B_U_18!$D$103</definedName>
    <definedName name="bu18total86">[41]B_U_18!$E$95</definedName>
    <definedName name="bu18total86a">[41]B_U_18!$E$103</definedName>
    <definedName name="bu18total87">[41]B_U_18!$F$95</definedName>
    <definedName name="bu18total87a">[41]B_U_18!$F$103</definedName>
    <definedName name="bu18total88">[41]B_U_18!$G$95</definedName>
    <definedName name="bu18total88a">[41]B_U_18!$G$103</definedName>
    <definedName name="bu18total89">[41]B_U_18!$H$95</definedName>
    <definedName name="bu18total89a">[41]B_U_18!$H$103</definedName>
    <definedName name="bu18total90">[41]B_U_18!$I$95</definedName>
    <definedName name="bu18total90a">[41]B_U_18!$I$103</definedName>
    <definedName name="bu18total91">[41]B_U_18!$J$95</definedName>
    <definedName name="bu18total91a">[41]B_U_18!$J$103</definedName>
    <definedName name="bu18total92">[41]B_U_18!$K$95</definedName>
    <definedName name="bu18total92a">[41]B_U_18!$K$103</definedName>
    <definedName name="bu18total93">[41]B_U_18!$L$95</definedName>
    <definedName name="bu18total93a">[41]B_U_18!$L$103</definedName>
    <definedName name="bu18total94">[41]B_U_18!$M$95</definedName>
    <definedName name="bu18total94a">[41]B_U_18!$M$103</definedName>
    <definedName name="bu18total95">[41]B_U_18!$N$95</definedName>
    <definedName name="bu18total95a">[41]B_U_18!$N$103</definedName>
    <definedName name="bu18total96">[41]B_U_18!$O$95</definedName>
    <definedName name="bu18total96a">[41]B_U_18!$O$103</definedName>
    <definedName name="bu18total97">[41]B_U_18!$P$95</definedName>
    <definedName name="bu18total97a">[41]B_U_18!$P$103</definedName>
    <definedName name="bu18total98">[41]B_U_18!$Q$95</definedName>
    <definedName name="bu18total98a">[41]B_U_18!$Q$103</definedName>
    <definedName name="bu19total84">[41]B_U_19!$C$95</definedName>
    <definedName name="bu19total84a">[41]B_U_19!$C$103</definedName>
    <definedName name="bu19total85">[41]B_U_19!$D$95</definedName>
    <definedName name="bu19total85a">[41]B_U_19!$D$103</definedName>
    <definedName name="bu19total86">[41]B_U_19!$E$95</definedName>
    <definedName name="bu19total86a">[41]B_U_19!$E$103</definedName>
    <definedName name="bu19total87">[41]B_U_19!$F$95</definedName>
    <definedName name="bu19total87a">[41]B_U_19!$F$103</definedName>
    <definedName name="bu19total88">[41]B_U_19!$G$95</definedName>
    <definedName name="bu19total88a">[41]B_U_19!$G$103</definedName>
    <definedName name="bu19total89">[41]B_U_19!$H$95</definedName>
    <definedName name="bu19total89a">[41]B_U_19!$H$103</definedName>
    <definedName name="bu19total90">[41]B_U_19!$I$95</definedName>
    <definedName name="bu19total90a">[41]B_U_19!$I$103</definedName>
    <definedName name="bu19total91">[41]B_U_19!$J$95</definedName>
    <definedName name="bu19total91a">[41]B_U_19!$J$103</definedName>
    <definedName name="bu19total92">[41]B_U_19!$K$95</definedName>
    <definedName name="bu19total92a">[41]B_U_19!$K$103</definedName>
    <definedName name="bu19total93">[41]B_U_19!$L$95</definedName>
    <definedName name="bu19total93a">[41]B_U_19!$L$103</definedName>
    <definedName name="bu19total94">[41]B_U_19!$M$95</definedName>
    <definedName name="bu19total94a">[41]B_U_19!$M$103</definedName>
    <definedName name="bu19total95">[41]B_U_19!$N$95</definedName>
    <definedName name="bu19total95a">[41]B_U_19!$N$103</definedName>
    <definedName name="bu19total96">[41]B_U_19!$O$95</definedName>
    <definedName name="bu19total96a">[41]B_U_19!$O$103</definedName>
    <definedName name="bu19total97">[41]B_U_19!$P$95</definedName>
    <definedName name="bu19total97a">[41]B_U_19!$P$103</definedName>
    <definedName name="bu19total98">[41]B_U_19!$Q$95</definedName>
    <definedName name="bu19total98a">[41]B_U_19!$Q$103</definedName>
    <definedName name="bu1total84">'[41]PHASE II'!$C$95</definedName>
    <definedName name="bu1total84a">'[41]PHASE II'!$C$103</definedName>
    <definedName name="bu1total85">'[41]PHASE II'!$D$95</definedName>
    <definedName name="bu1total85a">'[41]PHASE II'!$D$103</definedName>
    <definedName name="bu1total86">'[41]PHASE II'!$E$95</definedName>
    <definedName name="bu1total86a">'[41]PHASE II'!$E$103</definedName>
    <definedName name="bu1total87">'[41]PHASE II'!$F$95</definedName>
    <definedName name="bu1total87a">'[41]PHASE II'!$F$103</definedName>
    <definedName name="bu1total88">'[41]PHASE II'!$G$95</definedName>
    <definedName name="bu1total88a">'[41]PHASE II'!$G$103</definedName>
    <definedName name="bu1total89">'[41]PHASE II'!$H$95</definedName>
    <definedName name="bu1total89a">'[41]PHASE II'!$H$103</definedName>
    <definedName name="bu1total90">'[41]PHASE II'!$I$95</definedName>
    <definedName name="bu1total90a">'[41]PHASE II'!$I$103</definedName>
    <definedName name="bu1total91">'[41]PHASE II'!$K$95</definedName>
    <definedName name="bu1total91a">'[41]PHASE II'!$K$103</definedName>
    <definedName name="bu1total92">'[41]PHASE II'!$M$95</definedName>
    <definedName name="bu1total92a">'[41]PHASE II'!$M$103</definedName>
    <definedName name="bu1total93">'[41]PHASE II'!$O$95</definedName>
    <definedName name="bu1total93a">'[41]PHASE II'!$O$103</definedName>
    <definedName name="bu1total94">'[41]PHASE II'!$Q$95</definedName>
    <definedName name="bu1total94a">'[41]PHASE II'!$Q$103</definedName>
    <definedName name="bu1total95">'[41]PHASE II'!$S$95</definedName>
    <definedName name="bu1total95a">'[41]PHASE II'!$S$103</definedName>
    <definedName name="bu1total96">'[41]PHASE II'!$T$95</definedName>
    <definedName name="bu1total96a">'[41]PHASE II'!$T$103</definedName>
    <definedName name="bu1total97">'[41]PHASE II'!$U$95</definedName>
    <definedName name="bu1total97a">'[41]PHASE II'!$U$103</definedName>
    <definedName name="bu1total98">'[41]PHASE II'!$W$95</definedName>
    <definedName name="bu1total98a">'[41]PHASE II'!$W$103</definedName>
    <definedName name="bu20total84">[41]B_U_20!$C$95</definedName>
    <definedName name="bu20total84a">[41]B_U_20!$C$103</definedName>
    <definedName name="bu20total85">[41]B_U_20!$D$95</definedName>
    <definedName name="bu20total85a">[41]B_U_20!$D$103</definedName>
    <definedName name="bu20total86">[41]B_U_20!$E$95</definedName>
    <definedName name="bu20total86a">[41]B_U_20!$E$103</definedName>
    <definedName name="bu20total87">[41]B_U_20!$F$95</definedName>
    <definedName name="bu20total87a">[41]B_U_20!$F$103</definedName>
    <definedName name="bu20total88">[41]B_U_20!$G$95</definedName>
    <definedName name="bu20total88a">[41]B_U_20!$G$103</definedName>
    <definedName name="bu20total89">[41]B_U_20!$H$95</definedName>
    <definedName name="bu20total89a">[41]B_U_20!$H$103</definedName>
    <definedName name="bu20total90">[41]B_U_20!$I$95</definedName>
    <definedName name="bu20total90a">[41]B_U_20!$I$103</definedName>
    <definedName name="bu20total91">[41]B_U_20!$J$95</definedName>
    <definedName name="bu20total91a">[41]B_U_20!$J$103</definedName>
    <definedName name="bu20total92">[41]B_U_20!$K$95</definedName>
    <definedName name="bu20total92a">[41]B_U_20!$K$103</definedName>
    <definedName name="bu20total93">[41]B_U_20!$L$95</definedName>
    <definedName name="bu20total93a">[41]B_U_20!$L$103</definedName>
    <definedName name="bu20total94">[41]B_U_20!$M$95</definedName>
    <definedName name="bu20total94a">[41]B_U_20!$M$103</definedName>
    <definedName name="bu20total95">[41]B_U_20!$N$95</definedName>
    <definedName name="bu20total95a">[41]B_U_20!$N$103</definedName>
    <definedName name="bu20total96">[41]B_U_20!$O$95</definedName>
    <definedName name="bu20total96a">[41]B_U_20!$O$103</definedName>
    <definedName name="bu20total97">[41]B_U_20!$P$95</definedName>
    <definedName name="bu20total97a">[41]B_U_20!$P$103</definedName>
    <definedName name="bu20total98">[41]B_U_20!$Q$95</definedName>
    <definedName name="bu20total98a">[41]B_U_20!$Q$103</definedName>
    <definedName name="bu21total84">[41]B_U_21!$C$95</definedName>
    <definedName name="bu21total84a">[41]B_U_21!$C$103</definedName>
    <definedName name="bu21total85">[41]B_U_21!$D$95</definedName>
    <definedName name="bu21total85a">[41]B_U_21!$D$103</definedName>
    <definedName name="bu21total86">[41]B_U_21!$E$95</definedName>
    <definedName name="bu21total86a">[41]B_U_21!$E$103</definedName>
    <definedName name="bu21total87">[41]B_U_21!$F$95</definedName>
    <definedName name="bu21total87a">[41]B_U_21!$F$103</definedName>
    <definedName name="bu21total88">[41]B_U_21!$G$95</definedName>
    <definedName name="bu21total88a">[41]B_U_21!$G$103</definedName>
    <definedName name="bu21total89">[41]B_U_21!$H$95</definedName>
    <definedName name="bu21total89a">[41]B_U_21!$H$103</definedName>
    <definedName name="bu21total90">[41]B_U_21!$I$95</definedName>
    <definedName name="bu21total90a">[41]B_U_21!$I$103</definedName>
    <definedName name="bu21total91">[41]B_U_21!$J$95</definedName>
    <definedName name="bu21total91a">[41]B_U_21!$J$103</definedName>
    <definedName name="bu21total92">[41]B_U_21!$K$95</definedName>
    <definedName name="bu21total92a">[41]B_U_21!$K$103</definedName>
    <definedName name="bu21total93">[41]B_U_21!$L$95</definedName>
    <definedName name="bu21total93a">[41]B_U_21!$L$103</definedName>
    <definedName name="bu21total94">[41]B_U_21!$M$95</definedName>
    <definedName name="bu21total94a">[41]B_U_21!$M$103</definedName>
    <definedName name="bu21total95">[41]B_U_21!$N$95</definedName>
    <definedName name="bu21total95a">[41]B_U_21!$N$103</definedName>
    <definedName name="bu21total96">[41]B_U_21!$O$95</definedName>
    <definedName name="bu21total96a">[41]B_U_21!$O$103</definedName>
    <definedName name="bu21total97">[41]B_U_21!$P$95</definedName>
    <definedName name="bu21total97a">[41]B_U_21!$P$103</definedName>
    <definedName name="bu21total98">[41]B_U_21!$Q$95</definedName>
    <definedName name="bu21total98a">[41]B_U_21!$Q$103</definedName>
    <definedName name="bu22total84">[41]B_U_22!$C$95</definedName>
    <definedName name="bu22total84a">[41]B_U_22!$C$103</definedName>
    <definedName name="bu22total85">[41]B_U_22!$D$95</definedName>
    <definedName name="bu22total85a">[41]B_U_22!$D$103</definedName>
    <definedName name="bu22total86">[41]B_U_22!$E$95</definedName>
    <definedName name="bu22total86a">[41]B_U_22!$E$103</definedName>
    <definedName name="bu22total87">[41]B_U_22!$F$95</definedName>
    <definedName name="bu22total87a">[41]B_U_22!$F$103</definedName>
    <definedName name="bu22total88">[41]B_U_22!$G$95</definedName>
    <definedName name="bu22total88a">[41]B_U_22!$G$103</definedName>
    <definedName name="bu22total89">[41]B_U_22!$H$95</definedName>
    <definedName name="bu22total89a">[41]B_U_22!$H$103</definedName>
    <definedName name="bu22total90">[41]B_U_22!$I$95</definedName>
    <definedName name="bu22total90a">[41]B_U_22!$I$103</definedName>
    <definedName name="bu22total91">[41]B_U_22!$J$95</definedName>
    <definedName name="bu22total91a">[41]B_U_22!$J$103</definedName>
    <definedName name="bu22total92">[41]B_U_22!$K$95</definedName>
    <definedName name="bu22total92a">[41]B_U_22!$K$103</definedName>
    <definedName name="bu22total93">[41]B_U_22!$L$95</definedName>
    <definedName name="bu22total93a">[41]B_U_22!$L$103</definedName>
    <definedName name="bu22total94">[41]B_U_22!$M$95</definedName>
    <definedName name="bu22total94a">[41]B_U_22!$M$103</definedName>
    <definedName name="bu22total95">[41]B_U_22!$N$95</definedName>
    <definedName name="bu22total95a">[41]B_U_22!$N$103</definedName>
    <definedName name="bu22total96">[41]B_U_22!$O$95</definedName>
    <definedName name="bu22total96a">[41]B_U_22!$O$103</definedName>
    <definedName name="bu22total97">[41]B_U_22!$P$95</definedName>
    <definedName name="bu22total97a">[41]B_U_22!$P$103</definedName>
    <definedName name="bu22total98">[41]B_U_22!$Q$95</definedName>
    <definedName name="bu22total98a">[41]B_U_22!$Q$103</definedName>
    <definedName name="bu23total84">[41]B_U_23!$C$95</definedName>
    <definedName name="bu23total84a">[41]B_U_23!$C$103</definedName>
    <definedName name="bu23total85">[41]B_U_23!$D$95</definedName>
    <definedName name="bu23total85a">[41]B_U_23!$D$103</definedName>
    <definedName name="bu23total86">[41]B_U_23!$E$95</definedName>
    <definedName name="bu23total86a">[41]B_U_23!$E$103</definedName>
    <definedName name="bu23total87">[41]B_U_23!$F$95</definedName>
    <definedName name="bu23total87a">[41]B_U_23!$F$103</definedName>
    <definedName name="bu23total88">[41]B_U_23!$G$95</definedName>
    <definedName name="bu23total88a">[41]B_U_23!$G$103</definedName>
    <definedName name="bu23total89">[41]B_U_23!$H$95</definedName>
    <definedName name="bu23total89a">[41]B_U_23!$H$103</definedName>
    <definedName name="bu23total90">[41]B_U_23!$I$95</definedName>
    <definedName name="bu23total90a">[41]B_U_23!$I$103</definedName>
    <definedName name="bu23total91">[41]B_U_23!$J$95</definedName>
    <definedName name="bu23total91a">[41]B_U_23!$J$103</definedName>
    <definedName name="bu23total92">[41]B_U_23!$K$95</definedName>
    <definedName name="bu23total92a">[41]B_U_23!$K$103</definedName>
    <definedName name="bu23total93">[41]B_U_23!$L$95</definedName>
    <definedName name="bu23total93a">[41]B_U_23!$L$103</definedName>
    <definedName name="bu23total94">[41]B_U_23!$M$95</definedName>
    <definedName name="bu23total94a">[41]B_U_23!$M$103</definedName>
    <definedName name="bu23total95">[41]B_U_23!$N$95</definedName>
    <definedName name="bu23total95a">[41]B_U_23!$N$103</definedName>
    <definedName name="bu23total96">[41]B_U_23!$O$95</definedName>
    <definedName name="bu23total96a">[41]B_U_23!$O$103</definedName>
    <definedName name="bu23total97">[41]B_U_23!$P$95</definedName>
    <definedName name="bu23total97a">[41]B_U_23!$P$103</definedName>
    <definedName name="bu23total98">[41]B_U_23!$Q$95</definedName>
    <definedName name="bu23total98a">[41]B_U_23!$Q$103</definedName>
    <definedName name="bu2total84">'[41]ORIGINAL CLAIM'!$C$95</definedName>
    <definedName name="bu2total84a">'[41]ORIGINAL CLAIM'!$C$103</definedName>
    <definedName name="bu2total85">'[41]ORIGINAL CLAIM'!$D$95</definedName>
    <definedName name="bu2total85a">'[41]ORIGINAL CLAIM'!$D$103</definedName>
    <definedName name="bu2total86">'[41]ORIGINAL CLAIM'!$E$95</definedName>
    <definedName name="bu2total86a">'[41]ORIGINAL CLAIM'!$E$103</definedName>
    <definedName name="bu2total87">'[41]ORIGINAL CLAIM'!$F$95</definedName>
    <definedName name="bu2total87a">'[41]ORIGINAL CLAIM'!$F$103</definedName>
    <definedName name="bu2total88">'[41]ORIGINAL CLAIM'!$G$95</definedName>
    <definedName name="bu2total88a">'[41]ORIGINAL CLAIM'!$G$103</definedName>
    <definedName name="bu2total89">'[41]ORIGINAL CLAIM'!$H$95</definedName>
    <definedName name="bu2total89a">'[41]ORIGINAL CLAIM'!$H$103</definedName>
    <definedName name="bu2total90">'[41]ORIGINAL CLAIM'!$I$95</definedName>
    <definedName name="bu2total90a">'[41]ORIGINAL CLAIM'!$I$103</definedName>
    <definedName name="bu2total91">'[41]ORIGINAL CLAIM'!$J$95</definedName>
    <definedName name="bu2total91a">'[41]ORIGINAL CLAIM'!$J$103</definedName>
    <definedName name="bu2total92">'[41]ORIGINAL CLAIM'!$K$95</definedName>
    <definedName name="bu2total92a">'[41]ORIGINAL CLAIM'!$K$103</definedName>
    <definedName name="bu2total93">'[41]ORIGINAL CLAIM'!$L$95</definedName>
    <definedName name="bu2total93a">'[41]ORIGINAL CLAIM'!$L$103</definedName>
    <definedName name="bu2total94">'[41]ORIGINAL CLAIM'!$M$95</definedName>
    <definedName name="bu2total94a">'[41]ORIGINAL CLAIM'!$M$103</definedName>
    <definedName name="bu2total95">'[41]ORIGINAL CLAIM'!$N$95</definedName>
    <definedName name="bu2total95a">'[41]ORIGINAL CLAIM'!$N$103</definedName>
    <definedName name="bu2total96">'[41]ORIGINAL CLAIM'!$O$95</definedName>
    <definedName name="bu2total96a">'[41]ORIGINAL CLAIM'!$O$103</definedName>
    <definedName name="bu2total97">'[41]ORIGINAL CLAIM'!$P$95</definedName>
    <definedName name="bu2total97a">'[41]ORIGINAL CLAIM'!$P$103</definedName>
    <definedName name="bu2total98">'[41]ORIGINAL CLAIM'!$Q$95</definedName>
    <definedName name="bu2total98a">'[41]ORIGINAL CLAIM'!$Q$103</definedName>
    <definedName name="bu3total84">[41]B_U_3!$C$95</definedName>
    <definedName name="bu3total84a">[41]B_U_3!$C$103</definedName>
    <definedName name="bu3total85">[41]B_U_3!$D$95</definedName>
    <definedName name="bu3total85a">[41]B_U_3!$D$103</definedName>
    <definedName name="bu3total86">[41]B_U_3!$E$95</definedName>
    <definedName name="bu3total86a">[41]B_U_3!$E$103</definedName>
    <definedName name="bu3total87">[41]B_U_3!$F$95</definedName>
    <definedName name="bu3total87a">[41]B_U_3!$F$103</definedName>
    <definedName name="bu3total88">[41]B_U_3!$G$95</definedName>
    <definedName name="bu3total88a">[41]B_U_3!$G$103</definedName>
    <definedName name="bu3total89">[41]B_U_3!$H$95</definedName>
    <definedName name="bu3total89a">[41]B_U_3!$H$103</definedName>
    <definedName name="bu3total90">[41]B_U_3!$I$95</definedName>
    <definedName name="bu3total90a">[41]B_U_3!$I$103</definedName>
    <definedName name="bu3total91">[41]B_U_3!$J$95</definedName>
    <definedName name="bu3total91a">[41]B_U_3!$J$103</definedName>
    <definedName name="bu3total92">[41]B_U_3!$K$95</definedName>
    <definedName name="bu3total92a">[41]B_U_3!$K$103</definedName>
    <definedName name="bu3total93">[41]B_U_3!$L$95</definedName>
    <definedName name="bu3total93a">[41]B_U_3!$L$103</definedName>
    <definedName name="bu3total94">[41]B_U_3!$M$95</definedName>
    <definedName name="bu3total94a">[41]B_U_3!$M$103</definedName>
    <definedName name="bu3total95">[41]B_U_3!$N$95</definedName>
    <definedName name="bu3total95a">[41]B_U_3!$N$103</definedName>
    <definedName name="bu3total96">[41]B_U_3!$O$95</definedName>
    <definedName name="bu3total96a">[41]B_U_3!$O$103</definedName>
    <definedName name="bu3total97">[41]B_U_3!$P$95</definedName>
    <definedName name="bu3total97a">[41]B_U_3!$P$103</definedName>
    <definedName name="bu3total98">[41]B_U_3!$Q$95</definedName>
    <definedName name="bu3total98a">[41]B_U_3!$Q$103</definedName>
    <definedName name="bu4total84">[41]B_U_4!$C$95</definedName>
    <definedName name="bu4total84a">[41]B_U_4!$C$103</definedName>
    <definedName name="bu4total85">[41]B_U_4!$D$95</definedName>
    <definedName name="bu4total85a">[41]B_U_4!$D$103</definedName>
    <definedName name="bu4total86">[41]B_U_4!$E$95</definedName>
    <definedName name="bu4total86a">[41]B_U_4!$E$103</definedName>
    <definedName name="bu4total87">[41]B_U_4!$F$95</definedName>
    <definedName name="bu4total87a">[41]B_U_4!$F$103</definedName>
    <definedName name="bu4total88">[41]B_U_4!$G$95</definedName>
    <definedName name="bu4total88a">[41]B_U_4!$G$103</definedName>
    <definedName name="bu4total89">[41]B_U_4!$H$95</definedName>
    <definedName name="bu4total89a">[41]B_U_4!$H$103</definedName>
    <definedName name="bu4total90">[41]B_U_4!$I$95</definedName>
    <definedName name="bu4total90a">[41]B_U_4!$I$103</definedName>
    <definedName name="bu4total91">[41]B_U_4!$J$95</definedName>
    <definedName name="bu4total91a">[41]B_U_4!$J$103</definedName>
    <definedName name="bu4total92">[41]B_U_4!$K$95</definedName>
    <definedName name="bu4total92a">[41]B_U_4!$K$103</definedName>
    <definedName name="bu4total93">[41]B_U_4!$L$95</definedName>
    <definedName name="bu4total93a">[41]B_U_4!$L$103</definedName>
    <definedName name="bu4total94">[41]B_U_4!$M$95</definedName>
    <definedName name="bu4total94a">[41]B_U_4!$M$103</definedName>
    <definedName name="bu4total95">[41]B_U_4!$N$95</definedName>
    <definedName name="bu4total95a">[41]B_U_4!$N$103</definedName>
    <definedName name="bu4total96">[41]B_U_4!$O$95</definedName>
    <definedName name="bu4total96a">[41]B_U_4!$O$103</definedName>
    <definedName name="bu4total97">[41]B_U_4!$P$95</definedName>
    <definedName name="bu4total97a">[41]B_U_4!$P$103</definedName>
    <definedName name="bu4total98">[41]B_U_4!$Q$95</definedName>
    <definedName name="bu4total98a">[41]B_U_4!$Q$103</definedName>
    <definedName name="bu5total84">[41]B_U_5!$C$95</definedName>
    <definedName name="bu5total84a">[41]B_U_5!$C$103</definedName>
    <definedName name="bu5total85">[41]B_U_5!$D$95</definedName>
    <definedName name="bu5total85a">[41]B_U_5!$D$103</definedName>
    <definedName name="bu5total86">[41]B_U_5!$E$95</definedName>
    <definedName name="bu5total86a">[41]B_U_5!$E$103</definedName>
    <definedName name="bu5total87">[41]B_U_5!$F$95</definedName>
    <definedName name="bu5total87a">[41]B_U_5!$F$103</definedName>
    <definedName name="bu5total88">[41]B_U_5!$G$95</definedName>
    <definedName name="bu5total88a">[41]B_U_5!$G$103</definedName>
    <definedName name="bu5total89">[41]B_U_5!$H$95</definedName>
    <definedName name="bu5total89a">[41]B_U_5!$H$103</definedName>
    <definedName name="bu5total90">[41]B_U_5!$I$95</definedName>
    <definedName name="bu5total90a">[41]B_U_5!$I$103</definedName>
    <definedName name="bu5total91">[41]B_U_5!$J$95</definedName>
    <definedName name="bu5total91a">[41]B_U_5!$J$103</definedName>
    <definedName name="bu5total92">[41]B_U_5!$K$95</definedName>
    <definedName name="bu5total92a">[41]B_U_5!$K$103</definedName>
    <definedName name="bu5total93">[41]B_U_5!$L$95</definedName>
    <definedName name="bu5total93a">[41]B_U_5!$L$103</definedName>
    <definedName name="bu5total94">[41]B_U_5!$M$95</definedName>
    <definedName name="bu5total94a">[41]B_U_5!$M$103</definedName>
    <definedName name="bu5total95">[41]B_U_5!$N$95</definedName>
    <definedName name="bu5total95a">[41]B_U_5!$N$103</definedName>
    <definedName name="bu5total96">[41]B_U_5!$O$95</definedName>
    <definedName name="bu5total96a">[41]B_U_5!$O$103</definedName>
    <definedName name="bu5total97">[41]B_U_5!$P$95</definedName>
    <definedName name="bu5total97a">[41]B_U_5!$P$103</definedName>
    <definedName name="bu5total98">[41]B_U_5!$Q$95</definedName>
    <definedName name="bu5total98a">[41]B_U_5!$Q$103</definedName>
    <definedName name="bu6total84">[41]B_U_6!$C$94</definedName>
    <definedName name="bu6total84a">[41]B_U_6!$C$103</definedName>
    <definedName name="bu6total85">[41]B_U_6!$D$94</definedName>
    <definedName name="bu6total85a">[41]B_U_6!$D$103</definedName>
    <definedName name="bu6total86">[41]B_U_6!$E$94</definedName>
    <definedName name="bu6total86a">[41]B_U_6!$E$103</definedName>
    <definedName name="bu6total87">[41]B_U_6!$F$94</definedName>
    <definedName name="bu6total87a">[41]B_U_6!$F$103</definedName>
    <definedName name="bu6total88">[41]B_U_6!$G$94</definedName>
    <definedName name="bu6total88a">[41]B_U_6!$G$103</definedName>
    <definedName name="bu6total89">[41]B_U_6!$H$94</definedName>
    <definedName name="bu6total89a">[41]B_U_6!$H$103</definedName>
    <definedName name="bu6total90">[41]B_U_6!$I$94</definedName>
    <definedName name="bu6total90a">[41]B_U_6!$I$103</definedName>
    <definedName name="bu6total91">[41]B_U_6!$J$94</definedName>
    <definedName name="bu6total91a">[41]B_U_6!$J$103</definedName>
    <definedName name="bu6total92">[41]B_U_6!$K$94</definedName>
    <definedName name="bu6total92a">[41]B_U_6!$K$103</definedName>
    <definedName name="bu6total93">[41]B_U_6!$L$94</definedName>
    <definedName name="bu6total93a">[41]B_U_6!$L$103</definedName>
    <definedName name="bu6total94">[41]B_U_6!$M$94</definedName>
    <definedName name="bu6total94a">[41]B_U_6!$M$103</definedName>
    <definedName name="bu6total95">[41]B_U_6!$N$94</definedName>
    <definedName name="bu6total95a">[41]B_U_6!$N$103</definedName>
    <definedName name="bu6total96">[41]B_U_6!$O$94</definedName>
    <definedName name="bu6total96a">[41]B_U_6!$O$103</definedName>
    <definedName name="bu6total97">[41]B_U_6!$P$94</definedName>
    <definedName name="bu6total97a">[41]B_U_6!$P$103</definedName>
    <definedName name="bu6total98">[41]B_U_6!$Q$94</definedName>
    <definedName name="bu6total98a">[41]B_U_6!$Q$103</definedName>
    <definedName name="bu7total84">[41]B_U_7!$C$95</definedName>
    <definedName name="bu7total84a">[41]B_U_7!$C$103</definedName>
    <definedName name="bu7total85">[41]B_U_7!$D$95</definedName>
    <definedName name="bu7total85a">[41]B_U_7!$D$103</definedName>
    <definedName name="bu7total86">[41]B_U_7!$E$95</definedName>
    <definedName name="bu7total86a">[41]B_U_7!$E$103</definedName>
    <definedName name="bu7total87">[41]B_U_7!$F$95</definedName>
    <definedName name="bu7total87a">[41]B_U_7!$F$103</definedName>
    <definedName name="bu7total88">[41]B_U_7!$G$95</definedName>
    <definedName name="bu7total88a">[41]B_U_7!$G$103</definedName>
    <definedName name="bu7total89">[41]B_U_7!$H$95</definedName>
    <definedName name="bu7total89a">[41]B_U_7!$H$103</definedName>
    <definedName name="bu7total90">[41]B_U_7!$I$95</definedName>
    <definedName name="bu7total90a">[41]B_U_7!$I$103</definedName>
    <definedName name="bu7total91">[41]B_U_7!$J$95</definedName>
    <definedName name="bu7total91a">[41]B_U_7!$J$103</definedName>
    <definedName name="bu7total92">[41]B_U_7!$K$95</definedName>
    <definedName name="bu7total92a">[41]B_U_7!$K$103</definedName>
    <definedName name="bu7total93">[41]B_U_7!$L$95</definedName>
    <definedName name="bu7total93a">[41]B_U_7!$L$103</definedName>
    <definedName name="bu7total94">[41]B_U_7!$M$95</definedName>
    <definedName name="bu7total94a">[41]B_U_7!$M$103</definedName>
    <definedName name="bu7total95">[41]B_U_7!$N$95</definedName>
    <definedName name="bu7total95a">[41]B_U_7!$N$103</definedName>
    <definedName name="bu7total96">[41]B_U_7!$O$95</definedName>
    <definedName name="bu7total96a">[41]B_U_7!$O$103</definedName>
    <definedName name="bu7total97">[41]B_U_7!$P$95</definedName>
    <definedName name="bu7total97a">[41]B_U_7!$P$103</definedName>
    <definedName name="bu7total98">[41]B_U_7!$Q$95</definedName>
    <definedName name="bu7total98a">[41]B_U_7!$Q$103</definedName>
    <definedName name="bu8total84">[41]B_U_8!$C$94</definedName>
    <definedName name="bu8total84a">[41]B_U_8!$C$103</definedName>
    <definedName name="bu8total85">[41]B_U_8!$D$94</definedName>
    <definedName name="bu8total85a">[41]B_U_8!$D$103</definedName>
    <definedName name="bu8total86">[41]B_U_8!$E$94</definedName>
    <definedName name="bu8total86a">[41]B_U_8!$E$103</definedName>
    <definedName name="bu8total87">[41]B_U_8!$F$94</definedName>
    <definedName name="bu8total87a">[41]B_U_8!$F$103</definedName>
    <definedName name="bu8total88">[41]B_U_8!$G$94</definedName>
    <definedName name="bu8total88a">[41]B_U_8!$G$103</definedName>
    <definedName name="bu8total89">[41]B_U_8!$H$94</definedName>
    <definedName name="bu8total89a">[41]B_U_8!$H$103</definedName>
    <definedName name="bu8total90">[41]B_U_8!$I$94</definedName>
    <definedName name="bu8total90a">[41]B_U_8!$I$103</definedName>
    <definedName name="bu8total91">[41]B_U_8!$J$94</definedName>
    <definedName name="bu8total91a">[41]B_U_8!$J$103</definedName>
    <definedName name="bu8total92">[41]B_U_8!$K$94</definedName>
    <definedName name="bu8total92a">[41]B_U_8!$K$103</definedName>
    <definedName name="bu8total93">[41]B_U_8!$L$94</definedName>
    <definedName name="bu8total93a">[41]B_U_8!$L$103</definedName>
    <definedName name="bu8total94">[41]B_U_8!$M$94</definedName>
    <definedName name="bu8total94a">[41]B_U_8!$M$103</definedName>
    <definedName name="bu8total95">[41]B_U_8!$N$94</definedName>
    <definedName name="bu8total95a">[41]B_U_8!$N$103</definedName>
    <definedName name="bu8total96">[41]B_U_8!$O$94</definedName>
    <definedName name="bu8total96a">[41]B_U_8!$O$103</definedName>
    <definedName name="bu8total97">[41]B_U_8!$P$94</definedName>
    <definedName name="bu8total97a">[41]B_U_8!$P$103</definedName>
    <definedName name="bu8total98">[41]B_U_8!$Q$94</definedName>
    <definedName name="bu8total98a">[41]B_U_8!$Q$103</definedName>
    <definedName name="bu9total84">[41]B_U_9!$C$95</definedName>
    <definedName name="bu9total84a">[41]B_U_9!$C$103</definedName>
    <definedName name="bu9total85">[41]B_U_9!$D$95</definedName>
    <definedName name="bu9total85a">[41]B_U_9!$D$103</definedName>
    <definedName name="bu9total86">[41]B_U_9!$E$95</definedName>
    <definedName name="bu9total86a">[41]B_U_9!$E$103</definedName>
    <definedName name="bu9total87">[41]B_U_9!$F$95</definedName>
    <definedName name="bu9total87a">[41]B_U_9!$F$103</definedName>
    <definedName name="bu9total88">[41]B_U_9!$G$95</definedName>
    <definedName name="bu9total88a">[41]B_U_9!$G$103</definedName>
    <definedName name="bu9total89">[41]B_U_9!$H$95</definedName>
    <definedName name="bu9total89a">[41]B_U_9!$H$103</definedName>
    <definedName name="bu9total90">[41]B_U_9!$I$95</definedName>
    <definedName name="bu9total90a">[41]B_U_9!$I$103</definedName>
    <definedName name="bu9total91">[41]B_U_9!$J$95</definedName>
    <definedName name="bu9total91a">[41]B_U_9!$J$103</definedName>
    <definedName name="bu9total92">[41]B_U_9!$K$95</definedName>
    <definedName name="bu9total92a">[41]B_U_9!$K$103</definedName>
    <definedName name="bu9total93">[41]B_U_9!$L$95</definedName>
    <definedName name="bu9total93a">[41]B_U_9!$L$103</definedName>
    <definedName name="bu9total94">[41]B_U_9!$M$95</definedName>
    <definedName name="bu9total94a">[41]B_U_9!$M$103</definedName>
    <definedName name="bu9total95">[41]B_U_9!$N$95</definedName>
    <definedName name="bu9total95a">[41]B_U_9!$N$103</definedName>
    <definedName name="bu9total96">[41]B_U_9!$O$95</definedName>
    <definedName name="bu9total96a">[41]B_U_9!$O$103</definedName>
    <definedName name="bu9total97">[41]B_U_9!$P$95</definedName>
    <definedName name="bu9total97a">[41]B_U_9!$P$103</definedName>
    <definedName name="bu9total98">[41]B_U_9!$Q$95</definedName>
    <definedName name="bu9total98a">[41]B_U_9!$Q$103</definedName>
    <definedName name="BUDGET_YTD">[49]Administrator!$J$60</definedName>
    <definedName name="BudgetPJF">'[65]Bdgt PJF to Acct.'!$A$5:$P$61</definedName>
    <definedName name="BUName">[66]SETUP!$C$9</definedName>
    <definedName name="BUTypeAreaRes">'[58]all EED O&amp;M BO data'!$AB$2:$AB$5000</definedName>
    <definedName name="bvfzxcvxczxc">'[47]2005 CapEx (By VP By Dept) Budg'!$A$3:$P$431</definedName>
    <definedName name="bvvlhlkhjl">#REF!</definedName>
    <definedName name="C_">#REF!</definedName>
    <definedName name="C_3">#REF!</definedName>
    <definedName name="C_3_10">[67]SchC2x_1!#REF!</definedName>
    <definedName name="Cal">'[47]2005 CapEx (By VP By Dept) Budg'!$A$3:$P$431</definedName>
    <definedName name="CalculationC">'[47]2005 CapEx (By VP By Dept) Budg'!$A$3:$P$377</definedName>
    <definedName name="CalculationCom">'[47]2005 CapEx (By VP By Dept) Budg'!$A$3:$P$377</definedName>
    <definedName name="CalculationComEd">#REF!</definedName>
    <definedName name="calculationD">'[47]2005 CapEx (By VP By Dept) Budg'!$A$3:$P$377</definedName>
    <definedName name="CalculationP">[68]Calculations!$A$3:$P$382</definedName>
    <definedName name="CalculationPeco">'[47]2005 CapEx (By VP By Dept) Budg'!$A$3:$P$382</definedName>
    <definedName name="Calculations">'[47]2005 CapEx (By VP By Dept) Budg'!$A$3:$P$431</definedName>
    <definedName name="CalculationsC">'[47]2005 CapEx (By VP By Dept) Budg'!$A$3:$P$377</definedName>
    <definedName name="CalculationsC1">'[47]2005 CapEx (By VP By Dept) Budg'!$A$3:$P$377</definedName>
    <definedName name="CalculationsC3">#REF!</definedName>
    <definedName name="CalculationsC4">#REF!</definedName>
    <definedName name="CalculationsC5">#REF!</definedName>
    <definedName name="CalculationsP">'[47]2005 CapEx (By VP By Dept) Budg'!$A$3:$P$382</definedName>
    <definedName name="CalculationsP1">'[47]2005 CapEx (By VP By Dept) Budg'!$A$3:$P$382</definedName>
    <definedName name="CalculationsP2">'[47]2005 CapEx (By VP By Dept) Budg'!$A$3:$P$382</definedName>
    <definedName name="CalculationsP3">#REF!</definedName>
    <definedName name="CalculationsP4">#REF!</definedName>
    <definedName name="CalculationsP5">#REF!</definedName>
    <definedName name="CalculationsP6">#REF!</definedName>
    <definedName name="CalculationsPe">'[47]2005 CapEx (By VP By Dept) Budg'!$A$3:$P$382</definedName>
    <definedName name="CalculationsPeco">'[47]2005 CapEx (By VP By Dept) Budg'!$A$3:$P$382</definedName>
    <definedName name="CalculatP">'[47]2005 CapEx (By VP By Dept) Budg'!$A$3:$P$382</definedName>
    <definedName name="CAPA">'[69]ACT CAP'!$D$7:$T$32</definedName>
    <definedName name="CAPB">'[69]BUD CAP'!$D$7:$O$32</definedName>
    <definedName name="Capital">#REF!</definedName>
    <definedName name="CapitalExpenditures">'[70]WPC - 2.5'!#REF!</definedName>
    <definedName name="cbcvbcv" hidden="1">{#N/A,#N/A,FALSE,"Monthly SAIFI";#N/A,#N/A,FALSE,"Yearly SAIFI";#N/A,#N/A,FALSE,"Monthly CAIDI";#N/A,#N/A,FALSE,"Yearly CAIDI";#N/A,#N/A,FALSE,"Monthly SAIDI";#N/A,#N/A,FALSE,"Yearly SAIDI";#N/A,#N/A,FALSE,"Monthly MAIFI";#N/A,#N/A,FALSE,"Yearly MAIFI";#N/A,#N/A,FALSE,"Monthly Cust &gt;=4 Int"}</definedName>
    <definedName name="CBEast">'[71]CBPP Summary'!$I$5:$J$16</definedName>
    <definedName name="CBWest">'[71]CBPP Summary'!$I$19:$J$25</definedName>
    <definedName name="CBWorkbookPriority" hidden="1">-250256570</definedName>
    <definedName name="cc1end">[41]Model!$68:$68</definedName>
    <definedName name="cc1subrange">[41]Model!$48:$75</definedName>
    <definedName name="cc2origin">[41]Model!$A$76</definedName>
    <definedName name="cc2subrange">[41]Model!$124:$146</definedName>
    <definedName name="cc3subrange">[41]Model!$152:$179</definedName>
    <definedName name="ccbbcvbc" hidden="1">{#N/A,#N/A,FALSE,"Monthly SAIFI";#N/A,#N/A,FALSE,"Yearly SAIFI";#N/A,#N/A,FALSE,"Monthly CAIDI";#N/A,#N/A,FALSE,"Yearly CAIDI";#N/A,#N/A,FALSE,"Monthly SAIDI";#N/A,#N/A,FALSE,"Yearly SAIDI";#N/A,#N/A,FALSE,"Monthly MAIFI";#N/A,#N/A,FALSE,"Yearly MAIFI";#N/A,#N/A,FALSE,"Monthly Cust &gt;=4 Int"}</definedName>
    <definedName name="cccc">#REF!</definedName>
    <definedName name="Choose_Prefs">[72]!Choose_Prefs</definedName>
    <definedName name="chrtContract">'[41]QRE Charts'!$C$274:$R$297</definedName>
    <definedName name="chrtSensitivity">'[41]QRE Charts'!$D$372:$O$375</definedName>
    <definedName name="chrtSensWages">'[41]Sens_QRE''s'!$C$118:$R$141</definedName>
    <definedName name="chrtSupplies">'[41]QRE Charts'!$C$248:$R$271</definedName>
    <definedName name="chrtTax">'[41]QRE Charts'!$C$327:$E$342</definedName>
    <definedName name="chrtTotalByCo">'[41]QRE Charts'!$C$300:$R$323</definedName>
    <definedName name="chrtTotalByType">'[41]QRE Charts'!$C$216:$R$219</definedName>
    <definedName name="chrtWages">'[41]QRE Charts'!$C$222:$R$245</definedName>
    <definedName name="CKDATES">#REF!</definedName>
    <definedName name="CkDescr">[73]DR_Form!#REF!</definedName>
    <definedName name="ClaculationC">#REF!</definedName>
    <definedName name="ClaculationP">#REF!</definedName>
    <definedName name="ClaculationsC">#REF!</definedName>
    <definedName name="Class">#REF!</definedName>
    <definedName name="CLDR">#REF!</definedName>
    <definedName name="CoAreaDept">'[58]all EED O&amp;M BO data'!$AA$2:$AA$5000</definedName>
    <definedName name="com">[74]Roadmap!$C$159</definedName>
    <definedName name="Com1E">[75]Roadmap!$C$186</definedName>
    <definedName name="Com2E">[75]Roadmap!$C$187</definedName>
    <definedName name="comed1">'[47]2005 CapEx (By VP By Dept) Budg'!$A$3:$P$377</definedName>
    <definedName name="comed2">'[47]2005 CapEx (By VP By Dept) Budg'!$A$3:$P$377</definedName>
    <definedName name="comedmfr2">'[47]2005 CapEx (By VP By Dept) Budg'!$A$3:$P$377</definedName>
    <definedName name="Company">[76]Common!$B$2</definedName>
    <definedName name="Company_Name">[41]Menu!$I$11</definedName>
    <definedName name="CompanyCount">'[41]QRE Charts'!$F$214</definedName>
    <definedName name="COMPAR_PRT_RNG">[41]Comparison!$B$8:$BT$170</definedName>
    <definedName name="complex">[77]lists!#REF!</definedName>
    <definedName name="ContactExt">#REF!</definedName>
    <definedName name="ContactName">#REF!</definedName>
    <definedName name="CONVERT_IT">#REF!</definedName>
    <definedName name="CONVERT_RTN">#REF!</definedName>
    <definedName name="Corp">[17]Roadmap!$C$109</definedName>
    <definedName name="corp1">[31]INDEX!$B$154</definedName>
    <definedName name="corp1E">[78]INDEX!$B$154</definedName>
    <definedName name="corp2">[79]Roadmap!$B$171</definedName>
    <definedName name="CorpE">[8]Roadmap!$C$109</definedName>
    <definedName name="COSTCARECAPCHAR">'[80]ASO Fees'!#REF!</definedName>
    <definedName name="COSTCAREMEDCASE">'[80]ASO Fees'!#REF!</definedName>
    <definedName name="COSTCARESUM">'[80]ASO Fees'!#REF!</definedName>
    <definedName name="COUNTER">'[41]Macro Tables'!$C$21</definedName>
    <definedName name="CPTL94">#REF!</definedName>
    <definedName name="CPTL95">#REF!</definedName>
    <definedName name="CR_AMT">[48]FLAP!#REF!</definedName>
    <definedName name="credit_rate">[41]Print!$I$18</definedName>
    <definedName name="CREDIT1">'[81]One Year Credit Facility (2 (3)'!$A$23:$D$34</definedName>
    <definedName name="creditsummary">[41]Model!$A$180:$E$201</definedName>
    <definedName name="CUR_QRES">[41]Sens_QRE_Factor!$I$8:$R$98</definedName>
    <definedName name="CUR_QRES0.75">'[41]QRE Charts'!$E$367</definedName>
    <definedName name="CUR_QRES0.80">'[41]QRE Charts'!$F$367</definedName>
    <definedName name="CUR_QRES0.85">'[41]QRE Charts'!$G$367</definedName>
    <definedName name="CUR_QRES0.90">'[41]QRE Charts'!$H$367</definedName>
    <definedName name="CUR_QRES0.95">'[41]QRE Charts'!$I$367</definedName>
    <definedName name="CUR_QRES1.00">'[41]QRE Charts'!$J$367</definedName>
    <definedName name="CUR_QRES1.05">'[41]QRE Charts'!$K$367</definedName>
    <definedName name="CUR_QRES1.10">'[41]QRE Charts'!$L$367</definedName>
    <definedName name="CUR_QRES1.15">'[41]QRE Charts'!$M$367</definedName>
    <definedName name="CUR_QRES1.20">'[41]QRE Charts'!$N$367</definedName>
    <definedName name="CUR_QRES1.25">'[41]QRE Charts'!$O$367</definedName>
    <definedName name="CUR_SENS_FACT">#REF!</definedName>
    <definedName name="CURRENT">#REF!</definedName>
    <definedName name="CURRENT_MESSAGE">#REF!</definedName>
    <definedName name="CurrentEndDate">[66]SETUP!#REF!</definedName>
    <definedName name="CurrPeriod">[82]Tables!$H$4</definedName>
    <definedName name="CustCred4thQtr">#REF!</definedName>
    <definedName name="CustCred4thQtrE">#REF!</definedName>
    <definedName name="CustCredDec">#REF!</definedName>
    <definedName name="CustCredDecE">#REF!</definedName>
    <definedName name="cvxvvdxzv">'[47]2005 CapEx (By VP By Dept) Budg'!$A$3:$P$431</definedName>
    <definedName name="CYDR">'[83]change07 by plan'!$D$28</definedName>
    <definedName name="d">'[84]WO Type Id PJF Acct'!$C$6:$Q$59</definedName>
    <definedName name="D_1">#REF!</definedName>
    <definedName name="D3CY_AMOUNT">#REF!</definedName>
    <definedName name="D3CY_COST">#REF!</definedName>
    <definedName name="D3HY_COST">'[85]FY 2005'!#REF!</definedName>
    <definedName name="D3TY_AMOUNT">#REF!</definedName>
    <definedName name="D3TY_COST">#REF!</definedName>
    <definedName name="dadasdad">'[47]2005 CapEx (By VP By Dept) Budg'!$A$3:$P$431</definedName>
    <definedName name="dadasdas">#REF!</definedName>
    <definedName name="dafklaf">'[47]2005 CapEx (By VP By Dept) Budg'!$A$3:$P$431</definedName>
    <definedName name="dasdadad">'[47]2005 CapEx (By VP By Dept) Budg'!$A$3:$P$431</definedName>
    <definedName name="DASDD" hidden="1">{#N/A,#N/A,FALSE,"Monthly SAIFI";#N/A,#N/A,FALSE,"Yearly SAIFI";#N/A,#N/A,FALSE,"Monthly CAIDI";#N/A,#N/A,FALSE,"Yearly CAIDI";#N/A,#N/A,FALSE,"Monthly SAIDI";#N/A,#N/A,FALSE,"Yearly SAIDI";#N/A,#N/A,FALSE,"Monthly MAIFI";#N/A,#N/A,FALSE,"Yearly MAIFI";#N/A,#N/A,FALSE,"Monthly Cust &gt;=4 Int"}</definedName>
    <definedName name="dasfasfdsdaf">'[47]2005 CapEx (By VP By Dept) Budg'!$A$3:$P$431</definedName>
    <definedName name="Data">#REF!</definedName>
    <definedName name="_xlnm.Database">#REF!</definedName>
    <definedName name="Database2">#REF!</definedName>
    <definedName name="DatabaseE">#REF!</definedName>
    <definedName name="DATAFEEDER">[86]!DATAFEEDER</definedName>
    <definedName name="DateNumber">[66]SETUP!#REF!</definedName>
    <definedName name="DateNumberCurrentPrior">#REF!</definedName>
    <definedName name="DateNumberQtrPrior">#REF!</definedName>
    <definedName name="DateNumberYearEndPrior">#REF!</definedName>
    <definedName name="DateText">#REF!</definedName>
    <definedName name="DB_AMT">[48]FLAP!#REF!</definedName>
    <definedName name="dd" hidden="1">{#N/A,#N/A,FALSE,"Monthly SAIFI";#N/A,#N/A,FALSE,"Yearly SAIFI";#N/A,#N/A,FALSE,"Monthly CAIDI";#N/A,#N/A,FALSE,"Yearly CAIDI";#N/A,#N/A,FALSE,"Monthly SAIDI";#N/A,#N/A,FALSE,"Yearly SAIDI";#N/A,#N/A,FALSE,"Monthly MAIFI";#N/A,#N/A,FALSE,"Yearly MAIFI";#N/A,#N/A,FALSE,"Monthly Cust &gt;=4 Int"}</definedName>
    <definedName name="ddd">#REF!</definedName>
    <definedName name="dddd">#REF!</definedName>
    <definedName name="ddfsaf" hidden="1">{#N/A,#N/A,FALSE,"Monthly SAIFI";#N/A,#N/A,FALSE,"Yearly SAIFI";#N/A,#N/A,FALSE,"Monthly CAIDI";#N/A,#N/A,FALSE,"Yearly CAIDI";#N/A,#N/A,FALSE,"Monthly SAIDI";#N/A,#N/A,FALSE,"Yearly SAIDI";#N/A,#N/A,FALSE,"Monthly MAIFI";#N/A,#N/A,FALSE,"Yearly MAIFI";#N/A,#N/A,FALSE,"Monthly Cust &gt;=4 Int"}</definedName>
    <definedName name="ddvsdfsdfsdf">'[47]2005 CapEx (By VP By Dept) Budg'!$A$3:$P$431</definedName>
    <definedName name="DEANNA">#REF!</definedName>
    <definedName name="Dec">#REF!</definedName>
    <definedName name="DELAWARE">#REF!</definedName>
    <definedName name="DeliverCk">#REF!</definedName>
    <definedName name="DeliverExt">#REF!</definedName>
    <definedName name="DENT_NU">#REF!</definedName>
    <definedName name="DENT_U">#REF!</definedName>
    <definedName name="DETAIL">#REF!</definedName>
    <definedName name="dfasdfsdfZX" hidden="1">{#N/A,#N/A,FALSE,"Monthly SAIFI";#N/A,#N/A,FALSE,"Yearly SAIFI";#N/A,#N/A,FALSE,"Monthly CAIDI";#N/A,#N/A,FALSE,"Yearly CAIDI";#N/A,#N/A,FALSE,"Monthly SAIDI";#N/A,#N/A,FALSE,"Yearly SAIDI";#N/A,#N/A,FALSE,"Monthly MAIFI";#N/A,#N/A,FALSE,"Yearly MAIFI";#N/A,#N/A,FALSE,"Monthly Cust &gt;=4 Int"}</definedName>
    <definedName name="dfd">36787.5547596065</definedName>
    <definedName name="dfdffgdfgd">#REF!</definedName>
    <definedName name="dfdsfs" hidden="1">{#N/A,#N/A,FALSE,"Monthly SAIFI";#N/A,#N/A,FALSE,"Yearly SAIFI";#N/A,#N/A,FALSE,"Monthly CAIDI";#N/A,#N/A,FALSE,"Yearly CAIDI";#N/A,#N/A,FALSE,"Monthly SAIDI";#N/A,#N/A,FALSE,"Yearly SAIDI";#N/A,#N/A,FALSE,"Monthly MAIFI";#N/A,#N/A,FALSE,"Yearly MAIFI";#N/A,#N/A,FALSE,"Monthly Cust &gt;=4 Int"}</definedName>
    <definedName name="dfgdfgh">#REF!</definedName>
    <definedName name="dfgsdgdsfgd">'[47]2005 CapEx (By VP By Dept) Budg'!$A$3:$P$431</definedName>
    <definedName name="dfsasdfasdfsdfasdfasdf" hidden="1">{#N/A,#N/A,FALSE,"Monthly SAIFI";#N/A,#N/A,FALSE,"Yearly SAIFI";#N/A,#N/A,FALSE,"Monthly CAIDI";#N/A,#N/A,FALSE,"Yearly CAIDI";#N/A,#N/A,FALSE,"Monthly SAIDI";#N/A,#N/A,FALSE,"Yearly SAIDI";#N/A,#N/A,FALSE,"Monthly MAIFI";#N/A,#N/A,FALSE,"Yearly MAIFI";#N/A,#N/A,FALSE,"Monthly Cust &gt;=4 Int"}</definedName>
    <definedName name="dfsasdfasfs">#REF!</definedName>
    <definedName name="dfsdfsf">#REF!</definedName>
    <definedName name="dfsfasfasfs">#REF!</definedName>
    <definedName name="dfssdfsdfsdfsdf">'[47]2005 CapEx (By VP By Dept) Budg'!$A$3:$P$431</definedName>
    <definedName name="Discount10">#REF!</definedName>
    <definedName name="Discount11">#REF!</definedName>
    <definedName name="Discount12">#REF!</definedName>
    <definedName name="Discount13">#REF!</definedName>
    <definedName name="Discount14">#REF!</definedName>
    <definedName name="Discount15">#REF!</definedName>
    <definedName name="Discount2">#REF!</definedName>
    <definedName name="Discount3">#REF!</definedName>
    <definedName name="Discount4">#REF!</definedName>
    <definedName name="Discount5">#REF!</definedName>
    <definedName name="Discount6">#REF!</definedName>
    <definedName name="Discount7">#REF!</definedName>
    <definedName name="Discount8">#REF!</definedName>
    <definedName name="Discount9">#REF!</definedName>
    <definedName name="discrate">#REF!</definedName>
    <definedName name="Docket">[76]Common!$B$3</definedName>
    <definedName name="DOIT">[41]Comparison!$CK$11</definedName>
    <definedName name="DP1875TB">#REF!</definedName>
    <definedName name="DR">#REF!</definedName>
    <definedName name="dsfasfsadfsdfsa">'[47]2005 CapEx (By VP By Dept) Budg'!$A$3:$P$431</definedName>
    <definedName name="dskdlss" hidden="1">{#N/A,#N/A,FALSE,"Monthly SAIFI";#N/A,#N/A,FALSE,"Yearly SAIFI";#N/A,#N/A,FALSE,"Monthly CAIDI";#N/A,#N/A,FALSE,"Yearly CAIDI";#N/A,#N/A,FALSE,"Monthly SAIDI";#N/A,#N/A,FALSE,"Yearly SAIDI";#N/A,#N/A,FALSE,"Monthly MAIFI";#N/A,#N/A,FALSE,"Yearly MAIFI";#N/A,#N/A,FALSE,"Monthly Cust &gt;=4 Int"}</definedName>
    <definedName name="dy">[41]Print!$A$8</definedName>
    <definedName name="dyCR">[41]Print!$G$8</definedName>
    <definedName name="dyqre90">[41]Model!$I$90</definedName>
    <definedName name="dyqre91">[41]Model!$J$94</definedName>
    <definedName name="dyqre92">[41]Model!$K$98</definedName>
    <definedName name="dyqre93">[41]Model!$L$101</definedName>
    <definedName name="dyqre94">[41]Model!$M$105</definedName>
    <definedName name="dyqre95">[41]Model!$N$109</definedName>
    <definedName name="dyqre96">[41]Model!$O$113</definedName>
    <definedName name="dyqre97">[41]Model!$P$119</definedName>
    <definedName name="dyqre98">[41]Model!$Q$123</definedName>
    <definedName name="dyQW">[41]Print!$C$8</definedName>
    <definedName name="dyS">[41]Print!$E$8</definedName>
    <definedName name="E">#REF!</definedName>
    <definedName name="eaewq">#REF!</definedName>
    <definedName name="EASTERN">#REF!</definedName>
    <definedName name="EDPlt01">#REF!</definedName>
    <definedName name="EDPlt02">#REF!</definedName>
    <definedName name="EDPlt03">#REF!</definedName>
    <definedName name="EDPlt04">#REF!</definedName>
    <definedName name="edred" hidden="1">{#N/A,#N/A,FALSE,"Monthly SAIFI";#N/A,#N/A,FALSE,"Yearly SAIFI";#N/A,#N/A,FALSE,"Monthly CAIDI";#N/A,#N/A,FALSE,"Yearly CAIDI";#N/A,#N/A,FALSE,"Monthly SAIDI";#N/A,#N/A,FALSE,"Yearly SAIDI";#N/A,#N/A,FALSE,"Monthly MAIFI";#N/A,#N/A,FALSE,"Yearly MAIFI";#N/A,#N/A,FALSE,"Monthly Cust &gt;=4 Int"}</definedName>
    <definedName name="EED">#REF!</definedName>
    <definedName name="EL_PR_ACC">#REF!</definedName>
    <definedName name="EL_PR_PMT">#REF!</definedName>
    <definedName name="ELEC_ACC">#REF!</definedName>
    <definedName name="ELEC_CUST">#REF!</definedName>
    <definedName name="ELEC_PMT">#REF!</definedName>
    <definedName name="ELEC_REV">#REF!</definedName>
    <definedName name="ELEC_SALES">#REF!</definedName>
    <definedName name="EMPALL">#REF!</definedName>
    <definedName name="empid">#REF!</definedName>
    <definedName name="ENT">#REF!</definedName>
    <definedName name="EPG">#REF!</definedName>
    <definedName name="EPJFTable">'[87]E-PJF Translation - Active'!$A$3:$AS$243</definedName>
    <definedName name="EPJFTableE">'[87]E-PJF Translation - Active'!$A$3:$AS$243</definedName>
    <definedName name="err">#REF!</definedName>
    <definedName name="erser">#REF!</definedName>
    <definedName name="EssOptions">"1100000000130100_11-          00"</definedName>
    <definedName name="Estimated_Fair_Value">"fair_value"</definedName>
    <definedName name="EstimateRetirement">'[65]Estimated Retirements'!$B$10:$H$64</definedName>
    <definedName name="expnoyear">[88]Common!$B$11</definedName>
    <definedName name="expnoyearE">[89]Common!$B$11</definedName>
    <definedName name="exptitle">[28]Common!$B$10</definedName>
    <definedName name="exptitleE">[28]Common!$B$10</definedName>
    <definedName name="expwmoney">[90]Common!$B$9</definedName>
    <definedName name="f" hidden="1">{#N/A,#N/A,FALSE,"Monthly SAIFI";#N/A,#N/A,FALSE,"Yearly SAIFI";#N/A,#N/A,FALSE,"Monthly CAIDI";#N/A,#N/A,FALSE,"Yearly CAIDI";#N/A,#N/A,FALSE,"Monthly SAIDI";#N/A,#N/A,FALSE,"Yearly SAIDI";#N/A,#N/A,FALSE,"Monthly MAIFI";#N/A,#N/A,FALSE,"Yearly MAIFI";#N/A,#N/A,FALSE,"Monthly Cust &gt;=4 Int"}</definedName>
    <definedName name="FACTOR_.75">'[41]Macro Tables'!$C$27</definedName>
    <definedName name="FACTOR_.80">'[41]Macro Tables'!$C$28</definedName>
    <definedName name="FACTOR_.85">'[41]Macro Tables'!$C$29</definedName>
    <definedName name="FACTOR_.90">'[41]Macro Tables'!$C$30</definedName>
    <definedName name="FACTOR_.95">'[41]Macro Tables'!$C$31</definedName>
    <definedName name="FACTOR_1">'[41]Macro Tables'!$C$32</definedName>
    <definedName name="FACTOR_1.05">'[41]Macro Tables'!$C$33</definedName>
    <definedName name="FACTOR_1.1">'[41]Macro Tables'!$C$34</definedName>
    <definedName name="FACTOR_1.15">'[41]Macro Tables'!$C$35</definedName>
    <definedName name="FACTOR_1.2">'[41]Macro Tables'!$C$36</definedName>
    <definedName name="FACTOR_1.25">'[41]Macro Tables'!$C$37</definedName>
    <definedName name="Factor_Category_Lookup">'[91]Allocation Factor Categories'!$A$2:$E$58</definedName>
    <definedName name="Factor_Lookup">'[91]Allocation Factors'!$A$8:$B$112</definedName>
    <definedName name="FACTOR_NAME">'[41]Macro Tables'!$C$22</definedName>
    <definedName name="FACTOR_TABLE">'[41]Macro Tables'!$B$27:$C$37</definedName>
    <definedName name="FACTOR_VALUE">'[41]Macro Tables'!$C$23</definedName>
    <definedName name="fafasfasf">#REF!</definedName>
    <definedName name="fair_value">[92]Assumptions!$B$14</definedName>
    <definedName name="fasdfsadf">'[47]2005 CapEx (By VP By Dept) Budg'!$A$3:$P$431</definedName>
    <definedName name="fasfsafasf">#REF!</definedName>
    <definedName name="fasfsdf">#REF!</definedName>
    <definedName name="fasfsfsdfsf">'[47]2005 CapEx (By VP By Dept) Budg'!$A$3:$P$431</definedName>
    <definedName name="fdfsdfsdfsdfsdfsd">'[47]2005 CapEx (By VP By Dept) Budg'!$A$3:$P$431</definedName>
    <definedName name="FDSDFSF" hidden="1">{#N/A,#N/A,FALSE,"Monthly SAIFI";#N/A,#N/A,FALSE,"Yearly SAIFI";#N/A,#N/A,FALSE,"Monthly CAIDI";#N/A,#N/A,FALSE,"Yearly CAIDI";#N/A,#N/A,FALSE,"Monthly SAIDI";#N/A,#N/A,FALSE,"Yearly SAIDI";#N/A,#N/A,FALSE,"Monthly MAIFI";#N/A,#N/A,FALSE,"Yearly MAIFI";#N/A,#N/A,FALSE,"Monthly Cust &gt;=4 Int"}</definedName>
    <definedName name="fdsfafs">#REF!</definedName>
    <definedName name="FEBRUARY">[93]Oct!#REF!</definedName>
    <definedName name="FERC.ICC">#REF!</definedName>
    <definedName name="ff" hidden="1">{#N/A,#N/A,FALSE,"Monthly SAIFI";#N/A,#N/A,FALSE,"Yearly SAIFI";#N/A,#N/A,FALSE,"Monthly CAIDI";#N/A,#N/A,FALSE,"Yearly CAIDI";#N/A,#N/A,FALSE,"Monthly SAIDI";#N/A,#N/A,FALSE,"Yearly SAIDI";#N/A,#N/A,FALSE,"Monthly MAIFI";#N/A,#N/A,FALSE,"Yearly MAIFI";#N/A,#N/A,FALSE,"Monthly Cust &gt;=4 Int"}</definedName>
    <definedName name="fff" hidden="1">{#N/A,#N/A,FALSE,"Monthly SAIFI";#N/A,#N/A,FALSE,"Yearly SAIFI";#N/A,#N/A,FALSE,"Monthly CAIDI";#N/A,#N/A,FALSE,"Yearly CAIDI";#N/A,#N/A,FALSE,"Monthly SAIDI";#N/A,#N/A,FALSE,"Yearly SAIDI";#N/A,#N/A,FALSE,"Monthly MAIFI";#N/A,#N/A,FALSE,"Yearly MAIFI";#N/A,#N/A,FALSE,"Monthly Cust &gt;=4 Int"}</definedName>
    <definedName name="ffff">'[47]2005 CapEx (By VP By Dept) Budg'!$A$3:$P$431</definedName>
    <definedName name="ffmbs">#REF!</definedName>
    <definedName name="fghjghjfgjf" hidden="1">{#N/A,#N/A,FALSE,"Monthly SAIFI";#N/A,#N/A,FALSE,"Yearly SAIFI";#N/A,#N/A,FALSE,"Monthly CAIDI";#N/A,#N/A,FALSE,"Yearly CAIDI";#N/A,#N/A,FALSE,"Monthly SAIDI";#N/A,#N/A,FALSE,"Yearly SAIDI";#N/A,#N/A,FALSE,"Monthly MAIFI";#N/A,#N/A,FALSE,"Yearly MAIFI";#N/A,#N/A,FALSE,"Monthly Cust &gt;=4 Int"}</definedName>
    <definedName name="fgsdfgdfgdfhdhdf">'[47]2005 CapEx (By VP By Dept) Budg'!$A$3:$P$431</definedName>
    <definedName name="Finance3">'[58]all EED O&amp;M BO data'!$AF$2:$AF$5000</definedName>
    <definedName name="FinanceOther">'[58]all EED O&amp;M BO data'!$AC$2:$AC$5000</definedName>
    <definedName name="FinDate">#REF!</definedName>
    <definedName name="findate2">[44]Sheet2!$Q$2:$Q$17</definedName>
    <definedName name="findate3">[44]Sheet2!$Q$2:$Q$17</definedName>
    <definedName name="FIT">[94]Common!$C$16</definedName>
    <definedName name="fjriesmd">#REF!</definedName>
    <definedName name="flap">[48]FLAP!$B$5</definedName>
    <definedName name="fmbs">#REF!</definedName>
    <definedName name="fnklsdfjklsgf">'[47]2005 CapEx (By VP By Dept) Budg'!$A$3:$P$431</definedName>
    <definedName name="Forecast">[60]Update!$B$5</definedName>
    <definedName name="fsafsfsaf">#REF!</definedName>
    <definedName name="fsdafasf" hidden="1">{#N/A,#N/A,FALSE,"Monthly SAIFI";#N/A,#N/A,FALSE,"Yearly SAIFI";#N/A,#N/A,FALSE,"Monthly CAIDI";#N/A,#N/A,FALSE,"Yearly CAIDI";#N/A,#N/A,FALSE,"Monthly SAIDI";#N/A,#N/A,FALSE,"Yearly SAIDI";#N/A,#N/A,FALSE,"Monthly MAIFI";#N/A,#N/A,FALSE,"Yearly MAIFI";#N/A,#N/A,FALSE,"Monthly Cust &gt;=4 Int"}</definedName>
    <definedName name="fsdf">#REF!</definedName>
    <definedName name="fsdfaf">#REF!</definedName>
    <definedName name="fsdfas">#REF!</definedName>
    <definedName name="fsdfsd">#REF!</definedName>
    <definedName name="fsdfsdfas">#REF!</definedName>
    <definedName name="fsdfsdfsfs">#REF!</definedName>
    <definedName name="fsdfsfs" hidden="1">{#N/A,#N/A,FALSE,"Monthly SAIFI";#N/A,#N/A,FALSE,"Yearly SAIFI";#N/A,#N/A,FALSE,"Monthly CAIDI";#N/A,#N/A,FALSE,"Yearly CAIDI";#N/A,#N/A,FALSE,"Monthly SAIDI";#N/A,#N/A,FALSE,"Yearly SAIDI";#N/A,#N/A,FALSE,"Monthly MAIFI";#N/A,#N/A,FALSE,"Yearly MAIFI";#N/A,#N/A,FALSE,"Monthly Cust &gt;=4 Int"}</definedName>
    <definedName name="fsdfsfsdfasfa" hidden="1">{#N/A,#N/A,FALSE,"Monthly SAIFI";#N/A,#N/A,FALSE,"Yearly SAIFI";#N/A,#N/A,FALSE,"Monthly CAIDI";#N/A,#N/A,FALSE,"Yearly CAIDI";#N/A,#N/A,FALSE,"Monthly SAIDI";#N/A,#N/A,FALSE,"Yearly SAIDI";#N/A,#N/A,FALSE,"Monthly MAIFI";#N/A,#N/A,FALSE,"Yearly MAIFI";#N/A,#N/A,FALSE,"Monthly Cust &gt;=4 Int"}</definedName>
    <definedName name="fsdfsfsf">#REF!</definedName>
    <definedName name="fsdfwer">#REF!</definedName>
    <definedName name="fsfsafkskfsf">#REF!</definedName>
    <definedName name="fsfsafs">#REF!</definedName>
    <definedName name="fsfsdfsafs">'[47]2005 CapEx (By VP By Dept) Budg'!$A$3:$P$431</definedName>
    <definedName name="fsfsfsafasf" hidden="1">{#N/A,#N/A,FALSE,"Monthly SAIFI";#N/A,#N/A,FALSE,"Yearly SAIFI";#N/A,#N/A,FALSE,"Monthly CAIDI";#N/A,#N/A,FALSE,"Yearly CAIDI";#N/A,#N/A,FALSE,"Monthly SAIDI";#N/A,#N/A,FALSE,"Yearly SAIDI";#N/A,#N/A,FALSE,"Monthly MAIFI";#N/A,#N/A,FALSE,"Yearly MAIFI";#N/A,#N/A,FALSE,"Monthly Cust &gt;=4 Int"}</definedName>
    <definedName name="full_credit">[41]Print!$I$20</definedName>
    <definedName name="Function">'[95]RMC By Func'!$A$2:$C$654</definedName>
    <definedName name="fwrwerwerwerwer" hidden="1">{#N/A,#N/A,FALSE,"Monthly SAIFI";#N/A,#N/A,FALSE,"Yearly SAIFI";#N/A,#N/A,FALSE,"Monthly CAIDI";#N/A,#N/A,FALSE,"Yearly CAIDI";#N/A,#N/A,FALSE,"Monthly SAIDI";#N/A,#N/A,FALSE,"Yearly SAIDI";#N/A,#N/A,FALSE,"Monthly MAIFI";#N/A,#N/A,FALSE,"Yearly MAIFI";#N/A,#N/A,FALSE,"Monthly Cust &gt;=4 Int"}</definedName>
    <definedName name="FY4D">#REF!</definedName>
    <definedName name="G">[76]Allocators!$W$7</definedName>
    <definedName name="GAM83M">#REF!</definedName>
    <definedName name="gatt">[96]TPACT!$B$5:$B$141</definedName>
    <definedName name="gattmale">[96]TPACT!$B$146:$B$282</definedName>
    <definedName name="gdfgdgdg">#REF!</definedName>
    <definedName name="gdfgsdfgsdfgsadf">'[47]2005 CapEx (By VP By Dept) Budg'!$A$3:$P$431</definedName>
    <definedName name="gdistrres">#REF!</definedName>
    <definedName name="gdistrupis">#REF!</definedName>
    <definedName name="GEN_INST">#REF!</definedName>
    <definedName name="GENERAL_HELP">#REF!</definedName>
    <definedName name="GenInput">#REF!</definedName>
    <definedName name="GenPay">#REF!</definedName>
    <definedName name="gfdfxdf">'[47]2005 CapEx (By VP By Dept) Budg'!$A$3:$P$431</definedName>
    <definedName name="gfdsgsdgfsd">'[47]2005 CapEx (By VP By Dept) Budg'!$A$3:$P$431</definedName>
    <definedName name="gfhfhfdhg">#REF!</definedName>
    <definedName name="gg">#REF!</definedName>
    <definedName name="ggg">#REF!</definedName>
    <definedName name="ghjgfj" hidden="1">{#N/A,#N/A,FALSE,"Monthly SAIFI";#N/A,#N/A,FALSE,"Yearly SAIFI";#N/A,#N/A,FALSE,"Monthly CAIDI";#N/A,#N/A,FALSE,"Yearly CAIDI";#N/A,#N/A,FALSE,"Monthly SAIDI";#N/A,#N/A,FALSE,"Yearly SAIDI";#N/A,#N/A,FALSE,"Monthly MAIFI";#N/A,#N/A,FALSE,"Yearly MAIFI";#N/A,#N/A,FALSE,"Monthly Cust &gt;=4 Int"}</definedName>
    <definedName name="ghjgfjfj" hidden="1">{#N/A,#N/A,FALSE,"Monthly SAIFI";#N/A,#N/A,FALSE,"Yearly SAIFI";#N/A,#N/A,FALSE,"Monthly CAIDI";#N/A,#N/A,FALSE,"Yearly CAIDI";#N/A,#N/A,FALSE,"Monthly SAIDI";#N/A,#N/A,FALSE,"Yearly SAIDI";#N/A,#N/A,FALSE,"Monthly MAIFI";#N/A,#N/A,FALSE,"Yearly MAIFI";#N/A,#N/A,FALSE,"Monthly Cust &gt;=4 Int"}</definedName>
    <definedName name="ghjgfjg" hidden="1">{#N/A,#N/A,FALSE,"Monthly SAIFI";#N/A,#N/A,FALSE,"Yearly SAIFI";#N/A,#N/A,FALSE,"Monthly CAIDI";#N/A,#N/A,FALSE,"Yearly CAIDI";#N/A,#N/A,FALSE,"Monthly SAIDI";#N/A,#N/A,FALSE,"Yearly SAIDI";#N/A,#N/A,FALSE,"Monthly MAIFI";#N/A,#N/A,FALSE,"Yearly MAIFI";#N/A,#N/A,FALSE,"Monthly Cust &gt;=4 Int"}</definedName>
    <definedName name="ghjgjgfjf" hidden="1">{#N/A,#N/A,FALSE,"Monthly SAIFI";#N/A,#N/A,FALSE,"Yearly SAIFI";#N/A,#N/A,FALSE,"Monthly CAIDI";#N/A,#N/A,FALSE,"Yearly CAIDI";#N/A,#N/A,FALSE,"Monthly SAIDI";#N/A,#N/A,FALSE,"Yearly SAIDI";#N/A,#N/A,FALSE,"Monthly MAIFI";#N/A,#N/A,FALSE,"Yearly MAIFI";#N/A,#N/A,FALSE,"Monthly Cust &gt;=4 Int"}</definedName>
    <definedName name="gprodres">#REF!</definedName>
    <definedName name="gprodupis">#REF!</definedName>
    <definedName name="GR_PRT_RANGE">[41]Gross_Rec!$A$8:$R$52</definedName>
    <definedName name="GRAPH_SELECT">#REF!</definedName>
    <definedName name="GRAPH_TABLE">#REF!</definedName>
    <definedName name="grec8490">[41]Model!$I$50</definedName>
    <definedName name="grec8491">[41]Model!$J$50</definedName>
    <definedName name="grec8492">[41]Model!$K$50</definedName>
    <definedName name="grec8493">[41]Model!$L$50</definedName>
    <definedName name="grec8494">[41]Model!$M$50</definedName>
    <definedName name="grec8495">[41]Model!$N$50</definedName>
    <definedName name="grec8496">[41]Model!$O$50</definedName>
    <definedName name="grec8497">[41]Model!$P$50</definedName>
    <definedName name="grec8498">[41]Model!$Q$50</definedName>
    <definedName name="grec8590">[41]Model!$I$51</definedName>
    <definedName name="grec8591">[41]Model!$J$51</definedName>
    <definedName name="grec8592">[41]Model!$K$51</definedName>
    <definedName name="grec8593">[41]Model!$L$51</definedName>
    <definedName name="grec8594">[41]Model!$M$51</definedName>
    <definedName name="grec8595">[41]Model!$N$51</definedName>
    <definedName name="grec8596">[41]Model!$O$51</definedName>
    <definedName name="grec8597">[41]Model!$P$51</definedName>
    <definedName name="grec8598">[41]Model!$Q$51</definedName>
    <definedName name="grec8690">[41]Model!$I$52</definedName>
    <definedName name="grec8691">[41]Model!$J$52</definedName>
    <definedName name="grec8692">[41]Model!$K$52</definedName>
    <definedName name="grec8693">[41]Model!$L$52</definedName>
    <definedName name="grec8694">[41]Model!$M$52</definedName>
    <definedName name="grec8695">[41]Model!$N$52</definedName>
    <definedName name="grec8696">[41]Model!$O$52</definedName>
    <definedName name="grec8697">[41]Model!$P$52</definedName>
    <definedName name="grec8698">[41]Model!$Q$52</definedName>
    <definedName name="grec8790">[41]Model!$I$53</definedName>
    <definedName name="grec8791">[41]Model!$J$53</definedName>
    <definedName name="grec8792">[41]Model!$K$53</definedName>
    <definedName name="grec8793">[41]Model!$L$53</definedName>
    <definedName name="grec8794">[41]Model!$M$53</definedName>
    <definedName name="grec8795">[41]Model!$N$53</definedName>
    <definedName name="grec8796">[41]Model!$O$53</definedName>
    <definedName name="grec8797">[41]Model!$P$53</definedName>
    <definedName name="grec8798">[41]Model!$Q$53</definedName>
    <definedName name="grec8890">[41]Model!$I$54</definedName>
    <definedName name="grec8891">[41]Model!$J$54</definedName>
    <definedName name="grec8892">[41]Model!$K$54</definedName>
    <definedName name="grec8893">[41]Model!$L$54</definedName>
    <definedName name="grec8894">[41]Model!$M$54</definedName>
    <definedName name="grec8895">[41]Model!$N$54</definedName>
    <definedName name="grec8896">[41]Model!$O$54</definedName>
    <definedName name="grec8897">[41]Model!$P$54</definedName>
    <definedName name="grec8898">[41]Model!$Q$54</definedName>
    <definedName name="gross_rec_caution">[41]Gross_Rec!$51:$52</definedName>
    <definedName name="GRS">[41]Gross_Rec!$B$2:$M$49</definedName>
    <definedName name="grtm1">[41]Print!$I$32</definedName>
    <definedName name="grtm2">[41]Print!$G$32</definedName>
    <definedName name="grtm3">[41]Print!$E$32</definedName>
    <definedName name="grtm4">[41]Print!$C$32</definedName>
    <definedName name="gtransres">#REF!</definedName>
    <definedName name="gtransupis">#REF!</definedName>
    <definedName name="GVKey">""</definedName>
    <definedName name="h" hidden="1">{#N/A,#N/A,FALSE,"Monthly SAIFI";#N/A,#N/A,FALSE,"Yearly SAIFI";#N/A,#N/A,FALSE,"Monthly CAIDI";#N/A,#N/A,FALSE,"Yearly CAIDI";#N/A,#N/A,FALSE,"Monthly SAIDI";#N/A,#N/A,FALSE,"Yearly SAIDI";#N/A,#N/A,FALSE,"Monthly MAIFI";#N/A,#N/A,FALSE,"Yearly MAIFI";#N/A,#N/A,FALSE,"Monthly Cust &gt;=4 Int"}</definedName>
    <definedName name="HELP_LOCATOR">#REF!</definedName>
    <definedName name="hh" hidden="1">{#N/A,#N/A,FALSE,"Monthly SAIFI";#N/A,#N/A,FALSE,"Yearly SAIFI";#N/A,#N/A,FALSE,"Monthly CAIDI";#N/A,#N/A,FALSE,"Yearly CAIDI";#N/A,#N/A,FALSE,"Monthly SAIDI";#N/A,#N/A,FALSE,"Yearly SAIDI";#N/A,#N/A,FALSE,"Monthly MAIFI";#N/A,#N/A,FALSE,"Yearly MAIFI";#N/A,#N/A,FALSE,"Monthly Cust &gt;=4 Int"}</definedName>
    <definedName name="hhifgfcgfcg">#REF!</definedName>
    <definedName name="hjfjghjgfjgj" hidden="1">{#N/A,#N/A,FALSE,"Monthly SAIFI";#N/A,#N/A,FALSE,"Yearly SAIFI";#N/A,#N/A,FALSE,"Monthly CAIDI";#N/A,#N/A,FALSE,"Yearly CAIDI";#N/A,#N/A,FALSE,"Monthly SAIDI";#N/A,#N/A,FALSE,"Yearly SAIDI";#N/A,#N/A,FALSE,"Monthly MAIFI";#N/A,#N/A,FALSE,"Yearly MAIFI";#N/A,#N/A,FALSE,"Monthly Cust &gt;=4 Int"}</definedName>
    <definedName name="hjghjgf" hidden="1">{#N/A,#N/A,FALSE,"Monthly SAIFI";#N/A,#N/A,FALSE,"Yearly SAIFI";#N/A,#N/A,FALSE,"Monthly CAIDI";#N/A,#N/A,FALSE,"Yearly CAIDI";#N/A,#N/A,FALSE,"Monthly SAIDI";#N/A,#N/A,FALSE,"Yearly SAIDI";#N/A,#N/A,FALSE,"Monthly MAIFI";#N/A,#N/A,FALSE,"Yearly MAIFI";#N/A,#N/A,FALSE,"Monthly Cust &gt;=4 Int"}</definedName>
    <definedName name="i">[97]Plant!$A$1:$N$62</definedName>
    <definedName name="IDN">#REF!</definedName>
    <definedName name="IL_AG_SRs">'[95]IL-A&amp;G SR Pivot'!$J$5:$K$415</definedName>
    <definedName name="ImplementDate">#REF!</definedName>
    <definedName name="Indirect">[95]IndirectAllocFactors!$C$5:$D$79</definedName>
    <definedName name="INPUT">#N/A</definedName>
    <definedName name="INPUT1">#REF!</definedName>
    <definedName name="INPUT2">#REF!</definedName>
    <definedName name="INPUT3">#REF!</definedName>
    <definedName name="INSERTRANGE">#REF!</definedName>
    <definedName name="INST_MULT_CV">#REF!</definedName>
    <definedName name="INST_PMT_SCHED">#REF!</definedName>
    <definedName name="Instrat3">[44]Sheet2!$P$1:$P$4</definedName>
    <definedName name="INSTRUCT">#REF!</definedName>
    <definedName name="int.rate">#REF!</definedName>
    <definedName name="interest">#REF!</definedName>
    <definedName name="interestrate">#REF!</definedName>
    <definedName name="invdtrat">[44]Sheet2!$P$1:$P$4</definedName>
    <definedName name="InvNbr">#REF!</definedName>
    <definedName name="InvStrat">[98]Sheet2!$P$1:$P$4</definedName>
    <definedName name="InvStratif">#REF!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"XLL"</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39420.5644328704</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T">#REF!</definedName>
    <definedName name="IT_VP_name">#REF!</definedName>
    <definedName name="ITBU">#REF!</definedName>
    <definedName name="item_data">[48]FLAP!#REF!</definedName>
    <definedName name="ITVP1">[99]Sheet2!$O$1:$O$6</definedName>
    <definedName name="ITVP2">[44]Sheet2!$O$1:$O$6</definedName>
    <definedName name="itvp5">[44]Sheet2!$O$1:$O$6</definedName>
    <definedName name="JANUARY">'[93]Sep - not used'!#REF!</definedName>
    <definedName name="jeff" hidden="1">{#N/A,#N/A,FALSE,"Monthly SAIFI";#N/A,#N/A,FALSE,"Yearly SAIFI";#N/A,#N/A,FALSE,"Monthly CAIDI";#N/A,#N/A,FALSE,"Yearly CAIDI";#N/A,#N/A,FALSE,"Monthly SAIDI";#N/A,#N/A,FALSE,"Yearly SAIDI";#N/A,#N/A,FALSE,"Monthly MAIFI";#N/A,#N/A,FALSE,"Yearly MAIFI";#N/A,#N/A,FALSE,"Monthly Cust &gt;=4 Int"}</definedName>
    <definedName name="jghjgjgfjgj" hidden="1">{#N/A,#N/A,FALSE,"Monthly SAIFI";#N/A,#N/A,FALSE,"Yearly SAIFI";#N/A,#N/A,FALSE,"Monthly CAIDI";#N/A,#N/A,FALSE,"Yearly CAIDI";#N/A,#N/A,FALSE,"Monthly SAIDI";#N/A,#N/A,FALSE,"Yearly SAIDI";#N/A,#N/A,FALSE,"Monthly MAIFI";#N/A,#N/A,FALSE,"Yearly MAIFI";#N/A,#N/A,FALSE,"Monthly Cust &gt;=4 Int"}</definedName>
    <definedName name="jhyfesg">'[47]2005 CapEx (By VP By Dept) Budg'!$A$3:$P$431</definedName>
    <definedName name="John" hidden="1">{#N/A,#N/A,FALSE,"Monthly SAIFI";#N/A,#N/A,FALSE,"Yearly SAIFI";#N/A,#N/A,FALSE,"Monthly CAIDI";#N/A,#N/A,FALSE,"Yearly CAIDI";#N/A,#N/A,FALSE,"Monthly SAIDI";#N/A,#N/A,FALSE,"Yearly SAIDI";#N/A,#N/A,FALSE,"Monthly MAIFI";#N/A,#N/A,FALSE,"Yearly MAIFI";#N/A,#N/A,FALSE,"Monthly Cust &gt;=4 Int"}</definedName>
    <definedName name="Jul">#REF!</definedName>
    <definedName name="Jun">#REF!</definedName>
    <definedName name="JV_DETAIL">#REF!</definedName>
    <definedName name="k" hidden="1">{#N/A,#N/A,FALSE,"Monthly SAIFI";#N/A,#N/A,FALSE,"Yearly SAIFI";#N/A,#N/A,FALSE,"Monthly CAIDI";#N/A,#N/A,FALSE,"Yearly CAIDI";#N/A,#N/A,FALSE,"Monthly SAIDI";#N/A,#N/A,FALSE,"Yearly SAIDI";#N/A,#N/A,FALSE,"Monthly MAIFI";#N/A,#N/A,FALSE,"Yearly MAIFI";#N/A,#N/A,FALSE,"Monthly Cust &gt;=4 Int"}</definedName>
    <definedName name="ket_it">[44]Sheet2!$AE$1:$AE$24</definedName>
    <definedName name="Key_Stakeholder_Interface">#REF!</definedName>
    <definedName name="KeyE1" hidden="1">#REF!</definedName>
    <definedName name="kk" hidden="1">{#N/A,#N/A,FALSE,"Monthly SAIFI";#N/A,#N/A,FALSE,"Yearly SAIFI";#N/A,#N/A,FALSE,"Monthly CAIDI";#N/A,#N/A,FALSE,"Yearly CAIDI";#N/A,#N/A,FALSE,"Monthly SAIDI";#N/A,#N/A,FALSE,"Yearly SAIDI";#N/A,#N/A,FALSE,"Monthly MAIFI";#N/A,#N/A,FALSE,"Yearly MAIFI";#N/A,#N/A,FALSE,"Monthly Cust &gt;=4 Int"}</definedName>
    <definedName name="kkk" hidden="1">{#N/A,#N/A,FALSE,"Monthly SAIFI";#N/A,#N/A,FALSE,"Yearly SAIFI";#N/A,#N/A,FALSE,"Monthly CAIDI";#N/A,#N/A,FALSE,"Yearly CAIDI";#N/A,#N/A,FALSE,"Monthly SAIDI";#N/A,#N/A,FALSE,"Yearly SAIDI";#N/A,#N/A,FALSE,"Monthly MAIFI";#N/A,#N/A,FALSE,"Yearly MAIFI";#N/A,#N/A,FALSE,"Monthly Cust &gt;=4 Int"}</definedName>
    <definedName name="Labor01">[76]Allocators!$W$22</definedName>
    <definedName name="Labor02">[76]Allocators!$W$20</definedName>
    <definedName name="Labor03">[76]Allocators!$W$18</definedName>
    <definedName name="Labor04">[76]Allocators!$W$7</definedName>
    <definedName name="lastrow">'[41]QRE''s'!$95:$95</definedName>
    <definedName name="Line_No.">#REF!</definedName>
    <definedName name="loilpuioopy" hidden="1">{#N/A,#N/A,FALSE,"Monthly SAIFI";#N/A,#N/A,FALSE,"Yearly SAIFI";#N/A,#N/A,FALSE,"Monthly CAIDI";#N/A,#N/A,FALSE,"Yearly CAIDI";#N/A,#N/A,FALSE,"Monthly SAIDI";#N/A,#N/A,FALSE,"Yearly SAIDI";#N/A,#N/A,FALSE,"Monthly MAIFI";#N/A,#N/A,FALSE,"Yearly MAIFI";#N/A,#N/A,FALSE,"Monthly Cust &gt;=4 Int"}</definedName>
    <definedName name="LONGBUDESCR">#REF!</definedName>
    <definedName name="LOOP_1">#REF!</definedName>
    <definedName name="LOOP_2">#REF!</definedName>
    <definedName name="LOOP_3">#REF!</definedName>
    <definedName name="loss">#REF!</definedName>
    <definedName name="LRP_Data">#REF!</definedName>
    <definedName name="lsdfj" hidden="1">{#N/A,#N/A,FALSE,"Monthly SAIFI";#N/A,#N/A,FALSE,"Yearly SAIFI";#N/A,#N/A,FALSE,"Monthly CAIDI";#N/A,#N/A,FALSE,"Yearly CAIDI";#N/A,#N/A,FALSE,"Monthly SAIDI";#N/A,#N/A,FALSE,"Yearly SAIDI";#N/A,#N/A,FALSE,"Monthly MAIFI";#N/A,#N/A,FALSE,"Yearly MAIFI";#N/A,#N/A,FALSE,"Monthly Cust &gt;=4 Int"}</definedName>
    <definedName name="lsdjf" hidden="1">{#N/A,#N/A,FALSE,"Monthly SAIFI";#N/A,#N/A,FALSE,"Yearly SAIFI";#N/A,#N/A,FALSE,"Monthly CAIDI";#N/A,#N/A,FALSE,"Yearly CAIDI";#N/A,#N/A,FALSE,"Monthly SAIDI";#N/A,#N/A,FALSE,"Yearly SAIDI";#N/A,#N/A,FALSE,"Monthly MAIFI";#N/A,#N/A,FALSE,"Yearly MAIFI";#N/A,#N/A,FALSE,"Monthly Cust &gt;=4 Int"}</definedName>
    <definedName name="lsdjfl" hidden="1">{#N/A,#N/A,FALSE,"Monthly SAIFI";#N/A,#N/A,FALSE,"Yearly SAIFI";#N/A,#N/A,FALSE,"Monthly CAIDI";#N/A,#N/A,FALSE,"Yearly CAIDI";#N/A,#N/A,FALSE,"Monthly SAIDI";#N/A,#N/A,FALSE,"Yearly SAIDI";#N/A,#N/A,FALSE,"Monthly MAIFI";#N/A,#N/A,FALSE,"Yearly MAIFI";#N/A,#N/A,FALSE,"Monthly Cust &gt;=4 Int"}</definedName>
    <definedName name="lsdjfls" hidden="1">{#N/A,#N/A,FALSE,"Monthly SAIFI";#N/A,#N/A,FALSE,"Yearly SAIFI";#N/A,#N/A,FALSE,"Monthly CAIDI";#N/A,#N/A,FALSE,"Yearly CAIDI";#N/A,#N/A,FALSE,"Monthly SAIDI";#N/A,#N/A,FALSE,"Yearly SAIDI";#N/A,#N/A,FALSE,"Monthly MAIFI";#N/A,#N/A,FALSE,"Yearly MAIFI";#N/A,#N/A,FALSE,"Monthly Cust &gt;=4 Int"}</definedName>
    <definedName name="lsdjfsdl" hidden="1">{#N/A,#N/A,FALSE,"Monthly SAIFI";#N/A,#N/A,FALSE,"Yearly SAIFI";#N/A,#N/A,FALSE,"Monthly CAIDI";#N/A,#N/A,FALSE,"Yearly CAIDI";#N/A,#N/A,FALSE,"Monthly SAIDI";#N/A,#N/A,FALSE,"Yearly SAIDI";#N/A,#N/A,FALSE,"Monthly MAIFI";#N/A,#N/A,FALSE,"Yearly MAIFI";#N/A,#N/A,FALSE,"Monthly Cust &gt;=4 Int"}</definedName>
    <definedName name="lsdjfsl" hidden="1">{#N/A,#N/A,FALSE,"Monthly SAIFI";#N/A,#N/A,FALSE,"Yearly SAIFI";#N/A,#N/A,FALSE,"Monthly CAIDI";#N/A,#N/A,FALSE,"Yearly CAIDI";#N/A,#N/A,FALSE,"Monthly SAIDI";#N/A,#N/A,FALSE,"Yearly SAIDI";#N/A,#N/A,FALSE,"Monthly MAIFI";#N/A,#N/A,FALSE,"Yearly MAIFI";#N/A,#N/A,FALSE,"Monthly Cust &gt;=4 Int"}</definedName>
    <definedName name="lsjfls" hidden="1">{#N/A,#N/A,FALSE,"Monthly SAIFI";#N/A,#N/A,FALSE,"Yearly SAIFI";#N/A,#N/A,FALSE,"Monthly CAIDI";#N/A,#N/A,FALSE,"Yearly CAIDI";#N/A,#N/A,FALSE,"Monthly SAIDI";#N/A,#N/A,FALSE,"Yearly SAIDI";#N/A,#N/A,FALSE,"Monthly MAIFI";#N/A,#N/A,FALSE,"Yearly MAIFI";#N/A,#N/A,FALSE,"Monthly Cust &gt;=4 Int"}</definedName>
    <definedName name="ltd.bal">#REF!</definedName>
    <definedName name="ltd.cost">#REF!</definedName>
    <definedName name="Macro3">#REF!</definedName>
    <definedName name="Macro4">#REF!</definedName>
    <definedName name="Macro5">#REF!</definedName>
    <definedName name="MACROS">#REF!</definedName>
    <definedName name="Mar">#REF!</definedName>
    <definedName name="May">#REF!</definedName>
    <definedName name="MEDICARE">#REF!</definedName>
    <definedName name="Meet_Cost_Commitments">#REF!</definedName>
    <definedName name="Meet_Production_Commitments">#REF!</definedName>
    <definedName name="mgmfeparg">'[47]2005 CapEx (By VP By Dept) Budg'!$A$3:$P$431</definedName>
    <definedName name="mmmtns">#REF!</definedName>
    <definedName name="mmtns">#REF!</definedName>
    <definedName name="MO_GAS_ACC">#REF!</definedName>
    <definedName name="MO_GAS_PMT">#REF!</definedName>
    <definedName name="modelgrheader">[41]Model!$A$3</definedName>
    <definedName name="modelqreheader">[41]Model!$A$78</definedName>
    <definedName name="MonAct">'[58]all EED O&amp;M BO data'!$E$2:$E$5000</definedName>
    <definedName name="MonBudVar">'[58]all EED O&amp;M BO data'!$H$2:$H$5000</definedName>
    <definedName name="money">[100]Common!$B$13</definedName>
    <definedName name="MonQtrVar">'[58]all EED O&amp;M BO data'!$I$2:$I$5000</definedName>
    <definedName name="Month">[60]Update!$B$2</definedName>
    <definedName name="MonthlyCFBUD">#REF!</definedName>
    <definedName name="MonthlyCFLE">#REF!</definedName>
    <definedName name="mtns">#REF!</definedName>
    <definedName name="mttns">#REF!</definedName>
    <definedName name="MULTCVDATA">#REF!</definedName>
    <definedName name="n">'[20]WPC-11.1a'!#REF!</definedName>
    <definedName name="NDCA">#REF!</definedName>
    <definedName name="ne">'[13]WPC-11.1a'!#REF!</definedName>
    <definedName name="new_98_IS">#REF!,#REF!,#REF!</definedName>
    <definedName name="New_99_IS">'[101]2nd qtr 2000'!$A$1:$I$58,'[101]2nd qtr 2000'!$K$1:$T$58,'[101]2nd qtr 2000'!$V$1:$AI$58</definedName>
    <definedName name="New_BS">#REF!,#REF!,#REF!</definedName>
    <definedName name="NEXT_STEP">[41]Comparison!$CK$14</definedName>
    <definedName name="NOILL">#REF!</definedName>
    <definedName name="NON_MED_NU">#REF!</definedName>
    <definedName name="NON_MED_U">#REF!</definedName>
    <definedName name="NON_UTIL">#REF!</definedName>
    <definedName name="NORTHEAST">#REF!</definedName>
    <definedName name="NORTHWEST">#REF!</definedName>
    <definedName name="Nov">#REF!</definedName>
    <definedName name="Nuclear">#REF!</definedName>
    <definedName name="NvsASD">"V2001-08-31"</definedName>
    <definedName name="NvsAutoDrillOk">"VN"</definedName>
    <definedName name="NvsElapsedTime">0.0000724537021596916</definedName>
    <definedName name="NvsEndTime">36817.4223792824</definedName>
    <definedName name="NvsInstSpec">"%,LACTUALS,SBAL,R,FACCOUNT,V275900,FBUSINESS_UNIT,V10200"</definedName>
    <definedName name="NvsLayoutType">"M3"</definedName>
    <definedName name="NvsNplSpec">"%,XZF.ACCOUNT.PSDetail"</definedName>
    <definedName name="NvsPanelEffdt">"V1995-01-01"</definedName>
    <definedName name="NvsPanelSetid">"VMFG"</definedName>
    <definedName name="NvsParentRef">[102]Sheet1!$E$266</definedName>
    <definedName name="NvsReqBU">"V10200"</definedName>
    <definedName name="NvsReqBUOnly">"VN"</definedName>
    <definedName name="NvsTransLed">"VN"</definedName>
    <definedName name="NvsTreeASD">"V2001-08-31"</definedName>
    <definedName name="NvsValTbl.ACCOUNT">"GL_ACCOUNT_TBL"</definedName>
    <definedName name="NvsValTbl.BUSINESS_UNIT">"BUS_UNIT_TBL_GL"</definedName>
    <definedName name="NvsValTbl.CURRENCY_CD">"CURRENCY_CD_TBL"</definedName>
    <definedName name="OBRADR">#REF!</definedName>
    <definedName name="Oct">#REF!</definedName>
    <definedName name="OMA">'[69]ACT O M'!$D$7:$T$32</definedName>
    <definedName name="OMB">'[69]BUD O M'!$D$7:$O$32</definedName>
    <definedName name="OMD1E">[75]Roadmap!$C$194</definedName>
    <definedName name="OMD2E">[75]Roadmap!$C$195</definedName>
    <definedName name="OMExpenses">#REF!</definedName>
    <definedName name="one">#REF!,#REF!,#REF!</definedName>
    <definedName name="ONM">#REF!</definedName>
    <definedName name="ootherdebt">#REF!</definedName>
    <definedName name="Operational_Excellence_">#REF!</definedName>
    <definedName name="Operational_Execution_And_Safety">#REF!</definedName>
    <definedName name="OPR">'[57]PECO Bal Sht'!#REF!</definedName>
    <definedName name="OtherDebt">#REF!</definedName>
    <definedName name="OtherFinal">#REF!</definedName>
    <definedName name="OtherFinalE">#REF!</definedName>
    <definedName name="page_one">#REF!</definedName>
    <definedName name="page_two">#REF!</definedName>
    <definedName name="PAGE1">#REF!</definedName>
    <definedName name="PAGE2">#REF!</definedName>
    <definedName name="PAGE2A">#REF!</definedName>
    <definedName name="PAGE3">#REF!</definedName>
    <definedName name="PAGE4">#REF!</definedName>
    <definedName name="PAGEA">#REF!</definedName>
    <definedName name="PAGEC">#REF!</definedName>
    <definedName name="PAGEE">#REF!</definedName>
    <definedName name="PD_CLAIMS_NSG1">#REF!</definedName>
    <definedName name="PD_CLAIMS_NSG2">#REF!</definedName>
    <definedName name="PD_CLAIMS_PGL1">#REF!</definedName>
    <definedName name="PD_CLAIMS_PGL2">#REF!</definedName>
    <definedName name="PD_CLAIMS_SUM">#REF!</definedName>
    <definedName name="pe">[41]Print!$A$2</definedName>
    <definedName name="PECO_LABS_FUELS_ALL">#REF!</definedName>
    <definedName name="peco1">'[47]2005 CapEx (By VP By Dept) Budg'!$A$3:$P$382</definedName>
    <definedName name="peco2">'[47]2005 CapEx (By VP By Dept) Budg'!$A$3:$P$382</definedName>
    <definedName name="pecobod45">'[47]2005 CapEx (By VP By Dept) Budg'!$A$3:$P$383</definedName>
    <definedName name="pecomfr3">'[47]2005 CapEx (By VP By Dept) Budg'!$A$3:$P$382</definedName>
    <definedName name="PER">#REF!</definedName>
    <definedName name="Perf_Ratings">'[103]Perf Ratings'!$8:$18</definedName>
    <definedName name="PGCOUNT">'[57]PECO Bal Sht'!#REF!</definedName>
    <definedName name="pgm_pri1">[44]Sheet2!$AF$1:$AF$3</definedName>
    <definedName name="Phase">'[41]Macro Tables'!$F$21</definedName>
    <definedName name="PHASE_HELP">#REF!</definedName>
    <definedName name="PJFTable">'[104]WO Type Id PJF Acct'!$B$7:$O$59</definedName>
    <definedName name="PJFTable2">'[105]WO Type Id PJF Acct'!$C$6:$Q$59</definedName>
    <definedName name="PLACE_HOLD">#REF!</definedName>
    <definedName name="plt1t">[97]Plant!$A$1:$N$54</definedName>
    <definedName name="plt2t">[97]Plant!$A$1:$N$62</definedName>
    <definedName name="PMTSCHEDULE">#REF!</definedName>
    <definedName name="PostDate">#REF!</definedName>
    <definedName name="PowerTeam">#REF!</definedName>
    <definedName name="ppstk">[106]PS!#REF!</definedName>
    <definedName name="prefstk.cost">#REF!</definedName>
    <definedName name="PREPAID_TAX">#REF!</definedName>
    <definedName name="Pri">#REF!</definedName>
    <definedName name="Print_98_IS">#REF!,#REF!,#REF!</definedName>
    <definedName name="Print_99_IS">'[101]2nd qtr 2000'!$D$1:$I$58,'[101]2nd qtr 2000'!$N$1:$T$58,'[101]2nd qtr 2000'!$AA$1:$AH$57</definedName>
    <definedName name="_xlnm.Print_Area" localSheetId="6">'MEEIA 2 adjs'!$A$2:$Q$16</definedName>
    <definedName name="_xlnm.Print_Area" localSheetId="5">'MEEIA 2 calcs'!$A$1:$AV$105</definedName>
    <definedName name="_xlnm.Print_Area" localSheetId="2">'MEEIA 3 adjs'!$A$2:$B$3</definedName>
    <definedName name="_xlnm.Print_Area" localSheetId="0">'MEEIA 3 calcs'!$A$1:$O$75</definedName>
    <definedName name="_xlnm.Print_Area">#REF!</definedName>
    <definedName name="Print_Area_MI">#REF!</definedName>
    <definedName name="Print_Area1">#REF!</definedName>
    <definedName name="Print_BS">#REF!,#REF!,#REF!</definedName>
    <definedName name="PRINT_SET_UP">#REF!</definedName>
    <definedName name="Print_TFI_use">'[107]TFI use'!$A$1:$P$40,'[107]TFI use'!$A$42:$P$65,'[107]TFI use'!$A$67:$R$84</definedName>
    <definedName name="_xlnm.Print_Titles">#REF!,#REF!</definedName>
    <definedName name="PrintA">#REF!</definedName>
    <definedName name="PrintArea">#REF!</definedName>
    <definedName name="PRINTLOGO">#REF!</definedName>
    <definedName name="PRINTPRINTIT">#REF!</definedName>
    <definedName name="Prior">#REF!</definedName>
    <definedName name="PriorQTREnd">[66]SETUP!#REF!</definedName>
    <definedName name="PRNFILE">#REF!</definedName>
    <definedName name="prod04">'[28]WPC-11.1a'!#REF!</definedName>
    <definedName name="Profitability_">#REF!</definedName>
    <definedName name="proforma2">#REF!</definedName>
    <definedName name="Projects">'[95]Projects 2006'!$A:$C</definedName>
    <definedName name="Property">#REF!</definedName>
    <definedName name="PropertyE">#REF!</definedName>
    <definedName name="PRT_COMPARE">#REF!</definedName>
    <definedName name="PRT_GR">#REF!</definedName>
    <definedName name="PRT_GRAPH_RTN">#REF!</definedName>
    <definedName name="PRT_GRAPHS">#REF!</definedName>
    <definedName name="PRT_GRAPHS?">#REF!</definedName>
    <definedName name="PRT_GRPH_1">#REF!</definedName>
    <definedName name="PRT_GRPH_10">#REF!</definedName>
    <definedName name="PRT_GRPH_11">#REF!</definedName>
    <definedName name="PRT_GRPH_12">#REF!</definedName>
    <definedName name="PRT_GRPH_2">#REF!</definedName>
    <definedName name="PRT_GRPH_3">#REF!</definedName>
    <definedName name="PRT_GRPH_4">#REF!</definedName>
    <definedName name="PRT_GRPH_5">#REF!</definedName>
    <definedName name="PRT_GRPH_6">#REF!</definedName>
    <definedName name="PRT_GRPH_7">#REF!</definedName>
    <definedName name="PRT_GRPH_8">#REF!</definedName>
    <definedName name="PRT_GRPH_9">#REF!</definedName>
    <definedName name="PRT_MODEL">#REF!</definedName>
    <definedName name="PRT_QRES">#REF!</definedName>
    <definedName name="PRT_REPORT_RTN">#REF!</definedName>
    <definedName name="PRT_REPORTS">#REF!</definedName>
    <definedName name="PRT_REPORTS?">#REF!</definedName>
    <definedName name="PRT_RESET">#REF!</definedName>
    <definedName name="pstk.bal">#REF!</definedName>
    <definedName name="pstk.cost">[108]PS!#REF!</definedName>
    <definedName name="PY_ytd">[49]Administrator!$I$60</definedName>
    <definedName name="pymonth">[66]SETUP!$C$26</definedName>
    <definedName name="QES">'[41]Gross_Rec:QRE''s'!$B$53:$N$112</definedName>
    <definedName name="qq">#REF!</definedName>
    <definedName name="qqqq">#REF!</definedName>
    <definedName name="qre">'[109]IDR 15'!$A$1:$H$214</definedName>
    <definedName name="QRE_HELP">#REF!</definedName>
    <definedName name="QRE_MARGINS">#REF!</definedName>
    <definedName name="QRE_SUMMARY">'[41]QRE''s'!$A$7:$R$102</definedName>
    <definedName name="qsqe">#REF!</definedName>
    <definedName name="QuarterEndDate">[66]SETUP!#REF!</definedName>
    <definedName name="Range1">'[81]One Year Credit Facility'!$A$23:$D$34</definedName>
    <definedName name="Range10">#REF!</definedName>
    <definedName name="Range11">#REF!</definedName>
    <definedName name="Range12">#REF!</definedName>
    <definedName name="Range13">#REF!</definedName>
    <definedName name="Range14">#REF!</definedName>
    <definedName name="Range15">#REF!</definedName>
    <definedName name="Range16">#REF!</definedName>
    <definedName name="Range17">#REF!</definedName>
    <definedName name="Range18">#REF!</definedName>
    <definedName name="Range19">#REF!</definedName>
    <definedName name="Range2">#REF!</definedName>
    <definedName name="Range20">#REF!</definedName>
    <definedName name="Range21">#REF!</definedName>
    <definedName name="Range22">#REF!</definedName>
    <definedName name="Range23">#REF!</definedName>
    <definedName name="Range24">#REF!</definedName>
    <definedName name="Range25">#REF!</definedName>
    <definedName name="Range26">#REF!</definedName>
    <definedName name="Range27">#REF!</definedName>
    <definedName name="Range28">#REF!</definedName>
    <definedName name="Range29">#REF!</definedName>
    <definedName name="Range3">'[81]Three Year Credit Facility'!$A$22:$D$57</definedName>
    <definedName name="Range30">#REF!</definedName>
    <definedName name="Range31">#REF!</definedName>
    <definedName name="Range32">#REF!</definedName>
    <definedName name="Range33">#REF!</definedName>
    <definedName name="Range34">#REF!</definedName>
    <definedName name="Range35">#REF!</definedName>
    <definedName name="Range36">#REF!</definedName>
    <definedName name="Range37">#REF!</definedName>
    <definedName name="Range38">#REF!</definedName>
    <definedName name="Range39">#REF!</definedName>
    <definedName name="Range4">#REF!</definedName>
    <definedName name="Range40">#REF!</definedName>
    <definedName name="Range41">#REF!</definedName>
    <definedName name="Range5">#REF!</definedName>
    <definedName name="Range6">#REF!</definedName>
    <definedName name="Range7">#REF!</definedName>
    <definedName name="Range8">#REF!</definedName>
    <definedName name="Range9">#REF!</definedName>
    <definedName name="Rate_Class">#REF!</definedName>
    <definedName name="rate_classE">#REF!</definedName>
    <definedName name="rate90">[41]Model!$I$175</definedName>
    <definedName name="rate91">[41]Model!$J$175</definedName>
    <definedName name="rate92">[41]Model!$K$175</definedName>
    <definedName name="rate93">[41]Model!$L$175</definedName>
    <definedName name="rate94">[41]Model!$M$175</definedName>
    <definedName name="rate95">[41]Model!$N$175</definedName>
    <definedName name="rate96">[41]Model!$O$175</definedName>
    <definedName name="rate97">[41]Model!$P$175</definedName>
    <definedName name="rate98">[41]Model!$Q$175</definedName>
    <definedName name="rb2E">[27]Roadmap!$C$111</definedName>
    <definedName name="RBD1E">[75]Roadmap!$C$192</definedName>
    <definedName name="rbd2e">[75]Roadmap!$C$193</definedName>
    <definedName name="rbnoyear">[90]Common!$B$7</definedName>
    <definedName name="rbtitle">[19]Common!$B$6</definedName>
    <definedName name="rbtitlee">[12]Common!$B$6</definedName>
    <definedName name="RBU">'[57]PECO Bal Sht'!#REF!</definedName>
    <definedName name="rbwmoney">[90]Common!$B$5</definedName>
    <definedName name="reawreqw" hidden="1">{#N/A,#N/A,FALSE,"Monthly SAIFI";#N/A,#N/A,FALSE,"Yearly SAIFI";#N/A,#N/A,FALSE,"Monthly CAIDI";#N/A,#N/A,FALSE,"Yearly CAIDI";#N/A,#N/A,FALSE,"Monthly SAIDI";#N/A,#N/A,FALSE,"Yearly SAIDI";#N/A,#N/A,FALSE,"Monthly MAIFI";#N/A,#N/A,FALSE,"Yearly MAIFI";#N/A,#N/A,FALSE,"Monthly Cust &gt;=4 Int"}</definedName>
    <definedName name="REB1P1">#REF!</definedName>
    <definedName name="_xlnm.Recorder">#REF!</definedName>
    <definedName name="reduced_credit">[41]Print!$I$22</definedName>
    <definedName name="reduced_credit_caption">[41]Print!$G$22</definedName>
    <definedName name="Refresh_Report">[72]!Refresh_Report</definedName>
    <definedName name="REPORT_SELECT">#REF!</definedName>
    <definedName name="REPORT_TABLE">#REF!</definedName>
    <definedName name="ReportingDate">[64]SETUP!$C$11</definedName>
    <definedName name="ReqDate">#REF!</definedName>
    <definedName name="RESET_SENS_FACT">#REF!</definedName>
    <definedName name="ResourceType">'[95]Resource Types'!$A$2:$B$118</definedName>
    <definedName name="RETURN">#REF!</definedName>
    <definedName name="RID">#REF!</definedName>
    <definedName name="RMC">'[95]RMC-Descrip'!$A$2:$B$875</definedName>
    <definedName name="rmc2e">'[11]RMC-Descrip'!#REF!</definedName>
    <definedName name="ROA">#REF!</definedName>
    <definedName name="RoleMapColumn">#REF!</definedName>
    <definedName name="RoleMapRow">#REF!</definedName>
    <definedName name="RoleMapTable">#REF!</definedName>
    <definedName name="RtdEarnings">#REF!</definedName>
    <definedName name="rtdearningse">#REF!</definedName>
    <definedName name="RWOEstimates">'[110]Estimate Grouping RWOs'!$A$5:$H$81</definedName>
    <definedName name="rwrw">#REF!</definedName>
    <definedName name="s">#REF!</definedName>
    <definedName name="saaaagd">'[47]2005 CapEx (By VP By Dept) Budg'!$A$3:$P$431</definedName>
    <definedName name="saaanghvi21">'[47]2005 CapEx (By VP By Dept) Budg'!$A$3:$P$431</definedName>
    <definedName name="safasdfsad">'[47]2005 CapEx (By VP By Dept) Budg'!$A$3:$P$431</definedName>
    <definedName name="Safety_Workforce_Eff_">#REF!</definedName>
    <definedName name="saff">'[47]2005 CapEx (By VP By Dept) Budg'!$A$3:$P$431</definedName>
    <definedName name="safsafs">#REF!</definedName>
    <definedName name="safsfsad">#REF!</definedName>
    <definedName name="safsgfsdf">'[47]2005 CapEx (By VP By Dept) Budg'!$A$3:$P$431</definedName>
    <definedName name="salkgasgs">'[47]2005 CapEx (By VP By Dept) Budg'!$A$3:$P$431</definedName>
    <definedName name="Sample">#REF!</definedName>
    <definedName name="Sample_2_VLookup">#REF!</definedName>
    <definedName name="Sample_VLookup">#REF!</definedName>
    <definedName name="Sample2">#REF!</definedName>
    <definedName name="sanahgsg">'[47]2005 CapEx (By VP By Dept) Budg'!$A$3:$P$431</definedName>
    <definedName name="sangg">'[47]2005 CapEx (By VP By Dept) Budg'!$A$3:$P$431</definedName>
    <definedName name="sangh">#REF!</definedName>
    <definedName name="sanghiii">'[47]2005 CapEx (By VP By Dept) Budg'!$A$3:$P$431</definedName>
    <definedName name="sanghvi">'[47]2005 CapEx (By VP By Dept) Budg'!$A$3:$P$431</definedName>
    <definedName name="sanghvi215">#REF!</definedName>
    <definedName name="sanghvi231">'[47]2005 CapEx (By VP By Dept) Budg'!$A$3:$P$431</definedName>
    <definedName name="sanghvi232">#REF!</definedName>
    <definedName name="sanghvi2323">#REF!</definedName>
    <definedName name="SAPBEXrevision" hidden="1">18</definedName>
    <definedName name="SAPBEXsysID" hidden="1">"BWP"</definedName>
    <definedName name="SAPBEXwbID" hidden="1">"3PHPFV8FO7PRQRDHFGKHVVOKV"</definedName>
    <definedName name="sasas">'[47]2005 CapEx (By VP By Dept) Budg'!$A$3:$P$431</definedName>
    <definedName name="saSAsa" hidden="1">{#N/A,#N/A,FALSE,"Monthly SAIFI";#N/A,#N/A,FALSE,"Yearly SAIFI";#N/A,#N/A,FALSE,"Monthly CAIDI";#N/A,#N/A,FALSE,"Yearly CAIDI";#N/A,#N/A,FALSE,"Monthly SAIDI";#N/A,#N/A,FALSE,"Yearly SAIDI";#N/A,#N/A,FALSE,"Monthly MAIFI";#N/A,#N/A,FALSE,"Yearly MAIFI";#N/A,#N/A,FALSE,"Monthly Cust &gt;=4 Int"}</definedName>
    <definedName name="sasg">#REF!</definedName>
    <definedName name="SBU_SHEET_HELP">#REF!</definedName>
    <definedName name="sch.A">#REF!</definedName>
    <definedName name="sch.b._FERC_ICC">#REF!</definedName>
    <definedName name="Schedule_CC1">[41]Model!$1:$75</definedName>
    <definedName name="Schedule_CC2">[41]Model!$76:$151</definedName>
    <definedName name="Schedule_CC3">[41]Model!$152:$207</definedName>
    <definedName name="SCHUYLKILL">#REF!</definedName>
    <definedName name="sdajsadf">'[47]2005 CapEx (By VP By Dept) Budg'!$A$3:$P$431</definedName>
    <definedName name="sdasda">#REF!</definedName>
    <definedName name="sdf" hidden="1">{#N/A,#N/A,FALSE,"Monthly SAIFI";#N/A,#N/A,FALSE,"Yearly SAIFI";#N/A,#N/A,FALSE,"Monthly CAIDI";#N/A,#N/A,FALSE,"Yearly CAIDI";#N/A,#N/A,FALSE,"Monthly SAIDI";#N/A,#N/A,FALSE,"Yearly SAIDI";#N/A,#N/A,FALSE,"Monthly MAIFI";#N/A,#N/A,FALSE,"Yearly MAIFI";#N/A,#N/A,FALSE,"Monthly Cust &gt;=4 Int"}</definedName>
    <definedName name="sdfaadfasdfasdaasdfsdf" hidden="1">{#N/A,#N/A,FALSE,"Monthly SAIFI";#N/A,#N/A,FALSE,"Yearly SAIFI";#N/A,#N/A,FALSE,"Monthly CAIDI";#N/A,#N/A,FALSE,"Yearly CAIDI";#N/A,#N/A,FALSE,"Monthly SAIDI";#N/A,#N/A,FALSE,"Yearly SAIDI";#N/A,#N/A,FALSE,"Monthly MAIFI";#N/A,#N/A,FALSE,"Yearly MAIFI";#N/A,#N/A,FALSE,"Monthly Cust &gt;=4 Int"}</definedName>
    <definedName name="sdfadfafsdf">'[47]2005 CapEx (By VP By Dept) Budg'!$A$3:$P$431</definedName>
    <definedName name="sdfafsd">#REF!</definedName>
    <definedName name="sdfasdfasdfasdfasdfsdf" hidden="1">{#N/A,#N/A,FALSE,"Monthly SAIFI";#N/A,#N/A,FALSE,"Yearly SAIFI";#N/A,#N/A,FALSE,"Monthly CAIDI";#N/A,#N/A,FALSE,"Yearly CAIDI";#N/A,#N/A,FALSE,"Monthly SAIDI";#N/A,#N/A,FALSE,"Yearly SAIDI";#N/A,#N/A,FALSE,"Monthly MAIFI";#N/A,#N/A,FALSE,"Yearly MAIFI";#N/A,#N/A,FALSE,"Monthly Cust &gt;=4 Int"}</definedName>
    <definedName name="sdfasfasfasfsdf">#REF!</definedName>
    <definedName name="sdfasfsf">#REF!</definedName>
    <definedName name="sdfdfafaf">'[47]2005 CapEx (By VP By Dept) Budg'!$A$3:$P$431</definedName>
    <definedName name="sdfdfsf">#REF!</definedName>
    <definedName name="sdfds" hidden="1">{#N/A,#N/A,FALSE,"Monthly SAIFI";#N/A,#N/A,FALSE,"Yearly SAIFI";#N/A,#N/A,FALSE,"Monthly CAIDI";#N/A,#N/A,FALSE,"Yearly CAIDI";#N/A,#N/A,FALSE,"Monthly SAIDI";#N/A,#N/A,FALSE,"Yearly SAIDI";#N/A,#N/A,FALSE,"Monthly MAIFI";#N/A,#N/A,FALSE,"Yearly MAIFI";#N/A,#N/A,FALSE,"Monthly Cust &gt;=4 Int"}</definedName>
    <definedName name="sdffsfaf">#REF!</definedName>
    <definedName name="sdfsadfsf">#REF!</definedName>
    <definedName name="sdfsdfafasf">'[47]2005 CapEx (By VP By Dept) Budg'!$A$3:$P$431</definedName>
    <definedName name="sdfsdfdfdf">#REF!</definedName>
    <definedName name="sdfsdffsdfasfsdfsfasfsdfsfsdf" hidden="1">{#N/A,#N/A,FALSE,"Monthly SAIFI";#N/A,#N/A,FALSE,"Yearly SAIFI";#N/A,#N/A,FALSE,"Monthly CAIDI";#N/A,#N/A,FALSE,"Yearly CAIDI";#N/A,#N/A,FALSE,"Monthly SAIDI";#N/A,#N/A,FALSE,"Yearly SAIDI";#N/A,#N/A,FALSE,"Monthly MAIFI";#N/A,#N/A,FALSE,"Yearly MAIFI";#N/A,#N/A,FALSE,"Monthly Cust &gt;=4 Int"}</definedName>
    <definedName name="sdfsdfs">#REF!</definedName>
    <definedName name="sdfsdfsdasdfsd">#REF!</definedName>
    <definedName name="sdfsdfsdf">'[47]2005 CapEx (By VP By Dept) Budg'!$A$3:$P$431</definedName>
    <definedName name="sdfsdfsdfsdfsdf">#REF!</definedName>
    <definedName name="sdfsdfsfsa" hidden="1">{#N/A,#N/A,FALSE,"Monthly SAIFI";#N/A,#N/A,FALSE,"Yearly SAIFI";#N/A,#N/A,FALSE,"Monthly CAIDI";#N/A,#N/A,FALSE,"Yearly CAIDI";#N/A,#N/A,FALSE,"Monthly SAIDI";#N/A,#N/A,FALSE,"Yearly SAIDI";#N/A,#N/A,FALSE,"Monthly MAIFI";#N/A,#N/A,FALSE,"Yearly MAIFI";#N/A,#N/A,FALSE,"Monthly Cust &gt;=4 Int"}</definedName>
    <definedName name="sdfsf">#REF!</definedName>
    <definedName name="sdgf" hidden="1">#REF!</definedName>
    <definedName name="sdgrsdfsfsdsd">'[47]2005 CapEx (By VP By Dept) Budg'!$A$3:$P$431</definedName>
    <definedName name="sdsdsa">#REF!</definedName>
    <definedName name="sdsdsddsf">'[47]2005 CapEx (By VP By Dept) Budg'!$A$3:$P$431</definedName>
    <definedName name="sefasdfasdfsdf">'[47]2005 CapEx (By VP By Dept) Budg'!$A$3:$P$431</definedName>
    <definedName name="SendCk">#REF!</definedName>
    <definedName name="SendMC">#REF!</definedName>
    <definedName name="SENS_DATA_RTN">#REF!</definedName>
    <definedName name="SENS_MESSAGE">#REF!</definedName>
    <definedName name="SENS_NET_CREDIT">[41]Sens_Model!$E$193</definedName>
    <definedName name="Sep">#REF!</definedName>
    <definedName name="SERP">#REF!</definedName>
    <definedName name="sf">#REF!</definedName>
    <definedName name="SFDD">'[57]PECO Bal Sht'!#REF!</definedName>
    <definedName name="sffsfa" hidden="1">{#N/A,#N/A,FALSE,"Monthly SAIFI";#N/A,#N/A,FALSE,"Yearly SAIFI";#N/A,#N/A,FALSE,"Monthly CAIDI";#N/A,#N/A,FALSE,"Yearly CAIDI";#N/A,#N/A,FALSE,"Monthly SAIDI";#N/A,#N/A,FALSE,"Yearly SAIDI";#N/A,#N/A,FALSE,"Monthly MAIFI";#N/A,#N/A,FALSE,"Yearly MAIFI";#N/A,#N/A,FALSE,"Monthly Cust &gt;=4 Int"}</definedName>
    <definedName name="sfsd">#REF!</definedName>
    <definedName name="sfsdfasf">#REF!</definedName>
    <definedName name="sfsdfsafsf">#REF!</definedName>
    <definedName name="sfsdfsdf">#REF!</definedName>
    <definedName name="sfsdfsfsfsd">#REF!</definedName>
    <definedName name="sfsf">'[47]2005 CapEx (By VP By Dept) Budg'!$A$3:$P$431</definedName>
    <definedName name="sfsfasfsdfsdf">'[47]2005 CapEx (By VP By Dept) Budg'!$A$3:$P$431</definedName>
    <definedName name="SFSFD" hidden="1">{#N/A,#N/A,FALSE,"Monthly SAIFI";#N/A,#N/A,FALSE,"Yearly SAIFI";#N/A,#N/A,FALSE,"Monthly CAIDI";#N/A,#N/A,FALSE,"Yearly CAIDI";#N/A,#N/A,FALSE,"Monthly SAIDI";#N/A,#N/A,FALSE,"Yearly SAIDI";#N/A,#N/A,FALSE,"Monthly MAIFI";#N/A,#N/A,FALSE,"Yearly MAIFI";#N/A,#N/A,FALSE,"Monthly Cust &gt;=4 Int"}</definedName>
    <definedName name="sfsfs">'[47]2005 CapEx (By VP By Dept) Budg'!$A$3:$P$431</definedName>
    <definedName name="sfsfsf">#REF!</definedName>
    <definedName name="sfsssr">#REF!</definedName>
    <definedName name="SFVD">'[57]PECO Bal Sht'!#REF!</definedName>
    <definedName name="sgggggkjjkkj">#REF!</definedName>
    <definedName name="shedulecc1">[41]Model!$1:$68</definedName>
    <definedName name="Sheet1" hidden="1">{#N/A,#N/A,FALSE,"Monthly SAIFI";#N/A,#N/A,FALSE,"Yearly SAIFI";#N/A,#N/A,FALSE,"Monthly CAIDI";#N/A,#N/A,FALSE,"Yearly CAIDI";#N/A,#N/A,FALSE,"Monthly SAIDI";#N/A,#N/A,FALSE,"Yearly SAIDI";#N/A,#N/A,FALSE,"Monthly MAIFI";#N/A,#N/A,FALSE,"Yearly MAIFI";#N/A,#N/A,FALSE,"Monthly Cust &gt;=4 Int"}</definedName>
    <definedName name="SIT">[94]Common!$C$15</definedName>
    <definedName name="SLA_Unit_Cost">#REF!</definedName>
    <definedName name="slldk" hidden="1">{#N/A,#N/A,FALSE,"Monthly SAIFI";#N/A,#N/A,FALSE,"Yearly SAIFI";#N/A,#N/A,FALSE,"Monthly CAIDI";#N/A,#N/A,FALSE,"Yearly CAIDI";#N/A,#N/A,FALSE,"Monthly SAIDI";#N/A,#N/A,FALSE,"Yearly SAIDI";#N/A,#N/A,FALSE,"Monthly MAIFI";#N/A,#N/A,FALSE,"Yearly MAIFI";#N/A,#N/A,FALSE,"Monthly Cust &gt;=4 Int"}</definedName>
    <definedName name="SMRPEast">'[71]SMRP Results'!$H$28:$I$34</definedName>
    <definedName name="SMRPWest">'[71]SMRP Results'!$H$37:$I$43</definedName>
    <definedName name="snfsdfs">'[47]2005 CapEx (By VP By Dept) Budg'!$A$3:$P$431</definedName>
    <definedName name="snghviw">'[47]2005 CapEx (By VP By Dept) Budg'!$A$3:$P$431</definedName>
    <definedName name="solver_adj" hidden="1">#REF!,#REF!,#REF!,#REF!,#REF!,#REF!,#REF!</definedName>
    <definedName name="solver_lin" hidden="1">0</definedName>
    <definedName name="solver_num" hidden="1">0</definedName>
    <definedName name="solver_tmp" hidden="1">#REF!,#REF!,#REF!,#REF!,#REF!,#REF!,#REF!</definedName>
    <definedName name="solver_typ" hidden="1">1</definedName>
    <definedName name="solver_val" hidden="1">0</definedName>
    <definedName name="SortE" hidden="1">#REF!</definedName>
    <definedName name="SOUTH">#REF!</definedName>
    <definedName name="SPSet">"current"</definedName>
    <definedName name="SPWS_WBID">"5212E8AE-A962-4131-8FBC-A40040E9ED32"</definedName>
    <definedName name="SR">#REF!</definedName>
    <definedName name="SR_To_Allocation_Lookup">[91]Sheet1!$B$2:$D$2122</definedName>
    <definedName name="ss">#REF!</definedName>
    <definedName name="start84">'[41]QRE''s'!$D$8</definedName>
    <definedName name="start85">'[41]QRE''s'!$E$8</definedName>
    <definedName name="start86">'[41]QRE''s'!$F$8</definedName>
    <definedName name="start87">'[41]QRE''s'!$G$8</definedName>
    <definedName name="start88">'[41]QRE''s'!$H$8</definedName>
    <definedName name="start89">'[41]QRE''s'!$I$8</definedName>
    <definedName name="start90">'[41]QRE''s'!$J$8</definedName>
    <definedName name="start91">'[41]QRE''s'!$K$8</definedName>
    <definedName name="start92">'[41]QRE''s'!$L$8</definedName>
    <definedName name="start93">'[41]QRE''s'!$M$8</definedName>
    <definedName name="start94">'[41]QRE''s'!$N$8</definedName>
    <definedName name="start95">'[41]QRE''s'!$O$8</definedName>
    <definedName name="start96">'[41]QRE''s'!$P$8</definedName>
    <definedName name="start97">'[41]QRE''s'!$Q$8</definedName>
    <definedName name="start98">'[41]QRE''s'!$R$8</definedName>
    <definedName name="StartDate">#REF!</definedName>
    <definedName name="startdate2">[44]Sheet2!$Q$1:$Q$17</definedName>
    <definedName name="startdte">[44]Sheet2!$Q$1:$Q$17</definedName>
    <definedName name="startdte4">[44]Sheet2!$Q$1:$Q$17</definedName>
    <definedName name="std.bal">#REF!</definedName>
    <definedName name="std.cwip.bal">#REF!</definedName>
    <definedName name="STM_ACC">#REF!</definedName>
    <definedName name="STM_PMT">#REF!</definedName>
    <definedName name="SUMMARY">#REF!</definedName>
    <definedName name="summary_caution">[41]Model!$202:$207</definedName>
    <definedName name="Sx">#REF!</definedName>
    <definedName name="T">[1]JobDefinition!#REF!</definedName>
    <definedName name="TABLE">'[111]Alloc Table'!$A$1:$K$39</definedName>
    <definedName name="TAX_EXP">#REF!</definedName>
    <definedName name="tblActivity_Key">#REF!</definedName>
    <definedName name="tblActivity_Key_OLD">#REF!</definedName>
    <definedName name="tblCharts">'[41]Macro Tables'!$I$5:$I$16</definedName>
    <definedName name="tblHelp">'[41]Macro Tables'!$N$5:$N$16</definedName>
    <definedName name="tblReports">'[41]Macro Tables'!$B$5:$B$16</definedName>
    <definedName name="tblWorksheets">'[41]Macro Tables'!$E$5:$E$16</definedName>
    <definedName name="td01e">'[12]WPC-11.1a'!$J$115</definedName>
    <definedName name="td02e">'[12]WPC-11.1a'!$J$86</definedName>
    <definedName name="td03e">'[12]WPC-11.1a'!$J$57</definedName>
    <definedName name="td04e">'[28]WPC-11.1a'!$J$26</definedName>
    <definedName name="tdg01e">'[12]WPC-11.1a'!$H$123</definedName>
    <definedName name="tdg02e">'[12]WPC-11.1a'!$H$94</definedName>
    <definedName name="tdg03e">'[12]WPC-11.1a'!$H$65</definedName>
    <definedName name="tdg04e">'[12]WPC-11.1a'!$H$36</definedName>
    <definedName name="TempInvDec">#REF!</definedName>
    <definedName name="tempinvdece">#REF!</definedName>
    <definedName name="TempInvSept">#REF!</definedName>
    <definedName name="temptinsepte">#REF!</definedName>
    <definedName name="TepmInv4thQtr">#REF!</definedName>
    <definedName name="tepminv4thqtre">#REF!</definedName>
    <definedName name="TEST">#REF!</definedName>
    <definedName name="three">#REF!,#REF!,#REF!</definedName>
    <definedName name="titlewomoney">[28]Common!#REF!</definedName>
    <definedName name="titlewomoneye">[28]Common!#REF!</definedName>
    <definedName name="TOT_CO_ACC">#REF!</definedName>
    <definedName name="TOT_CO_PMTS">#REF!</definedName>
    <definedName name="TOT_CO_PR_AC">#REF!</definedName>
    <definedName name="TOT_CO_PR_PMT">#REF!</definedName>
    <definedName name="Total">[48]FLAP!#REF!</definedName>
    <definedName name="TOTAL_AMT">[48]FLAP!#REF!</definedName>
    <definedName name="total84">'[41]QRE''s'!$D$96</definedName>
    <definedName name="total85">'[41]QRE''s'!$E$96</definedName>
    <definedName name="total86">'[41]QRE''s'!$F$96</definedName>
    <definedName name="total87">'[41]QRE''s'!$G$96</definedName>
    <definedName name="total88">'[41]QRE''s'!$H$96</definedName>
    <definedName name="total89">'[41]QRE''s'!$I$96</definedName>
    <definedName name="total90">'[41]QRE''s'!$J$96</definedName>
    <definedName name="total91">'[41]QRE''s'!$K$96</definedName>
    <definedName name="total92">'[41]QRE''s'!$L$96</definedName>
    <definedName name="total93">'[41]QRE''s'!$M$96</definedName>
    <definedName name="total94">'[41]QRE''s'!$N$96</definedName>
    <definedName name="total95">'[41]QRE''s'!$O$96</definedName>
    <definedName name="total96">'[41]QRE''s'!$P$96</definedName>
    <definedName name="total97">'[41]QRE''s'!$Q$96</definedName>
    <definedName name="total98">'[41]QRE''s'!$R$96</definedName>
    <definedName name="TOTALS">#REF!</definedName>
    <definedName name="totalse">#REF!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rans04">#REF!</definedName>
    <definedName name="Tree">#REF!</definedName>
    <definedName name="two">#REF!,#REF!,#REF!</definedName>
    <definedName name="TY">[112]Input!$B$5</definedName>
    <definedName name="TypeCost">'[58]all EED O&amp;M BO data'!$V$2:$V$5000</definedName>
    <definedName name="tyty" hidden="1">{#N/A,#N/A,FALSE,"Monthly SAIFI";#N/A,#N/A,FALSE,"Yearly SAIFI";#N/A,#N/A,FALSE,"Monthly CAIDI";#N/A,#N/A,FALSE,"Yearly CAIDI";#N/A,#N/A,FALSE,"Monthly SAIDI";#N/A,#N/A,FALSE,"Yearly SAIDI";#N/A,#N/A,FALSE,"Monthly MAIFI";#N/A,#N/A,FALSE,"Yearly MAIFI";#N/A,#N/A,FALSE,"Monthly Cust &gt;=4 Int"}</definedName>
    <definedName name="U">#REF!</definedName>
    <definedName name="UNANT">#REF!</definedName>
    <definedName name="UNBILLED">#REF!</definedName>
    <definedName name="unit">#REF!</definedName>
    <definedName name="unite">[75]Roadmap!$C$190</definedName>
    <definedName name="units">[31]INDEX!$B$160</definedName>
    <definedName name="unitse">[78]INDEX!$B$160</definedName>
    <definedName name="UnknownProj">'[95]UnknownProj#'!$C:$D</definedName>
    <definedName name="UNT">#REF!</definedName>
    <definedName name="UTILRANGE">#REF!</definedName>
    <definedName name="ValuationYear">'[113]FAS 87'!$B$3</definedName>
    <definedName name="vcbcvbcv" hidden="1">{#N/A,#N/A,FALSE,"Monthly SAIFI";#N/A,#N/A,FALSE,"Yearly SAIFI";#N/A,#N/A,FALSE,"Monthly CAIDI";#N/A,#N/A,FALSE,"Yearly CAIDI";#N/A,#N/A,FALSE,"Monthly SAIDI";#N/A,#N/A,FALSE,"Yearly SAIDI";#N/A,#N/A,FALSE,"Monthly MAIFI";#N/A,#N/A,FALSE,"Yearly MAIFI";#N/A,#N/A,FALSE,"Monthly Cust &gt;=4 Int"}</definedName>
    <definedName name="VndName">#REF!</definedName>
    <definedName name="vvv">#REF!</definedName>
    <definedName name="vxcvxc">'[47]2005 CapEx (By VP By Dept) Budg'!$A$3:$P$431</definedName>
    <definedName name="vxcvxcvx">'[47]2005 CapEx (By VP By Dept) Budg'!$A$3:$P$431</definedName>
    <definedName name="vxvxvxcvxc">'[47]2005 CapEx (By VP By Dept) Budg'!$A$3:$P$431</definedName>
    <definedName name="vxzvxcvxzcvxcv">'[47]2005 CapEx (By VP By Dept) Budg'!$A$3:$P$431</definedName>
    <definedName name="wearwerawer">#REF!</definedName>
    <definedName name="wer" hidden="1">{#N/A,#N/A,FALSE,"Monthly SAIFI";#N/A,#N/A,FALSE,"Yearly SAIFI";#N/A,#N/A,FALSE,"Monthly CAIDI";#N/A,#N/A,FALSE,"Yearly CAIDI";#N/A,#N/A,FALSE,"Monthly SAIDI";#N/A,#N/A,FALSE,"Yearly SAIDI";#N/A,#N/A,FALSE,"Monthly MAIFI";#N/A,#N/A,FALSE,"Yearly MAIFI";#N/A,#N/A,FALSE,"Monthly Cust &gt;=4 Int"}</definedName>
    <definedName name="werw3">#REF!</definedName>
    <definedName name="werwerwe">#REF!</definedName>
    <definedName name="WESTERN">#REF!</definedName>
    <definedName name="Workforce">#REF!</definedName>
    <definedName name="WPCUT">#REF!</definedName>
    <definedName name="wrn.Aging._.and._.Trend._.Analysis." hidden="1">{#N/A,#N/A,FALSE,"Aging Summary";#N/A,#N/A,FALSE,"Ratio Analysis";#N/A,#N/A,FALSE,"Test 120 Day Accts";#N/A,#N/A,FALSE,"Tickmarks"}</definedName>
    <definedName name="wrn.page1." hidden="1">{"page1",#N/A,FALSE,"260"}</definedName>
    <definedName name="wrn.PrintAll." hidden="1">{#N/A,#N/A,FALSE,"Monthly SAIFI";#N/A,#N/A,FALSE,"Yearly SAIFI";#N/A,#N/A,FALSE,"Monthly CAIDI";#N/A,#N/A,FALSE,"Yearly CAIDI";#N/A,#N/A,FALSE,"Monthly SAIDI";#N/A,#N/A,FALSE,"Yearly SAIDI";#N/A,#N/A,FALSE,"Monthly MAIFI";#N/A,#N/A,FALSE,"Yearly MAIFI";#N/A,#N/A,FALSE,"Monthly Cust &gt;=4 Int"}</definedName>
    <definedName name="wrn.R_D._.Tax._.Services." hidden="1">{#N/A,#N/A,FALSE,"R&amp;D Quick Calc";#N/A,#N/A,FALSE,"DOE Fee Schedule"}</definedName>
    <definedName name="ww">#REF!</definedName>
    <definedName name="wwww">#REF!</definedName>
    <definedName name="xcvxvx">#REF!</definedName>
    <definedName name="xvsdgsgfsf">'[47]2005 CapEx (By VP By Dept) Budg'!$A$3:$P$431</definedName>
    <definedName name="xvxvxzvxc">#REF!</definedName>
    <definedName name="xx">#REF!</definedName>
    <definedName name="xxx">#REF!</definedName>
    <definedName name="xxxx">#REF!</definedName>
    <definedName name="xzczczczxc">#REF!</definedName>
    <definedName name="y" hidden="1">{#N/A,#N/A,FALSE,"Monthly SAIFI";#N/A,#N/A,FALSE,"Yearly SAIFI";#N/A,#N/A,FALSE,"Monthly CAIDI";#N/A,#N/A,FALSE,"Yearly CAIDI";#N/A,#N/A,FALSE,"Monthly SAIDI";#N/A,#N/A,FALSE,"Yearly SAIDI";#N/A,#N/A,FALSE,"Monthly MAIFI";#N/A,#N/A,FALSE,"Yearly MAIFI";#N/A,#N/A,FALSE,"Monthly Cust &gt;=4 Int"}</definedName>
    <definedName name="YEAct">'[58]all EED O&amp;M BO data'!$O$2:$O$5000</definedName>
    <definedName name="Year">'[59]#REF'!$B$1</definedName>
    <definedName name="YEBudVar">'[58]all EED O&amp;M BO data'!$R$2:$R$5000</definedName>
    <definedName name="YEQtrVar">'[58]all EED O&amp;M BO data'!$S$2:$S$5000</definedName>
    <definedName name="YesNo">#REF!</definedName>
    <definedName name="YORK_COUNTY">#REF!</definedName>
    <definedName name="yrtm1">[41]Print!$I$31</definedName>
    <definedName name="yrtm2">[41]Print!$G$31</definedName>
    <definedName name="yrtm3">[41]Print!$E$31</definedName>
    <definedName name="yrtm4">[41]Print!$C$31</definedName>
    <definedName name="yryryrr" hidden="1">{#N/A,#N/A,FALSE,"Monthly SAIFI";#N/A,#N/A,FALSE,"Yearly SAIFI";#N/A,#N/A,FALSE,"Monthly CAIDI";#N/A,#N/A,FALSE,"Yearly CAIDI";#N/A,#N/A,FALSE,"Monthly SAIDI";#N/A,#N/A,FALSE,"Yearly SAIDI";#N/A,#N/A,FALSE,"Monthly MAIFI";#N/A,#N/A,FALSE,"Yearly MAIFI";#N/A,#N/A,FALSE,"Monthly Cust &gt;=4 Int"}</definedName>
    <definedName name="YTDAct">'[58]all EED O&amp;M BO data'!$J$2:$J$5000</definedName>
    <definedName name="YTDBudVar">'[58]all EED O&amp;M BO data'!$M$2:$M$5000</definedName>
    <definedName name="YTDCFLE">#REF!</definedName>
    <definedName name="YTDQtrVar">'[58]all EED O&amp;M BO data'!$N$2:$N$5000</definedName>
    <definedName name="z" hidden="1">{#N/A,#N/A,FALSE,"Monthly SAIFI";#N/A,#N/A,FALSE,"Yearly SAIFI";#N/A,#N/A,FALSE,"Monthly CAIDI";#N/A,#N/A,FALSE,"Yearly CAIDI";#N/A,#N/A,FALSE,"Monthly SAIDI";#N/A,#N/A,FALSE,"Yearly SAIDI";#N/A,#N/A,FALSE,"Monthly MAIFI";#N/A,#N/A,FALSE,"Yearly MAIFI";#N/A,#N/A,FALSE,"Monthly Cust &gt;=4 Int"}</definedName>
    <definedName name="Zxczxczczc">'[47]2005 CapEx (By VP By Dept) Budg'!$A$3:$P$431</definedName>
    <definedName name="zxdc">[114]Update!$B$2</definedName>
    <definedName name="zz">#REF!</definedName>
    <definedName name="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T27" i="11" l="1"/>
  <c r="CS27" i="11"/>
  <c r="CR27" i="11"/>
  <c r="CQ27" i="11"/>
  <c r="CP27" i="11"/>
  <c r="CO27" i="11"/>
  <c r="CN27" i="11"/>
  <c r="CM27" i="11"/>
  <c r="CL27" i="11"/>
  <c r="CK27" i="11"/>
  <c r="CJ27" i="11"/>
  <c r="CI27" i="11"/>
  <c r="CH27" i="11"/>
  <c r="CG27" i="11"/>
  <c r="CF27" i="11"/>
  <c r="CT26" i="11"/>
  <c r="CS26" i="11"/>
  <c r="CR26" i="11"/>
  <c r="CQ26" i="11"/>
  <c r="CP26" i="11"/>
  <c r="CO26" i="11"/>
  <c r="CN26" i="11"/>
  <c r="CM26" i="11"/>
  <c r="CL26" i="11"/>
  <c r="CK26" i="11"/>
  <c r="CJ26" i="11"/>
  <c r="CI26" i="11"/>
  <c r="CH26" i="11"/>
  <c r="CG26" i="11"/>
  <c r="CF26" i="11"/>
  <c r="CT25" i="11"/>
  <c r="CS25" i="11"/>
  <c r="CR25" i="11"/>
  <c r="CQ25" i="11"/>
  <c r="CP25" i="11"/>
  <c r="CO25" i="11"/>
  <c r="CN25" i="11"/>
  <c r="CM25" i="11"/>
  <c r="CL25" i="11"/>
  <c r="CK25" i="11"/>
  <c r="CJ25" i="11"/>
  <c r="CI25" i="11"/>
  <c r="CH25" i="11"/>
  <c r="CG25" i="11"/>
  <c r="CF25" i="11"/>
  <c r="CT24" i="11"/>
  <c r="CS24" i="11"/>
  <c r="CR24" i="11"/>
  <c r="CQ24" i="11"/>
  <c r="CP24" i="11"/>
  <c r="CO24" i="11"/>
  <c r="CN24" i="11"/>
  <c r="CM24" i="11"/>
  <c r="CL24" i="11"/>
  <c r="CK24" i="11"/>
  <c r="CJ24" i="11"/>
  <c r="CI24" i="11"/>
  <c r="CH24" i="11"/>
  <c r="CG24" i="11"/>
  <c r="CF24" i="11"/>
  <c r="CT23" i="11"/>
  <c r="CS23" i="11"/>
  <c r="CR23" i="11"/>
  <c r="CQ23" i="11"/>
  <c r="CP23" i="11"/>
  <c r="CO23" i="11"/>
  <c r="CN23" i="11"/>
  <c r="CM23" i="11"/>
  <c r="CL23" i="11"/>
  <c r="CK23" i="11"/>
  <c r="CJ23" i="11"/>
  <c r="CI23" i="11"/>
  <c r="CH23" i="11"/>
  <c r="CG23" i="11"/>
  <c r="CF23" i="11"/>
  <c r="BJ27" i="28"/>
  <c r="BI27" i="28"/>
  <c r="BH27" i="28"/>
  <c r="BG27" i="28"/>
  <c r="BF27" i="28"/>
  <c r="BE27" i="28"/>
  <c r="BD27" i="28"/>
  <c r="BC27" i="28"/>
  <c r="BB27" i="28"/>
  <c r="BA27" i="28"/>
  <c r="AZ27" i="28"/>
  <c r="AY27" i="28"/>
  <c r="AX27" i="28"/>
  <c r="AW27" i="28"/>
  <c r="AV27" i="28"/>
  <c r="BJ26" i="28"/>
  <c r="BI26" i="28"/>
  <c r="BH26" i="28"/>
  <c r="BG26" i="28"/>
  <c r="BF26" i="28"/>
  <c r="BE26" i="28"/>
  <c r="BD26" i="28"/>
  <c r="BC26" i="28"/>
  <c r="BB26" i="28"/>
  <c r="BA26" i="28"/>
  <c r="AZ26" i="28"/>
  <c r="AY26" i="28"/>
  <c r="AX26" i="28"/>
  <c r="AW26" i="28"/>
  <c r="AV26" i="28"/>
  <c r="BJ25" i="28"/>
  <c r="BI25" i="28"/>
  <c r="BH25" i="28"/>
  <c r="BG25" i="28"/>
  <c r="BF25" i="28"/>
  <c r="BE25" i="28"/>
  <c r="BD25" i="28"/>
  <c r="BC25" i="28"/>
  <c r="BB25" i="28"/>
  <c r="BA25" i="28"/>
  <c r="AZ25" i="28"/>
  <c r="AY25" i="28"/>
  <c r="AX25" i="28"/>
  <c r="AW25" i="28"/>
  <c r="AV25" i="28"/>
  <c r="BJ24" i="28"/>
  <c r="BI24" i="28"/>
  <c r="BH24" i="28"/>
  <c r="BG24" i="28"/>
  <c r="BF24" i="28"/>
  <c r="BE24" i="28"/>
  <c r="BD24" i="28"/>
  <c r="BC24" i="28"/>
  <c r="BB24" i="28"/>
  <c r="BA24" i="28"/>
  <c r="AZ24" i="28"/>
  <c r="AY24" i="28"/>
  <c r="AX24" i="28"/>
  <c r="AW24" i="28"/>
  <c r="AV24" i="28"/>
  <c r="BJ23" i="28"/>
  <c r="BI23" i="28"/>
  <c r="BH23" i="28"/>
  <c r="BG23" i="28"/>
  <c r="BF23" i="28"/>
  <c r="BE23" i="28"/>
  <c r="BD23" i="28"/>
  <c r="BC23" i="28"/>
  <c r="BB23" i="28"/>
  <c r="BA23" i="28"/>
  <c r="AZ23" i="28"/>
  <c r="AY23" i="28"/>
  <c r="AX23" i="28"/>
  <c r="AW23" i="28"/>
  <c r="AV23" i="28"/>
  <c r="AC78" i="27" l="1"/>
  <c r="AK78" i="27" l="1"/>
  <c r="CT20" i="11" l="1"/>
  <c r="CF20" i="11"/>
  <c r="AV20" i="28" l="1"/>
  <c r="BJ73" i="28" l="1"/>
  <c r="BJ72" i="28"/>
  <c r="BJ71" i="28"/>
  <c r="BJ70" i="28"/>
  <c r="BJ69" i="28"/>
  <c r="BJ56" i="28"/>
  <c r="BJ20" i="28"/>
  <c r="BI73" i="28"/>
  <c r="BI72" i="28"/>
  <c r="BI71" i="28"/>
  <c r="BI70" i="28"/>
  <c r="BI69" i="28"/>
  <c r="BI56" i="28"/>
  <c r="BH73" i="28"/>
  <c r="BH72" i="28"/>
  <c r="BH71" i="28"/>
  <c r="BH70" i="28"/>
  <c r="BH69" i="28"/>
  <c r="BH56" i="28"/>
  <c r="BG73" i="28"/>
  <c r="BG72" i="28"/>
  <c r="BG71" i="28"/>
  <c r="BG70" i="28"/>
  <c r="BG69" i="28"/>
  <c r="BG56" i="28"/>
  <c r="BG20" i="28"/>
  <c r="BF73" i="28"/>
  <c r="BF72" i="28"/>
  <c r="BF71" i="28"/>
  <c r="BF70" i="28"/>
  <c r="BF69" i="28"/>
  <c r="BF56" i="28"/>
  <c r="BE73" i="28"/>
  <c r="BE72" i="28"/>
  <c r="BE71" i="28"/>
  <c r="BE70" i="28"/>
  <c r="BE69" i="28"/>
  <c r="BE56" i="28"/>
  <c r="BD73" i="28"/>
  <c r="BD72" i="28"/>
  <c r="BD71" i="28"/>
  <c r="BD70" i="28"/>
  <c r="BD69" i="28"/>
  <c r="BD56" i="28"/>
  <c r="BC73" i="28"/>
  <c r="BC72" i="28"/>
  <c r="BC71" i="28"/>
  <c r="BC70" i="28"/>
  <c r="BC69" i="28"/>
  <c r="BC56" i="28"/>
  <c r="BB73" i="28"/>
  <c r="BB72" i="28"/>
  <c r="BB71" i="28"/>
  <c r="BB70" i="28"/>
  <c r="BB69" i="28"/>
  <c r="BB56" i="28"/>
  <c r="BB20" i="28"/>
  <c r="BA73" i="28"/>
  <c r="BA72" i="28"/>
  <c r="BA71" i="28"/>
  <c r="BA70" i="28"/>
  <c r="BA69" i="28"/>
  <c r="BA56" i="28"/>
  <c r="AZ73" i="28"/>
  <c r="AZ72" i="28"/>
  <c r="AZ71" i="28"/>
  <c r="AZ70" i="28"/>
  <c r="AZ69" i="28"/>
  <c r="AZ56" i="28"/>
  <c r="AY73" i="28"/>
  <c r="AY72" i="28"/>
  <c r="AY71" i="28"/>
  <c r="AY70" i="28"/>
  <c r="AY69" i="28"/>
  <c r="AY56" i="28"/>
  <c r="CT72" i="11"/>
  <c r="CT71" i="11"/>
  <c r="CT70" i="11"/>
  <c r="CT69" i="11"/>
  <c r="CT68" i="11"/>
  <c r="CT55" i="11"/>
  <c r="CS72" i="11"/>
  <c r="CS71" i="11"/>
  <c r="CS70" i="11"/>
  <c r="CS69" i="11"/>
  <c r="CS68" i="11"/>
  <c r="CS55" i="11"/>
  <c r="CS20" i="11"/>
  <c r="CR72" i="11"/>
  <c r="CR71" i="11"/>
  <c r="CR70" i="11"/>
  <c r="CR69" i="11"/>
  <c r="CR68" i="11"/>
  <c r="CR55" i="11"/>
  <c r="CR20" i="11"/>
  <c r="CQ72" i="11"/>
  <c r="CQ71" i="11"/>
  <c r="CQ70" i="11"/>
  <c r="CQ69" i="11"/>
  <c r="CQ68" i="11"/>
  <c r="CQ55" i="11"/>
  <c r="CP72" i="11"/>
  <c r="CP71" i="11"/>
  <c r="CP70" i="11"/>
  <c r="CP69" i="11"/>
  <c r="CP68" i="11"/>
  <c r="CP55" i="11"/>
  <c r="CP20" i="11"/>
  <c r="CO72" i="11"/>
  <c r="CO71" i="11"/>
  <c r="CO70" i="11"/>
  <c r="CO69" i="11"/>
  <c r="CO68" i="11"/>
  <c r="CO55" i="11"/>
  <c r="CN72" i="11"/>
  <c r="CN71" i="11"/>
  <c r="CN70" i="11"/>
  <c r="CN69" i="11"/>
  <c r="CN68" i="11"/>
  <c r="CN55" i="11"/>
  <c r="CM72" i="11"/>
  <c r="CM71" i="11"/>
  <c r="CM70" i="11"/>
  <c r="CM69" i="11"/>
  <c r="CM68" i="11"/>
  <c r="CM55" i="11"/>
  <c r="CM20" i="11"/>
  <c r="CL72" i="11"/>
  <c r="CL71" i="11"/>
  <c r="CL70" i="11"/>
  <c r="CL69" i="11"/>
  <c r="CL68" i="11"/>
  <c r="CL55" i="11"/>
  <c r="CK72" i="11"/>
  <c r="CK71" i="11"/>
  <c r="CK70" i="11"/>
  <c r="CK69" i="11"/>
  <c r="CK68" i="11"/>
  <c r="CK55" i="11"/>
  <c r="CK20" i="11"/>
  <c r="CJ72" i="11"/>
  <c r="CJ71" i="11"/>
  <c r="CJ70" i="11"/>
  <c r="CJ69" i="11"/>
  <c r="CJ68" i="11"/>
  <c r="CJ55" i="11"/>
  <c r="CJ20" i="11"/>
  <c r="CI72" i="11"/>
  <c r="CI71" i="11"/>
  <c r="CI70" i="11"/>
  <c r="CI69" i="11"/>
  <c r="CI68" i="11"/>
  <c r="CI55" i="11"/>
  <c r="CI20" i="11"/>
  <c r="CI104" i="1"/>
  <c r="CI98" i="1"/>
  <c r="CI99" i="1" s="1"/>
  <c r="CI78" i="1"/>
  <c r="CI79" i="1" s="1"/>
  <c r="CI8" i="1"/>
  <c r="CH104" i="1"/>
  <c r="CH98" i="1"/>
  <c r="CH99" i="1" s="1"/>
  <c r="CH78" i="1"/>
  <c r="CH79" i="1" s="1"/>
  <c r="CH8" i="1"/>
  <c r="CG104" i="1"/>
  <c r="CG98" i="1"/>
  <c r="CG99" i="1" s="1"/>
  <c r="CG79" i="1"/>
  <c r="CG81" i="1" s="1"/>
  <c r="CG78" i="1"/>
  <c r="CG8" i="1"/>
  <c r="AX20" i="28"/>
  <c r="CK73" i="11" l="1"/>
  <c r="CQ73" i="11"/>
  <c r="CJ73" i="11"/>
  <c r="CM73" i="11"/>
  <c r="CN73" i="11"/>
  <c r="CR73" i="11"/>
  <c r="CO73" i="11"/>
  <c r="CS73" i="11"/>
  <c r="CL73" i="11"/>
  <c r="CP73" i="11"/>
  <c r="CT73" i="11"/>
  <c r="CI73" i="11"/>
  <c r="BC74" i="28"/>
  <c r="AY74" i="28"/>
  <c r="BG74" i="28"/>
  <c r="AZ74" i="28"/>
  <c r="BD74" i="28"/>
  <c r="BF74" i="28"/>
  <c r="BH74" i="28"/>
  <c r="BI74" i="28"/>
  <c r="BA74" i="28"/>
  <c r="BE74" i="28"/>
  <c r="BB74" i="28"/>
  <c r="BJ74" i="28"/>
  <c r="BI20" i="28"/>
  <c r="BH20" i="28"/>
  <c r="BF20" i="28"/>
  <c r="BE20" i="28"/>
  <c r="BD20" i="28"/>
  <c r="BC20" i="28"/>
  <c r="BA20" i="28"/>
  <c r="AZ20" i="28"/>
  <c r="AY20" i="28"/>
  <c r="CQ20" i="11"/>
  <c r="CO20" i="11"/>
  <c r="CN20" i="11"/>
  <c r="CL20" i="11"/>
  <c r="CH20" i="11"/>
  <c r="CG20" i="11"/>
  <c r="CI81" i="1"/>
  <c r="CH81" i="1"/>
  <c r="CX61" i="26" l="1"/>
  <c r="CW61" i="26"/>
  <c r="CX51" i="26"/>
  <c r="CW51" i="26"/>
  <c r="CY51" i="26" s="1"/>
  <c r="CF56" i="1" s="1"/>
  <c r="CX41" i="26"/>
  <c r="CW41" i="26"/>
  <c r="CX31" i="26"/>
  <c r="CW31" i="26"/>
  <c r="CX21" i="26"/>
  <c r="CW21" i="26"/>
  <c r="CU61" i="29"/>
  <c r="CT61" i="29"/>
  <c r="CV61" i="29" s="1"/>
  <c r="AW66" i="27" s="1"/>
  <c r="CU51" i="29"/>
  <c r="CT51" i="29"/>
  <c r="CV51" i="29" s="1"/>
  <c r="AW56" i="27" s="1"/>
  <c r="CU41" i="29"/>
  <c r="CV41" i="29" s="1"/>
  <c r="AW46" i="27" s="1"/>
  <c r="CT41" i="29"/>
  <c r="CU31" i="29"/>
  <c r="CT31" i="29"/>
  <c r="CU21" i="29"/>
  <c r="CT21" i="29"/>
  <c r="CV21" i="29" s="1"/>
  <c r="AW26" i="27" s="1"/>
  <c r="CV31" i="29" l="1"/>
  <c r="AW36" i="27" s="1"/>
  <c r="CY61" i="26"/>
  <c r="CF66" i="1" s="1"/>
  <c r="CY41" i="26"/>
  <c r="CF46" i="1" s="1"/>
  <c r="CY31" i="26"/>
  <c r="CF36" i="1" s="1"/>
  <c r="CY21" i="26"/>
  <c r="CF26" i="1" s="1"/>
  <c r="AU10" i="28" l="1"/>
  <c r="AV10" i="28" s="1"/>
  <c r="AW10" i="28" s="1"/>
  <c r="AX10" i="28" s="1"/>
  <c r="AY10" i="28" s="1"/>
  <c r="AZ10" i="28" s="1"/>
  <c r="BA10" i="28" s="1"/>
  <c r="BB10" i="28" s="1"/>
  <c r="BC10" i="28" s="1"/>
  <c r="BD10" i="28" s="1"/>
  <c r="BE10" i="28" s="1"/>
  <c r="BF10" i="28" s="1"/>
  <c r="BG10" i="28" s="1"/>
  <c r="BH10" i="28" s="1"/>
  <c r="BI10" i="28" s="1"/>
  <c r="BJ10" i="28" s="1"/>
  <c r="AU9" i="28"/>
  <c r="AV9" i="28" s="1"/>
  <c r="AW9" i="28" s="1"/>
  <c r="AX9" i="28" s="1"/>
  <c r="AY9" i="28" s="1"/>
  <c r="AZ9" i="28" s="1"/>
  <c r="BA9" i="28" s="1"/>
  <c r="BB9" i="28" s="1"/>
  <c r="BC9" i="28" s="1"/>
  <c r="BD9" i="28" s="1"/>
  <c r="BE9" i="28" s="1"/>
  <c r="BF9" i="28" s="1"/>
  <c r="BG9" i="28" s="1"/>
  <c r="BH9" i="28" s="1"/>
  <c r="BI9" i="28" s="1"/>
  <c r="BJ9" i="28" s="1"/>
  <c r="AU8" i="28"/>
  <c r="AV8" i="28" s="1"/>
  <c r="AW8" i="28" s="1"/>
  <c r="AX8" i="28" s="1"/>
  <c r="AY8" i="28" s="1"/>
  <c r="AZ8" i="28" s="1"/>
  <c r="BA8" i="28" s="1"/>
  <c r="BB8" i="28" s="1"/>
  <c r="BC8" i="28" s="1"/>
  <c r="BD8" i="28" s="1"/>
  <c r="BE8" i="28" s="1"/>
  <c r="BF8" i="28" s="1"/>
  <c r="BG8" i="28" s="1"/>
  <c r="BH8" i="28" s="1"/>
  <c r="BI8" i="28" s="1"/>
  <c r="BJ8" i="28" s="1"/>
  <c r="AU7" i="28"/>
  <c r="AV7" i="28" s="1"/>
  <c r="AW7" i="28" s="1"/>
  <c r="AX7" i="28" s="1"/>
  <c r="AY7" i="28" s="1"/>
  <c r="AZ7" i="28" s="1"/>
  <c r="BA7" i="28" s="1"/>
  <c r="BB7" i="28" s="1"/>
  <c r="BC7" i="28" s="1"/>
  <c r="BD7" i="28" s="1"/>
  <c r="BE7" i="28" s="1"/>
  <c r="BF7" i="28" s="1"/>
  <c r="BG7" i="28" s="1"/>
  <c r="BH7" i="28" s="1"/>
  <c r="BI7" i="28" s="1"/>
  <c r="BJ7" i="28" s="1"/>
  <c r="AU6" i="28"/>
  <c r="AV6" i="28" s="1"/>
  <c r="AW6" i="28" s="1"/>
  <c r="AX6" i="28" s="1"/>
  <c r="AY6" i="28" s="1"/>
  <c r="AZ6" i="28" s="1"/>
  <c r="BA6" i="28" s="1"/>
  <c r="BB6" i="28" s="1"/>
  <c r="BC6" i="28" s="1"/>
  <c r="BD6" i="28" s="1"/>
  <c r="BE6" i="28" s="1"/>
  <c r="BF6" i="28" s="1"/>
  <c r="BG6" i="28" s="1"/>
  <c r="BH6" i="28" s="1"/>
  <c r="BI6" i="28" s="1"/>
  <c r="BJ6" i="28" s="1"/>
  <c r="AU5" i="28"/>
  <c r="AV5" i="28" s="1"/>
  <c r="AW5" i="28" l="1"/>
  <c r="AX5" i="28" s="1"/>
  <c r="AV11" i="28"/>
  <c r="AY5" i="28" l="1"/>
  <c r="AX11" i="28"/>
  <c r="AW6" i="27"/>
  <c r="AZ5" i="28" l="1"/>
  <c r="AY11" i="28"/>
  <c r="AI31" i="30"/>
  <c r="AI24" i="30"/>
  <c r="AI17" i="30"/>
  <c r="AI10" i="30"/>
  <c r="AI3" i="30"/>
  <c r="BT31" i="22"/>
  <c r="BT24" i="22"/>
  <c r="BT17" i="22"/>
  <c r="BT10" i="22"/>
  <c r="BT3" i="22"/>
  <c r="CE64" i="11"/>
  <c r="CE63" i="11"/>
  <c r="CE62" i="11"/>
  <c r="CE61" i="11"/>
  <c r="CE60" i="11"/>
  <c r="CE65" i="11" s="1"/>
  <c r="CE55" i="11"/>
  <c r="CE28" i="11"/>
  <c r="CE10" i="11"/>
  <c r="CF10" i="11" s="1"/>
  <c r="CG10" i="11" s="1"/>
  <c r="CH10" i="11" s="1"/>
  <c r="CI10" i="11" s="1"/>
  <c r="CJ10" i="11" s="1"/>
  <c r="CK10" i="11" s="1"/>
  <c r="CL10" i="11" s="1"/>
  <c r="CM10" i="11" s="1"/>
  <c r="CN10" i="11" s="1"/>
  <c r="CO10" i="11" s="1"/>
  <c r="CP10" i="11" s="1"/>
  <c r="CQ10" i="11" s="1"/>
  <c r="CR10" i="11" s="1"/>
  <c r="CS10" i="11" s="1"/>
  <c r="CT10" i="11" s="1"/>
  <c r="CE9" i="11"/>
  <c r="CE8" i="11"/>
  <c r="CF8" i="11" s="1"/>
  <c r="CE7" i="11"/>
  <c r="CF7" i="11" s="1"/>
  <c r="CE6" i="11"/>
  <c r="CF6" i="11" s="1"/>
  <c r="CE5" i="11"/>
  <c r="CF104" i="1"/>
  <c r="CF98" i="1"/>
  <c r="CF99" i="1" s="1"/>
  <c r="CF78" i="1"/>
  <c r="CF79" i="1" s="1"/>
  <c r="CF8" i="1"/>
  <c r="BA5" i="28" l="1"/>
  <c r="AZ11" i="28"/>
  <c r="CF9" i="11"/>
  <c r="CE11" i="11"/>
  <c r="CF5" i="11"/>
  <c r="CG6" i="11"/>
  <c r="CG7" i="11"/>
  <c r="CG8" i="11"/>
  <c r="CE72" i="11"/>
  <c r="CF68" i="1" s="1"/>
  <c r="CE71" i="11"/>
  <c r="CF58" i="1" s="1"/>
  <c r="CE68" i="11"/>
  <c r="CE69" i="11"/>
  <c r="CF38" i="1" s="1"/>
  <c r="CE70" i="11"/>
  <c r="CF48" i="1" s="1"/>
  <c r="CF81" i="1"/>
  <c r="BB5" i="28" l="1"/>
  <c r="BA11" i="28"/>
  <c r="CH8" i="11"/>
  <c r="CG5" i="11"/>
  <c r="CF11" i="11"/>
  <c r="CH6" i="11"/>
  <c r="CH7" i="11"/>
  <c r="CG9" i="11"/>
  <c r="CE73" i="11"/>
  <c r="CF28" i="1"/>
  <c r="CF17" i="1"/>
  <c r="AT10" i="28"/>
  <c r="AT9" i="28"/>
  <c r="AT8" i="28"/>
  <c r="AT7" i="28"/>
  <c r="AT6" i="28"/>
  <c r="AT5" i="28"/>
  <c r="AU14" i="28" s="1"/>
  <c r="BC5" i="28" l="1"/>
  <c r="BB11" i="28"/>
  <c r="CI7" i="11"/>
  <c r="CJ7" i="11" s="1"/>
  <c r="CK7" i="11" s="1"/>
  <c r="CL7" i="11" s="1"/>
  <c r="CM7" i="11" s="1"/>
  <c r="CN7" i="11" s="1"/>
  <c r="CO7" i="11" s="1"/>
  <c r="CP7" i="11" s="1"/>
  <c r="CQ7" i="11" s="1"/>
  <c r="CR7" i="11" s="1"/>
  <c r="CS7" i="11" s="1"/>
  <c r="CT7" i="11" s="1"/>
  <c r="CI6" i="11"/>
  <c r="CJ6" i="11" s="1"/>
  <c r="CK6" i="11" s="1"/>
  <c r="CL6" i="11" s="1"/>
  <c r="CM6" i="11" s="1"/>
  <c r="CN6" i="11" s="1"/>
  <c r="CO6" i="11" s="1"/>
  <c r="CP6" i="11" s="1"/>
  <c r="CQ6" i="11" s="1"/>
  <c r="CR6" i="11" s="1"/>
  <c r="CS6" i="11" s="1"/>
  <c r="CT6" i="11" s="1"/>
  <c r="CH5" i="11"/>
  <c r="CG11" i="11"/>
  <c r="CH9" i="11"/>
  <c r="CI8" i="11"/>
  <c r="CJ8" i="11" s="1"/>
  <c r="CK8" i="11" s="1"/>
  <c r="CL8" i="11" s="1"/>
  <c r="CM8" i="11" s="1"/>
  <c r="CN8" i="11" s="1"/>
  <c r="CO8" i="11" s="1"/>
  <c r="CP8" i="11" s="1"/>
  <c r="CQ8" i="11" s="1"/>
  <c r="CR8" i="11" s="1"/>
  <c r="CS8" i="11" s="1"/>
  <c r="CT8" i="11" s="1"/>
  <c r="AV6" i="27"/>
  <c r="BC11" i="28" l="1"/>
  <c r="BD5" i="28"/>
  <c r="CI5" i="11"/>
  <c r="CH11" i="11"/>
  <c r="CI9" i="11"/>
  <c r="CJ9" i="11" s="1"/>
  <c r="CK9" i="11" s="1"/>
  <c r="CL9" i="11" s="1"/>
  <c r="CM9" i="11" s="1"/>
  <c r="CN9" i="11" s="1"/>
  <c r="CO9" i="11" s="1"/>
  <c r="CP9" i="11" s="1"/>
  <c r="CQ9" i="11" s="1"/>
  <c r="CR9" i="11" s="1"/>
  <c r="CS9" i="11" s="1"/>
  <c r="CT9" i="11" s="1"/>
  <c r="BS31" i="22"/>
  <c r="BS24" i="22"/>
  <c r="BS17" i="22"/>
  <c r="BS10" i="22"/>
  <c r="BS3" i="22"/>
  <c r="CD64" i="11"/>
  <c r="CD63" i="11"/>
  <c r="CD62" i="11"/>
  <c r="CD61" i="11"/>
  <c r="CD60" i="11"/>
  <c r="CD55" i="11"/>
  <c r="CD28" i="11"/>
  <c r="CD10" i="11"/>
  <c r="CD9" i="11"/>
  <c r="CD8" i="11"/>
  <c r="CE17" i="11" s="1"/>
  <c r="CD7" i="11"/>
  <c r="CE16" i="11" s="1"/>
  <c r="CD6" i="11"/>
  <c r="CE15" i="11" s="1"/>
  <c r="CD5" i="11"/>
  <c r="CE104" i="1"/>
  <c r="CE98" i="1"/>
  <c r="CE99" i="1" s="1"/>
  <c r="CE78" i="1"/>
  <c r="CE79" i="1" s="1"/>
  <c r="CE8" i="1"/>
  <c r="AH31" i="30"/>
  <c r="AH24" i="30"/>
  <c r="AH17" i="30"/>
  <c r="AH10" i="30"/>
  <c r="AH3" i="30"/>
  <c r="BE5" i="28" l="1"/>
  <c r="BD11" i="28"/>
  <c r="CE14" i="11"/>
  <c r="CE33" i="11"/>
  <c r="CF47" i="1" s="1"/>
  <c r="CE34" i="11"/>
  <c r="CF57" i="1" s="1"/>
  <c r="CE18" i="11"/>
  <c r="CE19" i="11"/>
  <c r="CE32" i="11" s="1"/>
  <c r="CF37" i="1" s="1"/>
  <c r="CJ5" i="11"/>
  <c r="CI11" i="11"/>
  <c r="CD65" i="11"/>
  <c r="CD70" i="11" s="1"/>
  <c r="CE48" i="1" s="1"/>
  <c r="CD11" i="11"/>
  <c r="CE81" i="1"/>
  <c r="AS10" i="28"/>
  <c r="AS9" i="28"/>
  <c r="AS8" i="28"/>
  <c r="AS7" i="28"/>
  <c r="AS6" i="28"/>
  <c r="AS5" i="28"/>
  <c r="BF5" i="28" l="1"/>
  <c r="BE11" i="28"/>
  <c r="CK5" i="11"/>
  <c r="CJ11" i="11"/>
  <c r="CE31" i="11"/>
  <c r="CE20" i="11"/>
  <c r="CE35" i="11"/>
  <c r="CF67" i="1" s="1"/>
  <c r="CD71" i="11"/>
  <c r="CE58" i="1" s="1"/>
  <c r="CD69" i="11"/>
  <c r="CE38" i="1" s="1"/>
  <c r="CD72" i="11"/>
  <c r="CE68" i="1" s="1"/>
  <c r="CD68" i="11"/>
  <c r="AU6" i="27"/>
  <c r="BG5" i="28" l="1"/>
  <c r="BF11" i="28"/>
  <c r="CE36" i="11"/>
  <c r="CF27" i="1"/>
  <c r="CF16" i="1" s="1"/>
  <c r="CL5" i="11"/>
  <c r="CK11" i="11"/>
  <c r="CE28" i="1"/>
  <c r="CD73" i="11"/>
  <c r="AU84" i="27"/>
  <c r="BH5" i="28" l="1"/>
  <c r="BG11" i="28"/>
  <c r="CM5" i="11"/>
  <c r="CL11" i="11"/>
  <c r="CE17" i="1"/>
  <c r="AG31" i="30"/>
  <c r="AG24" i="30"/>
  <c r="AG17" i="30"/>
  <c r="AG10" i="30"/>
  <c r="AG3" i="30"/>
  <c r="AT6" i="27"/>
  <c r="BR31" i="22"/>
  <c r="BR24" i="22"/>
  <c r="BR17" i="22"/>
  <c r="BR10" i="22"/>
  <c r="BR3" i="22"/>
  <c r="CC64" i="11"/>
  <c r="CC63" i="11"/>
  <c r="CC62" i="11"/>
  <c r="CC61" i="11"/>
  <c r="CC60" i="11"/>
  <c r="CC55" i="11"/>
  <c r="CC28" i="11"/>
  <c r="CC10" i="11"/>
  <c r="CC9" i="11"/>
  <c r="CC8" i="11"/>
  <c r="CD17" i="11" s="1"/>
  <c r="CC7" i="11"/>
  <c r="CD16" i="11" s="1"/>
  <c r="CC6" i="11"/>
  <c r="CD15" i="11" s="1"/>
  <c r="CC5" i="11"/>
  <c r="CD14" i="11" s="1"/>
  <c r="CD104" i="1"/>
  <c r="CD98" i="1"/>
  <c r="CD99" i="1" s="1"/>
  <c r="CD78" i="1"/>
  <c r="CD79" i="1" s="1"/>
  <c r="CD8" i="1"/>
  <c r="BH11" i="28" l="1"/>
  <c r="BI5" i="28"/>
  <c r="CD18" i="11"/>
  <c r="CC11" i="11"/>
  <c r="CD19" i="11"/>
  <c r="CD32" i="11" s="1"/>
  <c r="CE37" i="1" s="1"/>
  <c r="CN5" i="11"/>
  <c r="CM11" i="11"/>
  <c r="CC65" i="11"/>
  <c r="CC68" i="11" s="1"/>
  <c r="CD81" i="1"/>
  <c r="AR10" i="28"/>
  <c r="AR9" i="28"/>
  <c r="AR8" i="28"/>
  <c r="AR7" i="28"/>
  <c r="AR6" i="28"/>
  <c r="AR5" i="28"/>
  <c r="BI11" i="28" l="1"/>
  <c r="BJ5" i="28"/>
  <c r="BJ11" i="28" s="1"/>
  <c r="CD20" i="11"/>
  <c r="CD31" i="11"/>
  <c r="CD35" i="11"/>
  <c r="CE67" i="1" s="1"/>
  <c r="CO5" i="11"/>
  <c r="CN11" i="11"/>
  <c r="CD34" i="11"/>
  <c r="CE57" i="1" s="1"/>
  <c r="CD33" i="11"/>
  <c r="CE47" i="1" s="1"/>
  <c r="CD28" i="1"/>
  <c r="CC71" i="11"/>
  <c r="CD58" i="1" s="1"/>
  <c r="CC72" i="11"/>
  <c r="CD68" i="1" s="1"/>
  <c r="CC70" i="11"/>
  <c r="CD48" i="1" s="1"/>
  <c r="CC69" i="11"/>
  <c r="CD38" i="1" s="1"/>
  <c r="CP5" i="11" l="1"/>
  <c r="CO11" i="11"/>
  <c r="CE27" i="1"/>
  <c r="CE16" i="1" s="1"/>
  <c r="CD36" i="11"/>
  <c r="CC73" i="11"/>
  <c r="CD17" i="1"/>
  <c r="BQ31" i="22"/>
  <c r="BQ24" i="22"/>
  <c r="BQ17" i="22"/>
  <c r="BQ10" i="22"/>
  <c r="BQ3" i="22"/>
  <c r="AF31" i="30"/>
  <c r="AF24" i="30"/>
  <c r="AF17" i="30"/>
  <c r="AF10" i="30"/>
  <c r="AF3" i="30"/>
  <c r="CQ5" i="11" l="1"/>
  <c r="CP11" i="11"/>
  <c r="CB5" i="11"/>
  <c r="CB6" i="11"/>
  <c r="CB7" i="11"/>
  <c r="CB8" i="11"/>
  <c r="CB9" i="11"/>
  <c r="CB64" i="11"/>
  <c r="CB63" i="11"/>
  <c r="CB62" i="11"/>
  <c r="CB61" i="11"/>
  <c r="CB60" i="11"/>
  <c r="CB55" i="11"/>
  <c r="CB28" i="11"/>
  <c r="CB10" i="11"/>
  <c r="CC19" i="11" s="1"/>
  <c r="CC18" i="11" l="1"/>
  <c r="CC35" i="11" s="1"/>
  <c r="CD67" i="1" s="1"/>
  <c r="CC17" i="11"/>
  <c r="CC34" i="11" s="1"/>
  <c r="CD57" i="1" s="1"/>
  <c r="CC16" i="11"/>
  <c r="CC33" i="11" s="1"/>
  <c r="CD47" i="1" s="1"/>
  <c r="CC15" i="11"/>
  <c r="CC32" i="11" s="1"/>
  <c r="CD37" i="1" s="1"/>
  <c r="CC14" i="11"/>
  <c r="CR5" i="11"/>
  <c r="CQ11" i="11"/>
  <c r="CB65" i="11"/>
  <c r="CB68" i="11" s="1"/>
  <c r="CB11" i="11"/>
  <c r="CS5" i="11" l="1"/>
  <c r="CR11" i="11"/>
  <c r="CC20" i="11"/>
  <c r="CC31" i="11"/>
  <c r="CB69" i="11"/>
  <c r="CB72" i="11"/>
  <c r="CB71" i="11"/>
  <c r="CB70" i="11"/>
  <c r="CD27" i="1" l="1"/>
  <c r="CD16" i="1" s="1"/>
  <c r="CC36" i="11"/>
  <c r="CT5" i="11"/>
  <c r="CT11" i="11" s="1"/>
  <c r="CS11" i="11"/>
  <c r="CB73" i="11"/>
  <c r="CC104" i="1"/>
  <c r="CC98" i="1"/>
  <c r="CC99" i="1" s="1"/>
  <c r="CC78" i="1"/>
  <c r="CC79" i="1" s="1"/>
  <c r="CC68" i="1"/>
  <c r="CC58" i="1"/>
  <c r="CC48" i="1"/>
  <c r="CC38" i="1"/>
  <c r="CC28" i="1"/>
  <c r="CC8" i="1"/>
  <c r="CC17" i="1" l="1"/>
  <c r="CC81" i="1"/>
  <c r="AS6" i="27"/>
  <c r="AQ10" i="28" l="1"/>
  <c r="AQ9" i="28"/>
  <c r="AQ8" i="28"/>
  <c r="AQ7" i="28"/>
  <c r="AQ6" i="28"/>
  <c r="AQ5" i="28"/>
  <c r="CA10" i="11" l="1"/>
  <c r="CB19" i="11" s="1"/>
  <c r="CA9" i="11"/>
  <c r="CB18" i="11" s="1"/>
  <c r="CA8" i="11"/>
  <c r="CB17" i="11" s="1"/>
  <c r="CB34" i="11" s="1"/>
  <c r="CC57" i="1" s="1"/>
  <c r="CA7" i="11"/>
  <c r="CB16" i="11" s="1"/>
  <c r="CB33" i="11" s="1"/>
  <c r="CC47" i="1" s="1"/>
  <c r="CA6" i="11"/>
  <c r="CB15" i="11" s="1"/>
  <c r="CA5" i="11"/>
  <c r="CB14" i="11" s="1"/>
  <c r="CB32" i="11" l="1"/>
  <c r="CC37" i="1" s="1"/>
  <c r="CB35" i="11"/>
  <c r="CC67" i="1" s="1"/>
  <c r="CB31" i="11"/>
  <c r="CB20" i="11"/>
  <c r="AE31" i="30"/>
  <c r="AE24" i="30"/>
  <c r="AE17" i="30"/>
  <c r="AE10" i="30"/>
  <c r="AE3" i="30"/>
  <c r="BP31" i="22"/>
  <c r="BP24" i="22"/>
  <c r="BP17" i="22"/>
  <c r="BP10" i="22"/>
  <c r="BP3" i="22"/>
  <c r="CA64" i="11"/>
  <c r="CA63" i="11"/>
  <c r="CA62" i="11"/>
  <c r="CA61" i="11"/>
  <c r="CA60" i="11"/>
  <c r="CA55" i="11"/>
  <c r="CA28" i="11"/>
  <c r="CB104" i="1"/>
  <c r="CB98" i="1"/>
  <c r="CB99" i="1" s="1"/>
  <c r="CB78" i="1"/>
  <c r="CB79" i="1" s="1"/>
  <c r="CB81" i="1" s="1"/>
  <c r="CB8" i="1"/>
  <c r="CB36" i="11" l="1"/>
  <c r="CC27" i="1"/>
  <c r="CC16" i="1" s="1"/>
  <c r="CA65" i="11"/>
  <c r="CA72" i="11" s="1"/>
  <c r="CB68" i="1" s="1"/>
  <c r="CA11" i="11"/>
  <c r="AP10" i="28"/>
  <c r="AP9" i="28"/>
  <c r="AP8" i="28"/>
  <c r="AP7" i="28"/>
  <c r="AP6" i="28"/>
  <c r="AP5" i="28"/>
  <c r="CA70" i="11" l="1"/>
  <c r="CB48" i="1" s="1"/>
  <c r="CA69" i="11"/>
  <c r="CB38" i="1" s="1"/>
  <c r="CA68" i="11"/>
  <c r="CA71" i="11"/>
  <c r="CB58" i="1" s="1"/>
  <c r="CA73" i="11" l="1"/>
  <c r="CB28" i="1"/>
  <c r="AR6" i="27"/>
  <c r="CB17" i="1" l="1"/>
  <c r="BO17" i="22"/>
  <c r="BO31" i="22"/>
  <c r="BO24" i="22"/>
  <c r="BO10" i="22"/>
  <c r="BO3" i="22"/>
  <c r="BZ64" i="11"/>
  <c r="BZ63" i="11"/>
  <c r="BZ62" i="11"/>
  <c r="BZ61" i="11"/>
  <c r="BZ60" i="11"/>
  <c r="BZ55" i="11"/>
  <c r="BZ28" i="11"/>
  <c r="BZ10" i="11"/>
  <c r="BZ9" i="11"/>
  <c r="BZ8" i="11"/>
  <c r="CA17" i="11" s="1"/>
  <c r="BZ7" i="11"/>
  <c r="CA16" i="11" s="1"/>
  <c r="BZ6" i="11"/>
  <c r="CA15" i="11" s="1"/>
  <c r="BZ5" i="11"/>
  <c r="AD31" i="30"/>
  <c r="AD24" i="30"/>
  <c r="AD17" i="30"/>
  <c r="AD10" i="30"/>
  <c r="AD3" i="30"/>
  <c r="CA104" i="1"/>
  <c r="CA98" i="1"/>
  <c r="CA99" i="1" s="1"/>
  <c r="CA78" i="1"/>
  <c r="CA79" i="1" s="1"/>
  <c r="CA8" i="1"/>
  <c r="CA14" i="11" l="1"/>
  <c r="CA18" i="11"/>
  <c r="CA19" i="11"/>
  <c r="CA33" i="11" s="1"/>
  <c r="CB47" i="1" s="1"/>
  <c r="BZ65" i="11"/>
  <c r="BZ70" i="11" s="1"/>
  <c r="CA48" i="1" s="1"/>
  <c r="BZ11" i="11"/>
  <c r="CA81" i="1"/>
  <c r="CA34" i="11" l="1"/>
  <c r="CB57" i="1" s="1"/>
  <c r="CA35" i="11"/>
  <c r="CB67" i="1" s="1"/>
  <c r="CA32" i="11"/>
  <c r="CB37" i="1" s="1"/>
  <c r="CA20" i="11"/>
  <c r="CA31" i="11"/>
  <c r="BZ68" i="11"/>
  <c r="BZ69" i="11"/>
  <c r="CA38" i="1" s="1"/>
  <c r="BZ72" i="11"/>
  <c r="CA68" i="1" s="1"/>
  <c r="BZ71" i="11"/>
  <c r="CA58" i="1" s="1"/>
  <c r="CA36" i="11" l="1"/>
  <c r="CB27" i="1"/>
  <c r="CB16" i="1" s="1"/>
  <c r="CA28" i="1"/>
  <c r="BZ73" i="11"/>
  <c r="CA17" i="1" l="1"/>
  <c r="AO10" i="28" l="1"/>
  <c r="AO9" i="28"/>
  <c r="AO8" i="28"/>
  <c r="AO7" i="28"/>
  <c r="AO6" i="28"/>
  <c r="AO5" i="28"/>
  <c r="AQ6" i="27" l="1"/>
  <c r="BN31" i="22" l="1"/>
  <c r="BN24" i="22"/>
  <c r="BN17" i="22"/>
  <c r="BN10" i="22"/>
  <c r="BN3" i="22"/>
  <c r="BY64" i="11"/>
  <c r="BY63" i="11"/>
  <c r="BY62" i="11"/>
  <c r="BY61" i="11"/>
  <c r="BY60" i="11"/>
  <c r="BY55" i="11"/>
  <c r="BY28" i="11"/>
  <c r="BY10" i="11"/>
  <c r="BY9" i="11"/>
  <c r="BY8" i="11"/>
  <c r="BZ17" i="11" s="1"/>
  <c r="BY7" i="11"/>
  <c r="BZ16" i="11" s="1"/>
  <c r="BY6" i="11"/>
  <c r="BZ15" i="11" s="1"/>
  <c r="BY5" i="11"/>
  <c r="BZ104" i="1"/>
  <c r="BZ98" i="1"/>
  <c r="BZ99" i="1" s="1"/>
  <c r="BZ78" i="1"/>
  <c r="BZ79" i="1" s="1"/>
  <c r="BZ8" i="1"/>
  <c r="AC31" i="30"/>
  <c r="AC24" i="30"/>
  <c r="AC17" i="30"/>
  <c r="AC10" i="30"/>
  <c r="AC3" i="30"/>
  <c r="BZ19" i="11" l="1"/>
  <c r="BZ32" i="11"/>
  <c r="CA37" i="1" s="1"/>
  <c r="BZ33" i="11"/>
  <c r="CA47" i="1" s="1"/>
  <c r="BZ34" i="11"/>
  <c r="CA57" i="1" s="1"/>
  <c r="BY14" i="11"/>
  <c r="BZ14" i="11"/>
  <c r="BY18" i="11"/>
  <c r="BZ18" i="11"/>
  <c r="BY65" i="11"/>
  <c r="BY11" i="11"/>
  <c r="BZ81" i="1"/>
  <c r="AN10" i="28"/>
  <c r="AN9" i="28"/>
  <c r="AN8" i="28"/>
  <c r="AN7" i="28"/>
  <c r="AN6" i="28"/>
  <c r="AN5" i="28"/>
  <c r="BX10" i="11"/>
  <c r="BY19" i="11" s="1"/>
  <c r="BX9" i="11"/>
  <c r="BX8" i="11"/>
  <c r="BY17" i="11" s="1"/>
  <c r="BY34" i="11" s="1"/>
  <c r="BZ57" i="1" s="1"/>
  <c r="BX7" i="11"/>
  <c r="BY16" i="11" s="1"/>
  <c r="BX6" i="11"/>
  <c r="BY15" i="11" s="1"/>
  <c r="BX5" i="11"/>
  <c r="BY35" i="11" l="1"/>
  <c r="BZ67" i="1" s="1"/>
  <c r="BY32" i="11"/>
  <c r="BZ37" i="1" s="1"/>
  <c r="BY31" i="11"/>
  <c r="BZ27" i="1" s="1"/>
  <c r="BY33" i="11"/>
  <c r="BZ47" i="1" s="1"/>
  <c r="BZ16" i="1" s="1"/>
  <c r="BY20" i="11"/>
  <c r="BZ31" i="11"/>
  <c r="BZ20" i="11"/>
  <c r="BZ35" i="11"/>
  <c r="CA67" i="1" s="1"/>
  <c r="BY69" i="11"/>
  <c r="BZ38" i="1" s="1"/>
  <c r="BY72" i="11"/>
  <c r="BZ68" i="1" s="1"/>
  <c r="BY68" i="11"/>
  <c r="BY70" i="11"/>
  <c r="BZ48" i="1" s="1"/>
  <c r="BY71" i="11"/>
  <c r="BZ58" i="1" s="1"/>
  <c r="AP6" i="27"/>
  <c r="BZ36" i="11" l="1"/>
  <c r="CA27" i="1"/>
  <c r="CA16" i="1" s="1"/>
  <c r="BY36" i="11"/>
  <c r="BZ28" i="1"/>
  <c r="BY73" i="11"/>
  <c r="BZ17" i="1"/>
  <c r="AB3" i="30"/>
  <c r="AB31" i="30"/>
  <c r="AB32" i="30" s="1"/>
  <c r="AB24" i="30"/>
  <c r="AB25" i="30" s="1"/>
  <c r="AB17" i="30"/>
  <c r="AB10" i="30"/>
  <c r="AB11" i="30" s="1"/>
  <c r="AZ85" i="27"/>
  <c r="AY85" i="27"/>
  <c r="AX85" i="27"/>
  <c r="AW85" i="27"/>
  <c r="AW87" i="27" s="1"/>
  <c r="AW88" i="27" s="1"/>
  <c r="AV85" i="27"/>
  <c r="AU85" i="27"/>
  <c r="AU87" i="27" s="1"/>
  <c r="AU88" i="27" s="1"/>
  <c r="AT85" i="27"/>
  <c r="AS85" i="27"/>
  <c r="AR85" i="27"/>
  <c r="AQ85" i="27"/>
  <c r="AP85" i="27"/>
  <c r="AO85" i="27"/>
  <c r="AO87" i="27" s="1"/>
  <c r="AO88" i="27" s="1"/>
  <c r="BM3" i="22"/>
  <c r="BM31" i="22"/>
  <c r="BM32" i="22" s="1"/>
  <c r="BN32" i="22" s="1"/>
  <c r="BM24" i="22"/>
  <c r="BM17" i="22"/>
  <c r="BM19" i="22" s="1"/>
  <c r="BN19" i="22" s="1"/>
  <c r="BM10" i="22"/>
  <c r="BM12" i="22" s="1"/>
  <c r="BN12" i="22" s="1"/>
  <c r="BO12" i="22" s="1"/>
  <c r="BP12" i="22" s="1"/>
  <c r="BX64" i="11"/>
  <c r="BX63" i="11"/>
  <c r="BX62" i="11"/>
  <c r="BX61" i="11"/>
  <c r="BX60" i="11"/>
  <c r="BX55" i="11"/>
  <c r="BX28" i="11"/>
  <c r="BX11" i="11"/>
  <c r="BY104" i="1"/>
  <c r="BY98" i="1"/>
  <c r="BY99" i="1" s="1"/>
  <c r="BY78" i="1"/>
  <c r="BY79" i="1" s="1"/>
  <c r="BY8" i="1"/>
  <c r="BO19" i="22" l="1"/>
  <c r="BO32" i="22"/>
  <c r="BQ12" i="22"/>
  <c r="BR12" i="22" s="1"/>
  <c r="BS12" i="22" s="1"/>
  <c r="AB26" i="30"/>
  <c r="AC25" i="30"/>
  <c r="AB33" i="30"/>
  <c r="AB34" i="30" s="1"/>
  <c r="AB35" i="30" s="1"/>
  <c r="AB36" i="30" s="1"/>
  <c r="AC32" i="30"/>
  <c r="AB12" i="30"/>
  <c r="AC11" i="30"/>
  <c r="BM11" i="22"/>
  <c r="BM18" i="22"/>
  <c r="BN18" i="22" s="1"/>
  <c r="BM26" i="22"/>
  <c r="BN26" i="22" s="1"/>
  <c r="BO26" i="22" s="1"/>
  <c r="BP26" i="22" s="1"/>
  <c r="BM4" i="22"/>
  <c r="BM25" i="22"/>
  <c r="BN25" i="22" s="1"/>
  <c r="BM5" i="22"/>
  <c r="BN5" i="22" s="1"/>
  <c r="BO5" i="22" s="1"/>
  <c r="BP5" i="22" s="1"/>
  <c r="BM33" i="22"/>
  <c r="AB4" i="30"/>
  <c r="AB18" i="30"/>
  <c r="AB13" i="30"/>
  <c r="AB14" i="30" s="1"/>
  <c r="AB15" i="30" s="1"/>
  <c r="AB27" i="30"/>
  <c r="AB28" i="30" s="1"/>
  <c r="AB29" i="30" s="1"/>
  <c r="BX65" i="11"/>
  <c r="BX69" i="11" s="1"/>
  <c r="BY38" i="1" s="1"/>
  <c r="BY81" i="1"/>
  <c r="BX70" i="11" l="1"/>
  <c r="BY48" i="1" s="1"/>
  <c r="BM20" i="22"/>
  <c r="BM21" i="22" s="1"/>
  <c r="BM22" i="22" s="1"/>
  <c r="BQ5" i="22"/>
  <c r="BR5" i="22" s="1"/>
  <c r="BT12" i="22"/>
  <c r="BQ26" i="22"/>
  <c r="BR26" i="22" s="1"/>
  <c r="BP32" i="22"/>
  <c r="BO18" i="22"/>
  <c r="BN20" i="22"/>
  <c r="BN21" i="22" s="1"/>
  <c r="BN22" i="22" s="1"/>
  <c r="BZ49" i="1" s="1"/>
  <c r="BZ50" i="1" s="1"/>
  <c r="BZ51" i="1" s="1"/>
  <c r="BM13" i="22"/>
  <c r="BM14" i="22" s="1"/>
  <c r="BM15" i="22" s="1"/>
  <c r="BY39" i="1" s="1"/>
  <c r="BY40" i="1" s="1"/>
  <c r="BN11" i="22"/>
  <c r="BO25" i="22"/>
  <c r="BN27" i="22"/>
  <c r="BN28" i="22" s="1"/>
  <c r="BN29" i="22" s="1"/>
  <c r="BZ59" i="1" s="1"/>
  <c r="BZ60" i="1" s="1"/>
  <c r="BZ61" i="1" s="1"/>
  <c r="BM6" i="22"/>
  <c r="BN4" i="22"/>
  <c r="BM34" i="22"/>
  <c r="BM35" i="22" s="1"/>
  <c r="BM36" i="22" s="1"/>
  <c r="BN33" i="22"/>
  <c r="BP19" i="22"/>
  <c r="BQ19" i="22" s="1"/>
  <c r="AC12" i="30"/>
  <c r="AD11" i="30"/>
  <c r="AC13" i="30"/>
  <c r="AC14" i="30" s="1"/>
  <c r="AC15" i="30" s="1"/>
  <c r="AB19" i="30"/>
  <c r="AB20" i="30" s="1"/>
  <c r="AB21" i="30" s="1"/>
  <c r="AB22" i="30" s="1"/>
  <c r="AC18" i="30"/>
  <c r="AC33" i="30"/>
  <c r="AC34" i="30" s="1"/>
  <c r="AD32" i="30"/>
  <c r="AC26" i="30"/>
  <c r="AD25" i="30"/>
  <c r="AC27" i="30"/>
  <c r="AB5" i="30"/>
  <c r="AB6" i="30" s="1"/>
  <c r="AB7" i="30" s="1"/>
  <c r="AB8" i="30" s="1"/>
  <c r="AC4" i="30"/>
  <c r="BM7" i="22"/>
  <c r="BM8" i="22" s="1"/>
  <c r="BM27" i="22"/>
  <c r="BM28" i="22" s="1"/>
  <c r="BM29" i="22" s="1"/>
  <c r="BY49" i="1"/>
  <c r="BY50" i="1" s="1"/>
  <c r="BX71" i="11"/>
  <c r="BY58" i="1" s="1"/>
  <c r="BX72" i="11"/>
  <c r="BY68" i="1" s="1"/>
  <c r="BX68" i="11"/>
  <c r="BP25" i="22" l="1"/>
  <c r="BO27" i="22"/>
  <c r="BO28" i="22" s="1"/>
  <c r="BO29" i="22" s="1"/>
  <c r="CA59" i="1" s="1"/>
  <c r="CA60" i="1" s="1"/>
  <c r="CA61" i="1" s="1"/>
  <c r="BS26" i="22"/>
  <c r="BR19" i="22"/>
  <c r="BS19" i="22" s="1"/>
  <c r="BN13" i="22"/>
  <c r="BN14" i="22" s="1"/>
  <c r="BN15" i="22" s="1"/>
  <c r="BZ39" i="1" s="1"/>
  <c r="BZ40" i="1" s="1"/>
  <c r="BZ41" i="1" s="1"/>
  <c r="BO11" i="22"/>
  <c r="BO33" i="22"/>
  <c r="BN34" i="22"/>
  <c r="BN35" i="22" s="1"/>
  <c r="BN36" i="22" s="1"/>
  <c r="BZ69" i="1" s="1"/>
  <c r="BP18" i="22"/>
  <c r="BO20" i="22"/>
  <c r="BO21" i="22" s="1"/>
  <c r="BO22" i="22" s="1"/>
  <c r="CA49" i="1" s="1"/>
  <c r="CA50" i="1" s="1"/>
  <c r="CA51" i="1" s="1"/>
  <c r="BO4" i="22"/>
  <c r="BN6" i="22"/>
  <c r="BN7" i="22" s="1"/>
  <c r="BN8" i="22" s="1"/>
  <c r="BZ29" i="1" s="1"/>
  <c r="BZ30" i="1" s="1"/>
  <c r="BZ31" i="1" s="1"/>
  <c r="BQ32" i="22"/>
  <c r="BS5" i="22"/>
  <c r="BT5" i="22" s="1"/>
  <c r="AC35" i="30"/>
  <c r="AC36" i="30" s="1"/>
  <c r="AC5" i="30"/>
  <c r="AC6" i="30" s="1"/>
  <c r="AC7" i="30" s="1"/>
  <c r="AC8" i="30" s="1"/>
  <c r="AD4" i="30"/>
  <c r="AC19" i="30"/>
  <c r="AD18" i="30"/>
  <c r="AC20" i="30"/>
  <c r="AC21" i="30" s="1"/>
  <c r="AC22" i="30" s="1"/>
  <c r="AD26" i="30"/>
  <c r="AD27" i="30" s="1"/>
  <c r="AD28" i="30" s="1"/>
  <c r="AD29" i="30" s="1"/>
  <c r="AE25" i="30"/>
  <c r="AD12" i="30"/>
  <c r="AD13" i="30" s="1"/>
  <c r="AD14" i="30" s="1"/>
  <c r="AD15" i="30" s="1"/>
  <c r="AE11" i="30"/>
  <c r="AD33" i="30"/>
  <c r="AD34" i="30" s="1"/>
  <c r="AD35" i="30" s="1"/>
  <c r="AD36" i="30" s="1"/>
  <c r="AE32" i="30"/>
  <c r="AC28" i="30"/>
  <c r="AC29" i="30" s="1"/>
  <c r="BY59" i="1"/>
  <c r="BY60" i="1" s="1"/>
  <c r="BX73" i="11"/>
  <c r="BY28" i="1"/>
  <c r="BY29" i="1" s="1"/>
  <c r="BY30" i="1" s="1"/>
  <c r="BY69" i="1"/>
  <c r="BZ18" i="1" l="1"/>
  <c r="BZ70" i="1"/>
  <c r="BT19" i="22"/>
  <c r="BQ18" i="22"/>
  <c r="BP20" i="22"/>
  <c r="BP21" i="22" s="1"/>
  <c r="BP22" i="22" s="1"/>
  <c r="CB49" i="1" s="1"/>
  <c r="CB50" i="1" s="1"/>
  <c r="CB51" i="1" s="1"/>
  <c r="BT26" i="22"/>
  <c r="BO6" i="22"/>
  <c r="BO7" i="22" s="1"/>
  <c r="BO8" i="22" s="1"/>
  <c r="CA29" i="1" s="1"/>
  <c r="CA30" i="1" s="1"/>
  <c r="CA31" i="1" s="1"/>
  <c r="BP4" i="22"/>
  <c r="BR32" i="22"/>
  <c r="BP33" i="22"/>
  <c r="BO34" i="22"/>
  <c r="BO35" i="22" s="1"/>
  <c r="BO36" i="22" s="1"/>
  <c r="CA69" i="1" s="1"/>
  <c r="BO13" i="22"/>
  <c r="BO14" i="22" s="1"/>
  <c r="BO15" i="22" s="1"/>
  <c r="CA39" i="1" s="1"/>
  <c r="CA40" i="1" s="1"/>
  <c r="CA41" i="1" s="1"/>
  <c r="BP11" i="22"/>
  <c r="BQ25" i="22"/>
  <c r="BP27" i="22"/>
  <c r="BP28" i="22" s="1"/>
  <c r="BP29" i="22" s="1"/>
  <c r="CB59" i="1" s="1"/>
  <c r="CB60" i="1" s="1"/>
  <c r="CB61" i="1" s="1"/>
  <c r="AD19" i="30"/>
  <c r="AD20" i="30" s="1"/>
  <c r="AD21" i="30" s="1"/>
  <c r="AD22" i="30" s="1"/>
  <c r="AE18" i="30"/>
  <c r="AE33" i="30"/>
  <c r="AF32" i="30"/>
  <c r="AE34" i="30"/>
  <c r="AE35" i="30" s="1"/>
  <c r="AE36" i="30" s="1"/>
  <c r="AD5" i="30"/>
  <c r="AD6" i="30" s="1"/>
  <c r="AD7" i="30" s="1"/>
  <c r="AD8" i="30" s="1"/>
  <c r="AE4" i="30"/>
  <c r="AF11" i="30"/>
  <c r="AE12" i="30"/>
  <c r="AE13" i="30" s="1"/>
  <c r="AF25" i="30"/>
  <c r="AE26" i="30"/>
  <c r="AE27" i="30" s="1"/>
  <c r="AE28" i="30" s="1"/>
  <c r="AE29" i="30" s="1"/>
  <c r="BY17" i="1"/>
  <c r="BY18" i="1"/>
  <c r="BY70" i="1"/>
  <c r="BQ11" i="22" l="1"/>
  <c r="BP13" i="22"/>
  <c r="BP14" i="22" s="1"/>
  <c r="BP15" i="22" s="1"/>
  <c r="CB39" i="1" s="1"/>
  <c r="CB40" i="1" s="1"/>
  <c r="CB41" i="1" s="1"/>
  <c r="BQ33" i="22"/>
  <c r="BP34" i="22"/>
  <c r="BP35" i="22" s="1"/>
  <c r="BP36" i="22" s="1"/>
  <c r="CB69" i="1" s="1"/>
  <c r="BR18" i="22"/>
  <c r="BQ20" i="22"/>
  <c r="BQ21" i="22" s="1"/>
  <c r="BQ22" i="22" s="1"/>
  <c r="CC49" i="1" s="1"/>
  <c r="CC50" i="1" s="1"/>
  <c r="CC51" i="1" s="1"/>
  <c r="CA18" i="1"/>
  <c r="CA70" i="1"/>
  <c r="BS32" i="22"/>
  <c r="BT32" i="22" s="1"/>
  <c r="BP6" i="22"/>
  <c r="BP7" i="22" s="1"/>
  <c r="BP8" i="22" s="1"/>
  <c r="CB29" i="1" s="1"/>
  <c r="CB30" i="1" s="1"/>
  <c r="CB31" i="1" s="1"/>
  <c r="BQ4" i="22"/>
  <c r="BZ71" i="1"/>
  <c r="BZ20" i="1" s="1"/>
  <c r="BZ19" i="1"/>
  <c r="BR25" i="22"/>
  <c r="BQ27" i="22"/>
  <c r="BQ28" i="22" s="1"/>
  <c r="BQ29" i="22" s="1"/>
  <c r="CC59" i="1" s="1"/>
  <c r="CC60" i="1" s="1"/>
  <c r="CC61" i="1" s="1"/>
  <c r="AF33" i="30"/>
  <c r="AF34" i="30" s="1"/>
  <c r="AF35" i="30" s="1"/>
  <c r="AF36" i="30" s="1"/>
  <c r="AG32" i="30"/>
  <c r="AE5" i="30"/>
  <c r="AF4" i="30"/>
  <c r="AE6" i="30"/>
  <c r="AE7" i="30" s="1"/>
  <c r="AE8" i="30" s="1"/>
  <c r="AF26" i="30"/>
  <c r="AF27" i="30" s="1"/>
  <c r="AF28" i="30" s="1"/>
  <c r="AF29" i="30" s="1"/>
  <c r="AG25" i="30"/>
  <c r="AF12" i="30"/>
  <c r="AF13" i="30" s="1"/>
  <c r="AG11" i="30"/>
  <c r="AE19" i="30"/>
  <c r="AF18" i="30"/>
  <c r="AE20" i="30"/>
  <c r="AE21" i="30" s="1"/>
  <c r="AE22" i="30" s="1"/>
  <c r="AE14" i="30"/>
  <c r="AE15" i="30" s="1"/>
  <c r="BY19" i="1"/>
  <c r="AM10" i="28"/>
  <c r="AM9" i="28"/>
  <c r="AM8" i="28"/>
  <c r="AM7" i="28"/>
  <c r="AM6" i="28"/>
  <c r="AM5" i="28"/>
  <c r="BW10" i="11"/>
  <c r="BX19" i="11" s="1"/>
  <c r="BW9" i="11"/>
  <c r="BX18" i="11" s="1"/>
  <c r="BW8" i="11"/>
  <c r="BX17" i="11" s="1"/>
  <c r="BX34" i="11" s="1"/>
  <c r="BY57" i="1" s="1"/>
  <c r="BY61" i="1" s="1"/>
  <c r="BW7" i="11"/>
  <c r="BX16" i="11" s="1"/>
  <c r="BW6" i="11"/>
  <c r="BX15" i="11" s="1"/>
  <c r="BW5" i="11"/>
  <c r="BX14" i="11" s="1"/>
  <c r="BX32" i="11" l="1"/>
  <c r="BY37" i="1" s="1"/>
  <c r="BY41" i="1" s="1"/>
  <c r="BX33" i="11"/>
  <c r="BY47" i="1" s="1"/>
  <c r="BY51" i="1" s="1"/>
  <c r="BX35" i="11"/>
  <c r="BY67" i="1" s="1"/>
  <c r="BX20" i="11"/>
  <c r="BX31" i="11"/>
  <c r="BR4" i="22"/>
  <c r="BQ6" i="22"/>
  <c r="BQ7" i="22" s="1"/>
  <c r="BQ8" i="22" s="1"/>
  <c r="CC29" i="1" s="1"/>
  <c r="CC30" i="1" s="1"/>
  <c r="CC31" i="1" s="1"/>
  <c r="CB70" i="1"/>
  <c r="CB18" i="1"/>
  <c r="BR33" i="22"/>
  <c r="BQ34" i="22"/>
  <c r="BQ35" i="22" s="1"/>
  <c r="BQ36" i="22" s="1"/>
  <c r="CC69" i="1" s="1"/>
  <c r="BR20" i="22"/>
  <c r="BR21" i="22" s="1"/>
  <c r="BR22" i="22" s="1"/>
  <c r="CD49" i="1" s="1"/>
  <c r="CD50" i="1" s="1"/>
  <c r="CD51" i="1" s="1"/>
  <c r="BS18" i="22"/>
  <c r="BS25" i="22"/>
  <c r="BR27" i="22"/>
  <c r="BR28" i="22" s="1"/>
  <c r="BR29" i="22" s="1"/>
  <c r="CD59" i="1" s="1"/>
  <c r="CD60" i="1" s="1"/>
  <c r="CD61" i="1" s="1"/>
  <c r="CA19" i="1"/>
  <c r="CA71" i="1"/>
  <c r="CA20" i="1" s="1"/>
  <c r="BQ13" i="22"/>
  <c r="BQ14" i="22" s="1"/>
  <c r="BQ15" i="22" s="1"/>
  <c r="CC39" i="1" s="1"/>
  <c r="CC40" i="1" s="1"/>
  <c r="CC41" i="1" s="1"/>
  <c r="BR11" i="22"/>
  <c r="AG26" i="30"/>
  <c r="AG27" i="30" s="1"/>
  <c r="AH25" i="30"/>
  <c r="AF5" i="30"/>
  <c r="AF6" i="30" s="1"/>
  <c r="AF7" i="30" s="1"/>
  <c r="AF8" i="30" s="1"/>
  <c r="AG4" i="30"/>
  <c r="AG18" i="30"/>
  <c r="AF19" i="30"/>
  <c r="AH11" i="30"/>
  <c r="AG12" i="30"/>
  <c r="AF14" i="30"/>
  <c r="AF15" i="30" s="1"/>
  <c r="AG33" i="30"/>
  <c r="AH32" i="30"/>
  <c r="AG34" i="30"/>
  <c r="AG35" i="30" s="1"/>
  <c r="AG36" i="30" s="1"/>
  <c r="BY27" i="1" l="1"/>
  <c r="BY31" i="1" s="1"/>
  <c r="BX36" i="11"/>
  <c r="BY16" i="1"/>
  <c r="BY71" i="1"/>
  <c r="CC70" i="1"/>
  <c r="CC18" i="1"/>
  <c r="BS33" i="22"/>
  <c r="BR34" i="22"/>
  <c r="BR35" i="22" s="1"/>
  <c r="BR36" i="22" s="1"/>
  <c r="CD69" i="1" s="1"/>
  <c r="CB19" i="1"/>
  <c r="CB71" i="1"/>
  <c r="CB20" i="1" s="1"/>
  <c r="BT18" i="22"/>
  <c r="BT20" i="22" s="1"/>
  <c r="BT21" i="22" s="1"/>
  <c r="BT22" i="22" s="1"/>
  <c r="CF49" i="1" s="1"/>
  <c r="CF50" i="1" s="1"/>
  <c r="CF51" i="1" s="1"/>
  <c r="BS20" i="22"/>
  <c r="BS21" i="22" s="1"/>
  <c r="BS22" i="22" s="1"/>
  <c r="CE49" i="1" s="1"/>
  <c r="CE50" i="1" s="1"/>
  <c r="CE51" i="1" s="1"/>
  <c r="BS11" i="22"/>
  <c r="BR13" i="22"/>
  <c r="BR14" i="22" s="1"/>
  <c r="BR15" i="22" s="1"/>
  <c r="CD39" i="1" s="1"/>
  <c r="CD40" i="1" s="1"/>
  <c r="CD41" i="1" s="1"/>
  <c r="BS27" i="22"/>
  <c r="BS28" i="22" s="1"/>
  <c r="BS29" i="22" s="1"/>
  <c r="CE59" i="1" s="1"/>
  <c r="CE60" i="1" s="1"/>
  <c r="CE61" i="1" s="1"/>
  <c r="BT25" i="22"/>
  <c r="BT27" i="22" s="1"/>
  <c r="BT28" i="22" s="1"/>
  <c r="BT29" i="22" s="1"/>
  <c r="CF59" i="1" s="1"/>
  <c r="CF60" i="1" s="1"/>
  <c r="CF61" i="1" s="1"/>
  <c r="BS4" i="22"/>
  <c r="BR6" i="22"/>
  <c r="BR7" i="22" s="1"/>
  <c r="BR8" i="22" s="1"/>
  <c r="CD29" i="1" s="1"/>
  <c r="CD30" i="1" s="1"/>
  <c r="CD31" i="1" s="1"/>
  <c r="AG19" i="30"/>
  <c r="AG20" i="30" s="1"/>
  <c r="AG21" i="30" s="1"/>
  <c r="AG22" i="30" s="1"/>
  <c r="AH18" i="30"/>
  <c r="AH12" i="30"/>
  <c r="AI11" i="30"/>
  <c r="AH13" i="30"/>
  <c r="AH14" i="30" s="1"/>
  <c r="AH15" i="30" s="1"/>
  <c r="AH26" i="30"/>
  <c r="AI25" i="30"/>
  <c r="AH33" i="30"/>
  <c r="AH34" i="30" s="1"/>
  <c r="AH35" i="30" s="1"/>
  <c r="AH36" i="30" s="1"/>
  <c r="AI32" i="30"/>
  <c r="AG5" i="30"/>
  <c r="AG6" i="30" s="1"/>
  <c r="AH4" i="30"/>
  <c r="AG13" i="30"/>
  <c r="AG14" i="30" s="1"/>
  <c r="AG15" i="30" s="1"/>
  <c r="AF20" i="30"/>
  <c r="AF21" i="30" s="1"/>
  <c r="AF22" i="30" s="1"/>
  <c r="AG28" i="30"/>
  <c r="AG29" i="30" s="1"/>
  <c r="AO6" i="27"/>
  <c r="BY20" i="1" l="1"/>
  <c r="BT4" i="22"/>
  <c r="BT6" i="22" s="1"/>
  <c r="BT7" i="22" s="1"/>
  <c r="BT8" i="22" s="1"/>
  <c r="CF29" i="1" s="1"/>
  <c r="CF30" i="1" s="1"/>
  <c r="CF31" i="1" s="1"/>
  <c r="BS6" i="22"/>
  <c r="BS7" i="22" s="1"/>
  <c r="BS8" i="22" s="1"/>
  <c r="CE29" i="1" s="1"/>
  <c r="CE30" i="1" s="1"/>
  <c r="CE31" i="1" s="1"/>
  <c r="CD18" i="1"/>
  <c r="CD70" i="1"/>
  <c r="BS34" i="22"/>
  <c r="BT33" i="22"/>
  <c r="BS35" i="22"/>
  <c r="BS36" i="22" s="1"/>
  <c r="CE69" i="1" s="1"/>
  <c r="CE70" i="1" s="1"/>
  <c r="CE71" i="1" s="1"/>
  <c r="BT11" i="22"/>
  <c r="BT13" i="22" s="1"/>
  <c r="BT14" i="22" s="1"/>
  <c r="BT15" i="22" s="1"/>
  <c r="CF39" i="1" s="1"/>
  <c r="CF40" i="1" s="1"/>
  <c r="CF41" i="1" s="1"/>
  <c r="BS13" i="22"/>
  <c r="BS14" i="22" s="1"/>
  <c r="BS15" i="22" s="1"/>
  <c r="CE39" i="1" s="1"/>
  <c r="CE40" i="1" s="1"/>
  <c r="CE41" i="1" s="1"/>
  <c r="CC19" i="1"/>
  <c r="CC71" i="1"/>
  <c r="CC20" i="1" s="1"/>
  <c r="AH5" i="30"/>
  <c r="AI4" i="30"/>
  <c r="AH6" i="30"/>
  <c r="AH7" i="30" s="1"/>
  <c r="AH8" i="30" s="1"/>
  <c r="AG7" i="30"/>
  <c r="AG8" i="30" s="1"/>
  <c r="AI12" i="30"/>
  <c r="AI33" i="30"/>
  <c r="AI34" i="30" s="1"/>
  <c r="AI35" i="30" s="1"/>
  <c r="AI36" i="30" s="1"/>
  <c r="AH27" i="30"/>
  <c r="AH28" i="30" s="1"/>
  <c r="AH29" i="30" s="1"/>
  <c r="AH19" i="30"/>
  <c r="AI18" i="30"/>
  <c r="AI26" i="30"/>
  <c r="AI27" i="30" s="1"/>
  <c r="AI28" i="30" s="1"/>
  <c r="AI29" i="30" s="1"/>
  <c r="CE18" i="1" l="1"/>
  <c r="BT34" i="22"/>
  <c r="BT35" i="22"/>
  <c r="BT36" i="22" s="1"/>
  <c r="CF69" i="1" s="1"/>
  <c r="CD71" i="1"/>
  <c r="CD20" i="1" s="1"/>
  <c r="CD19" i="1"/>
  <c r="AI13" i="30"/>
  <c r="AI14" i="30" s="1"/>
  <c r="AI15" i="30" s="1"/>
  <c r="AI19" i="30"/>
  <c r="AI20" i="30" s="1"/>
  <c r="AI21" i="30" s="1"/>
  <c r="AI22" i="30" s="1"/>
  <c r="AH20" i="30"/>
  <c r="AH21" i="30" s="1"/>
  <c r="AH22" i="30" s="1"/>
  <c r="AI5" i="30"/>
  <c r="AI6" i="30" s="1"/>
  <c r="AI7" i="30" s="1"/>
  <c r="AI8" i="30" s="1"/>
  <c r="CF70" i="1" l="1"/>
  <c r="CF71" i="1" s="1"/>
  <c r="CF18" i="1"/>
  <c r="CE19" i="1"/>
  <c r="CE20" i="1"/>
  <c r="AJ85" i="27"/>
  <c r="AJ87" i="27" s="1"/>
  <c r="AJ88" i="27" s="1"/>
  <c r="AO78" i="27"/>
  <c r="AO8" i="27"/>
  <c r="CF20" i="1" l="1"/>
  <c r="CF19" i="1"/>
  <c r="AI78" i="27"/>
  <c r="BL3" i="22"/>
  <c r="BL31" i="22"/>
  <c r="BL24" i="22"/>
  <c r="BL27" i="22" s="1"/>
  <c r="BL17" i="22"/>
  <c r="BL10" i="22"/>
  <c r="AA3" i="30"/>
  <c r="BL28" i="22" l="1"/>
  <c r="BL29" i="22" s="1"/>
  <c r="BL20" i="22"/>
  <c r="BL21" i="22" s="1"/>
  <c r="BL22" i="22" s="1"/>
  <c r="BL13" i="22"/>
  <c r="BL14" i="22" s="1"/>
  <c r="BL15" i="22" s="1"/>
  <c r="BL6" i="22"/>
  <c r="BL7" i="22" s="1"/>
  <c r="BL8" i="22" s="1"/>
  <c r="BL34" i="22"/>
  <c r="BL35" i="22" s="1"/>
  <c r="BL36" i="22" s="1"/>
  <c r="AA31" i="30" l="1"/>
  <c r="AA24" i="30"/>
  <c r="AA27" i="30" s="1"/>
  <c r="AA17" i="30"/>
  <c r="AA10" i="30"/>
  <c r="BW64" i="11"/>
  <c r="BW63" i="11"/>
  <c r="BW62" i="11"/>
  <c r="BW61" i="11"/>
  <c r="BW60" i="11"/>
  <c r="BW55" i="11"/>
  <c r="BW28" i="11"/>
  <c r="BX98" i="1"/>
  <c r="BX99" i="1" s="1"/>
  <c r="BX78" i="1"/>
  <c r="BX79" i="1" s="1"/>
  <c r="BX8" i="1"/>
  <c r="AA13" i="30" l="1"/>
  <c r="AA14" i="30" s="1"/>
  <c r="AA15" i="30" s="1"/>
  <c r="AA28" i="30"/>
  <c r="AA29" i="30" s="1"/>
  <c r="AA20" i="30"/>
  <c r="AA21" i="30" s="1"/>
  <c r="AA22" i="30" s="1"/>
  <c r="AA6" i="30"/>
  <c r="AA7" i="30" s="1"/>
  <c r="AA8" i="30" s="1"/>
  <c r="AA34" i="30"/>
  <c r="AA35" i="30" s="1"/>
  <c r="AA36" i="30" s="1"/>
  <c r="BW65" i="11"/>
  <c r="BW71" i="11" s="1"/>
  <c r="BX58" i="1" s="1"/>
  <c r="BX59" i="1" s="1"/>
  <c r="BX60" i="1" s="1"/>
  <c r="BW11" i="11"/>
  <c r="BX104" i="1"/>
  <c r="BX81" i="1"/>
  <c r="AL10" i="28"/>
  <c r="AL9" i="28"/>
  <c r="AL8" i="28"/>
  <c r="AL7" i="28"/>
  <c r="AL6" i="28"/>
  <c r="AL5" i="28"/>
  <c r="BV10" i="11"/>
  <c r="BW19" i="11" s="1"/>
  <c r="BW32" i="11" s="1"/>
  <c r="BX37" i="1" s="1"/>
  <c r="BV9" i="11"/>
  <c r="BW18" i="11" s="1"/>
  <c r="BW35" i="11" s="1"/>
  <c r="BX67" i="1" s="1"/>
  <c r="BV8" i="11"/>
  <c r="BW17" i="11" s="1"/>
  <c r="BV7" i="11"/>
  <c r="BW16" i="11" s="1"/>
  <c r="BV6" i="11"/>
  <c r="BW15" i="11" s="1"/>
  <c r="BV5" i="11"/>
  <c r="BW14" i="11" s="1"/>
  <c r="BW31" i="11" l="1"/>
  <c r="BX27" i="1" s="1"/>
  <c r="BX16" i="1" s="1"/>
  <c r="BW33" i="11"/>
  <c r="BX47" i="1" s="1"/>
  <c r="BW34" i="11"/>
  <c r="BX57" i="1" s="1"/>
  <c r="BW20" i="11"/>
  <c r="BX61" i="1"/>
  <c r="BW68" i="11"/>
  <c r="BW69" i="11"/>
  <c r="BX38" i="1" s="1"/>
  <c r="BX39" i="1" s="1"/>
  <c r="BX40" i="1" s="1"/>
  <c r="BX41" i="1" s="1"/>
  <c r="BW72" i="11"/>
  <c r="BX68" i="1" s="1"/>
  <c r="BW70" i="11"/>
  <c r="BX48" i="1" s="1"/>
  <c r="BX49" i="1" s="1"/>
  <c r="BX50" i="1" s="1"/>
  <c r="BX51" i="1" s="1"/>
  <c r="AN6" i="27"/>
  <c r="BW36" i="11" l="1"/>
  <c r="BX69" i="1"/>
  <c r="BW73" i="11"/>
  <c r="BX28" i="1"/>
  <c r="BX29" i="1" s="1"/>
  <c r="BX30" i="1" s="1"/>
  <c r="BX31" i="1" s="1"/>
  <c r="BK31" i="22"/>
  <c r="BK24" i="22"/>
  <c r="BK17" i="22"/>
  <c r="BK10" i="22"/>
  <c r="BK3" i="22"/>
  <c r="BV64" i="11"/>
  <c r="BV63" i="11"/>
  <c r="BV62" i="11"/>
  <c r="BV61" i="11"/>
  <c r="BV60" i="11"/>
  <c r="BV55" i="11"/>
  <c r="BV28" i="11"/>
  <c r="Z31" i="30"/>
  <c r="Z24" i="30"/>
  <c r="Z17" i="30"/>
  <c r="Z10" i="30"/>
  <c r="Z3" i="30"/>
  <c r="AN85" i="27"/>
  <c r="AN87" i="27" s="1"/>
  <c r="BX17" i="1" l="1"/>
  <c r="BX70" i="1"/>
  <c r="BX18" i="1"/>
  <c r="BV68" i="11"/>
  <c r="BV65" i="11"/>
  <c r="BV11" i="11"/>
  <c r="BU9" i="11"/>
  <c r="BV18" i="11" s="1"/>
  <c r="BU8" i="11"/>
  <c r="BV17" i="11" s="1"/>
  <c r="BU7" i="11"/>
  <c r="BV16" i="11" s="1"/>
  <c r="BU6" i="11"/>
  <c r="BV15" i="11" s="1"/>
  <c r="BU5" i="11"/>
  <c r="BV14" i="11" s="1"/>
  <c r="BU10" i="11"/>
  <c r="BV19" i="11" s="1"/>
  <c r="BV31" i="11" s="1"/>
  <c r="BV33" i="11" l="1"/>
  <c r="BV36" i="11" s="1"/>
  <c r="BV34" i="11"/>
  <c r="BV35" i="11"/>
  <c r="BV32" i="11"/>
  <c r="BV20" i="11"/>
  <c r="BX71" i="1"/>
  <c r="BX19" i="1"/>
  <c r="BV69" i="11"/>
  <c r="BV72" i="11"/>
  <c r="BV71" i="11"/>
  <c r="BV70" i="11"/>
  <c r="AK10" i="28"/>
  <c r="AK9" i="28"/>
  <c r="AK8" i="28"/>
  <c r="AK7" i="28"/>
  <c r="AK6" i="28"/>
  <c r="AK5" i="28"/>
  <c r="BX20" i="1" l="1"/>
  <c r="BV73" i="11"/>
  <c r="AM6" i="27" l="1"/>
  <c r="Y31" i="30" l="1"/>
  <c r="Y24" i="30"/>
  <c r="Y17" i="30"/>
  <c r="Y10" i="30"/>
  <c r="Y3" i="30"/>
  <c r="AM85" i="27"/>
  <c r="BJ31" i="22"/>
  <c r="BJ24" i="22"/>
  <c r="BJ17" i="22"/>
  <c r="BJ10" i="22"/>
  <c r="BJ3" i="22"/>
  <c r="BU64" i="11"/>
  <c r="BU63" i="11"/>
  <c r="BU62" i="11"/>
  <c r="BU61" i="11"/>
  <c r="BU60" i="11"/>
  <c r="BU55" i="11"/>
  <c r="BU28" i="11"/>
  <c r="BU32" i="11" l="1"/>
  <c r="BU11" i="11"/>
  <c r="BU65" i="11"/>
  <c r="AJ10" i="28"/>
  <c r="AJ9" i="28"/>
  <c r="AJ8" i="28"/>
  <c r="AJ7" i="28"/>
  <c r="AJ6" i="28"/>
  <c r="AJ5" i="28"/>
  <c r="BT9" i="11"/>
  <c r="BU18" i="11" s="1"/>
  <c r="BT8" i="11"/>
  <c r="BU17" i="11" s="1"/>
  <c r="BT7" i="11"/>
  <c r="BU16" i="11" s="1"/>
  <c r="BT6" i="11"/>
  <c r="BU15" i="11" s="1"/>
  <c r="BT10" i="11"/>
  <c r="BU19" i="11" s="1"/>
  <c r="BT5" i="11"/>
  <c r="BU14" i="11" s="1"/>
  <c r="BU31" i="11" s="1"/>
  <c r="BU33" i="11" l="1"/>
  <c r="BU35" i="11"/>
  <c r="BU34" i="11"/>
  <c r="BU36" i="11" s="1"/>
  <c r="BU20" i="11"/>
  <c r="BU70" i="11"/>
  <c r="BU69" i="11"/>
  <c r="BU72" i="11"/>
  <c r="BU71" i="11"/>
  <c r="BU68" i="11"/>
  <c r="BU73" i="11" l="1"/>
  <c r="AL6" i="27"/>
  <c r="AL8" i="27" s="1"/>
  <c r="AL85" i="27" l="1"/>
  <c r="AJ78" i="1" l="1"/>
  <c r="AL78" i="1"/>
  <c r="AY78" i="1"/>
  <c r="BU35" i="29"/>
  <c r="BT35" i="29"/>
  <c r="BS35" i="29"/>
  <c r="BR35" i="29"/>
  <c r="BQ35" i="29"/>
  <c r="BP35" i="29"/>
  <c r="BO35" i="29"/>
  <c r="BN35" i="29"/>
  <c r="BM35" i="29"/>
  <c r="BL35" i="29"/>
  <c r="BK35" i="29"/>
  <c r="BJ35" i="29"/>
  <c r="BJ36" i="29" s="1"/>
  <c r="BJ37" i="29" s="1"/>
  <c r="AL5" i="27"/>
  <c r="BM16" i="29"/>
  <c r="BJ16" i="29"/>
  <c r="BJ38" i="29" l="1"/>
  <c r="BJ39" i="29" s="1"/>
  <c r="BK36" i="29" s="1"/>
  <c r="BK38" i="29" s="1"/>
  <c r="BK39" i="29" s="1"/>
  <c r="BL36" i="29" s="1"/>
  <c r="BL38" i="29" s="1"/>
  <c r="BL39" i="29" s="1"/>
  <c r="BM36" i="29" s="1"/>
  <c r="BM38" i="29" s="1"/>
  <c r="BM39" i="29" s="1"/>
  <c r="BN36" i="29" s="1"/>
  <c r="BN38" i="29" s="1"/>
  <c r="BN39" i="29" s="1"/>
  <c r="BO36" i="29" s="1"/>
  <c r="BO38" i="29" s="1"/>
  <c r="BO39" i="29" s="1"/>
  <c r="BP36" i="29" s="1"/>
  <c r="BP38" i="29" s="1"/>
  <c r="BP39" i="29" s="1"/>
  <c r="BQ36" i="29" s="1"/>
  <c r="BQ38" i="29" s="1"/>
  <c r="BQ39" i="29" s="1"/>
  <c r="BR36" i="29" s="1"/>
  <c r="BR38" i="29" s="1"/>
  <c r="BR39" i="29" s="1"/>
  <c r="BS36" i="29" s="1"/>
  <c r="BS38" i="29" s="1"/>
  <c r="BS39" i="29" s="1"/>
  <c r="BT36" i="29" s="1"/>
  <c r="BT38" i="29" s="1"/>
  <c r="BT39" i="29" s="1"/>
  <c r="BU36" i="29" s="1"/>
  <c r="BU38" i="29" s="1"/>
  <c r="BU39" i="29" s="1"/>
  <c r="BK37" i="29" l="1"/>
  <c r="BL37" i="29" s="1"/>
  <c r="BM37" i="29" s="1"/>
  <c r="BN37" i="29" s="1"/>
  <c r="BO37" i="29" s="1"/>
  <c r="BP37" i="29" s="1"/>
  <c r="BQ37" i="29" s="1"/>
  <c r="BR37" i="29" s="1"/>
  <c r="BS37" i="29" s="1"/>
  <c r="BT37" i="29" s="1"/>
  <c r="BU37" i="29" s="1"/>
  <c r="BU18" i="29" l="1"/>
  <c r="BT18" i="29"/>
  <c r="BS18" i="29"/>
  <c r="BR18" i="29"/>
  <c r="BQ18" i="29"/>
  <c r="BP18" i="29"/>
  <c r="BO18" i="29"/>
  <c r="BN18" i="29"/>
  <c r="BL18" i="29"/>
  <c r="BK18" i="29"/>
  <c r="BM18" i="29"/>
  <c r="BJ18" i="29"/>
  <c r="BJ20" i="29" s="1"/>
  <c r="BJ21" i="29" l="1"/>
  <c r="BJ22" i="29"/>
  <c r="BJ23" i="29" s="1"/>
  <c r="BK20" i="29" s="1"/>
  <c r="BK22" i="29" s="1"/>
  <c r="BK23" i="29" s="1"/>
  <c r="BL20" i="29" s="1"/>
  <c r="BL22" i="29" s="1"/>
  <c r="BL23" i="29" s="1"/>
  <c r="BM20" i="29" s="1"/>
  <c r="BM22" i="29" s="1"/>
  <c r="BM23" i="29" s="1"/>
  <c r="BK21" i="29" l="1"/>
  <c r="BL21" i="29" s="1"/>
  <c r="BM21" i="29" s="1"/>
  <c r="BA4" i="29" l="1"/>
  <c r="BA3" i="29"/>
  <c r="BM4" i="26"/>
  <c r="BM2" i="26" s="1"/>
  <c r="BM3" i="26"/>
  <c r="BI31" i="22"/>
  <c r="BI24" i="22"/>
  <c r="BI17" i="22"/>
  <c r="BI10" i="22"/>
  <c r="BI3" i="22"/>
  <c r="BT64" i="11"/>
  <c r="BT63" i="11"/>
  <c r="BT62" i="11"/>
  <c r="BT61" i="11"/>
  <c r="BT60" i="11"/>
  <c r="BT55" i="11"/>
  <c r="BT28" i="11"/>
  <c r="BT11" i="11"/>
  <c r="X31" i="30"/>
  <c r="X24" i="30"/>
  <c r="X17" i="30"/>
  <c r="X10" i="30"/>
  <c r="X3" i="30"/>
  <c r="AD8" i="27"/>
  <c r="BT65" i="11" l="1"/>
  <c r="BT68" i="11" s="1"/>
  <c r="BT72" i="11" l="1"/>
  <c r="BT71" i="11"/>
  <c r="BT70" i="11"/>
  <c r="BT69" i="11"/>
  <c r="BT73" i="11" l="1"/>
  <c r="AI10" i="28" l="1"/>
  <c r="AI9" i="28"/>
  <c r="AI8" i="28"/>
  <c r="AI7" i="28"/>
  <c r="AI6" i="28"/>
  <c r="AI5" i="28"/>
  <c r="BS10" i="11"/>
  <c r="BT19" i="11" s="1"/>
  <c r="BS9" i="11"/>
  <c r="BT18" i="11" s="1"/>
  <c r="BT35" i="11" s="1"/>
  <c r="BS8" i="11"/>
  <c r="BT17" i="11" s="1"/>
  <c r="BS7" i="11"/>
  <c r="BT16" i="11" s="1"/>
  <c r="BS6" i="11"/>
  <c r="BT15" i="11" s="1"/>
  <c r="BS5" i="11"/>
  <c r="BT14" i="11" s="1"/>
  <c r="BT33" i="11" l="1"/>
  <c r="BT20" i="11"/>
  <c r="BT31" i="11"/>
  <c r="BT32" i="11"/>
  <c r="BT34" i="11"/>
  <c r="AK6" i="27"/>
  <c r="BT36" i="11" l="1"/>
  <c r="BH31" i="22"/>
  <c r="BH24" i="22"/>
  <c r="BH17" i="22"/>
  <c r="BH10" i="22"/>
  <c r="BH3" i="22"/>
  <c r="W3" i="30"/>
  <c r="W31" i="30"/>
  <c r="W24" i="30"/>
  <c r="W17" i="30"/>
  <c r="W10" i="30"/>
  <c r="BS64" i="11"/>
  <c r="BS63" i="11"/>
  <c r="BS62" i="11"/>
  <c r="BS61" i="11"/>
  <c r="BS60" i="11"/>
  <c r="BS55" i="11"/>
  <c r="BS28" i="11"/>
  <c r="BS11" i="11"/>
  <c r="AK85" i="27"/>
  <c r="AK87" i="27" s="1"/>
  <c r="BS65" i="11" l="1"/>
  <c r="BS70" i="11" s="1"/>
  <c r="BS71" i="11" l="1"/>
  <c r="BS72" i="11"/>
  <c r="BS69" i="11"/>
  <c r="BS68" i="11"/>
  <c r="BS73" i="11" l="1"/>
  <c r="AJ6" i="27" l="1"/>
  <c r="BR10" i="11" l="1"/>
  <c r="BS19" i="11" s="1"/>
  <c r="BR9" i="11"/>
  <c r="BS18" i="11" s="1"/>
  <c r="BS35" i="11" s="1"/>
  <c r="BR8" i="11"/>
  <c r="BS17" i="11" s="1"/>
  <c r="BS34" i="11" s="1"/>
  <c r="BR7" i="11"/>
  <c r="BS16" i="11" s="1"/>
  <c r="BS33" i="11" s="1"/>
  <c r="BR6" i="11"/>
  <c r="BS15" i="11" s="1"/>
  <c r="BS32" i="11" s="1"/>
  <c r="BR5" i="11"/>
  <c r="BS14" i="11" s="1"/>
  <c r="AH10" i="28"/>
  <c r="AH9" i="28"/>
  <c r="AH8" i="28"/>
  <c r="AH7" i="28"/>
  <c r="AH6" i="28"/>
  <c r="AH5" i="28"/>
  <c r="BS31" i="11" l="1"/>
  <c r="BS36" i="11" s="1"/>
  <c r="BS20" i="11"/>
  <c r="AK88" i="27"/>
  <c r="AJ84" i="27"/>
  <c r="BG31" i="22" l="1"/>
  <c r="BG24" i="22"/>
  <c r="BG17" i="22"/>
  <c r="BG10" i="22"/>
  <c r="BG3" i="22"/>
  <c r="BR64" i="11"/>
  <c r="BR63" i="11"/>
  <c r="BR62" i="11"/>
  <c r="BR61" i="11"/>
  <c r="BR60" i="11"/>
  <c r="BR55" i="11"/>
  <c r="BR28" i="11"/>
  <c r="V31" i="30"/>
  <c r="V24" i="30"/>
  <c r="V17" i="30"/>
  <c r="V10" i="30"/>
  <c r="V3" i="30"/>
  <c r="BR65" i="11" l="1"/>
  <c r="BR70" i="11" s="1"/>
  <c r="BR11" i="11"/>
  <c r="BR71" i="11" l="1"/>
  <c r="BR69" i="11"/>
  <c r="BR72" i="11"/>
  <c r="BR68" i="11"/>
  <c r="BQ10" i="11"/>
  <c r="BR19" i="11" s="1"/>
  <c r="BQ9" i="11"/>
  <c r="BR18" i="11" s="1"/>
  <c r="BR35" i="11" s="1"/>
  <c r="BQ8" i="11"/>
  <c r="BR17" i="11" s="1"/>
  <c r="BR34" i="11" s="1"/>
  <c r="BQ7" i="11"/>
  <c r="BR16" i="11" s="1"/>
  <c r="BR33" i="11" s="1"/>
  <c r="BQ6" i="11"/>
  <c r="BR15" i="11" s="1"/>
  <c r="BQ5" i="11"/>
  <c r="BR14" i="11" s="1"/>
  <c r="AG10" i="28"/>
  <c r="AG9" i="28"/>
  <c r="AG8" i="28"/>
  <c r="AG7" i="28"/>
  <c r="AG6" i="28"/>
  <c r="AG5" i="28"/>
  <c r="BR31" i="11" l="1"/>
  <c r="BR20" i="11"/>
  <c r="BR32" i="11"/>
  <c r="BR73" i="11"/>
  <c r="BR36" i="11" l="1"/>
  <c r="BF31" i="22" l="1"/>
  <c r="BF24" i="22"/>
  <c r="BF17" i="22"/>
  <c r="BF10" i="22"/>
  <c r="BF3" i="22"/>
  <c r="BQ64" i="11"/>
  <c r="BQ63" i="11"/>
  <c r="BQ62" i="11"/>
  <c r="BQ61" i="11"/>
  <c r="BQ60" i="11"/>
  <c r="BQ55" i="11"/>
  <c r="BQ28" i="11"/>
  <c r="U31" i="30"/>
  <c r="U24" i="30"/>
  <c r="U17" i="30"/>
  <c r="U10" i="30"/>
  <c r="U3" i="30"/>
  <c r="AI85" i="27"/>
  <c r="BQ65" i="11" l="1"/>
  <c r="BQ72" i="11" s="1"/>
  <c r="BQ11" i="11"/>
  <c r="BQ68" i="11" l="1"/>
  <c r="BQ71" i="11"/>
  <c r="BQ69" i="11"/>
  <c r="BQ70" i="11"/>
  <c r="BQ73" i="11" l="1"/>
  <c r="AF10" i="28" l="1"/>
  <c r="AF9" i="28"/>
  <c r="AF8" i="28"/>
  <c r="AF7" i="28"/>
  <c r="AF6" i="28"/>
  <c r="AF5" i="28"/>
  <c r="BP10" i="11" l="1"/>
  <c r="BQ19" i="11" s="1"/>
  <c r="BP9" i="11"/>
  <c r="BQ18" i="11" s="1"/>
  <c r="BQ35" i="11" s="1"/>
  <c r="BP8" i="11"/>
  <c r="BQ17" i="11" s="1"/>
  <c r="BQ34" i="11" s="1"/>
  <c r="BP7" i="11"/>
  <c r="BQ16" i="11" s="1"/>
  <c r="BQ33" i="11" s="1"/>
  <c r="BP6" i="11"/>
  <c r="BQ15" i="11" s="1"/>
  <c r="BQ32" i="11" s="1"/>
  <c r="BP5" i="11"/>
  <c r="BQ14" i="11" s="1"/>
  <c r="BQ31" i="11" l="1"/>
  <c r="BQ36" i="11" s="1"/>
  <c r="BQ20" i="11"/>
  <c r="BW96" i="1"/>
  <c r="BL96" i="1"/>
  <c r="BW98" i="1"/>
  <c r="BW99" i="1" s="1"/>
  <c r="BW78" i="1"/>
  <c r="BW68" i="1"/>
  <c r="BW67" i="1"/>
  <c r="BW58" i="1"/>
  <c r="BW57" i="1"/>
  <c r="BW48" i="1"/>
  <c r="BW47" i="1"/>
  <c r="BW38" i="1"/>
  <c r="BW37" i="1"/>
  <c r="BW28" i="1"/>
  <c r="BW27" i="1"/>
  <c r="BW8" i="1"/>
  <c r="BV96" i="1"/>
  <c r="BV98" i="1" s="1"/>
  <c r="BV99" i="1" s="1"/>
  <c r="BV78" i="1"/>
  <c r="BV68" i="1"/>
  <c r="BV67" i="1"/>
  <c r="BV58" i="1"/>
  <c r="BV57" i="1"/>
  <c r="BV48" i="1"/>
  <c r="BV47" i="1"/>
  <c r="BV38" i="1"/>
  <c r="BV37" i="1"/>
  <c r="BV28" i="1"/>
  <c r="BV27" i="1"/>
  <c r="BV8" i="1"/>
  <c r="BU96" i="1"/>
  <c r="BU98" i="1" s="1"/>
  <c r="BU99" i="1" s="1"/>
  <c r="BU78" i="1"/>
  <c r="BU68" i="1"/>
  <c r="BU67" i="1"/>
  <c r="BU58" i="1"/>
  <c r="BU57" i="1"/>
  <c r="BU48" i="1"/>
  <c r="BU47" i="1"/>
  <c r="BU38" i="1"/>
  <c r="BU37" i="1"/>
  <c r="BU28" i="1"/>
  <c r="BU27" i="1"/>
  <c r="BU8" i="1"/>
  <c r="BT96" i="1"/>
  <c r="BT98" i="1" s="1"/>
  <c r="BT99" i="1" s="1"/>
  <c r="BT78" i="1"/>
  <c r="BT68" i="1"/>
  <c r="BT67" i="1"/>
  <c r="BT58" i="1"/>
  <c r="BT57" i="1"/>
  <c r="BT48" i="1"/>
  <c r="BT47" i="1"/>
  <c r="BT38" i="1"/>
  <c r="BT37" i="1"/>
  <c r="BT28" i="1"/>
  <c r="BT27" i="1"/>
  <c r="BT8" i="1"/>
  <c r="BS96" i="1"/>
  <c r="BS98" i="1" s="1"/>
  <c r="BS99" i="1" s="1"/>
  <c r="BS78" i="1"/>
  <c r="BS68" i="1"/>
  <c r="BS67" i="1"/>
  <c r="BS58" i="1"/>
  <c r="BS57" i="1"/>
  <c r="BS48" i="1"/>
  <c r="BS47" i="1"/>
  <c r="BS38" i="1"/>
  <c r="BS37" i="1"/>
  <c r="BS28" i="1"/>
  <c r="BS27" i="1"/>
  <c r="BS8" i="1"/>
  <c r="BR96" i="1"/>
  <c r="BR98" i="1" s="1"/>
  <c r="BR99" i="1" s="1"/>
  <c r="BR78" i="1"/>
  <c r="BR68" i="1"/>
  <c r="BR67" i="1"/>
  <c r="BR58" i="1"/>
  <c r="BR57" i="1"/>
  <c r="BR48" i="1"/>
  <c r="BR47" i="1"/>
  <c r="BR38" i="1"/>
  <c r="BR37" i="1"/>
  <c r="BR28" i="1"/>
  <c r="BR27" i="1"/>
  <c r="BR8" i="1"/>
  <c r="BW16" i="1" l="1"/>
  <c r="BW17" i="1"/>
  <c r="BV16" i="1"/>
  <c r="BV17" i="1"/>
  <c r="BU16" i="1"/>
  <c r="BU17" i="1"/>
  <c r="BT17" i="1"/>
  <c r="BT16" i="1"/>
  <c r="BS17" i="1"/>
  <c r="BS16" i="1"/>
  <c r="BR17" i="1"/>
  <c r="BR16" i="1"/>
  <c r="BE31" i="22" l="1"/>
  <c r="BE24" i="22"/>
  <c r="BE17" i="22"/>
  <c r="BE10" i="22"/>
  <c r="BE3" i="22"/>
  <c r="BP64" i="11"/>
  <c r="BP63" i="11"/>
  <c r="BP62" i="11"/>
  <c r="BP61" i="11"/>
  <c r="BP60" i="11"/>
  <c r="BP55" i="11"/>
  <c r="BP28" i="11"/>
  <c r="AH85" i="27"/>
  <c r="BQ96" i="1"/>
  <c r="BQ98" i="1" s="1"/>
  <c r="BQ99" i="1" s="1"/>
  <c r="BQ78" i="1"/>
  <c r="BQ8" i="1"/>
  <c r="T31" i="30"/>
  <c r="T24" i="30"/>
  <c r="T17" i="30"/>
  <c r="T10" i="30"/>
  <c r="T3" i="30"/>
  <c r="BP65" i="11" l="1"/>
  <c r="BP70" i="11" s="1"/>
  <c r="BQ48" i="1" s="1"/>
  <c r="BP72" i="11"/>
  <c r="BQ68" i="1" s="1"/>
  <c r="BP11" i="11"/>
  <c r="BO9" i="11"/>
  <c r="BP18" i="11" s="1"/>
  <c r="BO8" i="11"/>
  <c r="BP17" i="11" s="1"/>
  <c r="BO7" i="11"/>
  <c r="BP16" i="11" s="1"/>
  <c r="BO6" i="11"/>
  <c r="BP15" i="11" s="1"/>
  <c r="BO10" i="11"/>
  <c r="BP19" i="11" s="1"/>
  <c r="BO5" i="11"/>
  <c r="BP14" i="11" s="1"/>
  <c r="AE10" i="28"/>
  <c r="AE9" i="28"/>
  <c r="AE8" i="28"/>
  <c r="AE7" i="28"/>
  <c r="AE6" i="28"/>
  <c r="AE5" i="28"/>
  <c r="BP34" i="11" l="1"/>
  <c r="BQ57" i="1" s="1"/>
  <c r="BP33" i="11"/>
  <c r="BQ47" i="1" s="1"/>
  <c r="BP32" i="11"/>
  <c r="BQ37" i="1" s="1"/>
  <c r="BP35" i="11"/>
  <c r="BQ67" i="1" s="1"/>
  <c r="BP31" i="11"/>
  <c r="BP71" i="11"/>
  <c r="BQ58" i="1" s="1"/>
  <c r="BP20" i="11"/>
  <c r="BP36" i="11"/>
  <c r="BP68" i="11"/>
  <c r="BQ28" i="1" s="1"/>
  <c r="BP69" i="11"/>
  <c r="BQ38" i="1" s="1"/>
  <c r="BQ27" i="1"/>
  <c r="BQ16" i="1" s="1"/>
  <c r="BQ17" i="1" l="1"/>
  <c r="BP73" i="11"/>
  <c r="BD31" i="22" l="1"/>
  <c r="BD24" i="22"/>
  <c r="BD17" i="22"/>
  <c r="BD10" i="22"/>
  <c r="BD3" i="22"/>
  <c r="BO64" i="11"/>
  <c r="BO63" i="11"/>
  <c r="BO62" i="11"/>
  <c r="BO61" i="11"/>
  <c r="BO60" i="11"/>
  <c r="BO55" i="11"/>
  <c r="BO28" i="11"/>
  <c r="BP96" i="1"/>
  <c r="BP98" i="1" s="1"/>
  <c r="BP99" i="1" s="1"/>
  <c r="BP78" i="1"/>
  <c r="BP8" i="1"/>
  <c r="S31" i="30"/>
  <c r="S24" i="30"/>
  <c r="S17" i="30"/>
  <c r="S10" i="30"/>
  <c r="S3" i="30"/>
  <c r="AG85" i="27"/>
  <c r="BO71" i="11" l="1"/>
  <c r="BP58" i="1" s="1"/>
  <c r="BO65" i="11"/>
  <c r="BO68" i="11" s="1"/>
  <c r="BO11" i="11"/>
  <c r="BO69" i="11" l="1"/>
  <c r="BP38" i="1" s="1"/>
  <c r="BO72" i="11"/>
  <c r="BP68" i="1" s="1"/>
  <c r="BO70" i="11"/>
  <c r="BP48" i="1" s="1"/>
  <c r="BP28" i="1"/>
  <c r="BO73" i="11" l="1"/>
  <c r="BP17" i="1"/>
  <c r="AD10" i="28"/>
  <c r="AD9" i="28"/>
  <c r="AD8" i="28"/>
  <c r="AD7" i="28"/>
  <c r="AD6" i="28"/>
  <c r="AD5" i="28"/>
  <c r="BN10" i="11" l="1"/>
  <c r="BO19" i="11" s="1"/>
  <c r="BN9" i="11"/>
  <c r="BO18" i="11" s="1"/>
  <c r="BO35" i="11" s="1"/>
  <c r="BP67" i="1" s="1"/>
  <c r="BN8" i="11"/>
  <c r="BO17" i="11" s="1"/>
  <c r="BO34" i="11" s="1"/>
  <c r="BP57" i="1" s="1"/>
  <c r="BN7" i="11"/>
  <c r="BO16" i="11" s="1"/>
  <c r="BO33" i="11" s="1"/>
  <c r="BP47" i="1" s="1"/>
  <c r="BN6" i="11"/>
  <c r="BO15" i="11" s="1"/>
  <c r="BO32" i="11" s="1"/>
  <c r="BP37" i="1" s="1"/>
  <c r="BN5" i="11"/>
  <c r="BO14" i="11" s="1"/>
  <c r="BO20" i="11" l="1"/>
  <c r="BO31" i="11"/>
  <c r="AF6" i="27"/>
  <c r="AE6" i="27"/>
  <c r="BO36" i="11" l="1"/>
  <c r="BP27" i="1"/>
  <c r="BP16" i="1" s="1"/>
  <c r="AH6" i="27"/>
  <c r="AI6" i="27"/>
  <c r="AG6" i="27"/>
  <c r="R31" i="30"/>
  <c r="R24" i="30"/>
  <c r="R17" i="30"/>
  <c r="R10" i="30"/>
  <c r="R3" i="30"/>
  <c r="BC31" i="22"/>
  <c r="BC24" i="22"/>
  <c r="BC17" i="22"/>
  <c r="BC10" i="22"/>
  <c r="BC3" i="22"/>
  <c r="BN64" i="11"/>
  <c r="BN63" i="11"/>
  <c r="BN62" i="11"/>
  <c r="BN61" i="11"/>
  <c r="BN60" i="11"/>
  <c r="BN55" i="11"/>
  <c r="BN28" i="11"/>
  <c r="BO96" i="1"/>
  <c r="BO78" i="1"/>
  <c r="BO8" i="1"/>
  <c r="AF85" i="27"/>
  <c r="AF87" i="27" s="1"/>
  <c r="AF88" i="27" s="1"/>
  <c r="AF78" i="27"/>
  <c r="BO98" i="1" l="1"/>
  <c r="BO99" i="1" s="1"/>
  <c r="BN65" i="11"/>
  <c r="BN11" i="11"/>
  <c r="BN69" i="11" l="1"/>
  <c r="BO38" i="1" s="1"/>
  <c r="BN72" i="11"/>
  <c r="BO68" i="1" s="1"/>
  <c r="BN70" i="11"/>
  <c r="BO48" i="1" s="1"/>
  <c r="BN68" i="11"/>
  <c r="BN71" i="11"/>
  <c r="BO58" i="1" s="1"/>
  <c r="BO28" i="1" l="1"/>
  <c r="BN73" i="11"/>
  <c r="BO17" i="1" l="1"/>
  <c r="AF8" i="27" l="1"/>
  <c r="AS87" i="27"/>
  <c r="AS88" i="27" s="1"/>
  <c r="AP87" i="27"/>
  <c r="AP88" i="27" s="1"/>
  <c r="AH87" i="27"/>
  <c r="AH88" i="27" s="1"/>
  <c r="AV87" i="27"/>
  <c r="AV88" i="27" s="1"/>
  <c r="AT87" i="27"/>
  <c r="AT88" i="27" s="1"/>
  <c r="AR87" i="27"/>
  <c r="AR88" i="27" s="1"/>
  <c r="AQ87" i="27"/>
  <c r="AQ88" i="27" s="1"/>
  <c r="AN88" i="27"/>
  <c r="AM87" i="27"/>
  <c r="AM88" i="27" s="1"/>
  <c r="AL87" i="27"/>
  <c r="AL88" i="27" s="1"/>
  <c r="AI87" i="27"/>
  <c r="AI88" i="27" s="1"/>
  <c r="AG87" i="27"/>
  <c r="AG88" i="27" s="1"/>
  <c r="AW78" i="27"/>
  <c r="AV78" i="27"/>
  <c r="AU78" i="27"/>
  <c r="AT78" i="27"/>
  <c r="AS78" i="27"/>
  <c r="AR78" i="27"/>
  <c r="AQ78" i="27"/>
  <c r="AP78" i="27"/>
  <c r="AN78" i="27"/>
  <c r="AM78" i="27"/>
  <c r="AJ78" i="27"/>
  <c r="AH78" i="27"/>
  <c r="AG78" i="27"/>
  <c r="AT8" i="27"/>
  <c r="AS8" i="27"/>
  <c r="AQ8" i="27"/>
  <c r="AP8" i="27"/>
  <c r="AK8" i="27"/>
  <c r="AI8" i="27"/>
  <c r="AH8" i="27"/>
  <c r="AW8" i="27"/>
  <c r="AV8" i="27"/>
  <c r="AU8" i="27"/>
  <c r="AR8" i="27"/>
  <c r="AN8" i="27"/>
  <c r="AM8" i="27"/>
  <c r="AJ8" i="27"/>
  <c r="AG8" i="27"/>
  <c r="AC10" i="28" l="1"/>
  <c r="AC9" i="28"/>
  <c r="AC8" i="28"/>
  <c r="AC7" i="28"/>
  <c r="AC6" i="28"/>
  <c r="AC5" i="28"/>
  <c r="BM9" i="11"/>
  <c r="BN18" i="11" s="1"/>
  <c r="BM8" i="11"/>
  <c r="BN17" i="11" s="1"/>
  <c r="BM7" i="11"/>
  <c r="BN16" i="11" s="1"/>
  <c r="BM6" i="11"/>
  <c r="BN15" i="11" s="1"/>
  <c r="AD78" i="27" l="1"/>
  <c r="BN78" i="1"/>
  <c r="BM64" i="11" l="1"/>
  <c r="BM63" i="11"/>
  <c r="BM62" i="11"/>
  <c r="BM61" i="11"/>
  <c r="BM60" i="11"/>
  <c r="BM55" i="11"/>
  <c r="BM28" i="11"/>
  <c r="BM10" i="11"/>
  <c r="BN19" i="11" s="1"/>
  <c r="BM5" i="11"/>
  <c r="AE85" i="27"/>
  <c r="BB31" i="22"/>
  <c r="BB24" i="22"/>
  <c r="BB17" i="22"/>
  <c r="BB10" i="22"/>
  <c r="BB3" i="22"/>
  <c r="Q31" i="30"/>
  <c r="Q24" i="30"/>
  <c r="Q17" i="30"/>
  <c r="Q10" i="30"/>
  <c r="Q3" i="30"/>
  <c r="BN96" i="1"/>
  <c r="BN98" i="1" s="1"/>
  <c r="BN99" i="1" s="1"/>
  <c r="BN8" i="1"/>
  <c r="BN34" i="11" l="1"/>
  <c r="BO57" i="1" s="1"/>
  <c r="BN32" i="11"/>
  <c r="BO37" i="1" s="1"/>
  <c r="BN35" i="11"/>
  <c r="BO67" i="1" s="1"/>
  <c r="BN33" i="11"/>
  <c r="BO47" i="1" s="1"/>
  <c r="BN14" i="11"/>
  <c r="BM11" i="11"/>
  <c r="BM65" i="11"/>
  <c r="BM71" i="11" s="1"/>
  <c r="BN58" i="1" s="1"/>
  <c r="BN31" i="11" l="1"/>
  <c r="BN20" i="11"/>
  <c r="BM70" i="11"/>
  <c r="BN48" i="1" s="1"/>
  <c r="BM72" i="11"/>
  <c r="BN68" i="1" s="1"/>
  <c r="BM68" i="11"/>
  <c r="BM69" i="11"/>
  <c r="BN38" i="1" s="1"/>
  <c r="BN36" i="11" l="1"/>
  <c r="BO27" i="1"/>
  <c r="BO16" i="1" s="1"/>
  <c r="BM73" i="11"/>
  <c r="BN28" i="1"/>
  <c r="BN17" i="1" l="1"/>
  <c r="P85" i="1" l="1"/>
  <c r="AB10" i="28" l="1"/>
  <c r="AB9" i="28"/>
  <c r="AB8" i="28"/>
  <c r="AB7" i="28"/>
  <c r="AB6" i="28"/>
  <c r="AB5" i="28"/>
  <c r="BL8" i="11"/>
  <c r="BM17" i="11" s="1"/>
  <c r="BM34" i="11" s="1"/>
  <c r="BN57" i="1" s="1"/>
  <c r="BL7" i="11"/>
  <c r="BM16" i="11" s="1"/>
  <c r="BM33" i="11" s="1"/>
  <c r="BN47" i="1" s="1"/>
  <c r="BL6" i="11"/>
  <c r="BM15" i="11" s="1"/>
  <c r="BL10" i="11"/>
  <c r="BM19" i="11" s="1"/>
  <c r="BL9" i="11"/>
  <c r="BM18" i="11" s="1"/>
  <c r="BM35" i="11" s="1"/>
  <c r="BN67" i="1" s="1"/>
  <c r="BL5" i="11"/>
  <c r="BM14" i="11" s="1"/>
  <c r="BM31" i="11" l="1"/>
  <c r="BM20" i="11"/>
  <c r="BM32" i="11"/>
  <c r="BN37" i="1" s="1"/>
  <c r="BA2" i="29"/>
  <c r="BM6" i="1"/>
  <c r="BM8" i="1" s="1"/>
  <c r="Y8" i="1"/>
  <c r="BM36" i="11" l="1"/>
  <c r="BN27" i="1"/>
  <c r="BN16" i="1" s="1"/>
  <c r="AE87" i="27"/>
  <c r="AE88" i="27" s="1"/>
  <c r="AD85" i="27"/>
  <c r="AD87" i="27" s="1"/>
  <c r="AD88" i="27" s="1"/>
  <c r="BN23" i="29" l="1"/>
  <c r="BO20" i="29" s="1"/>
  <c r="BO22" i="29" s="1"/>
  <c r="BO23" i="29" s="1"/>
  <c r="BP20" i="29" s="1"/>
  <c r="BP22" i="29" s="1"/>
  <c r="BP23" i="29" s="1"/>
  <c r="BQ20" i="29" s="1"/>
  <c r="BQ22" i="29" s="1"/>
  <c r="BQ23" i="29" s="1"/>
  <c r="BR20" i="29" s="1"/>
  <c r="BR22" i="29" s="1"/>
  <c r="BR23" i="29" s="1"/>
  <c r="BS20" i="29" s="1"/>
  <c r="BS22" i="29" s="1"/>
  <c r="BS23" i="29" s="1"/>
  <c r="BT20" i="29" s="1"/>
  <c r="BT22" i="29" s="1"/>
  <c r="BT23" i="29" s="1"/>
  <c r="BU20" i="29" s="1"/>
  <c r="BU22" i="29" s="1"/>
  <c r="BU23" i="29" s="1"/>
  <c r="BL64" i="11"/>
  <c r="BL63" i="11"/>
  <c r="BL62" i="11"/>
  <c r="BL61" i="11"/>
  <c r="BL60" i="11"/>
  <c r="BL55" i="11"/>
  <c r="BL28" i="11"/>
  <c r="BA31" i="22"/>
  <c r="BA24" i="22"/>
  <c r="BA17" i="22"/>
  <c r="BA18" i="22" s="1"/>
  <c r="BB18" i="22" s="1"/>
  <c r="BA10" i="22"/>
  <c r="BA12" i="22" s="1"/>
  <c r="BB12" i="22" s="1"/>
  <c r="BA3" i="22"/>
  <c r="P31" i="30"/>
  <c r="P24" i="30"/>
  <c r="P17" i="30"/>
  <c r="P18" i="30" s="1"/>
  <c r="P10" i="30"/>
  <c r="P3" i="30"/>
  <c r="BM96" i="1"/>
  <c r="BM98" i="1" s="1"/>
  <c r="BM99" i="1" s="1"/>
  <c r="BM78" i="1"/>
  <c r="BC18" i="22" l="1"/>
  <c r="BC12" i="22"/>
  <c r="P19" i="30"/>
  <c r="Q18" i="30"/>
  <c r="P25" i="30"/>
  <c r="P11" i="30"/>
  <c r="P4" i="30"/>
  <c r="P32" i="30"/>
  <c r="BA19" i="22"/>
  <c r="BL65" i="11"/>
  <c r="BL68" i="11" s="1"/>
  <c r="BA25" i="22"/>
  <c r="BA26" i="22"/>
  <c r="BB26" i="22" s="1"/>
  <c r="BA4" i="22"/>
  <c r="BA5" i="22"/>
  <c r="BB5" i="22" s="1"/>
  <c r="BA33" i="22"/>
  <c r="BB33" i="22" s="1"/>
  <c r="BC33" i="22" s="1"/>
  <c r="BD33" i="22" s="1"/>
  <c r="BE33" i="22" s="1"/>
  <c r="BA32" i="22"/>
  <c r="BL11" i="11"/>
  <c r="BA11" i="22"/>
  <c r="P20" i="30"/>
  <c r="P21" i="30" s="1"/>
  <c r="P22" i="30" s="1"/>
  <c r="BA27" i="22" l="1"/>
  <c r="BA28" i="22" s="1"/>
  <c r="BA29" i="22" s="1"/>
  <c r="BB25" i="22"/>
  <c r="BA6" i="22"/>
  <c r="BA7" i="22" s="1"/>
  <c r="BA8" i="22" s="1"/>
  <c r="BB4" i="22"/>
  <c r="BA13" i="22"/>
  <c r="BA14" i="22" s="1"/>
  <c r="BA15" i="22" s="1"/>
  <c r="BB11" i="22"/>
  <c r="BA34" i="22"/>
  <c r="BA35" i="22" s="1"/>
  <c r="BA36" i="22" s="1"/>
  <c r="BB32" i="22"/>
  <c r="BA20" i="22"/>
  <c r="BA21" i="22" s="1"/>
  <c r="BA22" i="22" s="1"/>
  <c r="BB19" i="22"/>
  <c r="BD12" i="22"/>
  <c r="BE12" i="22" s="1"/>
  <c r="BC26" i="22"/>
  <c r="BD26" i="22" s="1"/>
  <c r="BE26" i="22" s="1"/>
  <c r="BF26" i="22" s="1"/>
  <c r="BG26" i="22" s="1"/>
  <c r="BH26" i="22" s="1"/>
  <c r="BF33" i="22"/>
  <c r="BC5" i="22"/>
  <c r="BD18" i="22"/>
  <c r="P5" i="30"/>
  <c r="P6" i="30" s="1"/>
  <c r="Q4" i="30"/>
  <c r="P12" i="30"/>
  <c r="P13" i="30" s="1"/>
  <c r="P14" i="30" s="1"/>
  <c r="P15" i="30" s="1"/>
  <c r="Q11" i="30"/>
  <c r="Q19" i="30"/>
  <c r="Q20" i="30" s="1"/>
  <c r="Q21" i="30" s="1"/>
  <c r="Q22" i="30" s="1"/>
  <c r="R18" i="30"/>
  <c r="P26" i="30"/>
  <c r="P27" i="30" s="1"/>
  <c r="P28" i="30" s="1"/>
  <c r="P29" i="30" s="1"/>
  <c r="Q25" i="30"/>
  <c r="P33" i="30"/>
  <c r="P34" i="30" s="1"/>
  <c r="P35" i="30" s="1"/>
  <c r="P36" i="30" s="1"/>
  <c r="Q32" i="30"/>
  <c r="BL71" i="11"/>
  <c r="BM58" i="1" s="1"/>
  <c r="BM59" i="1" s="1"/>
  <c r="BM60" i="1" s="1"/>
  <c r="BL70" i="11"/>
  <c r="BM48" i="1" s="1"/>
  <c r="BL69" i="11"/>
  <c r="BM38" i="1" s="1"/>
  <c r="BM39" i="1" s="1"/>
  <c r="BM40" i="1" s="1"/>
  <c r="BM28" i="1"/>
  <c r="BL72" i="11"/>
  <c r="BM68" i="1" s="1"/>
  <c r="P7" i="30" l="1"/>
  <c r="P8" i="30" s="1"/>
  <c r="BM49" i="1"/>
  <c r="BM50" i="1" s="1"/>
  <c r="BB34" i="22"/>
  <c r="BB35" i="22" s="1"/>
  <c r="BB36" i="22" s="1"/>
  <c r="BN69" i="1" s="1"/>
  <c r="BC32" i="22"/>
  <c r="BG33" i="22"/>
  <c r="BH33" i="22" s="1"/>
  <c r="BB13" i="22"/>
  <c r="BB14" i="22" s="1"/>
  <c r="BB15" i="22" s="1"/>
  <c r="BN39" i="1" s="1"/>
  <c r="BN40" i="1" s="1"/>
  <c r="BN41" i="1" s="1"/>
  <c r="BC11" i="22"/>
  <c r="BC4" i="22"/>
  <c r="BB6" i="22"/>
  <c r="BB7" i="22" s="1"/>
  <c r="BB8" i="22" s="1"/>
  <c r="BN29" i="1" s="1"/>
  <c r="BN30" i="1" s="1"/>
  <c r="BN31" i="1" s="1"/>
  <c r="BE18" i="22"/>
  <c r="BI26" i="22"/>
  <c r="BF12" i="22"/>
  <c r="BC19" i="22"/>
  <c r="BB20" i="22"/>
  <c r="BB21" i="22" s="1"/>
  <c r="BB22" i="22" s="1"/>
  <c r="BN49" i="1" s="1"/>
  <c r="BN50" i="1" s="1"/>
  <c r="BN51" i="1" s="1"/>
  <c r="BC25" i="22"/>
  <c r="BB27" i="22"/>
  <c r="BB28" i="22" s="1"/>
  <c r="BB29" i="22" s="1"/>
  <c r="BN59" i="1" s="1"/>
  <c r="BN60" i="1" s="1"/>
  <c r="BN61" i="1" s="1"/>
  <c r="BM29" i="1"/>
  <c r="BM30" i="1" s="1"/>
  <c r="BD5" i="22"/>
  <c r="BE5" i="22" s="1"/>
  <c r="Q33" i="30"/>
  <c r="Q34" i="30" s="1"/>
  <c r="Q35" i="30" s="1"/>
  <c r="Q36" i="30" s="1"/>
  <c r="R32" i="30"/>
  <c r="R4" i="30"/>
  <c r="Q5" i="30"/>
  <c r="Q26" i="30"/>
  <c r="Q27" i="30" s="1"/>
  <c r="R25" i="30"/>
  <c r="R19" i="30"/>
  <c r="R20" i="30" s="1"/>
  <c r="S18" i="30"/>
  <c r="Q12" i="30"/>
  <c r="R11" i="30"/>
  <c r="Q13" i="30"/>
  <c r="Q14" i="30" s="1"/>
  <c r="Q15" i="30" s="1"/>
  <c r="BL73" i="11"/>
  <c r="BM69" i="1"/>
  <c r="BM17" i="1"/>
  <c r="BD4" i="22" l="1"/>
  <c r="BC6" i="22"/>
  <c r="BC7" i="22" s="1"/>
  <c r="BC8" i="22" s="1"/>
  <c r="BO29" i="1" s="1"/>
  <c r="BO30" i="1" s="1"/>
  <c r="BO31" i="1" s="1"/>
  <c r="BC13" i="22"/>
  <c r="BC14" i="22" s="1"/>
  <c r="BC15" i="22" s="1"/>
  <c r="BO39" i="1" s="1"/>
  <c r="BO40" i="1" s="1"/>
  <c r="BO41" i="1" s="1"/>
  <c r="BD11" i="22"/>
  <c r="BD19" i="22"/>
  <c r="BC20" i="22"/>
  <c r="BC21" i="22" s="1"/>
  <c r="BC22" i="22" s="1"/>
  <c r="BO49" i="1" s="1"/>
  <c r="BO50" i="1" s="1"/>
  <c r="BO51" i="1" s="1"/>
  <c r="BI33" i="22"/>
  <c r="BJ33" i="22" s="1"/>
  <c r="BK33" i="22" s="1"/>
  <c r="BF5" i="22"/>
  <c r="BJ26" i="22"/>
  <c r="BK26" i="22" s="1"/>
  <c r="BD25" i="22"/>
  <c r="BC27" i="22"/>
  <c r="BC28" i="22" s="1"/>
  <c r="BC29" i="22" s="1"/>
  <c r="BO59" i="1" s="1"/>
  <c r="BO60" i="1" s="1"/>
  <c r="BO61" i="1" s="1"/>
  <c r="BF18" i="22"/>
  <c r="BD32" i="22"/>
  <c r="BC34" i="22"/>
  <c r="BC35" i="22" s="1"/>
  <c r="BC36" i="22" s="1"/>
  <c r="BO69" i="1" s="1"/>
  <c r="BG12" i="22"/>
  <c r="BH12" i="22" s="1"/>
  <c r="BN70" i="1"/>
  <c r="BN18" i="1"/>
  <c r="Q28" i="30"/>
  <c r="Q29" i="30" s="1"/>
  <c r="Q6" i="30"/>
  <c r="Q7" i="30"/>
  <c r="Q8" i="30" s="1"/>
  <c r="R5" i="30"/>
  <c r="R6" i="30" s="1"/>
  <c r="R7" i="30" s="1"/>
  <c r="R8" i="30" s="1"/>
  <c r="S4" i="30"/>
  <c r="S19" i="30"/>
  <c r="S20" i="30" s="1"/>
  <c r="S21" i="30" s="1"/>
  <c r="S22" i="30" s="1"/>
  <c r="T18" i="30"/>
  <c r="R33" i="30"/>
  <c r="R34" i="30" s="1"/>
  <c r="R35" i="30" s="1"/>
  <c r="R36" i="30" s="1"/>
  <c r="S32" i="30"/>
  <c r="R26" i="30"/>
  <c r="S25" i="30"/>
  <c r="R27" i="30"/>
  <c r="S11" i="30"/>
  <c r="R12" i="30"/>
  <c r="R13" i="30" s="1"/>
  <c r="R21" i="30"/>
  <c r="R22" i="30" s="1"/>
  <c r="BM70" i="1"/>
  <c r="BM18" i="1"/>
  <c r="BN71" i="1" l="1"/>
  <c r="BN20" i="1" s="1"/>
  <c r="BN19" i="1"/>
  <c r="BD27" i="22"/>
  <c r="BD28" i="22" s="1"/>
  <c r="BD29" i="22" s="1"/>
  <c r="BP59" i="1" s="1"/>
  <c r="BP60" i="1" s="1"/>
  <c r="BP61" i="1" s="1"/>
  <c r="BE25" i="22"/>
  <c r="BE19" i="22"/>
  <c r="BD20" i="22"/>
  <c r="BD21" i="22" s="1"/>
  <c r="BD22" i="22" s="1"/>
  <c r="BP49" i="1" s="1"/>
  <c r="BP50" i="1" s="1"/>
  <c r="BP51" i="1" s="1"/>
  <c r="BI12" i="22"/>
  <c r="BE11" i="22"/>
  <c r="BD13" i="22"/>
  <c r="BD14" i="22" s="1"/>
  <c r="BD15" i="22" s="1"/>
  <c r="BP39" i="1" s="1"/>
  <c r="BP40" i="1" s="1"/>
  <c r="BP41" i="1" s="1"/>
  <c r="BG18" i="22"/>
  <c r="BO18" i="1"/>
  <c r="BO70" i="1"/>
  <c r="BE32" i="22"/>
  <c r="BD34" i="22"/>
  <c r="BD35" i="22" s="1"/>
  <c r="BD36" i="22" s="1"/>
  <c r="BP69" i="1" s="1"/>
  <c r="BG5" i="22"/>
  <c r="BH5" i="22" s="1"/>
  <c r="BE4" i="22"/>
  <c r="BD6" i="22"/>
  <c r="BD7" i="22" s="1"/>
  <c r="BD8" i="22" s="1"/>
  <c r="BP29" i="1" s="1"/>
  <c r="BP30" i="1" s="1"/>
  <c r="BP31" i="1" s="1"/>
  <c r="S5" i="30"/>
  <c r="T4" i="30"/>
  <c r="S6" i="30"/>
  <c r="S7" i="30" s="1"/>
  <c r="S8" i="30" s="1"/>
  <c r="S12" i="30"/>
  <c r="S13" i="30" s="1"/>
  <c r="S14" i="30" s="1"/>
  <c r="S15" i="30" s="1"/>
  <c r="T11" i="30"/>
  <c r="S26" i="30"/>
  <c r="S27" i="30" s="1"/>
  <c r="S28" i="30" s="1"/>
  <c r="S29" i="30" s="1"/>
  <c r="T25" i="30"/>
  <c r="T19" i="30"/>
  <c r="U18" i="30"/>
  <c r="T20" i="30"/>
  <c r="T21" i="30" s="1"/>
  <c r="T22" i="30" s="1"/>
  <c r="S33" i="30"/>
  <c r="S34" i="30" s="1"/>
  <c r="S35" i="30" s="1"/>
  <c r="S36" i="30" s="1"/>
  <c r="T32" i="30"/>
  <c r="R28" i="30"/>
  <c r="R29" i="30" s="1"/>
  <c r="R14" i="30"/>
  <c r="R15" i="30" s="1"/>
  <c r="BM19" i="1"/>
  <c r="BF19" i="22" l="1"/>
  <c r="BE20" i="22"/>
  <c r="BE21" i="22" s="1"/>
  <c r="BE22" i="22" s="1"/>
  <c r="BQ49" i="1" s="1"/>
  <c r="BQ50" i="1" s="1"/>
  <c r="BQ51" i="1" s="1"/>
  <c r="BH18" i="22"/>
  <c r="BF25" i="22"/>
  <c r="BE27" i="22"/>
  <c r="BE28" i="22" s="1"/>
  <c r="BE29" i="22" s="1"/>
  <c r="BQ59" i="1" s="1"/>
  <c r="BQ60" i="1" s="1"/>
  <c r="BQ61" i="1" s="1"/>
  <c r="BJ12" i="22"/>
  <c r="BO19" i="1"/>
  <c r="BO71" i="1"/>
  <c r="BO20" i="1" s="1"/>
  <c r="BP70" i="1"/>
  <c r="BP18" i="1"/>
  <c r="BF32" i="22"/>
  <c r="BE34" i="22"/>
  <c r="BE35" i="22" s="1"/>
  <c r="BE36" i="22" s="1"/>
  <c r="BQ69" i="1" s="1"/>
  <c r="BF4" i="22"/>
  <c r="BE6" i="22"/>
  <c r="BE7" i="22" s="1"/>
  <c r="BE8" i="22" s="1"/>
  <c r="BQ29" i="1" s="1"/>
  <c r="BQ30" i="1" s="1"/>
  <c r="BQ31" i="1" s="1"/>
  <c r="BI5" i="22"/>
  <c r="BF11" i="22"/>
  <c r="BE13" i="22"/>
  <c r="BE14" i="22" s="1"/>
  <c r="BE15" i="22" s="1"/>
  <c r="BQ39" i="1" s="1"/>
  <c r="BQ40" i="1" s="1"/>
  <c r="BQ41" i="1" s="1"/>
  <c r="U19" i="30"/>
  <c r="U20" i="30" s="1"/>
  <c r="U21" i="30" s="1"/>
  <c r="U22" i="30" s="1"/>
  <c r="V18" i="30"/>
  <c r="T5" i="30"/>
  <c r="T6" i="30" s="1"/>
  <c r="T7" i="30" s="1"/>
  <c r="T8" i="30" s="1"/>
  <c r="U4" i="30"/>
  <c r="T26" i="30"/>
  <c r="T27" i="30" s="1"/>
  <c r="T28" i="30" s="1"/>
  <c r="T29" i="30" s="1"/>
  <c r="U25" i="30"/>
  <c r="T33" i="30"/>
  <c r="T34" i="30" s="1"/>
  <c r="T35" i="30" s="1"/>
  <c r="T36" i="30" s="1"/>
  <c r="U32" i="30"/>
  <c r="T12" i="30"/>
  <c r="U11" i="30"/>
  <c r="T13" i="30"/>
  <c r="T14" i="30" s="1"/>
  <c r="T15" i="30" s="1"/>
  <c r="BQ70" i="1" l="1"/>
  <c r="BQ18" i="1"/>
  <c r="BG32" i="22"/>
  <c r="BF34" i="22"/>
  <c r="BF35" i="22" s="1"/>
  <c r="BF36" i="22" s="1"/>
  <c r="BR69" i="1" s="1"/>
  <c r="BF27" i="22"/>
  <c r="BF28" i="22" s="1"/>
  <c r="BF29" i="22" s="1"/>
  <c r="BR59" i="1" s="1"/>
  <c r="BR60" i="1" s="1"/>
  <c r="BR61" i="1" s="1"/>
  <c r="BG25" i="22"/>
  <c r="BI18" i="22"/>
  <c r="BF13" i="22"/>
  <c r="BF14" i="22" s="1"/>
  <c r="BF15" i="22" s="1"/>
  <c r="BR39" i="1" s="1"/>
  <c r="BR40" i="1" s="1"/>
  <c r="BR41" i="1" s="1"/>
  <c r="BG11" i="22"/>
  <c r="BP71" i="1"/>
  <c r="BP20" i="1" s="1"/>
  <c r="BP19" i="1"/>
  <c r="BK12" i="22"/>
  <c r="BF6" i="22"/>
  <c r="BF7" i="22" s="1"/>
  <c r="BF8" i="22" s="1"/>
  <c r="BR29" i="1" s="1"/>
  <c r="BR30" i="1" s="1"/>
  <c r="BR31" i="1" s="1"/>
  <c r="BG4" i="22"/>
  <c r="BJ5" i="22"/>
  <c r="BG19" i="22"/>
  <c r="BF20" i="22"/>
  <c r="BF21" i="22" s="1"/>
  <c r="BF22" i="22" s="1"/>
  <c r="BR49" i="1" s="1"/>
  <c r="BR50" i="1" s="1"/>
  <c r="BR51" i="1" s="1"/>
  <c r="U5" i="30"/>
  <c r="U6" i="30" s="1"/>
  <c r="V4" i="30"/>
  <c r="U26" i="30"/>
  <c r="U27" i="30" s="1"/>
  <c r="U28" i="30" s="1"/>
  <c r="U29" i="30" s="1"/>
  <c r="V25" i="30"/>
  <c r="U12" i="30"/>
  <c r="U13" i="30" s="1"/>
  <c r="U14" i="30" s="1"/>
  <c r="U15" i="30" s="1"/>
  <c r="V11" i="30"/>
  <c r="U33" i="30"/>
  <c r="V32" i="30"/>
  <c r="U34" i="30"/>
  <c r="U35" i="30" s="1"/>
  <c r="U36" i="30" s="1"/>
  <c r="V19" i="30"/>
  <c r="W18" i="30"/>
  <c r="V20" i="30"/>
  <c r="V21" i="30" s="1"/>
  <c r="V22" i="30" s="1"/>
  <c r="AW96" i="1"/>
  <c r="BG6" i="22" l="1"/>
  <c r="BG7" i="22" s="1"/>
  <c r="BG8" i="22" s="1"/>
  <c r="BS29" i="1" s="1"/>
  <c r="BS30" i="1" s="1"/>
  <c r="BS31" i="1" s="1"/>
  <c r="BH4" i="22"/>
  <c r="BJ18" i="22"/>
  <c r="BR18" i="1"/>
  <c r="BR70" i="1"/>
  <c r="BG34" i="22"/>
  <c r="BG35" i="22" s="1"/>
  <c r="BG36" i="22" s="1"/>
  <c r="BS69" i="1" s="1"/>
  <c r="BH32" i="22"/>
  <c r="BG27" i="22"/>
  <c r="BG28" i="22" s="1"/>
  <c r="BG29" i="22" s="1"/>
  <c r="BS59" i="1" s="1"/>
  <c r="BS60" i="1" s="1"/>
  <c r="BS61" i="1" s="1"/>
  <c r="BH25" i="22"/>
  <c r="BH19" i="22"/>
  <c r="BG20" i="22"/>
  <c r="BG21" i="22" s="1"/>
  <c r="BG22" i="22" s="1"/>
  <c r="BS49" i="1" s="1"/>
  <c r="BS50" i="1" s="1"/>
  <c r="BS51" i="1" s="1"/>
  <c r="BG13" i="22"/>
  <c r="BG14" i="22" s="1"/>
  <c r="BG15" i="22" s="1"/>
  <c r="BS39" i="1" s="1"/>
  <c r="BS40" i="1" s="1"/>
  <c r="BS41" i="1" s="1"/>
  <c r="BH11" i="22"/>
  <c r="BK5" i="22"/>
  <c r="BQ19" i="1"/>
  <c r="BQ71" i="1"/>
  <c r="BQ20" i="1" s="1"/>
  <c r="X18" i="30"/>
  <c r="W19" i="30"/>
  <c r="W20" i="30"/>
  <c r="W21" i="30" s="1"/>
  <c r="W22" i="30" s="1"/>
  <c r="V12" i="30"/>
  <c r="V13" i="30" s="1"/>
  <c r="V14" i="30" s="1"/>
  <c r="V15" i="30" s="1"/>
  <c r="W11" i="30"/>
  <c r="W25" i="30"/>
  <c r="V26" i="30"/>
  <c r="W4" i="30"/>
  <c r="V5" i="30"/>
  <c r="V6" i="30"/>
  <c r="V7" i="30" s="1"/>
  <c r="V8" i="30" s="1"/>
  <c r="V33" i="30"/>
  <c r="V34" i="30" s="1"/>
  <c r="V35" i="30" s="1"/>
  <c r="V36" i="30" s="1"/>
  <c r="W32" i="30"/>
  <c r="U7" i="30"/>
  <c r="U8" i="30" s="1"/>
  <c r="AA10" i="28"/>
  <c r="AA9" i="28"/>
  <c r="AA8" i="28"/>
  <c r="AA7" i="28"/>
  <c r="AA6" i="28"/>
  <c r="AA5" i="28"/>
  <c r="W5" i="30" l="1"/>
  <c r="BH13" i="22"/>
  <c r="BH14" i="22" s="1"/>
  <c r="BH15" i="22" s="1"/>
  <c r="BT39" i="1" s="1"/>
  <c r="BT40" i="1" s="1"/>
  <c r="BT41" i="1" s="1"/>
  <c r="BI11" i="22"/>
  <c r="BR19" i="1"/>
  <c r="BR71" i="1"/>
  <c r="BR20" i="1" s="1"/>
  <c r="BS70" i="1"/>
  <c r="BS18" i="1"/>
  <c r="BI19" i="22"/>
  <c r="BH20" i="22"/>
  <c r="BH21" i="22" s="1"/>
  <c r="BH22" i="22" s="1"/>
  <c r="BT49" i="1" s="1"/>
  <c r="BT50" i="1" s="1"/>
  <c r="BT51" i="1" s="1"/>
  <c r="BK18" i="22"/>
  <c r="BH27" i="22"/>
  <c r="BH28" i="22" s="1"/>
  <c r="BH29" i="22" s="1"/>
  <c r="BT59" i="1" s="1"/>
  <c r="BT60" i="1" s="1"/>
  <c r="BT61" i="1" s="1"/>
  <c r="BI25" i="22"/>
  <c r="BI4" i="22"/>
  <c r="BH6" i="22"/>
  <c r="BH7" i="22" s="1"/>
  <c r="BH8" i="22" s="1"/>
  <c r="BT29" i="1" s="1"/>
  <c r="BT30" i="1" s="1"/>
  <c r="BT31" i="1" s="1"/>
  <c r="BI32" i="22"/>
  <c r="BH34" i="22"/>
  <c r="BH35" i="22" s="1"/>
  <c r="BH36" i="22" s="1"/>
  <c r="BT69" i="1" s="1"/>
  <c r="W26" i="30"/>
  <c r="X25" i="30"/>
  <c r="W27" i="30"/>
  <c r="W28" i="30" s="1"/>
  <c r="W29" i="30" s="1"/>
  <c r="W33" i="30"/>
  <c r="X32" i="30"/>
  <c r="W34" i="30"/>
  <c r="W12" i="30"/>
  <c r="W13" i="30" s="1"/>
  <c r="W14" i="30" s="1"/>
  <c r="W15" i="30" s="1"/>
  <c r="X11" i="30"/>
  <c r="V27" i="30"/>
  <c r="V28" i="30" s="1"/>
  <c r="V29" i="30" s="1"/>
  <c r="X4" i="30"/>
  <c r="W6" i="30"/>
  <c r="W7" i="30" s="1"/>
  <c r="W8" i="30" s="1"/>
  <c r="X19" i="30"/>
  <c r="X20" i="30" s="1"/>
  <c r="X21" i="30" s="1"/>
  <c r="X22" i="30" s="1"/>
  <c r="Y18" i="30"/>
  <c r="BK8" i="11"/>
  <c r="BL17" i="11" s="1"/>
  <c r="BL34" i="11" s="1"/>
  <c r="BM57" i="1" s="1"/>
  <c r="BM61" i="1" s="1"/>
  <c r="BK7" i="11"/>
  <c r="BL16" i="11" s="1"/>
  <c r="BL33" i="11" s="1"/>
  <c r="BM47" i="1" s="1"/>
  <c r="BM51" i="1" s="1"/>
  <c r="BK6" i="11"/>
  <c r="BL15" i="11" s="1"/>
  <c r="BL32" i="11" s="1"/>
  <c r="BM37" i="1" s="1"/>
  <c r="BM41" i="1" s="1"/>
  <c r="BK10" i="11"/>
  <c r="BL19" i="11" s="1"/>
  <c r="BK9" i="11"/>
  <c r="BL18" i="11" s="1"/>
  <c r="BL35" i="11" s="1"/>
  <c r="BM67" i="1" s="1"/>
  <c r="BM71" i="1" s="1"/>
  <c r="BK5" i="11"/>
  <c r="BL14" i="11" s="1"/>
  <c r="BL31" i="11" l="1"/>
  <c r="BL20" i="11"/>
  <c r="BI6" i="22"/>
  <c r="BI7" i="22" s="1"/>
  <c r="BI8" i="22" s="1"/>
  <c r="BU29" i="1" s="1"/>
  <c r="BU30" i="1" s="1"/>
  <c r="BU31" i="1" s="1"/>
  <c r="BJ4" i="22"/>
  <c r="BJ25" i="22"/>
  <c r="BI27" i="22"/>
  <c r="BI28" i="22" s="1"/>
  <c r="BI29" i="22" s="1"/>
  <c r="BU59" i="1" s="1"/>
  <c r="BU60" i="1" s="1"/>
  <c r="BU61" i="1" s="1"/>
  <c r="BJ19" i="22"/>
  <c r="BI20" i="22"/>
  <c r="BI21" i="22" s="1"/>
  <c r="BI22" i="22" s="1"/>
  <c r="BU49" i="1" s="1"/>
  <c r="BU50" i="1" s="1"/>
  <c r="BU51" i="1" s="1"/>
  <c r="BS19" i="1"/>
  <c r="BS71" i="1"/>
  <c r="BS20" i="1" s="1"/>
  <c r="BI13" i="22"/>
  <c r="BI14" i="22" s="1"/>
  <c r="BI15" i="22" s="1"/>
  <c r="BU39" i="1" s="1"/>
  <c r="BU40" i="1" s="1"/>
  <c r="BU41" i="1" s="1"/>
  <c r="BJ11" i="22"/>
  <c r="BI34" i="22"/>
  <c r="BI35" i="22" s="1"/>
  <c r="BI36" i="22" s="1"/>
  <c r="BU69" i="1" s="1"/>
  <c r="BJ32" i="22"/>
  <c r="BT18" i="1"/>
  <c r="BT70" i="1"/>
  <c r="Y19" i="30"/>
  <c r="Z18" i="30"/>
  <c r="Y20" i="30"/>
  <c r="Y21" i="30" s="1"/>
  <c r="Y22" i="30" s="1"/>
  <c r="X33" i="30"/>
  <c r="Y32" i="30"/>
  <c r="Y11" i="30"/>
  <c r="X12" i="30"/>
  <c r="X5" i="30"/>
  <c r="X6" i="30" s="1"/>
  <c r="X7" i="30" s="1"/>
  <c r="X8" i="30" s="1"/>
  <c r="Y4" i="30"/>
  <c r="W35" i="30"/>
  <c r="W36" i="30" s="1"/>
  <c r="X26" i="30"/>
  <c r="X27" i="30" s="1"/>
  <c r="X28" i="30" s="1"/>
  <c r="X29" i="30" s="1"/>
  <c r="Y25" i="30"/>
  <c r="AZ31" i="22"/>
  <c r="AZ24" i="22"/>
  <c r="AZ17" i="22"/>
  <c r="AZ20" i="22" s="1"/>
  <c r="AZ21" i="22" s="1"/>
  <c r="AZ10" i="22"/>
  <c r="AZ3" i="22"/>
  <c r="AC85" i="27"/>
  <c r="AC87" i="27" s="1"/>
  <c r="AC88" i="27" s="1"/>
  <c r="AC89" i="27" s="1"/>
  <c r="AZ96" i="1"/>
  <c r="O31" i="30"/>
  <c r="O24" i="30"/>
  <c r="O17" i="30"/>
  <c r="O10" i="30"/>
  <c r="O3" i="30"/>
  <c r="BL36" i="11" l="1"/>
  <c r="BM27" i="1"/>
  <c r="BU18" i="1"/>
  <c r="BU70" i="1"/>
  <c r="BK11" i="22"/>
  <c r="BK13" i="22" s="1"/>
  <c r="BK14" i="22" s="1"/>
  <c r="BK15" i="22" s="1"/>
  <c r="BW39" i="1" s="1"/>
  <c r="BW40" i="1" s="1"/>
  <c r="BW41" i="1" s="1"/>
  <c r="BJ13" i="22"/>
  <c r="BJ14" i="22" s="1"/>
  <c r="BJ15" i="22" s="1"/>
  <c r="BV39" i="1" s="1"/>
  <c r="BV40" i="1" s="1"/>
  <c r="BV41" i="1" s="1"/>
  <c r="BJ27" i="22"/>
  <c r="BJ28" i="22" s="1"/>
  <c r="BJ29" i="22" s="1"/>
  <c r="BV59" i="1" s="1"/>
  <c r="BV60" i="1" s="1"/>
  <c r="BV61" i="1" s="1"/>
  <c r="BK25" i="22"/>
  <c r="BK27" i="22" s="1"/>
  <c r="BK28" i="22" s="1"/>
  <c r="BK29" i="22" s="1"/>
  <c r="BW59" i="1" s="1"/>
  <c r="BW60" i="1" s="1"/>
  <c r="BW61" i="1" s="1"/>
  <c r="BT71" i="1"/>
  <c r="BT20" i="1" s="1"/>
  <c r="BT19" i="1"/>
  <c r="BJ34" i="22"/>
  <c r="BJ35" i="22" s="1"/>
  <c r="BJ36" i="22" s="1"/>
  <c r="BV69" i="1" s="1"/>
  <c r="BK32" i="22"/>
  <c r="BK34" i="22" s="1"/>
  <c r="BK35" i="22" s="1"/>
  <c r="BK36" i="22" s="1"/>
  <c r="BW69" i="1" s="1"/>
  <c r="BK4" i="22"/>
  <c r="BK6" i="22" s="1"/>
  <c r="BK7" i="22" s="1"/>
  <c r="BK8" i="22" s="1"/>
  <c r="BW29" i="1" s="1"/>
  <c r="BW30" i="1" s="1"/>
  <c r="BW31" i="1" s="1"/>
  <c r="BJ6" i="22"/>
  <c r="BJ7" i="22" s="1"/>
  <c r="BJ8" i="22" s="1"/>
  <c r="BV29" i="1" s="1"/>
  <c r="BV30" i="1" s="1"/>
  <c r="BV31" i="1" s="1"/>
  <c r="BK19" i="22"/>
  <c r="BJ20" i="22"/>
  <c r="BJ21" i="22" s="1"/>
  <c r="BJ22" i="22" s="1"/>
  <c r="BV49" i="1" s="1"/>
  <c r="BV50" i="1" s="1"/>
  <c r="BV51" i="1" s="1"/>
  <c r="X13" i="30"/>
  <c r="X14" i="30"/>
  <c r="X15" i="30" s="1"/>
  <c r="Y26" i="30"/>
  <c r="Z25" i="30"/>
  <c r="Y27" i="30"/>
  <c r="Y28" i="30" s="1"/>
  <c r="Y29" i="30" s="1"/>
  <c r="Y33" i="30"/>
  <c r="Z32" i="30"/>
  <c r="Y34" i="30"/>
  <c r="Y35" i="30" s="1"/>
  <c r="Y36" i="30" s="1"/>
  <c r="X34" i="30"/>
  <c r="X35" i="30"/>
  <c r="X36" i="30" s="1"/>
  <c r="Z19" i="30"/>
  <c r="Z20" i="30"/>
  <c r="Z21" i="30" s="1"/>
  <c r="Z22" i="30" s="1"/>
  <c r="Y12" i="30"/>
  <c r="Z11" i="30"/>
  <c r="Y13" i="30"/>
  <c r="Y5" i="30"/>
  <c r="Y6" i="30" s="1"/>
  <c r="Y7" i="30" s="1"/>
  <c r="Y8" i="30" s="1"/>
  <c r="Z4" i="30"/>
  <c r="AC90" i="27"/>
  <c r="AC91" i="27"/>
  <c r="AC92" i="27" s="1"/>
  <c r="AD89" i="27" s="1"/>
  <c r="AD91" i="27" s="1"/>
  <c r="AD92" i="27" s="1"/>
  <c r="AE89" i="27" s="1"/>
  <c r="AZ22" i="22"/>
  <c r="AZ6" i="22"/>
  <c r="AZ7" i="22" s="1"/>
  <c r="AZ8" i="22" s="1"/>
  <c r="AZ34" i="22"/>
  <c r="AZ35" i="22" s="1"/>
  <c r="AZ36" i="22" s="1"/>
  <c r="AZ27" i="22"/>
  <c r="AZ28" i="22" s="1"/>
  <c r="AZ29" i="22" s="1"/>
  <c r="O27" i="30"/>
  <c r="O20" i="30"/>
  <c r="O21" i="30" s="1"/>
  <c r="O22" i="30" s="1"/>
  <c r="O34" i="30"/>
  <c r="O35" i="30" s="1"/>
  <c r="O36" i="30" s="1"/>
  <c r="BM16" i="1" l="1"/>
  <c r="BM31" i="1"/>
  <c r="BM20" i="1" s="1"/>
  <c r="BW70" i="1"/>
  <c r="BU71" i="1"/>
  <c r="BU20" i="1" s="1"/>
  <c r="BU19" i="1"/>
  <c r="BK20" i="22"/>
  <c r="BK21" i="22" s="1"/>
  <c r="BK22" i="22" s="1"/>
  <c r="BW49" i="1" s="1"/>
  <c r="BV18" i="1"/>
  <c r="BV70" i="1"/>
  <c r="Z33" i="30"/>
  <c r="Z34" i="30"/>
  <c r="Z35" i="30" s="1"/>
  <c r="Z36" i="30" s="1"/>
  <c r="Z12" i="30"/>
  <c r="Z13" i="30" s="1"/>
  <c r="Z26" i="30"/>
  <c r="Z27" i="30" s="1"/>
  <c r="Y14" i="30"/>
  <c r="Y15" i="30" s="1"/>
  <c r="Z5" i="30"/>
  <c r="Z6" i="30" s="1"/>
  <c r="Z7" i="30" s="1"/>
  <c r="Z8" i="30" s="1"/>
  <c r="AE91" i="27"/>
  <c r="AE92" i="27" s="1"/>
  <c r="AF89" i="27" s="1"/>
  <c r="AF91" i="27" s="1"/>
  <c r="AF92" i="27" s="1"/>
  <c r="AG89" i="27" s="1"/>
  <c r="AD90" i="27"/>
  <c r="AE90" i="27" s="1"/>
  <c r="O28" i="30"/>
  <c r="O29" i="30" s="1"/>
  <c r="AZ13" i="22"/>
  <c r="AZ14" i="22" s="1"/>
  <c r="AZ15" i="22" s="1"/>
  <c r="O13" i="30"/>
  <c r="O14" i="30" s="1"/>
  <c r="O15" i="30" s="1"/>
  <c r="O6" i="30"/>
  <c r="O7" i="30" s="1"/>
  <c r="O8" i="30" s="1"/>
  <c r="AF90" i="27" l="1"/>
  <c r="BW50" i="1"/>
  <c r="BW51" i="1" s="1"/>
  <c r="BW18" i="1"/>
  <c r="BV71" i="1"/>
  <c r="BV20" i="1" s="1"/>
  <c r="BV19" i="1"/>
  <c r="BW71" i="1"/>
  <c r="BW20" i="1" s="1"/>
  <c r="Z14" i="30"/>
  <c r="Z15" i="30" s="1"/>
  <c r="Z28" i="30"/>
  <c r="Z29" i="30" s="1"/>
  <c r="AG90" i="27"/>
  <c r="AG91" i="27"/>
  <c r="AG92" i="27" s="1"/>
  <c r="AH89" i="27" s="1"/>
  <c r="BK64" i="11"/>
  <c r="BK63" i="11"/>
  <c r="BK62" i="11"/>
  <c r="BK61" i="11"/>
  <c r="BK60" i="11"/>
  <c r="BK55" i="11"/>
  <c r="BK28" i="11"/>
  <c r="BL98" i="1"/>
  <c r="BL99" i="1" s="1"/>
  <c r="BL78" i="1"/>
  <c r="BL8" i="1"/>
  <c r="BW19" i="1" l="1"/>
  <c r="AH91" i="27"/>
  <c r="AH92" i="27" s="1"/>
  <c r="AI89" i="27" s="1"/>
  <c r="AI91" i="27" s="1"/>
  <c r="AI92" i="27" s="1"/>
  <c r="AJ89" i="27" s="1"/>
  <c r="AJ91" i="27" s="1"/>
  <c r="AJ92" i="27" s="1"/>
  <c r="AK89" i="27" s="1"/>
  <c r="AK91" i="27" s="1"/>
  <c r="AK92" i="27" s="1"/>
  <c r="AH90" i="27"/>
  <c r="BK11" i="11"/>
  <c r="BK65" i="11"/>
  <c r="BK70" i="11" s="1"/>
  <c r="BL48" i="1" s="1"/>
  <c r="BL49" i="1" s="1"/>
  <c r="BL50" i="1" s="1"/>
  <c r="BK72" i="11" l="1"/>
  <c r="BL68" i="1" s="1"/>
  <c r="AI90" i="27"/>
  <c r="AJ90" i="27" s="1"/>
  <c r="AK90" i="27" s="1"/>
  <c r="BK71" i="11"/>
  <c r="BL58" i="1" s="1"/>
  <c r="BL59" i="1" s="1"/>
  <c r="BL60" i="1" s="1"/>
  <c r="BK69" i="11"/>
  <c r="BL38" i="1" s="1"/>
  <c r="BL39" i="1" s="1"/>
  <c r="BL40" i="1" s="1"/>
  <c r="BK68" i="11"/>
  <c r="BL69" i="1"/>
  <c r="BK73" i="11" l="1"/>
  <c r="BL28" i="1"/>
  <c r="BL29" i="1" s="1"/>
  <c r="BL30" i="1" s="1"/>
  <c r="BL70" i="1"/>
  <c r="BL17" i="1" l="1"/>
  <c r="BL19" i="1"/>
  <c r="BL18" i="1"/>
  <c r="AL89" i="27" l="1"/>
  <c r="AL91" i="27" s="1"/>
  <c r="AB87" i="27"/>
  <c r="AB88" i="27" s="1"/>
  <c r="AL92" i="27" l="1"/>
  <c r="AM89" i="27" s="1"/>
  <c r="AM91" i="27" s="1"/>
  <c r="AM92" i="27" s="1"/>
  <c r="AN89" i="27" s="1"/>
  <c r="AL90" i="27"/>
  <c r="AE78" i="27"/>
  <c r="Z78" i="1"/>
  <c r="AN91" i="27" l="1"/>
  <c r="AN92" i="27" s="1"/>
  <c r="AM90" i="27"/>
  <c r="AN90" i="27" s="1"/>
  <c r="AB78" i="27"/>
  <c r="AB79" i="27" s="1"/>
  <c r="AB80" i="27" s="1"/>
  <c r="AK78" i="1"/>
  <c r="Z10" i="28" l="1"/>
  <c r="Z9" i="28"/>
  <c r="Z8" i="28"/>
  <c r="Z7" i="28"/>
  <c r="Z6" i="28"/>
  <c r="Z5" i="28"/>
  <c r="BJ6" i="11" l="1"/>
  <c r="BK15" i="11" s="1"/>
  <c r="BJ7" i="11"/>
  <c r="BK16" i="11" s="1"/>
  <c r="BJ8" i="11"/>
  <c r="BK17" i="11" s="1"/>
  <c r="BJ9" i="11"/>
  <c r="BK18" i="11" s="1"/>
  <c r="BJ10" i="11"/>
  <c r="BK19" i="11" s="1"/>
  <c r="BJ5" i="11"/>
  <c r="BK14" i="11" s="1"/>
  <c r="BK35" i="11" l="1"/>
  <c r="BL67" i="1" s="1"/>
  <c r="BL71" i="1" s="1"/>
  <c r="BK33" i="11"/>
  <c r="BL47" i="1" s="1"/>
  <c r="BL51" i="1" s="1"/>
  <c r="BK20" i="11"/>
  <c r="BK31" i="11"/>
  <c r="BK34" i="11"/>
  <c r="BL57" i="1" s="1"/>
  <c r="BL61" i="1" s="1"/>
  <c r="BK32" i="11"/>
  <c r="BL37" i="1" s="1"/>
  <c r="BL41" i="1" s="1"/>
  <c r="AB81" i="27"/>
  <c r="AB82" i="27" s="1"/>
  <c r="AC79" i="27" s="1"/>
  <c r="BL27" i="1" l="1"/>
  <c r="BK36" i="11"/>
  <c r="AC81" i="27"/>
  <c r="AC82" i="27" s="1"/>
  <c r="AC80" i="27"/>
  <c r="AY3" i="22"/>
  <c r="AY31" i="22"/>
  <c r="AY24" i="22"/>
  <c r="AY17" i="22"/>
  <c r="AY10" i="22"/>
  <c r="N31" i="30"/>
  <c r="N24" i="30"/>
  <c r="N17" i="30"/>
  <c r="N10" i="30"/>
  <c r="N3" i="30"/>
  <c r="BJ64" i="11"/>
  <c r="BJ63" i="11"/>
  <c r="BJ62" i="11"/>
  <c r="BJ61" i="11"/>
  <c r="BJ60" i="11"/>
  <c r="BJ55" i="11"/>
  <c r="BJ28" i="11"/>
  <c r="BK96" i="1"/>
  <c r="BK98" i="1" s="1"/>
  <c r="BK99" i="1" s="1"/>
  <c r="BK78" i="1"/>
  <c r="BK8" i="1"/>
  <c r="BL16" i="1" l="1"/>
  <c r="BL31" i="1"/>
  <c r="BL20" i="1" s="1"/>
  <c r="BJ65" i="11"/>
  <c r="BJ70" i="11" s="1"/>
  <c r="BK48" i="1" s="1"/>
  <c r="BJ11" i="11"/>
  <c r="AD79" i="27" l="1"/>
  <c r="AD80" i="27" s="1"/>
  <c r="BJ68" i="11"/>
  <c r="BK28" i="1" s="1"/>
  <c r="BJ72" i="11"/>
  <c r="BK68" i="1" s="1"/>
  <c r="BJ69" i="11"/>
  <c r="BK38" i="1" s="1"/>
  <c r="BJ71" i="11"/>
  <c r="BK58" i="1" s="1"/>
  <c r="AD81" i="27" l="1"/>
  <c r="AD82" i="27" s="1"/>
  <c r="AE79" i="27" s="1"/>
  <c r="AE81" i="27" s="1"/>
  <c r="AE82" i="27" s="1"/>
  <c r="AF79" i="27" s="1"/>
  <c r="AF81" i="27" s="1"/>
  <c r="AF82" i="27" s="1"/>
  <c r="AG79" i="27" s="1"/>
  <c r="AG81" i="27" s="1"/>
  <c r="AG82" i="27" s="1"/>
  <c r="AH79" i="27" s="1"/>
  <c r="AH81" i="27" s="1"/>
  <c r="AH82" i="27" s="1"/>
  <c r="BJ73" i="11"/>
  <c r="BK17" i="1"/>
  <c r="AE80" i="27" l="1"/>
  <c r="AF80" i="27" s="1"/>
  <c r="AG80" i="27" s="1"/>
  <c r="AH80" i="27" s="1"/>
  <c r="AI79" i="27"/>
  <c r="AI81" i="27" s="1"/>
  <c r="AI82" i="27" s="1"/>
  <c r="AJ79" i="27" s="1"/>
  <c r="AI80" i="27" l="1"/>
  <c r="AJ80" i="27" s="1"/>
  <c r="AJ81" i="27"/>
  <c r="AJ82" i="27" s="1"/>
  <c r="AK79" i="27" s="1"/>
  <c r="BJ8" i="1"/>
  <c r="BI8" i="1"/>
  <c r="AK81" i="27" l="1"/>
  <c r="AK82" i="27" s="1"/>
  <c r="AK80" i="27" l="1"/>
  <c r="BV36" i="29"/>
  <c r="BW36" i="29" s="1"/>
  <c r="Y10" i="28"/>
  <c r="Y9" i="28"/>
  <c r="Y8" i="28"/>
  <c r="Y7" i="28"/>
  <c r="Y6" i="28"/>
  <c r="Y5" i="28"/>
  <c r="AL76" i="27" l="1"/>
  <c r="AL79" i="27" s="1"/>
  <c r="AL80" i="27" s="1"/>
  <c r="BI10" i="11"/>
  <c r="BJ19" i="11" s="1"/>
  <c r="BI9" i="11"/>
  <c r="BJ18" i="11" s="1"/>
  <c r="BJ35" i="11" s="1"/>
  <c r="BK67" i="1" s="1"/>
  <c r="BI8" i="11"/>
  <c r="BJ17" i="11" s="1"/>
  <c r="BJ34" i="11" s="1"/>
  <c r="BK57" i="1" s="1"/>
  <c r="BI7" i="11"/>
  <c r="BJ16" i="11" s="1"/>
  <c r="BJ33" i="11" s="1"/>
  <c r="BK47" i="1" s="1"/>
  <c r="BI6" i="11"/>
  <c r="BJ15" i="11" s="1"/>
  <c r="BJ32" i="11" s="1"/>
  <c r="BK37" i="1" s="1"/>
  <c r="BI5" i="11"/>
  <c r="BJ14" i="11" s="1"/>
  <c r="AL81" i="27" l="1"/>
  <c r="AL82" i="27" s="1"/>
  <c r="AM79" i="27" s="1"/>
  <c r="BJ31" i="11"/>
  <c r="BJ20" i="11"/>
  <c r="M31" i="30"/>
  <c r="M24" i="30"/>
  <c r="M17" i="30"/>
  <c r="M10" i="30"/>
  <c r="M3" i="30"/>
  <c r="AX31" i="22"/>
  <c r="AX24" i="22"/>
  <c r="AX17" i="22"/>
  <c r="AX10" i="22"/>
  <c r="AX3" i="22"/>
  <c r="AM80" i="27" l="1"/>
  <c r="AM81" i="27"/>
  <c r="AM82" i="27" s="1"/>
  <c r="BK27" i="1"/>
  <c r="BK16" i="1" s="1"/>
  <c r="BJ36" i="11"/>
  <c r="BI64" i="11"/>
  <c r="BI63" i="11"/>
  <c r="BI62" i="11"/>
  <c r="BI61" i="11"/>
  <c r="BI60" i="11"/>
  <c r="BI55" i="11"/>
  <c r="BI28" i="11"/>
  <c r="BI11" i="11"/>
  <c r="AN79" i="27" l="1"/>
  <c r="AN81" i="27" s="1"/>
  <c r="AN82" i="27" s="1"/>
  <c r="AO79" i="27" s="1"/>
  <c r="AO81" i="27" s="1"/>
  <c r="AO82" i="27" s="1"/>
  <c r="AP79" i="27" s="1"/>
  <c r="AP81" i="27" s="1"/>
  <c r="AP82" i="27" s="1"/>
  <c r="AQ79" i="27" s="1"/>
  <c r="AQ81" i="27" s="1"/>
  <c r="AQ82" i="27" s="1"/>
  <c r="AR79" i="27" s="1"/>
  <c r="AR81" i="27" s="1"/>
  <c r="AR82" i="27" s="1"/>
  <c r="AS79" i="27" s="1"/>
  <c r="AS81" i="27" s="1"/>
  <c r="AS82" i="27" s="1"/>
  <c r="AT79" i="27" s="1"/>
  <c r="AT81" i="27" s="1"/>
  <c r="AT82" i="27" s="1"/>
  <c r="AU79" i="27" s="1"/>
  <c r="AU81" i="27" s="1"/>
  <c r="AU82" i="27" s="1"/>
  <c r="AV79" i="27" s="1"/>
  <c r="AV81" i="27" s="1"/>
  <c r="AV82" i="27" s="1"/>
  <c r="AW79" i="27" s="1"/>
  <c r="AW81" i="27" s="1"/>
  <c r="AW82" i="27" s="1"/>
  <c r="BI65" i="11"/>
  <c r="BI71" i="11" s="1"/>
  <c r="BI70" i="11"/>
  <c r="AN80" i="27" l="1"/>
  <c r="AO80" i="27" s="1"/>
  <c r="AP80" i="27" s="1"/>
  <c r="AQ80" i="27" s="1"/>
  <c r="AR80" i="27" s="1"/>
  <c r="AS80" i="27" s="1"/>
  <c r="AT80" i="27" s="1"/>
  <c r="AU80" i="27" s="1"/>
  <c r="AV80" i="27" s="1"/>
  <c r="AW80" i="27" s="1"/>
  <c r="BI69" i="11"/>
  <c r="BI72" i="11"/>
  <c r="BI68" i="11"/>
  <c r="BH10" i="11"/>
  <c r="BI19" i="11" s="1"/>
  <c r="BH9" i="11"/>
  <c r="BI18" i="11" s="1"/>
  <c r="BI35" i="11" s="1"/>
  <c r="BH8" i="11"/>
  <c r="BI17" i="11" s="1"/>
  <c r="BI34" i="11" s="1"/>
  <c r="BH7" i="11"/>
  <c r="BI16" i="11" s="1"/>
  <c r="BI33" i="11" s="1"/>
  <c r="BH6" i="11"/>
  <c r="BI15" i="11" s="1"/>
  <c r="BH5" i="11"/>
  <c r="BI14" i="11" s="1"/>
  <c r="X10" i="28"/>
  <c r="X9" i="28"/>
  <c r="X8" i="28"/>
  <c r="X7" i="28"/>
  <c r="X6" i="28"/>
  <c r="X5" i="28"/>
  <c r="BI20" i="11" l="1"/>
  <c r="BI31" i="11"/>
  <c r="BI32" i="11"/>
  <c r="BI73" i="11"/>
  <c r="Z66" i="27"/>
  <c r="Z56" i="27"/>
  <c r="BI36" i="11" l="1"/>
  <c r="Z46" i="27"/>
  <c r="Z36" i="27"/>
  <c r="Z26" i="27"/>
  <c r="Z15" i="27" s="1"/>
  <c r="L31" i="30" l="1"/>
  <c r="L24" i="30"/>
  <c r="L17" i="30"/>
  <c r="L10" i="30"/>
  <c r="L3" i="30"/>
  <c r="AW31" i="22"/>
  <c r="AW24" i="22"/>
  <c r="AW17" i="22"/>
  <c r="AW10" i="22"/>
  <c r="AW3" i="22"/>
  <c r="BH64" i="11"/>
  <c r="BH63" i="11"/>
  <c r="BH62" i="11"/>
  <c r="BH61" i="11"/>
  <c r="BH60" i="11"/>
  <c r="BH55" i="11"/>
  <c r="BH28" i="11"/>
  <c r="BH11" i="11"/>
  <c r="BH65" i="11" l="1"/>
  <c r="BH72" i="11" s="1"/>
  <c r="BH69" i="11"/>
  <c r="BH70" i="11"/>
  <c r="BH68" i="11"/>
  <c r="BH71" i="11" l="1"/>
  <c r="BH73" i="11"/>
  <c r="BG9" i="11" l="1"/>
  <c r="BH18" i="11" s="1"/>
  <c r="BG8" i="11"/>
  <c r="BH17" i="11" s="1"/>
  <c r="BG7" i="11"/>
  <c r="BH16" i="11" s="1"/>
  <c r="BG6" i="11"/>
  <c r="BH15" i="11" s="1"/>
  <c r="BG10" i="11"/>
  <c r="BH19" i="11" s="1"/>
  <c r="BG5" i="11"/>
  <c r="BH14" i="11" s="1"/>
  <c r="W10" i="28"/>
  <c r="W9" i="28"/>
  <c r="W8" i="28"/>
  <c r="W7" i="28"/>
  <c r="W6" i="28"/>
  <c r="W5" i="28"/>
  <c r="BH32" i="11" l="1"/>
  <c r="BH31" i="11"/>
  <c r="BH20" i="11"/>
  <c r="BH33" i="11"/>
  <c r="BH34" i="11"/>
  <c r="BH35" i="11"/>
  <c r="BG64" i="11"/>
  <c r="BG63" i="11"/>
  <c r="BG62" i="11"/>
  <c r="BG61" i="11"/>
  <c r="BG60" i="11"/>
  <c r="BG55" i="11"/>
  <c r="BG28" i="11"/>
  <c r="BG11" i="11"/>
  <c r="AV31" i="22"/>
  <c r="AV24" i="22"/>
  <c r="AV17" i="22"/>
  <c r="AV10" i="22"/>
  <c r="AV3" i="22"/>
  <c r="K31" i="30"/>
  <c r="K24" i="30"/>
  <c r="K17" i="30"/>
  <c r="K10" i="30"/>
  <c r="K3" i="30"/>
  <c r="BH78" i="1"/>
  <c r="BH36" i="11" l="1"/>
  <c r="BG69" i="11"/>
  <c r="BG65" i="11"/>
  <c r="BG72" i="11" l="1"/>
  <c r="BG71" i="11"/>
  <c r="BG68" i="11"/>
  <c r="BG70" i="11"/>
  <c r="BG73" i="11" l="1"/>
  <c r="BF8" i="11" l="1"/>
  <c r="BG17" i="11" s="1"/>
  <c r="BF7" i="11"/>
  <c r="BG16" i="11" s="1"/>
  <c r="BF10" i="11"/>
  <c r="BG19" i="11" s="1"/>
  <c r="BF9" i="11"/>
  <c r="BG18" i="11" s="1"/>
  <c r="BF6" i="11"/>
  <c r="BG15" i="11" s="1"/>
  <c r="BG32" i="11" s="1"/>
  <c r="BF5" i="11"/>
  <c r="BG14" i="11" s="1"/>
  <c r="V10" i="28"/>
  <c r="V9" i="28"/>
  <c r="V8" i="28"/>
  <c r="V7" i="28"/>
  <c r="V6" i="28"/>
  <c r="V5" i="28"/>
  <c r="BG35" i="11" l="1"/>
  <c r="BG20" i="11"/>
  <c r="BG31" i="11"/>
  <c r="BG33" i="11"/>
  <c r="BG34" i="11"/>
  <c r="AT31" i="22"/>
  <c r="AU31" i="22"/>
  <c r="AU24" i="22"/>
  <c r="AU17" i="22"/>
  <c r="AU10" i="22"/>
  <c r="AU3" i="22"/>
  <c r="BF64" i="11"/>
  <c r="BF63" i="11"/>
  <c r="BF62" i="11"/>
  <c r="BF61" i="11"/>
  <c r="BF60" i="11"/>
  <c r="BF55" i="11"/>
  <c r="BF28" i="11"/>
  <c r="J31" i="30"/>
  <c r="J24" i="30"/>
  <c r="J17" i="30"/>
  <c r="J10" i="30"/>
  <c r="J3" i="30"/>
  <c r="BG36" i="11" l="1"/>
  <c r="BF11" i="11"/>
  <c r="BF65" i="11"/>
  <c r="BF68" i="11" s="1"/>
  <c r="BF72" i="11" l="1"/>
  <c r="BF70" i="11"/>
  <c r="BF69" i="11"/>
  <c r="BF71" i="11"/>
  <c r="BF73" i="11" l="1"/>
  <c r="W84" i="27" l="1"/>
  <c r="U10" i="28" l="1"/>
  <c r="U9" i="28"/>
  <c r="U8" i="28"/>
  <c r="U7" i="28"/>
  <c r="U6" i="28"/>
  <c r="U5" i="28"/>
  <c r="BE10" i="11"/>
  <c r="BF19" i="11" s="1"/>
  <c r="BE9" i="11"/>
  <c r="BF18" i="11" s="1"/>
  <c r="BE8" i="11"/>
  <c r="BF17" i="11" s="1"/>
  <c r="BE7" i="11"/>
  <c r="BF16" i="11" s="1"/>
  <c r="BE6" i="11"/>
  <c r="BF15" i="11" s="1"/>
  <c r="BE5" i="11"/>
  <c r="BF14" i="11" s="1"/>
  <c r="BF35" i="11" l="1"/>
  <c r="BF33" i="11"/>
  <c r="BF31" i="11"/>
  <c r="BF20" i="11"/>
  <c r="BF32" i="11"/>
  <c r="BF34" i="11"/>
  <c r="I31" i="30"/>
  <c r="I24" i="30"/>
  <c r="I17" i="30"/>
  <c r="I10" i="30"/>
  <c r="I3" i="30"/>
  <c r="AT24" i="22"/>
  <c r="AT17" i="22"/>
  <c r="AT10" i="22"/>
  <c r="AT3" i="22"/>
  <c r="BE64" i="11"/>
  <c r="BE63" i="11"/>
  <c r="BE62" i="11"/>
  <c r="BE61" i="11"/>
  <c r="BE60" i="11"/>
  <c r="BE55" i="11"/>
  <c r="BE28" i="11"/>
  <c r="BE11" i="11"/>
  <c r="BF36" i="11" l="1"/>
  <c r="BE68" i="11"/>
  <c r="BE65" i="11"/>
  <c r="BE69" i="11" s="1"/>
  <c r="BE72" i="11" l="1"/>
  <c r="BE70" i="11"/>
  <c r="BE71" i="11"/>
  <c r="BE73" i="11" l="1"/>
  <c r="T10" i="28" l="1"/>
  <c r="T9" i="28"/>
  <c r="T8" i="28"/>
  <c r="T7" i="28"/>
  <c r="T6" i="28"/>
  <c r="T5" i="28"/>
  <c r="BD9" i="11" l="1"/>
  <c r="BE18" i="11" s="1"/>
  <c r="BD8" i="11"/>
  <c r="BE17" i="11" s="1"/>
  <c r="BD7" i="11"/>
  <c r="BE16" i="11" s="1"/>
  <c r="BD6" i="11"/>
  <c r="BE15" i="11" s="1"/>
  <c r="BD10" i="11"/>
  <c r="BE19" i="11" s="1"/>
  <c r="BD5" i="11"/>
  <c r="BE14" i="11" s="1"/>
  <c r="BE34" i="11" l="1"/>
  <c r="BE20" i="11"/>
  <c r="BE31" i="11"/>
  <c r="BE32" i="11"/>
  <c r="BE33" i="11"/>
  <c r="BE35" i="11"/>
  <c r="H31" i="30"/>
  <c r="H24" i="30"/>
  <c r="H17" i="30"/>
  <c r="H10" i="30"/>
  <c r="H3" i="30"/>
  <c r="AS31" i="22"/>
  <c r="AS24" i="22"/>
  <c r="AS17" i="22"/>
  <c r="AS10" i="22"/>
  <c r="AS3" i="22"/>
  <c r="BD64" i="11"/>
  <c r="BD63" i="11"/>
  <c r="BD62" i="11"/>
  <c r="BD61" i="11"/>
  <c r="BD60" i="11"/>
  <c r="BD55" i="11"/>
  <c r="BD28" i="11"/>
  <c r="BE36" i="11" l="1"/>
  <c r="BD72" i="11"/>
  <c r="BD11" i="11"/>
  <c r="BD65" i="11"/>
  <c r="BD70" i="11" s="1"/>
  <c r="BD68" i="11" l="1"/>
  <c r="BD69" i="11"/>
  <c r="BD71" i="11"/>
  <c r="BD73" i="11" l="1"/>
  <c r="BC9" i="11" l="1"/>
  <c r="BD18" i="11" s="1"/>
  <c r="BC8" i="11"/>
  <c r="BD17" i="11" s="1"/>
  <c r="BC7" i="11"/>
  <c r="BD16" i="11" s="1"/>
  <c r="BC6" i="11"/>
  <c r="BD15" i="11" s="1"/>
  <c r="BC10" i="11"/>
  <c r="BD19" i="11" s="1"/>
  <c r="BC5" i="11"/>
  <c r="BD14" i="11" s="1"/>
  <c r="BD20" i="11" l="1"/>
  <c r="BD31" i="11"/>
  <c r="BD34" i="11"/>
  <c r="BD32" i="11"/>
  <c r="BD33" i="11"/>
  <c r="BD35" i="11"/>
  <c r="S10" i="28"/>
  <c r="S9" i="28"/>
  <c r="S8" i="28"/>
  <c r="S7" i="28"/>
  <c r="S6" i="28"/>
  <c r="S5" i="28"/>
  <c r="BD36" i="11" l="1"/>
  <c r="AR31" i="22"/>
  <c r="AR24" i="22"/>
  <c r="AR17" i="22"/>
  <c r="AR10" i="22"/>
  <c r="AR3" i="22"/>
  <c r="G31" i="30"/>
  <c r="G24" i="30"/>
  <c r="G17" i="30"/>
  <c r="G10" i="30"/>
  <c r="G3" i="30"/>
  <c r="BC64" i="11"/>
  <c r="BC63" i="11"/>
  <c r="BC62" i="11"/>
  <c r="BC61" i="11"/>
  <c r="BC60" i="11"/>
  <c r="BC55" i="11"/>
  <c r="BC28" i="11"/>
  <c r="BC65" i="11" l="1"/>
  <c r="BC70" i="11" s="1"/>
  <c r="BC11" i="11"/>
  <c r="T8" i="27"/>
  <c r="BC71" i="11" l="1"/>
  <c r="BC72" i="11"/>
  <c r="BC68" i="11"/>
  <c r="BC69" i="11"/>
  <c r="BB9" i="11"/>
  <c r="BC18" i="11" s="1"/>
  <c r="BC35" i="11" s="1"/>
  <c r="BB8" i="11"/>
  <c r="BC17" i="11" s="1"/>
  <c r="BC34" i="11" s="1"/>
  <c r="BB7" i="11"/>
  <c r="BC16" i="11" s="1"/>
  <c r="BC33" i="11" s="1"/>
  <c r="BB6" i="11"/>
  <c r="BC15" i="11" s="1"/>
  <c r="BB10" i="11"/>
  <c r="BC19" i="11" s="1"/>
  <c r="BB5" i="11"/>
  <c r="BC14" i="11" s="1"/>
  <c r="R10" i="28"/>
  <c r="R9" i="28"/>
  <c r="R8" i="28"/>
  <c r="R7" i="28"/>
  <c r="R6" i="28"/>
  <c r="R5" i="28"/>
  <c r="BC20" i="11" l="1"/>
  <c r="BC31" i="11"/>
  <c r="BC32" i="11"/>
  <c r="BC73" i="11"/>
  <c r="F31" i="30"/>
  <c r="F24" i="30"/>
  <c r="F17" i="30"/>
  <c r="F10" i="30"/>
  <c r="F3" i="30"/>
  <c r="AQ31" i="22"/>
  <c r="AQ24" i="22"/>
  <c r="AQ17" i="22"/>
  <c r="AQ10" i="22"/>
  <c r="AQ3" i="22"/>
  <c r="BB64" i="11"/>
  <c r="BB63" i="11"/>
  <c r="BB62" i="11"/>
  <c r="BB61" i="11"/>
  <c r="BB60" i="11"/>
  <c r="BB55" i="11"/>
  <c r="BB28" i="11"/>
  <c r="BC36" i="11" l="1"/>
  <c r="BB65" i="11"/>
  <c r="BB70" i="11" s="1"/>
  <c r="BB11" i="11"/>
  <c r="BA9" i="11"/>
  <c r="BB18" i="11" s="1"/>
  <c r="BB35" i="11" s="1"/>
  <c r="BA8" i="11"/>
  <c r="BB17" i="11" s="1"/>
  <c r="BB34" i="11" s="1"/>
  <c r="BA6" i="11"/>
  <c r="BB15" i="11" s="1"/>
  <c r="BB32" i="11" s="1"/>
  <c r="BA7" i="11"/>
  <c r="BA5" i="11"/>
  <c r="BA10" i="11"/>
  <c r="BB19" i="11" s="1"/>
  <c r="BB14" i="11" l="1"/>
  <c r="BB16" i="11"/>
  <c r="BB33" i="11" s="1"/>
  <c r="BB71" i="11"/>
  <c r="BB68" i="11"/>
  <c r="BB72" i="11"/>
  <c r="BB69" i="11"/>
  <c r="BB20" i="11" l="1"/>
  <c r="BB31" i="11"/>
  <c r="BB36" i="11" s="1"/>
  <c r="BB73" i="11"/>
  <c r="AZ6" i="11" l="1"/>
  <c r="BA15" i="11" s="1"/>
  <c r="AZ7" i="11"/>
  <c r="BA16" i="11" s="1"/>
  <c r="Q10" i="28" l="1"/>
  <c r="Q9" i="28"/>
  <c r="Q8" i="28"/>
  <c r="Q7" i="28"/>
  <c r="Q6" i="28"/>
  <c r="Q5" i="28"/>
  <c r="AP31" i="22" l="1"/>
  <c r="AP24" i="22"/>
  <c r="AP17" i="22"/>
  <c r="AP10" i="22"/>
  <c r="AP3" i="22"/>
  <c r="E31" i="30"/>
  <c r="E24" i="30"/>
  <c r="E17" i="30"/>
  <c r="E10" i="30"/>
  <c r="E3" i="30"/>
  <c r="BA64" i="11"/>
  <c r="BA63" i="11"/>
  <c r="BA62" i="11"/>
  <c r="BA61" i="11"/>
  <c r="BA60" i="11"/>
  <c r="BA55" i="11"/>
  <c r="BA28" i="11"/>
  <c r="BA65" i="11" l="1"/>
  <c r="BA70" i="11" s="1"/>
  <c r="BA11" i="11"/>
  <c r="BA69" i="11" l="1"/>
  <c r="BA68" i="11"/>
  <c r="BA71" i="11"/>
  <c r="BA72" i="11"/>
  <c r="BA73" i="11" l="1"/>
  <c r="P10" i="28" l="1"/>
  <c r="P9" i="28"/>
  <c r="P8" i="28"/>
  <c r="P7" i="28"/>
  <c r="P6" i="28"/>
  <c r="P5" i="28"/>
  <c r="AZ10" i="11" l="1"/>
  <c r="BA19" i="11" s="1"/>
  <c r="AZ9" i="11"/>
  <c r="BA18" i="11" s="1"/>
  <c r="BA35" i="11" s="1"/>
  <c r="BB67" i="1" s="1"/>
  <c r="AZ8" i="11"/>
  <c r="BA17" i="11" s="1"/>
  <c r="BA34" i="11" s="1"/>
  <c r="AZ5" i="11"/>
  <c r="BA14" i="11" s="1"/>
  <c r="BA20" i="11" l="1"/>
  <c r="BA31" i="11"/>
  <c r="BA33" i="11"/>
  <c r="BA32" i="11"/>
  <c r="D31" i="30"/>
  <c r="D32" i="30" s="1"/>
  <c r="D24" i="30"/>
  <c r="D25" i="30" s="1"/>
  <c r="D17" i="30"/>
  <c r="D18" i="30" s="1"/>
  <c r="D10" i="30"/>
  <c r="D11" i="30" s="1"/>
  <c r="D3" i="30"/>
  <c r="D4" i="30" s="1"/>
  <c r="AO31" i="22"/>
  <c r="AO33" i="22" s="1"/>
  <c r="AP33" i="22" s="1"/>
  <c r="AQ33" i="22" s="1"/>
  <c r="AO24" i="22"/>
  <c r="AO25" i="22" s="1"/>
  <c r="AP25" i="22" s="1"/>
  <c r="AO17" i="22"/>
  <c r="AO19" i="22" s="1"/>
  <c r="AP19" i="22" s="1"/>
  <c r="AO10" i="22"/>
  <c r="AO12" i="22" s="1"/>
  <c r="AP12" i="22" s="1"/>
  <c r="AO3" i="22"/>
  <c r="AO4" i="22" s="1"/>
  <c r="AP4" i="22" s="1"/>
  <c r="AZ60" i="11"/>
  <c r="AZ64" i="11"/>
  <c r="AZ63" i="11"/>
  <c r="AZ62" i="11"/>
  <c r="AZ61" i="11"/>
  <c r="AZ55" i="11"/>
  <c r="AZ28" i="11"/>
  <c r="BA36" i="11" l="1"/>
  <c r="AO18" i="22"/>
  <c r="AP18" i="22" s="1"/>
  <c r="AO26" i="22"/>
  <c r="AP26" i="22" s="1"/>
  <c r="AQ26" i="22" s="1"/>
  <c r="AO5" i="22"/>
  <c r="AP5" i="22" s="1"/>
  <c r="AQ12" i="22"/>
  <c r="AP27" i="22"/>
  <c r="AP28" i="22" s="1"/>
  <c r="AP29" i="22" s="1"/>
  <c r="AQ25" i="22"/>
  <c r="AQ19" i="22"/>
  <c r="AR19" i="22" s="1"/>
  <c r="AS19" i="22" s="1"/>
  <c r="AT19" i="22" s="1"/>
  <c r="AR33" i="22"/>
  <c r="AQ5" i="22"/>
  <c r="AO32" i="22"/>
  <c r="AP32" i="22" s="1"/>
  <c r="AQ4" i="22"/>
  <c r="AP6" i="22"/>
  <c r="AP7" i="22" s="1"/>
  <c r="AP8" i="22" s="1"/>
  <c r="AP20" i="22"/>
  <c r="AP21" i="22" s="1"/>
  <c r="AP22" i="22" s="1"/>
  <c r="AQ18" i="22"/>
  <c r="AO11" i="22"/>
  <c r="AP11" i="22" s="1"/>
  <c r="E11" i="30"/>
  <c r="D12" i="30"/>
  <c r="D13" i="30" s="1"/>
  <c r="D14" i="30" s="1"/>
  <c r="D15" i="30" s="1"/>
  <c r="E25" i="30"/>
  <c r="D26" i="30"/>
  <c r="D27" i="30" s="1"/>
  <c r="D28" i="30" s="1"/>
  <c r="D29" i="30" s="1"/>
  <c r="E4" i="30"/>
  <c r="D5" i="30"/>
  <c r="D6" i="30" s="1"/>
  <c r="D7" i="30" s="1"/>
  <c r="D8" i="30" s="1"/>
  <c r="E18" i="30"/>
  <c r="D19" i="30"/>
  <c r="D20" i="30" s="1"/>
  <c r="D21" i="30" s="1"/>
  <c r="D22" i="30" s="1"/>
  <c r="E32" i="30"/>
  <c r="D33" i="30"/>
  <c r="D34" i="30" s="1"/>
  <c r="D35" i="30" s="1"/>
  <c r="D36" i="30" s="1"/>
  <c r="E12" i="30"/>
  <c r="F11" i="30"/>
  <c r="E13" i="30"/>
  <c r="AO6" i="22"/>
  <c r="AO7" i="22" s="1"/>
  <c r="AO8" i="22" s="1"/>
  <c r="AO27" i="22"/>
  <c r="AO28" i="22" s="1"/>
  <c r="AO29" i="22" s="1"/>
  <c r="AO34" i="22"/>
  <c r="AO35" i="22" s="1"/>
  <c r="AO36" i="22" s="1"/>
  <c r="AO20" i="22"/>
  <c r="AO21" i="22" s="1"/>
  <c r="AO22" i="22" s="1"/>
  <c r="AZ65" i="11"/>
  <c r="AZ70" i="11" s="1"/>
  <c r="AZ11" i="11"/>
  <c r="AO13" i="22" l="1"/>
  <c r="AO14" i="22" s="1"/>
  <c r="AO15" i="22" s="1"/>
  <c r="AS33" i="22"/>
  <c r="AP34" i="22"/>
  <c r="AP35" i="22" s="1"/>
  <c r="AP36" i="22" s="1"/>
  <c r="AQ32" i="22"/>
  <c r="AU19" i="22"/>
  <c r="AR4" i="22"/>
  <c r="AQ6" i="22"/>
  <c r="AQ7" i="22" s="1"/>
  <c r="AQ8" i="22" s="1"/>
  <c r="AQ27" i="22"/>
  <c r="AQ28" i="22" s="1"/>
  <c r="AQ29" i="22" s="1"/>
  <c r="AR25" i="22"/>
  <c r="AR5" i="22"/>
  <c r="AQ11" i="22"/>
  <c r="AR11" i="22" s="1"/>
  <c r="AP13" i="22"/>
  <c r="AP14" i="22" s="1"/>
  <c r="AP15" i="22" s="1"/>
  <c r="AR26" i="22"/>
  <c r="AR18" i="22"/>
  <c r="AQ20" i="22"/>
  <c r="AQ21" i="22" s="1"/>
  <c r="AQ22" i="22" s="1"/>
  <c r="AR12" i="22"/>
  <c r="AS12" i="22" s="1"/>
  <c r="E19" i="30"/>
  <c r="F18" i="30"/>
  <c r="E20" i="30"/>
  <c r="E33" i="30"/>
  <c r="F32" i="30"/>
  <c r="E34" i="30"/>
  <c r="E35" i="30" s="1"/>
  <c r="E36" i="30" s="1"/>
  <c r="E5" i="30"/>
  <c r="F4" i="30"/>
  <c r="F12" i="30"/>
  <c r="G11" i="30"/>
  <c r="F13" i="30"/>
  <c r="E14" i="30"/>
  <c r="E15" i="30" s="1"/>
  <c r="E26" i="30"/>
  <c r="E27" i="30" s="1"/>
  <c r="E28" i="30" s="1"/>
  <c r="E29" i="30" s="1"/>
  <c r="F25" i="30"/>
  <c r="AZ71" i="11"/>
  <c r="AZ72" i="11"/>
  <c r="AZ68" i="11"/>
  <c r="AZ69" i="11"/>
  <c r="AV19" i="22" l="1"/>
  <c r="AW19" i="22" s="1"/>
  <c r="AX19" i="22" s="1"/>
  <c r="AS11" i="22"/>
  <c r="AT11" i="22" s="1"/>
  <c r="AU11" i="22" s="1"/>
  <c r="AR13" i="22"/>
  <c r="AR14" i="22" s="1"/>
  <c r="AR15" i="22" s="1"/>
  <c r="AQ34" i="22"/>
  <c r="AQ35" i="22" s="1"/>
  <c r="AQ36" i="22" s="1"/>
  <c r="AR32" i="22"/>
  <c r="AS4" i="22"/>
  <c r="AR6" i="22"/>
  <c r="AR7" i="22" s="1"/>
  <c r="AR8" i="22" s="1"/>
  <c r="AT12" i="22"/>
  <c r="AQ13" i="22"/>
  <c r="AQ14" i="22" s="1"/>
  <c r="AQ15" i="22" s="1"/>
  <c r="AS5" i="22"/>
  <c r="AT5" i="22" s="1"/>
  <c r="AR27" i="22"/>
  <c r="AR28" i="22" s="1"/>
  <c r="AR29" i="22" s="1"/>
  <c r="AS25" i="22"/>
  <c r="AS18" i="22"/>
  <c r="AR20" i="22"/>
  <c r="AR21" i="22" s="1"/>
  <c r="AR22" i="22" s="1"/>
  <c r="AS26" i="22"/>
  <c r="AT33" i="22"/>
  <c r="AU33" i="22" s="1"/>
  <c r="AV33" i="22" s="1"/>
  <c r="AW33" i="22" s="1"/>
  <c r="AX33" i="22" s="1"/>
  <c r="F5" i="30"/>
  <c r="G4" i="30"/>
  <c r="F6" i="30"/>
  <c r="F7" i="30" s="1"/>
  <c r="F8" i="30" s="1"/>
  <c r="F26" i="30"/>
  <c r="F27" i="30" s="1"/>
  <c r="F28" i="30" s="1"/>
  <c r="F29" i="30" s="1"/>
  <c r="G25" i="30"/>
  <c r="E7" i="30"/>
  <c r="E8" i="30" s="1"/>
  <c r="F33" i="30"/>
  <c r="F34" i="30" s="1"/>
  <c r="F35" i="30" s="1"/>
  <c r="F36" i="30" s="1"/>
  <c r="G32" i="30"/>
  <c r="G12" i="30"/>
  <c r="H11" i="30"/>
  <c r="G13" i="30"/>
  <c r="G14" i="30" s="1"/>
  <c r="G15" i="30" s="1"/>
  <c r="F19" i="30"/>
  <c r="G18" i="30"/>
  <c r="F20" i="30"/>
  <c r="F14" i="30"/>
  <c r="F15" i="30" s="1"/>
  <c r="E6" i="30"/>
  <c r="E21" i="30"/>
  <c r="E22" i="30" s="1"/>
  <c r="AZ73" i="11"/>
  <c r="AS6" i="22" l="1"/>
  <c r="AS7" i="22" s="1"/>
  <c r="AS8" i="22" s="1"/>
  <c r="AT4" i="22"/>
  <c r="AR34" i="22"/>
  <c r="AR35" i="22" s="1"/>
  <c r="AR36" i="22" s="1"/>
  <c r="AS32" i="22"/>
  <c r="AS27" i="22"/>
  <c r="AS28" i="22" s="1"/>
  <c r="AS29" i="22" s="1"/>
  <c r="AT25" i="22"/>
  <c r="AV11" i="22"/>
  <c r="AY19" i="22"/>
  <c r="AY33" i="22"/>
  <c r="AU5" i="22"/>
  <c r="AV5" i="22" s="1"/>
  <c r="AT26" i="22"/>
  <c r="AT13" i="22"/>
  <c r="AT14" i="22" s="1"/>
  <c r="AT15" i="22" s="1"/>
  <c r="AU12" i="22"/>
  <c r="AU13" i="22" s="1"/>
  <c r="AT18" i="22"/>
  <c r="AS20" i="22"/>
  <c r="AS21" i="22" s="1"/>
  <c r="AS22" i="22" s="1"/>
  <c r="AS13" i="22"/>
  <c r="AS14" i="22" s="1"/>
  <c r="AS15" i="22" s="1"/>
  <c r="G19" i="30"/>
  <c r="H18" i="30"/>
  <c r="G20" i="30"/>
  <c r="G21" i="30" s="1"/>
  <c r="G22" i="30" s="1"/>
  <c r="F21" i="30"/>
  <c r="F22" i="30" s="1"/>
  <c r="G26" i="30"/>
  <c r="H25" i="30"/>
  <c r="G27" i="30"/>
  <c r="G28" i="30" s="1"/>
  <c r="G29" i="30" s="1"/>
  <c r="G5" i="30"/>
  <c r="G6" i="30" s="1"/>
  <c r="G7" i="30" s="1"/>
  <c r="G8" i="30" s="1"/>
  <c r="H4" i="30"/>
  <c r="H12" i="30"/>
  <c r="I11" i="30"/>
  <c r="H13" i="30"/>
  <c r="G33" i="30"/>
  <c r="G34" i="30" s="1"/>
  <c r="H32" i="30"/>
  <c r="AY10" i="11"/>
  <c r="AZ19" i="11" s="1"/>
  <c r="AY9" i="11"/>
  <c r="AZ18" i="11" s="1"/>
  <c r="AZ35" i="11" s="1"/>
  <c r="AY8" i="11"/>
  <c r="AZ17" i="11" s="1"/>
  <c r="AY7" i="11"/>
  <c r="AZ16" i="11" s="1"/>
  <c r="AY6" i="11"/>
  <c r="AZ15" i="11" s="1"/>
  <c r="AY5" i="11"/>
  <c r="AZ14" i="11" s="1"/>
  <c r="AZ32" i="11" l="1"/>
  <c r="AZ33" i="11"/>
  <c r="AZ20" i="11"/>
  <c r="AZ31" i="11"/>
  <c r="AZ34" i="11"/>
  <c r="AU26" i="22"/>
  <c r="AV26" i="22" s="1"/>
  <c r="AW26" i="22" s="1"/>
  <c r="AT27" i="22"/>
  <c r="AT28" i="22" s="1"/>
  <c r="AT29" i="22" s="1"/>
  <c r="AU25" i="22"/>
  <c r="AS34" i="22"/>
  <c r="AS35" i="22" s="1"/>
  <c r="AS36" i="22" s="1"/>
  <c r="AT32" i="22"/>
  <c r="AW5" i="22"/>
  <c r="AU18" i="22"/>
  <c r="AT20" i="22"/>
  <c r="AT21" i="22" s="1"/>
  <c r="AT22" i="22" s="1"/>
  <c r="AV12" i="22"/>
  <c r="AW12" i="22" s="1"/>
  <c r="AU14" i="22"/>
  <c r="AU15" i="22" s="1"/>
  <c r="AT6" i="22"/>
  <c r="AT7" i="22" s="1"/>
  <c r="AT8" i="22" s="1"/>
  <c r="AU4" i="22"/>
  <c r="AW11" i="22"/>
  <c r="H14" i="30"/>
  <c r="H15" i="30" s="1"/>
  <c r="G35" i="30"/>
  <c r="G36" i="30" s="1"/>
  <c r="H26" i="30"/>
  <c r="H27" i="30" s="1"/>
  <c r="H28" i="30" s="1"/>
  <c r="H29" i="30" s="1"/>
  <c r="I25" i="30"/>
  <c r="J11" i="30"/>
  <c r="I12" i="30"/>
  <c r="I13" i="30" s="1"/>
  <c r="I14" i="30" s="1"/>
  <c r="I15" i="30" s="1"/>
  <c r="H19" i="30"/>
  <c r="H20" i="30" s="1"/>
  <c r="H21" i="30" s="1"/>
  <c r="H22" i="30" s="1"/>
  <c r="I18" i="30"/>
  <c r="H33" i="30"/>
  <c r="I32" i="30"/>
  <c r="H34" i="30"/>
  <c r="H35" i="30" s="1"/>
  <c r="H36" i="30" s="1"/>
  <c r="H5" i="30"/>
  <c r="H6" i="30" s="1"/>
  <c r="H7" i="30" s="1"/>
  <c r="H8" i="30" s="1"/>
  <c r="I4" i="30"/>
  <c r="O10" i="28"/>
  <c r="O9" i="28"/>
  <c r="O8" i="28"/>
  <c r="O7" i="28"/>
  <c r="O6" i="28"/>
  <c r="O5" i="28"/>
  <c r="AZ36" i="11" l="1"/>
  <c r="AV4" i="22"/>
  <c r="AU6" i="22"/>
  <c r="AU7" i="22" s="1"/>
  <c r="AU8" i="22" s="1"/>
  <c r="AU32" i="22"/>
  <c r="AT34" i="22"/>
  <c r="AT35" i="22" s="1"/>
  <c r="AT36" i="22" s="1"/>
  <c r="AX12" i="22"/>
  <c r="AY12" i="22" s="1"/>
  <c r="AW14" i="22"/>
  <c r="AW15" i="22" s="1"/>
  <c r="AX5" i="22"/>
  <c r="AV25" i="22"/>
  <c r="AU27" i="22"/>
  <c r="AU28" i="22" s="1"/>
  <c r="AU29" i="22" s="1"/>
  <c r="AW13" i="22"/>
  <c r="AX11" i="22"/>
  <c r="AX26" i="22"/>
  <c r="AV13" i="22"/>
  <c r="AV14" i="22" s="1"/>
  <c r="AV15" i="22" s="1"/>
  <c r="AU20" i="22"/>
  <c r="AU21" i="22" s="1"/>
  <c r="AU22" i="22" s="1"/>
  <c r="AV18" i="22"/>
  <c r="J25" i="30"/>
  <c r="I26" i="30"/>
  <c r="I27" i="30" s="1"/>
  <c r="I28" i="30" s="1"/>
  <c r="I29" i="30" s="1"/>
  <c r="J12" i="30"/>
  <c r="K11" i="30"/>
  <c r="J13" i="30"/>
  <c r="J14" i="30" s="1"/>
  <c r="J15" i="30" s="1"/>
  <c r="I5" i="30"/>
  <c r="I6" i="30" s="1"/>
  <c r="J4" i="30"/>
  <c r="I19" i="30"/>
  <c r="J18" i="30"/>
  <c r="I20" i="30"/>
  <c r="I21" i="30" s="1"/>
  <c r="I22" i="30" s="1"/>
  <c r="I33" i="30"/>
  <c r="J32" i="30"/>
  <c r="I34" i="30"/>
  <c r="BJ96" i="1"/>
  <c r="BI96" i="1"/>
  <c r="BH96" i="1"/>
  <c r="BG96" i="1"/>
  <c r="BG98" i="1" s="1"/>
  <c r="BF96" i="1"/>
  <c r="BE96" i="1"/>
  <c r="BD96" i="1"/>
  <c r="BC96" i="1"/>
  <c r="BB96" i="1"/>
  <c r="BA96" i="1"/>
  <c r="BF98" i="1" l="1"/>
  <c r="BF99" i="1" s="1"/>
  <c r="AY11" i="22"/>
  <c r="AY13" i="22" s="1"/>
  <c r="AY14" i="22" s="1"/>
  <c r="AY15" i="22" s="1"/>
  <c r="BK39" i="1" s="1"/>
  <c r="BK40" i="1" s="1"/>
  <c r="BK41" i="1" s="1"/>
  <c r="AX13" i="22"/>
  <c r="AX14" i="22" s="1"/>
  <c r="AX15" i="22" s="1"/>
  <c r="AU34" i="22"/>
  <c r="AU35" i="22" s="1"/>
  <c r="AU36" i="22" s="1"/>
  <c r="AV32" i="22"/>
  <c r="AY5" i="22"/>
  <c r="AY26" i="22"/>
  <c r="AW18" i="22"/>
  <c r="AV20" i="22"/>
  <c r="AV21" i="22" s="1"/>
  <c r="AV22" i="22" s="1"/>
  <c r="AW25" i="22"/>
  <c r="AV27" i="22"/>
  <c r="AV28" i="22" s="1"/>
  <c r="AV29" i="22" s="1"/>
  <c r="AW4" i="22"/>
  <c r="AV6" i="22"/>
  <c r="AV7" i="22" s="1"/>
  <c r="AV8" i="22" s="1"/>
  <c r="I35" i="30"/>
  <c r="I36" i="30" s="1"/>
  <c r="J5" i="30"/>
  <c r="J6" i="30" s="1"/>
  <c r="J7" i="30" s="1"/>
  <c r="J8" i="30" s="1"/>
  <c r="K4" i="30"/>
  <c r="J33" i="30"/>
  <c r="K32" i="30"/>
  <c r="J34" i="30"/>
  <c r="J35" i="30" s="1"/>
  <c r="J36" i="30" s="1"/>
  <c r="K12" i="30"/>
  <c r="L11" i="30"/>
  <c r="I7" i="30"/>
  <c r="I8" i="30" s="1"/>
  <c r="J19" i="30"/>
  <c r="K18" i="30"/>
  <c r="J20" i="30"/>
  <c r="J21" i="30" s="1"/>
  <c r="J22" i="30" s="1"/>
  <c r="J26" i="30"/>
  <c r="J27" i="30" s="1"/>
  <c r="J28" i="30" s="1"/>
  <c r="J29" i="30" s="1"/>
  <c r="K25" i="30"/>
  <c r="C31" i="30"/>
  <c r="C24" i="30"/>
  <c r="C17" i="30"/>
  <c r="C10" i="30"/>
  <c r="C3" i="30"/>
  <c r="AN3" i="22"/>
  <c r="AW6" i="22" l="1"/>
  <c r="AW7" i="22" s="1"/>
  <c r="AW8" i="22" s="1"/>
  <c r="AX4" i="22"/>
  <c r="AW32" i="22"/>
  <c r="AV34" i="22"/>
  <c r="AV35" i="22" s="1"/>
  <c r="AV36" i="22" s="1"/>
  <c r="AW27" i="22"/>
  <c r="AW28" i="22" s="1"/>
  <c r="AW29" i="22" s="1"/>
  <c r="AX25" i="22"/>
  <c r="AX18" i="22"/>
  <c r="AW20" i="22"/>
  <c r="AW21" i="22" s="1"/>
  <c r="AW22" i="22" s="1"/>
  <c r="K19" i="30"/>
  <c r="L18" i="30"/>
  <c r="K20" i="30"/>
  <c r="K21" i="30" s="1"/>
  <c r="K22" i="30" s="1"/>
  <c r="L4" i="30"/>
  <c r="K5" i="30"/>
  <c r="K13" i="30"/>
  <c r="K14" i="30" s="1"/>
  <c r="K15" i="30" s="1"/>
  <c r="K26" i="30"/>
  <c r="L25" i="30"/>
  <c r="K33" i="30"/>
  <c r="L32" i="30"/>
  <c r="K34" i="30"/>
  <c r="K35" i="30" s="1"/>
  <c r="K36" i="30" s="1"/>
  <c r="L12" i="30"/>
  <c r="M11" i="30"/>
  <c r="L13" i="30"/>
  <c r="L14" i="30" s="1"/>
  <c r="L15" i="30" s="1"/>
  <c r="C6" i="30"/>
  <c r="C7" i="30" s="1"/>
  <c r="C8" i="30" s="1"/>
  <c r="C13" i="30"/>
  <c r="C14" i="30" s="1"/>
  <c r="C15" i="30" s="1"/>
  <c r="C20" i="30"/>
  <c r="C21" i="30" s="1"/>
  <c r="C22" i="30" s="1"/>
  <c r="C27" i="30"/>
  <c r="C28" i="30" s="1"/>
  <c r="C29" i="30" s="1"/>
  <c r="C34" i="30"/>
  <c r="C35" i="30" s="1"/>
  <c r="C36" i="30" s="1"/>
  <c r="AY25" i="22" l="1"/>
  <c r="AY27" i="22" s="1"/>
  <c r="AY28" i="22" s="1"/>
  <c r="AY29" i="22" s="1"/>
  <c r="BK59" i="1" s="1"/>
  <c r="BK60" i="1" s="1"/>
  <c r="BK61" i="1" s="1"/>
  <c r="AX27" i="22"/>
  <c r="AX28" i="22" s="1"/>
  <c r="AX29" i="22" s="1"/>
  <c r="AX6" i="22"/>
  <c r="AX7" i="22" s="1"/>
  <c r="AX8" i="22" s="1"/>
  <c r="AY4" i="22"/>
  <c r="AY6" i="22" s="1"/>
  <c r="AY7" i="22" s="1"/>
  <c r="AY8" i="22" s="1"/>
  <c r="BK29" i="1" s="1"/>
  <c r="BK30" i="1" s="1"/>
  <c r="BK31" i="1" s="1"/>
  <c r="AX32" i="22"/>
  <c r="AW34" i="22"/>
  <c r="AW35" i="22" s="1"/>
  <c r="AW36" i="22" s="1"/>
  <c r="AY18" i="22"/>
  <c r="AY20" i="22" s="1"/>
  <c r="AY21" i="22" s="1"/>
  <c r="AY22" i="22" s="1"/>
  <c r="BK49" i="1" s="1"/>
  <c r="BK50" i="1" s="1"/>
  <c r="BK51" i="1" s="1"/>
  <c r="AX20" i="22"/>
  <c r="AX21" i="22" s="1"/>
  <c r="AX22" i="22" s="1"/>
  <c r="K6" i="30"/>
  <c r="K7" i="30" s="1"/>
  <c r="K8" i="30" s="1"/>
  <c r="N11" i="30"/>
  <c r="M12" i="30"/>
  <c r="M13" i="30" s="1"/>
  <c r="M14" i="30" s="1"/>
  <c r="M15" i="30" s="1"/>
  <c r="L5" i="30"/>
  <c r="M4" i="30"/>
  <c r="L6" i="30"/>
  <c r="K27" i="30"/>
  <c r="K28" i="30" s="1"/>
  <c r="K29" i="30" s="1"/>
  <c r="L19" i="30"/>
  <c r="L20" i="30" s="1"/>
  <c r="L21" i="30" s="1"/>
  <c r="L22" i="30" s="1"/>
  <c r="M18" i="30"/>
  <c r="L33" i="30"/>
  <c r="L34" i="30" s="1"/>
  <c r="L35" i="30" s="1"/>
  <c r="L36" i="30" s="1"/>
  <c r="M32" i="30"/>
  <c r="L26" i="30"/>
  <c r="L27" i="30" s="1"/>
  <c r="L28" i="30" s="1"/>
  <c r="L29" i="30" s="1"/>
  <c r="M25" i="30"/>
  <c r="AN31" i="22"/>
  <c r="AN24" i="22"/>
  <c r="AN17" i="22"/>
  <c r="AN10" i="22"/>
  <c r="AY64" i="11"/>
  <c r="AY63" i="11"/>
  <c r="AY62" i="11"/>
  <c r="AY61" i="11"/>
  <c r="AY60" i="11"/>
  <c r="AY55" i="11"/>
  <c r="AY28" i="11"/>
  <c r="AY96" i="1"/>
  <c r="AX34" i="22" l="1"/>
  <c r="AX35" i="22" s="1"/>
  <c r="AX36" i="22" s="1"/>
  <c r="AY32" i="22"/>
  <c r="AY34" i="22" s="1"/>
  <c r="AY35" i="22" s="1"/>
  <c r="AY36" i="22" s="1"/>
  <c r="BK69" i="1" s="1"/>
  <c r="M33" i="30"/>
  <c r="N32" i="30"/>
  <c r="M34" i="30"/>
  <c r="M19" i="30"/>
  <c r="N18" i="30"/>
  <c r="M20" i="30"/>
  <c r="M21" i="30" s="1"/>
  <c r="M22" i="30" s="1"/>
  <c r="N12" i="30"/>
  <c r="N13" i="30" s="1"/>
  <c r="N14" i="30" s="1"/>
  <c r="N15" i="30" s="1"/>
  <c r="M5" i="30"/>
  <c r="M6" i="30" s="1"/>
  <c r="N4" i="30"/>
  <c r="L7" i="30"/>
  <c r="L8" i="30" s="1"/>
  <c r="N25" i="30"/>
  <c r="M26" i="30"/>
  <c r="AN13" i="22"/>
  <c r="AN14" i="22" s="1"/>
  <c r="AN15" i="22" s="1"/>
  <c r="AN20" i="22"/>
  <c r="AN21" i="22" s="1"/>
  <c r="AN22" i="22" s="1"/>
  <c r="AN27" i="22"/>
  <c r="AN6" i="22"/>
  <c r="AN7" i="22" s="1"/>
  <c r="AN8" i="22" s="1"/>
  <c r="AN34" i="22"/>
  <c r="AY65" i="11"/>
  <c r="AY70" i="11" s="1"/>
  <c r="AY11" i="11"/>
  <c r="BK18" i="1" l="1"/>
  <c r="BK70" i="1"/>
  <c r="N26" i="30"/>
  <c r="N27" i="30"/>
  <c r="N28" i="30" s="1"/>
  <c r="N29" i="30" s="1"/>
  <c r="M27" i="30"/>
  <c r="M28" i="30" s="1"/>
  <c r="M29" i="30" s="1"/>
  <c r="N5" i="30"/>
  <c r="N6" i="30" s="1"/>
  <c r="N7" i="30" s="1"/>
  <c r="N8" i="30" s="1"/>
  <c r="N33" i="30"/>
  <c r="N34" i="30" s="1"/>
  <c r="N35" i="30" s="1"/>
  <c r="N36" i="30" s="1"/>
  <c r="N19" i="30"/>
  <c r="N20" i="30" s="1"/>
  <c r="N21" i="30" s="1"/>
  <c r="N22" i="30" s="1"/>
  <c r="M7" i="30"/>
  <c r="M8" i="30" s="1"/>
  <c r="M35" i="30"/>
  <c r="M36" i="30" s="1"/>
  <c r="AN28" i="22"/>
  <c r="AN29" i="22" s="1"/>
  <c r="AN35" i="22"/>
  <c r="AN36" i="22" s="1"/>
  <c r="AY71" i="11"/>
  <c r="AY72" i="11"/>
  <c r="AY68" i="11"/>
  <c r="AY69" i="11"/>
  <c r="BK19" i="1" l="1"/>
  <c r="BK71" i="1"/>
  <c r="BK20" i="1" s="1"/>
  <c r="AY73" i="11"/>
  <c r="N5" i="28" l="1"/>
  <c r="N6" i="28"/>
  <c r="N7" i="28" l="1"/>
  <c r="N8" i="28"/>
  <c r="AX10" i="11" l="1"/>
  <c r="AY19" i="11" s="1"/>
  <c r="AX9" i="11"/>
  <c r="AY18" i="11" s="1"/>
  <c r="AY35" i="11" s="1"/>
  <c r="N10" i="28" l="1"/>
  <c r="N9" i="28"/>
  <c r="AX8" i="11" l="1"/>
  <c r="AY17" i="11" s="1"/>
  <c r="AY34" i="11" s="1"/>
  <c r="AX7" i="11"/>
  <c r="AY16" i="11" s="1"/>
  <c r="AY33" i="11" s="1"/>
  <c r="AX6" i="11"/>
  <c r="AY15" i="11" s="1"/>
  <c r="AY32" i="11" s="1"/>
  <c r="AX5" i="11"/>
  <c r="AY14" i="11" s="1"/>
  <c r="AY31" i="11" l="1"/>
  <c r="AY36" i="11" s="1"/>
  <c r="AY20" i="11"/>
  <c r="AY8" i="1"/>
  <c r="AX64" i="11"/>
  <c r="AX63" i="11"/>
  <c r="AX62" i="11"/>
  <c r="AX61" i="11"/>
  <c r="AX60" i="11"/>
  <c r="AX55" i="11"/>
  <c r="AX28" i="11"/>
  <c r="AX65" i="11" l="1"/>
  <c r="AX70" i="11" s="1"/>
  <c r="AX11" i="11"/>
  <c r="AX69" i="11" l="1"/>
  <c r="AX72" i="11"/>
  <c r="AX71" i="11"/>
  <c r="AX68" i="11"/>
  <c r="AX73" i="11" s="1"/>
  <c r="AW10" i="11" l="1"/>
  <c r="AX19" i="11" s="1"/>
  <c r="AW9" i="11"/>
  <c r="AX18" i="11" s="1"/>
  <c r="AX35" i="11" s="1"/>
  <c r="AW8" i="11"/>
  <c r="AX17" i="11" s="1"/>
  <c r="AX34" i="11" s="1"/>
  <c r="AW7" i="11"/>
  <c r="AX16" i="11" s="1"/>
  <c r="AX33" i="11" s="1"/>
  <c r="AW6" i="11"/>
  <c r="AX15" i="11" s="1"/>
  <c r="AX32" i="11" s="1"/>
  <c r="AW5" i="11" l="1"/>
  <c r="AX14" i="11" s="1"/>
  <c r="AX31" i="11" l="1"/>
  <c r="AX36" i="11" s="1"/>
  <c r="AX20" i="11"/>
  <c r="AV10" i="11"/>
  <c r="AV9" i="11"/>
  <c r="AV8" i="11"/>
  <c r="AV7" i="11"/>
  <c r="AV6" i="11"/>
  <c r="AV5" i="11"/>
  <c r="L14" i="28" l="1"/>
  <c r="L19" i="28"/>
  <c r="L18" i="28"/>
  <c r="L17" i="28"/>
  <c r="L16" i="28"/>
  <c r="L15" i="28"/>
  <c r="K14" i="28"/>
  <c r="AV85" i="1"/>
  <c r="BC98" i="1" l="1"/>
  <c r="BC99" i="1" s="1"/>
  <c r="BD98" i="1"/>
  <c r="BD99" i="1" s="1"/>
  <c r="BH98" i="1"/>
  <c r="BH99" i="1" s="1"/>
  <c r="BI98" i="1"/>
  <c r="BI99" i="1" s="1"/>
  <c r="AW98" i="1"/>
  <c r="AW99" i="1" s="1"/>
  <c r="BJ98" i="1"/>
  <c r="BJ99" i="1" s="1"/>
  <c r="BG99" i="1"/>
  <c r="BE98" i="1"/>
  <c r="BE99" i="1" s="1"/>
  <c r="BB98" i="1"/>
  <c r="BB99" i="1" s="1"/>
  <c r="BA98" i="1"/>
  <c r="BA99" i="1" s="1"/>
  <c r="AZ98" i="1"/>
  <c r="AZ99" i="1" s="1"/>
  <c r="AY98" i="1"/>
  <c r="AY99" i="1" s="1"/>
  <c r="AX96" i="1"/>
  <c r="AX98" i="1" s="1"/>
  <c r="AX99" i="1" s="1"/>
  <c r="AV87" i="1"/>
  <c r="AV88" i="1" s="1"/>
  <c r="J85" i="29" l="1"/>
  <c r="J92" i="29" s="1"/>
  <c r="J48" i="29" s="1"/>
  <c r="I85" i="29"/>
  <c r="I92" i="29" s="1"/>
  <c r="I48" i="29" s="1"/>
  <c r="H85" i="29"/>
  <c r="H88" i="29" s="1"/>
  <c r="H8" i="29" s="1"/>
  <c r="G85" i="29"/>
  <c r="F85" i="29"/>
  <c r="F91" i="29" s="1"/>
  <c r="F38" i="29" s="1"/>
  <c r="E85" i="29"/>
  <c r="E88" i="29" s="1"/>
  <c r="E8" i="29" s="1"/>
  <c r="D85" i="29"/>
  <c r="D89" i="29" s="1"/>
  <c r="D18" i="29" s="1"/>
  <c r="C85" i="29"/>
  <c r="C77" i="29"/>
  <c r="J68" i="29"/>
  <c r="I68" i="29"/>
  <c r="H68" i="29"/>
  <c r="G68" i="29"/>
  <c r="F68" i="29"/>
  <c r="E68" i="29"/>
  <c r="D68" i="29"/>
  <c r="C68" i="29"/>
  <c r="G88" i="29" l="1"/>
  <c r="G8" i="29" s="1"/>
  <c r="G90" i="29"/>
  <c r="G28" i="29" s="1"/>
  <c r="C89" i="29"/>
  <c r="C18" i="29" s="1"/>
  <c r="C90" i="29"/>
  <c r="C28" i="29" s="1"/>
  <c r="F90" i="29"/>
  <c r="F28" i="29" s="1"/>
  <c r="C92" i="29"/>
  <c r="C48" i="29" s="1"/>
  <c r="C91" i="29"/>
  <c r="C38" i="29" s="1"/>
  <c r="D90" i="29"/>
  <c r="D28" i="29" s="1"/>
  <c r="D91" i="29"/>
  <c r="D38" i="29" s="1"/>
  <c r="E92" i="29"/>
  <c r="E48" i="29" s="1"/>
  <c r="E90" i="29"/>
  <c r="E28" i="29" s="1"/>
  <c r="E91" i="29"/>
  <c r="E38" i="29" s="1"/>
  <c r="F89" i="29"/>
  <c r="F18" i="29" s="1"/>
  <c r="E89" i="29"/>
  <c r="E18" i="29" s="1"/>
  <c r="I90" i="29"/>
  <c r="I28" i="29" s="1"/>
  <c r="C88" i="29"/>
  <c r="C93" i="29" s="1"/>
  <c r="I88" i="29"/>
  <c r="F88" i="29"/>
  <c r="F8" i="29" s="1"/>
  <c r="H92" i="29"/>
  <c r="H48" i="29" s="1"/>
  <c r="I91" i="29"/>
  <c r="I38" i="29" s="1"/>
  <c r="I89" i="29"/>
  <c r="I18" i="29" s="1"/>
  <c r="G92" i="29"/>
  <c r="G48" i="29" s="1"/>
  <c r="H89" i="29"/>
  <c r="H18" i="29" s="1"/>
  <c r="F92" i="29"/>
  <c r="H90" i="29"/>
  <c r="H28" i="29" s="1"/>
  <c r="D88" i="29"/>
  <c r="D8" i="29" s="1"/>
  <c r="J91" i="29"/>
  <c r="J38" i="29" s="1"/>
  <c r="G89" i="29"/>
  <c r="G18" i="29" s="1"/>
  <c r="D92" i="29"/>
  <c r="D48" i="29" s="1"/>
  <c r="H91" i="29"/>
  <c r="H38" i="29" s="1"/>
  <c r="G91" i="29"/>
  <c r="G38" i="29" s="1"/>
  <c r="J89" i="29"/>
  <c r="J18" i="29" s="1"/>
  <c r="J90" i="29"/>
  <c r="J28" i="29" s="1"/>
  <c r="J88" i="29"/>
  <c r="J8" i="29" s="1"/>
  <c r="E77" i="29"/>
  <c r="D77" i="29"/>
  <c r="G77" i="29"/>
  <c r="H77" i="29"/>
  <c r="I77" i="29"/>
  <c r="F77" i="29"/>
  <c r="J77" i="29"/>
  <c r="AP52" i="26"/>
  <c r="AO53" i="26"/>
  <c r="AO52" i="26"/>
  <c r="F93" i="29" l="1"/>
  <c r="F48" i="29"/>
  <c r="C8" i="29"/>
  <c r="E93" i="29"/>
  <c r="I93" i="29"/>
  <c r="I8" i="29"/>
  <c r="G93" i="29"/>
  <c r="J93" i="29"/>
  <c r="H93" i="29"/>
  <c r="D93" i="29"/>
  <c r="AU10" i="11" l="1"/>
  <c r="AV19" i="11" s="1"/>
  <c r="AU9" i="11"/>
  <c r="AU8" i="11"/>
  <c r="AU7" i="11"/>
  <c r="AU6" i="11"/>
  <c r="AU5" i="11"/>
  <c r="AV14" i="11" s="1"/>
  <c r="AU60" i="11" l="1"/>
  <c r="AU61" i="11"/>
  <c r="AU62" i="11"/>
  <c r="AU63" i="11"/>
  <c r="AU64" i="11"/>
  <c r="AR57" i="26" l="1"/>
  <c r="AQ57" i="26"/>
  <c r="AP57" i="26"/>
  <c r="AO57" i="26"/>
  <c r="AN57" i="26"/>
  <c r="AM57" i="26"/>
  <c r="AL57" i="26"/>
  <c r="AK57" i="26"/>
  <c r="AJ57" i="26"/>
  <c r="AI57" i="26"/>
  <c r="AH57" i="26"/>
  <c r="AG57" i="26"/>
  <c r="AF57" i="26"/>
  <c r="AE57" i="26"/>
  <c r="AD57" i="26"/>
  <c r="AC57" i="26"/>
  <c r="AB57" i="26"/>
  <c r="AA57" i="26"/>
  <c r="Z57" i="26"/>
  <c r="Y57" i="26"/>
  <c r="X57" i="26"/>
  <c r="W57" i="26"/>
  <c r="U57" i="26"/>
  <c r="T57" i="26"/>
  <c r="S57" i="26"/>
  <c r="R57" i="26"/>
  <c r="Q57" i="26"/>
  <c r="P57" i="26"/>
  <c r="O57" i="26"/>
  <c r="N57" i="26"/>
  <c r="M57" i="26"/>
  <c r="L57" i="26"/>
  <c r="K57" i="26"/>
  <c r="J57" i="26"/>
  <c r="I57" i="26"/>
  <c r="H57" i="26"/>
  <c r="G57" i="26"/>
  <c r="F57" i="26"/>
  <c r="E57" i="26"/>
  <c r="AR56" i="26"/>
  <c r="AQ56" i="26"/>
  <c r="AP56" i="26"/>
  <c r="AO56" i="26"/>
  <c r="AN56" i="26"/>
  <c r="AM56" i="26"/>
  <c r="AL56" i="26"/>
  <c r="AK56" i="26"/>
  <c r="AJ56" i="26"/>
  <c r="AI56" i="26"/>
  <c r="AH56" i="26"/>
  <c r="AG56" i="26"/>
  <c r="AF56" i="26"/>
  <c r="AE56" i="26"/>
  <c r="AD56" i="26"/>
  <c r="AC56" i="26"/>
  <c r="AB56" i="26"/>
  <c r="AA56" i="26"/>
  <c r="Z56" i="26"/>
  <c r="Y56" i="26"/>
  <c r="X56" i="26"/>
  <c r="W56" i="26"/>
  <c r="V56" i="26"/>
  <c r="U56" i="26"/>
  <c r="T56" i="26"/>
  <c r="S56" i="26"/>
  <c r="R56" i="26"/>
  <c r="Q56" i="26"/>
  <c r="P56" i="26"/>
  <c r="O56" i="26"/>
  <c r="N56" i="26"/>
  <c r="M56" i="26"/>
  <c r="L56" i="26"/>
  <c r="K56" i="26"/>
  <c r="J56" i="26"/>
  <c r="I56" i="26"/>
  <c r="H56" i="26"/>
  <c r="G56" i="26"/>
  <c r="F56" i="26"/>
  <c r="E56" i="26"/>
  <c r="AR55" i="26"/>
  <c r="AQ55" i="26"/>
  <c r="AP55" i="26"/>
  <c r="AO55" i="26"/>
  <c r="AN55" i="26"/>
  <c r="AM55" i="26"/>
  <c r="AL55" i="26"/>
  <c r="AK55" i="26"/>
  <c r="AJ55" i="26"/>
  <c r="AI55" i="26"/>
  <c r="AH55" i="26"/>
  <c r="AG55" i="26"/>
  <c r="AF55" i="26"/>
  <c r="AE55" i="26"/>
  <c r="AD55" i="26"/>
  <c r="AC55" i="26"/>
  <c r="AB55" i="26"/>
  <c r="AA55" i="26"/>
  <c r="Z55" i="26"/>
  <c r="Y55" i="26"/>
  <c r="X55" i="26"/>
  <c r="W55" i="26"/>
  <c r="V55" i="26"/>
  <c r="U55" i="26"/>
  <c r="T55" i="26"/>
  <c r="S55" i="26"/>
  <c r="R55" i="26"/>
  <c r="Q55" i="26"/>
  <c r="P55" i="26"/>
  <c r="O55" i="26"/>
  <c r="N55" i="26"/>
  <c r="M55" i="26"/>
  <c r="L55" i="26"/>
  <c r="K55" i="26"/>
  <c r="J55" i="26"/>
  <c r="I55" i="26"/>
  <c r="H55" i="26"/>
  <c r="G55" i="26"/>
  <c r="F55" i="26"/>
  <c r="E55" i="26"/>
  <c r="AR54" i="26"/>
  <c r="AQ54" i="26"/>
  <c r="AP54" i="26"/>
  <c r="AO54" i="26"/>
  <c r="AO58" i="26" s="1"/>
  <c r="AO32" i="26" s="1"/>
  <c r="AN54" i="26"/>
  <c r="AM54" i="26"/>
  <c r="AL54" i="26"/>
  <c r="AK54" i="26"/>
  <c r="AJ54" i="26"/>
  <c r="AI54" i="26"/>
  <c r="AH54" i="26"/>
  <c r="AG54" i="26"/>
  <c r="AF54" i="26"/>
  <c r="AE54" i="26"/>
  <c r="AD54" i="26"/>
  <c r="AC54" i="26"/>
  <c r="AB54" i="26"/>
  <c r="AA54" i="26"/>
  <c r="Z54" i="26"/>
  <c r="Y54" i="26"/>
  <c r="X54" i="26"/>
  <c r="W54" i="26"/>
  <c r="V54" i="26"/>
  <c r="U54" i="26"/>
  <c r="T54" i="26"/>
  <c r="S54" i="26"/>
  <c r="R54" i="26"/>
  <c r="Q54" i="26"/>
  <c r="P54" i="26"/>
  <c r="O54" i="26"/>
  <c r="N54" i="26"/>
  <c r="M54" i="26"/>
  <c r="L54" i="26"/>
  <c r="K54" i="26"/>
  <c r="J54" i="26"/>
  <c r="I54" i="26"/>
  <c r="H54" i="26"/>
  <c r="G54" i="26"/>
  <c r="F54" i="26"/>
  <c r="E54" i="26"/>
  <c r="AR53" i="26"/>
  <c r="AQ53" i="26"/>
  <c r="AP53" i="26"/>
  <c r="AN53" i="26"/>
  <c r="AM53" i="26"/>
  <c r="AL53" i="26"/>
  <c r="AK53" i="26"/>
  <c r="AJ53" i="26"/>
  <c r="AI53" i="26"/>
  <c r="AH53" i="26"/>
  <c r="AG53" i="26"/>
  <c r="AF53" i="26"/>
  <c r="AE53" i="26"/>
  <c r="AD53" i="26"/>
  <c r="AC53" i="26"/>
  <c r="AB53" i="26"/>
  <c r="AA53" i="26"/>
  <c r="Z53" i="26"/>
  <c r="Y53" i="26"/>
  <c r="X53" i="26"/>
  <c r="W53" i="26"/>
  <c r="V53" i="26"/>
  <c r="U53" i="26"/>
  <c r="T53" i="26"/>
  <c r="S53" i="26"/>
  <c r="R53" i="26"/>
  <c r="Q53" i="26"/>
  <c r="P53" i="26"/>
  <c r="O53" i="26"/>
  <c r="N53" i="26"/>
  <c r="M53" i="26"/>
  <c r="L53" i="26"/>
  <c r="K53" i="26"/>
  <c r="J53" i="26"/>
  <c r="I53" i="26"/>
  <c r="H53" i="26"/>
  <c r="G53" i="26"/>
  <c r="F53" i="26"/>
  <c r="E53" i="26"/>
  <c r="AR52" i="26"/>
  <c r="AR58" i="26" s="1"/>
  <c r="AR32" i="26" s="1"/>
  <c r="AQ52" i="26"/>
  <c r="AQ58" i="26" s="1"/>
  <c r="AQ32" i="26" s="1"/>
  <c r="AP58" i="26"/>
  <c r="AP32" i="26" s="1"/>
  <c r="AN52" i="26"/>
  <c r="AN58" i="26" s="1"/>
  <c r="AN32" i="26" s="1"/>
  <c r="AM52" i="26"/>
  <c r="AM58" i="26" s="1"/>
  <c r="AM32" i="26" s="1"/>
  <c r="AL52" i="26"/>
  <c r="AL58" i="26" s="1"/>
  <c r="AL32" i="26" s="1"/>
  <c r="AK52" i="26"/>
  <c r="AK58" i="26" s="1"/>
  <c r="AK32" i="26" s="1"/>
  <c r="AJ52" i="26"/>
  <c r="AJ58" i="26" s="1"/>
  <c r="AJ32" i="26" s="1"/>
  <c r="AI52" i="26"/>
  <c r="AI58" i="26" s="1"/>
  <c r="AI32" i="26" s="1"/>
  <c r="AH52" i="26"/>
  <c r="AH58" i="26" s="1"/>
  <c r="AH32" i="26" s="1"/>
  <c r="AG52" i="26"/>
  <c r="AG58" i="26" s="1"/>
  <c r="AG32" i="26" s="1"/>
  <c r="AF52" i="26"/>
  <c r="AF58" i="26" s="1"/>
  <c r="AF32" i="26" s="1"/>
  <c r="AE52" i="26"/>
  <c r="AE58" i="26" s="1"/>
  <c r="AE32" i="26" s="1"/>
  <c r="AD52" i="26"/>
  <c r="AD58" i="26" s="1"/>
  <c r="AD32" i="26" s="1"/>
  <c r="AC52" i="26"/>
  <c r="AC58" i="26" s="1"/>
  <c r="AC32" i="26" s="1"/>
  <c r="AB52" i="26"/>
  <c r="AB58" i="26" s="1"/>
  <c r="AB32" i="26" s="1"/>
  <c r="AA52" i="26"/>
  <c r="AA58" i="26" s="1"/>
  <c r="AA32" i="26" s="1"/>
  <c r="Z52" i="26"/>
  <c r="Z58" i="26" s="1"/>
  <c r="Z32" i="26" s="1"/>
  <c r="Y52" i="26"/>
  <c r="Y58" i="26" s="1"/>
  <c r="Y32" i="26" s="1"/>
  <c r="X52" i="26"/>
  <c r="X58" i="26" s="1"/>
  <c r="X32" i="26" s="1"/>
  <c r="W52" i="26"/>
  <c r="W58" i="26" s="1"/>
  <c r="W32" i="26" s="1"/>
  <c r="V52" i="26"/>
  <c r="U52" i="26"/>
  <c r="U58" i="26" s="1"/>
  <c r="U32" i="26" s="1"/>
  <c r="T52" i="26"/>
  <c r="T58" i="26" s="1"/>
  <c r="T32" i="26" s="1"/>
  <c r="S52" i="26"/>
  <c r="S58" i="26" s="1"/>
  <c r="S32" i="26" s="1"/>
  <c r="R52" i="26"/>
  <c r="R58" i="26" s="1"/>
  <c r="R32" i="26" s="1"/>
  <c r="Q52" i="26"/>
  <c r="P52" i="26"/>
  <c r="P58" i="26" s="1"/>
  <c r="P32" i="26" s="1"/>
  <c r="O52" i="26"/>
  <c r="O58" i="26" s="1"/>
  <c r="O32" i="26" s="1"/>
  <c r="N52" i="26"/>
  <c r="N58" i="26" s="1"/>
  <c r="N32" i="26" s="1"/>
  <c r="N36" i="26" s="1"/>
  <c r="M52" i="26"/>
  <c r="M58" i="26" s="1"/>
  <c r="M32" i="26" s="1"/>
  <c r="M36" i="26" s="1"/>
  <c r="L52" i="26"/>
  <c r="L58" i="26" s="1"/>
  <c r="L32" i="26" s="1"/>
  <c r="L36" i="26" s="1"/>
  <c r="K52" i="26"/>
  <c r="K58" i="26" s="1"/>
  <c r="K32" i="26" s="1"/>
  <c r="K36" i="26" s="1"/>
  <c r="J52" i="26"/>
  <c r="J58" i="26" s="1"/>
  <c r="J32" i="26" s="1"/>
  <c r="J36" i="26" s="1"/>
  <c r="I52" i="26"/>
  <c r="I58" i="26" s="1"/>
  <c r="I32" i="26" s="1"/>
  <c r="I36" i="26" s="1"/>
  <c r="H52" i="26"/>
  <c r="H58" i="26" s="1"/>
  <c r="H32" i="26" s="1"/>
  <c r="H36" i="26" s="1"/>
  <c r="G52" i="26"/>
  <c r="G58" i="26" s="1"/>
  <c r="G32" i="26" s="1"/>
  <c r="G36" i="26" s="1"/>
  <c r="F52" i="26"/>
  <c r="F58" i="26" s="1"/>
  <c r="F32" i="26" s="1"/>
  <c r="F36" i="26" s="1"/>
  <c r="E52" i="26"/>
  <c r="E58" i="26" s="1"/>
  <c r="E32" i="26" s="1"/>
  <c r="E36" i="26" s="1"/>
  <c r="AR49" i="26"/>
  <c r="AQ49" i="26"/>
  <c r="AP49" i="26"/>
  <c r="AO49" i="26"/>
  <c r="AN49" i="26"/>
  <c r="AM49" i="26"/>
  <c r="AL49" i="26"/>
  <c r="AK49" i="26"/>
  <c r="AJ49" i="26"/>
  <c r="AI49" i="26"/>
  <c r="AH49" i="26"/>
  <c r="AG49" i="26"/>
  <c r="AF49" i="26"/>
  <c r="AE49" i="26"/>
  <c r="AD49" i="26"/>
  <c r="AC49" i="26"/>
  <c r="AB49" i="26"/>
  <c r="AA49" i="26"/>
  <c r="Z49" i="26"/>
  <c r="Y49" i="26"/>
  <c r="X49" i="26"/>
  <c r="W49" i="26"/>
  <c r="V49" i="26"/>
  <c r="U49" i="26"/>
  <c r="T49" i="26"/>
  <c r="S49" i="26"/>
  <c r="R49" i="26"/>
  <c r="Q49" i="26"/>
  <c r="P49" i="26"/>
  <c r="O49" i="26"/>
  <c r="N49" i="26"/>
  <c r="M49" i="26"/>
  <c r="L49" i="26"/>
  <c r="K49" i="26"/>
  <c r="J49" i="26"/>
  <c r="I49" i="26"/>
  <c r="H49" i="26"/>
  <c r="G49" i="26"/>
  <c r="F49" i="26"/>
  <c r="E49" i="26"/>
  <c r="V57" i="26"/>
  <c r="E37" i="26" l="1"/>
  <c r="E38" i="26" s="1"/>
  <c r="V58" i="26"/>
  <c r="V32" i="26" s="1"/>
  <c r="Q58" i="26"/>
  <c r="Q32" i="26" s="1"/>
  <c r="E39" i="26" l="1"/>
  <c r="E40" i="26" s="1"/>
  <c r="F37" i="26" l="1"/>
  <c r="F39" i="26" l="1"/>
  <c r="F40" i="26" s="1"/>
  <c r="G37" i="26" s="1"/>
  <c r="G39" i="26" s="1"/>
  <c r="G40" i="26" s="1"/>
  <c r="H37" i="26" s="1"/>
  <c r="H39" i="26" s="1"/>
  <c r="H40" i="26" s="1"/>
  <c r="I37" i="26" s="1"/>
  <c r="I39" i="26" s="1"/>
  <c r="I40" i="26" s="1"/>
  <c r="J37" i="26" s="1"/>
  <c r="J39" i="26" s="1"/>
  <c r="J40" i="26" s="1"/>
  <c r="F38" i="26"/>
  <c r="G38" i="26" l="1"/>
  <c r="H38" i="26"/>
  <c r="I38" i="26" s="1"/>
  <c r="J38" i="26" s="1"/>
  <c r="K37" i="26"/>
  <c r="K39" i="26" s="1"/>
  <c r="K40" i="26" s="1"/>
  <c r="K38" i="26" l="1"/>
  <c r="L37" i="26"/>
  <c r="L39" i="26" s="1"/>
  <c r="L40" i="26" s="1"/>
  <c r="L38" i="26" l="1"/>
  <c r="M37" i="26"/>
  <c r="M39" i="26" s="1"/>
  <c r="M40" i="26" s="1"/>
  <c r="M38" i="26" l="1"/>
  <c r="N37" i="26"/>
  <c r="N39" i="26" s="1"/>
  <c r="N40" i="26" s="1"/>
  <c r="N38" i="26" l="1"/>
  <c r="E14" i="28" l="1"/>
  <c r="AU65" i="28"/>
  <c r="AT65" i="28"/>
  <c r="AS65" i="28"/>
  <c r="AR65" i="28"/>
  <c r="AQ65" i="28"/>
  <c r="AP65" i="28"/>
  <c r="AO65" i="28"/>
  <c r="AN65" i="28"/>
  <c r="AM65" i="28"/>
  <c r="AL65" i="28"/>
  <c r="AK65" i="28"/>
  <c r="AJ65" i="28"/>
  <c r="AI65" i="28"/>
  <c r="AH65" i="28"/>
  <c r="AG65" i="28"/>
  <c r="AF65" i="28"/>
  <c r="AE65" i="28"/>
  <c r="AD65" i="28"/>
  <c r="AC65" i="28"/>
  <c r="AB65" i="28"/>
  <c r="AA65" i="28"/>
  <c r="Z65" i="28"/>
  <c r="Y65" i="28"/>
  <c r="X65" i="28"/>
  <c r="W65" i="28"/>
  <c r="V65" i="28"/>
  <c r="U65" i="28"/>
  <c r="T65" i="28"/>
  <c r="S65" i="28"/>
  <c r="R65" i="28"/>
  <c r="Q65" i="28"/>
  <c r="P65" i="28"/>
  <c r="O65" i="28"/>
  <c r="N65" i="28"/>
  <c r="M65" i="28"/>
  <c r="L65" i="28"/>
  <c r="K65" i="28"/>
  <c r="J65" i="28"/>
  <c r="I65" i="28"/>
  <c r="H65" i="28"/>
  <c r="G65" i="28"/>
  <c r="F65" i="28"/>
  <c r="E65" i="28"/>
  <c r="D65" i="28"/>
  <c r="AU64" i="28"/>
  <c r="AT64" i="28"/>
  <c r="AS64" i="28"/>
  <c r="AR64" i="28"/>
  <c r="AQ64" i="28"/>
  <c r="AP64" i="28"/>
  <c r="AO64" i="28"/>
  <c r="AN64" i="28"/>
  <c r="AM64" i="28"/>
  <c r="AL64" i="28"/>
  <c r="AK64" i="28"/>
  <c r="AJ64" i="28"/>
  <c r="AI64" i="28"/>
  <c r="AH64" i="28"/>
  <c r="AG64" i="28"/>
  <c r="AF64" i="28"/>
  <c r="AE64" i="28"/>
  <c r="AD64" i="28"/>
  <c r="AC64" i="28"/>
  <c r="AB64" i="28"/>
  <c r="AA64" i="28"/>
  <c r="Z64" i="28"/>
  <c r="Y64" i="28"/>
  <c r="X64" i="28"/>
  <c r="W64" i="28"/>
  <c r="V64" i="28"/>
  <c r="U64" i="28"/>
  <c r="T64" i="28"/>
  <c r="S64" i="28"/>
  <c r="R64" i="28"/>
  <c r="Q64" i="28"/>
  <c r="P64" i="28"/>
  <c r="O64" i="28"/>
  <c r="N64" i="28"/>
  <c r="M64" i="28"/>
  <c r="L64" i="28"/>
  <c r="K64" i="28"/>
  <c r="J64" i="28"/>
  <c r="I64" i="28"/>
  <c r="H64" i="28"/>
  <c r="G64" i="28"/>
  <c r="F64" i="28"/>
  <c r="E64" i="28"/>
  <c r="D64" i="28"/>
  <c r="AU63" i="28"/>
  <c r="AT63" i="28"/>
  <c r="AS63" i="28"/>
  <c r="AR63" i="28"/>
  <c r="AQ63" i="28"/>
  <c r="AP63" i="28"/>
  <c r="AO63" i="28"/>
  <c r="AN63" i="28"/>
  <c r="AM63" i="28"/>
  <c r="AL63" i="28"/>
  <c r="AK63" i="28"/>
  <c r="AJ63" i="28"/>
  <c r="AI63" i="28"/>
  <c r="AH63" i="28"/>
  <c r="AG63" i="28"/>
  <c r="AF63" i="28"/>
  <c r="AE63" i="28"/>
  <c r="AD63" i="28"/>
  <c r="AC63" i="28"/>
  <c r="AB63" i="28"/>
  <c r="AA63" i="28"/>
  <c r="Z63" i="28"/>
  <c r="Y63" i="28"/>
  <c r="X63" i="28"/>
  <c r="W63" i="28"/>
  <c r="V63" i="28"/>
  <c r="U63" i="28"/>
  <c r="T63" i="28"/>
  <c r="S63" i="28"/>
  <c r="R63" i="28"/>
  <c r="Q63" i="28"/>
  <c r="P63" i="28"/>
  <c r="O63" i="28"/>
  <c r="N63" i="28"/>
  <c r="M63" i="28"/>
  <c r="L63" i="28"/>
  <c r="K63" i="28"/>
  <c r="J63" i="28"/>
  <c r="I63" i="28"/>
  <c r="H63" i="28"/>
  <c r="G63" i="28"/>
  <c r="F63" i="28"/>
  <c r="E63" i="28"/>
  <c r="D63" i="28"/>
  <c r="AU62" i="28"/>
  <c r="AT62" i="28"/>
  <c r="AS62" i="28"/>
  <c r="AR62" i="28"/>
  <c r="AQ62" i="28"/>
  <c r="AP62" i="28"/>
  <c r="AO62" i="28"/>
  <c r="AN62" i="28"/>
  <c r="AM62" i="28"/>
  <c r="AL62" i="28"/>
  <c r="AK62" i="28"/>
  <c r="AJ62" i="28"/>
  <c r="AI62" i="28"/>
  <c r="AH62" i="28"/>
  <c r="AG62" i="28"/>
  <c r="AF62" i="28"/>
  <c r="AE62" i="28"/>
  <c r="AD62" i="28"/>
  <c r="AC62" i="28"/>
  <c r="AB62" i="28"/>
  <c r="AA62" i="28"/>
  <c r="Z62" i="28"/>
  <c r="Y62" i="28"/>
  <c r="X62" i="28"/>
  <c r="W62" i="28"/>
  <c r="V62" i="28"/>
  <c r="U62" i="28"/>
  <c r="T62" i="28"/>
  <c r="S62" i="28"/>
  <c r="R62" i="28"/>
  <c r="Q62" i="28"/>
  <c r="P62" i="28"/>
  <c r="O62" i="28"/>
  <c r="N62" i="28"/>
  <c r="M62" i="28"/>
  <c r="L62" i="28"/>
  <c r="K62" i="28"/>
  <c r="J62" i="28"/>
  <c r="I62" i="28"/>
  <c r="H62" i="28"/>
  <c r="G62" i="28"/>
  <c r="F62" i="28"/>
  <c r="E62" i="28"/>
  <c r="D62" i="28"/>
  <c r="AU61" i="28"/>
  <c r="AT61" i="28"/>
  <c r="AS61" i="28"/>
  <c r="AR61" i="28"/>
  <c r="AQ61" i="28"/>
  <c r="AP61" i="28"/>
  <c r="AO61" i="28"/>
  <c r="AN61" i="28"/>
  <c r="AM61" i="28"/>
  <c r="AL61" i="28"/>
  <c r="AK61" i="28"/>
  <c r="AJ61" i="28"/>
  <c r="AI61" i="28"/>
  <c r="AH61" i="28"/>
  <c r="AG61" i="28"/>
  <c r="AF61" i="28"/>
  <c r="AE61" i="28"/>
  <c r="AD61" i="28"/>
  <c r="AC61" i="28"/>
  <c r="AB61" i="28"/>
  <c r="AA61" i="28"/>
  <c r="Z61" i="28"/>
  <c r="Y61" i="28"/>
  <c r="X61" i="28"/>
  <c r="W61" i="28"/>
  <c r="V61" i="28"/>
  <c r="U61" i="28"/>
  <c r="T61" i="28"/>
  <c r="S61" i="28"/>
  <c r="R61" i="28"/>
  <c r="Q61" i="28"/>
  <c r="P61" i="28"/>
  <c r="O61" i="28"/>
  <c r="N61" i="28"/>
  <c r="M61" i="28"/>
  <c r="L61" i="28"/>
  <c r="K61" i="28"/>
  <c r="J61" i="28"/>
  <c r="I61" i="28"/>
  <c r="H61" i="28"/>
  <c r="G61" i="28"/>
  <c r="F61" i="28"/>
  <c r="E61" i="28"/>
  <c r="D61" i="28"/>
  <c r="AU56" i="28"/>
  <c r="AT56" i="28"/>
  <c r="AS56" i="28"/>
  <c r="AR56" i="28"/>
  <c r="AQ56" i="28"/>
  <c r="AP56" i="28"/>
  <c r="AO56" i="28"/>
  <c r="AN56" i="28"/>
  <c r="AM56" i="28"/>
  <c r="AL56" i="28"/>
  <c r="AK56" i="28"/>
  <c r="AJ56" i="28"/>
  <c r="AI56" i="28"/>
  <c r="AH56" i="28"/>
  <c r="AG56" i="28"/>
  <c r="AF56" i="28"/>
  <c r="AE56" i="28"/>
  <c r="AD56" i="28"/>
  <c r="AC56" i="28"/>
  <c r="AB56" i="28"/>
  <c r="AA56" i="28"/>
  <c r="Z56" i="28"/>
  <c r="Y56" i="28"/>
  <c r="X56" i="28"/>
  <c r="W56" i="28"/>
  <c r="V56" i="28"/>
  <c r="U56" i="28"/>
  <c r="T56" i="28"/>
  <c r="S56" i="28"/>
  <c r="R56" i="28"/>
  <c r="P56" i="28"/>
  <c r="O56" i="28"/>
  <c r="N56" i="28"/>
  <c r="M56" i="28"/>
  <c r="L56" i="28"/>
  <c r="K56" i="28"/>
  <c r="J56" i="28"/>
  <c r="I56" i="28"/>
  <c r="H56" i="28"/>
  <c r="G56" i="28"/>
  <c r="F56" i="28"/>
  <c r="E56" i="28"/>
  <c r="D56" i="28"/>
  <c r="AU28" i="28"/>
  <c r="AT28" i="28"/>
  <c r="AS28" i="28"/>
  <c r="AR28" i="28"/>
  <c r="AQ28" i="28"/>
  <c r="AP28" i="28"/>
  <c r="AO28" i="28"/>
  <c r="AN28" i="28"/>
  <c r="AM28" i="28"/>
  <c r="AL28" i="28"/>
  <c r="AK28" i="28"/>
  <c r="AJ28" i="28"/>
  <c r="AI28" i="28"/>
  <c r="AH28" i="28"/>
  <c r="AG28" i="28"/>
  <c r="AF28" i="28"/>
  <c r="AE28" i="28"/>
  <c r="AD28" i="28"/>
  <c r="AC28" i="28"/>
  <c r="AB28" i="28"/>
  <c r="AA28" i="28"/>
  <c r="Z28" i="28"/>
  <c r="Y28" i="28"/>
  <c r="X28" i="28"/>
  <c r="W28" i="28"/>
  <c r="V28" i="28"/>
  <c r="U28" i="28"/>
  <c r="T28" i="28"/>
  <c r="S28" i="28"/>
  <c r="R28" i="28"/>
  <c r="Q28" i="28"/>
  <c r="P28" i="28"/>
  <c r="O28" i="28"/>
  <c r="N28" i="28"/>
  <c r="M28" i="28"/>
  <c r="L28" i="28"/>
  <c r="K28" i="28"/>
  <c r="J28" i="28"/>
  <c r="I28" i="28"/>
  <c r="H28" i="28"/>
  <c r="G28" i="28"/>
  <c r="F28" i="28"/>
  <c r="E28" i="28"/>
  <c r="D28" i="28"/>
  <c r="AU19" i="28"/>
  <c r="AT19" i="28"/>
  <c r="AS19" i="28"/>
  <c r="AR19" i="28"/>
  <c r="AQ19" i="28"/>
  <c r="AP19" i="28"/>
  <c r="AO19" i="28"/>
  <c r="AN19" i="28"/>
  <c r="AM19" i="28"/>
  <c r="AL19" i="28"/>
  <c r="AK19" i="28"/>
  <c r="AJ19" i="28"/>
  <c r="AI19" i="28"/>
  <c r="AH19" i="28"/>
  <c r="AG19" i="28"/>
  <c r="AF19" i="28"/>
  <c r="AE19" i="28"/>
  <c r="AD19" i="28"/>
  <c r="AC19" i="28"/>
  <c r="AB19" i="28"/>
  <c r="AA19" i="28"/>
  <c r="Z19" i="28"/>
  <c r="Y19" i="28"/>
  <c r="X19" i="28"/>
  <c r="W19" i="28"/>
  <c r="V19" i="28"/>
  <c r="S19" i="28"/>
  <c r="R19" i="28"/>
  <c r="Q19" i="28"/>
  <c r="P19" i="28"/>
  <c r="O19" i="28"/>
  <c r="N19" i="28"/>
  <c r="M19" i="28"/>
  <c r="K19" i="28"/>
  <c r="K31" i="28" s="1"/>
  <c r="J19" i="28"/>
  <c r="I19" i="28"/>
  <c r="H19" i="28"/>
  <c r="G19" i="28"/>
  <c r="F19" i="28"/>
  <c r="E19" i="28"/>
  <c r="D19" i="28"/>
  <c r="AU18" i="28"/>
  <c r="AT18" i="28"/>
  <c r="AS18" i="28"/>
  <c r="AR18" i="28"/>
  <c r="AQ18" i="28"/>
  <c r="AP18" i="28"/>
  <c r="AP35" i="28" s="1"/>
  <c r="AR67" i="27" s="1"/>
  <c r="AO18" i="28"/>
  <c r="AN18" i="28"/>
  <c r="AM18" i="28"/>
  <c r="AL18" i="28"/>
  <c r="AK18" i="28"/>
  <c r="AJ18" i="28"/>
  <c r="AI18" i="28"/>
  <c r="AH18" i="28"/>
  <c r="AG18" i="28"/>
  <c r="AF18" i="28"/>
  <c r="AE18" i="28"/>
  <c r="AE35" i="28" s="1"/>
  <c r="AG67" i="27" s="1"/>
  <c r="AD18" i="28"/>
  <c r="AC18" i="28"/>
  <c r="AB18" i="28"/>
  <c r="AA18" i="28"/>
  <c r="AA35" i="28" s="1"/>
  <c r="AC67" i="27" s="1"/>
  <c r="Z18" i="28"/>
  <c r="Y18" i="28"/>
  <c r="X18" i="28"/>
  <c r="W18" i="28"/>
  <c r="V18" i="28"/>
  <c r="U18" i="28"/>
  <c r="T18" i="28"/>
  <c r="S18" i="28"/>
  <c r="R18" i="28"/>
  <c r="Q18" i="28"/>
  <c r="P18" i="28"/>
  <c r="O18" i="28"/>
  <c r="N18" i="28"/>
  <c r="M18" i="28"/>
  <c r="L35" i="28"/>
  <c r="N67" i="27" s="1"/>
  <c r="K18" i="28"/>
  <c r="J18" i="28"/>
  <c r="I18" i="28"/>
  <c r="H18" i="28"/>
  <c r="G18" i="28"/>
  <c r="F18" i="28"/>
  <c r="E18" i="28"/>
  <c r="D18" i="28"/>
  <c r="AU17" i="28"/>
  <c r="AT17" i="28"/>
  <c r="AS17" i="28"/>
  <c r="AR17" i="28"/>
  <c r="AQ17" i="28"/>
  <c r="AP17" i="28"/>
  <c r="AO17" i="28"/>
  <c r="AN17" i="28"/>
  <c r="AM17" i="28"/>
  <c r="AL17" i="28"/>
  <c r="AK17" i="28"/>
  <c r="AJ17" i="28"/>
  <c r="AI17" i="28"/>
  <c r="AH17" i="28"/>
  <c r="AG17" i="28"/>
  <c r="AF17" i="28"/>
  <c r="AE17" i="28"/>
  <c r="AD17" i="28"/>
  <c r="AC17" i="28"/>
  <c r="AB17" i="28"/>
  <c r="AA17" i="28"/>
  <c r="Z17" i="28"/>
  <c r="Y17" i="28"/>
  <c r="X17" i="28"/>
  <c r="W17" i="28"/>
  <c r="V17" i="28"/>
  <c r="U17" i="28"/>
  <c r="T17" i="28"/>
  <c r="S17" i="28"/>
  <c r="R17" i="28"/>
  <c r="Q17" i="28"/>
  <c r="P17" i="28"/>
  <c r="O17" i="28"/>
  <c r="O34" i="28" s="1"/>
  <c r="Q57" i="27" s="1"/>
  <c r="N17" i="28"/>
  <c r="N34" i="28" s="1"/>
  <c r="P57" i="27" s="1"/>
  <c r="M17" i="28"/>
  <c r="L34" i="28"/>
  <c r="N57" i="27" s="1"/>
  <c r="K17" i="28"/>
  <c r="J17" i="28"/>
  <c r="J34" i="28" s="1"/>
  <c r="L57" i="27" s="1"/>
  <c r="I17" i="28"/>
  <c r="H17" i="28"/>
  <c r="G17" i="28"/>
  <c r="G34" i="28" s="1"/>
  <c r="I57" i="27" s="1"/>
  <c r="F17" i="28"/>
  <c r="F34" i="28" s="1"/>
  <c r="H57" i="27" s="1"/>
  <c r="E17" i="28"/>
  <c r="D17" i="28"/>
  <c r="AU16" i="28"/>
  <c r="AT16" i="28"/>
  <c r="AS16" i="28"/>
  <c r="AR16" i="28"/>
  <c r="AQ16" i="28"/>
  <c r="AQ33" i="28" s="1"/>
  <c r="AS47" i="27" s="1"/>
  <c r="AP16" i="28"/>
  <c r="AO16" i="28"/>
  <c r="AN16" i="28"/>
  <c r="AM16" i="28"/>
  <c r="AL16" i="28"/>
  <c r="AK16" i="28"/>
  <c r="AJ16" i="28"/>
  <c r="AI16" i="28"/>
  <c r="AH16" i="28"/>
  <c r="AG16" i="28"/>
  <c r="AF16" i="28"/>
  <c r="AE16" i="28"/>
  <c r="AE33" i="28" s="1"/>
  <c r="AG47" i="27" s="1"/>
  <c r="AD16" i="28"/>
  <c r="AC16" i="28"/>
  <c r="AB16" i="28"/>
  <c r="AA16" i="28"/>
  <c r="AA33" i="28" s="1"/>
  <c r="AC47" i="27" s="1"/>
  <c r="Z16" i="28"/>
  <c r="Y16" i="28"/>
  <c r="X16" i="28"/>
  <c r="W16" i="28"/>
  <c r="V16" i="28"/>
  <c r="V33" i="28" s="1"/>
  <c r="X47" i="27" s="1"/>
  <c r="U16" i="28"/>
  <c r="T16" i="28"/>
  <c r="S16" i="28"/>
  <c r="R16" i="28"/>
  <c r="Q16" i="28"/>
  <c r="P16" i="28"/>
  <c r="O16" i="28"/>
  <c r="N16" i="28"/>
  <c r="M16" i="28"/>
  <c r="L33" i="28"/>
  <c r="N47" i="27" s="1"/>
  <c r="K16" i="28"/>
  <c r="J16" i="28"/>
  <c r="I16" i="28"/>
  <c r="H16" i="28"/>
  <c r="G16" i="28"/>
  <c r="G33" i="28" s="1"/>
  <c r="I47" i="27" s="1"/>
  <c r="F16" i="28"/>
  <c r="E16" i="28"/>
  <c r="D16" i="28"/>
  <c r="AU15" i="28"/>
  <c r="AT15" i="28"/>
  <c r="AS15" i="28"/>
  <c r="AR15" i="28"/>
  <c r="AQ15" i="28"/>
  <c r="AQ32" i="28" s="1"/>
  <c r="AS37" i="27" s="1"/>
  <c r="AP15" i="28"/>
  <c r="AO15" i="28"/>
  <c r="AN15" i="28"/>
  <c r="AM15" i="28"/>
  <c r="AM32" i="28" s="1"/>
  <c r="AO37" i="27" s="1"/>
  <c r="AL15" i="28"/>
  <c r="AK15" i="28"/>
  <c r="AJ15" i="28"/>
  <c r="AI15" i="28"/>
  <c r="AH15" i="28"/>
  <c r="AG15" i="28"/>
  <c r="AF15" i="28"/>
  <c r="AE15" i="28"/>
  <c r="AD15" i="28"/>
  <c r="AC15" i="28"/>
  <c r="AB15" i="28"/>
  <c r="AA15" i="28"/>
  <c r="Z15" i="28"/>
  <c r="Y15" i="28"/>
  <c r="X15" i="28"/>
  <c r="W15" i="28"/>
  <c r="V15" i="28"/>
  <c r="U15" i="28"/>
  <c r="T15" i="28"/>
  <c r="S15" i="28"/>
  <c r="R15" i="28"/>
  <c r="Q15" i="28"/>
  <c r="P15" i="28"/>
  <c r="O15" i="28"/>
  <c r="O32" i="28" s="1"/>
  <c r="Q37" i="27" s="1"/>
  <c r="N15" i="28"/>
  <c r="N32" i="28" s="1"/>
  <c r="P37" i="27" s="1"/>
  <c r="M15" i="28"/>
  <c r="L32" i="28"/>
  <c r="N37" i="27" s="1"/>
  <c r="K15" i="28"/>
  <c r="K32" i="28" s="1"/>
  <c r="M37" i="27" s="1"/>
  <c r="J15" i="28"/>
  <c r="J32" i="28" s="1"/>
  <c r="L37" i="27" s="1"/>
  <c r="I15" i="28"/>
  <c r="H15" i="28"/>
  <c r="G15" i="28"/>
  <c r="G32" i="28" s="1"/>
  <c r="I37" i="27" s="1"/>
  <c r="F15" i="28"/>
  <c r="F32" i="28" s="1"/>
  <c r="H37" i="27" s="1"/>
  <c r="E15" i="28"/>
  <c r="E32" i="28" s="1"/>
  <c r="D15" i="28"/>
  <c r="D32" i="28" s="1"/>
  <c r="AT14" i="28"/>
  <c r="AS14" i="28"/>
  <c r="AR14" i="28"/>
  <c r="AQ14" i="28"/>
  <c r="AQ31" i="28" s="1"/>
  <c r="AS27" i="27" s="1"/>
  <c r="AP14" i="28"/>
  <c r="AP31" i="28" s="1"/>
  <c r="AR27" i="27" s="1"/>
  <c r="AO14" i="28"/>
  <c r="AN14" i="28"/>
  <c r="AM14" i="28"/>
  <c r="AM31" i="28" s="1"/>
  <c r="AO27" i="27" s="1"/>
  <c r="AL14" i="28"/>
  <c r="AL31" i="28" s="1"/>
  <c r="AN27" i="27" s="1"/>
  <c r="AK14" i="28"/>
  <c r="AJ14" i="28"/>
  <c r="AJ31" i="28" s="1"/>
  <c r="AL27" i="27" s="1"/>
  <c r="AI14" i="28"/>
  <c r="AH14" i="28"/>
  <c r="AG14" i="28"/>
  <c r="AF14" i="28"/>
  <c r="AE14" i="28"/>
  <c r="AD14" i="28"/>
  <c r="AC14" i="28"/>
  <c r="AB14" i="28"/>
  <c r="AA14" i="28"/>
  <c r="Z14" i="28"/>
  <c r="Y14" i="28"/>
  <c r="X14" i="28"/>
  <c r="W14" i="28"/>
  <c r="V14" i="28"/>
  <c r="U14" i="28"/>
  <c r="T14" i="28"/>
  <c r="S14" i="28"/>
  <c r="R14" i="28"/>
  <c r="Q14" i="28"/>
  <c r="P14" i="28"/>
  <c r="O14" i="28"/>
  <c r="N14" i="28"/>
  <c r="M14" i="28"/>
  <c r="L31" i="28"/>
  <c r="N27" i="27" s="1"/>
  <c r="J14" i="28"/>
  <c r="J31" i="28" s="1"/>
  <c r="I14" i="28"/>
  <c r="H14" i="28"/>
  <c r="G14" i="28"/>
  <c r="G31" i="28" s="1"/>
  <c r="I27" i="27" s="1"/>
  <c r="F14" i="28"/>
  <c r="D14" i="28"/>
  <c r="AW11" i="28"/>
  <c r="AU11" i="28"/>
  <c r="AT11" i="28"/>
  <c r="AS11" i="28"/>
  <c r="AR11" i="28"/>
  <c r="AQ11" i="28"/>
  <c r="AP11" i="28"/>
  <c r="AO11" i="28"/>
  <c r="AN11" i="28"/>
  <c r="AM11" i="28"/>
  <c r="AL11" i="28"/>
  <c r="AK11" i="28"/>
  <c r="AJ11" i="28"/>
  <c r="AI11" i="28"/>
  <c r="AH11" i="28"/>
  <c r="AG11" i="28"/>
  <c r="AF11" i="28"/>
  <c r="AE11" i="28"/>
  <c r="AD11" i="28"/>
  <c r="AC11" i="28"/>
  <c r="AB11" i="28"/>
  <c r="AA11" i="28"/>
  <c r="Z11" i="28"/>
  <c r="Y11" i="28"/>
  <c r="X11" i="28"/>
  <c r="W11" i="28"/>
  <c r="V11" i="28"/>
  <c r="U11" i="28"/>
  <c r="S11" i="28"/>
  <c r="R11" i="28"/>
  <c r="Q11" i="28"/>
  <c r="P11" i="28"/>
  <c r="O11" i="28"/>
  <c r="N11" i="28"/>
  <c r="M11" i="28"/>
  <c r="L11" i="28"/>
  <c r="K11" i="28"/>
  <c r="J11" i="28"/>
  <c r="I11" i="28"/>
  <c r="H11" i="28"/>
  <c r="G11" i="28"/>
  <c r="F11" i="28"/>
  <c r="E11" i="28"/>
  <c r="D11" i="28"/>
  <c r="U19" i="28"/>
  <c r="F37" i="27" l="1"/>
  <c r="H35" i="28"/>
  <c r="J67" i="27" s="1"/>
  <c r="H34" i="28"/>
  <c r="J57" i="27" s="1"/>
  <c r="P34" i="28"/>
  <c r="R57" i="27" s="1"/>
  <c r="P31" i="28"/>
  <c r="R27" i="27" s="1"/>
  <c r="AF31" i="28"/>
  <c r="AH27" i="27" s="1"/>
  <c r="H33" i="28"/>
  <c r="J47" i="27" s="1"/>
  <c r="P33" i="28"/>
  <c r="R47" i="27" s="1"/>
  <c r="AF33" i="28"/>
  <c r="AH47" i="27" s="1"/>
  <c r="AN33" i="28"/>
  <c r="AP47" i="27" s="1"/>
  <c r="H31" i="28"/>
  <c r="J27" i="27" s="1"/>
  <c r="R31" i="28"/>
  <c r="T27" i="27" s="1"/>
  <c r="H32" i="28"/>
  <c r="J37" i="27" s="1"/>
  <c r="P32" i="28"/>
  <c r="R37" i="27" s="1"/>
  <c r="AF32" i="28"/>
  <c r="AH37" i="27" s="1"/>
  <c r="K34" i="28"/>
  <c r="M57" i="27" s="1"/>
  <c r="R35" i="28"/>
  <c r="T67" i="27" s="1"/>
  <c r="AJ35" i="28"/>
  <c r="AL67" i="27" s="1"/>
  <c r="AJ34" i="28"/>
  <c r="AL57" i="27" s="1"/>
  <c r="Y66" i="28"/>
  <c r="Y70" i="28" s="1"/>
  <c r="AA38" i="27" s="1"/>
  <c r="AA39" i="27" s="1"/>
  <c r="Y72" i="28"/>
  <c r="AA58" i="27" s="1"/>
  <c r="AA59" i="27" s="1"/>
  <c r="E66" i="28"/>
  <c r="E72" i="28" s="1"/>
  <c r="AK66" i="28"/>
  <c r="AK73" i="28" s="1"/>
  <c r="AU33" i="28"/>
  <c r="AW47" i="27" s="1"/>
  <c r="AU31" i="28"/>
  <c r="AW27" i="27" s="1"/>
  <c r="AU66" i="28"/>
  <c r="AU69" i="28" s="1"/>
  <c r="AU32" i="28"/>
  <c r="AW37" i="27" s="1"/>
  <c r="AU35" i="28"/>
  <c r="AW67" i="27" s="1"/>
  <c r="AU34" i="28"/>
  <c r="AW57" i="27" s="1"/>
  <c r="AT31" i="28"/>
  <c r="AV27" i="27" s="1"/>
  <c r="AT35" i="28"/>
  <c r="AV67" i="27" s="1"/>
  <c r="AT66" i="28"/>
  <c r="AT72" i="28" s="1"/>
  <c r="AT33" i="28"/>
  <c r="AV47" i="27" s="1"/>
  <c r="AT34" i="28"/>
  <c r="AV57" i="27" s="1"/>
  <c r="AT32" i="28"/>
  <c r="AV37" i="27" s="1"/>
  <c r="AS34" i="28"/>
  <c r="AU57" i="27" s="1"/>
  <c r="AS33" i="28"/>
  <c r="AU47" i="27" s="1"/>
  <c r="AS66" i="28"/>
  <c r="AS71" i="28" s="1"/>
  <c r="AS32" i="28"/>
  <c r="AU37" i="27" s="1"/>
  <c r="AS35" i="28"/>
  <c r="AU67" i="27" s="1"/>
  <c r="AR32" i="28"/>
  <c r="AT37" i="27" s="1"/>
  <c r="AR33" i="28"/>
  <c r="AT47" i="27" s="1"/>
  <c r="AR35" i="28"/>
  <c r="AT67" i="27" s="1"/>
  <c r="AR66" i="28"/>
  <c r="AR70" i="28" s="1"/>
  <c r="AR34" i="28"/>
  <c r="AT57" i="27" s="1"/>
  <c r="AQ35" i="28"/>
  <c r="AS67" i="27" s="1"/>
  <c r="AQ34" i="28"/>
  <c r="AS57" i="27" s="1"/>
  <c r="AQ66" i="28"/>
  <c r="AQ72" i="28" s="1"/>
  <c r="AP34" i="28"/>
  <c r="AR57" i="27" s="1"/>
  <c r="AP33" i="28"/>
  <c r="AR47" i="27" s="1"/>
  <c r="AP66" i="28"/>
  <c r="AP70" i="28" s="1"/>
  <c r="AP32" i="28"/>
  <c r="AR37" i="27" s="1"/>
  <c r="AO33" i="28"/>
  <c r="AQ47" i="27" s="1"/>
  <c r="AO66" i="28"/>
  <c r="AO71" i="28" s="1"/>
  <c r="AO32" i="28"/>
  <c r="AQ37" i="27" s="1"/>
  <c r="AO35" i="28"/>
  <c r="AQ67" i="27" s="1"/>
  <c r="AO34" i="28"/>
  <c r="AQ57" i="27" s="1"/>
  <c r="AN32" i="28"/>
  <c r="AP37" i="27" s="1"/>
  <c r="AN31" i="28"/>
  <c r="AP27" i="27" s="1"/>
  <c r="AN35" i="28"/>
  <c r="AP67" i="27" s="1"/>
  <c r="AN34" i="28"/>
  <c r="AP57" i="27" s="1"/>
  <c r="AM35" i="28"/>
  <c r="AO67" i="27" s="1"/>
  <c r="AM34" i="28"/>
  <c r="AO57" i="27" s="1"/>
  <c r="AM33" i="28"/>
  <c r="AO47" i="27" s="1"/>
  <c r="AL33" i="28"/>
  <c r="AN47" i="27" s="1"/>
  <c r="AJ33" i="28"/>
  <c r="AL47" i="27" s="1"/>
  <c r="AJ32" i="28"/>
  <c r="AL37" i="27" s="1"/>
  <c r="AI33" i="28"/>
  <c r="AK47" i="27" s="1"/>
  <c r="AI34" i="28"/>
  <c r="AK57" i="27" s="1"/>
  <c r="AI32" i="28"/>
  <c r="AK37" i="27" s="1"/>
  <c r="AI35" i="28"/>
  <c r="AK67" i="27" s="1"/>
  <c r="AH31" i="28"/>
  <c r="AJ27" i="27" s="1"/>
  <c r="AH35" i="28"/>
  <c r="AJ67" i="27" s="1"/>
  <c r="AI20" i="28"/>
  <c r="AH66" i="28"/>
  <c r="AH70" i="28" s="1"/>
  <c r="AJ38" i="27" s="1"/>
  <c r="AJ39" i="27" s="1"/>
  <c r="AJ40" i="27" s="1"/>
  <c r="AG66" i="28"/>
  <c r="AG70" i="28" s="1"/>
  <c r="AI38" i="27" s="1"/>
  <c r="AI39" i="27" s="1"/>
  <c r="AI40" i="27" s="1"/>
  <c r="AF34" i="28"/>
  <c r="AH57" i="27" s="1"/>
  <c r="AF35" i="28"/>
  <c r="AH67" i="27" s="1"/>
  <c r="AE20" i="28"/>
  <c r="AD33" i="28"/>
  <c r="AF47" i="27" s="1"/>
  <c r="AD20" i="28"/>
  <c r="AC66" i="28"/>
  <c r="AC72" i="28" s="1"/>
  <c r="AE58" i="27" s="1"/>
  <c r="AE59" i="27" s="1"/>
  <c r="AB33" i="28"/>
  <c r="AD47" i="27" s="1"/>
  <c r="AB32" i="28"/>
  <c r="AD37" i="27" s="1"/>
  <c r="AB35" i="28"/>
  <c r="AD67" i="27" s="1"/>
  <c r="AB31" i="28"/>
  <c r="AD27" i="27" s="1"/>
  <c r="AB34" i="28"/>
  <c r="AD57" i="27" s="1"/>
  <c r="Z35" i="28"/>
  <c r="AB67" i="27" s="1"/>
  <c r="AA20" i="28"/>
  <c r="Z20" i="28"/>
  <c r="X34" i="28"/>
  <c r="Z57" i="27" s="1"/>
  <c r="X33" i="28"/>
  <c r="Z47" i="27" s="1"/>
  <c r="X32" i="28"/>
  <c r="Z37" i="27" s="1"/>
  <c r="X31" i="28"/>
  <c r="Z27" i="27" s="1"/>
  <c r="X35" i="28"/>
  <c r="Z67" i="27" s="1"/>
  <c r="W33" i="28"/>
  <c r="Y47" i="27" s="1"/>
  <c r="W31" i="28"/>
  <c r="Y27" i="27" s="1"/>
  <c r="W35" i="28"/>
  <c r="Y67" i="27" s="1"/>
  <c r="V31" i="28"/>
  <c r="X27" i="27" s="1"/>
  <c r="V66" i="28"/>
  <c r="V73" i="28" s="1"/>
  <c r="X68" i="27" s="1"/>
  <c r="X69" i="27" s="1"/>
  <c r="U66" i="28"/>
  <c r="U72" i="28" s="1"/>
  <c r="W58" i="27" s="1"/>
  <c r="W59" i="27" s="1"/>
  <c r="S32" i="28"/>
  <c r="U37" i="27" s="1"/>
  <c r="S33" i="28"/>
  <c r="U47" i="27" s="1"/>
  <c r="S35" i="28"/>
  <c r="U67" i="27" s="1"/>
  <c r="S34" i="28"/>
  <c r="U57" i="27" s="1"/>
  <c r="S20" i="28"/>
  <c r="R32" i="28"/>
  <c r="T37" i="27" s="1"/>
  <c r="R34" i="28"/>
  <c r="T57" i="27" s="1"/>
  <c r="R66" i="28"/>
  <c r="R70" i="28" s="1"/>
  <c r="T38" i="27" s="1"/>
  <c r="T39" i="27" s="1"/>
  <c r="Q31" i="28"/>
  <c r="Q66" i="28"/>
  <c r="Q69" i="28" s="1"/>
  <c r="S28" i="27" s="1"/>
  <c r="S29" i="27" s="1"/>
  <c r="P35" i="28"/>
  <c r="R67" i="27" s="1"/>
  <c r="O33" i="28"/>
  <c r="Q47" i="27" s="1"/>
  <c r="O35" i="28"/>
  <c r="Q67" i="27" s="1"/>
  <c r="O20" i="28"/>
  <c r="N33" i="28"/>
  <c r="P47" i="27" s="1"/>
  <c r="M66" i="28"/>
  <c r="M72" i="28" s="1"/>
  <c r="O58" i="27" s="1"/>
  <c r="O59" i="27" s="1"/>
  <c r="N20" i="28"/>
  <c r="K20" i="28"/>
  <c r="K33" i="28"/>
  <c r="M47" i="27" s="1"/>
  <c r="K35" i="28"/>
  <c r="M67" i="27" s="1"/>
  <c r="J33" i="28"/>
  <c r="L47" i="27" s="1"/>
  <c r="J35" i="28"/>
  <c r="L67" i="27" s="1"/>
  <c r="J20" i="28"/>
  <c r="I66" i="28"/>
  <c r="I69" i="28" s="1"/>
  <c r="G35" i="28"/>
  <c r="I67" i="27" s="1"/>
  <c r="F31" i="28"/>
  <c r="H27" i="27" s="1"/>
  <c r="F33" i="28"/>
  <c r="H47" i="27" s="1"/>
  <c r="D33" i="28"/>
  <c r="D31" i="28"/>
  <c r="S31" i="28"/>
  <c r="U27" i="27" s="1"/>
  <c r="W32" i="28"/>
  <c r="Y37" i="27" s="1"/>
  <c r="AA32" i="28"/>
  <c r="AC37" i="27" s="1"/>
  <c r="AE32" i="28"/>
  <c r="AG37" i="27" s="1"/>
  <c r="W34" i="28"/>
  <c r="Y57" i="27" s="1"/>
  <c r="AA34" i="28"/>
  <c r="AC57" i="27" s="1"/>
  <c r="AE34" i="28"/>
  <c r="AG57" i="27" s="1"/>
  <c r="U32" i="28"/>
  <c r="W37" i="27" s="1"/>
  <c r="D20" i="28"/>
  <c r="D34" i="28"/>
  <c r="D35" i="28"/>
  <c r="F66" i="28"/>
  <c r="F69" i="28" s="1"/>
  <c r="AL66" i="28"/>
  <c r="AL72" i="28" s="1"/>
  <c r="D66" i="28"/>
  <c r="D69" i="28" s="1"/>
  <c r="H66" i="28"/>
  <c r="H73" i="28" s="1"/>
  <c r="L66" i="28"/>
  <c r="L71" i="28" s="1"/>
  <c r="N48" i="27" s="1"/>
  <c r="N49" i="27" s="1"/>
  <c r="P66" i="28"/>
  <c r="P73" i="28" s="1"/>
  <c r="R68" i="27" s="1"/>
  <c r="R69" i="27" s="1"/>
  <c r="T66" i="28"/>
  <c r="T71" i="28" s="1"/>
  <c r="V48" i="27" s="1"/>
  <c r="V49" i="27" s="1"/>
  <c r="X66" i="28"/>
  <c r="X71" i="28" s="1"/>
  <c r="Z48" i="27" s="1"/>
  <c r="Z49" i="27" s="1"/>
  <c r="AB66" i="28"/>
  <c r="AB71" i="28" s="1"/>
  <c r="AD48" i="27" s="1"/>
  <c r="AD49" i="27" s="1"/>
  <c r="AF66" i="28"/>
  <c r="AF73" i="28" s="1"/>
  <c r="AH68" i="27" s="1"/>
  <c r="AJ66" i="28"/>
  <c r="AJ69" i="28" s="1"/>
  <c r="AN66" i="28"/>
  <c r="AN73" i="28" s="1"/>
  <c r="J66" i="28"/>
  <c r="J71" i="28" s="1"/>
  <c r="N66" i="28"/>
  <c r="N70" i="28" s="1"/>
  <c r="P38" i="27" s="1"/>
  <c r="P39" i="27" s="1"/>
  <c r="Z66" i="28"/>
  <c r="Z69" i="28" s="1"/>
  <c r="AB28" i="27" s="1"/>
  <c r="AB29" i="27" s="1"/>
  <c r="AD66" i="28"/>
  <c r="AD72" i="28" s="1"/>
  <c r="AF58" i="27" s="1"/>
  <c r="AF59" i="27" s="1"/>
  <c r="AF60" i="27" s="1"/>
  <c r="Z33" i="28"/>
  <c r="AB47" i="27" s="1"/>
  <c r="AL35" i="28"/>
  <c r="AN67" i="27" s="1"/>
  <c r="AJ20" i="28"/>
  <c r="AD35" i="28"/>
  <c r="AF67" i="27" s="1"/>
  <c r="X20" i="28"/>
  <c r="F35" i="28"/>
  <c r="H67" i="27" s="1"/>
  <c r="N35" i="28"/>
  <c r="P67" i="27" s="1"/>
  <c r="R33" i="28"/>
  <c r="T47" i="27" s="1"/>
  <c r="AI31" i="28"/>
  <c r="V35" i="28"/>
  <c r="X67" i="27" s="1"/>
  <c r="AH33" i="28"/>
  <c r="AJ47" i="27" s="1"/>
  <c r="E20" i="28"/>
  <c r="M20" i="28"/>
  <c r="Q20" i="28"/>
  <c r="Y20" i="28"/>
  <c r="AC20" i="28"/>
  <c r="AK20" i="28"/>
  <c r="G37" i="27"/>
  <c r="AK32" i="28"/>
  <c r="AM37" i="27" s="1"/>
  <c r="I32" i="28"/>
  <c r="K37" i="27" s="1"/>
  <c r="M32" i="28"/>
  <c r="O37" i="27" s="1"/>
  <c r="Q32" i="28"/>
  <c r="S37" i="27" s="1"/>
  <c r="Y32" i="28"/>
  <c r="AA37" i="27" s="1"/>
  <c r="AC32" i="28"/>
  <c r="AE37" i="27" s="1"/>
  <c r="AG32" i="28"/>
  <c r="AI37" i="27" s="1"/>
  <c r="E34" i="28"/>
  <c r="G57" i="27" s="1"/>
  <c r="I34" i="28"/>
  <c r="K57" i="27" s="1"/>
  <c r="M34" i="28"/>
  <c r="O57" i="27" s="1"/>
  <c r="Q34" i="28"/>
  <c r="S57" i="27" s="1"/>
  <c r="U34" i="28"/>
  <c r="W57" i="27" s="1"/>
  <c r="Y34" i="28"/>
  <c r="AA57" i="27" s="1"/>
  <c r="AC34" i="28"/>
  <c r="AE57" i="27" s="1"/>
  <c r="AG34" i="28"/>
  <c r="AI57" i="27" s="1"/>
  <c r="AK34" i="28"/>
  <c r="AM57" i="27" s="1"/>
  <c r="H20" i="28"/>
  <c r="AN20" i="28"/>
  <c r="AD31" i="28"/>
  <c r="AF27" i="27" s="1"/>
  <c r="P36" i="28"/>
  <c r="AJ36" i="28"/>
  <c r="AR31" i="28"/>
  <c r="AR20" i="28"/>
  <c r="V32" i="28"/>
  <c r="X37" i="27" s="1"/>
  <c r="AD32" i="28"/>
  <c r="AF37" i="27" s="1"/>
  <c r="Z34" i="28"/>
  <c r="AB57" i="27" s="1"/>
  <c r="AH34" i="28"/>
  <c r="AJ57" i="27" s="1"/>
  <c r="L20" i="28"/>
  <c r="AB20" i="28"/>
  <c r="AT20" i="28"/>
  <c r="N31" i="28"/>
  <c r="P27" i="27" s="1"/>
  <c r="L36" i="28"/>
  <c r="Z32" i="28"/>
  <c r="AB37" i="27" s="1"/>
  <c r="AH32" i="28"/>
  <c r="AJ37" i="27" s="1"/>
  <c r="AL32" i="28"/>
  <c r="AN37" i="27" s="1"/>
  <c r="V34" i="28"/>
  <c r="X57" i="27" s="1"/>
  <c r="AD34" i="28"/>
  <c r="AF57" i="27" s="1"/>
  <c r="AL34" i="28"/>
  <c r="AN57" i="27" s="1"/>
  <c r="P20" i="28"/>
  <c r="AF20" i="28"/>
  <c r="I31" i="28"/>
  <c r="K27" i="27" s="1"/>
  <c r="U31" i="28"/>
  <c r="W27" i="27" s="1"/>
  <c r="AG31" i="28"/>
  <c r="AI27" i="27" s="1"/>
  <c r="AS31" i="28"/>
  <c r="AS20" i="28"/>
  <c r="E33" i="28"/>
  <c r="G47" i="27" s="1"/>
  <c r="I33" i="28"/>
  <c r="K47" i="27" s="1"/>
  <c r="M33" i="28"/>
  <c r="O47" i="27" s="1"/>
  <c r="Q33" i="28"/>
  <c r="S47" i="27" s="1"/>
  <c r="U33" i="28"/>
  <c r="W47" i="27" s="1"/>
  <c r="Y33" i="28"/>
  <c r="AA47" i="27" s="1"/>
  <c r="AC33" i="28"/>
  <c r="AE47" i="27" s="1"/>
  <c r="AG33" i="28"/>
  <c r="AI47" i="27" s="1"/>
  <c r="AK33" i="28"/>
  <c r="AM47" i="27" s="1"/>
  <c r="E35" i="28"/>
  <c r="G67" i="27" s="1"/>
  <c r="I35" i="28"/>
  <c r="K67" i="27" s="1"/>
  <c r="M35" i="28"/>
  <c r="O67" i="27" s="1"/>
  <c r="Q35" i="28"/>
  <c r="S67" i="27" s="1"/>
  <c r="U35" i="28"/>
  <c r="W67" i="27" s="1"/>
  <c r="Y35" i="28"/>
  <c r="AA67" i="27" s="1"/>
  <c r="AC35" i="28"/>
  <c r="AE67" i="27" s="1"/>
  <c r="AG35" i="28"/>
  <c r="AI67" i="27" s="1"/>
  <c r="AK35" i="28"/>
  <c r="AM67" i="27" s="1"/>
  <c r="I20" i="28"/>
  <c r="U20" i="28"/>
  <c r="AG20" i="28"/>
  <c r="AP20" i="28"/>
  <c r="AU20" i="28"/>
  <c r="L27" i="27"/>
  <c r="O31" i="28"/>
  <c r="Q27" i="27" s="1"/>
  <c r="Z31" i="28"/>
  <c r="AB27" i="27" s="1"/>
  <c r="AE31" i="28"/>
  <c r="AG27" i="27" s="1"/>
  <c r="E31" i="28"/>
  <c r="G27" i="27" s="1"/>
  <c r="M31" i="28"/>
  <c r="O27" i="27" s="1"/>
  <c r="AC31" i="28"/>
  <c r="AE27" i="27" s="1"/>
  <c r="AO31" i="28"/>
  <c r="AO20" i="28"/>
  <c r="T11" i="28"/>
  <c r="T19" i="28"/>
  <c r="T32" i="28" s="1"/>
  <c r="V37" i="27" s="1"/>
  <c r="F20" i="28"/>
  <c r="R20" i="28"/>
  <c r="V20" i="28"/>
  <c r="AH20" i="28"/>
  <c r="AL20" i="28"/>
  <c r="AQ20" i="28"/>
  <c r="M27" i="27"/>
  <c r="AA31" i="28"/>
  <c r="AC27" i="27" s="1"/>
  <c r="S27" i="27"/>
  <c r="Y31" i="28"/>
  <c r="AA27" i="27" s="1"/>
  <c r="AK31" i="28"/>
  <c r="AM27" i="27" s="1"/>
  <c r="AW20" i="28"/>
  <c r="G20" i="28"/>
  <c r="W20" i="28"/>
  <c r="AM20" i="28"/>
  <c r="Q56" i="28"/>
  <c r="G66" i="28"/>
  <c r="G69" i="28" s="1"/>
  <c r="K66" i="28"/>
  <c r="K73" i="28" s="1"/>
  <c r="O66" i="28"/>
  <c r="O71" i="28" s="1"/>
  <c r="Q48" i="27" s="1"/>
  <c r="Q49" i="27" s="1"/>
  <c r="S66" i="28"/>
  <c r="S73" i="28" s="1"/>
  <c r="U68" i="27" s="1"/>
  <c r="U69" i="27" s="1"/>
  <c r="W66" i="28"/>
  <c r="W73" i="28" s="1"/>
  <c r="Y68" i="27" s="1"/>
  <c r="Y69" i="27" s="1"/>
  <c r="AA66" i="28"/>
  <c r="AA69" i="28" s="1"/>
  <c r="AC28" i="27" s="1"/>
  <c r="AC29" i="27" s="1"/>
  <c r="AE66" i="28"/>
  <c r="AE73" i="28" s="1"/>
  <c r="AG68" i="27" s="1"/>
  <c r="AI66" i="28"/>
  <c r="AI71" i="28" s="1"/>
  <c r="AK48" i="27" s="1"/>
  <c r="AK49" i="27" s="1"/>
  <c r="AK50" i="27" s="1"/>
  <c r="AM66" i="28"/>
  <c r="AM69" i="28" s="1"/>
  <c r="AY27" i="1"/>
  <c r="AZ27" i="1"/>
  <c r="BA27" i="1"/>
  <c r="BB27" i="1"/>
  <c r="BC27" i="1"/>
  <c r="BD27" i="1"/>
  <c r="BE27" i="1"/>
  <c r="BF27" i="1"/>
  <c r="BG27" i="1"/>
  <c r="BH27" i="1"/>
  <c r="BI27" i="1"/>
  <c r="BJ27" i="1"/>
  <c r="AY28" i="1"/>
  <c r="AZ28" i="1"/>
  <c r="AZ29" i="1" s="1"/>
  <c r="AZ30" i="1" s="1"/>
  <c r="BA28" i="1"/>
  <c r="BA29" i="1" s="1"/>
  <c r="BA30" i="1" s="1"/>
  <c r="BB28" i="1"/>
  <c r="BB29" i="1" s="1"/>
  <c r="BB30" i="1" s="1"/>
  <c r="BC28" i="1"/>
  <c r="BC29" i="1" s="1"/>
  <c r="BC30" i="1" s="1"/>
  <c r="BD28" i="1"/>
  <c r="BD29" i="1" s="1"/>
  <c r="BD30" i="1" s="1"/>
  <c r="BE28" i="1"/>
  <c r="BE29" i="1" s="1"/>
  <c r="BE30" i="1" s="1"/>
  <c r="BF28" i="1"/>
  <c r="BF29" i="1" s="1"/>
  <c r="BF30" i="1" s="1"/>
  <c r="BG28" i="1"/>
  <c r="BG29" i="1" s="1"/>
  <c r="BG30" i="1" s="1"/>
  <c r="BH28" i="1"/>
  <c r="BH29" i="1" s="1"/>
  <c r="BH30" i="1" s="1"/>
  <c r="BI28" i="1"/>
  <c r="BI29" i="1" s="1"/>
  <c r="BJ28" i="1"/>
  <c r="BJ29" i="1" s="1"/>
  <c r="BJ30" i="1" s="1"/>
  <c r="AY37" i="1"/>
  <c r="AZ37" i="1"/>
  <c r="BA37" i="1"/>
  <c r="BB37" i="1"/>
  <c r="BC37" i="1"/>
  <c r="BD37" i="1"/>
  <c r="BE37" i="1"/>
  <c r="BF37" i="1"/>
  <c r="BG37" i="1"/>
  <c r="BH37" i="1"/>
  <c r="BI37" i="1"/>
  <c r="BJ37" i="1"/>
  <c r="AY38" i="1"/>
  <c r="AZ38" i="1"/>
  <c r="AZ39" i="1" s="1"/>
  <c r="AZ40" i="1" s="1"/>
  <c r="BA38" i="1"/>
  <c r="BA39" i="1" s="1"/>
  <c r="BA40" i="1" s="1"/>
  <c r="BB38" i="1"/>
  <c r="BB39" i="1" s="1"/>
  <c r="BB40" i="1" s="1"/>
  <c r="BC38" i="1"/>
  <c r="BC39" i="1" s="1"/>
  <c r="BC40" i="1" s="1"/>
  <c r="BD38" i="1"/>
  <c r="BD39" i="1" s="1"/>
  <c r="BD40" i="1" s="1"/>
  <c r="BE38" i="1"/>
  <c r="BE39" i="1" s="1"/>
  <c r="BE40" i="1" s="1"/>
  <c r="BF38" i="1"/>
  <c r="BF39" i="1" s="1"/>
  <c r="BF40" i="1" s="1"/>
  <c r="BG38" i="1"/>
  <c r="BG39" i="1" s="1"/>
  <c r="BG40" i="1" s="1"/>
  <c r="BH38" i="1"/>
  <c r="BH39" i="1" s="1"/>
  <c r="BH40" i="1" s="1"/>
  <c r="BI38" i="1"/>
  <c r="BI39" i="1" s="1"/>
  <c r="BJ38" i="1"/>
  <c r="BJ39" i="1" s="1"/>
  <c r="BJ40" i="1" s="1"/>
  <c r="AY47" i="1"/>
  <c r="AZ47" i="1"/>
  <c r="BA47" i="1"/>
  <c r="BB47" i="1"/>
  <c r="BC47" i="1"/>
  <c r="BD47" i="1"/>
  <c r="BE47" i="1"/>
  <c r="BF47" i="1"/>
  <c r="BG47" i="1"/>
  <c r="BH47" i="1"/>
  <c r="BI47" i="1"/>
  <c r="BJ47" i="1"/>
  <c r="AY48" i="1"/>
  <c r="AZ48" i="1"/>
  <c r="AZ49" i="1" s="1"/>
  <c r="AZ50" i="1" s="1"/>
  <c r="BA48" i="1"/>
  <c r="BA49" i="1" s="1"/>
  <c r="BA50" i="1" s="1"/>
  <c r="BB48" i="1"/>
  <c r="BB49" i="1" s="1"/>
  <c r="BB50" i="1" s="1"/>
  <c r="BC48" i="1"/>
  <c r="BC49" i="1" s="1"/>
  <c r="BC50" i="1" s="1"/>
  <c r="BD48" i="1"/>
  <c r="BD49" i="1" s="1"/>
  <c r="BD50" i="1" s="1"/>
  <c r="BE48" i="1"/>
  <c r="BE49" i="1" s="1"/>
  <c r="BE50" i="1" s="1"/>
  <c r="BF48" i="1"/>
  <c r="BF49" i="1" s="1"/>
  <c r="BF50" i="1" s="1"/>
  <c r="BG48" i="1"/>
  <c r="BG49" i="1" s="1"/>
  <c r="BG50" i="1" s="1"/>
  <c r="BH48" i="1"/>
  <c r="BH49" i="1" s="1"/>
  <c r="BH50" i="1" s="1"/>
  <c r="BI48" i="1"/>
  <c r="BI49" i="1" s="1"/>
  <c r="BJ48" i="1"/>
  <c r="BJ49" i="1" s="1"/>
  <c r="BJ50" i="1" s="1"/>
  <c r="AY57" i="1"/>
  <c r="AZ57" i="1"/>
  <c r="BA57" i="1"/>
  <c r="BB57" i="1"/>
  <c r="BC57" i="1"/>
  <c r="BD57" i="1"/>
  <c r="BE57" i="1"/>
  <c r="BF57" i="1"/>
  <c r="BG57" i="1"/>
  <c r="BH57" i="1"/>
  <c r="BI57" i="1"/>
  <c r="BJ57" i="1"/>
  <c r="AY58" i="1"/>
  <c r="AZ58" i="1"/>
  <c r="AZ59" i="1" s="1"/>
  <c r="AZ60" i="1" s="1"/>
  <c r="BA58" i="1"/>
  <c r="BA59" i="1" s="1"/>
  <c r="BA60" i="1" s="1"/>
  <c r="BB58" i="1"/>
  <c r="BB59" i="1" s="1"/>
  <c r="BB60" i="1" s="1"/>
  <c r="BC58" i="1"/>
  <c r="BC59" i="1" s="1"/>
  <c r="BC60" i="1" s="1"/>
  <c r="BD58" i="1"/>
  <c r="BD59" i="1" s="1"/>
  <c r="BD60" i="1" s="1"/>
  <c r="BE58" i="1"/>
  <c r="BE59" i="1" s="1"/>
  <c r="BE60" i="1" s="1"/>
  <c r="BF58" i="1"/>
  <c r="BF59" i="1" s="1"/>
  <c r="BF60" i="1" s="1"/>
  <c r="BG58" i="1"/>
  <c r="BG59" i="1" s="1"/>
  <c r="BG60" i="1" s="1"/>
  <c r="BH58" i="1"/>
  <c r="BH59" i="1" s="1"/>
  <c r="BH60" i="1" s="1"/>
  <c r="BI58" i="1"/>
  <c r="BI59" i="1" s="1"/>
  <c r="BJ58" i="1"/>
  <c r="BJ59" i="1" s="1"/>
  <c r="BJ60" i="1" s="1"/>
  <c r="AY67" i="1"/>
  <c r="AZ67" i="1"/>
  <c r="BA67" i="1"/>
  <c r="BC67" i="1"/>
  <c r="BD67" i="1"/>
  <c r="BE67" i="1"/>
  <c r="BF67" i="1"/>
  <c r="BG67" i="1"/>
  <c r="BH67" i="1"/>
  <c r="BI67" i="1"/>
  <c r="BJ67" i="1"/>
  <c r="AY68" i="1"/>
  <c r="AZ68" i="1"/>
  <c r="AZ69" i="1" s="1"/>
  <c r="BA68" i="1"/>
  <c r="BA69" i="1" s="1"/>
  <c r="BB68" i="1"/>
  <c r="BB69" i="1" s="1"/>
  <c r="BC68" i="1"/>
  <c r="BC69" i="1" s="1"/>
  <c r="BD68" i="1"/>
  <c r="BD69" i="1" s="1"/>
  <c r="BE68" i="1"/>
  <c r="BE69" i="1" s="1"/>
  <c r="BF68" i="1"/>
  <c r="BF69" i="1" s="1"/>
  <c r="BG68" i="1"/>
  <c r="BG69" i="1" s="1"/>
  <c r="BH68" i="1"/>
  <c r="BH69" i="1" s="1"/>
  <c r="BI68" i="1"/>
  <c r="BI69" i="1" s="1"/>
  <c r="BJ68" i="1"/>
  <c r="BJ69" i="1" s="1"/>
  <c r="AC3" i="22"/>
  <c r="AD3" i="22"/>
  <c r="AE3" i="22"/>
  <c r="AF3" i="22"/>
  <c r="AG3" i="22"/>
  <c r="AH3" i="22"/>
  <c r="AI3" i="22"/>
  <c r="AJ3" i="22"/>
  <c r="AK3" i="22"/>
  <c r="AL3" i="22"/>
  <c r="AM3" i="22"/>
  <c r="AD10" i="22"/>
  <c r="AE10" i="22"/>
  <c r="AF10" i="22"/>
  <c r="AG10" i="22"/>
  <c r="AH10" i="22"/>
  <c r="AI10" i="22"/>
  <c r="AJ10" i="22"/>
  <c r="AK10" i="22"/>
  <c r="AL10" i="22"/>
  <c r="AM10" i="22"/>
  <c r="AD17" i="22"/>
  <c r="AE17" i="22"/>
  <c r="AF17" i="22"/>
  <c r="AG17" i="22"/>
  <c r="AH17" i="22"/>
  <c r="AI17" i="22"/>
  <c r="AJ17" i="22"/>
  <c r="AK17" i="22"/>
  <c r="AL17" i="22"/>
  <c r="AM17" i="22"/>
  <c r="AD24" i="22"/>
  <c r="AE24" i="22"/>
  <c r="AF24" i="22"/>
  <c r="AG24" i="22"/>
  <c r="AH24" i="22"/>
  <c r="AI24" i="22"/>
  <c r="AJ24" i="22"/>
  <c r="AK24" i="22"/>
  <c r="AL24" i="22"/>
  <c r="AM24" i="22"/>
  <c r="AD31" i="22"/>
  <c r="AE31" i="22"/>
  <c r="AF31" i="22"/>
  <c r="AG31" i="22"/>
  <c r="AH31" i="22"/>
  <c r="AI31" i="22"/>
  <c r="AJ31" i="22"/>
  <c r="AK31" i="22"/>
  <c r="AL31" i="22"/>
  <c r="AM31" i="22"/>
  <c r="AC31" i="22"/>
  <c r="AC24" i="22"/>
  <c r="AC17" i="22"/>
  <c r="AC19" i="22" s="1"/>
  <c r="AD19" i="22" s="1"/>
  <c r="AC10" i="22"/>
  <c r="AC5" i="22"/>
  <c r="AC4" i="22"/>
  <c r="F57" i="27" l="1"/>
  <c r="F27" i="27"/>
  <c r="F47" i="27"/>
  <c r="AU40" i="28"/>
  <c r="Y71" i="28"/>
  <c r="AA48" i="27" s="1"/>
  <c r="AA49" i="27" s="1"/>
  <c r="AL28" i="27"/>
  <c r="AL29" i="27" s="1"/>
  <c r="AL30" i="27" s="1"/>
  <c r="AL31" i="27" s="1"/>
  <c r="AO28" i="27"/>
  <c r="AO29" i="27" s="1"/>
  <c r="AO30" i="27" s="1"/>
  <c r="AO31" i="27" s="1"/>
  <c r="AN58" i="27"/>
  <c r="AN59" i="27" s="1"/>
  <c r="AN60" i="27" s="1"/>
  <c r="AQ48" i="27"/>
  <c r="AQ49" i="27" s="1"/>
  <c r="AQ50" i="27" s="1"/>
  <c r="AU48" i="27"/>
  <c r="AU49" i="27" s="1"/>
  <c r="AU50" i="27" s="1"/>
  <c r="AM68" i="27"/>
  <c r="AV58" i="27"/>
  <c r="AV59" i="27" s="1"/>
  <c r="AV60" i="27" s="1"/>
  <c r="AT38" i="27"/>
  <c r="AT39" i="27" s="1"/>
  <c r="AT40" i="27" s="1"/>
  <c r="AT41" i="27" s="1"/>
  <c r="AS58" i="27"/>
  <c r="AS59" i="27" s="1"/>
  <c r="AS60" i="27" s="1"/>
  <c r="AR38" i="27"/>
  <c r="AR39" i="27" s="1"/>
  <c r="AR40" i="27" s="1"/>
  <c r="AP68" i="27"/>
  <c r="AQ70" i="28"/>
  <c r="AU70" i="28"/>
  <c r="BJ16" i="1"/>
  <c r="AC6" i="22"/>
  <c r="AC7" i="22" s="1"/>
  <c r="AC8" i="22" s="1"/>
  <c r="BC61" i="1"/>
  <c r="AD4" i="22"/>
  <c r="AE4" i="22" s="1"/>
  <c r="AO73" i="28"/>
  <c r="AQ69" i="28"/>
  <c r="H36" i="28"/>
  <c r="AK69" i="28"/>
  <c r="E70" i="28"/>
  <c r="AB69" i="28"/>
  <c r="AD28" i="27" s="1"/>
  <c r="AD29" i="27" s="1"/>
  <c r="E73" i="28"/>
  <c r="Y73" i="28"/>
  <c r="AA68" i="27" s="1"/>
  <c r="AA69" i="27" s="1"/>
  <c r="N71" i="28"/>
  <c r="P48" i="27" s="1"/>
  <c r="P49" i="27" s="1"/>
  <c r="N69" i="28"/>
  <c r="P28" i="27" s="1"/>
  <c r="P29" i="27" s="1"/>
  <c r="AO69" i="28"/>
  <c r="AU71" i="28"/>
  <c r="AU72" i="28"/>
  <c r="E69" i="28"/>
  <c r="G36" i="28"/>
  <c r="F9" i="29"/>
  <c r="I28" i="27"/>
  <c r="I29" i="27" s="1"/>
  <c r="I30" i="27" s="1"/>
  <c r="I29" i="29"/>
  <c r="L48" i="27"/>
  <c r="L49" i="27" s="1"/>
  <c r="L50" i="27" s="1"/>
  <c r="AM69" i="27"/>
  <c r="AG69" i="27"/>
  <c r="AP69" i="27"/>
  <c r="G49" i="29"/>
  <c r="J68" i="27"/>
  <c r="J69" i="27" s="1"/>
  <c r="D39" i="29"/>
  <c r="G58" i="27"/>
  <c r="G59" i="27" s="1"/>
  <c r="G60" i="27" s="1"/>
  <c r="AH69" i="27"/>
  <c r="E9" i="29"/>
  <c r="H28" i="27"/>
  <c r="H29" i="27" s="1"/>
  <c r="H30" i="27" s="1"/>
  <c r="H9" i="29"/>
  <c r="K28" i="27"/>
  <c r="K29" i="27" s="1"/>
  <c r="K30" i="27" s="1"/>
  <c r="J49" i="29"/>
  <c r="M68" i="27"/>
  <c r="M69" i="27" s="1"/>
  <c r="AJ41" i="27"/>
  <c r="AQ73" i="28"/>
  <c r="AC73" i="28"/>
  <c r="AE68" i="27" s="1"/>
  <c r="AE69" i="27" s="1"/>
  <c r="AG71" i="28"/>
  <c r="AI48" i="27" s="1"/>
  <c r="AI49" i="27" s="1"/>
  <c r="AI50" i="27" s="1"/>
  <c r="AI51" i="27" s="1"/>
  <c r="G70" i="28"/>
  <c r="AN71" i="28"/>
  <c r="T69" i="28"/>
  <c r="V28" i="27" s="1"/>
  <c r="V29" i="27" s="1"/>
  <c r="AG72" i="28"/>
  <c r="AI58" i="27" s="1"/>
  <c r="AI59" i="27" s="1"/>
  <c r="AI60" i="27" s="1"/>
  <c r="AI61" i="27" s="1"/>
  <c r="G71" i="28"/>
  <c r="S69" i="28"/>
  <c r="U28" i="27" s="1"/>
  <c r="U29" i="27" s="1"/>
  <c r="AN72" i="28"/>
  <c r="T70" i="28"/>
  <c r="V38" i="27" s="1"/>
  <c r="V39" i="27" s="1"/>
  <c r="O72" i="28"/>
  <c r="Q58" i="27" s="1"/>
  <c r="Q59" i="27" s="1"/>
  <c r="AA70" i="28"/>
  <c r="AC38" i="27" s="1"/>
  <c r="AC39" i="27" s="1"/>
  <c r="V72" i="28"/>
  <c r="X58" i="27" s="1"/>
  <c r="X59" i="27" s="1"/>
  <c r="J70" i="28"/>
  <c r="O73" i="28"/>
  <c r="Q68" i="27" s="1"/>
  <c r="Q69" i="27" s="1"/>
  <c r="AA71" i="28"/>
  <c r="AC48" i="27" s="1"/>
  <c r="AC49" i="27" s="1"/>
  <c r="AE69" i="28"/>
  <c r="AG28" i="27" s="1"/>
  <c r="AG29" i="27" s="1"/>
  <c r="AG30" i="27" s="1"/>
  <c r="AG31" i="27" s="1"/>
  <c r="F73" i="28"/>
  <c r="AN70" i="28"/>
  <c r="AI41" i="27"/>
  <c r="C9" i="29"/>
  <c r="F28" i="27"/>
  <c r="F29" i="27" s="1"/>
  <c r="F30" i="27" s="1"/>
  <c r="AR41" i="27"/>
  <c r="U73" i="28"/>
  <c r="W68" i="27" s="1"/>
  <c r="W69" i="27" s="1"/>
  <c r="T73" i="28"/>
  <c r="V68" i="27" s="1"/>
  <c r="V69" i="27" s="1"/>
  <c r="AF71" i="28"/>
  <c r="AH48" i="27" s="1"/>
  <c r="AH49" i="27" s="1"/>
  <c r="AH50" i="27" s="1"/>
  <c r="AH51" i="27" s="1"/>
  <c r="L69" i="28"/>
  <c r="AK70" i="28"/>
  <c r="K69" i="28"/>
  <c r="AF72" i="28"/>
  <c r="AH58" i="27" s="1"/>
  <c r="AH59" i="27" s="1"/>
  <c r="AH60" i="27" s="1"/>
  <c r="AH61" i="27" s="1"/>
  <c r="L70" i="28"/>
  <c r="N38" i="27" s="1"/>
  <c r="N39" i="27" s="1"/>
  <c r="AG73" i="28"/>
  <c r="AI68" i="27" s="1"/>
  <c r="G72" i="28"/>
  <c r="S70" i="28"/>
  <c r="U38" i="27" s="1"/>
  <c r="U39" i="27" s="1"/>
  <c r="F72" i="28"/>
  <c r="AN69" i="28"/>
  <c r="G73" i="28"/>
  <c r="S71" i="28"/>
  <c r="U48" i="27" s="1"/>
  <c r="U49" i="27" s="1"/>
  <c r="W69" i="28"/>
  <c r="Y28" i="27" s="1"/>
  <c r="Y29" i="27" s="1"/>
  <c r="T72" i="28"/>
  <c r="V58" i="27" s="1"/>
  <c r="V59" i="27" s="1"/>
  <c r="AF70" i="28"/>
  <c r="AH38" i="27" s="1"/>
  <c r="AH39" i="27" s="1"/>
  <c r="AH40" i="27" s="1"/>
  <c r="AH41" i="27" s="1"/>
  <c r="AF61" i="27"/>
  <c r="M73" i="28"/>
  <c r="O68" i="27" s="1"/>
  <c r="O69" i="27" s="1"/>
  <c r="Q71" i="28"/>
  <c r="S48" i="27" s="1"/>
  <c r="S49" i="27" s="1"/>
  <c r="L73" i="28"/>
  <c r="N68" i="27" s="1"/>
  <c r="N69" i="27" s="1"/>
  <c r="P71" i="28"/>
  <c r="R48" i="27" s="1"/>
  <c r="R49" i="27" s="1"/>
  <c r="Q72" i="28"/>
  <c r="S58" i="27" s="1"/>
  <c r="S59" i="27" s="1"/>
  <c r="AC70" i="28"/>
  <c r="AE38" i="27" s="1"/>
  <c r="AE39" i="27" s="1"/>
  <c r="P72" i="28"/>
  <c r="R58" i="27" s="1"/>
  <c r="R59" i="27" s="1"/>
  <c r="D70" i="28"/>
  <c r="AK71" i="28"/>
  <c r="K70" i="28"/>
  <c r="AF69" i="28"/>
  <c r="AH28" i="27" s="1"/>
  <c r="AH29" i="27" s="1"/>
  <c r="AH30" i="27" s="1"/>
  <c r="AH31" i="27" s="1"/>
  <c r="AK72" i="28"/>
  <c r="K71" i="28"/>
  <c r="O69" i="28"/>
  <c r="Q28" i="27" s="1"/>
  <c r="Q29" i="27" s="1"/>
  <c r="L72" i="28"/>
  <c r="N58" i="27" s="1"/>
  <c r="N59" i="27" s="1"/>
  <c r="P70" i="28"/>
  <c r="R38" i="27" s="1"/>
  <c r="R39" i="27" s="1"/>
  <c r="AN61" i="27"/>
  <c r="X70" i="28"/>
  <c r="Z38" i="27" s="1"/>
  <c r="Z39" i="27" s="1"/>
  <c r="Z70" i="28"/>
  <c r="AB38" i="27" s="1"/>
  <c r="AB39" i="27" s="1"/>
  <c r="AO72" i="28"/>
  <c r="AS16" i="27"/>
  <c r="AU73" i="28"/>
  <c r="I71" i="28"/>
  <c r="AC69" i="28"/>
  <c r="AE28" i="27" s="1"/>
  <c r="AE29" i="27" s="1"/>
  <c r="D73" i="28"/>
  <c r="H71" i="28"/>
  <c r="I72" i="28"/>
  <c r="U70" i="28"/>
  <c r="W38" i="27" s="1"/>
  <c r="W39" i="27" s="1"/>
  <c r="H72" i="28"/>
  <c r="AP69" i="28"/>
  <c r="Q73" i="28"/>
  <c r="S68" i="27" s="1"/>
  <c r="S69" i="27" s="1"/>
  <c r="AC71" i="28"/>
  <c r="AE48" i="27" s="1"/>
  <c r="AE49" i="27" s="1"/>
  <c r="AG69" i="28"/>
  <c r="AI28" i="27" s="1"/>
  <c r="AI29" i="27" s="1"/>
  <c r="AI30" i="27" s="1"/>
  <c r="AI31" i="27" s="1"/>
  <c r="P69" i="28"/>
  <c r="D72" i="28"/>
  <c r="H70" i="28"/>
  <c r="X72" i="28"/>
  <c r="Z58" i="27" s="1"/>
  <c r="Z59" i="27" s="1"/>
  <c r="AI72" i="28"/>
  <c r="AK58" i="27" s="1"/>
  <c r="AK59" i="27" s="1"/>
  <c r="AK60" i="27" s="1"/>
  <c r="AK61" i="27" s="1"/>
  <c r="AM70" i="28"/>
  <c r="U69" i="28"/>
  <c r="W28" i="27" s="1"/>
  <c r="W29" i="27" s="1"/>
  <c r="AP72" i="28"/>
  <c r="AL70" i="28"/>
  <c r="AI73" i="28"/>
  <c r="AK68" i="27" s="1"/>
  <c r="AM71" i="28"/>
  <c r="M70" i="28"/>
  <c r="O38" i="27" s="1"/>
  <c r="O39" i="27" s="1"/>
  <c r="AP73" i="28"/>
  <c r="AL71" i="28"/>
  <c r="AH69" i="28"/>
  <c r="AJ28" i="27" s="1"/>
  <c r="AJ29" i="27" s="1"/>
  <c r="AJ30" i="27" s="1"/>
  <c r="AJ31" i="27" s="1"/>
  <c r="I73" i="28"/>
  <c r="U71" i="28"/>
  <c r="W48" i="27" s="1"/>
  <c r="W49" i="27" s="1"/>
  <c r="Y69" i="28"/>
  <c r="D71" i="28"/>
  <c r="H69" i="28"/>
  <c r="AP71" i="28"/>
  <c r="AL69" i="28"/>
  <c r="AK51" i="27"/>
  <c r="AA72" i="28"/>
  <c r="AC58" i="27" s="1"/>
  <c r="AC59" i="27" s="1"/>
  <c r="AE70" i="28"/>
  <c r="AG38" i="27" s="1"/>
  <c r="AG39" i="27" s="1"/>
  <c r="AG40" i="27" s="1"/>
  <c r="AG41" i="27" s="1"/>
  <c r="M69" i="28"/>
  <c r="O28" i="27" s="1"/>
  <c r="O29" i="27" s="1"/>
  <c r="AH72" i="28"/>
  <c r="AJ58" i="27" s="1"/>
  <c r="AJ59" i="27" s="1"/>
  <c r="AJ60" i="27" s="1"/>
  <c r="AJ61" i="27" s="1"/>
  <c r="AD70" i="28"/>
  <c r="AF38" i="27" s="1"/>
  <c r="AF39" i="27" s="1"/>
  <c r="AF40" i="27" s="1"/>
  <c r="AF41" i="27" s="1"/>
  <c r="AA73" i="28"/>
  <c r="AC68" i="27" s="1"/>
  <c r="AC69" i="27" s="1"/>
  <c r="AE71" i="28"/>
  <c r="AG48" i="27" s="1"/>
  <c r="AG49" i="27" s="1"/>
  <c r="AG50" i="27" s="1"/>
  <c r="AG51" i="27" s="1"/>
  <c r="D19" i="29"/>
  <c r="G38" i="27"/>
  <c r="G39" i="27" s="1"/>
  <c r="G40" i="27" s="1"/>
  <c r="AH73" i="28"/>
  <c r="AJ68" i="27" s="1"/>
  <c r="AD71" i="28"/>
  <c r="AF48" i="27" s="1"/>
  <c r="AF49" i="27" s="1"/>
  <c r="AF50" i="27" s="1"/>
  <c r="AF51" i="27" s="1"/>
  <c r="R69" i="28"/>
  <c r="T28" i="27" s="1"/>
  <c r="T29" i="27" s="1"/>
  <c r="AM72" i="28"/>
  <c r="M71" i="28"/>
  <c r="O48" i="27" s="1"/>
  <c r="O49" i="27" s="1"/>
  <c r="AM73" i="28"/>
  <c r="Q70" i="28"/>
  <c r="S38" i="27" s="1"/>
  <c r="S39" i="27" s="1"/>
  <c r="AL73" i="28"/>
  <c r="AH71" i="28"/>
  <c r="AJ48" i="27" s="1"/>
  <c r="AJ49" i="27" s="1"/>
  <c r="AJ50" i="27" s="1"/>
  <c r="AJ51" i="27" s="1"/>
  <c r="AD69" i="28"/>
  <c r="AF28" i="27" s="1"/>
  <c r="AF29" i="27" s="1"/>
  <c r="AF30" i="27" s="1"/>
  <c r="AF31" i="27" s="1"/>
  <c r="AB72" i="28"/>
  <c r="AD58" i="27" s="1"/>
  <c r="AD59" i="27" s="1"/>
  <c r="AQ71" i="28"/>
  <c r="S72" i="28"/>
  <c r="U58" i="27" s="1"/>
  <c r="U59" i="27" s="1"/>
  <c r="W70" i="28"/>
  <c r="Y38" i="27" s="1"/>
  <c r="Y39" i="27" s="1"/>
  <c r="D9" i="29"/>
  <c r="G28" i="27"/>
  <c r="G29" i="27" s="1"/>
  <c r="G30" i="27" s="1"/>
  <c r="R72" i="28"/>
  <c r="T58" i="27" s="1"/>
  <c r="T59" i="27" s="1"/>
  <c r="V70" i="28"/>
  <c r="X38" i="27" s="1"/>
  <c r="X39" i="27" s="1"/>
  <c r="W71" i="28"/>
  <c r="Y48" i="27" s="1"/>
  <c r="Y49" i="27" s="1"/>
  <c r="AI69" i="28"/>
  <c r="AK28" i="27" s="1"/>
  <c r="AK29" i="27" s="1"/>
  <c r="AK30" i="27" s="1"/>
  <c r="R73" i="28"/>
  <c r="T68" i="27" s="1"/>
  <c r="T69" i="27" s="1"/>
  <c r="V71" i="28"/>
  <c r="X48" i="27" s="1"/>
  <c r="X49" i="27" s="1"/>
  <c r="J69" i="28"/>
  <c r="AE72" i="28"/>
  <c r="AG58" i="27" s="1"/>
  <c r="AG59" i="27" s="1"/>
  <c r="AG60" i="27" s="1"/>
  <c r="AG61" i="27" s="1"/>
  <c r="E71" i="28"/>
  <c r="I70" i="28"/>
  <c r="I74" i="28" s="1"/>
  <c r="AD73" i="28"/>
  <c r="AF68" i="27" s="1"/>
  <c r="R71" i="28"/>
  <c r="T48" i="27" s="1"/>
  <c r="T49" i="27" s="1"/>
  <c r="V69" i="28"/>
  <c r="X28" i="27" s="1"/>
  <c r="X29" i="27" s="1"/>
  <c r="AB73" i="28"/>
  <c r="AD68" i="27" s="1"/>
  <c r="AD69" i="27" s="1"/>
  <c r="K72" i="28"/>
  <c r="O70" i="28"/>
  <c r="Q38" i="27" s="1"/>
  <c r="Q39" i="27" s="1"/>
  <c r="J72" i="28"/>
  <c r="F70" i="28"/>
  <c r="J73" i="28"/>
  <c r="F71" i="28"/>
  <c r="W72" i="28"/>
  <c r="Y58" i="27" s="1"/>
  <c r="Y59" i="27" s="1"/>
  <c r="AI70" i="28"/>
  <c r="AK38" i="27" s="1"/>
  <c r="AK39" i="27" s="1"/>
  <c r="AK40" i="27" s="1"/>
  <c r="AK41" i="27" s="1"/>
  <c r="AU36" i="28"/>
  <c r="AW16" i="27"/>
  <c r="AW28" i="27"/>
  <c r="AW29" i="27" s="1"/>
  <c r="AW30" i="27" s="1"/>
  <c r="AW31" i="27" s="1"/>
  <c r="AT73" i="28"/>
  <c r="AT69" i="28"/>
  <c r="AT70" i="28"/>
  <c r="AV61" i="27"/>
  <c r="AT71" i="28"/>
  <c r="AV16" i="27"/>
  <c r="AT36" i="28"/>
  <c r="AU51" i="27"/>
  <c r="AS72" i="28"/>
  <c r="AS73" i="28"/>
  <c r="AS69" i="28"/>
  <c r="AS70" i="28"/>
  <c r="AS36" i="28"/>
  <c r="AU27" i="27"/>
  <c r="AU16" i="27" s="1"/>
  <c r="AR71" i="28"/>
  <c r="AR72" i="28"/>
  <c r="AR69" i="28"/>
  <c r="AR73" i="28"/>
  <c r="AR36" i="28"/>
  <c r="AT27" i="27"/>
  <c r="AQ36" i="28"/>
  <c r="AS61" i="27"/>
  <c r="AP36" i="28"/>
  <c r="AR16" i="27"/>
  <c r="AQ51" i="27"/>
  <c r="AO70" i="28"/>
  <c r="AO36" i="28"/>
  <c r="AQ27" i="27"/>
  <c r="AQ16" i="27" s="1"/>
  <c r="AN36" i="28"/>
  <c r="AP16" i="27"/>
  <c r="AO16" i="27"/>
  <c r="AM36" i="28"/>
  <c r="AN16" i="27"/>
  <c r="AM16" i="27"/>
  <c r="AL16" i="27"/>
  <c r="AJ70" i="28"/>
  <c r="AJ71" i="28"/>
  <c r="AJ72" i="28"/>
  <c r="AJ73" i="28"/>
  <c r="AI36" i="28"/>
  <c r="AK27" i="27"/>
  <c r="AJ16" i="27"/>
  <c r="AI16" i="27"/>
  <c r="AH16" i="27"/>
  <c r="AF36" i="28"/>
  <c r="AG16" i="27"/>
  <c r="AF16" i="27"/>
  <c r="AB36" i="28"/>
  <c r="AB70" i="28"/>
  <c r="AD38" i="27" s="1"/>
  <c r="AD39" i="27" s="1"/>
  <c r="Z16" i="27"/>
  <c r="AZ18" i="1"/>
  <c r="Z71" i="28"/>
  <c r="AB48" i="27" s="1"/>
  <c r="AB49" i="27" s="1"/>
  <c r="Z72" i="28"/>
  <c r="AB58" i="27" s="1"/>
  <c r="AB59" i="27" s="1"/>
  <c r="Z73" i="28"/>
  <c r="AB68" i="27" s="1"/>
  <c r="AB69" i="27" s="1"/>
  <c r="BJ31" i="1"/>
  <c r="BJ61" i="1"/>
  <c r="BJ41" i="1"/>
  <c r="BJ51" i="1"/>
  <c r="BI30" i="1"/>
  <c r="BI31" i="1" s="1"/>
  <c r="BI60" i="1"/>
  <c r="BI61" i="1" s="1"/>
  <c r="BI40" i="1"/>
  <c r="BI41" i="1" s="1"/>
  <c r="BI50" i="1"/>
  <c r="BI51" i="1" s="1"/>
  <c r="X36" i="28"/>
  <c r="X73" i="28"/>
  <c r="Z68" i="27" s="1"/>
  <c r="X69" i="28"/>
  <c r="BI18" i="1"/>
  <c r="BH61" i="1"/>
  <c r="BH51" i="1"/>
  <c r="BH31" i="1"/>
  <c r="BH41" i="1"/>
  <c r="BH18" i="1"/>
  <c r="BG61" i="1"/>
  <c r="BG51" i="1"/>
  <c r="W36" i="28"/>
  <c r="BG31" i="1"/>
  <c r="BG41" i="1"/>
  <c r="BF61" i="1"/>
  <c r="BF41" i="1"/>
  <c r="BF31" i="1"/>
  <c r="BE61" i="1"/>
  <c r="BE18" i="1"/>
  <c r="BE41" i="1"/>
  <c r="BE31" i="1"/>
  <c r="BD18" i="1"/>
  <c r="BD41" i="1"/>
  <c r="BD31" i="1"/>
  <c r="BD61" i="1"/>
  <c r="BD51" i="1"/>
  <c r="S36" i="28"/>
  <c r="BC31" i="1"/>
  <c r="BC51" i="1"/>
  <c r="BC41" i="1"/>
  <c r="BB16" i="1"/>
  <c r="BF51" i="1"/>
  <c r="BE51" i="1"/>
  <c r="BE70" i="1"/>
  <c r="BE19" i="1" s="1"/>
  <c r="BB31" i="1"/>
  <c r="BB41" i="1"/>
  <c r="BB61" i="1"/>
  <c r="BB51" i="1"/>
  <c r="BA41" i="1"/>
  <c r="BA61" i="1"/>
  <c r="BA18" i="1"/>
  <c r="AZ61" i="1"/>
  <c r="AZ51" i="1"/>
  <c r="AZ41" i="1"/>
  <c r="AZ31" i="1"/>
  <c r="BA31" i="1"/>
  <c r="BA51" i="1"/>
  <c r="N72" i="28"/>
  <c r="P58" i="27" s="1"/>
  <c r="P59" i="27" s="1"/>
  <c r="N73" i="28"/>
  <c r="P68" i="27" s="1"/>
  <c r="P69" i="27" s="1"/>
  <c r="BA70" i="1"/>
  <c r="AZ70" i="1"/>
  <c r="AZ19" i="1" s="1"/>
  <c r="BH70" i="1"/>
  <c r="BH19" i="1" s="1"/>
  <c r="F36" i="28"/>
  <c r="AE19" i="22"/>
  <c r="AF19" i="22" s="1"/>
  <c r="AG19" i="22" s="1"/>
  <c r="AH19" i="22" s="1"/>
  <c r="AD5" i="22"/>
  <c r="AE5" i="22" s="1"/>
  <c r="AF5" i="22" s="1"/>
  <c r="AG5" i="22" s="1"/>
  <c r="D36" i="28"/>
  <c r="F67" i="27"/>
  <c r="F16" i="27" s="1"/>
  <c r="R36" i="28"/>
  <c r="AA36" i="28"/>
  <c r="AE36" i="28"/>
  <c r="K36" i="28"/>
  <c r="O36" i="28"/>
  <c r="AH36" i="28"/>
  <c r="J36" i="28"/>
  <c r="V74" i="28"/>
  <c r="AB74" i="28"/>
  <c r="S74" i="28"/>
  <c r="AK36" i="28"/>
  <c r="AC36" i="28"/>
  <c r="V36" i="28"/>
  <c r="Z36" i="28"/>
  <c r="N36" i="28"/>
  <c r="T74" i="28"/>
  <c r="AD36" i="28"/>
  <c r="AL36" i="28"/>
  <c r="U74" i="28"/>
  <c r="AH74" i="28"/>
  <c r="Y36" i="28"/>
  <c r="M36" i="28"/>
  <c r="AG36" i="28"/>
  <c r="R74" i="28"/>
  <c r="AG74" i="28"/>
  <c r="J74" i="28"/>
  <c r="G74" i="28"/>
  <c r="Q36" i="28"/>
  <c r="E36" i="28"/>
  <c r="U36" i="28"/>
  <c r="T34" i="28"/>
  <c r="V57" i="27" s="1"/>
  <c r="T20" i="28"/>
  <c r="AC74" i="28"/>
  <c r="I36" i="28"/>
  <c r="T33" i="28"/>
  <c r="V47" i="27" s="1"/>
  <c r="T31" i="28"/>
  <c r="V27" i="27" s="1"/>
  <c r="T35" i="28"/>
  <c r="V67" i="27" s="1"/>
  <c r="AC33" i="22"/>
  <c r="AD33" i="22" s="1"/>
  <c r="AE33" i="22" s="1"/>
  <c r="BF18" i="1"/>
  <c r="BF70" i="1"/>
  <c r="BC18" i="1"/>
  <c r="BC70" i="1"/>
  <c r="BG18" i="1"/>
  <c r="BG70" i="1"/>
  <c r="BB18" i="1"/>
  <c r="BB70" i="1"/>
  <c r="BJ18" i="1"/>
  <c r="BJ70" i="1"/>
  <c r="BI70" i="1"/>
  <c r="BD70" i="1"/>
  <c r="AC11" i="22"/>
  <c r="AC25" i="22"/>
  <c r="AD25" i="22" s="1"/>
  <c r="AC12" i="22"/>
  <c r="AD12" i="22" s="1"/>
  <c r="AE12" i="22" s="1"/>
  <c r="AF12" i="22" s="1"/>
  <c r="AC26" i="22"/>
  <c r="AD26" i="22" s="1"/>
  <c r="AE26" i="22" s="1"/>
  <c r="AF26" i="22" s="1"/>
  <c r="AG26" i="22" s="1"/>
  <c r="AC18" i="22"/>
  <c r="AC32" i="22"/>
  <c r="AC34" i="22" s="1"/>
  <c r="AC35" i="22" s="1"/>
  <c r="AC36" i="22" s="1"/>
  <c r="AU41" i="28" l="1"/>
  <c r="AU39" i="28"/>
  <c r="AU42" i="28"/>
  <c r="E74" i="28"/>
  <c r="AU43" i="28"/>
  <c r="AR48" i="27"/>
  <c r="AR49" i="27" s="1"/>
  <c r="AR50" i="27" s="1"/>
  <c r="AR51" i="27" s="1"/>
  <c r="AW48" i="27"/>
  <c r="AW49" i="27" s="1"/>
  <c r="AW50" i="27" s="1"/>
  <c r="AW51" i="27" s="1"/>
  <c r="AW38" i="27"/>
  <c r="AW39" i="27" s="1"/>
  <c r="AW40" i="27" s="1"/>
  <c r="AW41" i="27" s="1"/>
  <c r="AT58" i="27"/>
  <c r="AT59" i="27" s="1"/>
  <c r="AT60" i="27" s="1"/>
  <c r="AT61" i="27" s="1"/>
  <c r="AS48" i="27"/>
  <c r="AS49" i="27" s="1"/>
  <c r="AS50" i="27" s="1"/>
  <c r="AS51" i="27" s="1"/>
  <c r="AO58" i="27"/>
  <c r="AO59" i="27" s="1"/>
  <c r="AO60" i="27" s="1"/>
  <c r="AO61" i="27" s="1"/>
  <c r="AW68" i="27"/>
  <c r="AW69" i="27" s="1"/>
  <c r="AS68" i="27"/>
  <c r="AS69" i="27" s="1"/>
  <c r="AS70" i="27" s="1"/>
  <c r="AQ28" i="27"/>
  <c r="AQ29" i="27" s="1"/>
  <c r="AQ30" i="27" s="1"/>
  <c r="AS38" i="27"/>
  <c r="AS39" i="27" s="1"/>
  <c r="AS40" i="27" s="1"/>
  <c r="AS41" i="27" s="1"/>
  <c r="AL68" i="27"/>
  <c r="AL58" i="27"/>
  <c r="AL59" i="27" s="1"/>
  <c r="AL60" i="27" s="1"/>
  <c r="AL61" i="27" s="1"/>
  <c r="AT48" i="27"/>
  <c r="AT49" i="27" s="1"/>
  <c r="AT50" i="27" s="1"/>
  <c r="AT51" i="27" s="1"/>
  <c r="AO48" i="27"/>
  <c r="AO49" i="27" s="1"/>
  <c r="AO50" i="27" s="1"/>
  <c r="AO51" i="27" s="1"/>
  <c r="AS28" i="27"/>
  <c r="AS29" i="27" s="1"/>
  <c r="AS30" i="27" s="1"/>
  <c r="AS31" i="27" s="1"/>
  <c r="AU58" i="27"/>
  <c r="AU59" i="27" s="1"/>
  <c r="AU60" i="27" s="1"/>
  <c r="AU61" i="27" s="1"/>
  <c r="AQ58" i="27"/>
  <c r="AQ59" i="27" s="1"/>
  <c r="AQ60" i="27" s="1"/>
  <c r="AQ61" i="27" s="1"/>
  <c r="AM58" i="27"/>
  <c r="AM59" i="27" s="1"/>
  <c r="AM60" i="27" s="1"/>
  <c r="AM61" i="27" s="1"/>
  <c r="AQ68" i="27"/>
  <c r="AQ69" i="27" s="1"/>
  <c r="AV68" i="27"/>
  <c r="AL48" i="27"/>
  <c r="AL49" i="27" s="1"/>
  <c r="AL50" i="27" s="1"/>
  <c r="AL51" i="27" s="1"/>
  <c r="AL38" i="27"/>
  <c r="AL39" i="27" s="1"/>
  <c r="AL40" i="27" s="1"/>
  <c r="AL41" i="27" s="1"/>
  <c r="AV48" i="27"/>
  <c r="AV49" i="27" s="1"/>
  <c r="AV50" i="27" s="1"/>
  <c r="AV51" i="27" s="1"/>
  <c r="AN38" i="27"/>
  <c r="AN39" i="27" s="1"/>
  <c r="AN40" i="27" s="1"/>
  <c r="AN41" i="27" s="1"/>
  <c r="AP58" i="27"/>
  <c r="AP59" i="27" s="1"/>
  <c r="AP60" i="27" s="1"/>
  <c r="AP61" i="27" s="1"/>
  <c r="AM28" i="27"/>
  <c r="AM29" i="27" s="1"/>
  <c r="AM30" i="27" s="1"/>
  <c r="AM31" i="27" s="1"/>
  <c r="AU38" i="27"/>
  <c r="AU39" i="27" s="1"/>
  <c r="AU40" i="27" s="1"/>
  <c r="AU41" i="27" s="1"/>
  <c r="AN68" i="27"/>
  <c r="AR58" i="27"/>
  <c r="AR59" i="27" s="1"/>
  <c r="AR60" i="27" s="1"/>
  <c r="AR61" i="27" s="1"/>
  <c r="AP28" i="27"/>
  <c r="AP29" i="27" s="1"/>
  <c r="AP30" i="27" s="1"/>
  <c r="AP31" i="27" s="1"/>
  <c r="AM38" i="27"/>
  <c r="AM39" i="27" s="1"/>
  <c r="AM40" i="27" s="1"/>
  <c r="AM41" i="27" s="1"/>
  <c r="AP48" i="27"/>
  <c r="AP49" i="27" s="1"/>
  <c r="AP50" i="27" s="1"/>
  <c r="AP51" i="27" s="1"/>
  <c r="AR68" i="27"/>
  <c r="AQ38" i="27"/>
  <c r="AQ39" i="27" s="1"/>
  <c r="AQ40" i="27" s="1"/>
  <c r="AQ41" i="27" s="1"/>
  <c r="AV38" i="27"/>
  <c r="AV39" i="27" s="1"/>
  <c r="AV40" i="27" s="1"/>
  <c r="AV41" i="27" s="1"/>
  <c r="AP38" i="27"/>
  <c r="AP39" i="27" s="1"/>
  <c r="AP40" i="27" s="1"/>
  <c r="AP41" i="27" s="1"/>
  <c r="AT28" i="27"/>
  <c r="AT29" i="27" s="1"/>
  <c r="AT30" i="27" s="1"/>
  <c r="AT31" i="27" s="1"/>
  <c r="AM48" i="27"/>
  <c r="AM49" i="27" s="1"/>
  <c r="AM50" i="27" s="1"/>
  <c r="AM51" i="27" s="1"/>
  <c r="AT68" i="27"/>
  <c r="AT69" i="27" s="1"/>
  <c r="AU68" i="27"/>
  <c r="AU69" i="27" s="1"/>
  <c r="AV28" i="27"/>
  <c r="AV29" i="27" s="1"/>
  <c r="AV30" i="27" s="1"/>
  <c r="AV31" i="27" s="1"/>
  <c r="AO68" i="27"/>
  <c r="AO69" i="27" s="1"/>
  <c r="AN28" i="27"/>
  <c r="AN29" i="27" s="1"/>
  <c r="AN30" i="27" s="1"/>
  <c r="AN31" i="27" s="1"/>
  <c r="AN48" i="27"/>
  <c r="AN49" i="27" s="1"/>
  <c r="AN50" i="27" s="1"/>
  <c r="AN51" i="27" s="1"/>
  <c r="AO38" i="27"/>
  <c r="AO39" i="27" s="1"/>
  <c r="AO40" i="27" s="1"/>
  <c r="AO41" i="27" s="1"/>
  <c r="AW58" i="27"/>
  <c r="AW59" i="27" s="1"/>
  <c r="AW60" i="27" s="1"/>
  <c r="AW61" i="27" s="1"/>
  <c r="AK31" i="27"/>
  <c r="AU74" i="28"/>
  <c r="AQ74" i="28"/>
  <c r="AL74" i="28"/>
  <c r="AI19" i="22"/>
  <c r="AJ19" i="22" s="1"/>
  <c r="AH26" i="22"/>
  <c r="AI26" i="22" s="1"/>
  <c r="AJ26" i="22" s="1"/>
  <c r="AK26" i="22" s="1"/>
  <c r="AD27" i="22"/>
  <c r="AD28" i="22" s="1"/>
  <c r="AD29" i="22" s="1"/>
  <c r="AE25" i="22"/>
  <c r="AG12" i="22"/>
  <c r="AH12" i="22" s="1"/>
  <c r="AI12" i="22" s="1"/>
  <c r="AJ12" i="22" s="1"/>
  <c r="AH5" i="22"/>
  <c r="AI5" i="22" s="1"/>
  <c r="AJ5" i="22" s="1"/>
  <c r="AK5" i="22" s="1"/>
  <c r="AL5" i="22" s="1"/>
  <c r="AM5" i="22" s="1"/>
  <c r="AF4" i="22"/>
  <c r="AE6" i="22"/>
  <c r="AE7" i="22" s="1"/>
  <c r="AE8" i="22" s="1"/>
  <c r="AC13" i="22"/>
  <c r="AC14" i="22" s="1"/>
  <c r="AC15" i="22" s="1"/>
  <c r="AD11" i="22"/>
  <c r="AC20" i="22"/>
  <c r="AC21" i="22" s="1"/>
  <c r="AC22" i="22" s="1"/>
  <c r="AD18" i="22"/>
  <c r="AF33" i="22"/>
  <c r="AG33" i="22" s="1"/>
  <c r="AH33" i="22" s="1"/>
  <c r="AI33" i="22" s="1"/>
  <c r="AJ33" i="22" s="1"/>
  <c r="AK33" i="22" s="1"/>
  <c r="AD32" i="22"/>
  <c r="AK74" i="28"/>
  <c r="G68" i="27"/>
  <c r="G69" i="27" s="1"/>
  <c r="G70" i="27" s="1"/>
  <c r="D49" i="29"/>
  <c r="AD74" i="28"/>
  <c r="Z74" i="28"/>
  <c r="N74" i="28"/>
  <c r="AN74" i="28"/>
  <c r="M74" i="28"/>
  <c r="AA74" i="28"/>
  <c r="O74" i="28"/>
  <c r="Q74" i="28"/>
  <c r="E19" i="29"/>
  <c r="H38" i="27"/>
  <c r="H39" i="27" s="1"/>
  <c r="H40" i="27" s="1"/>
  <c r="I9" i="29"/>
  <c r="L28" i="27"/>
  <c r="L29" i="27" s="1"/>
  <c r="L30" i="27" s="1"/>
  <c r="D10" i="29"/>
  <c r="D11" i="29" s="1"/>
  <c r="D12" i="29"/>
  <c r="T18" i="27"/>
  <c r="G9" i="29"/>
  <c r="J28" i="27"/>
  <c r="J29" i="27" s="1"/>
  <c r="J30" i="27" s="1"/>
  <c r="H74" i="28"/>
  <c r="G19" i="29"/>
  <c r="J38" i="27"/>
  <c r="J39" i="27" s="1"/>
  <c r="J40" i="27" s="1"/>
  <c r="F19" i="29"/>
  <c r="I38" i="27"/>
  <c r="I39" i="27" s="1"/>
  <c r="I40" i="27" s="1"/>
  <c r="M70" i="27"/>
  <c r="AH17" i="27"/>
  <c r="AG17" i="27"/>
  <c r="I39" i="29"/>
  <c r="L58" i="27"/>
  <c r="L59" i="27" s="1"/>
  <c r="L60" i="27" s="1"/>
  <c r="C29" i="29"/>
  <c r="F48" i="27"/>
  <c r="F49" i="27" s="1"/>
  <c r="F50" i="27" s="1"/>
  <c r="C39" i="29"/>
  <c r="F58" i="27"/>
  <c r="F59" i="27" s="1"/>
  <c r="F60" i="27" s="1"/>
  <c r="H39" i="29"/>
  <c r="K58" i="27"/>
  <c r="K59" i="27" s="1"/>
  <c r="K60" i="27" s="1"/>
  <c r="C19" i="29"/>
  <c r="F38" i="27"/>
  <c r="F39" i="27" s="1"/>
  <c r="F40" i="27" s="1"/>
  <c r="F49" i="29"/>
  <c r="I68" i="27"/>
  <c r="I69" i="27" s="1"/>
  <c r="J9" i="29"/>
  <c r="M28" i="27"/>
  <c r="E49" i="29"/>
  <c r="H68" i="27"/>
  <c r="H69" i="27" s="1"/>
  <c r="J50" i="29"/>
  <c r="J51" i="29" s="1"/>
  <c r="J52" i="29"/>
  <c r="AH18" i="27"/>
  <c r="AH70" i="27"/>
  <c r="AG70" i="27"/>
  <c r="AG18" i="27"/>
  <c r="AJ69" i="27"/>
  <c r="AJ17" i="27"/>
  <c r="AA28" i="27"/>
  <c r="AA29" i="27" s="1"/>
  <c r="Y74" i="28"/>
  <c r="AK69" i="27"/>
  <c r="AK17" i="27"/>
  <c r="R28" i="27"/>
  <c r="R29" i="27" s="1"/>
  <c r="R18" i="27" s="1"/>
  <c r="P74" i="28"/>
  <c r="G29" i="29"/>
  <c r="J48" i="27"/>
  <c r="J49" i="27" s="1"/>
  <c r="J50" i="27" s="1"/>
  <c r="J39" i="29"/>
  <c r="M58" i="27"/>
  <c r="M59" i="27" s="1"/>
  <c r="M60" i="27" s="1"/>
  <c r="AN69" i="27"/>
  <c r="C49" i="29"/>
  <c r="F68" i="27"/>
  <c r="F69" i="27" s="1"/>
  <c r="E39" i="29"/>
  <c r="H58" i="27"/>
  <c r="H59" i="27" s="1"/>
  <c r="H60" i="27" s="1"/>
  <c r="N28" i="27"/>
  <c r="N29" i="27" s="1"/>
  <c r="N30" i="27" s="1"/>
  <c r="N31" i="27" s="1"/>
  <c r="L74" i="28"/>
  <c r="D40" i="29"/>
  <c r="D41" i="29" s="1"/>
  <c r="D42" i="29"/>
  <c r="AM70" i="27"/>
  <c r="AF69" i="27"/>
  <c r="AF17" i="27"/>
  <c r="D20" i="29"/>
  <c r="D21" i="29" s="1"/>
  <c r="D22" i="29"/>
  <c r="H49" i="29"/>
  <c r="K68" i="27"/>
  <c r="K69" i="27" s="1"/>
  <c r="J29" i="29"/>
  <c r="M48" i="27"/>
  <c r="M49" i="27" s="1"/>
  <c r="M50" i="27" s="1"/>
  <c r="C10" i="29"/>
  <c r="C11" i="29" s="1"/>
  <c r="C12" i="29"/>
  <c r="C13" i="29" s="1"/>
  <c r="C14" i="29" s="1"/>
  <c r="C15" i="29" s="1"/>
  <c r="D13" i="29" s="1"/>
  <c r="D14" i="29" s="1"/>
  <c r="D15" i="29" s="1"/>
  <c r="F29" i="29"/>
  <c r="I48" i="27"/>
  <c r="I49" i="27" s="1"/>
  <c r="I50" i="27" s="1"/>
  <c r="H10" i="29"/>
  <c r="H11" i="29" s="1"/>
  <c r="H12" i="29"/>
  <c r="J70" i="27"/>
  <c r="H19" i="29"/>
  <c r="K38" i="27"/>
  <c r="K39" i="27" s="1"/>
  <c r="K40" i="27" s="1"/>
  <c r="H29" i="29"/>
  <c r="K48" i="27"/>
  <c r="K49" i="27" s="1"/>
  <c r="K50" i="27" s="1"/>
  <c r="F39" i="29"/>
  <c r="I58" i="27"/>
  <c r="I59" i="27" s="1"/>
  <c r="I60" i="27" s="1"/>
  <c r="I19" i="29"/>
  <c r="L38" i="27"/>
  <c r="L39" i="27" s="1"/>
  <c r="L40" i="27" s="1"/>
  <c r="F74" i="28"/>
  <c r="G50" i="29"/>
  <c r="G51" i="29" s="1"/>
  <c r="G52" i="29"/>
  <c r="I30" i="29"/>
  <c r="I31" i="29" s="1"/>
  <c r="I32" i="29"/>
  <c r="E29" i="29"/>
  <c r="H48" i="27"/>
  <c r="H49" i="27" s="1"/>
  <c r="H50" i="27" s="1"/>
  <c r="D29" i="29"/>
  <c r="G48" i="27"/>
  <c r="G49" i="27" s="1"/>
  <c r="AR28" i="27"/>
  <c r="AR29" i="27" s="1"/>
  <c r="AR30" i="27" s="1"/>
  <c r="AR31" i="27" s="1"/>
  <c r="AP74" i="28"/>
  <c r="AI69" i="27"/>
  <c r="AI17" i="27"/>
  <c r="AP70" i="27"/>
  <c r="I49" i="29"/>
  <c r="L68" i="27"/>
  <c r="L69" i="27" s="1"/>
  <c r="G31" i="27"/>
  <c r="AR69" i="27"/>
  <c r="G39" i="29"/>
  <c r="J58" i="27"/>
  <c r="J59" i="27" s="1"/>
  <c r="J60" i="27" s="1"/>
  <c r="D50" i="29"/>
  <c r="D51" i="29" s="1"/>
  <c r="D52" i="29"/>
  <c r="J19" i="29"/>
  <c r="M38" i="27"/>
  <c r="M39" i="27" s="1"/>
  <c r="M40" i="27" s="1"/>
  <c r="E12" i="29"/>
  <c r="E10" i="29"/>
  <c r="E11" i="29" s="1"/>
  <c r="F10" i="29"/>
  <c r="F11" i="29" s="1"/>
  <c r="F12" i="29"/>
  <c r="AW70" i="27"/>
  <c r="AW71" i="27" s="1"/>
  <c r="AT74" i="28"/>
  <c r="AV69" i="27"/>
  <c r="AU28" i="27"/>
  <c r="AU29" i="27" s="1"/>
  <c r="AU30" i="27" s="1"/>
  <c r="AU31" i="27" s="1"/>
  <c r="AS74" i="28"/>
  <c r="AR74" i="28"/>
  <c r="AT16" i="27"/>
  <c r="AO74" i="28"/>
  <c r="AQ17" i="27"/>
  <c r="AQ31" i="27"/>
  <c r="AQ70" i="27"/>
  <c r="AQ18" i="27"/>
  <c r="AL69" i="27"/>
  <c r="AL17" i="27"/>
  <c r="AK16" i="27"/>
  <c r="Z69" i="27"/>
  <c r="BE71" i="1"/>
  <c r="BE20" i="1" s="1"/>
  <c r="Z28" i="27"/>
  <c r="Z29" i="27" s="1"/>
  <c r="X74" i="28"/>
  <c r="BH71" i="1"/>
  <c r="AZ71" i="1"/>
  <c r="BA19" i="1"/>
  <c r="BA71" i="1"/>
  <c r="AD6" i="22"/>
  <c r="AD7" i="22" s="1"/>
  <c r="AD8" i="22" s="1"/>
  <c r="AM74" i="28"/>
  <c r="AI74" i="28"/>
  <c r="AF74" i="28"/>
  <c r="W74" i="28"/>
  <c r="AJ74" i="28"/>
  <c r="D74" i="28"/>
  <c r="T36" i="28"/>
  <c r="AU44" i="28" s="1"/>
  <c r="AE74" i="28"/>
  <c r="K74" i="28"/>
  <c r="AC27" i="22"/>
  <c r="AC28" i="22" s="1"/>
  <c r="AC29" i="22" s="1"/>
  <c r="BI19" i="1"/>
  <c r="BI71" i="1"/>
  <c r="BB19" i="1"/>
  <c r="BB71" i="1"/>
  <c r="BJ19" i="1"/>
  <c r="BJ71" i="1"/>
  <c r="BD19" i="1"/>
  <c r="BD71" i="1"/>
  <c r="BG19" i="1"/>
  <c r="BG71" i="1"/>
  <c r="BC19" i="1"/>
  <c r="BC71" i="1"/>
  <c r="BF19" i="1"/>
  <c r="BF71" i="1"/>
  <c r="AW18" i="27" l="1"/>
  <c r="AT17" i="27"/>
  <c r="AP18" i="27"/>
  <c r="AS18" i="27"/>
  <c r="AP17" i="27"/>
  <c r="AS17" i="27"/>
  <c r="AM18" i="27"/>
  <c r="AW17" i="27"/>
  <c r="AN17" i="27"/>
  <c r="AO17" i="27"/>
  <c r="AM17" i="27"/>
  <c r="AK12" i="22"/>
  <c r="AD13" i="22"/>
  <c r="AD14" i="22" s="1"/>
  <c r="AD15" i="22" s="1"/>
  <c r="AE11" i="22"/>
  <c r="AF25" i="22"/>
  <c r="AE27" i="22"/>
  <c r="AE28" i="22" s="1"/>
  <c r="AE29" i="22" s="1"/>
  <c r="AL26" i="22"/>
  <c r="AM26" i="22" s="1"/>
  <c r="AD34" i="22"/>
  <c r="AD35" i="22" s="1"/>
  <c r="AD36" i="22" s="1"/>
  <c r="AE32" i="22"/>
  <c r="AG4" i="22"/>
  <c r="AF6" i="22"/>
  <c r="AF7" i="22" s="1"/>
  <c r="AF8" i="22" s="1"/>
  <c r="AL33" i="22"/>
  <c r="AM33" i="22" s="1"/>
  <c r="AK19" i="22"/>
  <c r="AL19" i="22" s="1"/>
  <c r="AD20" i="22"/>
  <c r="AD21" i="22" s="1"/>
  <c r="AD22" i="22" s="1"/>
  <c r="AE18" i="22"/>
  <c r="N18" i="27"/>
  <c r="E13" i="29"/>
  <c r="E14" i="29" s="1"/>
  <c r="E15" i="29" s="1"/>
  <c r="F13" i="29" s="1"/>
  <c r="F14" i="29" s="1"/>
  <c r="F15" i="29" s="1"/>
  <c r="AR70" i="27"/>
  <c r="AR18" i="27"/>
  <c r="K70" i="27"/>
  <c r="K19" i="27" s="1"/>
  <c r="K18" i="27"/>
  <c r="M29" i="27"/>
  <c r="M30" i="27" s="1"/>
  <c r="M19" i="27" s="1"/>
  <c r="M31" i="27"/>
  <c r="G10" i="29"/>
  <c r="G11" i="29" s="1"/>
  <c r="G12" i="29"/>
  <c r="AU17" i="27"/>
  <c r="H30" i="29"/>
  <c r="H31" i="29" s="1"/>
  <c r="H32" i="29"/>
  <c r="H52" i="29"/>
  <c r="H50" i="29"/>
  <c r="H51" i="29" s="1"/>
  <c r="AN70" i="27"/>
  <c r="AN18" i="27"/>
  <c r="AG19" i="27"/>
  <c r="AG71" i="27"/>
  <c r="AG20" i="27" s="1"/>
  <c r="J10" i="29"/>
  <c r="J11" i="29" s="1"/>
  <c r="J12" i="29"/>
  <c r="C40" i="29"/>
  <c r="C41" i="29" s="1"/>
  <c r="C42" i="29"/>
  <c r="J20" i="29"/>
  <c r="J21" i="29" s="1"/>
  <c r="J22" i="29"/>
  <c r="L70" i="27"/>
  <c r="L19" i="27" s="1"/>
  <c r="L18" i="27"/>
  <c r="AK70" i="27"/>
  <c r="AK18" i="27"/>
  <c r="AH19" i="27"/>
  <c r="AH71" i="27"/>
  <c r="AH20" i="27" s="1"/>
  <c r="I70" i="27"/>
  <c r="I19" i="27" s="1"/>
  <c r="I18" i="27"/>
  <c r="I50" i="29"/>
  <c r="I51" i="29" s="1"/>
  <c r="I52" i="29"/>
  <c r="G50" i="27"/>
  <c r="G19" i="27" s="1"/>
  <c r="G18" i="27"/>
  <c r="AO18" i="27"/>
  <c r="AO70" i="27"/>
  <c r="F30" i="29"/>
  <c r="F31" i="29" s="1"/>
  <c r="F32" i="29"/>
  <c r="J40" i="29"/>
  <c r="J41" i="29" s="1"/>
  <c r="J42" i="29"/>
  <c r="F50" i="29"/>
  <c r="F51" i="29" s="1"/>
  <c r="F52" i="29"/>
  <c r="C30" i="29"/>
  <c r="C31" i="29" s="1"/>
  <c r="C32" i="29"/>
  <c r="C33" i="29" s="1"/>
  <c r="C34" i="29" s="1"/>
  <c r="C35" i="29" s="1"/>
  <c r="D33" i="29" s="1"/>
  <c r="D34" i="29" s="1"/>
  <c r="D35" i="29" s="1"/>
  <c r="F22" i="29"/>
  <c r="F20" i="29"/>
  <c r="F21" i="29" s="1"/>
  <c r="D30" i="29"/>
  <c r="D31" i="29" s="1"/>
  <c r="D32" i="29"/>
  <c r="AV17" i="27"/>
  <c r="AP19" i="27"/>
  <c r="AP71" i="27"/>
  <c r="AP20" i="27" s="1"/>
  <c r="I20" i="29"/>
  <c r="I21" i="29" s="1"/>
  <c r="I22" i="29"/>
  <c r="H20" i="29"/>
  <c r="H21" i="29" s="1"/>
  <c r="H22" i="29"/>
  <c r="AF18" i="27"/>
  <c r="AF70" i="27"/>
  <c r="E40" i="29"/>
  <c r="E41" i="29" s="1"/>
  <c r="E42" i="29"/>
  <c r="C20" i="29"/>
  <c r="C21" i="29" s="1"/>
  <c r="C22" i="29"/>
  <c r="I40" i="29"/>
  <c r="I41" i="29" s="1"/>
  <c r="I42" i="29"/>
  <c r="G22" i="29"/>
  <c r="G20" i="29"/>
  <c r="G21" i="29" s="1"/>
  <c r="I10" i="29"/>
  <c r="I11" i="29" s="1"/>
  <c r="I12" i="29"/>
  <c r="G40" i="29"/>
  <c r="G41" i="29" s="1"/>
  <c r="G42" i="29"/>
  <c r="E30" i="29"/>
  <c r="E31" i="29" s="1"/>
  <c r="E32" i="29"/>
  <c r="J18" i="27"/>
  <c r="F70" i="27"/>
  <c r="F19" i="27" s="1"/>
  <c r="F18" i="27"/>
  <c r="G30" i="29"/>
  <c r="G31" i="29" s="1"/>
  <c r="G32" i="29"/>
  <c r="AJ70" i="27"/>
  <c r="AJ18" i="27"/>
  <c r="H70" i="27"/>
  <c r="H19" i="27" s="1"/>
  <c r="H18" i="27"/>
  <c r="AR17" i="27"/>
  <c r="AI70" i="27"/>
  <c r="AI18" i="27"/>
  <c r="F40" i="29"/>
  <c r="F41" i="29" s="1"/>
  <c r="F42" i="29"/>
  <c r="J19" i="27"/>
  <c r="J30" i="29"/>
  <c r="J31" i="29" s="1"/>
  <c r="J32" i="29"/>
  <c r="AM19" i="27"/>
  <c r="AM71" i="27"/>
  <c r="AM20" i="27" s="1"/>
  <c r="C50" i="29"/>
  <c r="C51" i="29" s="1"/>
  <c r="C52" i="29"/>
  <c r="E50" i="29"/>
  <c r="E51" i="29" s="1"/>
  <c r="E52" i="29"/>
  <c r="H40" i="29"/>
  <c r="H41" i="29" s="1"/>
  <c r="H42" i="29"/>
  <c r="E20" i="29"/>
  <c r="E21" i="29" s="1"/>
  <c r="E22" i="29"/>
  <c r="AW19" i="27"/>
  <c r="AV70" i="27"/>
  <c r="AV18" i="27"/>
  <c r="AU70" i="27"/>
  <c r="AU18" i="27"/>
  <c r="AT70" i="27"/>
  <c r="AT18" i="27"/>
  <c r="AS19" i="27"/>
  <c r="AS71" i="27"/>
  <c r="AQ19" i="27"/>
  <c r="AQ71" i="27"/>
  <c r="AL70" i="27"/>
  <c r="AL18" i="27"/>
  <c r="Z17" i="27"/>
  <c r="Z18" i="27"/>
  <c r="BH20" i="1"/>
  <c r="AZ20" i="1"/>
  <c r="BA20" i="1"/>
  <c r="BC20" i="1"/>
  <c r="BD20" i="1"/>
  <c r="BJ20" i="1"/>
  <c r="BB20" i="1"/>
  <c r="BI20" i="1"/>
  <c r="BF20" i="1"/>
  <c r="BG20" i="1"/>
  <c r="AG25" i="22" l="1"/>
  <c r="AF27" i="22"/>
  <c r="AF28" i="22" s="1"/>
  <c r="AF29" i="22" s="1"/>
  <c r="AE13" i="22"/>
  <c r="AE14" i="22" s="1"/>
  <c r="AE15" i="22" s="1"/>
  <c r="AF11" i="22"/>
  <c r="AH4" i="22"/>
  <c r="AG6" i="22"/>
  <c r="AG7" i="22" s="1"/>
  <c r="AG8" i="22" s="1"/>
  <c r="AE20" i="22"/>
  <c r="AE21" i="22" s="1"/>
  <c r="AE22" i="22" s="1"/>
  <c r="AF18" i="22"/>
  <c r="AF32" i="22"/>
  <c r="AE34" i="22"/>
  <c r="AE35" i="22" s="1"/>
  <c r="AE36" i="22" s="1"/>
  <c r="AM19" i="22"/>
  <c r="AL12" i="22"/>
  <c r="AK19" i="27"/>
  <c r="AK71" i="27"/>
  <c r="AK20" i="27" s="1"/>
  <c r="C53" i="29"/>
  <c r="C54" i="29" s="1"/>
  <c r="C55" i="29" s="1"/>
  <c r="D53" i="29" s="1"/>
  <c r="D54" i="29" s="1"/>
  <c r="D55" i="29" s="1"/>
  <c r="E53" i="29" s="1"/>
  <c r="E54" i="29" s="1"/>
  <c r="E55" i="29" s="1"/>
  <c r="F53" i="29" s="1"/>
  <c r="F54" i="29" s="1"/>
  <c r="F55" i="29" s="1"/>
  <c r="G53" i="29" s="1"/>
  <c r="G54" i="29" s="1"/>
  <c r="G55" i="29" s="1"/>
  <c r="H53" i="29" s="1"/>
  <c r="H54" i="29" s="1"/>
  <c r="H55" i="29" s="1"/>
  <c r="I53" i="29" s="1"/>
  <c r="I54" i="29" s="1"/>
  <c r="I55" i="29" s="1"/>
  <c r="J53" i="29" s="1"/>
  <c r="J54" i="29" s="1"/>
  <c r="J55" i="29" s="1"/>
  <c r="AJ19" i="27"/>
  <c r="AJ71" i="27"/>
  <c r="AJ20" i="27" s="1"/>
  <c r="C23" i="29"/>
  <c r="C24" i="29" s="1"/>
  <c r="C25" i="29" s="1"/>
  <c r="D23" i="29" s="1"/>
  <c r="D24" i="29" s="1"/>
  <c r="D25" i="29" s="1"/>
  <c r="E23" i="29" s="1"/>
  <c r="E24" i="29" s="1"/>
  <c r="E25" i="29" s="1"/>
  <c r="F23" i="29" s="1"/>
  <c r="F24" i="29" s="1"/>
  <c r="F25" i="29" s="1"/>
  <c r="G23" i="29" s="1"/>
  <c r="G24" i="29" s="1"/>
  <c r="G25" i="29" s="1"/>
  <c r="H23" i="29" s="1"/>
  <c r="H24" i="29" s="1"/>
  <c r="H25" i="29" s="1"/>
  <c r="I23" i="29" s="1"/>
  <c r="I24" i="29" s="1"/>
  <c r="I25" i="29" s="1"/>
  <c r="J23" i="29" s="1"/>
  <c r="J24" i="29" s="1"/>
  <c r="J25" i="29" s="1"/>
  <c r="E33" i="29"/>
  <c r="E34" i="29" s="1"/>
  <c r="E35" i="29" s="1"/>
  <c r="F33" i="29" s="1"/>
  <c r="F34" i="29" s="1"/>
  <c r="F35" i="29" s="1"/>
  <c r="G33" i="29" s="1"/>
  <c r="G34" i="29" s="1"/>
  <c r="G35" i="29" s="1"/>
  <c r="H33" i="29" s="1"/>
  <c r="H34" i="29" s="1"/>
  <c r="H35" i="29" s="1"/>
  <c r="I33" i="29" s="1"/>
  <c r="I34" i="29" s="1"/>
  <c r="I35" i="29" s="1"/>
  <c r="J33" i="29" s="1"/>
  <c r="J34" i="29" s="1"/>
  <c r="J35" i="29" s="1"/>
  <c r="AO19" i="27"/>
  <c r="AO71" i="27"/>
  <c r="AO20" i="27" s="1"/>
  <c r="G13" i="29"/>
  <c r="G14" i="29" s="1"/>
  <c r="G15" i="29" s="1"/>
  <c r="H13" i="29" s="1"/>
  <c r="H14" i="29" s="1"/>
  <c r="H15" i="29" s="1"/>
  <c r="I13" i="29" s="1"/>
  <c r="I14" i="29" s="1"/>
  <c r="I15" i="29" s="1"/>
  <c r="J13" i="29" s="1"/>
  <c r="J14" i="29" s="1"/>
  <c r="J15" i="29" s="1"/>
  <c r="AI19" i="27"/>
  <c r="AI71" i="27"/>
  <c r="AI20" i="27" s="1"/>
  <c r="AN19" i="27"/>
  <c r="AN71" i="27"/>
  <c r="AN20" i="27" s="1"/>
  <c r="AF19" i="27"/>
  <c r="AF71" i="27"/>
  <c r="AF20" i="27" s="1"/>
  <c r="C43" i="29"/>
  <c r="C44" i="29" s="1"/>
  <c r="C45" i="29" s="1"/>
  <c r="D43" i="29" s="1"/>
  <c r="D44" i="29" s="1"/>
  <c r="D45" i="29" s="1"/>
  <c r="E43" i="29" s="1"/>
  <c r="E44" i="29" s="1"/>
  <c r="E45" i="29" s="1"/>
  <c r="F43" i="29" s="1"/>
  <c r="F44" i="29" s="1"/>
  <c r="F45" i="29" s="1"/>
  <c r="G43" i="29" s="1"/>
  <c r="G44" i="29" s="1"/>
  <c r="G45" i="29" s="1"/>
  <c r="H43" i="29" s="1"/>
  <c r="H44" i="29" s="1"/>
  <c r="H45" i="29" s="1"/>
  <c r="I43" i="29" s="1"/>
  <c r="I44" i="29" s="1"/>
  <c r="I45" i="29" s="1"/>
  <c r="J43" i="29" s="1"/>
  <c r="J44" i="29" s="1"/>
  <c r="J45" i="29" s="1"/>
  <c r="M18" i="27"/>
  <c r="AR19" i="27"/>
  <c r="AR71" i="27"/>
  <c r="AR20" i="27" s="1"/>
  <c r="AW20" i="27"/>
  <c r="AV19" i="27"/>
  <c r="AV71" i="27"/>
  <c r="AU19" i="27"/>
  <c r="AU71" i="27"/>
  <c r="AT19" i="27"/>
  <c r="AT71" i="27"/>
  <c r="AS20" i="27"/>
  <c r="AQ20" i="27"/>
  <c r="AL19" i="27"/>
  <c r="AL71" i="27"/>
  <c r="AM12" i="22" l="1"/>
  <c r="AH6" i="22"/>
  <c r="AH7" i="22" s="1"/>
  <c r="AH8" i="22" s="1"/>
  <c r="AI4" i="22"/>
  <c r="AG32" i="22"/>
  <c r="AF34" i="22"/>
  <c r="AF35" i="22" s="1"/>
  <c r="AF36" i="22" s="1"/>
  <c r="AH25" i="22"/>
  <c r="AG27" i="22"/>
  <c r="AG28" i="22" s="1"/>
  <c r="AG29" i="22" s="1"/>
  <c r="AG11" i="22"/>
  <c r="AF13" i="22"/>
  <c r="AF14" i="22" s="1"/>
  <c r="AF15" i="22" s="1"/>
  <c r="AG18" i="22"/>
  <c r="AF20" i="22"/>
  <c r="AF21" i="22" s="1"/>
  <c r="AF22" i="22" s="1"/>
  <c r="AV20" i="27"/>
  <c r="AU20" i="27"/>
  <c r="AT20" i="27"/>
  <c r="AL20" i="27"/>
  <c r="AH32" i="22" l="1"/>
  <c r="AG34" i="22"/>
  <c r="AG35" i="22" s="1"/>
  <c r="AG36" i="22" s="1"/>
  <c r="AI6" i="22"/>
  <c r="AI7" i="22" s="1"/>
  <c r="AI8" i="22" s="1"/>
  <c r="AJ4" i="22"/>
  <c r="AH27" i="22"/>
  <c r="AH28" i="22" s="1"/>
  <c r="AH29" i="22" s="1"/>
  <c r="AI25" i="22"/>
  <c r="AG20" i="22"/>
  <c r="AG21" i="22" s="1"/>
  <c r="AG22" i="22" s="1"/>
  <c r="AH18" i="22"/>
  <c r="AG13" i="22"/>
  <c r="AG14" i="22" s="1"/>
  <c r="AG15" i="22" s="1"/>
  <c r="AH11" i="22"/>
  <c r="AB3" i="22"/>
  <c r="AB10" i="22"/>
  <c r="AB17" i="22"/>
  <c r="AB24" i="22"/>
  <c r="AB31" i="22"/>
  <c r="AI27" i="22" l="1"/>
  <c r="AI28" i="22" s="1"/>
  <c r="AI29" i="22" s="1"/>
  <c r="AJ25" i="22"/>
  <c r="AI18" i="22"/>
  <c r="AH20" i="22"/>
  <c r="AH21" i="22" s="1"/>
  <c r="AH22" i="22" s="1"/>
  <c r="AK4" i="22"/>
  <c r="AJ6" i="22"/>
  <c r="AJ7" i="22" s="1"/>
  <c r="AJ8" i="22" s="1"/>
  <c r="AI11" i="22"/>
  <c r="AH13" i="22"/>
  <c r="AH14" i="22" s="1"/>
  <c r="AH15" i="22" s="1"/>
  <c r="AI32" i="22"/>
  <c r="AH34" i="22"/>
  <c r="AH35" i="22" s="1"/>
  <c r="AH36" i="22" s="1"/>
  <c r="AZ8" i="1"/>
  <c r="BA8" i="1"/>
  <c r="BB8" i="1"/>
  <c r="BC8" i="1"/>
  <c r="BD8" i="1"/>
  <c r="BE8" i="1"/>
  <c r="BF8" i="1"/>
  <c r="BG8" i="1"/>
  <c r="BH8" i="1"/>
  <c r="AY16" i="1"/>
  <c r="AZ16" i="1"/>
  <c r="BA16" i="1"/>
  <c r="BC16" i="1"/>
  <c r="BD16" i="1"/>
  <c r="BE16" i="1"/>
  <c r="BF16" i="1"/>
  <c r="BG16" i="1"/>
  <c r="BH16" i="1"/>
  <c r="BI16" i="1"/>
  <c r="BA17" i="1"/>
  <c r="BB17" i="1"/>
  <c r="BD17" i="1"/>
  <c r="BE17" i="1"/>
  <c r="BF17" i="1"/>
  <c r="BH17" i="1"/>
  <c r="BI17" i="1"/>
  <c r="BJ17" i="1"/>
  <c r="AZ78" i="1"/>
  <c r="BA78" i="1"/>
  <c r="BB78" i="1"/>
  <c r="BC78" i="1"/>
  <c r="BD78" i="1"/>
  <c r="BE78" i="1"/>
  <c r="BF78" i="1"/>
  <c r="BG78" i="1"/>
  <c r="BI78" i="1"/>
  <c r="BJ78" i="1"/>
  <c r="AO85" i="1"/>
  <c r="AP85" i="1"/>
  <c r="AQ85" i="1"/>
  <c r="AR85" i="1"/>
  <c r="AS85" i="1"/>
  <c r="AT85" i="1"/>
  <c r="AU85" i="1"/>
  <c r="AN85" i="1"/>
  <c r="AN87" i="1" s="1"/>
  <c r="AM95" i="1"/>
  <c r="AM87" i="1"/>
  <c r="AK6" i="22" l="1"/>
  <c r="AK7" i="22" s="1"/>
  <c r="AK8" i="22" s="1"/>
  <c r="AL4" i="22"/>
  <c r="AJ18" i="22"/>
  <c r="AI20" i="22"/>
  <c r="AI21" i="22" s="1"/>
  <c r="AI22" i="22" s="1"/>
  <c r="AJ11" i="22"/>
  <c r="AI13" i="22"/>
  <c r="AI14" i="22" s="1"/>
  <c r="AI15" i="22" s="1"/>
  <c r="AJ27" i="22"/>
  <c r="AJ28" i="22" s="1"/>
  <c r="AJ29" i="22" s="1"/>
  <c r="AK25" i="22"/>
  <c r="AJ32" i="22"/>
  <c r="AI34" i="22"/>
  <c r="AI35" i="22" s="1"/>
  <c r="AI36" i="22" s="1"/>
  <c r="AZ17" i="1"/>
  <c r="BG17" i="1"/>
  <c r="BC17" i="1"/>
  <c r="AY17" i="1"/>
  <c r="AJ13" i="22" l="1"/>
  <c r="AJ14" i="22" s="1"/>
  <c r="AJ15" i="22" s="1"/>
  <c r="AK11" i="22"/>
  <c r="AK27" i="22"/>
  <c r="AK28" i="22" s="1"/>
  <c r="AK29" i="22" s="1"/>
  <c r="AL25" i="22"/>
  <c r="AJ20" i="22"/>
  <c r="AJ21" i="22" s="1"/>
  <c r="AJ22" i="22" s="1"/>
  <c r="AK18" i="22"/>
  <c r="AM4" i="22"/>
  <c r="AM6" i="22" s="1"/>
  <c r="AM7" i="22" s="1"/>
  <c r="AM8" i="22" s="1"/>
  <c r="AY29" i="1" s="1"/>
  <c r="AY30" i="1" s="1"/>
  <c r="AY31" i="1" s="1"/>
  <c r="AL6" i="22"/>
  <c r="AL7" i="22" s="1"/>
  <c r="AL8" i="22" s="1"/>
  <c r="AK32" i="22"/>
  <c r="AJ34" i="22"/>
  <c r="AJ35" i="22" s="1"/>
  <c r="AJ36" i="22" s="1"/>
  <c r="C8" i="27"/>
  <c r="C10" i="27" s="1"/>
  <c r="D8" i="27"/>
  <c r="O93" i="27"/>
  <c r="P93" i="27" s="1"/>
  <c r="Q93" i="27" s="1"/>
  <c r="R93" i="27" s="1"/>
  <c r="S93" i="27" s="1"/>
  <c r="T93" i="27" s="1"/>
  <c r="U93" i="27" s="1"/>
  <c r="V93" i="27" s="1"/>
  <c r="W93" i="27" s="1"/>
  <c r="X93" i="27" s="1"/>
  <c r="Y93" i="27" s="1"/>
  <c r="Z93" i="27" s="1"/>
  <c r="AA93" i="27" s="1"/>
  <c r="AB93" i="27" s="1"/>
  <c r="AC93" i="27" s="1"/>
  <c r="AD93" i="27" s="1"/>
  <c r="AE93" i="27" s="1"/>
  <c r="AF93" i="27" s="1"/>
  <c r="AG93" i="27" s="1"/>
  <c r="AH93" i="27" s="1"/>
  <c r="AI93" i="27" s="1"/>
  <c r="AJ93" i="27" s="1"/>
  <c r="AK93" i="27" s="1"/>
  <c r="AL93" i="27" s="1"/>
  <c r="AA87" i="27"/>
  <c r="AA88" i="27" s="1"/>
  <c r="Z87" i="27"/>
  <c r="Z88" i="27" s="1"/>
  <c r="Y87" i="27"/>
  <c r="Y88" i="27" s="1"/>
  <c r="X87" i="27"/>
  <c r="X88" i="27" s="1"/>
  <c r="W87" i="27"/>
  <c r="W88" i="27" s="1"/>
  <c r="V87" i="27"/>
  <c r="V88" i="27" s="1"/>
  <c r="U87" i="27"/>
  <c r="U88" i="27" s="1"/>
  <c r="T87" i="27"/>
  <c r="T88" i="27" s="1"/>
  <c r="S87" i="27"/>
  <c r="S88" i="27" s="1"/>
  <c r="R87" i="27"/>
  <c r="R88" i="27" s="1"/>
  <c r="Q87" i="27"/>
  <c r="Q88" i="27" s="1"/>
  <c r="P87" i="27"/>
  <c r="P88" i="27" s="1"/>
  <c r="O87" i="27"/>
  <c r="O88" i="27" s="1"/>
  <c r="N87" i="27"/>
  <c r="N89" i="27" s="1"/>
  <c r="N91" i="27" s="1"/>
  <c r="X79" i="27"/>
  <c r="AE16" i="27"/>
  <c r="W16" i="27"/>
  <c r="S16" i="27"/>
  <c r="M71" i="27"/>
  <c r="L71" i="27"/>
  <c r="K71" i="27"/>
  <c r="J71" i="27"/>
  <c r="I71" i="27"/>
  <c r="H71" i="27"/>
  <c r="G71" i="27"/>
  <c r="F71" i="27"/>
  <c r="F72" i="27" s="1"/>
  <c r="AB16" i="27"/>
  <c r="P16" i="27"/>
  <c r="M61" i="27"/>
  <c r="L61" i="27"/>
  <c r="K61" i="27"/>
  <c r="J61" i="27"/>
  <c r="I61" i="27"/>
  <c r="H61" i="27"/>
  <c r="G61" i="27"/>
  <c r="F61" i="27"/>
  <c r="F62" i="27" s="1"/>
  <c r="M51" i="27"/>
  <c r="L51" i="27"/>
  <c r="K51" i="27"/>
  <c r="J51" i="27"/>
  <c r="I51" i="27"/>
  <c r="H51" i="27"/>
  <c r="G51" i="27"/>
  <c r="F51" i="27"/>
  <c r="F52" i="27" s="1"/>
  <c r="M41" i="27"/>
  <c r="L41" i="27"/>
  <c r="K41" i="27"/>
  <c r="J41" i="27"/>
  <c r="I41" i="27"/>
  <c r="H41" i="27"/>
  <c r="G41" i="27"/>
  <c r="F41" i="27"/>
  <c r="F42" i="27" s="1"/>
  <c r="H31" i="27"/>
  <c r="AC16" i="27"/>
  <c r="Y16" i="27"/>
  <c r="U16" i="27"/>
  <c r="Q16" i="27"/>
  <c r="L31" i="27"/>
  <c r="K31" i="27"/>
  <c r="J31" i="27"/>
  <c r="F31" i="27"/>
  <c r="F32" i="27" s="1"/>
  <c r="AB17" i="27"/>
  <c r="AA17" i="27"/>
  <c r="X17" i="27"/>
  <c r="V17" i="27"/>
  <c r="T17" i="27"/>
  <c r="O17" i="27"/>
  <c r="N17" i="27"/>
  <c r="M17" i="27"/>
  <c r="L17" i="27"/>
  <c r="K17" i="27"/>
  <c r="J17" i="27"/>
  <c r="I17" i="27"/>
  <c r="H17" i="27"/>
  <c r="G17" i="27"/>
  <c r="F17" i="27"/>
  <c r="AD16" i="27"/>
  <c r="AA16" i="27"/>
  <c r="V16" i="27"/>
  <c r="T16" i="27"/>
  <c r="R16" i="27"/>
  <c r="O16" i="27"/>
  <c r="N16" i="27"/>
  <c r="J16" i="27"/>
  <c r="AE8" i="27"/>
  <c r="AC8" i="27"/>
  <c r="AB8" i="27"/>
  <c r="AA8" i="27"/>
  <c r="Z8" i="27"/>
  <c r="Y8" i="27"/>
  <c r="X8" i="27"/>
  <c r="W8" i="27"/>
  <c r="V8" i="27"/>
  <c r="U8" i="27"/>
  <c r="S8" i="27"/>
  <c r="R8" i="27"/>
  <c r="Q8" i="27"/>
  <c r="P8" i="27"/>
  <c r="N8" i="27"/>
  <c r="M8" i="27"/>
  <c r="L8" i="27"/>
  <c r="K8" i="27"/>
  <c r="J8" i="27"/>
  <c r="I8" i="27"/>
  <c r="H8" i="27"/>
  <c r="G8" i="27"/>
  <c r="F8" i="27"/>
  <c r="E8" i="27"/>
  <c r="O8" i="27"/>
  <c r="AM25" i="22" l="1"/>
  <c r="AM27" i="22" s="1"/>
  <c r="AM28" i="22" s="1"/>
  <c r="AM29" i="22" s="1"/>
  <c r="AY59" i="1" s="1"/>
  <c r="AY60" i="1" s="1"/>
  <c r="AY61" i="1" s="1"/>
  <c r="AL27" i="22"/>
  <c r="AL28" i="22" s="1"/>
  <c r="AL29" i="22" s="1"/>
  <c r="AL18" i="22"/>
  <c r="AK20" i="22"/>
  <c r="AK21" i="22" s="1"/>
  <c r="AK22" i="22" s="1"/>
  <c r="AK13" i="22"/>
  <c r="AK14" i="22" s="1"/>
  <c r="AK15" i="22" s="1"/>
  <c r="AL11" i="22"/>
  <c r="AK34" i="22"/>
  <c r="AK35" i="22" s="1"/>
  <c r="AK36" i="22" s="1"/>
  <c r="AL32" i="22"/>
  <c r="AM93" i="27"/>
  <c r="AN93" i="27" s="1"/>
  <c r="F21" i="27"/>
  <c r="G20" i="27"/>
  <c r="J20" i="27"/>
  <c r="L20" i="27"/>
  <c r="K16" i="27"/>
  <c r="P17" i="27"/>
  <c r="W17" i="27"/>
  <c r="L16" i="27"/>
  <c r="S17" i="27"/>
  <c r="AE17" i="27"/>
  <c r="G16" i="27"/>
  <c r="AD17" i="27"/>
  <c r="X16" i="27"/>
  <c r="Y17" i="27"/>
  <c r="C12" i="27"/>
  <c r="C13" i="27" s="1"/>
  <c r="D10" i="27" s="1"/>
  <c r="C11" i="27"/>
  <c r="N90" i="27"/>
  <c r="H16" i="27"/>
  <c r="R17" i="27"/>
  <c r="F20" i="27"/>
  <c r="H20" i="27"/>
  <c r="I31" i="27"/>
  <c r="I16" i="27"/>
  <c r="M16" i="27"/>
  <c r="F43" i="27"/>
  <c r="Q17" i="27"/>
  <c r="U17" i="27"/>
  <c r="AC17" i="27"/>
  <c r="K20" i="27"/>
  <c r="F53" i="27"/>
  <c r="F63" i="27"/>
  <c r="X81" i="27"/>
  <c r="X82" i="27" s="1"/>
  <c r="Y79" i="27" s="1"/>
  <c r="Y81" i="27" s="1"/>
  <c r="Y82" i="27" s="1"/>
  <c r="Z79" i="27" s="1"/>
  <c r="Z81" i="27" s="1"/>
  <c r="Z82" i="27" s="1"/>
  <c r="AA79" i="27" s="1"/>
  <c r="AA81" i="27" s="1"/>
  <c r="X80" i="27"/>
  <c r="AL13" i="22" l="1"/>
  <c r="AL14" i="22" s="1"/>
  <c r="AL15" i="22" s="1"/>
  <c r="AM11" i="22"/>
  <c r="AM13" i="22" s="1"/>
  <c r="AM14" i="22" s="1"/>
  <c r="AM15" i="22" s="1"/>
  <c r="AY39" i="1" s="1"/>
  <c r="AY40" i="1" s="1"/>
  <c r="AY41" i="1" s="1"/>
  <c r="AM18" i="22"/>
  <c r="AM20" i="22" s="1"/>
  <c r="AM21" i="22" s="1"/>
  <c r="AM22" i="22" s="1"/>
  <c r="AY49" i="1" s="1"/>
  <c r="AY50" i="1" s="1"/>
  <c r="AY51" i="1" s="1"/>
  <c r="AL20" i="22"/>
  <c r="AL21" i="22" s="1"/>
  <c r="AL22" i="22" s="1"/>
  <c r="AL34" i="22"/>
  <c r="AL35" i="22" s="1"/>
  <c r="AL36" i="22" s="1"/>
  <c r="AM32" i="22"/>
  <c r="AM34" i="22" s="1"/>
  <c r="AM35" i="22" s="1"/>
  <c r="AM36" i="22" s="1"/>
  <c r="AY69" i="1" s="1"/>
  <c r="D12" i="27"/>
  <c r="D13" i="27" s="1"/>
  <c r="E10" i="27" s="1"/>
  <c r="D11" i="27"/>
  <c r="F44" i="27"/>
  <c r="F54" i="27"/>
  <c r="F64" i="27"/>
  <c r="Y80" i="27"/>
  <c r="Z80" i="27" s="1"/>
  <c r="AA80" i="27" s="1"/>
  <c r="M20" i="27"/>
  <c r="F33" i="27"/>
  <c r="I20" i="27"/>
  <c r="AY18" i="1" l="1"/>
  <c r="AY70" i="1"/>
  <c r="G62" i="27"/>
  <c r="G52" i="27"/>
  <c r="G42" i="27"/>
  <c r="G43" i="27" s="1"/>
  <c r="G44" i="27" s="1"/>
  <c r="H42" i="27" s="1"/>
  <c r="F34" i="27"/>
  <c r="AY19" i="1" l="1"/>
  <c r="AY71" i="1"/>
  <c r="AY20" i="1" s="1"/>
  <c r="G53" i="27"/>
  <c r="G54" i="27" s="1"/>
  <c r="H52" i="27" s="1"/>
  <c r="H53" i="27" s="1"/>
  <c r="H54" i="27" s="1"/>
  <c r="I52" i="27" s="1"/>
  <c r="I53" i="27" s="1"/>
  <c r="I54" i="27" s="1"/>
  <c r="G63" i="27"/>
  <c r="G64" i="27" s="1"/>
  <c r="H62" i="27" s="1"/>
  <c r="H63" i="27" s="1"/>
  <c r="H64" i="27" s="1"/>
  <c r="I62" i="27" s="1"/>
  <c r="I63" i="27" s="1"/>
  <c r="I64" i="27" s="1"/>
  <c r="H43" i="27"/>
  <c r="H44" i="27" s="1"/>
  <c r="I42" i="27" s="1"/>
  <c r="I43" i="27" s="1"/>
  <c r="I44" i="27" s="1"/>
  <c r="G32" i="27"/>
  <c r="G33" i="27" l="1"/>
  <c r="G34" i="27" s="1"/>
  <c r="H32" i="27" s="1"/>
  <c r="H33" i="27" s="1"/>
  <c r="H34" i="27" s="1"/>
  <c r="I32" i="27" s="1"/>
  <c r="J62" i="27"/>
  <c r="J63" i="27" s="1"/>
  <c r="J64" i="27" s="1"/>
  <c r="J52" i="27"/>
  <c r="J53" i="27" s="1"/>
  <c r="J54" i="27" s="1"/>
  <c r="J42" i="27"/>
  <c r="J43" i="27" s="1"/>
  <c r="J44" i="27" s="1"/>
  <c r="K62" i="27" l="1"/>
  <c r="K63" i="27" s="1"/>
  <c r="K64" i="27" s="1"/>
  <c r="K52" i="27"/>
  <c r="K53" i="27" s="1"/>
  <c r="K54" i="27" s="1"/>
  <c r="K42" i="27"/>
  <c r="K43" i="27" s="1"/>
  <c r="K44" i="27" s="1"/>
  <c r="I33" i="27"/>
  <c r="I34" i="27" s="1"/>
  <c r="J32" i="27" s="1"/>
  <c r="L52" i="27" l="1"/>
  <c r="L53" i="27" s="1"/>
  <c r="L54" i="27" s="1"/>
  <c r="L62" i="27"/>
  <c r="L63" i="27" s="1"/>
  <c r="L64" i="27" s="1"/>
  <c r="L42" i="27"/>
  <c r="L43" i="27" s="1"/>
  <c r="L44" i="27" s="1"/>
  <c r="J33" i="27"/>
  <c r="J34" i="27" s="1"/>
  <c r="K32" i="27" s="1"/>
  <c r="F73" i="27"/>
  <c r="F74" i="27" s="1"/>
  <c r="F22" i="27"/>
  <c r="M62" i="27" l="1"/>
  <c r="K43" i="29" s="1"/>
  <c r="L43" i="29" s="1"/>
  <c r="N56" i="27" s="1"/>
  <c r="M52" i="27"/>
  <c r="K33" i="29" s="1"/>
  <c r="L33" i="29" s="1"/>
  <c r="N46" i="27" s="1"/>
  <c r="F24" i="27"/>
  <c r="G72" i="27"/>
  <c r="M42" i="27"/>
  <c r="K23" i="29" s="1"/>
  <c r="L23" i="29" s="1"/>
  <c r="N36" i="27" s="1"/>
  <c r="K33" i="27"/>
  <c r="K34" i="27" s="1"/>
  <c r="F23" i="27"/>
  <c r="AA3" i="22"/>
  <c r="AA10" i="22"/>
  <c r="AA17" i="22"/>
  <c r="AA24" i="22"/>
  <c r="AA31" i="22"/>
  <c r="M53" i="27" l="1"/>
  <c r="M54" i="27" s="1"/>
  <c r="M63" i="27"/>
  <c r="M64" i="27" s="1"/>
  <c r="M43" i="27"/>
  <c r="M44" i="27" s="1"/>
  <c r="L32" i="27"/>
  <c r="L33" i="27" s="1"/>
  <c r="G21" i="27"/>
  <c r="G22" i="27" s="1"/>
  <c r="G73" i="27"/>
  <c r="L34" i="27" l="1"/>
  <c r="M32" i="27" s="1"/>
  <c r="K13" i="29" s="1"/>
  <c r="G74" i="27"/>
  <c r="H72" i="27" s="1"/>
  <c r="H21" i="27" s="1"/>
  <c r="G23" i="27"/>
  <c r="G24" i="27" l="1"/>
  <c r="H22" i="27" l="1"/>
  <c r="H73" i="27"/>
  <c r="H74" i="27" l="1"/>
  <c r="I72" i="27" s="1"/>
  <c r="H23" i="27"/>
  <c r="H24" i="27" l="1"/>
  <c r="I21" i="27" l="1"/>
  <c r="I22" i="27" s="1"/>
  <c r="I73" i="27"/>
  <c r="I74" i="27" l="1"/>
  <c r="J72" i="27" s="1"/>
  <c r="I23" i="27"/>
  <c r="I24" i="27" l="1"/>
  <c r="AC60" i="11"/>
  <c r="AC61" i="11"/>
  <c r="AC62" i="11"/>
  <c r="AC63" i="11"/>
  <c r="AC64" i="11"/>
  <c r="AC65" i="11"/>
  <c r="AC69" i="11" s="1"/>
  <c r="AD38" i="1" s="1"/>
  <c r="AC68" i="11"/>
  <c r="AD28" i="1" s="1"/>
  <c r="AD104" i="1"/>
  <c r="AE104" i="1" s="1"/>
  <c r="AF104" i="1" s="1"/>
  <c r="AG104" i="1" s="1"/>
  <c r="AH104" i="1" s="1"/>
  <c r="AI104" i="1" s="1"/>
  <c r="AJ104" i="1" s="1"/>
  <c r="AK104" i="1" s="1"/>
  <c r="AL104" i="1" s="1"/>
  <c r="AM104" i="1" s="1"/>
  <c r="AN104" i="1" s="1"/>
  <c r="AO104" i="1" s="1"/>
  <c r="AP104" i="1" s="1"/>
  <c r="AQ104" i="1" s="1"/>
  <c r="AR104" i="1" s="1"/>
  <c r="AS104" i="1" s="1"/>
  <c r="AT104" i="1" s="1"/>
  <c r="AU104" i="1" s="1"/>
  <c r="AV104" i="1" s="1"/>
  <c r="V98" i="1"/>
  <c r="V99" i="1" s="1"/>
  <c r="O98" i="1"/>
  <c r="O100" i="1" s="1"/>
  <c r="AC98" i="1"/>
  <c r="AC99" i="1" s="1"/>
  <c r="AB98" i="1"/>
  <c r="AB99" i="1" s="1"/>
  <c r="AA98" i="1"/>
  <c r="AA99" i="1" s="1"/>
  <c r="Z98" i="1"/>
  <c r="Z99" i="1" s="1"/>
  <c r="Y98" i="1"/>
  <c r="Y99" i="1" s="1"/>
  <c r="X98" i="1"/>
  <c r="X99" i="1" s="1"/>
  <c r="W98" i="1"/>
  <c r="W99" i="1" s="1"/>
  <c r="U98" i="1"/>
  <c r="U99" i="1" s="1"/>
  <c r="T98" i="1"/>
  <c r="T99" i="1" s="1"/>
  <c r="S98" i="1"/>
  <c r="S99" i="1" s="1"/>
  <c r="R98" i="1"/>
  <c r="R99" i="1" s="1"/>
  <c r="Q98" i="1"/>
  <c r="Q99" i="1" s="1"/>
  <c r="P98" i="1"/>
  <c r="P99" i="1" s="1"/>
  <c r="P104" i="1"/>
  <c r="Q104" i="1"/>
  <c r="R104" i="1"/>
  <c r="S104" i="1"/>
  <c r="T104" i="1"/>
  <c r="U104" i="1"/>
  <c r="V104" i="1"/>
  <c r="W104" i="1"/>
  <c r="X104" i="1"/>
  <c r="Y104" i="1"/>
  <c r="Z104" i="1"/>
  <c r="AA104" i="1"/>
  <c r="AB104" i="1"/>
  <c r="E31" i="22"/>
  <c r="C31" i="22"/>
  <c r="AD78" i="1"/>
  <c r="AE78" i="1"/>
  <c r="Y78" i="1"/>
  <c r="Y79" i="1" s="1"/>
  <c r="AA78" i="1"/>
  <c r="AB78" i="1"/>
  <c r="AC78" i="1"/>
  <c r="AF78" i="1"/>
  <c r="AG78" i="1"/>
  <c r="AH78" i="1"/>
  <c r="AI78" i="1"/>
  <c r="AM78" i="1"/>
  <c r="AN78" i="1"/>
  <c r="AO78" i="1"/>
  <c r="AP78" i="1"/>
  <c r="AQ78" i="1"/>
  <c r="AR78" i="1"/>
  <c r="AS78" i="1"/>
  <c r="AT78" i="1"/>
  <c r="AU78" i="1"/>
  <c r="AV78" i="1"/>
  <c r="AW78" i="1"/>
  <c r="AX78" i="1"/>
  <c r="O88" i="1"/>
  <c r="Q85" i="1"/>
  <c r="Q87" i="1" s="1"/>
  <c r="Q88" i="1" s="1"/>
  <c r="R85" i="1"/>
  <c r="R87" i="1" s="1"/>
  <c r="R88" i="1" s="1"/>
  <c r="S85" i="1"/>
  <c r="T85" i="1"/>
  <c r="U85" i="1"/>
  <c r="U87" i="1" s="1"/>
  <c r="U88" i="1" s="1"/>
  <c r="V85" i="1"/>
  <c r="V87" i="1" s="1"/>
  <c r="V88" i="1" s="1"/>
  <c r="W85" i="1"/>
  <c r="W87" i="1"/>
  <c r="W88" i="1"/>
  <c r="X85" i="1"/>
  <c r="X87" i="1" s="1"/>
  <c r="X88" i="1" s="1"/>
  <c r="Y85" i="1"/>
  <c r="Y87" i="1"/>
  <c r="Y88" i="1"/>
  <c r="Z85" i="1"/>
  <c r="Z87" i="1" s="1"/>
  <c r="Z88" i="1" s="1"/>
  <c r="AA85" i="1"/>
  <c r="AB85" i="1"/>
  <c r="AC85" i="1"/>
  <c r="AC87" i="1" s="1"/>
  <c r="AC88" i="1" s="1"/>
  <c r="AD85" i="1"/>
  <c r="AE85" i="1"/>
  <c r="AE87" i="1" s="1"/>
  <c r="AE88" i="1" s="1"/>
  <c r="AF85" i="1"/>
  <c r="AG85" i="1"/>
  <c r="AG87" i="1" s="1"/>
  <c r="AG88" i="1" s="1"/>
  <c r="AH85" i="1"/>
  <c r="AH87" i="1" s="1"/>
  <c r="AH88" i="1" s="1"/>
  <c r="AI85" i="1"/>
  <c r="AJ85" i="1"/>
  <c r="AJ87" i="1" s="1"/>
  <c r="AJ88" i="1" s="1"/>
  <c r="AK85" i="1"/>
  <c r="AK87" i="1" s="1"/>
  <c r="AK88" i="1" s="1"/>
  <c r="AL85" i="1"/>
  <c r="AL87" i="1" s="1"/>
  <c r="AL88" i="1" s="1"/>
  <c r="P87" i="1"/>
  <c r="P88" i="1" s="1"/>
  <c r="AM88" i="1"/>
  <c r="AN88" i="1"/>
  <c r="AO87" i="1"/>
  <c r="AO88" i="1" s="1"/>
  <c r="AP87" i="1"/>
  <c r="AP88" i="1"/>
  <c r="AQ87" i="1"/>
  <c r="AQ88" i="1" s="1"/>
  <c r="AR87" i="1"/>
  <c r="AR88" i="1" s="1"/>
  <c r="AS87" i="1"/>
  <c r="AS88" i="1" s="1"/>
  <c r="AT87" i="1"/>
  <c r="AT88" i="1" s="1"/>
  <c r="AU87" i="1"/>
  <c r="AU88" i="1" s="1"/>
  <c r="AD87" i="1"/>
  <c r="AD88" i="1" s="1"/>
  <c r="O87" i="1"/>
  <c r="AI87" i="1"/>
  <c r="AI88" i="1" s="1"/>
  <c r="AF87" i="1"/>
  <c r="AF88" i="1" s="1"/>
  <c r="AB87" i="1"/>
  <c r="AB88" i="1" s="1"/>
  <c r="AA87" i="1"/>
  <c r="AA88" i="1" s="1"/>
  <c r="T87" i="1"/>
  <c r="T88" i="1" s="1"/>
  <c r="S87" i="1"/>
  <c r="S88" i="1" s="1"/>
  <c r="X8" i="1"/>
  <c r="X14" i="11"/>
  <c r="P7" i="1"/>
  <c r="P8" i="1" s="1"/>
  <c r="E8" i="1"/>
  <c r="E10" i="1" s="1"/>
  <c r="E11" i="1" s="1"/>
  <c r="F8" i="1"/>
  <c r="G8" i="1"/>
  <c r="H8" i="1"/>
  <c r="I8" i="1"/>
  <c r="J8" i="1"/>
  <c r="K8" i="1"/>
  <c r="L8" i="1"/>
  <c r="M8" i="1"/>
  <c r="N8" i="1"/>
  <c r="O8" i="1"/>
  <c r="Q8" i="1"/>
  <c r="R8" i="1"/>
  <c r="S8" i="1"/>
  <c r="T8" i="1"/>
  <c r="U8" i="1"/>
  <c r="V8" i="1"/>
  <c r="W8" i="1"/>
  <c r="Z8" i="1"/>
  <c r="AA8" i="1"/>
  <c r="AB8" i="1"/>
  <c r="AC8" i="1"/>
  <c r="AD8" i="1"/>
  <c r="AE8" i="1"/>
  <c r="AF8" i="1"/>
  <c r="AG8" i="1"/>
  <c r="AH8" i="1"/>
  <c r="AI8" i="1"/>
  <c r="AJ8" i="1"/>
  <c r="AK8" i="1"/>
  <c r="AL8" i="1"/>
  <c r="AM8" i="1"/>
  <c r="AN8" i="1"/>
  <c r="AO8" i="1"/>
  <c r="AP8" i="1"/>
  <c r="AQ8" i="1"/>
  <c r="AR8" i="1"/>
  <c r="AS8" i="1"/>
  <c r="AT8" i="1"/>
  <c r="AU8" i="1"/>
  <c r="AV8" i="1"/>
  <c r="AW8" i="1"/>
  <c r="AX8" i="1"/>
  <c r="P15" i="1"/>
  <c r="E17" i="1"/>
  <c r="F17" i="1"/>
  <c r="G17" i="1"/>
  <c r="H17" i="1"/>
  <c r="I17" i="1"/>
  <c r="J17" i="1"/>
  <c r="K17" i="1"/>
  <c r="L17" i="1"/>
  <c r="M17" i="1"/>
  <c r="N17" i="1"/>
  <c r="O17" i="1"/>
  <c r="AC14" i="11"/>
  <c r="AC19" i="11"/>
  <c r="AD14" i="11"/>
  <c r="AD19" i="11"/>
  <c r="AD28" i="11"/>
  <c r="P28" i="1"/>
  <c r="D3" i="22" s="1"/>
  <c r="Q28" i="1"/>
  <c r="E3" i="22" s="1"/>
  <c r="S3" i="22"/>
  <c r="AC15" i="11"/>
  <c r="AD15" i="11"/>
  <c r="P38" i="1"/>
  <c r="D10" i="22" s="1"/>
  <c r="Q38" i="1"/>
  <c r="E10" i="22" s="1"/>
  <c r="S10" i="22"/>
  <c r="AC16" i="11"/>
  <c r="AD16" i="11"/>
  <c r="P48" i="1"/>
  <c r="D17" i="22" s="1"/>
  <c r="Q48" i="1"/>
  <c r="S17" i="22"/>
  <c r="AC17" i="11"/>
  <c r="AD17" i="11"/>
  <c r="P58" i="1"/>
  <c r="D24" i="22" s="1"/>
  <c r="S24" i="22"/>
  <c r="AC18" i="11"/>
  <c r="AD18" i="11"/>
  <c r="P68" i="1"/>
  <c r="D31" i="22" s="1"/>
  <c r="P10" i="26"/>
  <c r="O10" i="26"/>
  <c r="N10" i="26"/>
  <c r="M10" i="26"/>
  <c r="K10" i="26"/>
  <c r="J10" i="26"/>
  <c r="I10" i="26"/>
  <c r="H10" i="26"/>
  <c r="G10" i="26"/>
  <c r="F10" i="26"/>
  <c r="E10" i="26"/>
  <c r="D10" i="26"/>
  <c r="L8" i="26"/>
  <c r="L10" i="26" s="1"/>
  <c r="C3" i="22"/>
  <c r="E24" i="22"/>
  <c r="C24" i="22"/>
  <c r="C17" i="22"/>
  <c r="S31" i="22"/>
  <c r="C10" i="22"/>
  <c r="Q8" i="26"/>
  <c r="Q10" i="26" s="1"/>
  <c r="T10" i="11"/>
  <c r="H17" i="22"/>
  <c r="I17" i="22"/>
  <c r="J17" i="22"/>
  <c r="K17" i="22"/>
  <c r="L17" i="22"/>
  <c r="M17" i="22"/>
  <c r="N17" i="22"/>
  <c r="O17" i="22"/>
  <c r="P17" i="22"/>
  <c r="Q17" i="22"/>
  <c r="R17" i="22"/>
  <c r="T17" i="22"/>
  <c r="U17" i="22"/>
  <c r="V17" i="22"/>
  <c r="W17" i="22"/>
  <c r="X17" i="22"/>
  <c r="Y17" i="22"/>
  <c r="Z17" i="22"/>
  <c r="G17" i="22"/>
  <c r="H31" i="22"/>
  <c r="I31" i="22"/>
  <c r="J31" i="22"/>
  <c r="K31" i="22"/>
  <c r="L31" i="22"/>
  <c r="M31" i="22"/>
  <c r="N31" i="22"/>
  <c r="O31" i="22"/>
  <c r="P31" i="22"/>
  <c r="Q31" i="22"/>
  <c r="Q33" i="22" s="1"/>
  <c r="R33" i="22" s="1"/>
  <c r="R31" i="22"/>
  <c r="T31" i="22"/>
  <c r="U31" i="22"/>
  <c r="V31" i="22"/>
  <c r="W31" i="22"/>
  <c r="X31" i="22"/>
  <c r="Y31" i="22"/>
  <c r="Z31" i="22"/>
  <c r="G31" i="22"/>
  <c r="H24" i="22"/>
  <c r="I24" i="22"/>
  <c r="J24" i="22"/>
  <c r="K24" i="22"/>
  <c r="L24" i="22"/>
  <c r="M24" i="22"/>
  <c r="N24" i="22"/>
  <c r="O24" i="22"/>
  <c r="P24" i="22"/>
  <c r="Q24" i="22"/>
  <c r="R24" i="22"/>
  <c r="T24" i="22"/>
  <c r="U24" i="22"/>
  <c r="V24" i="22"/>
  <c r="W24" i="22"/>
  <c r="X24" i="22"/>
  <c r="Y24" i="22"/>
  <c r="Z24" i="22"/>
  <c r="G24" i="22"/>
  <c r="H10" i="22"/>
  <c r="I10" i="22"/>
  <c r="J10" i="22"/>
  <c r="K10" i="22"/>
  <c r="L10" i="22"/>
  <c r="M10" i="22"/>
  <c r="N10" i="22"/>
  <c r="O10" i="22"/>
  <c r="P10" i="22"/>
  <c r="Q10" i="22"/>
  <c r="R10" i="22"/>
  <c r="T10" i="22"/>
  <c r="U10" i="22"/>
  <c r="V10" i="22"/>
  <c r="W10" i="22"/>
  <c r="X10" i="22"/>
  <c r="Y10" i="22"/>
  <c r="Z10" i="22"/>
  <c r="G10" i="22"/>
  <c r="H3" i="22"/>
  <c r="I3" i="22"/>
  <c r="J3" i="22"/>
  <c r="K3" i="22"/>
  <c r="L3" i="22"/>
  <c r="M3" i="22"/>
  <c r="N3" i="22"/>
  <c r="O3" i="22"/>
  <c r="P3" i="22"/>
  <c r="P6" i="22" s="1"/>
  <c r="Q3" i="22"/>
  <c r="Q4" i="22" s="1"/>
  <c r="R3" i="22"/>
  <c r="T3" i="22"/>
  <c r="U3" i="22"/>
  <c r="V3" i="22"/>
  <c r="W3" i="22"/>
  <c r="X3" i="22"/>
  <c r="Y3" i="22"/>
  <c r="Z3" i="22"/>
  <c r="G3" i="22"/>
  <c r="F31" i="22"/>
  <c r="F24" i="22"/>
  <c r="Q52" i="11"/>
  <c r="F17" i="22" s="1"/>
  <c r="Q51" i="11"/>
  <c r="F10" i="22" s="1"/>
  <c r="Q50" i="11"/>
  <c r="F3" i="22" s="1"/>
  <c r="AW64" i="11"/>
  <c r="AV64" i="11"/>
  <c r="AT64" i="11"/>
  <c r="AS64" i="11"/>
  <c r="AR64" i="11"/>
  <c r="AQ64" i="11"/>
  <c r="AP64" i="11"/>
  <c r="AO64" i="11"/>
  <c r="AN64" i="11"/>
  <c r="AM64" i="11"/>
  <c r="AL64" i="11"/>
  <c r="AK64" i="11"/>
  <c r="AJ64" i="11"/>
  <c r="AI64" i="11"/>
  <c r="AH64" i="11"/>
  <c r="AG64" i="11"/>
  <c r="AF64" i="11"/>
  <c r="AE64" i="11"/>
  <c r="AD64" i="11"/>
  <c r="AB64" i="11"/>
  <c r="AA64" i="11"/>
  <c r="Z64" i="11"/>
  <c r="Y64" i="11"/>
  <c r="X64" i="11"/>
  <c r="W64" i="11"/>
  <c r="V64" i="11"/>
  <c r="U64" i="11"/>
  <c r="T64" i="11"/>
  <c r="S64" i="11"/>
  <c r="R64" i="11"/>
  <c r="Q64" i="11"/>
  <c r="P64" i="11"/>
  <c r="O64" i="11"/>
  <c r="N64" i="11"/>
  <c r="M64" i="11"/>
  <c r="L64" i="11"/>
  <c r="K64" i="11"/>
  <c r="J64" i="11"/>
  <c r="I64" i="11"/>
  <c r="H64" i="11"/>
  <c r="G64" i="11"/>
  <c r="F64" i="11"/>
  <c r="E64" i="11"/>
  <c r="D64" i="11"/>
  <c r="AW63" i="11"/>
  <c r="AV63" i="11"/>
  <c r="AT63" i="11"/>
  <c r="AS63" i="11"/>
  <c r="AR63" i="11"/>
  <c r="AQ63" i="11"/>
  <c r="AP63" i="11"/>
  <c r="AO63" i="11"/>
  <c r="AN63" i="11"/>
  <c r="AM63" i="11"/>
  <c r="AL63" i="11"/>
  <c r="AK63" i="11"/>
  <c r="AJ63" i="11"/>
  <c r="AI63" i="11"/>
  <c r="AH63" i="11"/>
  <c r="AG63" i="11"/>
  <c r="AF63" i="11"/>
  <c r="AE63" i="11"/>
  <c r="AD63" i="11"/>
  <c r="AB63" i="11"/>
  <c r="AA63" i="11"/>
  <c r="Z63" i="11"/>
  <c r="Y63" i="11"/>
  <c r="X63" i="11"/>
  <c r="W63" i="11"/>
  <c r="V63" i="11"/>
  <c r="U63" i="11"/>
  <c r="T63" i="11"/>
  <c r="S63" i="11"/>
  <c r="R63" i="11"/>
  <c r="Q63" i="11"/>
  <c r="P63" i="11"/>
  <c r="O63" i="11"/>
  <c r="N63" i="11"/>
  <c r="M63" i="11"/>
  <c r="L63" i="11"/>
  <c r="K63" i="11"/>
  <c r="J63" i="11"/>
  <c r="I63" i="11"/>
  <c r="H63" i="11"/>
  <c r="G63" i="11"/>
  <c r="F63" i="11"/>
  <c r="E63" i="11"/>
  <c r="D63" i="11"/>
  <c r="AW62" i="11"/>
  <c r="AV62" i="11"/>
  <c r="AT62" i="11"/>
  <c r="AS62" i="11"/>
  <c r="AR62" i="11"/>
  <c r="AQ62" i="11"/>
  <c r="AP62" i="11"/>
  <c r="AO62" i="11"/>
  <c r="AN62" i="11"/>
  <c r="AM62" i="11"/>
  <c r="AL62" i="11"/>
  <c r="AK62" i="11"/>
  <c r="AJ62" i="11"/>
  <c r="AI62" i="11"/>
  <c r="AH62" i="11"/>
  <c r="AG62" i="11"/>
  <c r="AF62" i="11"/>
  <c r="AE62" i="11"/>
  <c r="AD62" i="11"/>
  <c r="AB62" i="11"/>
  <c r="AA62" i="11"/>
  <c r="Z62" i="11"/>
  <c r="Y62" i="11"/>
  <c r="X62" i="11"/>
  <c r="W62" i="11"/>
  <c r="V62" i="11"/>
  <c r="U62" i="11"/>
  <c r="T62" i="11"/>
  <c r="S62" i="11"/>
  <c r="R62" i="11"/>
  <c r="Q62" i="11"/>
  <c r="P62" i="11"/>
  <c r="O62" i="11"/>
  <c r="N62" i="11"/>
  <c r="M62" i="11"/>
  <c r="L62" i="11"/>
  <c r="K62" i="11"/>
  <c r="J62" i="11"/>
  <c r="I62" i="11"/>
  <c r="H62" i="11"/>
  <c r="G62" i="11"/>
  <c r="F62" i="11"/>
  <c r="E62" i="11"/>
  <c r="D62" i="11"/>
  <c r="AW61" i="11"/>
  <c r="AV61" i="11"/>
  <c r="AT61" i="11"/>
  <c r="AS61" i="11"/>
  <c r="AR61" i="11"/>
  <c r="AQ61" i="11"/>
  <c r="AP61" i="11"/>
  <c r="AO61" i="11"/>
  <c r="AN61" i="11"/>
  <c r="AM61" i="11"/>
  <c r="AL61" i="11"/>
  <c r="AK61" i="11"/>
  <c r="AJ61" i="11"/>
  <c r="AI61" i="11"/>
  <c r="AH61" i="11"/>
  <c r="AH65" i="11" s="1"/>
  <c r="AH72" i="11" s="1"/>
  <c r="AI68" i="1" s="1"/>
  <c r="AG61" i="11"/>
  <c r="AF61" i="11"/>
  <c r="AE61" i="11"/>
  <c r="AD61" i="11"/>
  <c r="AB61" i="11"/>
  <c r="AA61" i="11"/>
  <c r="Z61" i="11"/>
  <c r="Y61" i="11"/>
  <c r="X61" i="11"/>
  <c r="W61" i="11"/>
  <c r="V61" i="11"/>
  <c r="U61" i="11"/>
  <c r="T61" i="11"/>
  <c r="S61" i="11"/>
  <c r="R61" i="11"/>
  <c r="Q61" i="11"/>
  <c r="Q65" i="11" s="1"/>
  <c r="P61" i="11"/>
  <c r="O61" i="11"/>
  <c r="N61" i="11"/>
  <c r="M61" i="11"/>
  <c r="L61" i="11"/>
  <c r="K61" i="11"/>
  <c r="J61" i="11"/>
  <c r="I61" i="11"/>
  <c r="I65" i="11" s="1"/>
  <c r="I72" i="11" s="1"/>
  <c r="H61" i="11"/>
  <c r="G61" i="11"/>
  <c r="F61" i="11"/>
  <c r="E61" i="11"/>
  <c r="D61" i="11"/>
  <c r="AW60" i="11"/>
  <c r="AV60" i="11"/>
  <c r="AT60" i="11"/>
  <c r="AS60" i="11"/>
  <c r="AR60" i="11"/>
  <c r="AQ60" i="11"/>
  <c r="AP60" i="11"/>
  <c r="AO60" i="11"/>
  <c r="AN60" i="11"/>
  <c r="AM60" i="11"/>
  <c r="AL60" i="11"/>
  <c r="AK60" i="11"/>
  <c r="AJ60" i="11"/>
  <c r="AI60" i="11"/>
  <c r="AH60" i="11"/>
  <c r="AG60" i="11"/>
  <c r="AF60" i="11"/>
  <c r="AE60" i="11"/>
  <c r="AD60" i="11"/>
  <c r="AD65" i="11" s="1"/>
  <c r="AB60" i="11"/>
  <c r="AB65" i="11" s="1"/>
  <c r="AB72" i="11" s="1"/>
  <c r="AC68" i="1" s="1"/>
  <c r="AA60" i="11"/>
  <c r="Z60" i="11"/>
  <c r="Y60" i="11"/>
  <c r="X60" i="11"/>
  <c r="W60" i="11"/>
  <c r="V60" i="11"/>
  <c r="U60" i="11"/>
  <c r="U65" i="11" s="1"/>
  <c r="T60" i="11"/>
  <c r="S60" i="11"/>
  <c r="R60" i="11"/>
  <c r="Q60" i="11"/>
  <c r="P60" i="11"/>
  <c r="O60" i="11"/>
  <c r="N60" i="11"/>
  <c r="M60" i="11"/>
  <c r="L60" i="11"/>
  <c r="L65" i="11" s="1"/>
  <c r="K60" i="11"/>
  <c r="J60" i="11"/>
  <c r="J65" i="11" s="1"/>
  <c r="J71" i="11" s="1"/>
  <c r="I60" i="11"/>
  <c r="H60" i="11"/>
  <c r="G60" i="11"/>
  <c r="F60" i="11"/>
  <c r="E60" i="11"/>
  <c r="E65" i="11" s="1"/>
  <c r="D60" i="11"/>
  <c r="D65" i="11" s="1"/>
  <c r="D69" i="11" s="1"/>
  <c r="AW55" i="11"/>
  <c r="AV55" i="11"/>
  <c r="AU55" i="11"/>
  <c r="AT55" i="11"/>
  <c r="AS55" i="11"/>
  <c r="AR55" i="11"/>
  <c r="AQ55" i="11"/>
  <c r="AR33" i="26" s="1"/>
  <c r="AP55" i="11"/>
  <c r="AQ33" i="26" s="1"/>
  <c r="AO55" i="11"/>
  <c r="AP33" i="26" s="1"/>
  <c r="AN55" i="11"/>
  <c r="AO33" i="26" s="1"/>
  <c r="AM55" i="11"/>
  <c r="AN33" i="26" s="1"/>
  <c r="AL55" i="11"/>
  <c r="AM33" i="26" s="1"/>
  <c r="AK55" i="11"/>
  <c r="AL33" i="26" s="1"/>
  <c r="AJ55" i="11"/>
  <c r="AK33" i="26" s="1"/>
  <c r="AI55" i="11"/>
  <c r="AJ33" i="26" s="1"/>
  <c r="AH55" i="11"/>
  <c r="AI33" i="26" s="1"/>
  <c r="AG55" i="11"/>
  <c r="AH33" i="26" s="1"/>
  <c r="AF55" i="11"/>
  <c r="AG33" i="26" s="1"/>
  <c r="AE55" i="11"/>
  <c r="AF33" i="26" s="1"/>
  <c r="AD55" i="11"/>
  <c r="AE33" i="26" s="1"/>
  <c r="AC55" i="11"/>
  <c r="AD33" i="26" s="1"/>
  <c r="AB55" i="11"/>
  <c r="AC33" i="26" s="1"/>
  <c r="AA55" i="11"/>
  <c r="AB33" i="26" s="1"/>
  <c r="Z55" i="11"/>
  <c r="AA33" i="26" s="1"/>
  <c r="Y55" i="11"/>
  <c r="Z33" i="26" s="1"/>
  <c r="X55" i="11"/>
  <c r="Y33" i="26" s="1"/>
  <c r="W55" i="11"/>
  <c r="X33" i="26" s="1"/>
  <c r="V55" i="11"/>
  <c r="W33" i="26" s="1"/>
  <c r="U55" i="11"/>
  <c r="V33" i="26" s="1"/>
  <c r="T55" i="11"/>
  <c r="U33" i="26" s="1"/>
  <c r="S55" i="11"/>
  <c r="T33" i="26" s="1"/>
  <c r="R55" i="11"/>
  <c r="S33" i="26" s="1"/>
  <c r="Q55" i="11"/>
  <c r="R33" i="26" s="1"/>
  <c r="P55" i="11"/>
  <c r="O55" i="11"/>
  <c r="N55" i="11"/>
  <c r="M55" i="11"/>
  <c r="L55" i="11"/>
  <c r="K55" i="11"/>
  <c r="J55" i="11"/>
  <c r="I55" i="11"/>
  <c r="H55" i="11"/>
  <c r="G55" i="11"/>
  <c r="F55" i="11"/>
  <c r="E55" i="11"/>
  <c r="D55" i="11"/>
  <c r="AW65" i="11"/>
  <c r="AW72" i="11" s="1"/>
  <c r="AX68" i="1" s="1"/>
  <c r="AX69" i="1" s="1"/>
  <c r="AP65" i="11"/>
  <c r="AP69" i="11" s="1"/>
  <c r="AQ38" i="1" s="1"/>
  <c r="AQ39" i="1" s="1"/>
  <c r="AQ40" i="1" s="1"/>
  <c r="O65" i="11"/>
  <c r="S65" i="11"/>
  <c r="S71" i="11" s="1"/>
  <c r="T58" i="1" s="1"/>
  <c r="W65" i="11"/>
  <c r="AA65" i="11"/>
  <c r="AU65" i="11"/>
  <c r="S68" i="11"/>
  <c r="T28" i="1" s="1"/>
  <c r="S70" i="11"/>
  <c r="T48" i="1" s="1"/>
  <c r="S69" i="11"/>
  <c r="J69" i="11"/>
  <c r="E33" i="22"/>
  <c r="E32" i="22"/>
  <c r="E34" i="22" s="1"/>
  <c r="E35" i="22" s="1"/>
  <c r="E26" i="22"/>
  <c r="E25" i="22"/>
  <c r="E19" i="22"/>
  <c r="E18" i="22"/>
  <c r="E12" i="22"/>
  <c r="E11" i="22"/>
  <c r="E5" i="22"/>
  <c r="E4" i="22"/>
  <c r="E6" i="22" s="1"/>
  <c r="E7" i="22" s="1"/>
  <c r="E27" i="22"/>
  <c r="E28" i="22" s="1"/>
  <c r="Q12" i="22"/>
  <c r="Q11" i="22"/>
  <c r="Q32" i="22"/>
  <c r="R32" i="22" s="1"/>
  <c r="Q5" i="22"/>
  <c r="Q6" i="22" s="1"/>
  <c r="P27" i="22"/>
  <c r="P28" i="22" s="1"/>
  <c r="P29" i="22" s="1"/>
  <c r="AA60" i="27" s="1"/>
  <c r="AA61" i="27" s="1"/>
  <c r="R4" i="22"/>
  <c r="D6" i="22"/>
  <c r="D7" i="22" s="1"/>
  <c r="D34" i="22"/>
  <c r="D35" i="22" s="1"/>
  <c r="C34" i="22"/>
  <c r="C35" i="22"/>
  <c r="D27" i="22"/>
  <c r="D28" i="22" s="1"/>
  <c r="C27" i="22"/>
  <c r="C28" i="22" s="1"/>
  <c r="D20" i="22"/>
  <c r="D21" i="22" s="1"/>
  <c r="C20" i="22"/>
  <c r="C21" i="22"/>
  <c r="D13" i="22"/>
  <c r="D14" i="22" s="1"/>
  <c r="C13" i="22"/>
  <c r="C14" i="22"/>
  <c r="C6" i="22"/>
  <c r="C7" i="22" s="1"/>
  <c r="F14" i="11"/>
  <c r="D14" i="11"/>
  <c r="G14" i="11"/>
  <c r="H14" i="11"/>
  <c r="I14" i="11"/>
  <c r="J14" i="11"/>
  <c r="K14" i="11"/>
  <c r="L14" i="11"/>
  <c r="M14" i="11"/>
  <c r="N14" i="11"/>
  <c r="O14" i="11"/>
  <c r="P14" i="11"/>
  <c r="Q14" i="11"/>
  <c r="R14" i="11"/>
  <c r="S14" i="11"/>
  <c r="T14" i="11"/>
  <c r="U14" i="11"/>
  <c r="V14" i="11"/>
  <c r="W14" i="11"/>
  <c r="Y14" i="11"/>
  <c r="Z14" i="11"/>
  <c r="AA14" i="11"/>
  <c r="AB14" i="11"/>
  <c r="AE14" i="11"/>
  <c r="AF14" i="11"/>
  <c r="AG14" i="11"/>
  <c r="AH14" i="11"/>
  <c r="AI14" i="11"/>
  <c r="AJ14" i="11"/>
  <c r="AK14" i="11"/>
  <c r="AL14" i="11"/>
  <c r="AM14" i="11"/>
  <c r="AN14" i="11"/>
  <c r="AO14" i="11"/>
  <c r="AP14" i="11"/>
  <c r="AQ14" i="11"/>
  <c r="AR14" i="11"/>
  <c r="AS14" i="11"/>
  <c r="AT14" i="11"/>
  <c r="AU14" i="11"/>
  <c r="AW14" i="11"/>
  <c r="F15" i="11"/>
  <c r="G15" i="11"/>
  <c r="H15" i="11"/>
  <c r="I15" i="11"/>
  <c r="J15" i="11"/>
  <c r="K15" i="11"/>
  <c r="L15" i="11"/>
  <c r="M15" i="11"/>
  <c r="N15" i="11"/>
  <c r="O15" i="11"/>
  <c r="P15" i="11"/>
  <c r="Q15" i="11"/>
  <c r="R15" i="11"/>
  <c r="S15" i="11"/>
  <c r="T15" i="11"/>
  <c r="U15" i="11"/>
  <c r="V15" i="11"/>
  <c r="W15" i="11"/>
  <c r="X15" i="11"/>
  <c r="Y15" i="11"/>
  <c r="Z15" i="11"/>
  <c r="AA15" i="11"/>
  <c r="AB15" i="11"/>
  <c r="AE15" i="11"/>
  <c r="AF15" i="11"/>
  <c r="AG15" i="11"/>
  <c r="AH15" i="11"/>
  <c r="AI15" i="11"/>
  <c r="AJ15" i="11"/>
  <c r="AK15" i="11"/>
  <c r="AL15" i="11"/>
  <c r="AM15" i="11"/>
  <c r="AN15" i="11"/>
  <c r="AO15" i="11"/>
  <c r="AP15" i="11"/>
  <c r="AQ15" i="11"/>
  <c r="AR15" i="11"/>
  <c r="AS15" i="11"/>
  <c r="AT15" i="11"/>
  <c r="AU15" i="11"/>
  <c r="AV15" i="11"/>
  <c r="AW15" i="11"/>
  <c r="F16" i="11"/>
  <c r="G16" i="11"/>
  <c r="H16" i="11"/>
  <c r="I16" i="11"/>
  <c r="J16" i="11"/>
  <c r="K16" i="11"/>
  <c r="L16" i="11"/>
  <c r="M16" i="11"/>
  <c r="N16" i="11"/>
  <c r="O16" i="11"/>
  <c r="P16" i="11"/>
  <c r="Q16" i="11"/>
  <c r="R16" i="11"/>
  <c r="S16" i="11"/>
  <c r="T16" i="11"/>
  <c r="U16" i="11"/>
  <c r="V16" i="11"/>
  <c r="W16" i="11"/>
  <c r="X16" i="11"/>
  <c r="Y16" i="11"/>
  <c r="Z16" i="11"/>
  <c r="AA16" i="11"/>
  <c r="AB16" i="11"/>
  <c r="AE16" i="11"/>
  <c r="AF16" i="11"/>
  <c r="AG16" i="11"/>
  <c r="AH16" i="11"/>
  <c r="AI16" i="11"/>
  <c r="AJ16" i="11"/>
  <c r="AK16" i="11"/>
  <c r="AL16" i="11"/>
  <c r="AM16" i="11"/>
  <c r="AN16" i="11"/>
  <c r="AO16" i="11"/>
  <c r="AP16" i="11"/>
  <c r="AQ16" i="11"/>
  <c r="AR16" i="11"/>
  <c r="AS16" i="11"/>
  <c r="AT16" i="11"/>
  <c r="AU16" i="11"/>
  <c r="AV16" i="11"/>
  <c r="AW16" i="11"/>
  <c r="F17" i="11"/>
  <c r="G17" i="11"/>
  <c r="H17" i="11"/>
  <c r="I17" i="11"/>
  <c r="J17" i="11"/>
  <c r="K17" i="11"/>
  <c r="L17" i="11"/>
  <c r="M17" i="11"/>
  <c r="N17" i="11"/>
  <c r="O17" i="11"/>
  <c r="P17" i="11"/>
  <c r="Q17" i="11"/>
  <c r="R17" i="11"/>
  <c r="S17" i="11"/>
  <c r="T17" i="11"/>
  <c r="U17" i="11"/>
  <c r="V17" i="11"/>
  <c r="W17" i="11"/>
  <c r="X17" i="11"/>
  <c r="Y17" i="11"/>
  <c r="Z17" i="11"/>
  <c r="AA17" i="11"/>
  <c r="AB17" i="11"/>
  <c r="AE17" i="11"/>
  <c r="AF17" i="11"/>
  <c r="AG17" i="11"/>
  <c r="AH17" i="11"/>
  <c r="AI17" i="11"/>
  <c r="AJ17" i="11"/>
  <c r="AK17" i="11"/>
  <c r="AL17" i="11"/>
  <c r="AM17" i="11"/>
  <c r="AN17" i="11"/>
  <c r="AO17" i="11"/>
  <c r="AP17" i="11"/>
  <c r="AQ17" i="11"/>
  <c r="AR17" i="11"/>
  <c r="AS17" i="11"/>
  <c r="AT17" i="11"/>
  <c r="AU17" i="11"/>
  <c r="AV17" i="11"/>
  <c r="AW17" i="11"/>
  <c r="F18" i="11"/>
  <c r="G18" i="11"/>
  <c r="G35" i="11" s="1"/>
  <c r="H67" i="1" s="1"/>
  <c r="H71" i="1" s="1"/>
  <c r="H18" i="11"/>
  <c r="I18" i="11"/>
  <c r="J18" i="11"/>
  <c r="K18" i="11"/>
  <c r="L18" i="11"/>
  <c r="M18" i="11"/>
  <c r="N18" i="11"/>
  <c r="O18" i="11"/>
  <c r="P18" i="11"/>
  <c r="Q18" i="11"/>
  <c r="R18" i="11"/>
  <c r="S18" i="11"/>
  <c r="T18" i="11"/>
  <c r="U18" i="11"/>
  <c r="V18" i="11"/>
  <c r="W18" i="11"/>
  <c r="X18" i="11"/>
  <c r="Y18" i="11"/>
  <c r="Z18" i="11"/>
  <c r="AA18" i="11"/>
  <c r="AB18" i="11"/>
  <c r="AE18" i="11"/>
  <c r="AF18" i="11"/>
  <c r="AG18" i="11"/>
  <c r="AH18" i="11"/>
  <c r="AI18" i="11"/>
  <c r="AJ18" i="11"/>
  <c r="AK18" i="11"/>
  <c r="AL18" i="11"/>
  <c r="AM18" i="11"/>
  <c r="AN18" i="11"/>
  <c r="AO18" i="11"/>
  <c r="AP18" i="11"/>
  <c r="AQ18" i="11"/>
  <c r="AR18" i="11"/>
  <c r="AS18" i="11"/>
  <c r="AT18" i="11"/>
  <c r="AU18" i="11"/>
  <c r="AV18" i="11"/>
  <c r="AW18" i="11"/>
  <c r="F19" i="11"/>
  <c r="G19" i="11"/>
  <c r="H19" i="11"/>
  <c r="I19" i="11"/>
  <c r="J19" i="11"/>
  <c r="K19" i="11"/>
  <c r="L19" i="11"/>
  <c r="M19" i="11"/>
  <c r="N19" i="11"/>
  <c r="O19" i="11"/>
  <c r="P19" i="11"/>
  <c r="P20" i="11" s="1"/>
  <c r="Q19" i="11"/>
  <c r="R19" i="11"/>
  <c r="S19" i="11"/>
  <c r="T19" i="11"/>
  <c r="U19" i="11"/>
  <c r="U32" i="11" s="1"/>
  <c r="V37" i="1" s="1"/>
  <c r="V19" i="11"/>
  <c r="W19" i="11"/>
  <c r="X19" i="11"/>
  <c r="Y19" i="11"/>
  <c r="Z19" i="11"/>
  <c r="AA19" i="11"/>
  <c r="AB19" i="11"/>
  <c r="AE19" i="11"/>
  <c r="AF19" i="11"/>
  <c r="AG19" i="11"/>
  <c r="AH19" i="11"/>
  <c r="AI19" i="11"/>
  <c r="AJ19" i="11"/>
  <c r="AK19" i="11"/>
  <c r="AL19" i="11"/>
  <c r="AM19" i="11"/>
  <c r="AN19" i="11"/>
  <c r="AO19" i="11"/>
  <c r="AP19" i="11"/>
  <c r="AQ19" i="11"/>
  <c r="AR19" i="11"/>
  <c r="AS19" i="11"/>
  <c r="AT19" i="11"/>
  <c r="AU19" i="11"/>
  <c r="AW19" i="11"/>
  <c r="E15" i="11"/>
  <c r="E16" i="11"/>
  <c r="E17" i="11"/>
  <c r="E18" i="11"/>
  <c r="E19" i="11"/>
  <c r="E14" i="11"/>
  <c r="K11" i="11"/>
  <c r="L11" i="11"/>
  <c r="K28" i="11"/>
  <c r="L28" i="11"/>
  <c r="I11" i="11"/>
  <c r="J11" i="11"/>
  <c r="J28" i="11"/>
  <c r="D11" i="11"/>
  <c r="D15" i="11"/>
  <c r="D16" i="11"/>
  <c r="D17" i="11"/>
  <c r="D18" i="11"/>
  <c r="D19" i="11"/>
  <c r="D28" i="11"/>
  <c r="F11" i="11"/>
  <c r="F28" i="11"/>
  <c r="F31" i="11" s="1"/>
  <c r="F34" i="11"/>
  <c r="G57" i="1" s="1"/>
  <c r="G61" i="1" s="1"/>
  <c r="H11" i="11"/>
  <c r="H28" i="11"/>
  <c r="E11" i="11"/>
  <c r="G11" i="11"/>
  <c r="M11" i="11"/>
  <c r="N11" i="11"/>
  <c r="O11" i="11"/>
  <c r="P11" i="11"/>
  <c r="Q11" i="11"/>
  <c r="R11" i="11"/>
  <c r="S11" i="11"/>
  <c r="T11" i="11"/>
  <c r="U11" i="11"/>
  <c r="V11" i="11"/>
  <c r="W11" i="11"/>
  <c r="X11" i="11"/>
  <c r="Y11" i="11"/>
  <c r="Z11" i="11"/>
  <c r="AA11" i="11"/>
  <c r="AB11" i="11"/>
  <c r="AC11" i="11"/>
  <c r="AD11" i="11"/>
  <c r="AE11" i="11"/>
  <c r="AF11" i="11"/>
  <c r="AG11" i="11"/>
  <c r="AH11" i="11"/>
  <c r="AI11" i="11"/>
  <c r="AJ11" i="11"/>
  <c r="AK11" i="11"/>
  <c r="AL11" i="11"/>
  <c r="AM11" i="11"/>
  <c r="AN11" i="11"/>
  <c r="AO11" i="11"/>
  <c r="AP11" i="11"/>
  <c r="AQ11" i="11"/>
  <c r="AR11" i="11"/>
  <c r="AS11" i="11"/>
  <c r="AT11" i="11"/>
  <c r="AU11" i="11"/>
  <c r="AV11" i="11"/>
  <c r="AW11" i="11"/>
  <c r="E28" i="11"/>
  <c r="G28" i="11"/>
  <c r="I28" i="11"/>
  <c r="M28" i="11"/>
  <c r="M32" i="11" s="1"/>
  <c r="N28" i="11"/>
  <c r="N34" i="11" s="1"/>
  <c r="O57" i="1" s="1"/>
  <c r="O28" i="11"/>
  <c r="P28" i="11"/>
  <c r="Q28" i="11"/>
  <c r="Q34" i="11" s="1"/>
  <c r="R57" i="1" s="1"/>
  <c r="R28" i="11"/>
  <c r="S28" i="11"/>
  <c r="T28" i="11"/>
  <c r="U28" i="11"/>
  <c r="U33" i="11" s="1"/>
  <c r="V28" i="11"/>
  <c r="V31" i="11" s="1"/>
  <c r="W27" i="1" s="1"/>
  <c r="W28" i="11"/>
  <c r="X28" i="11"/>
  <c r="Y28" i="11"/>
  <c r="Z28" i="11"/>
  <c r="AA28" i="11"/>
  <c r="AB28" i="11"/>
  <c r="AC28" i="11"/>
  <c r="AE28" i="11"/>
  <c r="AF28" i="11"/>
  <c r="AG28" i="11"/>
  <c r="AH28" i="11"/>
  <c r="AI28" i="11"/>
  <c r="AJ28" i="11"/>
  <c r="AK28" i="11"/>
  <c r="AL28" i="11"/>
  <c r="AM28" i="11"/>
  <c r="AN28" i="11"/>
  <c r="AO28" i="11"/>
  <c r="AP28" i="11"/>
  <c r="AQ28" i="11"/>
  <c r="AR28" i="11"/>
  <c r="AS28" i="11"/>
  <c r="AT28" i="11"/>
  <c r="AU28" i="11"/>
  <c r="AV28" i="11"/>
  <c r="AV31" i="11" s="1"/>
  <c r="AW27" i="1" s="1"/>
  <c r="AW28" i="11"/>
  <c r="T35" i="11"/>
  <c r="U67" i="1" s="1"/>
  <c r="I35" i="11"/>
  <c r="J67" i="1" s="1"/>
  <c r="J71" i="1" s="1"/>
  <c r="I32" i="11"/>
  <c r="J37" i="1" s="1"/>
  <c r="J41" i="1" s="1"/>
  <c r="R32" i="11"/>
  <c r="S37" i="1" s="1"/>
  <c r="R31" i="11"/>
  <c r="S27" i="1" s="1"/>
  <c r="R33" i="11"/>
  <c r="S47" i="1" s="1"/>
  <c r="N31" i="11"/>
  <c r="M34" i="11"/>
  <c r="N57" i="1" s="1"/>
  <c r="N61" i="1" s="1"/>
  <c r="L70" i="11" l="1"/>
  <c r="L72" i="11"/>
  <c r="L69" i="11"/>
  <c r="L71" i="11"/>
  <c r="U69" i="11"/>
  <c r="V38" i="1" s="1"/>
  <c r="U70" i="11"/>
  <c r="V48" i="1" s="1"/>
  <c r="U71" i="11"/>
  <c r="V58" i="1" s="1"/>
  <c r="Q69" i="11"/>
  <c r="R38" i="1" s="1"/>
  <c r="Q72" i="11"/>
  <c r="R68" i="1" s="1"/>
  <c r="V32" i="11"/>
  <c r="W37" i="1" s="1"/>
  <c r="F32" i="11"/>
  <c r="G37" i="1" s="1"/>
  <c r="G41" i="1" s="1"/>
  <c r="D31" i="11"/>
  <c r="AQ34" i="11"/>
  <c r="AR57" i="1" s="1"/>
  <c r="Y32" i="11"/>
  <c r="Z37" i="1" s="1"/>
  <c r="I34" i="11"/>
  <c r="J57" i="1" s="1"/>
  <c r="J61" i="1" s="1"/>
  <c r="L68" i="11"/>
  <c r="V34" i="11"/>
  <c r="W57" i="1" s="1"/>
  <c r="N32" i="11"/>
  <c r="O37" i="1" s="1"/>
  <c r="S72" i="11"/>
  <c r="T68" i="1" s="1"/>
  <c r="AC72" i="11"/>
  <c r="AD68" i="1" s="1"/>
  <c r="AA68" i="11"/>
  <c r="F26" i="22"/>
  <c r="G26" i="22" s="1"/>
  <c r="H26" i="22" s="1"/>
  <c r="F32" i="22"/>
  <c r="AC70" i="11"/>
  <c r="AD48" i="1" s="1"/>
  <c r="E20" i="22"/>
  <c r="E21" i="22" s="1"/>
  <c r="AD34" i="11"/>
  <c r="AE57" i="1" s="1"/>
  <c r="AR34" i="11"/>
  <c r="AS57" i="1" s="1"/>
  <c r="Z34" i="11"/>
  <c r="AA57" i="1" s="1"/>
  <c r="R34" i="11"/>
  <c r="S57" i="1" s="1"/>
  <c r="J32" i="11"/>
  <c r="K37" i="1" s="1"/>
  <c r="K41" i="1" s="1"/>
  <c r="H65" i="11"/>
  <c r="W70" i="11"/>
  <c r="X48" i="1" s="1"/>
  <c r="H72" i="11"/>
  <c r="H68" i="11"/>
  <c r="H69" i="11"/>
  <c r="H71" i="11"/>
  <c r="H70" i="11"/>
  <c r="D32" i="11"/>
  <c r="AV32" i="11"/>
  <c r="AW37" i="1" s="1"/>
  <c r="U68" i="11"/>
  <c r="W69" i="11"/>
  <c r="X38" i="1" s="1"/>
  <c r="AW69" i="11"/>
  <c r="AX38" i="1" s="1"/>
  <c r="AX39" i="1" s="1"/>
  <c r="AX40" i="1" s="1"/>
  <c r="AA70" i="11"/>
  <c r="AB48" i="1" s="1"/>
  <c r="W71" i="11"/>
  <c r="X58" i="1" s="1"/>
  <c r="AA72" i="11"/>
  <c r="AB68" i="1" s="1"/>
  <c r="Q32" i="11"/>
  <c r="R37" i="1" s="1"/>
  <c r="U34" i="11"/>
  <c r="V57" i="1" s="1"/>
  <c r="AD68" i="11"/>
  <c r="AT33" i="11"/>
  <c r="AU47" i="1" s="1"/>
  <c r="AL33" i="11"/>
  <c r="AB31" i="11"/>
  <c r="T33" i="11"/>
  <c r="U47" i="1" s="1"/>
  <c r="L35" i="11"/>
  <c r="M67" i="1" s="1"/>
  <c r="M71" i="1" s="1"/>
  <c r="AV35" i="11"/>
  <c r="AW67" i="1" s="1"/>
  <c r="F35" i="11"/>
  <c r="G67" i="1" s="1"/>
  <c r="G71" i="1" s="1"/>
  <c r="P34" i="11"/>
  <c r="Q57" i="1" s="1"/>
  <c r="J33" i="11"/>
  <c r="K47" i="1" s="1"/>
  <c r="K51" i="1" s="1"/>
  <c r="T32" i="11"/>
  <c r="U37" i="1" s="1"/>
  <c r="L32" i="11"/>
  <c r="M37" i="1" s="1"/>
  <c r="M41" i="1" s="1"/>
  <c r="U31" i="11"/>
  <c r="V27" i="1" s="1"/>
  <c r="M31" i="11"/>
  <c r="N27" i="1" s="1"/>
  <c r="N31" i="1" s="1"/>
  <c r="F12" i="22"/>
  <c r="W68" i="11"/>
  <c r="AD70" i="11"/>
  <c r="AE48" i="1" s="1"/>
  <c r="AH71" i="11"/>
  <c r="AI58" i="1" s="1"/>
  <c r="AD72" i="11"/>
  <c r="AE68" i="1" s="1"/>
  <c r="E31" i="11"/>
  <c r="AA33" i="11"/>
  <c r="S35" i="11"/>
  <c r="T67" i="1" s="1"/>
  <c r="K35" i="11"/>
  <c r="L67" i="1" s="1"/>
  <c r="L71" i="1" s="1"/>
  <c r="Q71" i="11"/>
  <c r="R58" i="1" s="1"/>
  <c r="U72" i="11"/>
  <c r="V68" i="1" s="1"/>
  <c r="Q70" i="11"/>
  <c r="R48" i="1" s="1"/>
  <c r="P65" i="11"/>
  <c r="X65" i="11"/>
  <c r="AN65" i="11"/>
  <c r="AN72" i="11" s="1"/>
  <c r="R65" i="11"/>
  <c r="R70" i="11" s="1"/>
  <c r="S48" i="1" s="1"/>
  <c r="R11" i="22"/>
  <c r="AC71" i="11"/>
  <c r="AD58" i="1" s="1"/>
  <c r="E27" i="1"/>
  <c r="E31" i="1" s="1"/>
  <c r="E32" i="1" s="1"/>
  <c r="E33" i="1" s="1"/>
  <c r="J31" i="11"/>
  <c r="K27" i="1" s="1"/>
  <c r="K31" i="1" s="1"/>
  <c r="AV34" i="11"/>
  <c r="AW57" i="1" s="1"/>
  <c r="AA69" i="11"/>
  <c r="AB38" i="1" s="1"/>
  <c r="AN70" i="11"/>
  <c r="AA71" i="11"/>
  <c r="AB58" i="1" s="1"/>
  <c r="W72" i="11"/>
  <c r="X68" i="1" s="1"/>
  <c r="K65" i="11"/>
  <c r="AB68" i="11"/>
  <c r="AC32" i="11"/>
  <c r="AD37" i="1" s="1"/>
  <c r="AC31" i="11"/>
  <c r="AD27" i="1" s="1"/>
  <c r="AP31" i="11"/>
  <c r="X31" i="11"/>
  <c r="H33" i="11"/>
  <c r="I47" i="1" s="1"/>
  <c r="I51" i="1" s="1"/>
  <c r="AV33" i="11"/>
  <c r="AW47" i="1" s="1"/>
  <c r="N33" i="11"/>
  <c r="O47" i="1" s="1"/>
  <c r="F20" i="11"/>
  <c r="I31" i="11"/>
  <c r="J27" i="1" s="1"/>
  <c r="J31" i="1" s="1"/>
  <c r="AD69" i="11"/>
  <c r="AE38" i="1" s="1"/>
  <c r="AD71" i="11"/>
  <c r="AE58" i="1" s="1"/>
  <c r="AC35" i="11"/>
  <c r="AD67" i="1" s="1"/>
  <c r="W33" i="11"/>
  <c r="X47" i="1" s="1"/>
  <c r="O31" i="11"/>
  <c r="Y35" i="11"/>
  <c r="Z67" i="1" s="1"/>
  <c r="Q35" i="11"/>
  <c r="R67" i="1" s="1"/>
  <c r="M33" i="11"/>
  <c r="N47" i="1" s="1"/>
  <c r="N51" i="1" s="1"/>
  <c r="H20" i="11"/>
  <c r="AR65" i="11"/>
  <c r="AR71" i="11" s="1"/>
  <c r="AS58" i="1" s="1"/>
  <c r="AS59" i="1" s="1"/>
  <c r="AS60" i="1" s="1"/>
  <c r="F65" i="11"/>
  <c r="AC33" i="11"/>
  <c r="AD47" i="1" s="1"/>
  <c r="L33" i="11"/>
  <c r="M47" i="1" s="1"/>
  <c r="M51" i="1" s="1"/>
  <c r="F25" i="22"/>
  <c r="P33" i="11"/>
  <c r="Q47" i="1" s="1"/>
  <c r="U20" i="11"/>
  <c r="M20" i="11"/>
  <c r="AG20" i="11"/>
  <c r="I20" i="11"/>
  <c r="P7" i="22"/>
  <c r="P8" i="22" s="1"/>
  <c r="AA30" i="27" s="1"/>
  <c r="AA31" i="27" s="1"/>
  <c r="AI35" i="11"/>
  <c r="AJ67" i="1" s="1"/>
  <c r="D33" i="11"/>
  <c r="K34" i="11"/>
  <c r="L57" i="1" s="1"/>
  <c r="L61" i="1" s="1"/>
  <c r="AB33" i="11"/>
  <c r="AC47" i="1" s="1"/>
  <c r="Q33" i="11"/>
  <c r="R47" i="1" s="1"/>
  <c r="I33" i="11"/>
  <c r="J47" i="1" s="1"/>
  <c r="J51" i="1" s="1"/>
  <c r="AA20" i="11"/>
  <c r="S32" i="11"/>
  <c r="T37" i="1" s="1"/>
  <c r="K32" i="11"/>
  <c r="L37" i="1" s="1"/>
  <c r="L41" i="1" s="1"/>
  <c r="AE20" i="11"/>
  <c r="T31" i="11"/>
  <c r="U27" i="1" s="1"/>
  <c r="L31" i="11"/>
  <c r="AB35" i="11"/>
  <c r="AC67" i="1" s="1"/>
  <c r="P35" i="11"/>
  <c r="Q67" i="1" s="1"/>
  <c r="H35" i="11"/>
  <c r="I67" i="1" s="1"/>
  <c r="I71" i="1" s="1"/>
  <c r="D35" i="11"/>
  <c r="Z33" i="11"/>
  <c r="AA47" i="1" s="1"/>
  <c r="P31" i="11"/>
  <c r="Q27" i="1" s="1"/>
  <c r="D34" i="11"/>
  <c r="U35" i="11"/>
  <c r="V67" i="1" s="1"/>
  <c r="S31" i="11"/>
  <c r="H31" i="11"/>
  <c r="I27" i="1" s="1"/>
  <c r="I31" i="1" s="1"/>
  <c r="AA32" i="11"/>
  <c r="AB37" i="1" s="1"/>
  <c r="Y33" i="11"/>
  <c r="Z47" i="1" s="1"/>
  <c r="AD31" i="11"/>
  <c r="AE27" i="1" s="1"/>
  <c r="AA31" i="11"/>
  <c r="AB27" i="1" s="1"/>
  <c r="AD32" i="11"/>
  <c r="AE37" i="1" s="1"/>
  <c r="E32" i="11"/>
  <c r="F37" i="1" s="1"/>
  <c r="F41" i="1" s="1"/>
  <c r="E35" i="11"/>
  <c r="F67" i="1" s="1"/>
  <c r="S34" i="11"/>
  <c r="T57" i="1" s="1"/>
  <c r="AA34" i="11"/>
  <c r="AB57" i="1" s="1"/>
  <c r="X33" i="11"/>
  <c r="Y47" i="1" s="1"/>
  <c r="M35" i="11"/>
  <c r="N67" i="1" s="1"/>
  <c r="X35" i="11"/>
  <c r="Y67" i="1" s="1"/>
  <c r="AU20" i="11"/>
  <c r="AM20" i="11"/>
  <c r="AB47" i="1"/>
  <c r="Z32" i="11"/>
  <c r="AA37" i="1" s="1"/>
  <c r="AO34" i="11"/>
  <c r="AP57" i="1" s="1"/>
  <c r="E34" i="11"/>
  <c r="F57" i="1" s="1"/>
  <c r="F61" i="1" s="1"/>
  <c r="AA35" i="11"/>
  <c r="AB67" i="1" s="1"/>
  <c r="E33" i="11"/>
  <c r="F47" i="1" s="1"/>
  <c r="F51" i="1" s="1"/>
  <c r="Z35" i="11"/>
  <c r="AA67" i="1" s="1"/>
  <c r="J35" i="11"/>
  <c r="K67" i="1" s="1"/>
  <c r="K71" i="1" s="1"/>
  <c r="AF20" i="11"/>
  <c r="N20" i="11"/>
  <c r="F33" i="11"/>
  <c r="G47" i="1" s="1"/>
  <c r="G51" i="1" s="1"/>
  <c r="P32" i="11"/>
  <c r="P36" i="11" s="1"/>
  <c r="H32" i="11"/>
  <c r="AQ20" i="11"/>
  <c r="I36" i="11"/>
  <c r="V35" i="11"/>
  <c r="W67" i="1" s="1"/>
  <c r="N35" i="11"/>
  <c r="O67" i="1" s="1"/>
  <c r="X34" i="11"/>
  <c r="Y57" i="1" s="1"/>
  <c r="H34" i="11"/>
  <c r="I57" i="1" s="1"/>
  <c r="I61" i="1" s="1"/>
  <c r="J20" i="11"/>
  <c r="AB32" i="11"/>
  <c r="AC37" i="1" s="1"/>
  <c r="AD33" i="11"/>
  <c r="AE47" i="1" s="1"/>
  <c r="V28" i="1"/>
  <c r="V17" i="1" s="1"/>
  <c r="U73" i="11"/>
  <c r="AW71" i="11"/>
  <c r="AX58" i="1" s="1"/>
  <c r="AX59" i="1" s="1"/>
  <c r="AX60" i="1" s="1"/>
  <c r="AC28" i="1"/>
  <c r="AC34" i="11"/>
  <c r="AC20" i="11"/>
  <c r="N36" i="11"/>
  <c r="U36" i="11"/>
  <c r="V47" i="1"/>
  <c r="V16" i="1" s="1"/>
  <c r="F27" i="1"/>
  <c r="F31" i="1" s="1"/>
  <c r="S73" i="11"/>
  <c r="T38" i="1"/>
  <c r="L73" i="11"/>
  <c r="AD73" i="11"/>
  <c r="AE28" i="1"/>
  <c r="AB70" i="11"/>
  <c r="AC48" i="1" s="1"/>
  <c r="G68" i="11"/>
  <c r="G65" i="11"/>
  <c r="AU72" i="11"/>
  <c r="AV68" i="1" s="1"/>
  <c r="AV69" i="1" s="1"/>
  <c r="AU71" i="11"/>
  <c r="AV58" i="1" s="1"/>
  <c r="AV59" i="1" s="1"/>
  <c r="AV60" i="1" s="1"/>
  <c r="AU70" i="11"/>
  <c r="AU69" i="11"/>
  <c r="AV38" i="1" s="1"/>
  <c r="AV39" i="1" s="1"/>
  <c r="AV40" i="1" s="1"/>
  <c r="AU68" i="11"/>
  <c r="AV28" i="1" s="1"/>
  <c r="AV29" i="1" s="1"/>
  <c r="AV30" i="1" s="1"/>
  <c r="X28" i="1"/>
  <c r="W73" i="11"/>
  <c r="Y27" i="1"/>
  <c r="R20" i="11"/>
  <c r="R35" i="11"/>
  <c r="S67" i="1" s="1"/>
  <c r="AB20" i="11"/>
  <c r="AB34" i="11"/>
  <c r="AC57" i="1" s="1"/>
  <c r="T20" i="11"/>
  <c r="T34" i="11"/>
  <c r="U57" i="1" s="1"/>
  <c r="L34" i="11"/>
  <c r="M57" i="1" s="1"/>
  <c r="M61" i="1" s="1"/>
  <c r="L20" i="11"/>
  <c r="V20" i="11"/>
  <c r="V33" i="11"/>
  <c r="AH32" i="11"/>
  <c r="AI37" i="1" s="1"/>
  <c r="AH20" i="11"/>
  <c r="X20" i="11"/>
  <c r="X32" i="11"/>
  <c r="Y37" i="1" s="1"/>
  <c r="I37" i="1"/>
  <c r="I41" i="1" s="1"/>
  <c r="H36" i="11"/>
  <c r="Z20" i="11"/>
  <c r="Z31" i="11"/>
  <c r="Q31" i="11"/>
  <c r="Q20" i="11"/>
  <c r="P71" i="11"/>
  <c r="P72" i="11"/>
  <c r="P69" i="11"/>
  <c r="P70" i="11"/>
  <c r="X72" i="11"/>
  <c r="Y68" i="1" s="1"/>
  <c r="X71" i="11"/>
  <c r="Y58" i="1" s="1"/>
  <c r="X70" i="11"/>
  <c r="Y48" i="1" s="1"/>
  <c r="X69" i="11"/>
  <c r="Y38" i="1" s="1"/>
  <c r="R71" i="11"/>
  <c r="S58" i="1" s="1"/>
  <c r="R68" i="11"/>
  <c r="F70" i="11"/>
  <c r="F72" i="11"/>
  <c r="AC27" i="1"/>
  <c r="W31" i="11"/>
  <c r="W34" i="11"/>
  <c r="X57" i="1" s="1"/>
  <c r="W35" i="11"/>
  <c r="X67" i="1" s="1"/>
  <c r="W32" i="11"/>
  <c r="X37" i="1" s="1"/>
  <c r="W20" i="11"/>
  <c r="O34" i="11"/>
  <c r="P57" i="1" s="1"/>
  <c r="O32" i="11"/>
  <c r="P37" i="1" s="1"/>
  <c r="O35" i="11"/>
  <c r="P67" i="1" s="1"/>
  <c r="O20" i="11"/>
  <c r="O33" i="11"/>
  <c r="P47" i="1" s="1"/>
  <c r="G32" i="11"/>
  <c r="H37" i="1" s="1"/>
  <c r="H41" i="1" s="1"/>
  <c r="G34" i="11"/>
  <c r="H57" i="1" s="1"/>
  <c r="H61" i="1" s="1"/>
  <c r="G33" i="11"/>
  <c r="H47" i="1" s="1"/>
  <c r="H51" i="1" s="1"/>
  <c r="G20" i="11"/>
  <c r="G31" i="11"/>
  <c r="I68" i="11"/>
  <c r="I69" i="11"/>
  <c r="I70" i="11"/>
  <c r="I71" i="11"/>
  <c r="AR69" i="11"/>
  <c r="AS38" i="1" s="1"/>
  <c r="AS39" i="1" s="1"/>
  <c r="AS40" i="1" s="1"/>
  <c r="AW70" i="11"/>
  <c r="AX48" i="1" s="1"/>
  <c r="AX49" i="1" s="1"/>
  <c r="AX50" i="1" s="1"/>
  <c r="O27" i="1"/>
  <c r="O16" i="1" s="1"/>
  <c r="R36" i="11"/>
  <c r="K69" i="11"/>
  <c r="K71" i="11"/>
  <c r="K70" i="11"/>
  <c r="K68" i="11"/>
  <c r="K72" i="11"/>
  <c r="AH68" i="11"/>
  <c r="AB69" i="11"/>
  <c r="AC38" i="1" s="1"/>
  <c r="AB71" i="11"/>
  <c r="AC58" i="1" s="1"/>
  <c r="M65" i="11"/>
  <c r="M68" i="11"/>
  <c r="P27" i="1"/>
  <c r="Q26" i="22"/>
  <c r="Q25" i="22"/>
  <c r="R25" i="22" s="1"/>
  <c r="S25" i="22" s="1"/>
  <c r="T25" i="22" s="1"/>
  <c r="U25" i="22" s="1"/>
  <c r="V25" i="22" s="1"/>
  <c r="W25" i="22" s="1"/>
  <c r="X25" i="22" s="1"/>
  <c r="T27" i="1"/>
  <c r="T36" i="11"/>
  <c r="E69" i="11"/>
  <c r="E68" i="11"/>
  <c r="E70" i="11"/>
  <c r="E71" i="11"/>
  <c r="E72" i="11"/>
  <c r="AH70" i="11"/>
  <c r="AI48" i="1" s="1"/>
  <c r="AW68" i="11"/>
  <c r="AA73" i="11"/>
  <c r="N37" i="1"/>
  <c r="N41" i="1" s="1"/>
  <c r="M36" i="11"/>
  <c r="O69" i="11"/>
  <c r="O72" i="11"/>
  <c r="O71" i="11"/>
  <c r="O70" i="11"/>
  <c r="O68" i="11"/>
  <c r="T65" i="11"/>
  <c r="T68" i="11" s="1"/>
  <c r="N65" i="11"/>
  <c r="N71" i="11" s="1"/>
  <c r="V65" i="11"/>
  <c r="V69" i="11" s="1"/>
  <c r="W38" i="1" s="1"/>
  <c r="AM65" i="11"/>
  <c r="AM68" i="11" s="1"/>
  <c r="J70" i="11"/>
  <c r="F71" i="11"/>
  <c r="V71" i="11"/>
  <c r="W58" i="1" s="1"/>
  <c r="J72" i="11"/>
  <c r="R72" i="11"/>
  <c r="S68" i="1" s="1"/>
  <c r="F19" i="22"/>
  <c r="G19" i="22" s="1"/>
  <c r="F18" i="22"/>
  <c r="AD35" i="11"/>
  <c r="AE67" i="1" s="1"/>
  <c r="AD20" i="11"/>
  <c r="K31" i="11"/>
  <c r="J34" i="11"/>
  <c r="K57" i="1" s="1"/>
  <c r="K61" i="1" s="1"/>
  <c r="K20" i="1" s="1"/>
  <c r="AP35" i="11"/>
  <c r="AQ67" i="1" s="1"/>
  <c r="AO32" i="11"/>
  <c r="AP37" i="1" s="1"/>
  <c r="AQ65" i="11"/>
  <c r="AQ70" i="11" s="1"/>
  <c r="AR48" i="1" s="1"/>
  <c r="AR49" i="1" s="1"/>
  <c r="AR50" i="1" s="1"/>
  <c r="D72" i="11"/>
  <c r="Y65" i="11"/>
  <c r="Y68" i="11" s="1"/>
  <c r="AF65" i="11"/>
  <c r="AF71" i="11" s="1"/>
  <c r="AG58" i="1" s="1"/>
  <c r="AB28" i="1"/>
  <c r="G27" i="1"/>
  <c r="G31" i="1" s="1"/>
  <c r="E20" i="11"/>
  <c r="K20" i="11"/>
  <c r="Y31" i="11"/>
  <c r="Y34" i="11"/>
  <c r="Z57" i="1" s="1"/>
  <c r="AH35" i="11"/>
  <c r="AI67" i="1" s="1"/>
  <c r="AH31" i="11"/>
  <c r="AI27" i="1" s="1"/>
  <c r="R5" i="22"/>
  <c r="S5" i="22" s="1"/>
  <c r="P68" i="11"/>
  <c r="J68" i="11"/>
  <c r="D71" i="11"/>
  <c r="AG65" i="11"/>
  <c r="AG71" i="11" s="1"/>
  <c r="AH58" i="1" s="1"/>
  <c r="AO65" i="11"/>
  <c r="AO69" i="11" s="1"/>
  <c r="AP38" i="1" s="1"/>
  <c r="AP39" i="1" s="1"/>
  <c r="AP40" i="1" s="1"/>
  <c r="AS65" i="11"/>
  <c r="AS72" i="11" s="1"/>
  <c r="AT68" i="1" s="1"/>
  <c r="AT69" i="1" s="1"/>
  <c r="P17" i="1"/>
  <c r="M27" i="1"/>
  <c r="M31" i="1" s="1"/>
  <c r="Y20" i="11"/>
  <c r="S20" i="11"/>
  <c r="D20" i="11"/>
  <c r="AJ33" i="11"/>
  <c r="AK47" i="1" s="1"/>
  <c r="X68" i="11"/>
  <c r="AC73" i="11"/>
  <c r="Z65" i="11"/>
  <c r="Z70" i="11" s="1"/>
  <c r="AA48" i="1" s="1"/>
  <c r="AH69" i="11"/>
  <c r="AI38" i="1" s="1"/>
  <c r="AT65" i="11"/>
  <c r="AT71" i="11" s="1"/>
  <c r="AU58" i="1" s="1"/>
  <c r="AU59" i="1" s="1"/>
  <c r="AU60" i="1" s="1"/>
  <c r="AL65" i="11"/>
  <c r="AL72" i="11" s="1"/>
  <c r="AM68" i="1" s="1"/>
  <c r="S11" i="22"/>
  <c r="AV65" i="11"/>
  <c r="AV72" i="11" s="1"/>
  <c r="AW68" i="1" s="1"/>
  <c r="AI65" i="11"/>
  <c r="AI70" i="11" s="1"/>
  <c r="AJ48" i="1" s="1"/>
  <c r="AE65" i="11"/>
  <c r="AE70" i="11" s="1"/>
  <c r="AH34" i="11"/>
  <c r="AI57" i="1" s="1"/>
  <c r="D70" i="11"/>
  <c r="Q68" i="11"/>
  <c r="AT70" i="11"/>
  <c r="S33" i="11"/>
  <c r="T47" i="1" s="1"/>
  <c r="K33" i="11"/>
  <c r="L47" i="1" s="1"/>
  <c r="L51" i="1" s="1"/>
  <c r="AG34" i="11"/>
  <c r="AH57" i="1" s="1"/>
  <c r="D68" i="11"/>
  <c r="R69" i="11"/>
  <c r="S38" i="1" s="1"/>
  <c r="AP68" i="11"/>
  <c r="AF69" i="11"/>
  <c r="AP72" i="11"/>
  <c r="AQ68" i="1" s="1"/>
  <c r="AQ69" i="1" s="1"/>
  <c r="AQ70" i="1" s="1"/>
  <c r="O89" i="1"/>
  <c r="O91" i="1" s="1"/>
  <c r="O92" i="1" s="1"/>
  <c r="P89" i="1" s="1"/>
  <c r="AD17" i="1"/>
  <c r="AW16" i="1"/>
  <c r="AW35" i="11"/>
  <c r="AX67" i="1" s="1"/>
  <c r="AW33" i="11"/>
  <c r="AX47" i="1" s="1"/>
  <c r="AW31" i="11"/>
  <c r="AX27" i="1" s="1"/>
  <c r="AW34" i="11"/>
  <c r="AX57" i="1" s="1"/>
  <c r="AX61" i="1" s="1"/>
  <c r="AX70" i="1"/>
  <c r="AW20" i="11"/>
  <c r="AW32" i="11"/>
  <c r="AU35" i="11"/>
  <c r="AV67" i="1" s="1"/>
  <c r="AU33" i="11"/>
  <c r="AV47" i="1" s="1"/>
  <c r="AU34" i="11"/>
  <c r="AV57" i="1" s="1"/>
  <c r="AV61" i="1" s="1"/>
  <c r="AU32" i="11"/>
  <c r="AV37" i="1" s="1"/>
  <c r="AU31" i="11"/>
  <c r="AV27" i="1" s="1"/>
  <c r="AV36" i="11"/>
  <c r="AV20" i="11"/>
  <c r="AV70" i="1"/>
  <c r="AT34" i="11"/>
  <c r="AU57" i="1" s="1"/>
  <c r="AT35" i="11"/>
  <c r="AU67" i="1" s="1"/>
  <c r="AT32" i="11"/>
  <c r="AU37" i="1" s="1"/>
  <c r="AT31" i="11"/>
  <c r="AU27" i="1" s="1"/>
  <c r="AU48" i="1"/>
  <c r="AU49" i="1" s="1"/>
  <c r="AU50" i="1" s="1"/>
  <c r="AU51" i="1" s="1"/>
  <c r="AS34" i="11"/>
  <c r="AT57" i="1" s="1"/>
  <c r="AS32" i="11"/>
  <c r="AT37" i="1" s="1"/>
  <c r="AS35" i="11"/>
  <c r="AT67" i="1" s="1"/>
  <c r="AS31" i="11"/>
  <c r="AT27" i="1" s="1"/>
  <c r="AS33" i="11"/>
  <c r="AT47" i="1" s="1"/>
  <c r="AT20" i="11"/>
  <c r="AT70" i="1"/>
  <c r="AR33" i="11"/>
  <c r="AS47" i="1" s="1"/>
  <c r="AR31" i="11"/>
  <c r="AS27" i="1" s="1"/>
  <c r="AR35" i="11"/>
  <c r="AS67" i="1" s="1"/>
  <c r="AR32" i="11"/>
  <c r="AS37" i="1" s="1"/>
  <c r="AS61" i="1"/>
  <c r="AS20" i="11"/>
  <c r="D12" i="26"/>
  <c r="D14" i="26" s="1"/>
  <c r="D15" i="26" s="1"/>
  <c r="E12" i="26" s="1"/>
  <c r="E14" i="26" s="1"/>
  <c r="E15" i="26" s="1"/>
  <c r="F12" i="26" s="1"/>
  <c r="F14" i="26" s="1"/>
  <c r="F15" i="26" s="1"/>
  <c r="G12" i="26" s="1"/>
  <c r="G14" i="26" s="1"/>
  <c r="G15" i="26" s="1"/>
  <c r="H12" i="26" s="1"/>
  <c r="H14" i="26" s="1"/>
  <c r="H15" i="26" s="1"/>
  <c r="I12" i="26" s="1"/>
  <c r="I14" i="26" s="1"/>
  <c r="I15" i="26" s="1"/>
  <c r="J12" i="26" s="1"/>
  <c r="J14" i="26" s="1"/>
  <c r="J15" i="26" s="1"/>
  <c r="K12" i="26" s="1"/>
  <c r="K14" i="26" s="1"/>
  <c r="K15" i="26" s="1"/>
  <c r="L12" i="26" s="1"/>
  <c r="L14" i="26" s="1"/>
  <c r="L15" i="26" s="1"/>
  <c r="M12" i="26" s="1"/>
  <c r="M14" i="26" s="1"/>
  <c r="M15" i="26" s="1"/>
  <c r="N12" i="26" s="1"/>
  <c r="N14" i="26" s="1"/>
  <c r="N15" i="26" s="1"/>
  <c r="O12" i="26" s="1"/>
  <c r="O14" i="26" s="1"/>
  <c r="O15" i="26" s="1"/>
  <c r="P12" i="26" s="1"/>
  <c r="P14" i="26" s="1"/>
  <c r="P15" i="26" s="1"/>
  <c r="Q12" i="26" s="1"/>
  <c r="Q14" i="26" s="1"/>
  <c r="Q15" i="26" s="1"/>
  <c r="AQ33" i="11"/>
  <c r="AR47" i="1" s="1"/>
  <c r="AQ35" i="11"/>
  <c r="AR67" i="1" s="1"/>
  <c r="AQ32" i="11"/>
  <c r="AR37" i="1" s="1"/>
  <c r="AQ31" i="11"/>
  <c r="AR27" i="1" s="1"/>
  <c r="AR20" i="11"/>
  <c r="AP34" i="11"/>
  <c r="AQ57" i="1" s="1"/>
  <c r="AP33" i="11"/>
  <c r="AQ47" i="1" s="1"/>
  <c r="AP32" i="11"/>
  <c r="AQ37" i="1" s="1"/>
  <c r="AQ27" i="1"/>
  <c r="AQ28" i="1"/>
  <c r="AQ29" i="1" s="1"/>
  <c r="AQ30" i="1" s="1"/>
  <c r="AP71" i="11"/>
  <c r="AQ58" i="1" s="1"/>
  <c r="AQ59" i="1" s="1"/>
  <c r="AQ60" i="1" s="1"/>
  <c r="AP70" i="11"/>
  <c r="AQ48" i="1" s="1"/>
  <c r="AO31" i="11"/>
  <c r="AP27" i="1" s="1"/>
  <c r="AO35" i="11"/>
  <c r="AP67" i="1" s="1"/>
  <c r="AO33" i="11"/>
  <c r="AP47" i="1" s="1"/>
  <c r="AP20" i="11"/>
  <c r="AN32" i="11"/>
  <c r="AO37" i="1" s="1"/>
  <c r="AN35" i="11"/>
  <c r="AO67" i="1" s="1"/>
  <c r="AN33" i="11"/>
  <c r="AO47" i="1" s="1"/>
  <c r="AO20" i="11"/>
  <c r="AN31" i="11"/>
  <c r="AO27" i="1" s="1"/>
  <c r="AN34" i="11"/>
  <c r="AO57" i="1" s="1"/>
  <c r="AO68" i="1"/>
  <c r="AO69" i="1" s="1"/>
  <c r="AO48" i="1"/>
  <c r="AO49" i="1" s="1"/>
  <c r="AO50" i="1" s="1"/>
  <c r="AM31" i="11"/>
  <c r="AN27" i="1" s="1"/>
  <c r="AM34" i="11"/>
  <c r="AN57" i="1" s="1"/>
  <c r="AM33" i="11"/>
  <c r="AN47" i="1" s="1"/>
  <c r="AM32" i="11"/>
  <c r="AN37" i="1" s="1"/>
  <c r="AM35" i="11"/>
  <c r="AN67" i="1" s="1"/>
  <c r="AN20" i="11"/>
  <c r="G12" i="22"/>
  <c r="H12" i="22" s="1"/>
  <c r="R26" i="22"/>
  <c r="S26" i="22" s="1"/>
  <c r="R34" i="22"/>
  <c r="R35" i="22" s="1"/>
  <c r="R36" i="22" s="1"/>
  <c r="F20" i="22"/>
  <c r="F21" i="22" s="1"/>
  <c r="F22" i="22" s="1"/>
  <c r="Q50" i="27" s="1"/>
  <c r="Q51" i="27" s="1"/>
  <c r="Q34" i="22"/>
  <c r="Q35" i="22" s="1"/>
  <c r="Q36" i="22" s="1"/>
  <c r="Q19" i="22"/>
  <c r="R6" i="22"/>
  <c r="R7" i="22" s="1"/>
  <c r="R8" i="22" s="1"/>
  <c r="Q18" i="22"/>
  <c r="R18" i="22" s="1"/>
  <c r="S18" i="22" s="1"/>
  <c r="T18" i="22" s="1"/>
  <c r="U18" i="22" s="1"/>
  <c r="V18" i="22" s="1"/>
  <c r="P34" i="22"/>
  <c r="P35" i="22" s="1"/>
  <c r="P36" i="22" s="1"/>
  <c r="AL34" i="11"/>
  <c r="AM57" i="1" s="1"/>
  <c r="AL32" i="11"/>
  <c r="AM37" i="1" s="1"/>
  <c r="AL31" i="11"/>
  <c r="AM27" i="1" s="1"/>
  <c r="AM47" i="1"/>
  <c r="AB17" i="1"/>
  <c r="AB59" i="1"/>
  <c r="AB60" i="1" s="1"/>
  <c r="AB61" i="1" s="1"/>
  <c r="E12" i="1"/>
  <c r="E13" i="1" s="1"/>
  <c r="AB16" i="1"/>
  <c r="F10" i="1"/>
  <c r="F12" i="1" s="1"/>
  <c r="F13" i="1" s="1"/>
  <c r="E17" i="22"/>
  <c r="E22" i="22" s="1"/>
  <c r="Q17" i="1"/>
  <c r="Y81" i="1"/>
  <c r="Y82" i="1" s="1"/>
  <c r="Y80" i="1"/>
  <c r="O93" i="1"/>
  <c r="C8" i="22"/>
  <c r="O29" i="1" s="1"/>
  <c r="O30" i="1" s="1"/>
  <c r="S16" i="1"/>
  <c r="U16" i="1"/>
  <c r="AE17" i="1"/>
  <c r="T17" i="1"/>
  <c r="I16" i="1"/>
  <c r="G16" i="1"/>
  <c r="M16" i="1"/>
  <c r="K16" i="1"/>
  <c r="X17" i="1"/>
  <c r="N16" i="1"/>
  <c r="J20" i="1"/>
  <c r="O101" i="1"/>
  <c r="O102" i="1"/>
  <c r="AB29" i="1"/>
  <c r="AB30" i="1" s="1"/>
  <c r="AB31" i="1" s="1"/>
  <c r="J16" i="1"/>
  <c r="F71" i="1"/>
  <c r="N71" i="1"/>
  <c r="N20" i="1" s="1"/>
  <c r="AL20" i="11"/>
  <c r="AK31" i="11"/>
  <c r="AL27" i="1" s="1"/>
  <c r="AK35" i="11"/>
  <c r="AL67" i="1" s="1"/>
  <c r="AK33" i="11"/>
  <c r="AL47" i="1" s="1"/>
  <c r="AK34" i="11"/>
  <c r="AL57" i="1" s="1"/>
  <c r="AK32" i="11"/>
  <c r="AL37" i="1" s="1"/>
  <c r="AK20" i="11"/>
  <c r="AL35" i="11"/>
  <c r="J21" i="27"/>
  <c r="J22" i="27" s="1"/>
  <c r="J73" i="27"/>
  <c r="AK65" i="11"/>
  <c r="AK70" i="11" s="1"/>
  <c r="AL48" i="1" s="1"/>
  <c r="AJ32" i="11"/>
  <c r="AK37" i="1" s="1"/>
  <c r="AJ35" i="11"/>
  <c r="AK67" i="1" s="1"/>
  <c r="AJ31" i="11"/>
  <c r="AK27" i="1" s="1"/>
  <c r="AJ65" i="11"/>
  <c r="AJ72" i="11" s="1"/>
  <c r="AK68" i="1" s="1"/>
  <c r="AI31" i="11"/>
  <c r="AJ27" i="1" s="1"/>
  <c r="AJ20" i="11"/>
  <c r="AI32" i="11"/>
  <c r="AJ37" i="1" s="1"/>
  <c r="AI34" i="11"/>
  <c r="AJ57" i="1" s="1"/>
  <c r="AI33" i="11"/>
  <c r="AJ47" i="1" s="1"/>
  <c r="AJ34" i="11"/>
  <c r="AH33" i="11"/>
  <c r="AI47" i="1" s="1"/>
  <c r="AI20" i="11"/>
  <c r="T5" i="22"/>
  <c r="U5" i="22" s="1"/>
  <c r="V5" i="22" s="1"/>
  <c r="W5" i="22" s="1"/>
  <c r="X5" i="22" s="1"/>
  <c r="I26" i="22"/>
  <c r="P13" i="22"/>
  <c r="P14" i="22" s="1"/>
  <c r="P15" i="22" s="1"/>
  <c r="G32" i="22"/>
  <c r="H32" i="22" s="1"/>
  <c r="P20" i="22"/>
  <c r="P21" i="22" s="1"/>
  <c r="P22" i="22" s="1"/>
  <c r="H19" i="22"/>
  <c r="I19" i="22" s="1"/>
  <c r="C36" i="22"/>
  <c r="Q13" i="22"/>
  <c r="Q14" i="22" s="1"/>
  <c r="Q15" i="22" s="1"/>
  <c r="R12" i="22"/>
  <c r="Q7" i="22"/>
  <c r="Q8" i="22" s="1"/>
  <c r="G18" i="22"/>
  <c r="G20" i="22" s="1"/>
  <c r="G21" i="22" s="1"/>
  <c r="G22" i="22" s="1"/>
  <c r="F11" i="22"/>
  <c r="E13" i="22"/>
  <c r="E14" i="22" s="1"/>
  <c r="E15" i="22" s="1"/>
  <c r="C15" i="22"/>
  <c r="S4" i="22"/>
  <c r="T4" i="22" s="1"/>
  <c r="U4" i="22" s="1"/>
  <c r="V4" i="22" s="1"/>
  <c r="S33" i="22"/>
  <c r="T33" i="22" s="1"/>
  <c r="U33" i="22" s="1"/>
  <c r="V33" i="22" s="1"/>
  <c r="S32" i="22"/>
  <c r="T11" i="22"/>
  <c r="U11" i="22" s="1"/>
  <c r="V11" i="22" s="1"/>
  <c r="W11" i="22" s="1"/>
  <c r="X11" i="22" s="1"/>
  <c r="Y11" i="22" s="1"/>
  <c r="G25" i="22"/>
  <c r="F27" i="22"/>
  <c r="F28" i="22" s="1"/>
  <c r="F29" i="22" s="1"/>
  <c r="F4" i="22"/>
  <c r="G4" i="22" s="1"/>
  <c r="F5" i="22"/>
  <c r="G5" i="22" s="1"/>
  <c r="F33" i="22"/>
  <c r="G33" i="22" s="1"/>
  <c r="D15" i="22"/>
  <c r="C22" i="22"/>
  <c r="C29" i="22"/>
  <c r="D8" i="22"/>
  <c r="D36" i="22"/>
  <c r="D22" i="22"/>
  <c r="D29" i="22"/>
  <c r="E8" i="22"/>
  <c r="E36" i="22"/>
  <c r="E29" i="22"/>
  <c r="AH73" i="11"/>
  <c r="AI28" i="1"/>
  <c r="AG32" i="11"/>
  <c r="AH37" i="1" s="1"/>
  <c r="AG31" i="11"/>
  <c r="AH27" i="1" s="1"/>
  <c r="AG35" i="11"/>
  <c r="AH67" i="1" s="1"/>
  <c r="AG33" i="11"/>
  <c r="AH47" i="1" s="1"/>
  <c r="AG70" i="11"/>
  <c r="AH48" i="1" s="1"/>
  <c r="AG69" i="11"/>
  <c r="AH38" i="1" s="1"/>
  <c r="AF35" i="11"/>
  <c r="AG67" i="1" s="1"/>
  <c r="AF32" i="11"/>
  <c r="AG37" i="1" s="1"/>
  <c r="AF33" i="11"/>
  <c r="AG47" i="1" s="1"/>
  <c r="AF31" i="11"/>
  <c r="AG27" i="1" s="1"/>
  <c r="AF34" i="11"/>
  <c r="AG57" i="1" s="1"/>
  <c r="AG38" i="1"/>
  <c r="AE35" i="11"/>
  <c r="AF67" i="1" s="1"/>
  <c r="AE31" i="11"/>
  <c r="AF27" i="1" s="1"/>
  <c r="AE32" i="11"/>
  <c r="AF37" i="1" s="1"/>
  <c r="AE33" i="11"/>
  <c r="AF47" i="1" s="1"/>
  <c r="AE34" i="11"/>
  <c r="AF57" i="1" s="1"/>
  <c r="AF48" i="1"/>
  <c r="AN71" i="11" l="1"/>
  <c r="AO58" i="1" s="1"/>
  <c r="O90" i="1"/>
  <c r="CE39" i="11"/>
  <c r="AN68" i="11"/>
  <c r="AO28" i="1" s="1"/>
  <c r="AO29" i="1" s="1"/>
  <c r="AO30" i="1" s="1"/>
  <c r="I20" i="1"/>
  <c r="AX51" i="1"/>
  <c r="G20" i="1"/>
  <c r="M20" i="1"/>
  <c r="AV41" i="1"/>
  <c r="AS41" i="1"/>
  <c r="Z71" i="11"/>
  <c r="AA58" i="1" s="1"/>
  <c r="AF70" i="11"/>
  <c r="AG48" i="1" s="1"/>
  <c r="E57" i="1"/>
  <c r="E61" i="1" s="1"/>
  <c r="CE42" i="11"/>
  <c r="N69" i="11"/>
  <c r="E47" i="1"/>
  <c r="E51" i="1" s="1"/>
  <c r="E52" i="1" s="1"/>
  <c r="E53" i="1" s="1"/>
  <c r="E54" i="1" s="1"/>
  <c r="F52" i="1" s="1"/>
  <c r="F53" i="1" s="1"/>
  <c r="F54" i="1" s="1"/>
  <c r="CE41" i="11"/>
  <c r="AR70" i="11"/>
  <c r="AS48" i="1" s="1"/>
  <c r="AS49" i="1" s="1"/>
  <c r="AS50" i="1" s="1"/>
  <c r="AS51" i="1" s="1"/>
  <c r="E37" i="1"/>
  <c r="E41" i="1" s="1"/>
  <c r="CE40" i="11"/>
  <c r="E73" i="11"/>
  <c r="Y16" i="1"/>
  <c r="E67" i="1"/>
  <c r="E71" i="1" s="1"/>
  <c r="E72" i="1" s="1"/>
  <c r="CE43" i="11"/>
  <c r="AU73" i="11"/>
  <c r="F68" i="11"/>
  <c r="F69" i="11"/>
  <c r="AN69" i="11"/>
  <c r="AI71" i="11"/>
  <c r="AJ58" i="1" s="1"/>
  <c r="AC16" i="1"/>
  <c r="AR72" i="11"/>
  <c r="AS68" i="1" s="1"/>
  <c r="H73" i="11"/>
  <c r="AG72" i="11"/>
  <c r="AH68" i="1" s="1"/>
  <c r="AG68" i="11"/>
  <c r="AH28" i="1" s="1"/>
  <c r="AI72" i="11"/>
  <c r="AJ68" i="1" s="1"/>
  <c r="AE69" i="11"/>
  <c r="AF38" i="1" s="1"/>
  <c r="Y70" i="11"/>
  <c r="Z48" i="1" s="1"/>
  <c r="AR68" i="11"/>
  <c r="Q37" i="1"/>
  <c r="Q16" i="1" s="1"/>
  <c r="E36" i="11"/>
  <c r="F20" i="1"/>
  <c r="T16" i="1"/>
  <c r="AI16" i="1"/>
  <c r="F16" i="1"/>
  <c r="O31" i="1"/>
  <c r="D36" i="11"/>
  <c r="AQ61" i="1"/>
  <c r="AE16" i="1"/>
  <c r="P16" i="1"/>
  <c r="AB36" i="11"/>
  <c r="AM36" i="11"/>
  <c r="Q27" i="22"/>
  <c r="Q28" i="22" s="1"/>
  <c r="Q29" i="22" s="1"/>
  <c r="O36" i="11"/>
  <c r="AV31" i="1"/>
  <c r="R27" i="22"/>
  <c r="R28" i="22" s="1"/>
  <c r="R29" i="22" s="1"/>
  <c r="AP41" i="1"/>
  <c r="X36" i="11"/>
  <c r="F36" i="11"/>
  <c r="AR51" i="1"/>
  <c r="AU61" i="1"/>
  <c r="AC17" i="1"/>
  <c r="AA36" i="11"/>
  <c r="Z28" i="1"/>
  <c r="AW69" i="1"/>
  <c r="U28" i="1"/>
  <c r="AN28" i="1"/>
  <c r="AV71" i="11"/>
  <c r="AW58" i="1" s="1"/>
  <c r="AW59" i="1" s="1"/>
  <c r="AW60" i="1" s="1"/>
  <c r="AW61" i="1" s="1"/>
  <c r="G36" i="11"/>
  <c r="H27" i="1"/>
  <c r="AO71" i="11"/>
  <c r="AP58" i="1" s="1"/>
  <c r="AP59" i="1" s="1"/>
  <c r="AP60" i="1" s="1"/>
  <c r="AP61" i="1" s="1"/>
  <c r="AF36" i="11"/>
  <c r="S34" i="22"/>
  <c r="S35" i="22" s="1"/>
  <c r="S36" i="22" s="1"/>
  <c r="Y36" i="11"/>
  <c r="Z27" i="1"/>
  <c r="Z16" i="1" s="1"/>
  <c r="AM71" i="11"/>
  <c r="AN58" i="1" s="1"/>
  <c r="AV69" i="11"/>
  <c r="AW38" i="1" s="1"/>
  <c r="AW39" i="1" s="1"/>
  <c r="AW40" i="1" s="1"/>
  <c r="AW41" i="1" s="1"/>
  <c r="AT69" i="11"/>
  <c r="AU38" i="1" s="1"/>
  <c r="AU39" i="1" s="1"/>
  <c r="AU40" i="1" s="1"/>
  <c r="AU41" i="1" s="1"/>
  <c r="AO70" i="11"/>
  <c r="AP48" i="1" s="1"/>
  <c r="AP49" i="1" s="1"/>
  <c r="AP50" i="1" s="1"/>
  <c r="J36" i="11"/>
  <c r="AV70" i="11"/>
  <c r="AW48" i="1" s="1"/>
  <c r="AW49" i="1" s="1"/>
  <c r="AW50" i="1" s="1"/>
  <c r="AW51" i="1" s="1"/>
  <c r="AV68" i="11"/>
  <c r="AS70" i="11"/>
  <c r="AT48" i="1" s="1"/>
  <c r="AT49" i="1" s="1"/>
  <c r="AD57" i="1"/>
  <c r="AD16" i="1" s="1"/>
  <c r="AC36" i="11"/>
  <c r="AL36" i="11"/>
  <c r="AL71" i="11"/>
  <c r="AM58" i="1" s="1"/>
  <c r="AL70" i="11"/>
  <c r="AM48" i="1" s="1"/>
  <c r="AE71" i="11"/>
  <c r="AF58" i="1" s="1"/>
  <c r="AL69" i="11"/>
  <c r="AM38" i="1" s="1"/>
  <c r="AS69" i="11"/>
  <c r="AT38" i="1" s="1"/>
  <c r="AT39" i="1" s="1"/>
  <c r="AT40" i="1" s="1"/>
  <c r="AT41" i="1" s="1"/>
  <c r="AO68" i="11"/>
  <c r="Y69" i="11"/>
  <c r="Z38" i="1" s="1"/>
  <c r="AM70" i="11"/>
  <c r="AN48" i="1" s="1"/>
  <c r="AF68" i="11"/>
  <c r="L36" i="11"/>
  <c r="AB73" i="11"/>
  <c r="AG73" i="11"/>
  <c r="T6" i="22"/>
  <c r="T7" i="22" s="1"/>
  <c r="T8" i="22" s="1"/>
  <c r="AK69" i="11"/>
  <c r="AL38" i="1" s="1"/>
  <c r="R28" i="1"/>
  <c r="R17" i="1" s="1"/>
  <c r="Q73" i="11"/>
  <c r="J73" i="11"/>
  <c r="AQ72" i="11"/>
  <c r="AR68" i="1" s="1"/>
  <c r="AM69" i="11"/>
  <c r="AN38" i="1" s="1"/>
  <c r="AQ68" i="11"/>
  <c r="AT72" i="11"/>
  <c r="AU68" i="1" s="1"/>
  <c r="AU69" i="1" s="1"/>
  <c r="AU70" i="1" s="1"/>
  <c r="AU71" i="1" s="1"/>
  <c r="G70" i="11"/>
  <c r="G72" i="11"/>
  <c r="G71" i="11"/>
  <c r="G69" i="11"/>
  <c r="AS68" i="11"/>
  <c r="AS36" i="11"/>
  <c r="P73" i="11"/>
  <c r="T72" i="11"/>
  <c r="U68" i="1" s="1"/>
  <c r="T69" i="11"/>
  <c r="U38" i="1" s="1"/>
  <c r="T71" i="11"/>
  <c r="U58" i="1" s="1"/>
  <c r="T70" i="11"/>
  <c r="U48" i="1" s="1"/>
  <c r="AI68" i="11"/>
  <c r="S36" i="11"/>
  <c r="AT68" i="11"/>
  <c r="AM72" i="11"/>
  <c r="AN68" i="1" s="1"/>
  <c r="AQ69" i="11"/>
  <c r="AR38" i="1" s="1"/>
  <c r="AR39" i="1" s="1"/>
  <c r="AR40" i="1" s="1"/>
  <c r="AR41" i="1" s="1"/>
  <c r="R27" i="1"/>
  <c r="R16" i="1" s="1"/>
  <c r="Q36" i="11"/>
  <c r="AL68" i="11"/>
  <c r="AQ36" i="11"/>
  <c r="D73" i="11"/>
  <c r="K36" i="11"/>
  <c r="L27" i="1"/>
  <c r="Z72" i="11"/>
  <c r="AA68" i="1" s="1"/>
  <c r="O73" i="11"/>
  <c r="AX28" i="1"/>
  <c r="AW73" i="11"/>
  <c r="M72" i="11"/>
  <c r="M69" i="11"/>
  <c r="M71" i="11"/>
  <c r="M70" i="11"/>
  <c r="Z68" i="11"/>
  <c r="AE72" i="11"/>
  <c r="AF68" i="1" s="1"/>
  <c r="AI69" i="11"/>
  <c r="AJ38" i="1" s="1"/>
  <c r="AA27" i="1"/>
  <c r="AA16" i="1" s="1"/>
  <c r="Z36" i="11"/>
  <c r="AD36" i="11"/>
  <c r="AK36" i="11"/>
  <c r="AO51" i="1"/>
  <c r="AP51" i="1"/>
  <c r="AV48" i="1"/>
  <c r="AV49" i="1" s="1"/>
  <c r="AV50" i="1" s="1"/>
  <c r="AV19" i="1" s="1"/>
  <c r="V72" i="11"/>
  <c r="W68" i="1" s="1"/>
  <c r="V68" i="11"/>
  <c r="V70" i="11"/>
  <c r="W48" i="1" s="1"/>
  <c r="AO72" i="11"/>
  <c r="AP68" i="1" s="1"/>
  <c r="AF72" i="11"/>
  <c r="AG68" i="1" s="1"/>
  <c r="X27" i="1"/>
  <c r="X16" i="1" s="1"/>
  <c r="W36" i="11"/>
  <c r="Z69" i="11"/>
  <c r="AA38" i="1" s="1"/>
  <c r="AH36" i="11"/>
  <c r="AG36" i="11"/>
  <c r="R49" i="1"/>
  <c r="R50" i="1" s="1"/>
  <c r="R51" i="1" s="1"/>
  <c r="AT36" i="11"/>
  <c r="X73" i="11"/>
  <c r="Y28" i="1"/>
  <c r="Y17" i="1" s="1"/>
  <c r="Y72" i="11"/>
  <c r="Z68" i="1" s="1"/>
  <c r="Y71" i="11"/>
  <c r="Z58" i="1" s="1"/>
  <c r="N68" i="11"/>
  <c r="N72" i="11"/>
  <c r="N70" i="11"/>
  <c r="AS71" i="11"/>
  <c r="AT58" i="1" s="1"/>
  <c r="K73" i="11"/>
  <c r="I73" i="11"/>
  <c r="AQ71" i="11"/>
  <c r="AR58" i="1" s="1"/>
  <c r="AR59" i="1" s="1"/>
  <c r="AR60" i="1" s="1"/>
  <c r="AR61" i="1" s="1"/>
  <c r="S28" i="1"/>
  <c r="S17" i="1" s="1"/>
  <c r="R73" i="11"/>
  <c r="V36" i="11"/>
  <c r="W47" i="1"/>
  <c r="W16" i="1" s="1"/>
  <c r="AE68" i="11"/>
  <c r="Z79" i="1"/>
  <c r="Z81" i="1" s="1"/>
  <c r="Z82" i="1" s="1"/>
  <c r="AA79" i="1" s="1"/>
  <c r="AA81" i="1" s="1"/>
  <c r="AA82" i="1" s="1"/>
  <c r="AB79" i="1" s="1"/>
  <c r="AB81" i="1" s="1"/>
  <c r="AB82" i="1" s="1"/>
  <c r="AC79" i="1" s="1"/>
  <c r="AC81" i="1" s="1"/>
  <c r="AC82" i="1" s="1"/>
  <c r="AD79" i="1" s="1"/>
  <c r="AD81" i="1" s="1"/>
  <c r="AD82" i="1" s="1"/>
  <c r="AE79" i="1" s="1"/>
  <c r="AE81" i="1" s="1"/>
  <c r="AE82" i="1" s="1"/>
  <c r="AF79" i="1" s="1"/>
  <c r="AF81" i="1" s="1"/>
  <c r="AF82" i="1" s="1"/>
  <c r="AG79" i="1" s="1"/>
  <c r="AG81" i="1" s="1"/>
  <c r="AG82" i="1" s="1"/>
  <c r="AH79" i="1" s="1"/>
  <c r="AH81" i="1" s="1"/>
  <c r="AH82" i="1" s="1"/>
  <c r="AQ31" i="1"/>
  <c r="AQ16" i="1"/>
  <c r="AV51" i="1"/>
  <c r="AT16" i="1"/>
  <c r="AO16" i="1"/>
  <c r="AQ17" i="1"/>
  <c r="AW36" i="11"/>
  <c r="AX37" i="1"/>
  <c r="AX41" i="1" s="1"/>
  <c r="AX71" i="1"/>
  <c r="AU36" i="11"/>
  <c r="AV16" i="1"/>
  <c r="AV71" i="1"/>
  <c r="AV17" i="1"/>
  <c r="AU16" i="1"/>
  <c r="AT71" i="1"/>
  <c r="AR36" i="11"/>
  <c r="AS16" i="1"/>
  <c r="D13" i="26"/>
  <c r="E13" i="26" s="1"/>
  <c r="F13" i="26" s="1"/>
  <c r="G13" i="26" s="1"/>
  <c r="H13" i="26" s="1"/>
  <c r="I13" i="26" s="1"/>
  <c r="J13" i="26" s="1"/>
  <c r="K13" i="26" s="1"/>
  <c r="L13" i="26" s="1"/>
  <c r="M13" i="26" s="1"/>
  <c r="N13" i="26" s="1"/>
  <c r="O13" i="26" s="1"/>
  <c r="P13" i="26" s="1"/>
  <c r="Q13" i="26" s="1"/>
  <c r="AR16" i="1"/>
  <c r="AQ41" i="1"/>
  <c r="AP36" i="11"/>
  <c r="AQ49" i="1"/>
  <c r="AP73" i="11"/>
  <c r="AQ71" i="1"/>
  <c r="AP16" i="1"/>
  <c r="AO36" i="11"/>
  <c r="AO31" i="1"/>
  <c r="AN36" i="11"/>
  <c r="AO59" i="1"/>
  <c r="AO60" i="1" s="1"/>
  <c r="AO61" i="1" s="1"/>
  <c r="AO70" i="1"/>
  <c r="AN16" i="1"/>
  <c r="AB60" i="27"/>
  <c r="AB61" i="27" s="1"/>
  <c r="AC59" i="1"/>
  <c r="AC60" i="1" s="1"/>
  <c r="AC61" i="1" s="1"/>
  <c r="AD69" i="1"/>
  <c r="AD70" i="1" s="1"/>
  <c r="AD71" i="1" s="1"/>
  <c r="Y5" i="22"/>
  <c r="Z11" i="22"/>
  <c r="T26" i="22"/>
  <c r="U26" i="22" s="1"/>
  <c r="S27" i="22"/>
  <c r="S28" i="22" s="1"/>
  <c r="S29" i="22" s="1"/>
  <c r="AE69" i="1"/>
  <c r="AE70" i="1" s="1"/>
  <c r="AA70" i="27"/>
  <c r="T32" i="22"/>
  <c r="U32" i="22" s="1"/>
  <c r="V32" i="22" s="1"/>
  <c r="W32" i="22" s="1"/>
  <c r="AD29" i="1"/>
  <c r="AD30" i="1" s="1"/>
  <c r="AD31" i="1" s="1"/>
  <c r="AC30" i="27"/>
  <c r="AC31" i="27" s="1"/>
  <c r="Q20" i="22"/>
  <c r="Q21" i="22" s="1"/>
  <c r="Q22" i="22" s="1"/>
  <c r="AB49" i="1"/>
  <c r="AB50" i="1" s="1"/>
  <c r="AA50" i="27"/>
  <c r="AA51" i="27" s="1"/>
  <c r="AB70" i="27"/>
  <c r="Y25" i="22"/>
  <c r="R59" i="1"/>
  <c r="R60" i="1" s="1"/>
  <c r="R61" i="1" s="1"/>
  <c r="Q60" i="27"/>
  <c r="Q61" i="27" s="1"/>
  <c r="AE30" i="27"/>
  <c r="AE31" i="27" s="1"/>
  <c r="S49" i="1"/>
  <c r="S50" i="1" s="1"/>
  <c r="S51" i="1" s="1"/>
  <c r="R50" i="27"/>
  <c r="R51" i="27" s="1"/>
  <c r="H18" i="22"/>
  <c r="I18" i="22" s="1"/>
  <c r="J18" i="22" s="1"/>
  <c r="AB69" i="1"/>
  <c r="AB70" i="1" s="1"/>
  <c r="AB71" i="1" s="1"/>
  <c r="AD59" i="1"/>
  <c r="AD60" i="1" s="1"/>
  <c r="AC60" i="27"/>
  <c r="AC61" i="27" s="1"/>
  <c r="AC39" i="1"/>
  <c r="AC40" i="1" s="1"/>
  <c r="AC41" i="1" s="1"/>
  <c r="AB40" i="27"/>
  <c r="AB41" i="27" s="1"/>
  <c r="AC29" i="1"/>
  <c r="AC30" i="1" s="1"/>
  <c r="AC31" i="1" s="1"/>
  <c r="AB30" i="27"/>
  <c r="AB31" i="27" s="1"/>
  <c r="AB39" i="1"/>
  <c r="AB40" i="1" s="1"/>
  <c r="AB41" i="1" s="1"/>
  <c r="AA40" i="27"/>
  <c r="AA41" i="27" s="1"/>
  <c r="AC69" i="1"/>
  <c r="AC70" i="1" s="1"/>
  <c r="AC71" i="1" s="1"/>
  <c r="R19" i="22"/>
  <c r="AM67" i="1"/>
  <c r="AM16" i="1" s="1"/>
  <c r="P91" i="1"/>
  <c r="P92" i="1" s="1"/>
  <c r="Q89" i="1" s="1"/>
  <c r="Q91" i="1" s="1"/>
  <c r="Q92" i="1" s="1"/>
  <c r="R89" i="1" s="1"/>
  <c r="R91" i="1" s="1"/>
  <c r="R92" i="1" s="1"/>
  <c r="S89" i="1" s="1"/>
  <c r="S91" i="1" s="1"/>
  <c r="S92" i="1" s="1"/>
  <c r="T89" i="1" s="1"/>
  <c r="T91" i="1" s="1"/>
  <c r="T92" i="1" s="1"/>
  <c r="U89" i="1" s="1"/>
  <c r="U91" i="1" s="1"/>
  <c r="U92" i="1" s="1"/>
  <c r="V89" i="1" s="1"/>
  <c r="V91" i="1" s="1"/>
  <c r="V92" i="1" s="1"/>
  <c r="W89" i="1" s="1"/>
  <c r="W91" i="1" s="1"/>
  <c r="W92" i="1" s="1"/>
  <c r="X89" i="1" s="1"/>
  <c r="X91" i="1" s="1"/>
  <c r="X92" i="1" s="1"/>
  <c r="Y89" i="1" s="1"/>
  <c r="Y91" i="1" s="1"/>
  <c r="Y92" i="1" s="1"/>
  <c r="Z89" i="1" s="1"/>
  <c r="Z91" i="1" s="1"/>
  <c r="Z92" i="1" s="1"/>
  <c r="AA89" i="1" s="1"/>
  <c r="AA91" i="1" s="1"/>
  <c r="AA92" i="1" s="1"/>
  <c r="AB89" i="1" s="1"/>
  <c r="AB91" i="1" s="1"/>
  <c r="AB92" i="1" s="1"/>
  <c r="AC89" i="1" s="1"/>
  <c r="AC91" i="1" s="1"/>
  <c r="AC92" i="1" s="1"/>
  <c r="AD89" i="1" s="1"/>
  <c r="AD91" i="1" s="1"/>
  <c r="AD92" i="1" s="1"/>
  <c r="AE89" i="1" s="1"/>
  <c r="AE91" i="1" s="1"/>
  <c r="AE92" i="1" s="1"/>
  <c r="AF89" i="1" s="1"/>
  <c r="AF91" i="1" s="1"/>
  <c r="AF92" i="1" s="1"/>
  <c r="AG89" i="1" s="1"/>
  <c r="AG91" i="1" s="1"/>
  <c r="AG92" i="1" s="1"/>
  <c r="AH89" i="1" s="1"/>
  <c r="P93" i="1"/>
  <c r="P90" i="1"/>
  <c r="G10" i="1"/>
  <c r="G12" i="1" s="1"/>
  <c r="G13" i="1" s="1"/>
  <c r="F11" i="1"/>
  <c r="AH16" i="1"/>
  <c r="Q39" i="1"/>
  <c r="Q40" i="1" s="1"/>
  <c r="Q41" i="1" s="1"/>
  <c r="P40" i="27"/>
  <c r="P41" i="27" s="1"/>
  <c r="G52" i="1"/>
  <c r="G53" i="1" s="1"/>
  <c r="G54" i="1" s="1"/>
  <c r="Q49" i="1"/>
  <c r="Q50" i="1" s="1"/>
  <c r="Q51" i="1" s="1"/>
  <c r="P50" i="27"/>
  <c r="P51" i="27" s="1"/>
  <c r="Q69" i="1"/>
  <c r="P49" i="1"/>
  <c r="P50" i="1" s="1"/>
  <c r="P51" i="1" s="1"/>
  <c r="O50" i="27"/>
  <c r="O51" i="27" s="1"/>
  <c r="O59" i="1"/>
  <c r="O60" i="1" s="1"/>
  <c r="O61" i="1" s="1"/>
  <c r="N60" i="27"/>
  <c r="N61" i="27" s="1"/>
  <c r="N62" i="27" s="1"/>
  <c r="AH17" i="1"/>
  <c r="Q29" i="1"/>
  <c r="Q30" i="1" s="1"/>
  <c r="Q31" i="1" s="1"/>
  <c r="P30" i="27"/>
  <c r="P31" i="27" s="1"/>
  <c r="P69" i="1"/>
  <c r="P39" i="1"/>
  <c r="P40" i="1" s="1"/>
  <c r="P41" i="1" s="1"/>
  <c r="O40" i="27"/>
  <c r="O41" i="27" s="1"/>
  <c r="O49" i="1"/>
  <c r="O50" i="1" s="1"/>
  <c r="O51" i="1" s="1"/>
  <c r="N50" i="27"/>
  <c r="N51" i="27" s="1"/>
  <c r="N52" i="27" s="1"/>
  <c r="Q59" i="1"/>
  <c r="Q60" i="1" s="1"/>
  <c r="Q61" i="1" s="1"/>
  <c r="P60" i="27"/>
  <c r="P61" i="27" s="1"/>
  <c r="P59" i="1"/>
  <c r="P60" i="1" s="1"/>
  <c r="P61" i="1" s="1"/>
  <c r="O60" i="27"/>
  <c r="O61" i="27" s="1"/>
  <c r="P29" i="1"/>
  <c r="P30" i="1" s="1"/>
  <c r="P31" i="1" s="1"/>
  <c r="O30" i="27"/>
  <c r="O31" i="27" s="1"/>
  <c r="O39" i="1"/>
  <c r="O40" i="1" s="1"/>
  <c r="O41" i="1" s="1"/>
  <c r="N40" i="27"/>
  <c r="N41" i="27" s="1"/>
  <c r="N42" i="27" s="1"/>
  <c r="O69" i="1"/>
  <c r="O70" i="1" s="1"/>
  <c r="O71" i="1" s="1"/>
  <c r="AJ16" i="1"/>
  <c r="AL16" i="1"/>
  <c r="J74" i="27"/>
  <c r="K72" i="27" s="1"/>
  <c r="J23" i="27"/>
  <c r="AK68" i="11"/>
  <c r="AK72" i="11"/>
  <c r="AL68" i="1" s="1"/>
  <c r="AK71" i="11"/>
  <c r="AL58" i="1" s="1"/>
  <c r="AJ36" i="11"/>
  <c r="AK57" i="1"/>
  <c r="AK16" i="1" s="1"/>
  <c r="AJ71" i="11"/>
  <c r="AK58" i="1" s="1"/>
  <c r="AJ69" i="11"/>
  <c r="AK38" i="1" s="1"/>
  <c r="AJ70" i="11"/>
  <c r="AK48" i="1" s="1"/>
  <c r="AJ68" i="11"/>
  <c r="AI36" i="11"/>
  <c r="H33" i="22"/>
  <c r="H34" i="22" s="1"/>
  <c r="G34" i="22"/>
  <c r="G35" i="22" s="1"/>
  <c r="G36" i="22" s="1"/>
  <c r="W4" i="22"/>
  <c r="V6" i="22"/>
  <c r="V7" i="22" s="1"/>
  <c r="V8" i="22" s="1"/>
  <c r="J26" i="22"/>
  <c r="W33" i="22"/>
  <c r="X33" i="22" s="1"/>
  <c r="Y33" i="22" s="1"/>
  <c r="F34" i="22"/>
  <c r="F35" i="22" s="1"/>
  <c r="F36" i="22" s="1"/>
  <c r="F6" i="22"/>
  <c r="F7" i="22" s="1"/>
  <c r="F8" i="22" s="1"/>
  <c r="S12" i="22"/>
  <c r="R13" i="22"/>
  <c r="R14" i="22" s="1"/>
  <c r="R15" i="22" s="1"/>
  <c r="T27" i="22"/>
  <c r="T28" i="22" s="1"/>
  <c r="T29" i="22" s="1"/>
  <c r="J19" i="22"/>
  <c r="I12" i="22"/>
  <c r="H5" i="22"/>
  <c r="I20" i="22"/>
  <c r="I21" i="22" s="1"/>
  <c r="I22" i="22" s="1"/>
  <c r="U27" i="22"/>
  <c r="U28" i="22" s="1"/>
  <c r="U29" i="22" s="1"/>
  <c r="V26" i="22"/>
  <c r="S6" i="22"/>
  <c r="S7" i="22" s="1"/>
  <c r="S8" i="22" s="1"/>
  <c r="G6" i="22"/>
  <c r="G7" i="22" s="1"/>
  <c r="G8" i="22" s="1"/>
  <c r="H4" i="22"/>
  <c r="I32" i="22"/>
  <c r="W18" i="22"/>
  <c r="X18" i="22" s="1"/>
  <c r="H25" i="22"/>
  <c r="G27" i="22"/>
  <c r="G28" i="22" s="1"/>
  <c r="G29" i="22" s="1"/>
  <c r="U6" i="22"/>
  <c r="U7" i="22" s="1"/>
  <c r="U8" i="22" s="1"/>
  <c r="G11" i="22"/>
  <c r="F13" i="22"/>
  <c r="F14" i="22" s="1"/>
  <c r="F15" i="22" s="1"/>
  <c r="AI17" i="1"/>
  <c r="AG16" i="1"/>
  <c r="AE36" i="11"/>
  <c r="AF16" i="1"/>
  <c r="E34" i="1"/>
  <c r="G11" i="1" l="1"/>
  <c r="AV18" i="1"/>
  <c r="E73" i="1"/>
  <c r="E74" i="1" s="1"/>
  <c r="E20" i="1"/>
  <c r="E16" i="1"/>
  <c r="AS69" i="1"/>
  <c r="AS28" i="1"/>
  <c r="AS29" i="1" s="1"/>
  <c r="AS30" i="1" s="1"/>
  <c r="AS31" i="1" s="1"/>
  <c r="AR73" i="11"/>
  <c r="M73" i="11"/>
  <c r="AN73" i="11"/>
  <c r="AO38" i="1"/>
  <c r="E62" i="1"/>
  <c r="E63" i="1" s="1"/>
  <c r="E64" i="1" s="1"/>
  <c r="F62" i="1" s="1"/>
  <c r="F63" i="1" s="1"/>
  <c r="F64" i="1" s="1"/>
  <c r="G62" i="1" s="1"/>
  <c r="G63" i="1" s="1"/>
  <c r="G64" i="1" s="1"/>
  <c r="G73" i="11"/>
  <c r="F73" i="11"/>
  <c r="CE44" i="11"/>
  <c r="E42" i="1"/>
  <c r="E43" i="1" s="1"/>
  <c r="AD61" i="1"/>
  <c r="AN17" i="1"/>
  <c r="Z80" i="1"/>
  <c r="T34" i="22"/>
  <c r="T35" i="22" s="1"/>
  <c r="T36" i="22" s="1"/>
  <c r="Z17" i="1"/>
  <c r="L31" i="1"/>
  <c r="L20" i="1" s="1"/>
  <c r="L16" i="1"/>
  <c r="AG28" i="1"/>
  <c r="AG17" i="1" s="1"/>
  <c r="AF73" i="11"/>
  <c r="AW28" i="1"/>
  <c r="AW29" i="1" s="1"/>
  <c r="AW30" i="1" s="1"/>
  <c r="AW31" i="1" s="1"/>
  <c r="AV73" i="11"/>
  <c r="H31" i="1"/>
  <c r="H20" i="1" s="1"/>
  <c r="H16" i="1"/>
  <c r="AF28" i="1"/>
  <c r="AE73" i="11"/>
  <c r="AT59" i="1"/>
  <c r="AT60" i="1" s="1"/>
  <c r="AT61" i="1" s="1"/>
  <c r="AP69" i="1"/>
  <c r="AA28" i="1"/>
  <c r="AA17" i="1" s="1"/>
  <c r="Z73" i="11"/>
  <c r="T73" i="11"/>
  <c r="U17" i="1"/>
  <c r="AM73" i="11"/>
  <c r="W28" i="1"/>
  <c r="V73" i="11"/>
  <c r="AU28" i="1"/>
  <c r="AT73" i="11"/>
  <c r="AP28" i="1"/>
  <c r="AP29" i="1" s="1"/>
  <c r="AP30" i="1" s="1"/>
  <c r="AP31" i="1" s="1"/>
  <c r="AO73" i="11"/>
  <c r="AW70" i="1"/>
  <c r="N73" i="11"/>
  <c r="W17" i="1"/>
  <c r="AR28" i="1"/>
  <c r="AR29" i="1" s="1"/>
  <c r="AR30" i="1" s="1"/>
  <c r="AR31" i="1" s="1"/>
  <c r="AQ73" i="11"/>
  <c r="Y73" i="11"/>
  <c r="AX29" i="1"/>
  <c r="AX17" i="1"/>
  <c r="AL73" i="11"/>
  <c r="AM28" i="1"/>
  <c r="AM17" i="1" s="1"/>
  <c r="H20" i="22"/>
  <c r="H21" i="22" s="1"/>
  <c r="H22" i="22" s="1"/>
  <c r="T49" i="1" s="1"/>
  <c r="T50" i="1" s="1"/>
  <c r="T51" i="1" s="1"/>
  <c r="AJ28" i="1"/>
  <c r="AJ17" i="1" s="1"/>
  <c r="AI73" i="11"/>
  <c r="AT28" i="1"/>
  <c r="AT29" i="1" s="1"/>
  <c r="AT30" i="1" s="1"/>
  <c r="AT31" i="1" s="1"/>
  <c r="AS73" i="11"/>
  <c r="AR69" i="1"/>
  <c r="AA80" i="1"/>
  <c r="AB80" i="1" s="1"/>
  <c r="AC80" i="1" s="1"/>
  <c r="AD80" i="1" s="1"/>
  <c r="AE80" i="1" s="1"/>
  <c r="AF80" i="1" s="1"/>
  <c r="AG80" i="1" s="1"/>
  <c r="AX16" i="1"/>
  <c r="N53" i="27"/>
  <c r="N54" i="27" s="1"/>
  <c r="O52" i="27" s="1"/>
  <c r="O53" i="27" s="1"/>
  <c r="O54" i="27" s="1"/>
  <c r="P52" i="27" s="1"/>
  <c r="N63" i="27"/>
  <c r="N64" i="27" s="1"/>
  <c r="O62" i="27" s="1"/>
  <c r="O63" i="27" s="1"/>
  <c r="O64" i="27" s="1"/>
  <c r="P62" i="27" s="1"/>
  <c r="AV20" i="1"/>
  <c r="N43" i="27"/>
  <c r="N44" i="27" s="1"/>
  <c r="O42" i="27" s="1"/>
  <c r="O43" i="27" s="1"/>
  <c r="O44" i="27" s="1"/>
  <c r="P42" i="27" s="1"/>
  <c r="AT50" i="1"/>
  <c r="Y5" i="1"/>
  <c r="AQ50" i="1"/>
  <c r="AQ18" i="1"/>
  <c r="AQ34" i="26" s="1"/>
  <c r="AQ35" i="26" s="1"/>
  <c r="AQ36" i="26" s="1"/>
  <c r="AO71" i="1"/>
  <c r="AB18" i="1"/>
  <c r="AB34" i="26" s="1"/>
  <c r="AB35" i="26" s="1"/>
  <c r="AB36" i="26" s="1"/>
  <c r="S50" i="27"/>
  <c r="S51" i="27" s="1"/>
  <c r="R69" i="1"/>
  <c r="W6" i="22"/>
  <c r="W7" i="22" s="1"/>
  <c r="W8" i="22" s="1"/>
  <c r="X4" i="22"/>
  <c r="AC49" i="1"/>
  <c r="Z25" i="22"/>
  <c r="AB71" i="27"/>
  <c r="AD70" i="27"/>
  <c r="AA11" i="22"/>
  <c r="AC70" i="27"/>
  <c r="R39" i="1"/>
  <c r="R40" i="1" s="1"/>
  <c r="R41" i="1" s="1"/>
  <c r="Q40" i="27"/>
  <c r="Q41" i="27" s="1"/>
  <c r="Y18" i="22"/>
  <c r="AG59" i="1"/>
  <c r="AG60" i="1" s="1"/>
  <c r="AG61" i="1" s="1"/>
  <c r="AF59" i="1"/>
  <c r="AF60" i="1" s="1"/>
  <c r="AF61" i="1" s="1"/>
  <c r="AE60" i="27"/>
  <c r="AE61" i="27" s="1"/>
  <c r="R29" i="1"/>
  <c r="R30" i="1" s="1"/>
  <c r="R31" i="1" s="1"/>
  <c r="Q30" i="27"/>
  <c r="Q31" i="27" s="1"/>
  <c r="S19" i="22"/>
  <c r="R20" i="22"/>
  <c r="R21" i="22" s="1"/>
  <c r="R22" i="22" s="1"/>
  <c r="S59" i="1"/>
  <c r="S60" i="1" s="1"/>
  <c r="S61" i="1" s="1"/>
  <c r="R60" i="27"/>
  <c r="R61" i="27" s="1"/>
  <c r="AD39" i="1"/>
  <c r="AD40" i="1" s="1"/>
  <c r="AD41" i="1" s="1"/>
  <c r="AC40" i="27"/>
  <c r="AC41" i="27" s="1"/>
  <c r="S69" i="1"/>
  <c r="S70" i="1" s="1"/>
  <c r="AA18" i="27"/>
  <c r="AE59" i="1"/>
  <c r="AE60" i="1" s="1"/>
  <c r="AE61" i="1" s="1"/>
  <c r="AD60" i="27"/>
  <c r="AD61" i="27" s="1"/>
  <c r="Z5" i="22"/>
  <c r="AA5" i="22" s="1"/>
  <c r="U49" i="1"/>
  <c r="U50" i="1" s="1"/>
  <c r="U51" i="1" s="1"/>
  <c r="T50" i="27"/>
  <c r="T51" i="27" s="1"/>
  <c r="S29" i="1"/>
  <c r="S30" i="1" s="1"/>
  <c r="S31" i="1" s="1"/>
  <c r="R30" i="27"/>
  <c r="R31" i="27" s="1"/>
  <c r="W34" i="22"/>
  <c r="W35" i="22" s="1"/>
  <c r="W36" i="22" s="1"/>
  <c r="X32" i="22"/>
  <c r="AE29" i="1"/>
  <c r="AE30" i="1" s="1"/>
  <c r="AE31" i="1" s="1"/>
  <c r="AD30" i="27"/>
  <c r="AD31" i="27" s="1"/>
  <c r="AF69" i="1"/>
  <c r="AF70" i="1" s="1"/>
  <c r="AF71" i="1" s="1"/>
  <c r="Z33" i="22"/>
  <c r="AA33" i="22" s="1"/>
  <c r="AH29" i="1"/>
  <c r="AH30" i="1" s="1"/>
  <c r="AH31" i="1" s="1"/>
  <c r="AA71" i="27"/>
  <c r="AA19" i="27"/>
  <c r="Q93" i="1"/>
  <c r="R93" i="1" s="1"/>
  <c r="Q90" i="1"/>
  <c r="R90" i="1" s="1"/>
  <c r="S90" i="1" s="1"/>
  <c r="T90" i="1" s="1"/>
  <c r="U90" i="1" s="1"/>
  <c r="V90" i="1" s="1"/>
  <c r="W90" i="1" s="1"/>
  <c r="X90" i="1" s="1"/>
  <c r="Y90" i="1" s="1"/>
  <c r="Z90" i="1" s="1"/>
  <c r="AA90" i="1" s="1"/>
  <c r="AB90" i="1" s="1"/>
  <c r="AC90" i="1" s="1"/>
  <c r="AD90" i="1" s="1"/>
  <c r="AE90" i="1" s="1"/>
  <c r="AF90" i="1" s="1"/>
  <c r="AG90" i="1" s="1"/>
  <c r="AH90" i="1" s="1"/>
  <c r="AH80" i="1"/>
  <c r="AI79" i="1"/>
  <c r="AI81" i="1" s="1"/>
  <c r="AI82" i="1" s="1"/>
  <c r="H10" i="1"/>
  <c r="H12" i="1" s="1"/>
  <c r="H13" i="1" s="1"/>
  <c r="H11" i="1"/>
  <c r="O70" i="27"/>
  <c r="O18" i="27"/>
  <c r="Q18" i="1"/>
  <c r="Q34" i="26" s="1"/>
  <c r="Q35" i="26" s="1"/>
  <c r="Q36" i="26" s="1"/>
  <c r="Q70" i="1"/>
  <c r="H52" i="1"/>
  <c r="H53" i="1" s="1"/>
  <c r="H54" i="1" s="1"/>
  <c r="O19" i="1"/>
  <c r="P70" i="1"/>
  <c r="P18" i="1"/>
  <c r="P34" i="26" s="1"/>
  <c r="P35" i="26" s="1"/>
  <c r="P36" i="26" s="1"/>
  <c r="O20" i="1"/>
  <c r="O18" i="1"/>
  <c r="O34" i="26" s="1"/>
  <c r="O35" i="26" s="1"/>
  <c r="O36" i="26" s="1"/>
  <c r="O37" i="26" s="1"/>
  <c r="N70" i="27"/>
  <c r="P70" i="27"/>
  <c r="P18" i="27"/>
  <c r="J24" i="27"/>
  <c r="AL28" i="1"/>
  <c r="AL17" i="1" s="1"/>
  <c r="AK73" i="11"/>
  <c r="AK28" i="1"/>
  <c r="AJ73" i="11"/>
  <c r="G13" i="22"/>
  <c r="G14" i="22" s="1"/>
  <c r="G15" i="22" s="1"/>
  <c r="H11" i="22"/>
  <c r="J20" i="22"/>
  <c r="J21" i="22" s="1"/>
  <c r="J22" i="22" s="1"/>
  <c r="K18" i="22"/>
  <c r="J12" i="22"/>
  <c r="U34" i="22"/>
  <c r="U35" i="22" s="1"/>
  <c r="U36" i="22" s="1"/>
  <c r="I5" i="22"/>
  <c r="K26" i="22"/>
  <c r="J32" i="22"/>
  <c r="I25" i="22"/>
  <c r="H27" i="22"/>
  <c r="H28" i="22" s="1"/>
  <c r="H29" i="22" s="1"/>
  <c r="H6" i="22"/>
  <c r="H7" i="22" s="1"/>
  <c r="H8" i="22" s="1"/>
  <c r="I4" i="22"/>
  <c r="W26" i="22"/>
  <c r="V27" i="22"/>
  <c r="V28" i="22" s="1"/>
  <c r="V29" i="22" s="1"/>
  <c r="K19" i="22"/>
  <c r="T12" i="22"/>
  <c r="S13" i="22"/>
  <c r="S14" i="22" s="1"/>
  <c r="S15" i="22" s="1"/>
  <c r="V34" i="22"/>
  <c r="V35" i="22" s="1"/>
  <c r="V36" i="22" s="1"/>
  <c r="AE71" i="1"/>
  <c r="H35" i="22"/>
  <c r="H36" i="22" s="1"/>
  <c r="I33" i="22"/>
  <c r="AB51" i="1"/>
  <c r="AB20" i="1" s="1"/>
  <c r="AB19" i="1"/>
  <c r="AH91" i="1"/>
  <c r="AH92" i="1" s="1"/>
  <c r="AI89" i="1" s="1"/>
  <c r="F72" i="1"/>
  <c r="F32" i="1"/>
  <c r="F33" i="1" s="1"/>
  <c r="F34" i="1" s="1"/>
  <c r="E21" i="1" l="1"/>
  <c r="E22" i="1" s="1"/>
  <c r="E44" i="1"/>
  <c r="E23" i="1"/>
  <c r="AS17" i="1"/>
  <c r="AS18" i="1"/>
  <c r="AS70" i="1"/>
  <c r="AO39" i="1"/>
  <c r="AO17" i="1"/>
  <c r="AG29" i="1"/>
  <c r="AG30" i="1" s="1"/>
  <c r="AG31" i="1" s="1"/>
  <c r="AP17" i="1"/>
  <c r="AR17" i="1"/>
  <c r="AW17" i="1"/>
  <c r="AW19" i="1"/>
  <c r="AW71" i="1"/>
  <c r="AW20" i="1" s="1"/>
  <c r="AX30" i="1"/>
  <c r="AX18" i="1"/>
  <c r="AP70" i="1"/>
  <c r="AP18" i="1"/>
  <c r="AP34" i="26" s="1"/>
  <c r="AP35" i="26" s="1"/>
  <c r="AP36" i="26" s="1"/>
  <c r="AT17" i="1"/>
  <c r="AT18" i="1"/>
  <c r="R18" i="1"/>
  <c r="R34" i="26" s="1"/>
  <c r="R35" i="26" s="1"/>
  <c r="R36" i="26" s="1"/>
  <c r="AU29" i="1"/>
  <c r="AU17" i="1"/>
  <c r="AF17" i="1"/>
  <c r="AF29" i="1"/>
  <c r="AF30" i="1" s="1"/>
  <c r="AF31" i="1" s="1"/>
  <c r="AR18" i="1"/>
  <c r="AR34" i="26" s="1"/>
  <c r="AR35" i="26" s="1"/>
  <c r="AR36" i="26" s="1"/>
  <c r="AR70" i="1"/>
  <c r="AW18" i="1"/>
  <c r="R70" i="1"/>
  <c r="AA20" i="27"/>
  <c r="P63" i="27"/>
  <c r="P53" i="27"/>
  <c r="P43" i="27"/>
  <c r="P44" i="27" s="1"/>
  <c r="Q42" i="27" s="1"/>
  <c r="Q43" i="27" s="1"/>
  <c r="AT51" i="1"/>
  <c r="AT19" i="1"/>
  <c r="O38" i="26"/>
  <c r="O39" i="26"/>
  <c r="O40" i="26" s="1"/>
  <c r="P37" i="26" s="1"/>
  <c r="AQ51" i="1"/>
  <c r="AQ19" i="1"/>
  <c r="AE39" i="1"/>
  <c r="AE40" i="1" s="1"/>
  <c r="AE41" i="1" s="1"/>
  <c r="AD40" i="27"/>
  <c r="AD41" i="27" s="1"/>
  <c r="AB50" i="27"/>
  <c r="AB18" i="27"/>
  <c r="Q70" i="27"/>
  <c r="Q19" i="27" s="1"/>
  <c r="Q18" i="27"/>
  <c r="T69" i="1"/>
  <c r="T70" i="1" s="1"/>
  <c r="AH59" i="1"/>
  <c r="AH60" i="1" s="1"/>
  <c r="AH61" i="1" s="1"/>
  <c r="T59" i="1"/>
  <c r="T60" i="1" s="1"/>
  <c r="T61" i="1" s="1"/>
  <c r="S60" i="27"/>
  <c r="S61" i="27" s="1"/>
  <c r="AG69" i="1"/>
  <c r="AG70" i="1" s="1"/>
  <c r="AG71" i="1" s="1"/>
  <c r="Y32" i="22"/>
  <c r="X34" i="22"/>
  <c r="X35" i="22" s="1"/>
  <c r="X36" i="22" s="1"/>
  <c r="AC50" i="1"/>
  <c r="AC18" i="1"/>
  <c r="AC34" i="26" s="1"/>
  <c r="AC35" i="26" s="1"/>
  <c r="AC36" i="26" s="1"/>
  <c r="R70" i="27"/>
  <c r="W27" i="22"/>
  <c r="W28" i="22" s="1"/>
  <c r="W29" i="22" s="1"/>
  <c r="X26" i="22"/>
  <c r="AI69" i="1"/>
  <c r="AI70" i="1" s="1"/>
  <c r="AI71" i="1" s="1"/>
  <c r="AD49" i="1"/>
  <c r="AA25" i="22"/>
  <c r="Y4" i="22"/>
  <c r="X6" i="22"/>
  <c r="X7" i="22" s="1"/>
  <c r="X8" i="22" s="1"/>
  <c r="V49" i="1"/>
  <c r="V50" i="1" s="1"/>
  <c r="V51" i="1" s="1"/>
  <c r="U50" i="27"/>
  <c r="U51" i="27" s="1"/>
  <c r="T29" i="1"/>
  <c r="T30" i="1" s="1"/>
  <c r="T31" i="1" s="1"/>
  <c r="S30" i="27"/>
  <c r="S31" i="27" s="1"/>
  <c r="S39" i="1"/>
  <c r="S40" i="1" s="1"/>
  <c r="S41" i="1" s="1"/>
  <c r="R40" i="27"/>
  <c r="R41" i="27" s="1"/>
  <c r="AH69" i="1"/>
  <c r="AH70" i="1" s="1"/>
  <c r="AE70" i="27"/>
  <c r="T19" i="22"/>
  <c r="S20" i="22"/>
  <c r="S21" i="22" s="1"/>
  <c r="S22" i="22" s="1"/>
  <c r="Z18" i="22"/>
  <c r="AC71" i="27"/>
  <c r="AD71" i="27"/>
  <c r="AI29" i="1"/>
  <c r="AI30" i="1" s="1"/>
  <c r="AI31" i="1" s="1"/>
  <c r="S93" i="1"/>
  <c r="T93" i="1" s="1"/>
  <c r="U93" i="1" s="1"/>
  <c r="V93" i="1" s="1"/>
  <c r="W93" i="1" s="1"/>
  <c r="X93" i="1" s="1"/>
  <c r="Y93" i="1" s="1"/>
  <c r="Z93" i="1" s="1"/>
  <c r="AA93" i="1" s="1"/>
  <c r="AB93" i="1" s="1"/>
  <c r="AC93" i="1" s="1"/>
  <c r="AD93" i="1" s="1"/>
  <c r="AE93" i="1" s="1"/>
  <c r="AF93" i="1" s="1"/>
  <c r="AG93" i="1" s="1"/>
  <c r="AH93" i="1" s="1"/>
  <c r="AI93" i="1" s="1"/>
  <c r="AJ79" i="1"/>
  <c r="AJ81" i="1" s="1"/>
  <c r="AJ82" i="1" s="1"/>
  <c r="AK79" i="1" s="1"/>
  <c r="AK81" i="1" s="1"/>
  <c r="AK82" i="1" s="1"/>
  <c r="AL79" i="1" s="1"/>
  <c r="AL81" i="1" s="1"/>
  <c r="AL82" i="1" s="1"/>
  <c r="AI80" i="1"/>
  <c r="I10" i="1"/>
  <c r="I12" i="1" s="1"/>
  <c r="I13" i="1" s="1"/>
  <c r="P71" i="27"/>
  <c r="P19" i="27"/>
  <c r="N71" i="27"/>
  <c r="N19" i="27"/>
  <c r="P71" i="1"/>
  <c r="P20" i="1" s="1"/>
  <c r="P19" i="1"/>
  <c r="O71" i="27"/>
  <c r="O19" i="27"/>
  <c r="I52" i="1"/>
  <c r="I53" i="1" s="1"/>
  <c r="I54" i="1" s="1"/>
  <c r="AK17" i="1"/>
  <c r="Q71" i="1"/>
  <c r="Q20" i="1" s="1"/>
  <c r="Q19" i="1"/>
  <c r="K21" i="27"/>
  <c r="K22" i="27" s="1"/>
  <c r="K73" i="27"/>
  <c r="AI91" i="1"/>
  <c r="AI92" i="1" s="1"/>
  <c r="AJ89" i="1" s="1"/>
  <c r="R71" i="1"/>
  <c r="R20" i="1" s="1"/>
  <c r="R19" i="1"/>
  <c r="J33" i="22"/>
  <c r="J34" i="22" s="1"/>
  <c r="L19" i="22"/>
  <c r="J4" i="22"/>
  <c r="I6" i="22"/>
  <c r="I7" i="22" s="1"/>
  <c r="I8" i="22" s="1"/>
  <c r="I34" i="22"/>
  <c r="I35" i="22" s="1"/>
  <c r="I36" i="22" s="1"/>
  <c r="K12" i="22"/>
  <c r="I11" i="22"/>
  <c r="H13" i="22"/>
  <c r="H14" i="22" s="1"/>
  <c r="H15" i="22" s="1"/>
  <c r="K32" i="22"/>
  <c r="J5" i="22"/>
  <c r="L18" i="22"/>
  <c r="K20" i="22"/>
  <c r="K21" i="22" s="1"/>
  <c r="K22" i="22" s="1"/>
  <c r="S71" i="1"/>
  <c r="J25" i="22"/>
  <c r="I27" i="22"/>
  <c r="I28" i="22" s="1"/>
  <c r="I29" i="22" s="1"/>
  <c r="L26" i="22"/>
  <c r="T13" i="22"/>
  <c r="T14" i="22" s="1"/>
  <c r="T15" i="22" s="1"/>
  <c r="U12" i="22"/>
  <c r="AI90" i="1"/>
  <c r="H62" i="1"/>
  <c r="H63" i="1" s="1"/>
  <c r="H64" i="1" s="1"/>
  <c r="F73" i="1"/>
  <c r="G32" i="1"/>
  <c r="G33" i="1" s="1"/>
  <c r="G34" i="1" s="1"/>
  <c r="F42" i="1" l="1"/>
  <c r="E24" i="1"/>
  <c r="AO40" i="1"/>
  <c r="AO18" i="1"/>
  <c r="AO34" i="26" s="1"/>
  <c r="AO35" i="26" s="1"/>
  <c r="AO36" i="26" s="1"/>
  <c r="AS19" i="1"/>
  <c r="AS71" i="1"/>
  <c r="AS20" i="1" s="1"/>
  <c r="AR71" i="1"/>
  <c r="AR20" i="1" s="1"/>
  <c r="AR19" i="1"/>
  <c r="AP71" i="1"/>
  <c r="AP20" i="1" s="1"/>
  <c r="AP19" i="1"/>
  <c r="AX31" i="1"/>
  <c r="AX20" i="1" s="1"/>
  <c r="AX19" i="1"/>
  <c r="AU30" i="1"/>
  <c r="AU18" i="1"/>
  <c r="Q44" i="27"/>
  <c r="R42" i="27" s="1"/>
  <c r="R43" i="27" s="1"/>
  <c r="P20" i="27"/>
  <c r="O20" i="27"/>
  <c r="P54" i="27"/>
  <c r="Q52" i="27" s="1"/>
  <c r="Q53" i="27" s="1"/>
  <c r="P64" i="27"/>
  <c r="Q62" i="27" s="1"/>
  <c r="Q63" i="27" s="1"/>
  <c r="N20" i="27"/>
  <c r="AT20" i="1"/>
  <c r="P39" i="26"/>
  <c r="P40" i="26" s="1"/>
  <c r="Q37" i="26" s="1"/>
  <c r="P38" i="26"/>
  <c r="S18" i="1"/>
  <c r="S34" i="26" s="1"/>
  <c r="S35" i="26" s="1"/>
  <c r="S36" i="26" s="1"/>
  <c r="S20" i="1"/>
  <c r="AQ20" i="1"/>
  <c r="S19" i="1"/>
  <c r="AF39" i="1"/>
  <c r="AF40" i="1" s="1"/>
  <c r="AE40" i="27"/>
  <c r="AE41" i="27" s="1"/>
  <c r="T39" i="1"/>
  <c r="T40" i="1" s="1"/>
  <c r="T41" i="1" s="1"/>
  <c r="S40" i="27"/>
  <c r="S41" i="27" s="1"/>
  <c r="AA18" i="22"/>
  <c r="AE49" i="1"/>
  <c r="Z4" i="22"/>
  <c r="Y6" i="22"/>
  <c r="Y7" i="22" s="1"/>
  <c r="Y8" i="22" s="1"/>
  <c r="AC50" i="27"/>
  <c r="AC18" i="27"/>
  <c r="AJ69" i="1"/>
  <c r="AB51" i="27"/>
  <c r="AB19" i="27"/>
  <c r="AD50" i="1"/>
  <c r="AD18" i="1"/>
  <c r="AD34" i="26" s="1"/>
  <c r="AD35" i="26" s="1"/>
  <c r="AD36" i="26" s="1"/>
  <c r="Z32" i="22"/>
  <c r="Y34" i="22"/>
  <c r="Y35" i="22" s="1"/>
  <c r="Y36" i="22" s="1"/>
  <c r="U29" i="1"/>
  <c r="U30" i="1" s="1"/>
  <c r="U31" i="1" s="1"/>
  <c r="T30" i="27"/>
  <c r="T31" i="27" s="1"/>
  <c r="AE71" i="27"/>
  <c r="Y26" i="22"/>
  <c r="X27" i="22"/>
  <c r="X28" i="22" s="1"/>
  <c r="X29" i="22" s="1"/>
  <c r="AC51" i="1"/>
  <c r="AC20" i="1" s="1"/>
  <c r="AC19" i="1"/>
  <c r="Q71" i="27"/>
  <c r="U59" i="1"/>
  <c r="U60" i="1" s="1"/>
  <c r="U61" i="1" s="1"/>
  <c r="T60" i="27"/>
  <c r="T61" i="27" s="1"/>
  <c r="W49" i="1"/>
  <c r="W50" i="1" s="1"/>
  <c r="W51" i="1" s="1"/>
  <c r="V50" i="27"/>
  <c r="V51" i="27" s="1"/>
  <c r="U69" i="1"/>
  <c r="U70" i="1" s="1"/>
  <c r="T20" i="22"/>
  <c r="T21" i="22" s="1"/>
  <c r="T22" i="22" s="1"/>
  <c r="U19" i="22"/>
  <c r="AJ29" i="1"/>
  <c r="AJ30" i="1" s="1"/>
  <c r="AJ31" i="1" s="1"/>
  <c r="AI59" i="1"/>
  <c r="AI60" i="1" s="1"/>
  <c r="AI61" i="1" s="1"/>
  <c r="R71" i="27"/>
  <c r="R19" i="27"/>
  <c r="S70" i="27"/>
  <c r="I11" i="1"/>
  <c r="AJ80" i="1"/>
  <c r="AK80" i="1" s="1"/>
  <c r="AL80" i="1" s="1"/>
  <c r="J10" i="1"/>
  <c r="J12" i="1" s="1"/>
  <c r="J13" i="1" s="1"/>
  <c r="J52" i="1"/>
  <c r="J53" i="1" s="1"/>
  <c r="J54" i="1" s="1"/>
  <c r="K74" i="27"/>
  <c r="L72" i="27" s="1"/>
  <c r="K23" i="27"/>
  <c r="AJ91" i="1"/>
  <c r="AJ92" i="1" s="1"/>
  <c r="AK89" i="1" s="1"/>
  <c r="AJ93" i="1"/>
  <c r="AJ90" i="1"/>
  <c r="M18" i="22"/>
  <c r="L20" i="22"/>
  <c r="L21" i="22" s="1"/>
  <c r="L22" i="22" s="1"/>
  <c r="AH71" i="1"/>
  <c r="K4" i="22"/>
  <c r="J6" i="22"/>
  <c r="J7" i="22" s="1"/>
  <c r="J8" i="22" s="1"/>
  <c r="K25" i="22"/>
  <c r="J27" i="22"/>
  <c r="J28" i="22" s="1"/>
  <c r="J29" i="22" s="1"/>
  <c r="T71" i="1"/>
  <c r="J11" i="22"/>
  <c r="I13" i="22"/>
  <c r="I14" i="22" s="1"/>
  <c r="I15" i="22" s="1"/>
  <c r="U13" i="22"/>
  <c r="U14" i="22" s="1"/>
  <c r="U15" i="22" s="1"/>
  <c r="V12" i="22"/>
  <c r="M26" i="22"/>
  <c r="K5" i="22"/>
  <c r="L12" i="22"/>
  <c r="M19" i="22"/>
  <c r="K33" i="22"/>
  <c r="K34" i="22" s="1"/>
  <c r="J35" i="22"/>
  <c r="J36" i="22" s="1"/>
  <c r="L32" i="22"/>
  <c r="I62" i="1"/>
  <c r="I63" i="1" s="1"/>
  <c r="I64" i="1" s="1"/>
  <c r="H32" i="1"/>
  <c r="H33" i="1" s="1"/>
  <c r="H34" i="1" s="1"/>
  <c r="F74" i="1"/>
  <c r="F43" i="1" l="1"/>
  <c r="F21" i="1"/>
  <c r="F22" i="1" s="1"/>
  <c r="AO41" i="1"/>
  <c r="AO20" i="1" s="1"/>
  <c r="AO19" i="1"/>
  <c r="AU19" i="1"/>
  <c r="AU31" i="1"/>
  <c r="AU20" i="1" s="1"/>
  <c r="Q54" i="27"/>
  <c r="R52" i="27" s="1"/>
  <c r="R53" i="27" s="1"/>
  <c r="R54" i="27" s="1"/>
  <c r="S52" i="27" s="1"/>
  <c r="S53" i="27" s="1"/>
  <c r="R44" i="27"/>
  <c r="S42" i="27" s="1"/>
  <c r="S43" i="27" s="1"/>
  <c r="S44" i="27" s="1"/>
  <c r="R20" i="27"/>
  <c r="Q20" i="27"/>
  <c r="AB20" i="27"/>
  <c r="Q64" i="27"/>
  <c r="Q39" i="26"/>
  <c r="Q40" i="26" s="1"/>
  <c r="R37" i="26" s="1"/>
  <c r="Q38" i="26"/>
  <c r="S18" i="27"/>
  <c r="AF49" i="1"/>
  <c r="AE50" i="1"/>
  <c r="AE18" i="1"/>
  <c r="AE34" i="26" s="1"/>
  <c r="AE35" i="26" s="1"/>
  <c r="AE36" i="26" s="1"/>
  <c r="V69" i="1"/>
  <c r="V70" i="1" s="1"/>
  <c r="T19" i="1"/>
  <c r="T18" i="1"/>
  <c r="T34" i="26" s="1"/>
  <c r="T35" i="26" s="1"/>
  <c r="T36" i="26" s="1"/>
  <c r="V19" i="22"/>
  <c r="U20" i="22"/>
  <c r="U21" i="22" s="1"/>
  <c r="U22" i="22" s="1"/>
  <c r="AK29" i="1"/>
  <c r="AK30" i="1" s="1"/>
  <c r="AK31" i="1" s="1"/>
  <c r="S71" i="27"/>
  <c r="S19" i="27"/>
  <c r="V29" i="1"/>
  <c r="V30" i="1" s="1"/>
  <c r="V31" i="1" s="1"/>
  <c r="U30" i="27"/>
  <c r="U31" i="27" s="1"/>
  <c r="AG39" i="1"/>
  <c r="AG40" i="1" s="1"/>
  <c r="AG41" i="1" s="1"/>
  <c r="T20" i="1"/>
  <c r="T70" i="27"/>
  <c r="AK69" i="1"/>
  <c r="AJ70" i="1"/>
  <c r="AA4" i="22"/>
  <c r="Z6" i="22"/>
  <c r="Z7" i="22" s="1"/>
  <c r="Z8" i="22" s="1"/>
  <c r="Z26" i="22"/>
  <c r="Y27" i="22"/>
  <c r="Y28" i="22" s="1"/>
  <c r="Y29" i="22" s="1"/>
  <c r="AC51" i="27"/>
  <c r="AC19" i="27"/>
  <c r="X49" i="1"/>
  <c r="X50" i="1" s="1"/>
  <c r="X51" i="1" s="1"/>
  <c r="W50" i="27"/>
  <c r="W51" i="27" s="1"/>
  <c r="U39" i="1"/>
  <c r="U40" i="1" s="1"/>
  <c r="U41" i="1" s="1"/>
  <c r="T40" i="27"/>
  <c r="T41" i="27" s="1"/>
  <c r="V59" i="1"/>
  <c r="V60" i="1" s="1"/>
  <c r="V61" i="1" s="1"/>
  <c r="U60" i="27"/>
  <c r="U61" i="27" s="1"/>
  <c r="AJ59" i="1"/>
  <c r="AJ60" i="1" s="1"/>
  <c r="AJ61" i="1" s="1"/>
  <c r="AA32" i="22"/>
  <c r="Z34" i="22"/>
  <c r="Z35" i="22" s="1"/>
  <c r="Z36" i="22" s="1"/>
  <c r="AD51" i="1"/>
  <c r="AD20" i="1" s="1"/>
  <c r="AD19" i="1"/>
  <c r="AD50" i="27"/>
  <c r="AD18" i="27"/>
  <c r="J11" i="1"/>
  <c r="AK90" i="1"/>
  <c r="K10" i="1"/>
  <c r="K12" i="1" s="1"/>
  <c r="K13" i="1" s="1"/>
  <c r="K52" i="1"/>
  <c r="K53" i="1" s="1"/>
  <c r="K54" i="1" s="1"/>
  <c r="K24" i="27"/>
  <c r="AK91" i="1"/>
  <c r="AK92" i="1" s="1"/>
  <c r="AL89" i="1" s="1"/>
  <c r="AK93" i="1"/>
  <c r="N19" i="22"/>
  <c r="L5" i="22"/>
  <c r="L4" i="22"/>
  <c r="K6" i="22"/>
  <c r="K7" i="22" s="1"/>
  <c r="K8" i="22" s="1"/>
  <c r="U71" i="1"/>
  <c r="W12" i="22"/>
  <c r="V13" i="22"/>
  <c r="V14" i="22" s="1"/>
  <c r="V15" i="22" s="1"/>
  <c r="AF41" i="1"/>
  <c r="M12" i="22"/>
  <c r="M32" i="22"/>
  <c r="L33" i="22"/>
  <c r="K35" i="22"/>
  <c r="K36" i="22" s="1"/>
  <c r="N26" i="22"/>
  <c r="K11" i="22"/>
  <c r="J13" i="22"/>
  <c r="J14" i="22" s="1"/>
  <c r="J15" i="22" s="1"/>
  <c r="L25" i="22"/>
  <c r="K27" i="22"/>
  <c r="K28" i="22" s="1"/>
  <c r="K29" i="22" s="1"/>
  <c r="M20" i="22"/>
  <c r="M21" i="22" s="1"/>
  <c r="M22" i="22" s="1"/>
  <c r="N18" i="22"/>
  <c r="J62" i="1"/>
  <c r="J63" i="1" s="1"/>
  <c r="J64" i="1" s="1"/>
  <c r="G72" i="1"/>
  <c r="I32" i="1"/>
  <c r="I33" i="1" s="1"/>
  <c r="I34" i="1" s="1"/>
  <c r="F44" i="1" l="1"/>
  <c r="F23" i="1"/>
  <c r="R62" i="27"/>
  <c r="R63" i="27" s="1"/>
  <c r="R64" i="27" s="1"/>
  <c r="S20" i="27"/>
  <c r="AC20" i="27"/>
  <c r="S54" i="27"/>
  <c r="T52" i="27" s="1"/>
  <c r="T53" i="27" s="1"/>
  <c r="T42" i="27"/>
  <c r="T43" i="27" s="1"/>
  <c r="T44" i="27" s="1"/>
  <c r="R39" i="26"/>
  <c r="R40" i="26" s="1"/>
  <c r="S37" i="26" s="1"/>
  <c r="U19" i="1"/>
  <c r="U20" i="1"/>
  <c r="U18" i="1"/>
  <c r="U34" i="26" s="1"/>
  <c r="U35" i="26" s="1"/>
  <c r="U36" i="26" s="1"/>
  <c r="AJ71" i="1"/>
  <c r="AE50" i="27"/>
  <c r="AE18" i="27"/>
  <c r="W69" i="1"/>
  <c r="W70" i="1" s="1"/>
  <c r="AL29" i="1"/>
  <c r="AL30" i="1" s="1"/>
  <c r="AL31" i="1" s="1"/>
  <c r="AK70" i="1"/>
  <c r="V20" i="22"/>
  <c r="V21" i="22" s="1"/>
  <c r="V22" i="22" s="1"/>
  <c r="W19" i="22"/>
  <c r="AF50" i="1"/>
  <c r="AF18" i="1"/>
  <c r="AF34" i="26" s="1"/>
  <c r="AF35" i="26" s="1"/>
  <c r="AF36" i="26" s="1"/>
  <c r="W59" i="1"/>
  <c r="W60" i="1" s="1"/>
  <c r="W61" i="1" s="1"/>
  <c r="V60" i="27"/>
  <c r="V61" i="27" s="1"/>
  <c r="AG49" i="1"/>
  <c r="Y49" i="1"/>
  <c r="Y50" i="1" s="1"/>
  <c r="Y51" i="1" s="1"/>
  <c r="X50" i="27"/>
  <c r="X51" i="27" s="1"/>
  <c r="AH39" i="1"/>
  <c r="AH40" i="1" s="1"/>
  <c r="AH41" i="1" s="1"/>
  <c r="AL69" i="1"/>
  <c r="AK59" i="1"/>
  <c r="AK60" i="1" s="1"/>
  <c r="AK61" i="1" s="1"/>
  <c r="AB6" i="22"/>
  <c r="AB7" i="22" s="1"/>
  <c r="AB8" i="22" s="1"/>
  <c r="AN29" i="1" s="1"/>
  <c r="AN30" i="1" s="1"/>
  <c r="AN31" i="1" s="1"/>
  <c r="AA6" i="22"/>
  <c r="AA7" i="22" s="1"/>
  <c r="AA8" i="22" s="1"/>
  <c r="T71" i="27"/>
  <c r="T19" i="27"/>
  <c r="W29" i="1"/>
  <c r="W30" i="1" s="1"/>
  <c r="W31" i="1" s="1"/>
  <c r="V30" i="27"/>
  <c r="V31" i="27" s="1"/>
  <c r="U70" i="27"/>
  <c r="V39" i="1"/>
  <c r="V40" i="1" s="1"/>
  <c r="V41" i="1" s="1"/>
  <c r="U40" i="27"/>
  <c r="U41" i="27" s="1"/>
  <c r="W13" i="22"/>
  <c r="W14" i="22" s="1"/>
  <c r="W15" i="22" s="1"/>
  <c r="X12" i="22"/>
  <c r="AD51" i="27"/>
  <c r="AD19" i="27"/>
  <c r="AB34" i="22"/>
  <c r="AB35" i="22" s="1"/>
  <c r="AB36" i="22" s="1"/>
  <c r="AN69" i="1" s="1"/>
  <c r="AA34" i="22"/>
  <c r="AA35" i="22" s="1"/>
  <c r="AA36" i="22" s="1"/>
  <c r="AA26" i="22"/>
  <c r="Z27" i="22"/>
  <c r="Z28" i="22" s="1"/>
  <c r="Z29" i="22" s="1"/>
  <c r="AE51" i="1"/>
  <c r="AE20" i="1" s="1"/>
  <c r="AE19" i="1"/>
  <c r="AL93" i="1"/>
  <c r="AM79" i="1"/>
  <c r="AM81" i="1" s="1"/>
  <c r="AM82" i="1" s="1"/>
  <c r="K11" i="1"/>
  <c r="L10" i="1"/>
  <c r="L12" i="1" s="1"/>
  <c r="L13" i="1" s="1"/>
  <c r="L52" i="1"/>
  <c r="L53" i="1" s="1"/>
  <c r="L54" i="1" s="1"/>
  <c r="L21" i="27"/>
  <c r="L22" i="27" s="1"/>
  <c r="L73" i="27"/>
  <c r="AL91" i="1"/>
  <c r="AL92" i="1" s="1"/>
  <c r="AM89" i="1" s="1"/>
  <c r="AL90" i="1"/>
  <c r="O26" i="22"/>
  <c r="V71" i="1"/>
  <c r="M5" i="22"/>
  <c r="M25" i="22"/>
  <c r="L27" i="22"/>
  <c r="L28" i="22" s="1"/>
  <c r="L29" i="22" s="1"/>
  <c r="M33" i="22"/>
  <c r="M34" i="22" s="1"/>
  <c r="N12" i="22"/>
  <c r="M4" i="22"/>
  <c r="L6" i="22"/>
  <c r="L7" i="22" s="1"/>
  <c r="L8" i="22" s="1"/>
  <c r="N32" i="22"/>
  <c r="L11" i="22"/>
  <c r="K13" i="22"/>
  <c r="K14" i="22" s="1"/>
  <c r="K15" i="22" s="1"/>
  <c r="N20" i="22"/>
  <c r="N21" i="22" s="1"/>
  <c r="N22" i="22" s="1"/>
  <c r="O18" i="22"/>
  <c r="L34" i="22"/>
  <c r="L35" i="22" s="1"/>
  <c r="L36" i="22" s="1"/>
  <c r="O19" i="22"/>
  <c r="K62" i="1"/>
  <c r="K63" i="1" s="1"/>
  <c r="K64" i="1" s="1"/>
  <c r="J32" i="1"/>
  <c r="J33" i="1" s="1"/>
  <c r="J34" i="1" s="1"/>
  <c r="G73" i="1"/>
  <c r="G42" i="1" l="1"/>
  <c r="F24" i="1"/>
  <c r="AN70" i="1"/>
  <c r="AM93" i="1"/>
  <c r="AN79" i="1"/>
  <c r="AN81" i="1" s="1"/>
  <c r="AN82" i="1" s="1"/>
  <c r="AM80" i="1"/>
  <c r="S62" i="27"/>
  <c r="S63" i="27" s="1"/>
  <c r="S64" i="27" s="1"/>
  <c r="AD20" i="27"/>
  <c r="T20" i="27"/>
  <c r="T54" i="27"/>
  <c r="U42" i="27"/>
  <c r="U43" i="27" s="1"/>
  <c r="U44" i="27" s="1"/>
  <c r="R38" i="26"/>
  <c r="S38" i="26" s="1"/>
  <c r="S39" i="26"/>
  <c r="S40" i="26" s="1"/>
  <c r="T37" i="26" s="1"/>
  <c r="V20" i="1"/>
  <c r="V18" i="1"/>
  <c r="V34" i="26" s="1"/>
  <c r="V35" i="26" s="1"/>
  <c r="V36" i="26" s="1"/>
  <c r="V19" i="1"/>
  <c r="U18" i="27"/>
  <c r="X29" i="1"/>
  <c r="X30" i="1" s="1"/>
  <c r="X31" i="1" s="1"/>
  <c r="W30" i="27"/>
  <c r="W31" i="27" s="1"/>
  <c r="W39" i="1"/>
  <c r="W40" i="1" s="1"/>
  <c r="W41" i="1" s="1"/>
  <c r="V40" i="27"/>
  <c r="V41" i="27" s="1"/>
  <c r="AF51" i="1"/>
  <c r="AF20" i="1" s="1"/>
  <c r="AF19" i="1"/>
  <c r="AI39" i="1"/>
  <c r="AI40" i="1" s="1"/>
  <c r="AI41" i="1" s="1"/>
  <c r="U71" i="27"/>
  <c r="U19" i="27"/>
  <c r="AM29" i="1"/>
  <c r="AM30" i="1" s="1"/>
  <c r="AM31" i="1" s="1"/>
  <c r="AL70" i="1"/>
  <c r="W20" i="22"/>
  <c r="W21" i="22" s="1"/>
  <c r="W22" i="22" s="1"/>
  <c r="X19" i="22"/>
  <c r="AE51" i="27"/>
  <c r="AE19" i="27"/>
  <c r="AM69" i="1"/>
  <c r="Y12" i="22"/>
  <c r="X13" i="22"/>
  <c r="X14" i="22" s="1"/>
  <c r="X15" i="22" s="1"/>
  <c r="AG50" i="1"/>
  <c r="AG18" i="1"/>
  <c r="AG34" i="26" s="1"/>
  <c r="AG35" i="26" s="1"/>
  <c r="AG36" i="26" s="1"/>
  <c r="X69" i="1"/>
  <c r="X70" i="1" s="1"/>
  <c r="X59" i="1"/>
  <c r="X60" i="1" s="1"/>
  <c r="X61" i="1" s="1"/>
  <c r="W60" i="27"/>
  <c r="W61" i="27" s="1"/>
  <c r="AL59" i="1"/>
  <c r="AL60" i="1" s="1"/>
  <c r="AL61" i="1" s="1"/>
  <c r="AH49" i="1"/>
  <c r="AK71" i="1"/>
  <c r="V70" i="27"/>
  <c r="Z49" i="1"/>
  <c r="Z50" i="1" s="1"/>
  <c r="Z51" i="1" s="1"/>
  <c r="Y50" i="27"/>
  <c r="Y51" i="27" s="1"/>
  <c r="AA27" i="22"/>
  <c r="AA28" i="22" s="1"/>
  <c r="AA29" i="22" s="1"/>
  <c r="AM91" i="1"/>
  <c r="AM92" i="1" s="1"/>
  <c r="AN89" i="1" s="1"/>
  <c r="L11" i="1"/>
  <c r="M10" i="1"/>
  <c r="M12" i="1" s="1"/>
  <c r="M13" i="1" s="1"/>
  <c r="M52" i="1"/>
  <c r="M53" i="1" s="1"/>
  <c r="M54" i="1" s="1"/>
  <c r="L74" i="27"/>
  <c r="M72" i="27" s="1"/>
  <c r="K53" i="29" s="1"/>
  <c r="L53" i="29" s="1"/>
  <c r="N66" i="27" s="1"/>
  <c r="L23" i="27"/>
  <c r="AM90" i="1"/>
  <c r="M11" i="22"/>
  <c r="L13" i="22"/>
  <c r="L14" i="22" s="1"/>
  <c r="L15" i="22" s="1"/>
  <c r="N4" i="22"/>
  <c r="M6" i="22"/>
  <c r="M7" i="22" s="1"/>
  <c r="M8" i="22" s="1"/>
  <c r="M35" i="22"/>
  <c r="M36" i="22" s="1"/>
  <c r="N33" i="22"/>
  <c r="N34" i="22" s="1"/>
  <c r="N25" i="22"/>
  <c r="M27" i="22"/>
  <c r="M28" i="22" s="1"/>
  <c r="M29" i="22" s="1"/>
  <c r="O12" i="22"/>
  <c r="O20" i="22"/>
  <c r="O21" i="22" s="1"/>
  <c r="O22" i="22" s="1"/>
  <c r="O32" i="22"/>
  <c r="N5" i="22"/>
  <c r="W71" i="1"/>
  <c r="L62" i="1"/>
  <c r="L63" i="1" s="1"/>
  <c r="L64" i="1" s="1"/>
  <c r="G74" i="1"/>
  <c r="K32" i="1"/>
  <c r="K33" i="1" s="1"/>
  <c r="K34" i="1" s="1"/>
  <c r="G43" i="1" l="1"/>
  <c r="G21" i="1"/>
  <c r="G22" i="1" s="1"/>
  <c r="AN71" i="1"/>
  <c r="AN80" i="1"/>
  <c r="AO79" i="1"/>
  <c r="AO81" i="1" s="1"/>
  <c r="AO82" i="1" s="1"/>
  <c r="U52" i="27"/>
  <c r="U53" i="27" s="1"/>
  <c r="U54" i="27" s="1"/>
  <c r="T62" i="27"/>
  <c r="T63" i="27" s="1"/>
  <c r="T64" i="27" s="1"/>
  <c r="U20" i="27"/>
  <c r="AE20" i="27"/>
  <c r="V42" i="27"/>
  <c r="V43" i="27" s="1"/>
  <c r="V44" i="27" s="1"/>
  <c r="T39" i="26"/>
  <c r="T40" i="26" s="1"/>
  <c r="U37" i="26" s="1"/>
  <c r="T38" i="26"/>
  <c r="W18" i="1"/>
  <c r="W34" i="26" s="1"/>
  <c r="W35" i="26" s="1"/>
  <c r="W36" i="26" s="1"/>
  <c r="W19" i="1"/>
  <c r="W20" i="1"/>
  <c r="AN91" i="1"/>
  <c r="AN92" i="1" s="1"/>
  <c r="AO89" i="1" s="1"/>
  <c r="AN93" i="1"/>
  <c r="AM59" i="1"/>
  <c r="AM60" i="1" s="1"/>
  <c r="AM61" i="1" s="1"/>
  <c r="X39" i="1"/>
  <c r="X40" i="1" s="1"/>
  <c r="X41" i="1" s="1"/>
  <c r="W40" i="27"/>
  <c r="W41" i="27" s="1"/>
  <c r="AB27" i="22"/>
  <c r="AB28" i="22" s="1"/>
  <c r="AB29" i="22" s="1"/>
  <c r="AN59" i="1" s="1"/>
  <c r="V71" i="27"/>
  <c r="V19" i="27"/>
  <c r="AH50" i="1"/>
  <c r="AH18" i="1"/>
  <c r="AH34" i="26" s="1"/>
  <c r="AH35" i="26" s="1"/>
  <c r="AH36" i="26" s="1"/>
  <c r="Y19" i="22"/>
  <c r="X20" i="22"/>
  <c r="X21" i="22" s="1"/>
  <c r="X22" i="22" s="1"/>
  <c r="AI49" i="1"/>
  <c r="Y59" i="1"/>
  <c r="Y60" i="1" s="1"/>
  <c r="Y61" i="1" s="1"/>
  <c r="X60" i="27"/>
  <c r="X61" i="27" s="1"/>
  <c r="AG19" i="1"/>
  <c r="AG51" i="1"/>
  <c r="AG20" i="1" s="1"/>
  <c r="Z12" i="22"/>
  <c r="Y13" i="22"/>
  <c r="Y14" i="22" s="1"/>
  <c r="Y15" i="22" s="1"/>
  <c r="Y69" i="1"/>
  <c r="Y70" i="1" s="1"/>
  <c r="AJ39" i="1"/>
  <c r="AJ40" i="1" s="1"/>
  <c r="AJ41" i="1" s="1"/>
  <c r="AA49" i="1"/>
  <c r="AA50" i="1" s="1"/>
  <c r="AA51" i="1" s="1"/>
  <c r="Z50" i="27"/>
  <c r="Z51" i="27" s="1"/>
  <c r="Y29" i="1"/>
  <c r="Y30" i="1" s="1"/>
  <c r="Y31" i="1" s="1"/>
  <c r="X30" i="27"/>
  <c r="X31" i="27" s="1"/>
  <c r="V18" i="27"/>
  <c r="W70" i="27"/>
  <c r="AM70" i="1"/>
  <c r="AL71" i="1"/>
  <c r="AN90" i="1"/>
  <c r="N10" i="1"/>
  <c r="N12" i="1" s="1"/>
  <c r="N13" i="1" s="1"/>
  <c r="M11" i="1"/>
  <c r="N52" i="1"/>
  <c r="N53" i="1" s="1"/>
  <c r="N54" i="1" s="1"/>
  <c r="L24" i="27"/>
  <c r="N27" i="22"/>
  <c r="N28" i="22" s="1"/>
  <c r="N29" i="22" s="1"/>
  <c r="O25" i="22"/>
  <c r="O27" i="22" s="1"/>
  <c r="O28" i="22" s="1"/>
  <c r="O29" i="22" s="1"/>
  <c r="O4" i="22"/>
  <c r="N6" i="22"/>
  <c r="N7" i="22" s="1"/>
  <c r="N8" i="22" s="1"/>
  <c r="O5" i="22"/>
  <c r="O33" i="22"/>
  <c r="O34" i="22" s="1"/>
  <c r="N35" i="22"/>
  <c r="N36" i="22" s="1"/>
  <c r="N11" i="22"/>
  <c r="M13" i="22"/>
  <c r="M14" i="22" s="1"/>
  <c r="M15" i="22" s="1"/>
  <c r="X71" i="1"/>
  <c r="M62" i="1"/>
  <c r="M63" i="1" s="1"/>
  <c r="M64" i="1" s="1"/>
  <c r="L32" i="1"/>
  <c r="L33" i="1" s="1"/>
  <c r="L34" i="1" s="1"/>
  <c r="H72" i="1"/>
  <c r="G44" i="1" l="1"/>
  <c r="G23" i="1"/>
  <c r="AN60" i="1"/>
  <c r="O6" i="22"/>
  <c r="AP79" i="1"/>
  <c r="AP81" i="1" s="1"/>
  <c r="AP82" i="1" s="1"/>
  <c r="AO80" i="1"/>
  <c r="V52" i="27"/>
  <c r="V53" i="27" s="1"/>
  <c r="V54" i="27" s="1"/>
  <c r="W52" i="27" s="1"/>
  <c r="U62" i="27"/>
  <c r="U63" i="27" s="1"/>
  <c r="U64" i="27" s="1"/>
  <c r="V20" i="27"/>
  <c r="X18" i="1"/>
  <c r="X34" i="26" s="1"/>
  <c r="X35" i="26" s="1"/>
  <c r="X36" i="26" s="1"/>
  <c r="W42" i="27"/>
  <c r="W43" i="27" s="1"/>
  <c r="W44" i="27" s="1"/>
  <c r="U39" i="26"/>
  <c r="U40" i="26" s="1"/>
  <c r="V37" i="26" s="1"/>
  <c r="X19" i="1"/>
  <c r="AO91" i="1"/>
  <c r="AO92" i="1" s="1"/>
  <c r="AP89" i="1" s="1"/>
  <c r="AO93" i="1"/>
  <c r="AO90" i="1"/>
  <c r="X20" i="1"/>
  <c r="Z29" i="1"/>
  <c r="Z30" i="1" s="1"/>
  <c r="Z31" i="1" s="1"/>
  <c r="Y30" i="27"/>
  <c r="Y31" i="27" s="1"/>
  <c r="Z69" i="1"/>
  <c r="Z70" i="1" s="1"/>
  <c r="Z59" i="1"/>
  <c r="Z60" i="1" s="1"/>
  <c r="Z61" i="1" s="1"/>
  <c r="Y60" i="27"/>
  <c r="Y61" i="27" s="1"/>
  <c r="AM71" i="1"/>
  <c r="AA12" i="22"/>
  <c r="Z13" i="22"/>
  <c r="Z14" i="22" s="1"/>
  <c r="Z15" i="22" s="1"/>
  <c r="Z19" i="22"/>
  <c r="Y20" i="22"/>
  <c r="Y21" i="22" s="1"/>
  <c r="Y22" i="22" s="1"/>
  <c r="AH19" i="1"/>
  <c r="AH51" i="1"/>
  <c r="AH20" i="1" s="1"/>
  <c r="Y39" i="1"/>
  <c r="Y40" i="1" s="1"/>
  <c r="Y41" i="1" s="1"/>
  <c r="X40" i="27"/>
  <c r="X41" i="27" s="1"/>
  <c r="W18" i="27"/>
  <c r="AI50" i="1"/>
  <c r="AI18" i="1"/>
  <c r="AI34" i="26" s="1"/>
  <c r="AI35" i="26" s="1"/>
  <c r="AI36" i="26" s="1"/>
  <c r="AA59" i="1"/>
  <c r="AA60" i="1" s="1"/>
  <c r="AA61" i="1" s="1"/>
  <c r="Z60" i="27"/>
  <c r="Z61" i="27" s="1"/>
  <c r="W71" i="27"/>
  <c r="W19" i="27"/>
  <c r="X70" i="27"/>
  <c r="AK39" i="1"/>
  <c r="AK40" i="1" s="1"/>
  <c r="AK41" i="1" s="1"/>
  <c r="AJ49" i="1"/>
  <c r="N11" i="1"/>
  <c r="O10" i="1"/>
  <c r="O12" i="1" s="1"/>
  <c r="O13" i="1" s="1"/>
  <c r="P10" i="1" s="1"/>
  <c r="P12" i="1" s="1"/>
  <c r="P13" i="1" s="1"/>
  <c r="O52" i="1"/>
  <c r="O53" i="1" s="1"/>
  <c r="O54" i="1" s="1"/>
  <c r="M73" i="27"/>
  <c r="Y71" i="1"/>
  <c r="O11" i="22"/>
  <c r="O13" i="22" s="1"/>
  <c r="O14" i="22" s="1"/>
  <c r="O15" i="22" s="1"/>
  <c r="N13" i="22"/>
  <c r="N14" i="22" s="1"/>
  <c r="N15" i="22" s="1"/>
  <c r="O7" i="22"/>
  <c r="O8" i="22" s="1"/>
  <c r="O35" i="22"/>
  <c r="O36" i="22" s="1"/>
  <c r="N62" i="1"/>
  <c r="N63" i="1" s="1"/>
  <c r="N64" i="1" s="1"/>
  <c r="H73" i="1"/>
  <c r="M32" i="1"/>
  <c r="M33" i="1" s="1"/>
  <c r="M34" i="1" s="1"/>
  <c r="H42" i="1" l="1"/>
  <c r="G24" i="1"/>
  <c r="AN61" i="1"/>
  <c r="AP80" i="1"/>
  <c r="AQ79" i="1"/>
  <c r="AQ81" i="1" s="1"/>
  <c r="AQ82" i="1" s="1"/>
  <c r="Y19" i="1"/>
  <c r="V62" i="27"/>
  <c r="V63" i="27" s="1"/>
  <c r="V64" i="27" s="1"/>
  <c r="W62" i="27" s="1"/>
  <c r="W63" i="27" s="1"/>
  <c r="W64" i="27" s="1"/>
  <c r="W53" i="27"/>
  <c r="W54" i="27" s="1"/>
  <c r="W20" i="27"/>
  <c r="X42" i="27"/>
  <c r="X43" i="27" s="1"/>
  <c r="X44" i="27" s="1"/>
  <c r="V39" i="26"/>
  <c r="V40" i="26" s="1"/>
  <c r="W37" i="26" s="1"/>
  <c r="U38" i="26"/>
  <c r="V38" i="26" s="1"/>
  <c r="Y20" i="1"/>
  <c r="Y18" i="1"/>
  <c r="Y34" i="26" s="1"/>
  <c r="Y35" i="26" s="1"/>
  <c r="Y36" i="26" s="1"/>
  <c r="AP91" i="1"/>
  <c r="AP92" i="1" s="1"/>
  <c r="AQ89" i="1" s="1"/>
  <c r="AP93" i="1"/>
  <c r="AP90" i="1"/>
  <c r="AL39" i="1"/>
  <c r="AL40" i="1" s="1"/>
  <c r="AL41" i="1" s="1"/>
  <c r="AA39" i="1"/>
  <c r="AA40" i="1" s="1"/>
  <c r="AA41" i="1" s="1"/>
  <c r="Z40" i="27"/>
  <c r="Z41" i="27" s="1"/>
  <c r="X71" i="27"/>
  <c r="X19" i="27"/>
  <c r="AK49" i="1"/>
  <c r="AA29" i="1"/>
  <c r="AA30" i="1" s="1"/>
  <c r="AA31" i="1" s="1"/>
  <c r="Z30" i="27"/>
  <c r="Z31" i="27" s="1"/>
  <c r="AI19" i="1"/>
  <c r="AI51" i="1"/>
  <c r="AI20" i="1" s="1"/>
  <c r="AA19" i="22"/>
  <c r="Z20" i="22"/>
  <c r="Z21" i="22" s="1"/>
  <c r="Z22" i="22" s="1"/>
  <c r="AA13" i="22"/>
  <c r="AA14" i="22" s="1"/>
  <c r="AA15" i="22" s="1"/>
  <c r="AA69" i="1"/>
  <c r="AA70" i="1" s="1"/>
  <c r="Z39" i="1"/>
  <c r="Z40" i="1" s="1"/>
  <c r="Z41" i="1" s="1"/>
  <c r="Y40" i="27"/>
  <c r="Y41" i="27" s="1"/>
  <c r="AJ50" i="1"/>
  <c r="AJ18" i="1"/>
  <c r="AJ34" i="26" s="1"/>
  <c r="AJ35" i="26" s="1"/>
  <c r="AJ36" i="26" s="1"/>
  <c r="X18" i="27"/>
  <c r="Y70" i="27"/>
  <c r="Y71" i="27" s="1"/>
  <c r="O11" i="1"/>
  <c r="P11" i="1" s="1"/>
  <c r="P52" i="1"/>
  <c r="P53" i="1" s="1"/>
  <c r="P54" i="1" s="1"/>
  <c r="M74" i="27"/>
  <c r="N72" i="27" s="1"/>
  <c r="Z71" i="1"/>
  <c r="O62" i="1"/>
  <c r="O63" i="1" s="1"/>
  <c r="O64" i="1" s="1"/>
  <c r="H74" i="1"/>
  <c r="N32" i="1"/>
  <c r="N33" i="1" s="1"/>
  <c r="N34" i="1" s="1"/>
  <c r="AQ90" i="1" l="1"/>
  <c r="H43" i="1"/>
  <c r="H21" i="1"/>
  <c r="H22" i="1" s="1"/>
  <c r="AR79" i="1"/>
  <c r="AR81" i="1" s="1"/>
  <c r="AR82" i="1" s="1"/>
  <c r="AQ80" i="1"/>
  <c r="Y42" i="27"/>
  <c r="Y43" i="27" s="1"/>
  <c r="Y44" i="27" s="1"/>
  <c r="X52" i="27"/>
  <c r="X53" i="27" s="1"/>
  <c r="X54" i="27" s="1"/>
  <c r="Y52" i="27" s="1"/>
  <c r="X62" i="27"/>
  <c r="X63" i="27" s="1"/>
  <c r="X64" i="27" s="1"/>
  <c r="Y62" i="27" s="1"/>
  <c r="Y63" i="27" s="1"/>
  <c r="Y64" i="27" s="1"/>
  <c r="AA18" i="1"/>
  <c r="AA34" i="26" s="1"/>
  <c r="AA35" i="26" s="1"/>
  <c r="AA36" i="26" s="1"/>
  <c r="X20" i="27"/>
  <c r="W39" i="26"/>
  <c r="W40" i="26" s="1"/>
  <c r="X37" i="26" s="1"/>
  <c r="W38" i="26"/>
  <c r="AQ91" i="1"/>
  <c r="AQ92" i="1" s="1"/>
  <c r="AR89" i="1" s="1"/>
  <c r="AQ93" i="1"/>
  <c r="Z19" i="1"/>
  <c r="Z18" i="1"/>
  <c r="Z34" i="26" s="1"/>
  <c r="Z35" i="26" s="1"/>
  <c r="Z36" i="26" s="1"/>
  <c r="Y18" i="27"/>
  <c r="AJ51" i="1"/>
  <c r="AJ20" i="1" s="1"/>
  <c r="AJ19" i="1"/>
  <c r="Y19" i="27"/>
  <c r="AL49" i="1"/>
  <c r="AK50" i="1"/>
  <c r="AK18" i="1"/>
  <c r="AK34" i="26" s="1"/>
  <c r="AK35" i="26" s="1"/>
  <c r="AK36" i="26" s="1"/>
  <c r="AM39" i="1"/>
  <c r="AM40" i="1" s="1"/>
  <c r="AM41" i="1" s="1"/>
  <c r="AA20" i="22"/>
  <c r="AA21" i="22" s="1"/>
  <c r="AA22" i="22" s="1"/>
  <c r="Z20" i="1"/>
  <c r="Z70" i="27"/>
  <c r="Z19" i="27" s="1"/>
  <c r="AB13" i="22"/>
  <c r="AB14" i="22" s="1"/>
  <c r="AB15" i="22" s="1"/>
  <c r="AN39" i="1" s="1"/>
  <c r="AN40" i="1" s="1"/>
  <c r="AN41" i="1" s="1"/>
  <c r="Q10" i="1"/>
  <c r="Q12" i="1" s="1"/>
  <c r="Q13" i="1" s="1"/>
  <c r="Q52" i="1"/>
  <c r="Q53" i="1" s="1"/>
  <c r="Q54" i="1" s="1"/>
  <c r="AA71" i="1"/>
  <c r="AA20" i="1" s="1"/>
  <c r="AA19" i="1"/>
  <c r="P62" i="1"/>
  <c r="P63" i="1" s="1"/>
  <c r="P64" i="1" s="1"/>
  <c r="I72" i="1"/>
  <c r="O32" i="1"/>
  <c r="O33" i="1" s="1"/>
  <c r="O34" i="1" s="1"/>
  <c r="P32" i="1" s="1"/>
  <c r="P33" i="1" s="1"/>
  <c r="P34" i="1" s="1"/>
  <c r="H44" i="1" l="1"/>
  <c r="H23" i="1"/>
  <c r="AR80" i="1"/>
  <c r="AS79" i="1"/>
  <c r="AS81" i="1" s="1"/>
  <c r="AS82" i="1" s="1"/>
  <c r="Z62" i="27"/>
  <c r="Z63" i="27" s="1"/>
  <c r="Z64" i="27" s="1"/>
  <c r="Z42" i="27"/>
  <c r="Y53" i="27"/>
  <c r="Y54" i="27" s="1"/>
  <c r="Y20" i="27"/>
  <c r="X39" i="26"/>
  <c r="X40" i="26" s="1"/>
  <c r="Y37" i="26" s="1"/>
  <c r="AR91" i="1"/>
  <c r="AR92" i="1" s="1"/>
  <c r="AS89" i="1" s="1"/>
  <c r="AR93" i="1"/>
  <c r="AR90" i="1"/>
  <c r="AM49" i="1"/>
  <c r="Z71" i="27"/>
  <c r="AB20" i="22"/>
  <c r="AB21" i="22" s="1"/>
  <c r="AB22" i="22" s="1"/>
  <c r="AN49" i="1" s="1"/>
  <c r="AL50" i="1"/>
  <c r="AL18" i="1"/>
  <c r="AL34" i="26" s="1"/>
  <c r="AL35" i="26" s="1"/>
  <c r="AL36" i="26" s="1"/>
  <c r="AK51" i="1"/>
  <c r="AK20" i="1" s="1"/>
  <c r="AK19" i="1"/>
  <c r="R10" i="1"/>
  <c r="R12" i="1" s="1"/>
  <c r="R13" i="1" s="1"/>
  <c r="Q11" i="1"/>
  <c r="R52" i="1"/>
  <c r="R53" i="1" s="1"/>
  <c r="R54" i="1" s="1"/>
  <c r="N73" i="27"/>
  <c r="N74" i="27" s="1"/>
  <c r="O72" i="27" s="1"/>
  <c r="Q62" i="1"/>
  <c r="Q63" i="1" s="1"/>
  <c r="Q64" i="1" s="1"/>
  <c r="I73" i="1"/>
  <c r="I42" i="1" l="1"/>
  <c r="H24" i="1"/>
  <c r="AN50" i="1"/>
  <c r="AN18" i="1"/>
  <c r="AN34" i="26" s="1"/>
  <c r="AN35" i="26" s="1"/>
  <c r="AN36" i="26" s="1"/>
  <c r="AA62" i="27"/>
  <c r="AA63" i="27" s="1"/>
  <c r="AA64" i="27" s="1"/>
  <c r="AB62" i="27" s="1"/>
  <c r="AB63" i="27" s="1"/>
  <c r="AB64" i="27" s="1"/>
  <c r="AC62" i="27" s="1"/>
  <c r="AC63" i="27" s="1"/>
  <c r="AT79" i="1"/>
  <c r="AT81" i="1" s="1"/>
  <c r="AT82" i="1" s="1"/>
  <c r="AS80" i="1"/>
  <c r="Z20" i="27"/>
  <c r="Z43" i="27"/>
  <c r="Z44" i="27" s="1"/>
  <c r="Z52" i="27"/>
  <c r="X38" i="26"/>
  <c r="AS91" i="1"/>
  <c r="AS92" i="1" s="1"/>
  <c r="AT89" i="1" s="1"/>
  <c r="AS93" i="1"/>
  <c r="AS90" i="1"/>
  <c r="AM50" i="1"/>
  <c r="AM18" i="1"/>
  <c r="AM34" i="26" s="1"/>
  <c r="AM35" i="26" s="1"/>
  <c r="AM36" i="26" s="1"/>
  <c r="AL51" i="1"/>
  <c r="AL20" i="1" s="1"/>
  <c r="AL19" i="1"/>
  <c r="R11" i="1"/>
  <c r="S10" i="1"/>
  <c r="S12" i="1" s="1"/>
  <c r="S13" i="1" s="1"/>
  <c r="S52" i="1"/>
  <c r="S53" i="1" s="1"/>
  <c r="S54" i="1" s="1"/>
  <c r="R62" i="1"/>
  <c r="R63" i="1" s="1"/>
  <c r="R64" i="1" s="1"/>
  <c r="I74" i="1"/>
  <c r="Q32" i="1"/>
  <c r="Q33" i="1" s="1"/>
  <c r="Q34" i="1" s="1"/>
  <c r="AT80" i="1" l="1"/>
  <c r="I43" i="1"/>
  <c r="I21" i="1"/>
  <c r="I22" i="1" s="1"/>
  <c r="AN51" i="1"/>
  <c r="AN20" i="1" s="1"/>
  <c r="AN19" i="1"/>
  <c r="AU79" i="1"/>
  <c r="AU81" i="1" s="1"/>
  <c r="AU82" i="1" s="1"/>
  <c r="AA42" i="27"/>
  <c r="AA43" i="27" s="1"/>
  <c r="AA44" i="27" s="1"/>
  <c r="Z53" i="27"/>
  <c r="Z54" i="27" s="1"/>
  <c r="AC64" i="27"/>
  <c r="AD62" i="27" s="1"/>
  <c r="AD63" i="27" s="1"/>
  <c r="AT91" i="1"/>
  <c r="AT92" i="1" s="1"/>
  <c r="AU89" i="1" s="1"/>
  <c r="AT93" i="1"/>
  <c r="Y38" i="26"/>
  <c r="Y39" i="26"/>
  <c r="Y40" i="26" s="1"/>
  <c r="Z37" i="26" s="1"/>
  <c r="AT90" i="1"/>
  <c r="AM51" i="1"/>
  <c r="AM20" i="1" s="1"/>
  <c r="AM19" i="1"/>
  <c r="T10" i="1"/>
  <c r="T12" i="1" s="1"/>
  <c r="T13" i="1" s="1"/>
  <c r="S11" i="1"/>
  <c r="T52" i="1"/>
  <c r="T53" i="1" s="1"/>
  <c r="T54" i="1" s="1"/>
  <c r="S62" i="1"/>
  <c r="S63" i="1" s="1"/>
  <c r="S64" i="1" s="1"/>
  <c r="R32" i="1"/>
  <c r="R33" i="1" s="1"/>
  <c r="R34" i="1" s="1"/>
  <c r="J72" i="1"/>
  <c r="I44" i="1" l="1"/>
  <c r="I23" i="1"/>
  <c r="AB42" i="27"/>
  <c r="AB43" i="27" s="1"/>
  <c r="AB44" i="27" s="1"/>
  <c r="AU80" i="1"/>
  <c r="AV79" i="1"/>
  <c r="AV81" i="1" s="1"/>
  <c r="AV82" i="1" s="1"/>
  <c r="AA52" i="27"/>
  <c r="AD64" i="27"/>
  <c r="AE62" i="27" s="1"/>
  <c r="AE63" i="27" s="1"/>
  <c r="AU91" i="1"/>
  <c r="AU92" i="1" s="1"/>
  <c r="AV89" i="1" s="1"/>
  <c r="AV91" i="1" s="1"/>
  <c r="AV92" i="1" s="1"/>
  <c r="AW100" i="1" s="1"/>
  <c r="AU93" i="1"/>
  <c r="AU90" i="1"/>
  <c r="Z39" i="26"/>
  <c r="Z40" i="26" s="1"/>
  <c r="AA37" i="26" s="1"/>
  <c r="Z38" i="26"/>
  <c r="T11" i="1"/>
  <c r="U10" i="1"/>
  <c r="U12" i="1" s="1"/>
  <c r="U13" i="1" s="1"/>
  <c r="U52" i="1"/>
  <c r="U53" i="1" s="1"/>
  <c r="U54" i="1" s="1"/>
  <c r="O73" i="27"/>
  <c r="O74" i="27" s="1"/>
  <c r="P72" i="27" s="1"/>
  <c r="T62" i="1"/>
  <c r="T63" i="1" s="1"/>
  <c r="T64" i="1" s="1"/>
  <c r="J73" i="1"/>
  <c r="S32" i="1"/>
  <c r="S33" i="1" s="1"/>
  <c r="S34" i="1" s="1"/>
  <c r="AW102" i="1" l="1"/>
  <c r="AW103" i="1" s="1"/>
  <c r="J42" i="1"/>
  <c r="I24" i="1"/>
  <c r="AX100" i="1"/>
  <c r="AX102" i="1" s="1"/>
  <c r="AX103" i="1" s="1"/>
  <c r="AY100" i="1" s="1"/>
  <c r="AY102" i="1" s="1"/>
  <c r="AY103" i="1" s="1"/>
  <c r="AZ100" i="1" s="1"/>
  <c r="AZ102" i="1" s="1"/>
  <c r="AZ103" i="1" s="1"/>
  <c r="BA100" i="1" s="1"/>
  <c r="BA102" i="1" s="1"/>
  <c r="BA103" i="1" s="1"/>
  <c r="BB100" i="1" s="1"/>
  <c r="BB102" i="1" s="1"/>
  <c r="BB103" i="1" s="1"/>
  <c r="BC100" i="1" s="1"/>
  <c r="BC102" i="1" s="1"/>
  <c r="BC103" i="1" s="1"/>
  <c r="BD100" i="1" s="1"/>
  <c r="BD102" i="1" s="1"/>
  <c r="BD103" i="1" s="1"/>
  <c r="BE100" i="1" s="1"/>
  <c r="BE102" i="1" s="1"/>
  <c r="BE103" i="1" s="1"/>
  <c r="AV90" i="1"/>
  <c r="AW101" i="1" s="1"/>
  <c r="AV93" i="1"/>
  <c r="AW95" i="1" s="1"/>
  <c r="AW104" i="1" s="1"/>
  <c r="AC42" i="27"/>
  <c r="AC43" i="27" s="1"/>
  <c r="AC44" i="27" s="1"/>
  <c r="AV80" i="1"/>
  <c r="AW79" i="1"/>
  <c r="AW81" i="1" s="1"/>
  <c r="AW82" i="1" s="1"/>
  <c r="AA53" i="27"/>
  <c r="AA54" i="27" s="1"/>
  <c r="AE64" i="27"/>
  <c r="AF62" i="27" s="1"/>
  <c r="AF63" i="27" s="1"/>
  <c r="AF64" i="27" s="1"/>
  <c r="AG62" i="27" s="1"/>
  <c r="AG63" i="27" s="1"/>
  <c r="AG64" i="27" s="1"/>
  <c r="AA39" i="26"/>
  <c r="AA40" i="26" s="1"/>
  <c r="AB37" i="26" s="1"/>
  <c r="U11" i="1"/>
  <c r="V10" i="1"/>
  <c r="V12" i="1" s="1"/>
  <c r="V13" i="1" s="1"/>
  <c r="V52" i="1"/>
  <c r="V53" i="1" s="1"/>
  <c r="V54" i="1" s="1"/>
  <c r="U62" i="1"/>
  <c r="U63" i="1" s="1"/>
  <c r="U64" i="1" s="1"/>
  <c r="T32" i="1"/>
  <c r="T33" i="1" s="1"/>
  <c r="T34" i="1" s="1"/>
  <c r="J74" i="1"/>
  <c r="J43" i="1" l="1"/>
  <c r="J21" i="1"/>
  <c r="J22" i="1" s="1"/>
  <c r="AX104" i="1"/>
  <c r="AY104" i="1" s="1"/>
  <c r="AZ104" i="1" s="1"/>
  <c r="BA104" i="1" s="1"/>
  <c r="BB104" i="1" s="1"/>
  <c r="BC104" i="1" s="1"/>
  <c r="BD104" i="1" s="1"/>
  <c r="BE104" i="1" s="1"/>
  <c r="AX101" i="1"/>
  <c r="AY101" i="1" s="1"/>
  <c r="AZ101" i="1" s="1"/>
  <c r="BA101" i="1" s="1"/>
  <c r="BB101" i="1" s="1"/>
  <c r="BC101" i="1" s="1"/>
  <c r="BD101" i="1" s="1"/>
  <c r="BE101" i="1" s="1"/>
  <c r="BF100" i="1"/>
  <c r="BF102" i="1" s="1"/>
  <c r="BF103" i="1" s="1"/>
  <c r="BG100" i="1" s="1"/>
  <c r="BG102" i="1" s="1"/>
  <c r="BG103" i="1" s="1"/>
  <c r="BH100" i="1" s="1"/>
  <c r="BH102" i="1" s="1"/>
  <c r="BH103" i="1" s="1"/>
  <c r="BI100" i="1" s="1"/>
  <c r="BI102" i="1" s="1"/>
  <c r="BI103" i="1" s="1"/>
  <c r="BJ100" i="1" s="1"/>
  <c r="BJ102" i="1" s="1"/>
  <c r="BJ103" i="1" s="1"/>
  <c r="BK100" i="1" s="1"/>
  <c r="BK102" i="1" s="1"/>
  <c r="BK103" i="1" s="1"/>
  <c r="BL100" i="1" s="1"/>
  <c r="BL102" i="1" s="1"/>
  <c r="BL103" i="1" s="1"/>
  <c r="BM100" i="1" s="1"/>
  <c r="BM102" i="1" s="1"/>
  <c r="BM103" i="1" s="1"/>
  <c r="BN100" i="1" s="1"/>
  <c r="BN102" i="1" s="1"/>
  <c r="BN103" i="1" s="1"/>
  <c r="BO100" i="1" s="1"/>
  <c r="BO102" i="1" s="1"/>
  <c r="BO103" i="1" s="1"/>
  <c r="AH62" i="27"/>
  <c r="AH63" i="27" s="1"/>
  <c r="AH64" i="27" s="1"/>
  <c r="AD42" i="27"/>
  <c r="AD43" i="27" s="1"/>
  <c r="AD44" i="27" s="1"/>
  <c r="AB52" i="27"/>
  <c r="AB53" i="27" s="1"/>
  <c r="AB54" i="27" s="1"/>
  <c r="AW80" i="1"/>
  <c r="AX79" i="1"/>
  <c r="AX81" i="1" s="1"/>
  <c r="AX82" i="1" s="1"/>
  <c r="AB39" i="26"/>
  <c r="AB40" i="26" s="1"/>
  <c r="AC37" i="26" s="1"/>
  <c r="AA38" i="26"/>
  <c r="AB38" i="26" s="1"/>
  <c r="V11" i="1"/>
  <c r="W10" i="1"/>
  <c r="W12" i="1" s="1"/>
  <c r="W13" i="1" s="1"/>
  <c r="W52" i="1"/>
  <c r="W53" i="1" s="1"/>
  <c r="W54" i="1" s="1"/>
  <c r="V62" i="1"/>
  <c r="V63" i="1" s="1"/>
  <c r="V64" i="1" s="1"/>
  <c r="K72" i="1"/>
  <c r="U32" i="1"/>
  <c r="U33" i="1" s="1"/>
  <c r="U34" i="1" s="1"/>
  <c r="J44" i="1" l="1"/>
  <c r="J23" i="1"/>
  <c r="AI62" i="27"/>
  <c r="AI63" i="27" s="1"/>
  <c r="AI64" i="27" s="1"/>
  <c r="BP100" i="1"/>
  <c r="BP102" i="1" s="1"/>
  <c r="BP103" i="1" s="1"/>
  <c r="BF101" i="1"/>
  <c r="BG101" i="1" s="1"/>
  <c r="BH101" i="1" s="1"/>
  <c r="BI101" i="1" s="1"/>
  <c r="BJ101" i="1" s="1"/>
  <c r="BK101" i="1" s="1"/>
  <c r="BL101" i="1" s="1"/>
  <c r="BM101" i="1" s="1"/>
  <c r="BN101" i="1" s="1"/>
  <c r="BO101" i="1" s="1"/>
  <c r="BP101" i="1" s="1"/>
  <c r="BF104" i="1"/>
  <c r="BG104" i="1" s="1"/>
  <c r="BH104" i="1" s="1"/>
  <c r="BI104" i="1" s="1"/>
  <c r="BJ104" i="1" s="1"/>
  <c r="BK104" i="1" s="1"/>
  <c r="BL104" i="1" s="1"/>
  <c r="BM104" i="1" s="1"/>
  <c r="BN104" i="1" s="1"/>
  <c r="BO104" i="1" s="1"/>
  <c r="BP104" i="1" s="1"/>
  <c r="AE42" i="27"/>
  <c r="AE43" i="27" s="1"/>
  <c r="AE44" i="27" s="1"/>
  <c r="AF42" i="27" s="1"/>
  <c r="AF43" i="27" s="1"/>
  <c r="AF44" i="27" s="1"/>
  <c r="AG42" i="27" s="1"/>
  <c r="AG43" i="27" s="1"/>
  <c r="AG44" i="27" s="1"/>
  <c r="AC52" i="27"/>
  <c r="AC53" i="27" s="1"/>
  <c r="AC54" i="27" s="1"/>
  <c r="AY79" i="1"/>
  <c r="AY81" i="1" s="1"/>
  <c r="AY82" i="1" s="1"/>
  <c r="AX80" i="1"/>
  <c r="AC39" i="26"/>
  <c r="AC40" i="26" s="1"/>
  <c r="AD37" i="26" s="1"/>
  <c r="AC38" i="26"/>
  <c r="X10" i="1"/>
  <c r="X12" i="1" s="1"/>
  <c r="X13" i="1" s="1"/>
  <c r="W11" i="1"/>
  <c r="X52" i="1"/>
  <c r="X53" i="1" s="1"/>
  <c r="X54" i="1" s="1"/>
  <c r="P73" i="27"/>
  <c r="P74" i="27" s="1"/>
  <c r="Q72" i="27" s="1"/>
  <c r="W62" i="1"/>
  <c r="W63" i="1" s="1"/>
  <c r="W64" i="1" s="1"/>
  <c r="K73" i="1"/>
  <c r="V32" i="1"/>
  <c r="V33" i="1" s="1"/>
  <c r="V34" i="1" s="1"/>
  <c r="K42" i="1" l="1"/>
  <c r="J24" i="1"/>
  <c r="AJ62" i="27"/>
  <c r="AJ63" i="27" s="1"/>
  <c r="AJ64" i="27" s="1"/>
  <c r="BQ100" i="1"/>
  <c r="BQ102" i="1" s="1"/>
  <c r="BQ103" i="1" s="1"/>
  <c r="BR100" i="1" s="1"/>
  <c r="BR102" i="1" s="1"/>
  <c r="BR103" i="1" s="1"/>
  <c r="BS100" i="1" s="1"/>
  <c r="AH42" i="27"/>
  <c r="AH43" i="27" s="1"/>
  <c r="AH44" i="27" s="1"/>
  <c r="AD52" i="27"/>
  <c r="AD53" i="27" s="1"/>
  <c r="AD54" i="27" s="1"/>
  <c r="Y10" i="1"/>
  <c r="AY80" i="1"/>
  <c r="AZ79" i="1"/>
  <c r="AZ81" i="1" s="1"/>
  <c r="AZ82" i="1" s="1"/>
  <c r="BA79" i="1" s="1"/>
  <c r="BA81" i="1" s="1"/>
  <c r="BA82" i="1" s="1"/>
  <c r="AD39" i="26"/>
  <c r="AD40" i="26" s="1"/>
  <c r="AE37" i="26" s="1"/>
  <c r="AD38" i="26"/>
  <c r="X11" i="1"/>
  <c r="Y52" i="1"/>
  <c r="Y53" i="1" s="1"/>
  <c r="Y54" i="1" s="1"/>
  <c r="X62" i="1"/>
  <c r="X63" i="1" s="1"/>
  <c r="X64" i="1" s="1"/>
  <c r="W32" i="1"/>
  <c r="W33" i="1" s="1"/>
  <c r="W34" i="1" s="1"/>
  <c r="K74" i="1"/>
  <c r="K43" i="1" l="1"/>
  <c r="K21" i="1"/>
  <c r="K22" i="1" s="1"/>
  <c r="AK62" i="27"/>
  <c r="AK63" i="27" s="1"/>
  <c r="AK64" i="27" s="1"/>
  <c r="AI42" i="27"/>
  <c r="AI43" i="27" s="1"/>
  <c r="AI44" i="27" s="1"/>
  <c r="BQ104" i="1"/>
  <c r="BR104" i="1"/>
  <c r="BS104" i="1" s="1"/>
  <c r="BQ101" i="1"/>
  <c r="BR101" i="1" s="1"/>
  <c r="BS101" i="1" s="1"/>
  <c r="Y11" i="1"/>
  <c r="BS102" i="1"/>
  <c r="BS103" i="1" s="1"/>
  <c r="AE52" i="27"/>
  <c r="AE53" i="27" s="1"/>
  <c r="AE54" i="27" s="1"/>
  <c r="AF52" i="27" s="1"/>
  <c r="AF53" i="27" s="1"/>
  <c r="AF54" i="27" s="1"/>
  <c r="Y12" i="1"/>
  <c r="Y13" i="1" s="1"/>
  <c r="BB79" i="1"/>
  <c r="BB81" i="1" s="1"/>
  <c r="BB82" i="1" s="1"/>
  <c r="AZ80" i="1"/>
  <c r="BA80" i="1" s="1"/>
  <c r="AE39" i="26"/>
  <c r="AE40" i="26" s="1"/>
  <c r="AF37" i="26" s="1"/>
  <c r="Z52" i="1"/>
  <c r="Z53" i="1" s="1"/>
  <c r="Z54" i="1" s="1"/>
  <c r="Y62" i="1"/>
  <c r="Y63" i="1" s="1"/>
  <c r="Y64" i="1" s="1"/>
  <c r="X32" i="1"/>
  <c r="X33" i="1" s="1"/>
  <c r="X34" i="1" s="1"/>
  <c r="L72" i="1"/>
  <c r="BB80" i="1" l="1"/>
  <c r="K44" i="1"/>
  <c r="K23" i="1"/>
  <c r="AJ42" i="27"/>
  <c r="AJ43" i="27" s="1"/>
  <c r="AJ44" i="27" s="1"/>
  <c r="AL62" i="27"/>
  <c r="BT100" i="1"/>
  <c r="BT104" i="1" s="1"/>
  <c r="AG52" i="27"/>
  <c r="AG53" i="27" s="1"/>
  <c r="AG54" i="27" s="1"/>
  <c r="Z10" i="1"/>
  <c r="Z12" i="1" s="1"/>
  <c r="Z13" i="1" s="1"/>
  <c r="BC79" i="1"/>
  <c r="BC81" i="1" s="1"/>
  <c r="BC82" i="1" s="1"/>
  <c r="AF39" i="26"/>
  <c r="AF40" i="26" s="1"/>
  <c r="AG37" i="26" s="1"/>
  <c r="AE38" i="26"/>
  <c r="AF38" i="26" s="1"/>
  <c r="AA52" i="1"/>
  <c r="AA53" i="1" s="1"/>
  <c r="AA54" i="1" s="1"/>
  <c r="Q73" i="27"/>
  <c r="Q74" i="27" s="1"/>
  <c r="R72" i="27" s="1"/>
  <c r="Z62" i="1"/>
  <c r="Z63" i="1" s="1"/>
  <c r="Z64" i="1" s="1"/>
  <c r="L73" i="1"/>
  <c r="Y32" i="1"/>
  <c r="Y33" i="1" s="1"/>
  <c r="Y34" i="1" s="1"/>
  <c r="L42" i="1" l="1"/>
  <c r="K24" i="1"/>
  <c r="AL63" i="27"/>
  <c r="AL64" i="27" s="1"/>
  <c r="AM62" i="27" s="1"/>
  <c r="AK42" i="27"/>
  <c r="AK43" i="27" s="1"/>
  <c r="AK44" i="27" s="1"/>
  <c r="BT102" i="1"/>
  <c r="BT103" i="1" s="1"/>
  <c r="BU100" i="1" s="1"/>
  <c r="BU102" i="1" s="1"/>
  <c r="BU103" i="1" s="1"/>
  <c r="BV100" i="1" s="1"/>
  <c r="BV102" i="1" s="1"/>
  <c r="BV103" i="1" s="1"/>
  <c r="BW100" i="1" s="1"/>
  <c r="BW102" i="1" s="1"/>
  <c r="BW103" i="1" s="1"/>
  <c r="AO89" i="27" s="1"/>
  <c r="BT101" i="1"/>
  <c r="AH52" i="27"/>
  <c r="AH53" i="27" s="1"/>
  <c r="AH54" i="27" s="1"/>
  <c r="AA10" i="1"/>
  <c r="AA12" i="1" s="1"/>
  <c r="AA13" i="1" s="1"/>
  <c r="AB10" i="1" s="1"/>
  <c r="AB12" i="1" s="1"/>
  <c r="AB13" i="1" s="1"/>
  <c r="Z11" i="1"/>
  <c r="BC80" i="1"/>
  <c r="BD79" i="1"/>
  <c r="BD81" i="1" s="1"/>
  <c r="BD82" i="1" s="1"/>
  <c r="AG39" i="26"/>
  <c r="AG40" i="26" s="1"/>
  <c r="AH37" i="26" s="1"/>
  <c r="AG38" i="26"/>
  <c r="AB52" i="1"/>
  <c r="AB53" i="1" s="1"/>
  <c r="AB54" i="1" s="1"/>
  <c r="AA62" i="1"/>
  <c r="AA63" i="1" s="1"/>
  <c r="AA64" i="1" s="1"/>
  <c r="L74" i="1"/>
  <c r="Z32" i="1"/>
  <c r="Z33" i="1" s="1"/>
  <c r="Z34" i="1" s="1"/>
  <c r="AO91" i="27" l="1"/>
  <c r="AO92" i="27" s="1"/>
  <c r="AO90" i="27"/>
  <c r="AO93" i="27"/>
  <c r="AA11" i="1"/>
  <c r="L43" i="1"/>
  <c r="L21" i="1"/>
  <c r="L22" i="1" s="1"/>
  <c r="AM63" i="27"/>
  <c r="AM64" i="27" s="1"/>
  <c r="AN62" i="27" s="1"/>
  <c r="AN63" i="27" s="1"/>
  <c r="AN64" i="27" s="1"/>
  <c r="AL42" i="27"/>
  <c r="AI52" i="27"/>
  <c r="AI53" i="27" s="1"/>
  <c r="AI54" i="27" s="1"/>
  <c r="BX100" i="1"/>
  <c r="BX102" i="1" s="1"/>
  <c r="BX103" i="1" s="1"/>
  <c r="BY100" i="1" s="1"/>
  <c r="BY102" i="1" s="1"/>
  <c r="BY103" i="1" s="1"/>
  <c r="BZ100" i="1" s="1"/>
  <c r="BZ102" i="1" s="1"/>
  <c r="BZ103" i="1" s="1"/>
  <c r="CA100" i="1" s="1"/>
  <c r="CA102" i="1" s="1"/>
  <c r="CA103" i="1" s="1"/>
  <c r="CB100" i="1" s="1"/>
  <c r="CB102" i="1" s="1"/>
  <c r="CB103" i="1" s="1"/>
  <c r="CC100" i="1" s="1"/>
  <c r="CC102" i="1" s="1"/>
  <c r="CC103" i="1" s="1"/>
  <c r="CD100" i="1" s="1"/>
  <c r="CD102" i="1" s="1"/>
  <c r="CD103" i="1" s="1"/>
  <c r="CE100" i="1" s="1"/>
  <c r="CE102" i="1" s="1"/>
  <c r="CE103" i="1" s="1"/>
  <c r="CF100" i="1" s="1"/>
  <c r="CF102" i="1" s="1"/>
  <c r="CF103" i="1" s="1"/>
  <c r="CG100" i="1" s="1"/>
  <c r="CG102" i="1" s="1"/>
  <c r="CG103" i="1" s="1"/>
  <c r="CH100" i="1" s="1"/>
  <c r="CH102" i="1" s="1"/>
  <c r="CH103" i="1" s="1"/>
  <c r="CI100" i="1" s="1"/>
  <c r="CI102" i="1" s="1"/>
  <c r="CI103" i="1" s="1"/>
  <c r="BU104" i="1"/>
  <c r="BV104" i="1" s="1"/>
  <c r="BW104" i="1" s="1"/>
  <c r="BU101" i="1"/>
  <c r="BV101" i="1" s="1"/>
  <c r="BW101" i="1" s="1"/>
  <c r="BX101" i="1" s="1"/>
  <c r="BD80" i="1"/>
  <c r="BE79" i="1"/>
  <c r="BE81" i="1" s="1"/>
  <c r="BE82" i="1" s="1"/>
  <c r="AH39" i="26"/>
  <c r="AH40" i="26" s="1"/>
  <c r="AI37" i="26" s="1"/>
  <c r="AB11" i="1"/>
  <c r="AC10" i="1"/>
  <c r="AC12" i="1" s="1"/>
  <c r="AC13" i="1" s="1"/>
  <c r="AC52" i="1"/>
  <c r="AC53" i="1" s="1"/>
  <c r="AC54" i="1" s="1"/>
  <c r="AB62" i="1"/>
  <c r="AB63" i="1" s="1"/>
  <c r="AB64" i="1" s="1"/>
  <c r="M72" i="1"/>
  <c r="AA32" i="1"/>
  <c r="AA33" i="1" s="1"/>
  <c r="AA34" i="1" s="1"/>
  <c r="BY101" i="1" l="1"/>
  <c r="BZ101" i="1" s="1"/>
  <c r="CA101" i="1" s="1"/>
  <c r="CB101" i="1" s="1"/>
  <c r="CC101" i="1" s="1"/>
  <c r="CD101" i="1" s="1"/>
  <c r="CE101" i="1" s="1"/>
  <c r="CF101" i="1" s="1"/>
  <c r="CG101" i="1" s="1"/>
  <c r="CH101" i="1" s="1"/>
  <c r="CI101" i="1" s="1"/>
  <c r="L44" i="1"/>
  <c r="L23" i="1"/>
  <c r="AL43" i="27"/>
  <c r="AL44" i="27" s="1"/>
  <c r="AM42" i="27" s="1"/>
  <c r="AM43" i="27" s="1"/>
  <c r="AM44" i="27" s="1"/>
  <c r="AJ52" i="27"/>
  <c r="AJ53" i="27" s="1"/>
  <c r="AJ54" i="27" s="1"/>
  <c r="AO62" i="27"/>
  <c r="AO63" i="27" s="1"/>
  <c r="AO64" i="27" s="1"/>
  <c r="AP89" i="27"/>
  <c r="AP90" i="27" s="1"/>
  <c r="BE80" i="1"/>
  <c r="BF79" i="1"/>
  <c r="BF81" i="1" s="1"/>
  <c r="BF82" i="1" s="1"/>
  <c r="AH38" i="26"/>
  <c r="AI39" i="26"/>
  <c r="AI40" i="26" s="1"/>
  <c r="AJ37" i="26" s="1"/>
  <c r="AD10" i="1"/>
  <c r="AD12" i="1" s="1"/>
  <c r="AD13" i="1" s="1"/>
  <c r="AC11" i="1"/>
  <c r="AD52" i="1"/>
  <c r="AD53" i="1" s="1"/>
  <c r="AD54" i="1" s="1"/>
  <c r="R73" i="27"/>
  <c r="R74" i="27" s="1"/>
  <c r="S72" i="27" s="1"/>
  <c r="AC62" i="1"/>
  <c r="AC63" i="1" s="1"/>
  <c r="AC64" i="1" s="1"/>
  <c r="AB32" i="1"/>
  <c r="AB33" i="1" s="1"/>
  <c r="AB34" i="1" s="1"/>
  <c r="M73" i="1"/>
  <c r="M42" i="1" l="1"/>
  <c r="L24" i="1"/>
  <c r="AK52" i="27"/>
  <c r="AK53" i="27" s="1"/>
  <c r="AK54" i="27" s="1"/>
  <c r="AP62" i="27"/>
  <c r="AP63" i="27" s="1"/>
  <c r="AP64" i="27" s="1"/>
  <c r="AN42" i="27"/>
  <c r="AN43" i="27" s="1"/>
  <c r="AN44" i="27" s="1"/>
  <c r="AP91" i="27"/>
  <c r="AP92" i="27" s="1"/>
  <c r="AQ89" i="27" s="1"/>
  <c r="AQ91" i="27" s="1"/>
  <c r="AQ92" i="27" s="1"/>
  <c r="AR89" i="27" s="1"/>
  <c r="AR91" i="27" s="1"/>
  <c r="AR92" i="27" s="1"/>
  <c r="AS89" i="27" s="1"/>
  <c r="AS91" i="27" s="1"/>
  <c r="AS92" i="27" s="1"/>
  <c r="AT89" i="27" s="1"/>
  <c r="AT91" i="27" s="1"/>
  <c r="AT92" i="27" s="1"/>
  <c r="AU89" i="27" s="1"/>
  <c r="AU91" i="27" s="1"/>
  <c r="AU92" i="27" s="1"/>
  <c r="AP93" i="27"/>
  <c r="BF80" i="1"/>
  <c r="BG79" i="1"/>
  <c r="BG81" i="1" s="1"/>
  <c r="BG82" i="1" s="1"/>
  <c r="AJ39" i="26"/>
  <c r="AJ40" i="26" s="1"/>
  <c r="AK37" i="26" s="1"/>
  <c r="AI38" i="26"/>
  <c r="AJ38" i="26" s="1"/>
  <c r="AD11" i="1"/>
  <c r="AE10" i="1"/>
  <c r="AE12" i="1" s="1"/>
  <c r="AE13" i="1" s="1"/>
  <c r="AE52" i="1"/>
  <c r="AE53" i="1" s="1"/>
  <c r="AE54" i="1" s="1"/>
  <c r="AD62" i="1"/>
  <c r="AD63" i="1" s="1"/>
  <c r="AD64" i="1" s="1"/>
  <c r="AC32" i="1"/>
  <c r="AC33" i="1" s="1"/>
  <c r="AC34" i="1" s="1"/>
  <c r="M74" i="1"/>
  <c r="M43" i="1" l="1"/>
  <c r="M21" i="1"/>
  <c r="M22" i="1" s="1"/>
  <c r="AQ62" i="27"/>
  <c r="AQ63" i="27" s="1"/>
  <c r="AQ64" i="27" s="1"/>
  <c r="AO42" i="27"/>
  <c r="AO43" i="27" s="1"/>
  <c r="AO44" i="27" s="1"/>
  <c r="AL52" i="27"/>
  <c r="AQ93" i="27"/>
  <c r="AR93" i="27" s="1"/>
  <c r="AS93" i="27" s="1"/>
  <c r="AT93" i="27" s="1"/>
  <c r="AU93" i="27" s="1"/>
  <c r="AQ90" i="27"/>
  <c r="AR90" i="27" s="1"/>
  <c r="AS90" i="27" s="1"/>
  <c r="AT90" i="27" s="1"/>
  <c r="AU90" i="27" s="1"/>
  <c r="BG80" i="1"/>
  <c r="BH79" i="1"/>
  <c r="BH81" i="1" s="1"/>
  <c r="BH82" i="1" s="1"/>
  <c r="AK39" i="26"/>
  <c r="AK40" i="26" s="1"/>
  <c r="AL37" i="26" s="1"/>
  <c r="AE11" i="1"/>
  <c r="AF10" i="1"/>
  <c r="AF12" i="1" s="1"/>
  <c r="AF13" i="1" s="1"/>
  <c r="AF52" i="1"/>
  <c r="AF53" i="1" s="1"/>
  <c r="AF54" i="1" s="1"/>
  <c r="AE62" i="1"/>
  <c r="AE63" i="1" s="1"/>
  <c r="AE64" i="1" s="1"/>
  <c r="N72" i="1"/>
  <c r="AD32" i="1"/>
  <c r="AD33" i="1" s="1"/>
  <c r="AD34" i="1" s="1"/>
  <c r="M44" i="1" l="1"/>
  <c r="M23" i="1"/>
  <c r="AL53" i="27"/>
  <c r="AL54" i="27" s="1"/>
  <c r="AM52" i="27" s="1"/>
  <c r="AM53" i="27" s="1"/>
  <c r="AM54" i="27" s="1"/>
  <c r="AP42" i="27"/>
  <c r="AP43" i="27" s="1"/>
  <c r="AP44" i="27" s="1"/>
  <c r="AR62" i="27"/>
  <c r="AR63" i="27" s="1"/>
  <c r="AR64" i="27" s="1"/>
  <c r="BH80" i="1"/>
  <c r="BI79" i="1"/>
  <c r="BI81" i="1" s="1"/>
  <c r="BI82" i="1" s="1"/>
  <c r="AL39" i="26"/>
  <c r="AL40" i="26" s="1"/>
  <c r="AM37" i="26" s="1"/>
  <c r="AK38" i="26"/>
  <c r="AL38" i="26" s="1"/>
  <c r="AF11" i="1"/>
  <c r="AG10" i="1"/>
  <c r="AG12" i="1" s="1"/>
  <c r="AG13" i="1" s="1"/>
  <c r="AG52" i="1"/>
  <c r="AG53" i="1" s="1"/>
  <c r="AG54" i="1" s="1"/>
  <c r="S73" i="27"/>
  <c r="S74" i="27" s="1"/>
  <c r="T72" i="27" s="1"/>
  <c r="AF62" i="1"/>
  <c r="AF63" i="1" s="1"/>
  <c r="AF64" i="1" s="1"/>
  <c r="AG62" i="1" s="1"/>
  <c r="AG63" i="1" s="1"/>
  <c r="AE32" i="1"/>
  <c r="AE33" i="1" s="1"/>
  <c r="AE34" i="1" s="1"/>
  <c r="AF32" i="1" s="1"/>
  <c r="AF33" i="1" s="1"/>
  <c r="N73" i="1"/>
  <c r="N42" i="1" l="1"/>
  <c r="M24" i="1"/>
  <c r="AN52" i="27"/>
  <c r="AN53" i="27" s="1"/>
  <c r="AN54" i="27" s="1"/>
  <c r="AS62" i="27"/>
  <c r="AS63" i="27" s="1"/>
  <c r="AS64" i="27" s="1"/>
  <c r="AQ42" i="27"/>
  <c r="AQ43" i="27" s="1"/>
  <c r="AQ44" i="27" s="1"/>
  <c r="AV89" i="27"/>
  <c r="AV93" i="27" s="1"/>
  <c r="BJ79" i="1"/>
  <c r="BI80" i="1"/>
  <c r="AM39" i="26"/>
  <c r="AM40" i="26" s="1"/>
  <c r="AN37" i="26" s="1"/>
  <c r="AG11" i="1"/>
  <c r="AH10" i="1"/>
  <c r="AH12" i="1" s="1"/>
  <c r="AH13" i="1" s="1"/>
  <c r="AH52" i="1"/>
  <c r="AH53" i="1" s="1"/>
  <c r="AH54" i="1" s="1"/>
  <c r="AG64" i="1"/>
  <c r="AH62" i="1" s="1"/>
  <c r="AH63" i="1" s="1"/>
  <c r="AF34" i="1"/>
  <c r="AG32" i="1" s="1"/>
  <c r="AG33" i="1" s="1"/>
  <c r="N74" i="1"/>
  <c r="N43" i="1" l="1"/>
  <c r="N21" i="1"/>
  <c r="N22" i="1" s="1"/>
  <c r="AT62" i="27"/>
  <c r="AT63" i="27" s="1"/>
  <c r="AT64" i="27" s="1"/>
  <c r="AR42" i="27"/>
  <c r="AR43" i="27" s="1"/>
  <c r="AR44" i="27" s="1"/>
  <c r="AO52" i="27"/>
  <c r="AO53" i="27" s="1"/>
  <c r="AO54" i="27" s="1"/>
  <c r="AV90" i="27"/>
  <c r="AV91" i="27"/>
  <c r="AV92" i="27" s="1"/>
  <c r="AW89" i="27" s="1"/>
  <c r="AW91" i="27" s="1"/>
  <c r="AW92" i="27" s="1"/>
  <c r="BJ80" i="1"/>
  <c r="BJ81" i="1"/>
  <c r="AN39" i="26"/>
  <c r="AN40" i="26" s="1"/>
  <c r="AO37" i="26" s="1"/>
  <c r="AM38" i="26"/>
  <c r="AH11" i="1"/>
  <c r="AI10" i="1"/>
  <c r="AI12" i="1" s="1"/>
  <c r="AI13" i="1" s="1"/>
  <c r="AI52" i="1"/>
  <c r="AI53" i="1" s="1"/>
  <c r="AH64" i="1"/>
  <c r="AI62" i="1" s="1"/>
  <c r="AI63" i="1" s="1"/>
  <c r="O72" i="1"/>
  <c r="AG34" i="1"/>
  <c r="AH32" i="1" s="1"/>
  <c r="AH33" i="1" s="1"/>
  <c r="AW90" i="27" l="1"/>
  <c r="AW93" i="27"/>
  <c r="N44" i="1"/>
  <c r="N23" i="1"/>
  <c r="AS42" i="27"/>
  <c r="AS43" i="27" s="1"/>
  <c r="AS44" i="27" s="1"/>
  <c r="AP52" i="27"/>
  <c r="AP53" i="27" s="1"/>
  <c r="AP54" i="27" s="1"/>
  <c r="AU62" i="27"/>
  <c r="AU63" i="27" s="1"/>
  <c r="AU64" i="27" s="1"/>
  <c r="BJ82" i="1"/>
  <c r="BK79" i="1" s="1"/>
  <c r="AO39" i="26"/>
  <c r="AO40" i="26" s="1"/>
  <c r="AP37" i="26" s="1"/>
  <c r="AN38" i="26"/>
  <c r="AO38" i="26" s="1"/>
  <c r="AJ10" i="1"/>
  <c r="AJ12" i="1" s="1"/>
  <c r="AJ13" i="1" s="1"/>
  <c r="AI11" i="1"/>
  <c r="AI54" i="1"/>
  <c r="T73" i="27"/>
  <c r="T74" i="27" s="1"/>
  <c r="U72" i="27" s="1"/>
  <c r="AI64" i="1"/>
  <c r="AJ62" i="1" s="1"/>
  <c r="AJ63" i="1" s="1"/>
  <c r="O73" i="1"/>
  <c r="AH34" i="1"/>
  <c r="AI32" i="1" s="1"/>
  <c r="AI33" i="1" s="1"/>
  <c r="O42" i="1" l="1"/>
  <c r="N24" i="1"/>
  <c r="AV62" i="27"/>
  <c r="AQ52" i="27"/>
  <c r="AQ53" i="27" s="1"/>
  <c r="AQ54" i="27" s="1"/>
  <c r="AT42" i="27"/>
  <c r="AT43" i="27" s="1"/>
  <c r="AT44" i="27" s="1"/>
  <c r="BK80" i="1"/>
  <c r="BK81" i="1"/>
  <c r="BK82" i="1" s="1"/>
  <c r="BL79" i="1" s="1"/>
  <c r="BL81" i="1" s="1"/>
  <c r="BL82" i="1" s="1"/>
  <c r="BM79" i="1" s="1"/>
  <c r="AP39" i="26"/>
  <c r="AP40" i="26" s="1"/>
  <c r="AQ37" i="26" s="1"/>
  <c r="AP38" i="26"/>
  <c r="AJ11" i="1"/>
  <c r="AK10" i="1"/>
  <c r="AK12" i="1" s="1"/>
  <c r="AK13" i="1" s="1"/>
  <c r="AJ52" i="1"/>
  <c r="AJ53" i="1" s="1"/>
  <c r="AJ54" i="1" s="1"/>
  <c r="AJ64" i="1"/>
  <c r="AK62" i="1" s="1"/>
  <c r="AK63" i="1" s="1"/>
  <c r="AI34" i="1"/>
  <c r="AJ32" i="1" s="1"/>
  <c r="AJ33" i="1" s="1"/>
  <c r="O74" i="1"/>
  <c r="O43" i="1" l="1"/>
  <c r="O21" i="1"/>
  <c r="O22" i="1" s="1"/>
  <c r="AV63" i="27"/>
  <c r="AV64" i="27" s="1"/>
  <c r="AU42" i="27"/>
  <c r="AU43" i="27" s="1"/>
  <c r="AU44" i="27" s="1"/>
  <c r="AR52" i="27"/>
  <c r="AR53" i="27" s="1"/>
  <c r="AR54" i="27" s="1"/>
  <c r="BM81" i="1"/>
  <c r="BL80" i="1"/>
  <c r="BM80" i="1" s="1"/>
  <c r="AQ39" i="26"/>
  <c r="AQ40" i="26" s="1"/>
  <c r="AR37" i="26" s="1"/>
  <c r="AQ38" i="26"/>
  <c r="AL10" i="1"/>
  <c r="AL12" i="1" s="1"/>
  <c r="AL13" i="1" s="1"/>
  <c r="AK11" i="1"/>
  <c r="AK52" i="1"/>
  <c r="AK53" i="1" s="1"/>
  <c r="AK54" i="1" s="1"/>
  <c r="AK64" i="1"/>
  <c r="AL62" i="1" s="1"/>
  <c r="AL63" i="1" s="1"/>
  <c r="AJ34" i="1"/>
  <c r="AK32" i="1" s="1"/>
  <c r="AK33" i="1" s="1"/>
  <c r="P72" i="1"/>
  <c r="O44" i="1" l="1"/>
  <c r="O23" i="1"/>
  <c r="AW62" i="27"/>
  <c r="AW63" i="27" s="1"/>
  <c r="AW64" i="27" s="1"/>
  <c r="AS52" i="27"/>
  <c r="AS53" i="27" s="1"/>
  <c r="AS54" i="27" s="1"/>
  <c r="AV42" i="27"/>
  <c r="BM82" i="1"/>
  <c r="BN79" i="1" s="1"/>
  <c r="BN81" i="1" s="1"/>
  <c r="BN82" i="1" s="1"/>
  <c r="BO79" i="1" s="1"/>
  <c r="BO81" i="1" s="1"/>
  <c r="BO82" i="1" s="1"/>
  <c r="BP79" i="1" s="1"/>
  <c r="BP81" i="1" s="1"/>
  <c r="BP82" i="1" s="1"/>
  <c r="BQ79" i="1" s="1"/>
  <c r="BQ81" i="1" s="1"/>
  <c r="BQ82" i="1" s="1"/>
  <c r="BR79" i="1" s="1"/>
  <c r="BR81" i="1" s="1"/>
  <c r="BR82" i="1" s="1"/>
  <c r="BS79" i="1" s="1"/>
  <c r="BS81" i="1" s="1"/>
  <c r="BS82" i="1" s="1"/>
  <c r="AR39" i="26"/>
  <c r="AR40" i="26" s="1"/>
  <c r="AR38" i="26"/>
  <c r="AL11" i="1"/>
  <c r="AM10" i="1"/>
  <c r="AM12" i="1" s="1"/>
  <c r="AM13" i="1" s="1"/>
  <c r="AL52" i="1"/>
  <c r="AL53" i="1" s="1"/>
  <c r="AL54" i="1" s="1"/>
  <c r="AM52" i="1" s="1"/>
  <c r="U73" i="27"/>
  <c r="U74" i="27" s="1"/>
  <c r="V72" i="27" s="1"/>
  <c r="AL64" i="1"/>
  <c r="AM62" i="1" s="1"/>
  <c r="AM63" i="1" s="1"/>
  <c r="P73" i="1"/>
  <c r="AK34" i="1"/>
  <c r="AL32" i="1" s="1"/>
  <c r="AL33" i="1" s="1"/>
  <c r="P42" i="1" l="1"/>
  <c r="O24" i="1"/>
  <c r="AV43" i="27"/>
  <c r="AV44" i="27" s="1"/>
  <c r="AT52" i="27"/>
  <c r="AT53" i="27" s="1"/>
  <c r="AT54" i="27" s="1"/>
  <c r="BT79" i="1"/>
  <c r="BT81" i="1" s="1"/>
  <c r="BT82" i="1" s="1"/>
  <c r="BN80" i="1"/>
  <c r="BO80" i="1" s="1"/>
  <c r="BP80" i="1" s="1"/>
  <c r="BQ80" i="1" s="1"/>
  <c r="BR80" i="1" s="1"/>
  <c r="BS80" i="1" s="1"/>
  <c r="BT80" i="1" s="1"/>
  <c r="AM53" i="1"/>
  <c r="AN10" i="1"/>
  <c r="AN12" i="1" s="1"/>
  <c r="AN13" i="1" s="1"/>
  <c r="AM11" i="1"/>
  <c r="AM64" i="1"/>
  <c r="AN62" i="1" s="1"/>
  <c r="AN63" i="1" s="1"/>
  <c r="AN64" i="1" s="1"/>
  <c r="AO62" i="1" s="1"/>
  <c r="AO63" i="1" s="1"/>
  <c r="AO64" i="1" s="1"/>
  <c r="AL34" i="1"/>
  <c r="AM32" i="1" s="1"/>
  <c r="AM33" i="1" s="1"/>
  <c r="P74" i="1"/>
  <c r="P43" i="1" l="1"/>
  <c r="P21" i="1"/>
  <c r="P22" i="1" s="1"/>
  <c r="BU79" i="1"/>
  <c r="BU81" i="1" s="1"/>
  <c r="BU82" i="1" s="1"/>
  <c r="AW42" i="27"/>
  <c r="AW43" i="27" s="1"/>
  <c r="AW44" i="27" s="1"/>
  <c r="AU52" i="27"/>
  <c r="AU53" i="27" s="1"/>
  <c r="AU54" i="27" s="1"/>
  <c r="AP62" i="1"/>
  <c r="AP63" i="1" s="1"/>
  <c r="AP64" i="1" s="1"/>
  <c r="AM54" i="1"/>
  <c r="AN52" i="1" s="1"/>
  <c r="AN11" i="1"/>
  <c r="AO10" i="1"/>
  <c r="AM34" i="1"/>
  <c r="AN32" i="1" s="1"/>
  <c r="AN33" i="1" s="1"/>
  <c r="AN34" i="1" s="1"/>
  <c r="Q72" i="1"/>
  <c r="P44" i="1" l="1"/>
  <c r="P23" i="1"/>
  <c r="BV79" i="1"/>
  <c r="BV81" i="1" s="1"/>
  <c r="BV82" i="1" s="1"/>
  <c r="BU80" i="1"/>
  <c r="AV52" i="27"/>
  <c r="AO12" i="1"/>
  <c r="AO13" i="1" s="1"/>
  <c r="AP10" i="1" s="1"/>
  <c r="AP12" i="1" s="1"/>
  <c r="AP13" i="1" s="1"/>
  <c r="AQ62" i="1"/>
  <c r="AQ63" i="1" s="1"/>
  <c r="AQ64" i="1" s="1"/>
  <c r="AO32" i="1"/>
  <c r="AO33" i="1" s="1"/>
  <c r="AO34" i="1" s="1"/>
  <c r="AN53" i="1"/>
  <c r="AO11" i="1"/>
  <c r="V73" i="27"/>
  <c r="V74" i="27" s="1"/>
  <c r="W72" i="27" s="1"/>
  <c r="Q73" i="1"/>
  <c r="Q42" i="1" l="1"/>
  <c r="P24" i="1"/>
  <c r="BV80" i="1"/>
  <c r="BW79" i="1"/>
  <c r="BW81" i="1" s="1"/>
  <c r="BW82" i="1" s="1"/>
  <c r="BX82" i="1" s="1"/>
  <c r="BY82" i="1" s="1"/>
  <c r="BZ82" i="1" s="1"/>
  <c r="CA82" i="1" s="1"/>
  <c r="CB82" i="1" s="1"/>
  <c r="CC82" i="1" s="1"/>
  <c r="CD82" i="1" s="1"/>
  <c r="CE82" i="1" s="1"/>
  <c r="CF82" i="1" s="1"/>
  <c r="CG82" i="1" s="1"/>
  <c r="CH82" i="1" s="1"/>
  <c r="CI82" i="1" s="1"/>
  <c r="AV53" i="27"/>
  <c r="AV54" i="27" s="1"/>
  <c r="AR62" i="1"/>
  <c r="AR63" i="1" s="1"/>
  <c r="AR64" i="1" s="1"/>
  <c r="AP32" i="1"/>
  <c r="AP33" i="1" s="1"/>
  <c r="AP34" i="1" s="1"/>
  <c r="AN54" i="1"/>
  <c r="AO52" i="1" s="1"/>
  <c r="AP11" i="1"/>
  <c r="AQ10" i="1"/>
  <c r="AQ12" i="1" s="1"/>
  <c r="AQ13" i="1" s="1"/>
  <c r="Q74" i="1"/>
  <c r="Q43" i="1" l="1"/>
  <c r="Q21" i="1"/>
  <c r="Q22" i="1" s="1"/>
  <c r="BW80" i="1"/>
  <c r="BX80" i="1" s="1"/>
  <c r="BY80" i="1" s="1"/>
  <c r="BZ80" i="1" s="1"/>
  <c r="CA80" i="1" s="1"/>
  <c r="CB80" i="1" s="1"/>
  <c r="CC80" i="1" s="1"/>
  <c r="CD80" i="1" s="1"/>
  <c r="CE80" i="1" s="1"/>
  <c r="CF80" i="1" s="1"/>
  <c r="CG80" i="1" s="1"/>
  <c r="CH80" i="1" s="1"/>
  <c r="CI80" i="1" s="1"/>
  <c r="AW52" i="27"/>
  <c r="AW53" i="27" s="1"/>
  <c r="AW54" i="27" s="1"/>
  <c r="AS62" i="1"/>
  <c r="AS63" i="1" s="1"/>
  <c r="AS64" i="1" s="1"/>
  <c r="AQ32" i="1"/>
  <c r="AQ33" i="1" s="1"/>
  <c r="AQ34" i="1" s="1"/>
  <c r="AO53" i="1"/>
  <c r="AR10" i="1"/>
  <c r="AR12" i="1" s="1"/>
  <c r="AR13" i="1" s="1"/>
  <c r="AQ11" i="1"/>
  <c r="R72" i="1"/>
  <c r="Q44" i="1" l="1"/>
  <c r="Q23" i="1"/>
  <c r="AT62" i="1"/>
  <c r="AT63" i="1" s="1"/>
  <c r="AT64" i="1" s="1"/>
  <c r="AR32" i="1"/>
  <c r="AR33" i="1" s="1"/>
  <c r="AR34" i="1" s="1"/>
  <c r="AO54" i="1"/>
  <c r="AR11" i="1"/>
  <c r="AS10" i="1"/>
  <c r="AS12" i="1" s="1"/>
  <c r="AS13" i="1" s="1"/>
  <c r="AT10" i="1" s="1"/>
  <c r="W73" i="27"/>
  <c r="W74" i="27" s="1"/>
  <c r="X72" i="27" s="1"/>
  <c r="R73" i="1"/>
  <c r="R42" i="1" l="1"/>
  <c r="Q24" i="1"/>
  <c r="AU62" i="1"/>
  <c r="AU63" i="1" s="1"/>
  <c r="AU64" i="1" s="1"/>
  <c r="AP52" i="1"/>
  <c r="AT12" i="1"/>
  <c r="AT13" i="1" s="1"/>
  <c r="AU10" i="1" s="1"/>
  <c r="AS11" i="1"/>
  <c r="R74" i="1"/>
  <c r="R43" i="1" l="1"/>
  <c r="R21" i="1"/>
  <c r="R22" i="1" s="1"/>
  <c r="AV62" i="1"/>
  <c r="AV63" i="1" s="1"/>
  <c r="AV64" i="1" s="1"/>
  <c r="AP53" i="1"/>
  <c r="AT11" i="1"/>
  <c r="AU12" i="1"/>
  <c r="AU13" i="1" s="1"/>
  <c r="AV10" i="1" s="1"/>
  <c r="S72" i="1"/>
  <c r="R44" i="1" l="1"/>
  <c r="R23" i="1"/>
  <c r="AW62" i="1"/>
  <c r="AW63" i="1" s="1"/>
  <c r="AW64" i="1" s="1"/>
  <c r="AP54" i="1"/>
  <c r="AV12" i="1"/>
  <c r="AV13" i="1" s="1"/>
  <c r="AW10" i="1" s="1"/>
  <c r="AU11" i="1"/>
  <c r="X73" i="27"/>
  <c r="X74" i="27" s="1"/>
  <c r="Y72" i="27" s="1"/>
  <c r="S73" i="1"/>
  <c r="S42" i="1" l="1"/>
  <c r="R24" i="1"/>
  <c r="AX62" i="1"/>
  <c r="AX63" i="1" s="1"/>
  <c r="AX64" i="1" s="1"/>
  <c r="AQ52" i="1"/>
  <c r="AV11" i="1"/>
  <c r="AW12" i="1"/>
  <c r="AW13" i="1" s="1"/>
  <c r="AX10" i="1" s="1"/>
  <c r="S74" i="1"/>
  <c r="S43" i="1" l="1"/>
  <c r="S21" i="1"/>
  <c r="S22" i="1" s="1"/>
  <c r="AY62" i="1"/>
  <c r="AY63" i="1" s="1"/>
  <c r="AY64" i="1" s="1"/>
  <c r="AQ53" i="1"/>
  <c r="AX12" i="1"/>
  <c r="AX13" i="1" s="1"/>
  <c r="AY10" i="1" s="1"/>
  <c r="AW11" i="1"/>
  <c r="T72" i="1"/>
  <c r="S44" i="1" l="1"/>
  <c r="S23" i="1"/>
  <c r="AZ62" i="1"/>
  <c r="AZ63" i="1" s="1"/>
  <c r="AZ64" i="1" s="1"/>
  <c r="AQ54" i="1"/>
  <c r="AX11" i="1"/>
  <c r="AY12" i="1"/>
  <c r="AY13" i="1" s="1"/>
  <c r="AZ10" i="1" s="1"/>
  <c r="Y73" i="27"/>
  <c r="Y74" i="27" s="1"/>
  <c r="T73" i="1"/>
  <c r="T42" i="1" l="1"/>
  <c r="S24" i="1"/>
  <c r="Z72" i="27"/>
  <c r="BA62" i="1"/>
  <c r="BA63" i="1" s="1"/>
  <c r="BA64" i="1" s="1"/>
  <c r="AZ12" i="1"/>
  <c r="AZ13" i="1" s="1"/>
  <c r="BA10" i="1" s="1"/>
  <c r="AR52" i="1"/>
  <c r="AY11" i="1"/>
  <c r="T74" i="1"/>
  <c r="T43" i="1" l="1"/>
  <c r="T21" i="1"/>
  <c r="T22" i="1" s="1"/>
  <c r="Z73" i="27"/>
  <c r="BB62" i="1"/>
  <c r="BB63" i="1" s="1"/>
  <c r="BB64" i="1" s="1"/>
  <c r="BA12" i="1"/>
  <c r="BA13" i="1" s="1"/>
  <c r="BB10" i="1" s="1"/>
  <c r="AZ11" i="1"/>
  <c r="BA11" i="1" s="1"/>
  <c r="AR53" i="1"/>
  <c r="U72" i="1"/>
  <c r="T44" i="1" l="1"/>
  <c r="T23" i="1"/>
  <c r="BC62" i="1"/>
  <c r="BC63" i="1" s="1"/>
  <c r="BC64" i="1" s="1"/>
  <c r="BB12" i="1"/>
  <c r="AR54" i="1"/>
  <c r="AS52" i="1" s="1"/>
  <c r="Z74" i="27"/>
  <c r="AA72" i="27" s="1"/>
  <c r="U73" i="1"/>
  <c r="U42" i="1" l="1"/>
  <c r="T24" i="1"/>
  <c r="BD62" i="1"/>
  <c r="BD63" i="1" s="1"/>
  <c r="BD64" i="1" s="1"/>
  <c r="BB13" i="1"/>
  <c r="BC10" i="1" s="1"/>
  <c r="BC12" i="1" s="1"/>
  <c r="BC13" i="1" s="1"/>
  <c r="BD10" i="1" s="1"/>
  <c r="BB11" i="1"/>
  <c r="AS53" i="1"/>
  <c r="AS54" i="1" s="1"/>
  <c r="U74" i="1"/>
  <c r="U43" i="1" l="1"/>
  <c r="U21" i="1"/>
  <c r="U22" i="1" s="1"/>
  <c r="BE62" i="1"/>
  <c r="BE63" i="1" s="1"/>
  <c r="BE64" i="1" s="1"/>
  <c r="BC11" i="1"/>
  <c r="BD12" i="1"/>
  <c r="BD13" i="1" s="1"/>
  <c r="BE10" i="1" s="1"/>
  <c r="AT52" i="1"/>
  <c r="V72" i="1"/>
  <c r="U44" i="1" l="1"/>
  <c r="U23" i="1"/>
  <c r="BF62" i="1"/>
  <c r="BF63" i="1" s="1"/>
  <c r="BF64" i="1" s="1"/>
  <c r="BE12" i="1"/>
  <c r="BE13" i="1" s="1"/>
  <c r="BF10" i="1" s="1"/>
  <c r="BD11" i="1"/>
  <c r="BE11" i="1" s="1"/>
  <c r="AT53" i="1"/>
  <c r="AA73" i="27"/>
  <c r="AA74" i="27" s="1"/>
  <c r="AB72" i="27" s="1"/>
  <c r="V73" i="1"/>
  <c r="V42" i="1" l="1"/>
  <c r="U24" i="1"/>
  <c r="BG62" i="1"/>
  <c r="BG63" i="1" s="1"/>
  <c r="BG64" i="1" s="1"/>
  <c r="BF12" i="1"/>
  <c r="BF13" i="1" s="1"/>
  <c r="BG10" i="1" s="1"/>
  <c r="AT54" i="1"/>
  <c r="AU52" i="1" s="1"/>
  <c r="AU53" i="1" s="1"/>
  <c r="V74" i="1"/>
  <c r="V43" i="1" l="1"/>
  <c r="V21" i="1"/>
  <c r="V22" i="1" s="1"/>
  <c r="BH62" i="1"/>
  <c r="BH63" i="1" s="1"/>
  <c r="BH64" i="1" s="1"/>
  <c r="BG12" i="1"/>
  <c r="BG13" i="1" s="1"/>
  <c r="BH10" i="1" s="1"/>
  <c r="BF11" i="1"/>
  <c r="BG11" i="1" s="1"/>
  <c r="AU54" i="1"/>
  <c r="AV52" i="1" s="1"/>
  <c r="AV53" i="1" s="1"/>
  <c r="W72" i="1"/>
  <c r="V44" i="1" l="1"/>
  <c r="V23" i="1"/>
  <c r="BI62" i="1"/>
  <c r="BI63" i="1" s="1"/>
  <c r="BI64" i="1" s="1"/>
  <c r="BH12" i="1"/>
  <c r="BH13" i="1" s="1"/>
  <c r="BI10" i="1" s="1"/>
  <c r="AV54" i="1"/>
  <c r="AW52" i="1" s="1"/>
  <c r="AW53" i="1" s="1"/>
  <c r="AB73" i="27"/>
  <c r="AB74" i="27" s="1"/>
  <c r="AC72" i="27" s="1"/>
  <c r="W73" i="1"/>
  <c r="W42" i="1" l="1"/>
  <c r="V24" i="1"/>
  <c r="BJ62" i="1"/>
  <c r="BJ63" i="1" s="1"/>
  <c r="BJ64" i="1" s="1"/>
  <c r="BI12" i="1"/>
  <c r="BI13" i="1" s="1"/>
  <c r="BJ10" i="1" s="1"/>
  <c r="BJ12" i="1" s="1"/>
  <c r="BH11" i="1"/>
  <c r="BI11" i="1" s="1"/>
  <c r="AW54" i="1"/>
  <c r="AX52" i="1" s="1"/>
  <c r="AX53" i="1" s="1"/>
  <c r="W74" i="1"/>
  <c r="W43" i="1" l="1"/>
  <c r="W21" i="1"/>
  <c r="W22" i="1" s="1"/>
  <c r="BJ11" i="1"/>
  <c r="BK62" i="1"/>
  <c r="BK63" i="1" s="1"/>
  <c r="BK64" i="1" s="1"/>
  <c r="BL62" i="1" s="1"/>
  <c r="BL63" i="1" s="1"/>
  <c r="BL64" i="1" s="1"/>
  <c r="BJ13" i="1"/>
  <c r="BK10" i="1" s="1"/>
  <c r="BK12" i="1" s="1"/>
  <c r="BK13" i="1" s="1"/>
  <c r="BL10" i="1" s="1"/>
  <c r="AX54" i="1"/>
  <c r="AY52" i="1" s="1"/>
  <c r="AY53" i="1" s="1"/>
  <c r="X72" i="1"/>
  <c r="W44" i="1" l="1"/>
  <c r="W23" i="1"/>
  <c r="BM62" i="1"/>
  <c r="BM63" i="1" s="1"/>
  <c r="BL12" i="1"/>
  <c r="BL13" i="1" s="1"/>
  <c r="BK11" i="1"/>
  <c r="BL11" i="1" s="1"/>
  <c r="AY54" i="1"/>
  <c r="AC73" i="27"/>
  <c r="AC74" i="27" s="1"/>
  <c r="AD72" i="27" s="1"/>
  <c r="X73" i="1"/>
  <c r="X42" i="1" l="1"/>
  <c r="W24" i="1"/>
  <c r="BX12" i="26"/>
  <c r="BY12" i="26" s="1"/>
  <c r="BM5" i="1" s="1"/>
  <c r="BM10" i="1" s="1"/>
  <c r="BM12" i="1" s="1"/>
  <c r="BM13" i="1" s="1"/>
  <c r="BN10" i="1" s="1"/>
  <c r="BN12" i="1" s="1"/>
  <c r="BN13" i="1" s="1"/>
  <c r="BO10" i="1" s="1"/>
  <c r="BO12" i="1" s="1"/>
  <c r="BO13" i="1" s="1"/>
  <c r="BP10" i="1" s="1"/>
  <c r="BP12" i="1" s="1"/>
  <c r="BP13" i="1" s="1"/>
  <c r="BQ10" i="1" s="1"/>
  <c r="BQ12" i="1" s="1"/>
  <c r="BQ13" i="1" s="1"/>
  <c r="BR10" i="1" s="1"/>
  <c r="BR12" i="1" s="1"/>
  <c r="BR13" i="1" s="1"/>
  <c r="BS10" i="1" s="1"/>
  <c r="BS12" i="1" s="1"/>
  <c r="BS13" i="1" s="1"/>
  <c r="BT10" i="1" s="1"/>
  <c r="BT12" i="1" s="1"/>
  <c r="BT13" i="1" s="1"/>
  <c r="BU10" i="1" s="1"/>
  <c r="BU12" i="1" s="1"/>
  <c r="BU13" i="1" s="1"/>
  <c r="BV10" i="1" s="1"/>
  <c r="BV12" i="1" s="1"/>
  <c r="BV13" i="1" s="1"/>
  <c r="BW10" i="1" s="1"/>
  <c r="BW12" i="1" s="1"/>
  <c r="BW13" i="1" s="1"/>
  <c r="BX10" i="1" s="1"/>
  <c r="BX12" i="1" s="1"/>
  <c r="BX13" i="1" s="1"/>
  <c r="BY10" i="1" s="1"/>
  <c r="BY12" i="1" s="1"/>
  <c r="BY13" i="1" s="1"/>
  <c r="BZ10" i="1" s="1"/>
  <c r="BZ12" i="1" s="1"/>
  <c r="BZ13" i="1" s="1"/>
  <c r="CA10" i="1" s="1"/>
  <c r="CA12" i="1" s="1"/>
  <c r="CA13" i="1" s="1"/>
  <c r="CB10" i="1" s="1"/>
  <c r="CB12" i="1" s="1"/>
  <c r="CB13" i="1" s="1"/>
  <c r="CC10" i="1" s="1"/>
  <c r="BM64" i="1"/>
  <c r="BN62" i="1" s="1"/>
  <c r="BN63" i="1" s="1"/>
  <c r="BN64" i="1" s="1"/>
  <c r="BO62" i="1" s="1"/>
  <c r="BO63" i="1" s="1"/>
  <c r="BO64" i="1" s="1"/>
  <c r="BP62" i="1" s="1"/>
  <c r="BP63" i="1" s="1"/>
  <c r="BP64" i="1" s="1"/>
  <c r="BQ62" i="1" s="1"/>
  <c r="BQ63" i="1" s="1"/>
  <c r="BQ64" i="1" s="1"/>
  <c r="AZ52" i="1"/>
  <c r="AZ53" i="1" s="1"/>
  <c r="AZ54" i="1" s="1"/>
  <c r="X74" i="1"/>
  <c r="CC12" i="1" l="1"/>
  <c r="CC13" i="1" s="1"/>
  <c r="CD10" i="1" s="1"/>
  <c r="CD12" i="1" s="1"/>
  <c r="CD13" i="1" s="1"/>
  <c r="CE10" i="1" s="1"/>
  <c r="CE12" i="1" s="1"/>
  <c r="CE13" i="1" s="1"/>
  <c r="CF10" i="1" s="1"/>
  <c r="CF12" i="1" s="1"/>
  <c r="CF13" i="1" s="1"/>
  <c r="CG10" i="1" s="1"/>
  <c r="CG12" i="1" s="1"/>
  <c r="CG13" i="1" s="1"/>
  <c r="CH10" i="1" s="1"/>
  <c r="CH12" i="1" s="1"/>
  <c r="CH13" i="1" s="1"/>
  <c r="CI10" i="1" s="1"/>
  <c r="CI12" i="1" s="1"/>
  <c r="CI13" i="1" s="1"/>
  <c r="X43" i="1"/>
  <c r="X21" i="1"/>
  <c r="X22" i="1" s="1"/>
  <c r="BR62" i="1"/>
  <c r="BR63" i="1" s="1"/>
  <c r="BR64" i="1" s="1"/>
  <c r="BM11" i="1"/>
  <c r="BN11" i="1" s="1"/>
  <c r="BO11" i="1" s="1"/>
  <c r="BP11" i="1" s="1"/>
  <c r="BQ11" i="1" s="1"/>
  <c r="BR11" i="1" s="1"/>
  <c r="BS11" i="1" s="1"/>
  <c r="BT11" i="1" s="1"/>
  <c r="BU11" i="1" s="1"/>
  <c r="BV11" i="1" s="1"/>
  <c r="BW11" i="1" s="1"/>
  <c r="BX11" i="1" s="1"/>
  <c r="BY11" i="1" s="1"/>
  <c r="BZ11" i="1" s="1"/>
  <c r="CA11" i="1" s="1"/>
  <c r="CB11" i="1" s="1"/>
  <c r="CC11" i="1" s="1"/>
  <c r="CD11" i="1" s="1"/>
  <c r="CE11" i="1" s="1"/>
  <c r="CF11" i="1" s="1"/>
  <c r="CG11" i="1" s="1"/>
  <c r="CH11" i="1" s="1"/>
  <c r="CI11" i="1" s="1"/>
  <c r="BA52" i="1"/>
  <c r="BA53" i="1" s="1"/>
  <c r="BA54" i="1" s="1"/>
  <c r="Y72" i="1"/>
  <c r="X44" i="1" l="1"/>
  <c r="X23" i="1"/>
  <c r="BS62" i="1"/>
  <c r="BS63" i="1" s="1"/>
  <c r="BS64" i="1" s="1"/>
  <c r="BB52" i="1"/>
  <c r="BB53" i="1" s="1"/>
  <c r="BB54" i="1" s="1"/>
  <c r="AD73" i="27"/>
  <c r="AD74" i="27" s="1"/>
  <c r="AE72" i="27" s="1"/>
  <c r="Y73" i="1"/>
  <c r="Y42" i="1" l="1"/>
  <c r="X24" i="1"/>
  <c r="BT62" i="1"/>
  <c r="BT63" i="1" s="1"/>
  <c r="BT64" i="1" s="1"/>
  <c r="BC52" i="1"/>
  <c r="BC53" i="1" s="1"/>
  <c r="BC54" i="1" s="1"/>
  <c r="Y74" i="1"/>
  <c r="Y43" i="1" l="1"/>
  <c r="Y21" i="1"/>
  <c r="Y22" i="1" s="1"/>
  <c r="BU62" i="1"/>
  <c r="BU63" i="1" s="1"/>
  <c r="BU64" i="1" s="1"/>
  <c r="BD52" i="1"/>
  <c r="BD53" i="1" s="1"/>
  <c r="BD54" i="1" s="1"/>
  <c r="Z72" i="1"/>
  <c r="Y44" i="1" l="1"/>
  <c r="Y23" i="1"/>
  <c r="BV62" i="1"/>
  <c r="BV63" i="1" s="1"/>
  <c r="BV64" i="1" s="1"/>
  <c r="BE52" i="1"/>
  <c r="BE53" i="1" s="1"/>
  <c r="BE54" i="1" s="1"/>
  <c r="AE73" i="27"/>
  <c r="AE74" i="27" s="1"/>
  <c r="AF72" i="27" s="1"/>
  <c r="Z73" i="1"/>
  <c r="Z42" i="1" l="1"/>
  <c r="Y24" i="1"/>
  <c r="BW62" i="1"/>
  <c r="BW63" i="1" s="1"/>
  <c r="BW64" i="1" s="1"/>
  <c r="BX62" i="1" s="1"/>
  <c r="BX63" i="1" s="1"/>
  <c r="BX64" i="1" s="1"/>
  <c r="BY62" i="1" s="1"/>
  <c r="BY63" i="1" s="1"/>
  <c r="BY64" i="1" s="1"/>
  <c r="BZ62" i="1" s="1"/>
  <c r="BZ63" i="1" s="1"/>
  <c r="BZ64" i="1" s="1"/>
  <c r="CA62" i="1" s="1"/>
  <c r="CA63" i="1" s="1"/>
  <c r="CA64" i="1" s="1"/>
  <c r="CB62" i="1" s="1"/>
  <c r="CB63" i="1" s="1"/>
  <c r="CB64" i="1" s="1"/>
  <c r="CC62" i="1" s="1"/>
  <c r="CC63" i="1" s="1"/>
  <c r="CC64" i="1" s="1"/>
  <c r="CD62" i="1" s="1"/>
  <c r="CD63" i="1" s="1"/>
  <c r="CD64" i="1" s="1"/>
  <c r="CE62" i="1" s="1"/>
  <c r="CE63" i="1" s="1"/>
  <c r="CE64" i="1" s="1"/>
  <c r="AF73" i="27"/>
  <c r="BF52" i="1"/>
  <c r="BF53" i="1" s="1"/>
  <c r="BF54" i="1" s="1"/>
  <c r="Z74" i="1"/>
  <c r="Z43" i="1" l="1"/>
  <c r="Z21" i="1"/>
  <c r="Z22" i="1" s="1"/>
  <c r="CF62" i="1"/>
  <c r="CF63" i="1" s="1"/>
  <c r="CF64" i="1" s="1"/>
  <c r="AF74" i="27"/>
  <c r="BG52" i="1"/>
  <c r="BG53" i="1" s="1"/>
  <c r="BG54" i="1" s="1"/>
  <c r="AA72" i="1"/>
  <c r="Z44" i="1" l="1"/>
  <c r="Z23" i="1"/>
  <c r="AG72" i="27"/>
  <c r="BH52" i="1"/>
  <c r="BH53" i="1" s="1"/>
  <c r="BH54" i="1" s="1"/>
  <c r="AA73" i="1"/>
  <c r="AA42" i="1" l="1"/>
  <c r="Z24" i="1"/>
  <c r="AG73" i="27"/>
  <c r="BI52" i="1"/>
  <c r="BI53" i="1" s="1"/>
  <c r="BI54" i="1" s="1"/>
  <c r="AA74" i="1"/>
  <c r="AA43" i="1" l="1"/>
  <c r="AA21" i="1"/>
  <c r="AA22" i="1" s="1"/>
  <c r="AG74" i="27"/>
  <c r="BJ52" i="1"/>
  <c r="BJ53" i="1" s="1"/>
  <c r="BJ54" i="1" s="1"/>
  <c r="AB72" i="1"/>
  <c r="AA44" i="1" l="1"/>
  <c r="AA23" i="1"/>
  <c r="AH72" i="27"/>
  <c r="BK52" i="1"/>
  <c r="BK53" i="1" s="1"/>
  <c r="BK54" i="1" s="1"/>
  <c r="BL52" i="1" s="1"/>
  <c r="BL53" i="1" s="1"/>
  <c r="BL54" i="1" s="1"/>
  <c r="AB73" i="1"/>
  <c r="AB42" i="1" l="1"/>
  <c r="AA24" i="1"/>
  <c r="AH73" i="27"/>
  <c r="BM52" i="1"/>
  <c r="BM53" i="1" s="1"/>
  <c r="BM54" i="1" s="1"/>
  <c r="BN52" i="1" s="1"/>
  <c r="BN53" i="1" s="1"/>
  <c r="BN54" i="1" s="1"/>
  <c r="AB74" i="1"/>
  <c r="AB43" i="1" l="1"/>
  <c r="AB21" i="1"/>
  <c r="AB22" i="1" s="1"/>
  <c r="AH74" i="27"/>
  <c r="AI72" i="27" s="1"/>
  <c r="BO52" i="1"/>
  <c r="BO53" i="1" s="1"/>
  <c r="BO54" i="1" s="1"/>
  <c r="BP52" i="1" s="1"/>
  <c r="BP53" i="1" s="1"/>
  <c r="BP54" i="1" s="1"/>
  <c r="BQ52" i="1" s="1"/>
  <c r="BQ53" i="1" s="1"/>
  <c r="BQ54" i="1" s="1"/>
  <c r="AC72" i="1"/>
  <c r="AB44" i="1" l="1"/>
  <c r="AB23" i="1"/>
  <c r="AI73" i="27"/>
  <c r="BR52" i="1"/>
  <c r="BR53" i="1" s="1"/>
  <c r="BR54" i="1" s="1"/>
  <c r="AC73" i="1"/>
  <c r="AC42" i="1" l="1"/>
  <c r="AB24" i="1"/>
  <c r="AI74" i="27"/>
  <c r="AJ72" i="27" s="1"/>
  <c r="BS52" i="1"/>
  <c r="BS53" i="1" s="1"/>
  <c r="BS54" i="1" s="1"/>
  <c r="AC74" i="1"/>
  <c r="AC43" i="1" l="1"/>
  <c r="AC21" i="1"/>
  <c r="AC22" i="1" s="1"/>
  <c r="AJ73" i="27"/>
  <c r="BT52" i="1"/>
  <c r="BT53" i="1" s="1"/>
  <c r="BT54" i="1" s="1"/>
  <c r="AD72" i="1"/>
  <c r="AC44" i="1" l="1"/>
  <c r="AC23" i="1"/>
  <c r="AJ74" i="27"/>
  <c r="AK72" i="27" s="1"/>
  <c r="AK73" i="27" s="1"/>
  <c r="AK74" i="27" s="1"/>
  <c r="AL72" i="27" s="1"/>
  <c r="BU52" i="1"/>
  <c r="BU53" i="1" s="1"/>
  <c r="BU54" i="1" s="1"/>
  <c r="AD73" i="1"/>
  <c r="AD42" i="1" l="1"/>
  <c r="AC24" i="1"/>
  <c r="AL73" i="27"/>
  <c r="BV52" i="1"/>
  <c r="BV53" i="1" s="1"/>
  <c r="BV54" i="1" s="1"/>
  <c r="AD74" i="1"/>
  <c r="AD43" i="1" l="1"/>
  <c r="AD21" i="1"/>
  <c r="AD22" i="1" s="1"/>
  <c r="AL74" i="27"/>
  <c r="AM72" i="27" s="1"/>
  <c r="BW52" i="1"/>
  <c r="BW53" i="1" s="1"/>
  <c r="BW54" i="1" s="1"/>
  <c r="BX52" i="1" s="1"/>
  <c r="BX53" i="1" s="1"/>
  <c r="BX54" i="1" s="1"/>
  <c r="BY52" i="1" s="1"/>
  <c r="BY53" i="1" s="1"/>
  <c r="BY54" i="1" s="1"/>
  <c r="BZ52" i="1" s="1"/>
  <c r="BZ53" i="1" s="1"/>
  <c r="BZ54" i="1" s="1"/>
  <c r="CA52" i="1" s="1"/>
  <c r="CA53" i="1" s="1"/>
  <c r="CA54" i="1" s="1"/>
  <c r="CB52" i="1" s="1"/>
  <c r="CB53" i="1" s="1"/>
  <c r="CB54" i="1" s="1"/>
  <c r="CC52" i="1" s="1"/>
  <c r="CC53" i="1" s="1"/>
  <c r="CC54" i="1" s="1"/>
  <c r="CD52" i="1" s="1"/>
  <c r="CD53" i="1" s="1"/>
  <c r="CD54" i="1" s="1"/>
  <c r="CE52" i="1" s="1"/>
  <c r="CE53" i="1" s="1"/>
  <c r="CE54" i="1" s="1"/>
  <c r="AE72" i="1"/>
  <c r="AD44" i="1" l="1"/>
  <c r="AD23" i="1"/>
  <c r="CF52" i="1"/>
  <c r="CF53" i="1" s="1"/>
  <c r="CF54" i="1" s="1"/>
  <c r="AM73" i="27"/>
  <c r="AE73" i="1"/>
  <c r="AE42" i="1" l="1"/>
  <c r="AD24" i="1"/>
  <c r="AM74" i="27"/>
  <c r="AN72" i="27" s="1"/>
  <c r="AE74" i="1"/>
  <c r="AF72" i="1" s="1"/>
  <c r="AE43" i="1" l="1"/>
  <c r="AE21" i="1"/>
  <c r="AE22" i="1" s="1"/>
  <c r="AN73" i="27"/>
  <c r="AF73" i="1"/>
  <c r="AE44" i="1" l="1"/>
  <c r="AE23" i="1"/>
  <c r="AN74" i="27"/>
  <c r="AO72" i="27" s="1"/>
  <c r="AF74" i="1"/>
  <c r="AG72" i="1" s="1"/>
  <c r="AG73" i="1" s="1"/>
  <c r="AF42" i="1" l="1"/>
  <c r="AE24" i="1"/>
  <c r="AO73" i="27"/>
  <c r="AG74" i="1"/>
  <c r="AH72" i="1" s="1"/>
  <c r="AF43" i="1" l="1"/>
  <c r="AF21" i="1"/>
  <c r="AF22" i="1" s="1"/>
  <c r="AO74" i="27"/>
  <c r="AP72" i="27" s="1"/>
  <c r="AH73" i="1"/>
  <c r="AF44" i="1" l="1"/>
  <c r="AF23" i="1"/>
  <c r="AP73" i="27"/>
  <c r="AH74" i="1"/>
  <c r="AI72" i="1" s="1"/>
  <c r="AI73" i="1" s="1"/>
  <c r="AG42" i="1" l="1"/>
  <c r="AF24" i="1"/>
  <c r="AP74" i="27"/>
  <c r="AQ72" i="27" s="1"/>
  <c r="AI74" i="1"/>
  <c r="AG43" i="1" l="1"/>
  <c r="AG21" i="1"/>
  <c r="AG22" i="1" s="1"/>
  <c r="AQ73" i="27"/>
  <c r="AJ72" i="1"/>
  <c r="AG44" i="1" l="1"/>
  <c r="AG23" i="1"/>
  <c r="AQ74" i="27"/>
  <c r="AR72" i="27" s="1"/>
  <c r="AJ73" i="1"/>
  <c r="AH42" i="1" l="1"/>
  <c r="AG24" i="1"/>
  <c r="AR73" i="27"/>
  <c r="AJ74" i="1"/>
  <c r="AH43" i="1" l="1"/>
  <c r="AH21" i="1"/>
  <c r="AH22" i="1" s="1"/>
  <c r="AR74" i="27"/>
  <c r="AS72" i="27" s="1"/>
  <c r="AK72" i="1"/>
  <c r="AH44" i="1" l="1"/>
  <c r="AH23" i="1"/>
  <c r="AS73" i="27"/>
  <c r="AK73" i="1"/>
  <c r="AI42" i="1" l="1"/>
  <c r="AH24" i="1"/>
  <c r="AS74" i="27"/>
  <c r="AT72" i="27" s="1"/>
  <c r="AK74" i="1"/>
  <c r="AI43" i="1" l="1"/>
  <c r="AI21" i="1"/>
  <c r="AI22" i="1" s="1"/>
  <c r="AT73" i="27"/>
  <c r="AL72" i="1"/>
  <c r="AI44" i="1" l="1"/>
  <c r="AI23" i="1"/>
  <c r="AT74" i="27"/>
  <c r="AU72" i="27" s="1"/>
  <c r="AL73" i="1"/>
  <c r="AJ42" i="1" l="1"/>
  <c r="AI24" i="1"/>
  <c r="AU73" i="27"/>
  <c r="AL74" i="1"/>
  <c r="AM72" i="1" s="1"/>
  <c r="AJ43" i="1" l="1"/>
  <c r="AJ21" i="1"/>
  <c r="AJ22" i="1" s="1"/>
  <c r="AU74" i="27"/>
  <c r="AV72" i="27" s="1"/>
  <c r="AM73" i="1"/>
  <c r="AJ44" i="1" l="1"/>
  <c r="AJ23" i="1"/>
  <c r="AV73" i="27"/>
  <c r="AM74" i="1"/>
  <c r="AN72" i="1" s="1"/>
  <c r="AN73" i="1" s="1"/>
  <c r="AK42" i="1" l="1"/>
  <c r="AJ24" i="1"/>
  <c r="AV74" i="27"/>
  <c r="AN74" i="1"/>
  <c r="AK43" i="1" l="1"/>
  <c r="AK21" i="1"/>
  <c r="AK22" i="1" s="1"/>
  <c r="AW72" i="27"/>
  <c r="AO72" i="1"/>
  <c r="AK44" i="1" l="1"/>
  <c r="AK23" i="1"/>
  <c r="AW73" i="27"/>
  <c r="AO73" i="1"/>
  <c r="AL42" i="1" l="1"/>
  <c r="AK24" i="1"/>
  <c r="AW74" i="27"/>
  <c r="AO74" i="1"/>
  <c r="AL43" i="1" l="1"/>
  <c r="AL21" i="1"/>
  <c r="AL22" i="1" s="1"/>
  <c r="AP72" i="1"/>
  <c r="AL44" i="1" l="1"/>
  <c r="AL23" i="1"/>
  <c r="AP73" i="1"/>
  <c r="AM42" i="1" l="1"/>
  <c r="AL24" i="1"/>
  <c r="AP74" i="1"/>
  <c r="AM43" i="1" l="1"/>
  <c r="AM21" i="1"/>
  <c r="AM22" i="1" s="1"/>
  <c r="AQ72" i="1"/>
  <c r="AM44" i="1" l="1"/>
  <c r="AM23" i="1"/>
  <c r="AQ73" i="1"/>
  <c r="AN42" i="1" l="1"/>
  <c r="AM24" i="1"/>
  <c r="AQ74" i="1"/>
  <c r="E12" i="27"/>
  <c r="E13" i="27" s="1"/>
  <c r="F10" i="27" s="1"/>
  <c r="AN43" i="1" l="1"/>
  <c r="AN21" i="1"/>
  <c r="AN22" i="1" s="1"/>
  <c r="AR72" i="1"/>
  <c r="E11" i="27"/>
  <c r="AN44" i="1" l="1"/>
  <c r="AN23" i="1"/>
  <c r="AR73" i="1"/>
  <c r="F12" i="27"/>
  <c r="F11" i="27"/>
  <c r="AO42" i="1" l="1"/>
  <c r="AN24" i="1"/>
  <c r="AR74" i="1"/>
  <c r="F13" i="27"/>
  <c r="G10" i="27" s="1"/>
  <c r="AO43" i="1" l="1"/>
  <c r="AO21" i="1"/>
  <c r="AO22" i="1" s="1"/>
  <c r="AS72" i="1"/>
  <c r="G12" i="27"/>
  <c r="G13" i="27" s="1"/>
  <c r="H10" i="27" s="1"/>
  <c r="G11" i="27"/>
  <c r="AO44" i="1" l="1"/>
  <c r="AO23" i="1"/>
  <c r="AS73" i="1"/>
  <c r="H12" i="27"/>
  <c r="H13" i="27" s="1"/>
  <c r="I10" i="27" s="1"/>
  <c r="AP42" i="1" l="1"/>
  <c r="AO24" i="1"/>
  <c r="AS74" i="1"/>
  <c r="I12" i="27"/>
  <c r="I13" i="27" s="1"/>
  <c r="J10" i="27" s="1"/>
  <c r="H11" i="27"/>
  <c r="I11" i="27" s="1"/>
  <c r="AP43" i="1" l="1"/>
  <c r="AP21" i="1"/>
  <c r="AP22" i="1" s="1"/>
  <c r="AT72" i="1"/>
  <c r="J12" i="27"/>
  <c r="J13" i="27" s="1"/>
  <c r="K10" i="27" s="1"/>
  <c r="AP44" i="1" l="1"/>
  <c r="AP23" i="1"/>
  <c r="AT73" i="1"/>
  <c r="J11" i="27"/>
  <c r="K12" i="27"/>
  <c r="K13" i="27" s="1"/>
  <c r="AQ42" i="1" l="1"/>
  <c r="AP24" i="1"/>
  <c r="AT74" i="1"/>
  <c r="L10" i="27"/>
  <c r="L12" i="27" s="1"/>
  <c r="L13" i="27" s="1"/>
  <c r="M10" i="27" s="1"/>
  <c r="M12" i="27" s="1"/>
  <c r="M13" i="27" s="1"/>
  <c r="K11" i="27"/>
  <c r="AQ43" i="1" l="1"/>
  <c r="AQ21" i="1"/>
  <c r="AQ22" i="1" s="1"/>
  <c r="AU72" i="1"/>
  <c r="L11" i="27"/>
  <c r="M11" i="27" s="1"/>
  <c r="N10" i="27"/>
  <c r="N12" i="27" s="1"/>
  <c r="N13" i="27" s="1"/>
  <c r="AQ44" i="1" l="1"/>
  <c r="AQ23" i="1"/>
  <c r="AU73" i="1"/>
  <c r="O10" i="27"/>
  <c r="O12" i="27" s="1"/>
  <c r="O13" i="27" s="1"/>
  <c r="N11" i="27"/>
  <c r="AR42" i="1" l="1"/>
  <c r="AQ24" i="1"/>
  <c r="O11" i="27"/>
  <c r="AU74" i="1"/>
  <c r="P10" i="27"/>
  <c r="P12" i="27" s="1"/>
  <c r="P13" i="27" s="1"/>
  <c r="AR43" i="1" l="1"/>
  <c r="AR21" i="1"/>
  <c r="AR22" i="1" s="1"/>
  <c r="AS38" i="26" s="1"/>
  <c r="AT38" i="26" s="1"/>
  <c r="AV72" i="1"/>
  <c r="Q10" i="27"/>
  <c r="Q12" i="27" s="1"/>
  <c r="Q13" i="27" s="1"/>
  <c r="P11" i="27"/>
  <c r="AS26" i="1" l="1"/>
  <c r="AS32" i="1" s="1"/>
  <c r="AS33" i="1" s="1"/>
  <c r="AS34" i="1" s="1"/>
  <c r="AT32" i="1" s="1"/>
  <c r="AT33" i="1" s="1"/>
  <c r="AT34" i="1" s="1"/>
  <c r="AU32" i="1" s="1"/>
  <c r="AU33" i="1" s="1"/>
  <c r="AU34" i="1" s="1"/>
  <c r="AV32" i="1" s="1"/>
  <c r="AV33" i="1" s="1"/>
  <c r="AV34" i="1" s="1"/>
  <c r="AW32" i="1" s="1"/>
  <c r="AW33" i="1" s="1"/>
  <c r="AW34" i="1" s="1"/>
  <c r="AX32" i="1" s="1"/>
  <c r="AX33" i="1" s="1"/>
  <c r="AX34" i="1" s="1"/>
  <c r="AY32" i="1" s="1"/>
  <c r="AY33" i="1" s="1"/>
  <c r="AY34" i="1" s="1"/>
  <c r="AZ32" i="1" s="1"/>
  <c r="AZ33" i="1" s="1"/>
  <c r="AZ34" i="1" s="1"/>
  <c r="BA32" i="1" s="1"/>
  <c r="BA33" i="1" s="1"/>
  <c r="BA34" i="1" s="1"/>
  <c r="BB32" i="1" s="1"/>
  <c r="BB33" i="1" s="1"/>
  <c r="BB34" i="1" s="1"/>
  <c r="BC32" i="1" s="1"/>
  <c r="BC33" i="1" s="1"/>
  <c r="AS15" i="1"/>
  <c r="AR44" i="1"/>
  <c r="AR23" i="1"/>
  <c r="Q11" i="27"/>
  <c r="AV73" i="1"/>
  <c r="R10" i="27"/>
  <c r="R12" i="27" s="1"/>
  <c r="R13" i="27" s="1"/>
  <c r="AS42" i="1" l="1"/>
  <c r="AR24" i="1"/>
  <c r="BC34" i="1"/>
  <c r="AV74" i="1"/>
  <c r="AW72" i="1" s="1"/>
  <c r="S10" i="27"/>
  <c r="S12" i="27" s="1"/>
  <c r="S13" i="27" s="1"/>
  <c r="R11" i="27"/>
  <c r="AS43" i="1" l="1"/>
  <c r="AS21" i="1"/>
  <c r="AS22" i="1" s="1"/>
  <c r="BD32" i="1"/>
  <c r="BD33" i="1" s="1"/>
  <c r="BD34" i="1" s="1"/>
  <c r="AW73" i="1"/>
  <c r="S11" i="27"/>
  <c r="T10" i="27"/>
  <c r="AS44" i="1" l="1"/>
  <c r="AS23" i="1"/>
  <c r="BE32" i="1"/>
  <c r="BE33" i="1" s="1"/>
  <c r="BE34" i="1" s="1"/>
  <c r="AW74" i="1"/>
  <c r="AX72" i="1" s="1"/>
  <c r="T11" i="27"/>
  <c r="T12" i="27"/>
  <c r="T13" i="27" s="1"/>
  <c r="U10" i="27" s="1"/>
  <c r="U12" i="27" s="1"/>
  <c r="U13" i="27" s="1"/>
  <c r="AT42" i="1" l="1"/>
  <c r="AS24" i="1"/>
  <c r="BF32" i="1"/>
  <c r="BF33" i="1" s="1"/>
  <c r="BF34" i="1" s="1"/>
  <c r="AX73" i="1"/>
  <c r="U11" i="27"/>
  <c r="V10" i="27"/>
  <c r="V12" i="27" s="1"/>
  <c r="V13" i="27" s="1"/>
  <c r="AT43" i="1" l="1"/>
  <c r="AT21" i="1"/>
  <c r="AT22" i="1" s="1"/>
  <c r="BG32" i="1"/>
  <c r="BG33" i="1" s="1"/>
  <c r="BG34" i="1" s="1"/>
  <c r="AX74" i="1"/>
  <c r="AY72" i="1" s="1"/>
  <c r="W10" i="27"/>
  <c r="W12" i="27" s="1"/>
  <c r="W13" i="27" s="1"/>
  <c r="V11" i="27"/>
  <c r="AT44" i="1" l="1"/>
  <c r="AT23" i="1"/>
  <c r="BH32" i="1"/>
  <c r="BH33" i="1" s="1"/>
  <c r="BH34" i="1" s="1"/>
  <c r="AY73" i="1"/>
  <c r="W11" i="27"/>
  <c r="X10" i="27"/>
  <c r="X12" i="27" s="1"/>
  <c r="X13" i="27" s="1"/>
  <c r="AU42" i="1" l="1"/>
  <c r="AT24" i="1"/>
  <c r="AY74" i="1"/>
  <c r="AZ72" i="1" s="1"/>
  <c r="BI32" i="1"/>
  <c r="BI33" i="1" s="1"/>
  <c r="BI34" i="1" s="1"/>
  <c r="Y10" i="27"/>
  <c r="Y12" i="27" s="1"/>
  <c r="Y13" i="27" s="1"/>
  <c r="X11" i="27"/>
  <c r="AU43" i="1" l="1"/>
  <c r="AU21" i="1"/>
  <c r="AU22" i="1" s="1"/>
  <c r="AZ73" i="1"/>
  <c r="BJ32" i="1"/>
  <c r="BJ33" i="1" s="1"/>
  <c r="BJ34" i="1" s="1"/>
  <c r="Y11" i="27"/>
  <c r="Z10" i="27"/>
  <c r="Z12" i="27" s="1"/>
  <c r="Z13" i="27" s="1"/>
  <c r="AA10" i="27" s="1"/>
  <c r="AU44" i="1" l="1"/>
  <c r="AU23" i="1"/>
  <c r="AZ74" i="1"/>
  <c r="BA72" i="1" s="1"/>
  <c r="BK32" i="1"/>
  <c r="BK33" i="1" s="1"/>
  <c r="BK34" i="1" s="1"/>
  <c r="BL32" i="1" s="1"/>
  <c r="BL33" i="1" s="1"/>
  <c r="BL34" i="1" s="1"/>
  <c r="AA12" i="27"/>
  <c r="AA13" i="27" s="1"/>
  <c r="AB10" i="27" s="1"/>
  <c r="Z11" i="27"/>
  <c r="AV42" i="1" l="1"/>
  <c r="AU24" i="1"/>
  <c r="BA73" i="1"/>
  <c r="BA74" i="1" s="1"/>
  <c r="BB72" i="1" s="1"/>
  <c r="BM32" i="1"/>
  <c r="BM33" i="1" s="1"/>
  <c r="BM34" i="1" s="1"/>
  <c r="BN32" i="1" s="1"/>
  <c r="BN33" i="1" s="1"/>
  <c r="BN34" i="1" s="1"/>
  <c r="BO32" i="1" s="1"/>
  <c r="BO33" i="1" s="1"/>
  <c r="BO34" i="1" s="1"/>
  <c r="BP32" i="1" s="1"/>
  <c r="BP33" i="1" s="1"/>
  <c r="BP34" i="1" s="1"/>
  <c r="BQ32" i="1" s="1"/>
  <c r="BQ33" i="1" s="1"/>
  <c r="BQ34" i="1" s="1"/>
  <c r="AA11" i="27"/>
  <c r="AB12" i="27"/>
  <c r="AV43" i="1" l="1"/>
  <c r="AV21" i="1"/>
  <c r="AV22" i="1" s="1"/>
  <c r="BR32" i="1"/>
  <c r="BR33" i="1" s="1"/>
  <c r="BR34" i="1" s="1"/>
  <c r="AB13" i="27"/>
  <c r="AC10" i="27" s="1"/>
  <c r="BB73" i="1"/>
  <c r="AB11" i="27"/>
  <c r="AV44" i="1" l="1"/>
  <c r="AV23" i="1"/>
  <c r="BS32" i="1"/>
  <c r="BS33" i="1" s="1"/>
  <c r="BS34" i="1" s="1"/>
  <c r="AC12" i="27"/>
  <c r="AC13" i="27" s="1"/>
  <c r="BB74" i="1"/>
  <c r="BC72" i="1" s="1"/>
  <c r="BC73" i="1" s="1"/>
  <c r="AC11" i="27"/>
  <c r="BD12" i="29" s="1"/>
  <c r="BE12" i="29" s="1"/>
  <c r="AD10" i="27" l="1"/>
  <c r="AD12" i="27" s="1"/>
  <c r="AD13" i="27" s="1"/>
  <c r="AE10" i="27" s="1"/>
  <c r="BN20" i="29"/>
  <c r="BN21" i="29" s="1"/>
  <c r="BO21" i="29" s="1"/>
  <c r="BP21" i="29" s="1"/>
  <c r="BQ21" i="29" s="1"/>
  <c r="BR21" i="29" s="1"/>
  <c r="BS21" i="29" s="1"/>
  <c r="BT21" i="29" s="1"/>
  <c r="BU21" i="29" s="1"/>
  <c r="AD5" i="27"/>
  <c r="AW42" i="1"/>
  <c r="AV24" i="1"/>
  <c r="BT32" i="1"/>
  <c r="BT33" i="1" s="1"/>
  <c r="BT34" i="1" s="1"/>
  <c r="BC74" i="1"/>
  <c r="BD72" i="1" s="1"/>
  <c r="AD11" i="27" l="1"/>
  <c r="AW43" i="1"/>
  <c r="AW21" i="1"/>
  <c r="AW22" i="1" s="1"/>
  <c r="BU32" i="1"/>
  <c r="BU33" i="1" s="1"/>
  <c r="BU34" i="1" s="1"/>
  <c r="AE12" i="27"/>
  <c r="BD73" i="1"/>
  <c r="AE11" i="27"/>
  <c r="AW44" i="1" l="1"/>
  <c r="AW23" i="1"/>
  <c r="BV32" i="1"/>
  <c r="BV33" i="1" s="1"/>
  <c r="BV34" i="1" s="1"/>
  <c r="AE13" i="27"/>
  <c r="BD74" i="1"/>
  <c r="AX42" i="1" l="1"/>
  <c r="AW24" i="1"/>
  <c r="BW32" i="1"/>
  <c r="BW33" i="1" s="1"/>
  <c r="BW34" i="1" s="1"/>
  <c r="BX32" i="1" s="1"/>
  <c r="BX33" i="1" s="1"/>
  <c r="BX34" i="1" s="1"/>
  <c r="BY32" i="1" s="1"/>
  <c r="BY33" i="1" s="1"/>
  <c r="BY34" i="1" s="1"/>
  <c r="AF10" i="27"/>
  <c r="BE72" i="1"/>
  <c r="AX43" i="1" l="1"/>
  <c r="AX21" i="1"/>
  <c r="AX22" i="1" s="1"/>
  <c r="BZ32" i="1"/>
  <c r="BZ33" i="1" s="1"/>
  <c r="BZ34" i="1" s="1"/>
  <c r="CA32" i="1" s="1"/>
  <c r="CA33" i="1" s="1"/>
  <c r="CA34" i="1" s="1"/>
  <c r="CB32" i="1" s="1"/>
  <c r="CB33" i="1" s="1"/>
  <c r="CB34" i="1" s="1"/>
  <c r="CC32" i="1" s="1"/>
  <c r="CC33" i="1" s="1"/>
  <c r="AF12" i="27"/>
  <c r="AF13" i="27" s="1"/>
  <c r="AG10" i="27" s="1"/>
  <c r="AF11" i="27"/>
  <c r="BE73" i="1"/>
  <c r="AX44" i="1" l="1"/>
  <c r="AX23" i="1"/>
  <c r="CC34" i="1"/>
  <c r="CD32" i="1" s="1"/>
  <c r="CD33" i="1" s="1"/>
  <c r="CD34" i="1" s="1"/>
  <c r="CE32" i="1" s="1"/>
  <c r="CE33" i="1" s="1"/>
  <c r="CE34" i="1" s="1"/>
  <c r="AG12" i="27"/>
  <c r="AG11" i="27"/>
  <c r="BE74" i="1"/>
  <c r="AY42" i="1" l="1"/>
  <c r="AX24" i="1"/>
  <c r="CF32" i="1"/>
  <c r="CF33" i="1" s="1"/>
  <c r="CF34" i="1" s="1"/>
  <c r="AG13" i="27"/>
  <c r="AH10" i="27" s="1"/>
  <c r="AH12" i="27" s="1"/>
  <c r="AH13" i="27" s="1"/>
  <c r="AI10" i="27" s="1"/>
  <c r="AI12" i="27" s="1"/>
  <c r="AI13" i="27" s="1"/>
  <c r="AJ10" i="27" s="1"/>
  <c r="BF72" i="1"/>
  <c r="AY43" i="1" l="1"/>
  <c r="AY21" i="1"/>
  <c r="AY22" i="1" s="1"/>
  <c r="AJ12" i="27"/>
  <c r="AH11" i="27"/>
  <c r="AI11" i="27" s="1"/>
  <c r="AJ11" i="27" s="1"/>
  <c r="BF73" i="1"/>
  <c r="AY44" i="1" l="1"/>
  <c r="AY23" i="1"/>
  <c r="AJ13" i="27"/>
  <c r="AK10" i="27" s="1"/>
  <c r="BF74" i="1"/>
  <c r="AZ42" i="1" l="1"/>
  <c r="AY24" i="1"/>
  <c r="BV20" i="29"/>
  <c r="BW20" i="29" s="1"/>
  <c r="AK12" i="27"/>
  <c r="AK11" i="27"/>
  <c r="BG72" i="1"/>
  <c r="AZ43" i="1" l="1"/>
  <c r="AZ21" i="1"/>
  <c r="AZ22" i="1" s="1"/>
  <c r="AK13" i="27"/>
  <c r="BG73" i="1"/>
  <c r="AZ44" i="1" l="1"/>
  <c r="AZ23" i="1"/>
  <c r="AL10" i="27"/>
  <c r="AL12" i="27" s="1"/>
  <c r="AL13" i="27" s="1"/>
  <c r="AM10" i="27" s="1"/>
  <c r="BG74" i="1"/>
  <c r="BA42" i="1" l="1"/>
  <c r="AZ24" i="1"/>
  <c r="AL11" i="27"/>
  <c r="BH72" i="1"/>
  <c r="BA43" i="1" l="1"/>
  <c r="BA21" i="1"/>
  <c r="BA22" i="1" s="1"/>
  <c r="AM12" i="27"/>
  <c r="AM13" i="27" s="1"/>
  <c r="AN10" i="27" s="1"/>
  <c r="BH73" i="1"/>
  <c r="BA44" i="1" l="1"/>
  <c r="BA23" i="1"/>
  <c r="AN12" i="27"/>
  <c r="AN13" i="27" s="1"/>
  <c r="AO10" i="27" s="1"/>
  <c r="AO12" i="27" s="1"/>
  <c r="AO13" i="27" s="1"/>
  <c r="AM11" i="27"/>
  <c r="AN11" i="27" s="1"/>
  <c r="BH74" i="1"/>
  <c r="BI72" i="1" s="1"/>
  <c r="BB42" i="1" l="1"/>
  <c r="BA24" i="1"/>
  <c r="AO11" i="27"/>
  <c r="AP10" i="27"/>
  <c r="AP12" i="27" s="1"/>
  <c r="AP13" i="27" s="1"/>
  <c r="AQ10" i="27" s="1"/>
  <c r="AQ12" i="27" s="1"/>
  <c r="AQ13" i="27" s="1"/>
  <c r="AR10" i="27" s="1"/>
  <c r="AR12" i="27" s="1"/>
  <c r="AR13" i="27" s="1"/>
  <c r="AS10" i="27" s="1"/>
  <c r="BI73" i="1"/>
  <c r="BB43" i="1" l="1"/>
  <c r="BB21" i="1"/>
  <c r="BB22" i="1" s="1"/>
  <c r="AS12" i="27"/>
  <c r="AP11" i="27"/>
  <c r="AQ11" i="27" s="1"/>
  <c r="AR11" i="27" s="1"/>
  <c r="AS11" i="27" s="1"/>
  <c r="BI74" i="1"/>
  <c r="BJ72" i="1" s="1"/>
  <c r="BB44" i="1" l="1"/>
  <c r="BB23" i="1"/>
  <c r="AS13" i="27"/>
  <c r="AT10" i="27" s="1"/>
  <c r="AT12" i="27" s="1"/>
  <c r="AT13" i="27" s="1"/>
  <c r="AU10" i="27" s="1"/>
  <c r="AU12" i="27" s="1"/>
  <c r="AU13" i="27" s="1"/>
  <c r="AV10" i="27" s="1"/>
  <c r="AV12" i="27" s="1"/>
  <c r="AV13" i="27" s="1"/>
  <c r="AW10" i="27" s="1"/>
  <c r="AW12" i="27" s="1"/>
  <c r="AW13" i="27" s="1"/>
  <c r="BJ73" i="1"/>
  <c r="BC42" i="1" l="1"/>
  <c r="BB24" i="1"/>
  <c r="AT11" i="27"/>
  <c r="AU11" i="27" s="1"/>
  <c r="AV11" i="27" s="1"/>
  <c r="AW11" i="27" s="1"/>
  <c r="BJ74" i="1"/>
  <c r="BK72" i="1" s="1"/>
  <c r="BC43" i="1" l="1"/>
  <c r="BC21" i="1"/>
  <c r="BC22" i="1" s="1"/>
  <c r="BK73" i="1"/>
  <c r="BC44" i="1" l="1"/>
  <c r="BC23" i="1"/>
  <c r="BK74" i="1"/>
  <c r="M21" i="27"/>
  <c r="M22" i="27" s="1"/>
  <c r="L13" i="29"/>
  <c r="N26" i="27" s="1"/>
  <c r="M33" i="27"/>
  <c r="M34" i="27" s="1"/>
  <c r="BD42" i="1" l="1"/>
  <c r="BC24" i="1"/>
  <c r="BL72" i="1"/>
  <c r="N32" i="27"/>
  <c r="N33" i="27" s="1"/>
  <c r="N15" i="27"/>
  <c r="M24" i="27"/>
  <c r="M23" i="27"/>
  <c r="BD43" i="1" l="1"/>
  <c r="BD21" i="1"/>
  <c r="BD22" i="1" s="1"/>
  <c r="BL73" i="1"/>
  <c r="N21" i="27"/>
  <c r="N22" i="27" s="1"/>
  <c r="N34" i="27"/>
  <c r="O32" i="27" s="1"/>
  <c r="N23" i="27"/>
  <c r="BD44" i="1" l="1"/>
  <c r="BD23" i="1"/>
  <c r="BL74" i="1"/>
  <c r="BM72" i="1" s="1"/>
  <c r="O33" i="27"/>
  <c r="O23" i="27" s="1"/>
  <c r="O21" i="27"/>
  <c r="O22" i="27" s="1"/>
  <c r="N24" i="27"/>
  <c r="BE42" i="1" l="1"/>
  <c r="BD24" i="1"/>
  <c r="BM73" i="1"/>
  <c r="O34" i="27"/>
  <c r="P32" i="27" s="1"/>
  <c r="P21" i="27" s="1"/>
  <c r="P22" i="27" s="1"/>
  <c r="O24" i="27"/>
  <c r="BE43" i="1" l="1"/>
  <c r="BE21" i="1"/>
  <c r="BE22" i="1" s="1"/>
  <c r="BM74" i="1"/>
  <c r="P33" i="27"/>
  <c r="P23" i="27" s="1"/>
  <c r="BE44" i="1" l="1"/>
  <c r="BE23" i="1"/>
  <c r="BN72" i="1"/>
  <c r="P34" i="27"/>
  <c r="P24" i="27" s="1"/>
  <c r="Q32" i="27" l="1"/>
  <c r="Q33" i="27" s="1"/>
  <c r="BF42" i="1"/>
  <c r="BE24" i="1"/>
  <c r="BN73" i="1"/>
  <c r="BN74" i="1" s="1"/>
  <c r="BO72" i="1" s="1"/>
  <c r="Q21" i="27" l="1"/>
  <c r="Q22" i="27" s="1"/>
  <c r="BF43" i="1"/>
  <c r="BF21" i="1"/>
  <c r="BF22" i="1" s="1"/>
  <c r="BO73" i="1"/>
  <c r="BO74" i="1" s="1"/>
  <c r="BP72" i="1" s="1"/>
  <c r="Q23" i="27"/>
  <c r="Q34" i="27"/>
  <c r="BF44" i="1" l="1"/>
  <c r="BF23" i="1"/>
  <c r="BP73" i="1"/>
  <c r="BP74" i="1" s="1"/>
  <c r="R32" i="27"/>
  <c r="Q24" i="27"/>
  <c r="BG42" i="1" l="1"/>
  <c r="BF24" i="1"/>
  <c r="BQ72" i="1"/>
  <c r="R21" i="27"/>
  <c r="R22" i="27" s="1"/>
  <c r="R33" i="27"/>
  <c r="BG43" i="1" l="1"/>
  <c r="BG21" i="1"/>
  <c r="BG22" i="1" s="1"/>
  <c r="BQ73" i="1"/>
  <c r="R23" i="27"/>
  <c r="R34" i="27"/>
  <c r="S32" i="27" s="1"/>
  <c r="BG44" i="1" l="1"/>
  <c r="BG23" i="1"/>
  <c r="BQ74" i="1"/>
  <c r="S33" i="27"/>
  <c r="S23" i="27" s="1"/>
  <c r="S21" i="27"/>
  <c r="S22" i="27" s="1"/>
  <c r="R24" i="27"/>
  <c r="BH42" i="1" l="1"/>
  <c r="BG24" i="1"/>
  <c r="BR72" i="1"/>
  <c r="S34" i="27"/>
  <c r="T32" i="27" s="1"/>
  <c r="T33" i="27" s="1"/>
  <c r="BH43" i="1" l="1"/>
  <c r="BH21" i="1"/>
  <c r="BH22" i="1" s="1"/>
  <c r="BR73" i="1"/>
  <c r="S24" i="27"/>
  <c r="T23" i="27"/>
  <c r="T34" i="27"/>
  <c r="U32" i="27" s="1"/>
  <c r="U33" i="27" s="1"/>
  <c r="T21" i="27"/>
  <c r="T22" i="27" s="1"/>
  <c r="BH44" i="1" l="1"/>
  <c r="BH23" i="1"/>
  <c r="BR74" i="1"/>
  <c r="T24" i="27"/>
  <c r="U23" i="27"/>
  <c r="U34" i="27"/>
  <c r="V32" i="27" s="1"/>
  <c r="V33" i="27" s="1"/>
  <c r="U21" i="27"/>
  <c r="U22" i="27" s="1"/>
  <c r="BI42" i="1" l="1"/>
  <c r="BH24" i="1"/>
  <c r="BS72" i="1"/>
  <c r="U24" i="27"/>
  <c r="V23" i="27"/>
  <c r="V34" i="27"/>
  <c r="W32" i="27" s="1"/>
  <c r="W21" i="27" s="1"/>
  <c r="V21" i="27"/>
  <c r="V22" i="27" s="1"/>
  <c r="BI43" i="1" l="1"/>
  <c r="BI21" i="1"/>
  <c r="BI22" i="1" s="1"/>
  <c r="BS73" i="1"/>
  <c r="V24" i="27"/>
  <c r="W33" i="27"/>
  <c r="W22" i="27"/>
  <c r="BI44" i="1" l="1"/>
  <c r="BI23" i="1"/>
  <c r="BS74" i="1"/>
  <c r="W23" i="27"/>
  <c r="W34" i="27"/>
  <c r="BJ42" i="1" l="1"/>
  <c r="BI24" i="1"/>
  <c r="BT72" i="1"/>
  <c r="X32" i="27"/>
  <c r="W24" i="27"/>
  <c r="BJ43" i="1" l="1"/>
  <c r="BJ21" i="1"/>
  <c r="BJ22" i="1" s="1"/>
  <c r="BT73" i="1"/>
  <c r="X33" i="27"/>
  <c r="X21" i="27"/>
  <c r="X22" i="27" s="1"/>
  <c r="BJ44" i="1" l="1"/>
  <c r="BJ23" i="1"/>
  <c r="BT74" i="1"/>
  <c r="X23" i="27"/>
  <c r="X34" i="27"/>
  <c r="BK42" i="1" l="1"/>
  <c r="BJ24" i="1"/>
  <c r="BU72" i="1"/>
  <c r="Y32" i="27"/>
  <c r="X24" i="27"/>
  <c r="BK43" i="1" l="1"/>
  <c r="BK21" i="1"/>
  <c r="BK22" i="1" s="1"/>
  <c r="BU73" i="1"/>
  <c r="Y33" i="27"/>
  <c r="Y21" i="27"/>
  <c r="Y22" i="27" s="1"/>
  <c r="BK44" i="1" l="1"/>
  <c r="BK23" i="1"/>
  <c r="BU74" i="1"/>
  <c r="Y23" i="27"/>
  <c r="Y34" i="27"/>
  <c r="Z32" i="27" s="1"/>
  <c r="BL42" i="1" l="1"/>
  <c r="BK24" i="1"/>
  <c r="BV72" i="1"/>
  <c r="Z33" i="27"/>
  <c r="Z21" i="27"/>
  <c r="Z22" i="27" s="1"/>
  <c r="Y24" i="27"/>
  <c r="BL43" i="1" l="1"/>
  <c r="BL21" i="1"/>
  <c r="BL22" i="1" s="1"/>
  <c r="BV73" i="1"/>
  <c r="Z23" i="27"/>
  <c r="BL44" i="1" l="1"/>
  <c r="BL23" i="1"/>
  <c r="BV74" i="1"/>
  <c r="Z34" i="27"/>
  <c r="AA32" i="27" s="1"/>
  <c r="BM42" i="1" l="1"/>
  <c r="BL24" i="1"/>
  <c r="BW72" i="1"/>
  <c r="AA21" i="27"/>
  <c r="AA33" i="27"/>
  <c r="AA23" i="27" s="1"/>
  <c r="Z24" i="27"/>
  <c r="BM43" i="1" l="1"/>
  <c r="BM21" i="1"/>
  <c r="BM22" i="1" s="1"/>
  <c r="BW73" i="1"/>
  <c r="AA34" i="27"/>
  <c r="AB32" i="27" s="1"/>
  <c r="AB21" i="27" s="1"/>
  <c r="AA22" i="27"/>
  <c r="AA24" i="27"/>
  <c r="BM44" i="1" l="1"/>
  <c r="BM23" i="1"/>
  <c r="BW74" i="1"/>
  <c r="AB33" i="27"/>
  <c r="AB23" i="27" s="1"/>
  <c r="AB22" i="27"/>
  <c r="AB34" i="27" l="1"/>
  <c r="AC32" i="27" s="1"/>
  <c r="AC21" i="27" s="1"/>
  <c r="AC22" i="27" s="1"/>
  <c r="BN42" i="1"/>
  <c r="BM24" i="1"/>
  <c r="BX72" i="1"/>
  <c r="AB24" i="27"/>
  <c r="AC33" i="27" l="1"/>
  <c r="BN43" i="1"/>
  <c r="BN21" i="1"/>
  <c r="BN22" i="1" s="1"/>
  <c r="BX73" i="1"/>
  <c r="AC23" i="27"/>
  <c r="AC34" i="27"/>
  <c r="AD32" i="27" s="1"/>
  <c r="BN44" i="1" l="1"/>
  <c r="BN23" i="1"/>
  <c r="BX74" i="1"/>
  <c r="AD21" i="27"/>
  <c r="AD22" i="27" s="1"/>
  <c r="AD33" i="27"/>
  <c r="AD23" i="27" s="1"/>
  <c r="AC24" i="27"/>
  <c r="BO42" i="1" l="1"/>
  <c r="BN24" i="1"/>
  <c r="BY72" i="1"/>
  <c r="AD34" i="27"/>
  <c r="AE32" i="27" s="1"/>
  <c r="AE21" i="27" s="1"/>
  <c r="AE22" i="27" s="1"/>
  <c r="AD24" i="27" l="1"/>
  <c r="BO43" i="1"/>
  <c r="BO21" i="1"/>
  <c r="BO22" i="1" s="1"/>
  <c r="AE33" i="27"/>
  <c r="AE23" i="27" s="1"/>
  <c r="BY73" i="1"/>
  <c r="AE34" i="27" l="1"/>
  <c r="AF32" i="27" s="1"/>
  <c r="AF33" i="27" s="1"/>
  <c r="AF34" i="27" s="1"/>
  <c r="BO44" i="1"/>
  <c r="BO23" i="1"/>
  <c r="BY74" i="1"/>
  <c r="AF21" i="27" l="1"/>
  <c r="AF22" i="27" s="1"/>
  <c r="AE24" i="27"/>
  <c r="AF23" i="27"/>
  <c r="BP42" i="1"/>
  <c r="BO24" i="1"/>
  <c r="BZ72" i="1"/>
  <c r="AG32" i="27"/>
  <c r="AF24" i="27"/>
  <c r="BP43" i="1" l="1"/>
  <c r="BP21" i="1"/>
  <c r="BP22" i="1" s="1"/>
  <c r="BZ73" i="1"/>
  <c r="AG33" i="27"/>
  <c r="AG21" i="27"/>
  <c r="AG22" i="27" s="1"/>
  <c r="BP44" i="1" l="1"/>
  <c r="BP23" i="1"/>
  <c r="BZ74" i="1"/>
  <c r="AG34" i="27"/>
  <c r="AG23" i="27"/>
  <c r="BQ42" i="1" l="1"/>
  <c r="BP24" i="1"/>
  <c r="CA72" i="1"/>
  <c r="AH32" i="27"/>
  <c r="AG24" i="27"/>
  <c r="BQ43" i="1" l="1"/>
  <c r="BQ21" i="1"/>
  <c r="BQ22" i="1" s="1"/>
  <c r="CA73" i="1"/>
  <c r="AH33" i="27"/>
  <c r="AH21" i="27"/>
  <c r="BQ44" i="1" l="1"/>
  <c r="BQ23" i="1"/>
  <c r="CA74" i="1"/>
  <c r="AH22" i="27"/>
  <c r="AH23" i="27"/>
  <c r="AH34" i="27"/>
  <c r="AI32" i="27" s="1"/>
  <c r="BR42" i="1" l="1"/>
  <c r="BQ24" i="1"/>
  <c r="AI33" i="27"/>
  <c r="AI23" i="27" s="1"/>
  <c r="AI21" i="27"/>
  <c r="AI22" i="27" s="1"/>
  <c r="CB72" i="1"/>
  <c r="AH24" i="27"/>
  <c r="BR43" i="1" l="1"/>
  <c r="BR21" i="1"/>
  <c r="BR22" i="1" s="1"/>
  <c r="AI34" i="27"/>
  <c r="AJ32" i="27" s="1"/>
  <c r="AJ33" i="27" s="1"/>
  <c r="CB73" i="1"/>
  <c r="BR44" i="1" l="1"/>
  <c r="BR23" i="1"/>
  <c r="AI24" i="27"/>
  <c r="AJ23" i="27"/>
  <c r="AJ34" i="27"/>
  <c r="AK32" i="27" s="1"/>
  <c r="AK33" i="27" s="1"/>
  <c r="AK23" i="27" s="1"/>
  <c r="AJ21" i="27"/>
  <c r="AJ22" i="27" s="1"/>
  <c r="CB74" i="1"/>
  <c r="BS42" i="1" l="1"/>
  <c r="BR24" i="1"/>
  <c r="AJ24" i="27"/>
  <c r="AK21" i="27"/>
  <c r="AK22" i="27" s="1"/>
  <c r="CC72" i="1"/>
  <c r="AK34" i="27"/>
  <c r="AK24" i="27" s="1"/>
  <c r="BS43" i="1" l="1"/>
  <c r="BS21" i="1"/>
  <c r="BS22" i="1" s="1"/>
  <c r="AL32" i="27"/>
  <c r="CC73" i="1"/>
  <c r="BS44" i="1" l="1"/>
  <c r="BS23" i="1"/>
  <c r="AL33" i="27"/>
  <c r="AL21" i="27"/>
  <c r="AL22" i="27" s="1"/>
  <c r="CC74" i="1"/>
  <c r="BT42" i="1" l="1"/>
  <c r="BS24" i="1"/>
  <c r="AL23" i="27"/>
  <c r="AL34" i="27"/>
  <c r="CD72" i="1"/>
  <c r="BT43" i="1" l="1"/>
  <c r="BT21" i="1"/>
  <c r="BT22" i="1" s="1"/>
  <c r="AM32" i="27"/>
  <c r="AL24" i="27"/>
  <c r="CD73" i="1"/>
  <c r="BT44" i="1" l="1"/>
  <c r="BT23" i="1"/>
  <c r="AM33" i="27"/>
  <c r="AM21" i="27"/>
  <c r="AM22" i="27" s="1"/>
  <c r="CD74" i="1"/>
  <c r="CE72" i="1" s="1"/>
  <c r="CE73" i="1" s="1"/>
  <c r="CE74" i="1" s="1"/>
  <c r="BU42" i="1" l="1"/>
  <c r="BT24" i="1"/>
  <c r="AM23" i="27"/>
  <c r="AM34" i="27"/>
  <c r="BU43" i="1" l="1"/>
  <c r="BU21" i="1"/>
  <c r="BU22" i="1" s="1"/>
  <c r="AN32" i="27"/>
  <c r="AM24" i="27"/>
  <c r="BU44" i="1" l="1"/>
  <c r="BU23" i="1"/>
  <c r="CF72" i="1"/>
  <c r="AN33" i="27"/>
  <c r="AN21" i="27"/>
  <c r="AN22" i="27" s="1"/>
  <c r="BV42" i="1" l="1"/>
  <c r="BU24" i="1"/>
  <c r="CF73" i="1"/>
  <c r="CF74" i="1" s="1"/>
  <c r="AN23" i="27"/>
  <c r="AN34" i="27"/>
  <c r="BV43" i="1" l="1"/>
  <c r="BV21" i="1"/>
  <c r="BV22" i="1" s="1"/>
  <c r="AO32" i="27"/>
  <c r="AN24" i="27"/>
  <c r="BV44" i="1" l="1"/>
  <c r="BV23" i="1"/>
  <c r="AO33" i="27"/>
  <c r="AO21" i="27"/>
  <c r="AO22" i="27" s="1"/>
  <c r="BW42" i="1" l="1"/>
  <c r="BV24" i="1"/>
  <c r="AO23" i="27"/>
  <c r="AO34" i="27"/>
  <c r="BW43" i="1" l="1"/>
  <c r="BW21" i="1"/>
  <c r="BW22" i="1" s="1"/>
  <c r="AP32" i="27"/>
  <c r="AO24" i="27"/>
  <c r="BW44" i="1" l="1"/>
  <c r="BW23" i="1"/>
  <c r="AP33" i="27"/>
  <c r="AP21" i="27"/>
  <c r="AP22" i="27" s="1"/>
  <c r="BX42" i="1" l="1"/>
  <c r="BW24" i="1"/>
  <c r="AP23" i="27"/>
  <c r="AP34" i="27"/>
  <c r="BX43" i="1" l="1"/>
  <c r="BX21" i="1"/>
  <c r="BX22" i="1" s="1"/>
  <c r="AQ32" i="27"/>
  <c r="AP24" i="27"/>
  <c r="BX44" i="1" l="1"/>
  <c r="BX23" i="1"/>
  <c r="AQ33" i="27"/>
  <c r="AQ21" i="27"/>
  <c r="AQ22" i="27" s="1"/>
  <c r="BY42" i="1" l="1"/>
  <c r="BX24" i="1"/>
  <c r="AQ23" i="27"/>
  <c r="AQ34" i="27"/>
  <c r="BY43" i="1" l="1"/>
  <c r="BY21" i="1"/>
  <c r="BY22" i="1" s="1"/>
  <c r="AR32" i="27"/>
  <c r="AQ24" i="27"/>
  <c r="BY44" i="1" l="1"/>
  <c r="BY23" i="1"/>
  <c r="AR33" i="27"/>
  <c r="AR21" i="27"/>
  <c r="AR22" i="27" s="1"/>
  <c r="BZ42" i="1" l="1"/>
  <c r="BY24" i="1"/>
  <c r="AR23" i="27"/>
  <c r="AR34" i="27"/>
  <c r="BZ43" i="1" l="1"/>
  <c r="BZ21" i="1"/>
  <c r="BZ22" i="1" s="1"/>
  <c r="AS32" i="27"/>
  <c r="AR24" i="27"/>
  <c r="BZ44" i="1" l="1"/>
  <c r="BZ23" i="1"/>
  <c r="AS33" i="27"/>
  <c r="AS21" i="27"/>
  <c r="AS22" i="27" s="1"/>
  <c r="CA42" i="1" l="1"/>
  <c r="BZ24" i="1"/>
  <c r="AS23" i="27"/>
  <c r="AS34" i="27"/>
  <c r="CA43" i="1" l="1"/>
  <c r="CA21" i="1"/>
  <c r="CA22" i="1" s="1"/>
  <c r="AT32" i="27"/>
  <c r="AS24" i="27"/>
  <c r="CA44" i="1" l="1"/>
  <c r="CA23" i="1"/>
  <c r="AT33" i="27"/>
  <c r="AT21" i="27"/>
  <c r="AT22" i="27" s="1"/>
  <c r="CB42" i="1" l="1"/>
  <c r="CA24" i="1"/>
  <c r="AT23" i="27"/>
  <c r="AT34" i="27"/>
  <c r="CB43" i="1" l="1"/>
  <c r="CB21" i="1"/>
  <c r="CB22" i="1" s="1"/>
  <c r="AU32" i="27"/>
  <c r="AT24" i="27"/>
  <c r="CB44" i="1" l="1"/>
  <c r="CB23" i="1"/>
  <c r="AU33" i="27"/>
  <c r="AU21" i="27"/>
  <c r="AU22" i="27" s="1"/>
  <c r="CC42" i="1" l="1"/>
  <c r="CB24" i="1"/>
  <c r="AU23" i="27"/>
  <c r="AU34" i="27"/>
  <c r="AV32" i="27" s="1"/>
  <c r="AV33" i="27" s="1"/>
  <c r="CC43" i="1" l="1"/>
  <c r="CC21" i="1"/>
  <c r="CC22" i="1" s="1"/>
  <c r="AU24" i="27"/>
  <c r="AV34" i="27" l="1"/>
  <c r="AW32" i="27" s="1"/>
  <c r="AW33" i="27" s="1"/>
  <c r="CC44" i="1"/>
  <c r="CC23" i="1"/>
  <c r="AV21" i="27"/>
  <c r="AV22" i="27" s="1"/>
  <c r="AW23" i="27" l="1"/>
  <c r="AW21" i="27"/>
  <c r="AW22" i="27" s="1"/>
  <c r="CD42" i="1"/>
  <c r="CC24" i="1"/>
  <c r="AV23" i="27"/>
  <c r="CD43" i="1" l="1"/>
  <c r="CD21" i="1"/>
  <c r="CD22" i="1" s="1"/>
  <c r="AW34" i="27"/>
  <c r="AV24" i="27"/>
  <c r="CD44" i="1" l="1"/>
  <c r="CD23" i="1"/>
  <c r="AW24" i="27"/>
  <c r="CE42" i="1" l="1"/>
  <c r="CD24" i="1"/>
  <c r="CE43" i="1" l="1"/>
  <c r="CE21" i="1"/>
  <c r="CE22" i="1" s="1"/>
  <c r="CE44" i="1" l="1"/>
  <c r="CE23" i="1"/>
  <c r="CF42" i="1" l="1"/>
  <c r="CE24" i="1"/>
  <c r="CF43" i="1" l="1"/>
  <c r="CF21" i="1"/>
  <c r="CF22" i="1" s="1"/>
  <c r="CF44" i="1" l="1"/>
  <c r="CF23" i="1"/>
  <c r="CF24" i="1" l="1"/>
  <c r="AV61" i="28" l="1"/>
  <c r="CF60" i="11"/>
  <c r="AW64" i="28" l="1"/>
  <c r="CG63" i="11"/>
  <c r="AX61" i="28" l="1"/>
  <c r="CH60" i="11"/>
  <c r="CP64" i="11" l="1"/>
  <c r="BF65" i="28"/>
  <c r="CL63" i="11"/>
  <c r="BB64" i="28"/>
  <c r="CK63" i="11" l="1"/>
  <c r="BA64" i="28"/>
  <c r="AV63" i="28"/>
  <c r="BH65" i="28"/>
  <c r="CR64" i="11"/>
  <c r="CT61" i="11"/>
  <c r="BJ62" i="28"/>
  <c r="BI65" i="28"/>
  <c r="CS64" i="11"/>
  <c r="BE63" i="28"/>
  <c r="CO62" i="11"/>
  <c r="CN64" i="11"/>
  <c r="BD65" i="28"/>
  <c r="CF61" i="11"/>
  <c r="BB65" i="28"/>
  <c r="CL64" i="11"/>
  <c r="BD63" i="28"/>
  <c r="CN62" i="11"/>
  <c r="CO64" i="11"/>
  <c r="BE65" i="28"/>
  <c r="AV62" i="28"/>
  <c r="CK62" i="11"/>
  <c r="BA63" i="28"/>
  <c r="BA65" i="28"/>
  <c r="CK64" i="11"/>
  <c r="CP61" i="11"/>
  <c r="BF62" i="28"/>
  <c r="CT62" i="11"/>
  <c r="BJ63" i="28"/>
  <c r="BD62" i="28"/>
  <c r="CN61" i="11"/>
  <c r="CI62" i="11"/>
  <c r="AY63" i="28"/>
  <c r="CT63" i="11"/>
  <c r="BJ64" i="28"/>
  <c r="BH64" i="28"/>
  <c r="CR63" i="11"/>
  <c r="AZ65" i="28"/>
  <c r="CJ64" i="11"/>
  <c r="CL62" i="11"/>
  <c r="BB63" i="28"/>
  <c r="CR62" i="11"/>
  <c r="BH63" i="28"/>
  <c r="CR61" i="11"/>
  <c r="BH62" i="28"/>
  <c r="CQ62" i="11"/>
  <c r="BG63" i="28"/>
  <c r="BC63" i="28"/>
  <c r="CM62" i="11"/>
  <c r="BC62" i="28"/>
  <c r="CM61" i="11"/>
  <c r="CO61" i="11"/>
  <c r="BE62" i="28"/>
  <c r="BF64" i="28"/>
  <c r="CP63" i="11"/>
  <c r="CM63" i="11"/>
  <c r="BC64" i="28"/>
  <c r="CG64" i="11"/>
  <c r="AW65" i="28"/>
  <c r="CG61" i="11"/>
  <c r="AW62" i="28"/>
  <c r="BB62" i="28"/>
  <c r="CL61" i="11"/>
  <c r="CQ61" i="11"/>
  <c r="BG62" i="28"/>
  <c r="CI61" i="11"/>
  <c r="AY62" i="28"/>
  <c r="BF63" i="28"/>
  <c r="CP62" i="11"/>
  <c r="BI62" i="28"/>
  <c r="CS61" i="11"/>
  <c r="CN63" i="11"/>
  <c r="BD64" i="28"/>
  <c r="BG64" i="28"/>
  <c r="CQ63" i="11"/>
  <c r="AZ64" i="28"/>
  <c r="CJ63" i="11"/>
  <c r="BC65" i="28"/>
  <c r="CM64" i="11"/>
  <c r="BJ65" i="28"/>
  <c r="CT64" i="11"/>
  <c r="BE64" i="28"/>
  <c r="CO63" i="11"/>
  <c r="BA62" i="28"/>
  <c r="CK61" i="11"/>
  <c r="CF28" i="11"/>
  <c r="CF31" i="11" s="1"/>
  <c r="CG27" i="1" s="1"/>
  <c r="CS62" i="11"/>
  <c r="BI63" i="28"/>
  <c r="CJ62" i="11"/>
  <c r="AZ63" i="28"/>
  <c r="AW63" i="28"/>
  <c r="CG62" i="11"/>
  <c r="CJ61" i="11"/>
  <c r="AZ62" i="28"/>
  <c r="CS63" i="11"/>
  <c r="BI64" i="28"/>
  <c r="AY64" i="28"/>
  <c r="CI63" i="11"/>
  <c r="BG65" i="28"/>
  <c r="CQ64" i="11"/>
  <c r="AY65" i="28"/>
  <c r="CI64" i="11"/>
  <c r="CF62" i="11"/>
  <c r="CF33" i="11" l="1"/>
  <c r="CG47" i="1" s="1"/>
  <c r="AX64" i="28"/>
  <c r="AV64" i="28"/>
  <c r="AX62" i="28"/>
  <c r="AX28" i="28"/>
  <c r="AX31" i="28" s="1"/>
  <c r="AX32" i="28"/>
  <c r="CH63" i="11"/>
  <c r="CH61" i="11"/>
  <c r="CH28" i="11"/>
  <c r="CH31" i="11" s="1"/>
  <c r="AV28" i="28"/>
  <c r="AV31" i="28" s="1"/>
  <c r="CF64" i="11"/>
  <c r="CF35" i="11"/>
  <c r="CH62" i="11"/>
  <c r="AV65" i="28"/>
  <c r="AV66" i="28" s="1"/>
  <c r="AV35" i="28"/>
  <c r="AX63" i="28"/>
  <c r="AX65" i="28"/>
  <c r="CF63" i="11"/>
  <c r="CF34" i="11"/>
  <c r="CG57" i="1" s="1"/>
  <c r="CH64" i="11"/>
  <c r="CF32" i="11"/>
  <c r="CG37" i="1" s="1"/>
  <c r="CF65" i="11" l="1"/>
  <c r="AX33" i="28"/>
  <c r="AZ47" i="27" s="1"/>
  <c r="AX67" i="27"/>
  <c r="AZ37" i="27"/>
  <c r="CH35" i="11"/>
  <c r="CI67" i="1" s="1"/>
  <c r="CH32" i="11"/>
  <c r="CI37" i="1" s="1"/>
  <c r="AZ27" i="27"/>
  <c r="AX66" i="28"/>
  <c r="CI27" i="1"/>
  <c r="AV33" i="28"/>
  <c r="AV32" i="28"/>
  <c r="CH65" i="11"/>
  <c r="CF36" i="11"/>
  <c r="CG67" i="1"/>
  <c r="CG16" i="1" s="1"/>
  <c r="CH33" i="11"/>
  <c r="CI47" i="1" s="1"/>
  <c r="CH34" i="11"/>
  <c r="CI57" i="1" s="1"/>
  <c r="AX34" i="28"/>
  <c r="AV34" i="28"/>
  <c r="AX35" i="28"/>
  <c r="CK28" i="11"/>
  <c r="CK31" i="11" s="1"/>
  <c r="CK60" i="11"/>
  <c r="CK65" i="11" s="1"/>
  <c r="BH61" i="28"/>
  <c r="BH66" i="28" s="1"/>
  <c r="BH28" i="28"/>
  <c r="BH31" i="28" s="1"/>
  <c r="CT28" i="11"/>
  <c r="CT60" i="11"/>
  <c r="CT65" i="11" s="1"/>
  <c r="BJ61" i="28"/>
  <c r="BJ66" i="28" s="1"/>
  <c r="BJ28" i="28"/>
  <c r="BJ31" i="28" s="1"/>
  <c r="AZ61" i="28"/>
  <c r="AZ66" i="28" s="1"/>
  <c r="AZ28" i="28"/>
  <c r="AZ31" i="28" s="1"/>
  <c r="CJ60" i="11"/>
  <c r="CJ65" i="11" s="1"/>
  <c r="CJ28" i="11"/>
  <c r="CJ31" i="11" s="1"/>
  <c r="CQ60" i="11"/>
  <c r="CQ65" i="11" s="1"/>
  <c r="CQ28" i="11"/>
  <c r="CQ31" i="11" s="1"/>
  <c r="CI60" i="11"/>
  <c r="CI65" i="11" s="1"/>
  <c r="CI28" i="11"/>
  <c r="CI31" i="11" s="1"/>
  <c r="CS28" i="11"/>
  <c r="CS31" i="11" s="1"/>
  <c r="CS60" i="11"/>
  <c r="CS65" i="11" s="1"/>
  <c r="CO60" i="11"/>
  <c r="CO65" i="11" s="1"/>
  <c r="CO28" i="11"/>
  <c r="CO31" i="11" s="1"/>
  <c r="BE61" i="28"/>
  <c r="BE66" i="28" s="1"/>
  <c r="BE28" i="28"/>
  <c r="BG61" i="28"/>
  <c r="BG66" i="28" s="1"/>
  <c r="BG28" i="28"/>
  <c r="BG31" i="28" s="1"/>
  <c r="CL28" i="11"/>
  <c r="CL60" i="11"/>
  <c r="CL65" i="11" s="1"/>
  <c r="CL31" i="11"/>
  <c r="BA61" i="28"/>
  <c r="BA66" i="28" s="1"/>
  <c r="BA28" i="28"/>
  <c r="BA31" i="28" s="1"/>
  <c r="BB61" i="28"/>
  <c r="BB66" i="28" s="1"/>
  <c r="BB28" i="28"/>
  <c r="BB31" i="28" s="1"/>
  <c r="CR28" i="11"/>
  <c r="CR31" i="11" s="1"/>
  <c r="CR60" i="11"/>
  <c r="CR65" i="11" s="1"/>
  <c r="AY28" i="28"/>
  <c r="AY61" i="28"/>
  <c r="AY66" i="28" s="1"/>
  <c r="BI61" i="28"/>
  <c r="BI66" i="28" s="1"/>
  <c r="BI28" i="28"/>
  <c r="BI31" i="28" s="1"/>
  <c r="AW61" i="28"/>
  <c r="AW66" i="28" s="1"/>
  <c r="AW28" i="28"/>
  <c r="AW31" i="28" s="1"/>
  <c r="BC28" i="28"/>
  <c r="BC31" i="28" s="1"/>
  <c r="BC61" i="28"/>
  <c r="BC66" i="28" s="1"/>
  <c r="CP60" i="11"/>
  <c r="CP65" i="11" s="1"/>
  <c r="CP28" i="11"/>
  <c r="CP31" i="11" s="1"/>
  <c r="CN60" i="11"/>
  <c r="CN65" i="11" s="1"/>
  <c r="CN28" i="11"/>
  <c r="CG28" i="11"/>
  <c r="CG31" i="11" s="1"/>
  <c r="CG60" i="11"/>
  <c r="CG65" i="11" s="1"/>
  <c r="CM28" i="11"/>
  <c r="CM31" i="11" s="1"/>
  <c r="CM60" i="11"/>
  <c r="CM65" i="11" s="1"/>
  <c r="BF28" i="28"/>
  <c r="BF61" i="28"/>
  <c r="BF66" i="28" s="1"/>
  <c r="BD28" i="28"/>
  <c r="BD31" i="28" s="1"/>
  <c r="BD61" i="28"/>
  <c r="BD66" i="28" s="1"/>
  <c r="CI16" i="1" l="1"/>
  <c r="AZ67" i="27"/>
  <c r="AX57" i="27"/>
  <c r="AX37" i="27"/>
  <c r="AX47" i="27"/>
  <c r="AZ57" i="27"/>
  <c r="AZ16" i="27" s="1"/>
  <c r="AX27" i="27"/>
  <c r="AV36" i="28"/>
  <c r="CH36" i="11"/>
  <c r="AX36" i="28"/>
  <c r="CN35" i="11"/>
  <c r="CN34" i="11"/>
  <c r="CN32" i="11"/>
  <c r="CN33" i="11"/>
  <c r="BE34" i="28"/>
  <c r="BE33" i="28"/>
  <c r="BE35" i="28"/>
  <c r="BE32" i="28"/>
  <c r="AY27" i="27"/>
  <c r="AX39" i="28"/>
  <c r="CI32" i="11"/>
  <c r="CI34" i="11"/>
  <c r="CI35" i="11"/>
  <c r="CI33" i="11"/>
  <c r="CT35" i="11"/>
  <c r="CT34" i="11"/>
  <c r="CT32" i="11"/>
  <c r="CT33" i="11"/>
  <c r="AZ35" i="28"/>
  <c r="AZ33" i="28"/>
  <c r="AZ34" i="28"/>
  <c r="AZ32" i="28"/>
  <c r="AW35" i="28"/>
  <c r="AW33" i="28"/>
  <c r="AW32" i="28"/>
  <c r="AW34" i="28"/>
  <c r="CR34" i="11"/>
  <c r="CR35" i="11"/>
  <c r="CR33" i="11"/>
  <c r="CR32" i="11"/>
  <c r="CM32" i="11"/>
  <c r="CM35" i="11"/>
  <c r="CM33" i="11"/>
  <c r="CM34" i="11"/>
  <c r="CP33" i="11"/>
  <c r="CP34" i="11"/>
  <c r="CP32" i="11"/>
  <c r="CP35" i="11"/>
  <c r="CL35" i="11"/>
  <c r="CL33" i="11"/>
  <c r="CL34" i="11"/>
  <c r="CL32" i="11"/>
  <c r="CO35" i="11"/>
  <c r="CO34" i="11"/>
  <c r="CO32" i="11"/>
  <c r="CO33" i="11"/>
  <c r="BH32" i="28"/>
  <c r="BH33" i="28"/>
  <c r="BH35" i="28"/>
  <c r="BH34" i="28"/>
  <c r="BI35" i="28"/>
  <c r="BI34" i="28"/>
  <c r="BI32" i="28"/>
  <c r="BI33" i="28"/>
  <c r="BB34" i="28"/>
  <c r="BB35" i="28"/>
  <c r="BB32" i="28"/>
  <c r="BB33" i="28"/>
  <c r="CQ32" i="11"/>
  <c r="CQ33" i="11"/>
  <c r="CQ34" i="11"/>
  <c r="CQ35" i="11"/>
  <c r="BD35" i="28"/>
  <c r="BD34" i="28"/>
  <c r="BD33" i="28"/>
  <c r="BD32" i="28"/>
  <c r="BG33" i="28"/>
  <c r="BG34" i="28"/>
  <c r="BG35" i="28"/>
  <c r="BG32" i="28"/>
  <c r="BJ34" i="28"/>
  <c r="BJ35" i="28"/>
  <c r="BJ33" i="28"/>
  <c r="BJ32" i="28"/>
  <c r="CH27" i="1"/>
  <c r="CH39" i="11"/>
  <c r="BF35" i="28"/>
  <c r="BF34" i="28"/>
  <c r="BF33" i="28"/>
  <c r="BF32" i="28"/>
  <c r="BF31" i="28"/>
  <c r="CG34" i="11"/>
  <c r="CG35" i="11"/>
  <c r="CG32" i="11"/>
  <c r="CG33" i="11"/>
  <c r="CN31" i="11"/>
  <c r="BC35" i="28"/>
  <c r="BC34" i="28"/>
  <c r="BC33" i="28"/>
  <c r="BC32" i="28"/>
  <c r="AY31" i="28"/>
  <c r="AY35" i="28"/>
  <c r="AY32" i="28"/>
  <c r="AY33" i="28"/>
  <c r="AY34" i="28"/>
  <c r="BA34" i="28"/>
  <c r="BA32" i="28"/>
  <c r="BA33" i="28"/>
  <c r="BA35" i="28"/>
  <c r="BE31" i="28"/>
  <c r="CS35" i="11"/>
  <c r="CS33" i="11"/>
  <c r="CS34" i="11"/>
  <c r="CS32" i="11"/>
  <c r="CJ32" i="11"/>
  <c r="CJ34" i="11"/>
  <c r="CJ33" i="11"/>
  <c r="CJ35" i="11"/>
  <c r="CT31" i="11"/>
  <c r="CK34" i="11"/>
  <c r="CK35" i="11"/>
  <c r="CK33" i="11"/>
  <c r="CK32" i="11"/>
  <c r="BJ39" i="28" l="1"/>
  <c r="BG36" i="28"/>
  <c r="AX16" i="27"/>
  <c r="BE36" i="28"/>
  <c r="BD36" i="28"/>
  <c r="CM36" i="11"/>
  <c r="BC36" i="28"/>
  <c r="AW36" i="28"/>
  <c r="AX44" i="28" s="1"/>
  <c r="CN36" i="11"/>
  <c r="BH36" i="28"/>
  <c r="CG36" i="11"/>
  <c r="CH44" i="11" s="1"/>
  <c r="CR36" i="11"/>
  <c r="AZ36" i="28"/>
  <c r="BI36" i="28"/>
  <c r="CO36" i="11"/>
  <c r="CP36" i="11"/>
  <c r="CQ36" i="11"/>
  <c r="BA36" i="28"/>
  <c r="BF36" i="28"/>
  <c r="BJ36" i="28"/>
  <c r="CK36" i="11"/>
  <c r="CS36" i="11"/>
  <c r="CL36" i="11"/>
  <c r="CI36" i="11"/>
  <c r="CJ36" i="11"/>
  <c r="BB36" i="28"/>
  <c r="CH57" i="1"/>
  <c r="CH42" i="11"/>
  <c r="CT41" i="11"/>
  <c r="CT39" i="11"/>
  <c r="BJ42" i="28"/>
  <c r="CT43" i="11"/>
  <c r="BJ43" i="28"/>
  <c r="AY57" i="27"/>
  <c r="AX42" i="28"/>
  <c r="CT42" i="11"/>
  <c r="AY37" i="27"/>
  <c r="AX40" i="28"/>
  <c r="CT40" i="11"/>
  <c r="BJ41" i="28"/>
  <c r="CH47" i="1"/>
  <c r="CH41" i="11"/>
  <c r="CH37" i="1"/>
  <c r="CH40" i="11"/>
  <c r="AY47" i="27"/>
  <c r="AX41" i="28"/>
  <c r="BJ40" i="28"/>
  <c r="AY36" i="28"/>
  <c r="CH67" i="1"/>
  <c r="CH43" i="11"/>
  <c r="AY67" i="27"/>
  <c r="AX43" i="28"/>
  <c r="CT36" i="11"/>
  <c r="CT44" i="11" l="1"/>
  <c r="AY16" i="27"/>
  <c r="BJ44" i="28"/>
  <c r="CH16" i="1"/>
  <c r="AY6" i="27" l="1"/>
  <c r="AX6" i="27"/>
  <c r="CH54" i="11"/>
  <c r="CG54" i="11"/>
  <c r="CF54" i="11"/>
  <c r="CH53" i="11"/>
  <c r="CG53" i="11"/>
  <c r="CF53" i="11"/>
  <c r="CH52" i="11"/>
  <c r="CG52" i="11"/>
  <c r="CF52" i="11"/>
  <c r="CH51" i="11"/>
  <c r="CG51" i="11"/>
  <c r="CF51" i="11"/>
  <c r="AZ6" i="27" l="1"/>
  <c r="BV10" i="22"/>
  <c r="BU31" i="22"/>
  <c r="BW10" i="22"/>
  <c r="BV31" i="22"/>
  <c r="BU17" i="22"/>
  <c r="BW31" i="22"/>
  <c r="BV17" i="22"/>
  <c r="BW17" i="22"/>
  <c r="BU24" i="22"/>
  <c r="BV24" i="22"/>
  <c r="BU10" i="22"/>
  <c r="BW24" i="22"/>
  <c r="BU11" i="22" l="1"/>
  <c r="BV11" i="22" s="1"/>
  <c r="BU12" i="22"/>
  <c r="BV12" i="22" s="1"/>
  <c r="BW12" i="22" s="1"/>
  <c r="BU33" i="22"/>
  <c r="BV33" i="22" s="1"/>
  <c r="BW33" i="22" s="1"/>
  <c r="BU32" i="22"/>
  <c r="BV32" i="22" s="1"/>
  <c r="BW32" i="22" s="1"/>
  <c r="BW34" i="22" s="1"/>
  <c r="BW35" i="22" s="1"/>
  <c r="BW36" i="22" s="1"/>
  <c r="BU25" i="22"/>
  <c r="BV25" i="22" s="1"/>
  <c r="BU26" i="22"/>
  <c r="BV26" i="22" s="1"/>
  <c r="BW26" i="22" s="1"/>
  <c r="BU19" i="22"/>
  <c r="BV19" i="22" s="1"/>
  <c r="BW19" i="22" s="1"/>
  <c r="BU18" i="22"/>
  <c r="BV18" i="22" s="1"/>
  <c r="BW18" i="22" s="1"/>
  <c r="BU20" i="22" l="1"/>
  <c r="BU21" i="22" s="1"/>
  <c r="BU22" i="22" s="1"/>
  <c r="BU27" i="22"/>
  <c r="BU28" i="22" s="1"/>
  <c r="BU29" i="22" s="1"/>
  <c r="BW20" i="22"/>
  <c r="BW21" i="22" s="1"/>
  <c r="BW22" i="22" s="1"/>
  <c r="BV13" i="22"/>
  <c r="BV14" i="22" s="1"/>
  <c r="BV15" i="22" s="1"/>
  <c r="BV27" i="22"/>
  <c r="BV28" i="22" s="1"/>
  <c r="BV29" i="22" s="1"/>
  <c r="BW25" i="22"/>
  <c r="BW27" i="22" s="1"/>
  <c r="BW28" i="22" s="1"/>
  <c r="BW29" i="22" s="1"/>
  <c r="BW11" i="22"/>
  <c r="BW13" i="22" s="1"/>
  <c r="BW14" i="22" s="1"/>
  <c r="BW15" i="22" s="1"/>
  <c r="BV20" i="22"/>
  <c r="BV21" i="22" s="1"/>
  <c r="BV22" i="22" s="1"/>
  <c r="BU34" i="22"/>
  <c r="BU35" i="22" s="1"/>
  <c r="BU36" i="22" s="1"/>
  <c r="BU13" i="22"/>
  <c r="BU14" i="22" s="1"/>
  <c r="BU15" i="22" s="1"/>
  <c r="BV34" i="22"/>
  <c r="BV35" i="22" s="1"/>
  <c r="BV36" i="22" s="1"/>
  <c r="AX52" i="28" l="1"/>
  <c r="AV54" i="28"/>
  <c r="AV55" i="28"/>
  <c r="AW52" i="28"/>
  <c r="AV52" i="28"/>
  <c r="AV53" i="28"/>
  <c r="AX55" i="28"/>
  <c r="AW53" i="28"/>
  <c r="AW55" i="28"/>
  <c r="AW54" i="28"/>
  <c r="AX54" i="28"/>
  <c r="AX53" i="28"/>
  <c r="AL31" i="30" l="1"/>
  <c r="AK31" i="30"/>
  <c r="AJ31" i="30"/>
  <c r="AJ32" i="30" s="1"/>
  <c r="AJ33" i="30" s="1"/>
  <c r="AJ34" i="30" s="1"/>
  <c r="AJ35" i="30" s="1"/>
  <c r="AJ36" i="30" s="1"/>
  <c r="AL10" i="30"/>
  <c r="AK24" i="30"/>
  <c r="AJ17" i="30"/>
  <c r="AJ18" i="30" s="1"/>
  <c r="AJ19" i="30" s="1"/>
  <c r="AJ20" i="30" s="1"/>
  <c r="AJ21" i="30" s="1"/>
  <c r="AJ22" i="30" s="1"/>
  <c r="AL17" i="30"/>
  <c r="AK17" i="30"/>
  <c r="AJ10" i="30"/>
  <c r="AK10" i="30"/>
  <c r="AL24" i="30"/>
  <c r="AJ24" i="30"/>
  <c r="AJ25" i="30" s="1"/>
  <c r="AJ26" i="30" s="1"/>
  <c r="AJ27" i="30" s="1"/>
  <c r="AJ28" i="30" s="1"/>
  <c r="AJ29" i="30" s="1"/>
  <c r="AX58" i="28"/>
  <c r="AX73" i="28" s="1"/>
  <c r="AZ68" i="27" s="1"/>
  <c r="AV58" i="28"/>
  <c r="AV71" i="28" s="1"/>
  <c r="AX48" i="27" s="1"/>
  <c r="AW58" i="28"/>
  <c r="AW72" i="28" s="1"/>
  <c r="AY58" i="27" s="1"/>
  <c r="AX72" i="28" l="1"/>
  <c r="AZ58" i="27" s="1"/>
  <c r="AV73" i="28"/>
  <c r="AX68" i="27" s="1"/>
  <c r="AX69" i="27" s="1"/>
  <c r="AV70" i="28"/>
  <c r="AV72" i="28"/>
  <c r="AX58" i="27" s="1"/>
  <c r="AX70" i="28"/>
  <c r="AZ38" i="27" s="1"/>
  <c r="CF50" i="11"/>
  <c r="CF68" i="11" s="1"/>
  <c r="CF57" i="11"/>
  <c r="AW71" i="28"/>
  <c r="AY48" i="27" s="1"/>
  <c r="AX71" i="28"/>
  <c r="AZ48" i="27" s="1"/>
  <c r="AW70" i="28"/>
  <c r="AY38" i="27" s="1"/>
  <c r="AK18" i="30"/>
  <c r="AK19" i="30" s="1"/>
  <c r="AL18" i="30"/>
  <c r="AL19" i="30" s="1"/>
  <c r="CG50" i="11"/>
  <c r="CG57" i="11"/>
  <c r="AX49" i="27"/>
  <c r="AX50" i="27" s="1"/>
  <c r="AX51" i="27" s="1"/>
  <c r="AX52" i="27" s="1"/>
  <c r="AX53" i="27" s="1"/>
  <c r="AX54" i="27" s="1"/>
  <c r="AW73" i="28"/>
  <c r="AY68" i="27" s="1"/>
  <c r="CH50" i="11"/>
  <c r="CH57" i="11"/>
  <c r="AK32" i="30"/>
  <c r="AK33" i="30" s="1"/>
  <c r="AK34" i="30" s="1"/>
  <c r="AK35" i="30" s="1"/>
  <c r="AK36" i="30" s="1"/>
  <c r="AX38" i="27"/>
  <c r="AX59" i="27"/>
  <c r="AX60" i="27" s="1"/>
  <c r="AX61" i="27" s="1"/>
  <c r="AX62" i="27" s="1"/>
  <c r="AX63" i="27" s="1"/>
  <c r="AX64" i="27" s="1"/>
  <c r="AJ11" i="30"/>
  <c r="AJ12" i="30" s="1"/>
  <c r="AJ13" i="30" s="1"/>
  <c r="AJ14" i="30" s="1"/>
  <c r="AJ15" i="30" s="1"/>
  <c r="AX39" i="27" s="1"/>
  <c r="AX40" i="27" s="1"/>
  <c r="AX41" i="27" s="1"/>
  <c r="AX42" i="27" s="1"/>
  <c r="AX43" i="27" s="1"/>
  <c r="AX44" i="27" s="1"/>
  <c r="AK25" i="30"/>
  <c r="AK26" i="30" s="1"/>
  <c r="AK27" i="30" s="1"/>
  <c r="AK28" i="30" s="1"/>
  <c r="AK29" i="30" s="1"/>
  <c r="AY59" i="27" s="1"/>
  <c r="AY60" i="27" s="1"/>
  <c r="AY61" i="27" s="1"/>
  <c r="AW51" i="28"/>
  <c r="AV51" i="28"/>
  <c r="AX51" i="28"/>
  <c r="AL25" i="30" l="1"/>
  <c r="AL26" i="30" s="1"/>
  <c r="AL27" i="30" s="1"/>
  <c r="AL28" i="30" s="1"/>
  <c r="AL29" i="30" s="1"/>
  <c r="AZ59" i="27" s="1"/>
  <c r="AZ60" i="27" s="1"/>
  <c r="AZ61" i="27" s="1"/>
  <c r="AX77" i="27"/>
  <c r="AX78" i="27" s="1"/>
  <c r="AX79" i="27" s="1"/>
  <c r="AY62" i="27"/>
  <c r="AY63" i="27" s="1"/>
  <c r="AY64" i="27" s="1"/>
  <c r="CG28" i="1"/>
  <c r="AZ86" i="27"/>
  <c r="AZ87" i="27" s="1"/>
  <c r="AZ88" i="27" s="1"/>
  <c r="AY86" i="27"/>
  <c r="AL32" i="30"/>
  <c r="AL33" i="30" s="1"/>
  <c r="AL34" i="30" s="1"/>
  <c r="AL35" i="30" s="1"/>
  <c r="AL36" i="30" s="1"/>
  <c r="AZ69" i="27" s="1"/>
  <c r="CF70" i="11"/>
  <c r="CG48" i="1" s="1"/>
  <c r="CG49" i="1" s="1"/>
  <c r="CG50" i="1" s="1"/>
  <c r="CG51" i="1" s="1"/>
  <c r="CG52" i="1" s="1"/>
  <c r="CG53" i="1" s="1"/>
  <c r="CG54" i="1" s="1"/>
  <c r="CF71" i="11"/>
  <c r="CG58" i="1" s="1"/>
  <c r="CG59" i="1" s="1"/>
  <c r="CG60" i="1" s="1"/>
  <c r="CG61" i="1" s="1"/>
  <c r="CG62" i="1" s="1"/>
  <c r="CG63" i="1" s="1"/>
  <c r="CG64" i="1" s="1"/>
  <c r="CF69" i="11"/>
  <c r="CG38" i="1" s="1"/>
  <c r="CG39" i="1" s="1"/>
  <c r="CG40" i="1" s="1"/>
  <c r="CG41" i="1" s="1"/>
  <c r="CG42" i="1" s="1"/>
  <c r="CG43" i="1" s="1"/>
  <c r="CG44" i="1" s="1"/>
  <c r="CF72" i="11"/>
  <c r="CG68" i="1" s="1"/>
  <c r="CG69" i="1" s="1"/>
  <c r="CG70" i="1" s="1"/>
  <c r="CG71" i="1" s="1"/>
  <c r="CG72" i="1" s="1"/>
  <c r="CG73" i="1" s="1"/>
  <c r="CG74" i="1" s="1"/>
  <c r="AY77" i="27"/>
  <c r="AY78" i="27" s="1"/>
  <c r="BU3" i="22"/>
  <c r="CF55" i="11"/>
  <c r="AJ3" i="30"/>
  <c r="AV69" i="28"/>
  <c r="AV74" i="28" s="1"/>
  <c r="AV56" i="28"/>
  <c r="AZ77" i="27"/>
  <c r="AZ78" i="27" s="1"/>
  <c r="AY87" i="27"/>
  <c r="AY88" i="27" s="1"/>
  <c r="CH55" i="11"/>
  <c r="CH68" i="11"/>
  <c r="BW3" i="22"/>
  <c r="CI28" i="1"/>
  <c r="AX86" i="27"/>
  <c r="AX87" i="27" s="1"/>
  <c r="AX88" i="27" s="1"/>
  <c r="AX89" i="27" s="1"/>
  <c r="AK11" i="30"/>
  <c r="AX70" i="27"/>
  <c r="BU5" i="22"/>
  <c r="BU4" i="22"/>
  <c r="BU6" i="22" s="1"/>
  <c r="BU7" i="22" s="1"/>
  <c r="BU8" i="22" s="1"/>
  <c r="CG29" i="1" s="1"/>
  <c r="AZ62" i="27"/>
  <c r="AZ63" i="27" s="1"/>
  <c r="AZ64" i="27" s="1"/>
  <c r="AZ70" i="27"/>
  <c r="AY69" i="27"/>
  <c r="CG70" i="11"/>
  <c r="CH48" i="1" s="1"/>
  <c r="CH49" i="1" s="1"/>
  <c r="CH50" i="1" s="1"/>
  <c r="CH51" i="1" s="1"/>
  <c r="CG69" i="11"/>
  <c r="CH38" i="1" s="1"/>
  <c r="CH39" i="1" s="1"/>
  <c r="CH40" i="1" s="1"/>
  <c r="CH41" i="1" s="1"/>
  <c r="CH42" i="1" s="1"/>
  <c r="CH43" i="1" s="1"/>
  <c r="CH44" i="1" s="1"/>
  <c r="CG71" i="11"/>
  <c r="CH58" i="1" s="1"/>
  <c r="CH59" i="1" s="1"/>
  <c r="CH60" i="1" s="1"/>
  <c r="CH61" i="1" s="1"/>
  <c r="CG72" i="11"/>
  <c r="CH68" i="1" s="1"/>
  <c r="CH69" i="1" s="1"/>
  <c r="AX81" i="27"/>
  <c r="AX82" i="27" s="1"/>
  <c r="AY79" i="27" s="1"/>
  <c r="AX80" i="27"/>
  <c r="AW69" i="28"/>
  <c r="AW74" i="28" s="1"/>
  <c r="AK3" i="30"/>
  <c r="AW56" i="28"/>
  <c r="CG55" i="11"/>
  <c r="BV3" i="22"/>
  <c r="CG68" i="11"/>
  <c r="CH28" i="1" s="1"/>
  <c r="AL3" i="30"/>
  <c r="AX69" i="28"/>
  <c r="AX74" i="28" s="1"/>
  <c r="AX56" i="28"/>
  <c r="CH70" i="11"/>
  <c r="CI48" i="1" s="1"/>
  <c r="CI49" i="1" s="1"/>
  <c r="CI50" i="1" s="1"/>
  <c r="CI51" i="1" s="1"/>
  <c r="CH72" i="11"/>
  <c r="CI68" i="1" s="1"/>
  <c r="CI69" i="1" s="1"/>
  <c r="CH71" i="11"/>
  <c r="CI58" i="1" s="1"/>
  <c r="CI59" i="1" s="1"/>
  <c r="CI60" i="1" s="1"/>
  <c r="CI61" i="1" s="1"/>
  <c r="CH69" i="11"/>
  <c r="CI38" i="1" s="1"/>
  <c r="CI39" i="1" s="1"/>
  <c r="CI40" i="1" s="1"/>
  <c r="CI41" i="1" s="1"/>
  <c r="AL20" i="30"/>
  <c r="AL21" i="30" s="1"/>
  <c r="AL22" i="30" s="1"/>
  <c r="AZ49" i="27" s="1"/>
  <c r="AZ50" i="27" s="1"/>
  <c r="AZ51" i="27" s="1"/>
  <c r="AK20" i="30"/>
  <c r="AK21" i="30" s="1"/>
  <c r="AK22" i="30" s="1"/>
  <c r="AY49" i="27" s="1"/>
  <c r="AY50" i="27" s="1"/>
  <c r="AY51" i="27" s="1"/>
  <c r="AY52" i="27" s="1"/>
  <c r="AY53" i="27" s="1"/>
  <c r="AY54" i="27" s="1"/>
  <c r="AY28" i="27" l="1"/>
  <c r="AY17" i="27" s="1"/>
  <c r="AX28" i="27"/>
  <c r="AX17" i="27" s="1"/>
  <c r="AJ4" i="30"/>
  <c r="AJ5" i="30" s="1"/>
  <c r="AJ6" i="30" s="1"/>
  <c r="AJ7" i="30" s="1"/>
  <c r="AJ8" i="30" s="1"/>
  <c r="AX29" i="27" s="1"/>
  <c r="CH62" i="1"/>
  <c r="CH63" i="1" s="1"/>
  <c r="CH64" i="1" s="1"/>
  <c r="CI42" i="1"/>
  <c r="CI43" i="1" s="1"/>
  <c r="CI44" i="1" s="1"/>
  <c r="CH52" i="1"/>
  <c r="CH53" i="1" s="1"/>
  <c r="CH54" i="1" s="1"/>
  <c r="CI52" i="1" s="1"/>
  <c r="CI53" i="1" s="1"/>
  <c r="CI54" i="1" s="1"/>
  <c r="CG17" i="1"/>
  <c r="CF73" i="11"/>
  <c r="CH17" i="1"/>
  <c r="AY80" i="27"/>
  <c r="AZ71" i="27"/>
  <c r="AY81" i="27"/>
  <c r="AY82" i="27" s="1"/>
  <c r="AZ79" i="27" s="1"/>
  <c r="AX93" i="27"/>
  <c r="AX91" i="27"/>
  <c r="AX92" i="27" s="1"/>
  <c r="AY89" i="27" s="1"/>
  <c r="AX90" i="27"/>
  <c r="CH70" i="1"/>
  <c r="CG30" i="1"/>
  <c r="CG18" i="1"/>
  <c r="CI17" i="1"/>
  <c r="AZ28" i="27"/>
  <c r="AZ17" i="27" s="1"/>
  <c r="CI62" i="1"/>
  <c r="CI63" i="1" s="1"/>
  <c r="CI64" i="1" s="1"/>
  <c r="BV5" i="22"/>
  <c r="BW5" i="22" s="1"/>
  <c r="CH73" i="11"/>
  <c r="BV4" i="22"/>
  <c r="BW4" i="22" s="1"/>
  <c r="AZ52" i="27"/>
  <c r="AZ53" i="27" s="1"/>
  <c r="AZ54" i="27" s="1"/>
  <c r="AY70" i="27"/>
  <c r="AX71" i="27"/>
  <c r="CI70" i="1"/>
  <c r="AK4" i="30"/>
  <c r="AK5" i="30" s="1"/>
  <c r="CG73" i="11"/>
  <c r="AK12" i="30"/>
  <c r="AK13" i="30" s="1"/>
  <c r="AK14" i="30" s="1"/>
  <c r="AK15" i="30" s="1"/>
  <c r="AY39" i="27" s="1"/>
  <c r="AY40" i="27" s="1"/>
  <c r="AY41" i="27" s="1"/>
  <c r="AY42" i="27" s="1"/>
  <c r="AY43" i="27" s="1"/>
  <c r="AY44" i="27" s="1"/>
  <c r="AZ42" i="27" s="1"/>
  <c r="AZ43" i="27" s="1"/>
  <c r="AZ44" i="27" s="1"/>
  <c r="AL11" i="30"/>
  <c r="AL12" i="30" s="1"/>
  <c r="AL13" i="30" s="1"/>
  <c r="AL14" i="30" s="1"/>
  <c r="AL15" i="30" s="1"/>
  <c r="AZ39" i="27" s="1"/>
  <c r="AZ40" i="27" s="1"/>
  <c r="AZ41" i="27" s="1"/>
  <c r="AX30" i="27" l="1"/>
  <c r="AX18" i="27"/>
  <c r="BV6" i="22"/>
  <c r="BV7" i="22" s="1"/>
  <c r="BV8" i="22" s="1"/>
  <c r="CH29" i="1" s="1"/>
  <c r="CH30" i="1" s="1"/>
  <c r="CH31" i="1" s="1"/>
  <c r="BW6" i="22"/>
  <c r="BW7" i="22" s="1"/>
  <c r="BW8" i="22" s="1"/>
  <c r="CI29" i="1" s="1"/>
  <c r="CI30" i="1" s="1"/>
  <c r="AY91" i="27"/>
  <c r="AY92" i="27" s="1"/>
  <c r="AZ89" i="27" s="1"/>
  <c r="AY93" i="27"/>
  <c r="CG31" i="1"/>
  <c r="CG19" i="1"/>
  <c r="AZ81" i="27"/>
  <c r="AZ82" i="27" s="1"/>
  <c r="CI71" i="1"/>
  <c r="AX72" i="27"/>
  <c r="CH18" i="1"/>
  <c r="CH71" i="1"/>
  <c r="AY71" i="27"/>
  <c r="AZ80" i="27"/>
  <c r="AK6" i="30"/>
  <c r="AK7" i="30" s="1"/>
  <c r="AK8" i="30" s="1"/>
  <c r="AY29" i="27" s="1"/>
  <c r="AY30" i="27" s="1"/>
  <c r="AY31" i="27" s="1"/>
  <c r="AL4" i="30"/>
  <c r="AL5" i="30" s="1"/>
  <c r="AL6" i="30" s="1"/>
  <c r="AL7" i="30" s="1"/>
  <c r="AL8" i="30" s="1"/>
  <c r="AZ29" i="27" s="1"/>
  <c r="AZ30" i="27" s="1"/>
  <c r="AZ31" i="27" s="1"/>
  <c r="AZ20" i="27" s="1"/>
  <c r="AY90" i="27"/>
  <c r="CI31" i="1" l="1"/>
  <c r="CI19" i="1"/>
  <c r="CI18" i="1"/>
  <c r="CH19" i="1"/>
  <c r="AX31" i="27"/>
  <c r="AX19" i="27"/>
  <c r="AZ90" i="27"/>
  <c r="AX73" i="27"/>
  <c r="AX74" i="27" s="1"/>
  <c r="AZ19" i="27"/>
  <c r="CG32" i="1"/>
  <c r="CG21" i="1" s="1"/>
  <c r="CG20" i="1"/>
  <c r="CH72" i="1"/>
  <c r="CH73" i="1" s="1"/>
  <c r="CH20" i="1"/>
  <c r="AZ93" i="27"/>
  <c r="AY19" i="27"/>
  <c r="AZ91" i="27"/>
  <c r="AZ92" i="27" s="1"/>
  <c r="AZ18" i="27"/>
  <c r="CI20" i="1"/>
  <c r="AY20" i="27"/>
  <c r="AY18" i="27"/>
  <c r="CG33" i="1" l="1"/>
  <c r="AX32" i="27"/>
  <c r="AX20" i="27"/>
  <c r="CH74" i="1"/>
  <c r="CG34" i="1"/>
  <c r="CG23" i="1"/>
  <c r="AY72" i="27"/>
  <c r="CG22" i="1"/>
  <c r="AX33" i="27" l="1"/>
  <c r="AX21" i="27"/>
  <c r="AY73" i="27"/>
  <c r="CI72" i="1"/>
  <c r="CG24" i="1"/>
  <c r="CH32" i="1"/>
  <c r="AX22" i="27" l="1"/>
  <c r="AX34" i="27"/>
  <c r="AX23" i="27"/>
  <c r="CH33" i="1"/>
  <c r="CH21" i="1"/>
  <c r="CI73" i="1"/>
  <c r="AY74" i="27"/>
  <c r="AY32" i="27" l="1"/>
  <c r="AX24" i="27"/>
  <c r="AZ72" i="27"/>
  <c r="CI74" i="1"/>
  <c r="CH22" i="1"/>
  <c r="CH34" i="1"/>
  <c r="CH23" i="1"/>
  <c r="AY33" i="27" l="1"/>
  <c r="AY21" i="27"/>
  <c r="CI32" i="1"/>
  <c r="CH24" i="1"/>
  <c r="AZ73" i="27"/>
  <c r="AY22" i="27" l="1"/>
  <c r="AY34" i="27"/>
  <c r="AY23" i="27"/>
  <c r="AZ74" i="27"/>
  <c r="CI33" i="1"/>
  <c r="CI21" i="1"/>
  <c r="AZ32" i="27" l="1"/>
  <c r="AY24" i="27"/>
  <c r="CI22" i="1"/>
  <c r="CI34" i="1"/>
  <c r="CI24" i="1" s="1"/>
  <c r="CI23" i="1"/>
  <c r="AZ33" i="27" l="1"/>
  <c r="AZ21" i="27"/>
  <c r="AZ22" i="27" l="1"/>
  <c r="AZ34" i="27"/>
  <c r="AZ24" i="27" s="1"/>
  <c r="AZ23" i="27"/>
  <c r="AZ7" i="27" l="1"/>
  <c r="AZ8" i="27" s="1"/>
  <c r="AY7" i="27" l="1"/>
  <c r="AY8" i="27" s="1"/>
  <c r="AX7" i="27"/>
  <c r="AX8" i="27" s="1"/>
  <c r="AX10" i="27" s="1"/>
  <c r="AX12" i="27" l="1"/>
  <c r="AX13" i="27" s="1"/>
  <c r="AY10" i="27" s="1"/>
  <c r="AX11" i="27"/>
  <c r="AY11" i="27" l="1"/>
  <c r="AY12" i="27"/>
  <c r="AY13" i="27" s="1"/>
  <c r="AZ10" i="27" s="1"/>
  <c r="AZ12" i="27" l="1"/>
  <c r="AZ13" i="27" s="1"/>
  <c r="AZ11"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AD5" authorId="0" shapeId="0" xr:uid="{00000000-0006-0000-0000-000001000000}">
      <text>
        <r>
          <rPr>
            <b/>
            <sz val="9"/>
            <color indexed="81"/>
            <rFont val="Tahoma"/>
            <family val="2"/>
          </rPr>
          <t>Filley, Kimberly S:</t>
        </r>
        <r>
          <rPr>
            <sz val="9"/>
            <color indexed="81"/>
            <rFont val="Tahoma"/>
            <family val="2"/>
          </rPr>
          <t xml:space="preserve">
includes cost and associated interest correction related to prud review to back out $21,490.44 in costs from March 19 - Sep 20 for RT = 34 as these are not recoverable through MEEIA and $491.96 in associated interest</t>
        </r>
      </text>
    </comment>
    <comment ref="AL5" authorId="0" shapeId="0" xr:uid="{00000000-0006-0000-0000-000002000000}">
      <text>
        <r>
          <rPr>
            <b/>
            <sz val="9"/>
            <color indexed="81"/>
            <rFont val="Tahoma"/>
            <family val="2"/>
          </rPr>
          <t>Filley, Kimberly S:</t>
        </r>
        <r>
          <rPr>
            <sz val="9"/>
            <color indexed="81"/>
            <rFont val="Tahoma"/>
            <family val="2"/>
          </rPr>
          <t xml:space="preserve">
PC and assoc. interest adj related to PAYS labor that was incorrectly included in M3 PC booked in GL in November 21</t>
        </r>
      </text>
    </comment>
    <comment ref="AO5" authorId="1" shapeId="0" xr:uid="{00000000-0006-0000-0000-000003000000}">
      <text>
        <r>
          <rPr>
            <b/>
            <sz val="9"/>
            <color indexed="81"/>
            <rFont val="Tahoma"/>
            <family val="2"/>
          </rPr>
          <t>Logan, Raysene:</t>
        </r>
        <r>
          <rPr>
            <sz val="9"/>
            <color indexed="81"/>
            <rFont val="Tahoma"/>
            <family val="2"/>
          </rPr>
          <t xml:space="preserve">
M2 Janaury 2022 ending balances rolled into M3 effective Feb 2022</t>
        </r>
      </text>
    </comment>
    <comment ref="AE6" authorId="0" shapeId="0" xr:uid="{00000000-0006-0000-0000-000004000000}">
      <text>
        <r>
          <rPr>
            <b/>
            <sz val="9"/>
            <color indexed="81"/>
            <rFont val="Tahoma"/>
            <family val="2"/>
          </rPr>
          <t>Filley, Kimberly S:</t>
        </r>
        <r>
          <rPr>
            <sz val="9"/>
            <color indexed="81"/>
            <rFont val="Tahoma"/>
            <family val="2"/>
          </rPr>
          <t xml:space="preserve">
includes $70.13 in costs related to PAYS program</t>
        </r>
      </text>
    </comment>
    <comment ref="AF6" authorId="0" shapeId="0" xr:uid="{00000000-0006-0000-0000-000005000000}">
      <text>
        <r>
          <rPr>
            <b/>
            <sz val="9"/>
            <color indexed="81"/>
            <rFont val="Tahoma"/>
            <family val="2"/>
          </rPr>
          <t>Filley, Kimberly S:</t>
        </r>
        <r>
          <rPr>
            <sz val="9"/>
            <color indexed="81"/>
            <rFont val="Tahoma"/>
            <family val="2"/>
          </rPr>
          <t xml:space="preserve">
includes $169.53 in costs related to PAYS program</t>
        </r>
      </text>
    </comment>
    <comment ref="AG6" authorId="0" shapeId="0" xr:uid="{00000000-0006-0000-0000-000006000000}">
      <text>
        <r>
          <rPr>
            <b/>
            <sz val="9"/>
            <color indexed="81"/>
            <rFont val="Tahoma"/>
            <family val="2"/>
          </rPr>
          <t>Filley, Kimberly S:</t>
        </r>
        <r>
          <rPr>
            <sz val="9"/>
            <color indexed="81"/>
            <rFont val="Tahoma"/>
            <family val="2"/>
          </rPr>
          <t xml:space="preserve">
includes $175.17 in costs related to PAYS program</t>
        </r>
      </text>
    </comment>
    <comment ref="AH6" authorId="0" shapeId="0" xr:uid="{00000000-0006-0000-0000-000007000000}">
      <text>
        <r>
          <rPr>
            <b/>
            <sz val="9"/>
            <color indexed="81"/>
            <rFont val="Tahoma"/>
            <family val="2"/>
          </rPr>
          <t>Filley, Kimberly S:</t>
        </r>
        <r>
          <rPr>
            <sz val="9"/>
            <color indexed="81"/>
            <rFont val="Tahoma"/>
            <family val="2"/>
          </rPr>
          <t xml:space="preserve">
includes $220.92 in costs related to PAYS program</t>
        </r>
      </text>
    </comment>
    <comment ref="AI6" authorId="0" shapeId="0" xr:uid="{00000000-0006-0000-0000-000008000000}">
      <text>
        <r>
          <rPr>
            <b/>
            <sz val="9"/>
            <color indexed="81"/>
            <rFont val="Tahoma"/>
            <family val="2"/>
          </rPr>
          <t>Filley, Kimberly S:</t>
        </r>
        <r>
          <rPr>
            <sz val="9"/>
            <color indexed="81"/>
            <rFont val="Tahoma"/>
            <family val="2"/>
          </rPr>
          <t xml:space="preserve">
includes $379 in costs related to PAYS program</t>
        </r>
      </text>
    </comment>
    <comment ref="AJ6" authorId="0" shapeId="0" xr:uid="{00000000-0006-0000-0000-000009000000}">
      <text>
        <r>
          <rPr>
            <b/>
            <sz val="9"/>
            <color indexed="81"/>
            <rFont val="Tahoma"/>
            <family val="2"/>
          </rPr>
          <t>Filley, Kimberly S:</t>
        </r>
        <r>
          <rPr>
            <sz val="9"/>
            <color indexed="81"/>
            <rFont val="Tahoma"/>
            <family val="2"/>
          </rPr>
          <t xml:space="preserve">
includes $592.10 in costs related to PAYS program</t>
        </r>
      </text>
    </comment>
    <comment ref="AK6" authorId="0" shapeId="0" xr:uid="{00000000-0006-0000-0000-00000A000000}">
      <text>
        <r>
          <rPr>
            <b/>
            <sz val="9"/>
            <color indexed="81"/>
            <rFont val="Tahoma"/>
            <family val="2"/>
          </rPr>
          <t>Filley, Kimberly S:</t>
        </r>
        <r>
          <rPr>
            <sz val="9"/>
            <color indexed="81"/>
            <rFont val="Tahoma"/>
            <family val="2"/>
          </rPr>
          <t xml:space="preserve">
includes $850.16 in costs related to PAYS program</t>
        </r>
      </text>
    </comment>
    <comment ref="AL6" authorId="0" shapeId="0" xr:uid="{00000000-0006-0000-0000-00000B000000}">
      <text>
        <r>
          <rPr>
            <b/>
            <sz val="9"/>
            <color indexed="81"/>
            <rFont val="Tahoma"/>
            <family val="2"/>
          </rPr>
          <t>Filley, Kimberly S:</t>
        </r>
        <r>
          <rPr>
            <sz val="9"/>
            <color indexed="81"/>
            <rFont val="Tahoma"/>
            <family val="2"/>
          </rPr>
          <t xml:space="preserve">
includes $1,213.81 in costs related to PAYS program</t>
        </r>
      </text>
    </comment>
    <comment ref="AM6" authorId="0" shapeId="0" xr:uid="{00000000-0006-0000-0000-00000C000000}">
      <text>
        <r>
          <rPr>
            <b/>
            <sz val="9"/>
            <color indexed="81"/>
            <rFont val="Tahoma"/>
            <family val="2"/>
          </rPr>
          <t>Filley, Kimberly S:</t>
        </r>
        <r>
          <rPr>
            <sz val="9"/>
            <color indexed="81"/>
            <rFont val="Tahoma"/>
            <family val="2"/>
          </rPr>
          <t xml:space="preserve">
includes $1,272.44 in costs related to PAYS program</t>
        </r>
      </text>
    </comment>
    <comment ref="AN6" authorId="0" shapeId="0" xr:uid="{00000000-0006-0000-0000-00000D000000}">
      <text>
        <r>
          <rPr>
            <b/>
            <sz val="9"/>
            <color indexed="81"/>
            <rFont val="Tahoma"/>
            <family val="2"/>
          </rPr>
          <t>Filley, Kimberly S:</t>
        </r>
        <r>
          <rPr>
            <sz val="9"/>
            <color indexed="81"/>
            <rFont val="Tahoma"/>
            <family val="2"/>
          </rPr>
          <t xml:space="preserve">
includes $1,419.25 in costs related to PAYS program</t>
        </r>
      </text>
    </comment>
    <comment ref="AO6" authorId="0" shapeId="0" xr:uid="{00000000-0006-0000-0000-00000E000000}">
      <text>
        <r>
          <rPr>
            <b/>
            <sz val="9"/>
            <color indexed="81"/>
            <rFont val="Tahoma"/>
            <family val="2"/>
          </rPr>
          <t>Filley, Kimberly S:</t>
        </r>
        <r>
          <rPr>
            <sz val="9"/>
            <color indexed="81"/>
            <rFont val="Tahoma"/>
            <family val="2"/>
          </rPr>
          <t xml:space="preserve">
includes $703.04 in costs related to PAYS program</t>
        </r>
      </text>
    </comment>
    <comment ref="AP6" authorId="0" shapeId="0" xr:uid="{00000000-0006-0000-0000-00000F000000}">
      <text>
        <r>
          <rPr>
            <b/>
            <sz val="9"/>
            <color indexed="81"/>
            <rFont val="Tahoma"/>
            <family val="2"/>
          </rPr>
          <t>Filley, Kimberly S:</t>
        </r>
        <r>
          <rPr>
            <sz val="9"/>
            <color indexed="81"/>
            <rFont val="Tahoma"/>
            <family val="2"/>
          </rPr>
          <t xml:space="preserve">
includes $725.21 in costs related to PAYS program and $8,404.86 resulting from the write-off of a PAYS customer account balance in the deferred spend PAYS account 182PAY</t>
        </r>
      </text>
    </comment>
    <comment ref="AQ6" authorId="0" shapeId="0" xr:uid="{00000000-0006-0000-0000-000010000000}">
      <text>
        <r>
          <rPr>
            <b/>
            <sz val="9"/>
            <color indexed="81"/>
            <rFont val="Tahoma"/>
            <family val="2"/>
          </rPr>
          <t>Filley, Kimberly S:</t>
        </r>
        <r>
          <rPr>
            <sz val="9"/>
            <color indexed="81"/>
            <rFont val="Tahoma"/>
            <family val="2"/>
          </rPr>
          <t xml:space="preserve">
includes $1078.71 in costs related to PAYS program </t>
        </r>
      </text>
    </comment>
    <comment ref="AR6" authorId="0" shapeId="0" xr:uid="{00000000-0006-0000-0000-000011000000}">
      <text>
        <r>
          <rPr>
            <b/>
            <sz val="9"/>
            <color indexed="81"/>
            <rFont val="Tahoma"/>
            <family val="2"/>
          </rPr>
          <t>Filley, Kimberly S:</t>
        </r>
        <r>
          <rPr>
            <sz val="9"/>
            <color indexed="81"/>
            <rFont val="Tahoma"/>
            <family val="2"/>
          </rPr>
          <t xml:space="preserve">
includes $1284.55 in costs related to PAYS program </t>
        </r>
      </text>
    </comment>
    <comment ref="AS6" authorId="0" shapeId="0" xr:uid="{00000000-0006-0000-0000-000012000000}">
      <text>
        <r>
          <rPr>
            <b/>
            <sz val="9"/>
            <color indexed="81"/>
            <rFont val="Tahoma"/>
            <family val="2"/>
          </rPr>
          <t>Filley, Kimberly S:</t>
        </r>
        <r>
          <rPr>
            <sz val="9"/>
            <color indexed="81"/>
            <rFont val="Tahoma"/>
            <family val="2"/>
          </rPr>
          <t xml:space="preserve">
includes $1386.29 in costs related to PAYS program </t>
        </r>
      </text>
    </comment>
    <comment ref="AT6" authorId="0" shapeId="0" xr:uid="{00000000-0006-0000-0000-000013000000}">
      <text>
        <r>
          <rPr>
            <b/>
            <sz val="9"/>
            <color indexed="81"/>
            <rFont val="Tahoma"/>
            <family val="2"/>
          </rPr>
          <t>Filley, Kimberly S:</t>
        </r>
        <r>
          <rPr>
            <sz val="9"/>
            <color indexed="81"/>
            <rFont val="Tahoma"/>
            <family val="2"/>
          </rPr>
          <t xml:space="preserve">
includes $1513.94 in costs related to PAYS program </t>
        </r>
      </text>
    </comment>
    <comment ref="AU6" authorId="0" shapeId="0" xr:uid="{00000000-0006-0000-0000-000014000000}">
      <text>
        <r>
          <rPr>
            <b/>
            <sz val="9"/>
            <color indexed="81"/>
            <rFont val="Tahoma"/>
            <family val="2"/>
          </rPr>
          <t>Filley, Kimberly S:</t>
        </r>
        <r>
          <rPr>
            <sz val="9"/>
            <color indexed="81"/>
            <rFont val="Tahoma"/>
            <family val="2"/>
          </rPr>
          <t xml:space="preserve">
includes $1616.65 in costs related to PAYS program </t>
        </r>
      </text>
    </comment>
    <comment ref="AV6" authorId="0" shapeId="0" xr:uid="{00000000-0006-0000-0000-000015000000}">
      <text>
        <r>
          <rPr>
            <b/>
            <sz val="9"/>
            <color indexed="81"/>
            <rFont val="Tahoma"/>
            <family val="2"/>
          </rPr>
          <t>Filley, Kimberly S:</t>
        </r>
        <r>
          <rPr>
            <sz val="9"/>
            <color indexed="81"/>
            <rFont val="Tahoma"/>
            <family val="2"/>
          </rPr>
          <t xml:space="preserve">
includes $1821.21 in costs related to PAYS program </t>
        </r>
      </text>
    </comment>
    <comment ref="AW6" authorId="0" shapeId="0" xr:uid="{00000000-0006-0000-0000-000016000000}">
      <text>
        <r>
          <rPr>
            <b/>
            <sz val="9"/>
            <color indexed="81"/>
            <rFont val="Tahoma"/>
            <family val="2"/>
          </rPr>
          <t>Filley, Kimberly S:</t>
        </r>
        <r>
          <rPr>
            <sz val="9"/>
            <color indexed="81"/>
            <rFont val="Tahoma"/>
            <family val="2"/>
          </rPr>
          <t xml:space="preserve">
includes $1889.83 in costs related to PAYS program </t>
        </r>
      </text>
    </comment>
    <comment ref="AN7" authorId="0" shapeId="0" xr:uid="{00000000-0006-0000-0000-000017000000}">
      <text>
        <r>
          <rPr>
            <b/>
            <sz val="9"/>
            <color indexed="81"/>
            <rFont val="Tahoma"/>
            <family val="2"/>
          </rPr>
          <t>Filley, Kimberly S:</t>
        </r>
        <r>
          <rPr>
            <sz val="9"/>
            <color indexed="81"/>
            <rFont val="Tahoma"/>
            <family val="2"/>
          </rPr>
          <t xml:space="preserve">
includes rev true-up related to Nov 21 of $11.21
</t>
        </r>
      </text>
    </comment>
    <comment ref="AS7" authorId="0" shapeId="0" xr:uid="{00000000-0006-0000-0000-000018000000}">
      <text>
        <r>
          <rPr>
            <b/>
            <sz val="9"/>
            <color indexed="81"/>
            <rFont val="Tahoma"/>
            <family val="2"/>
          </rPr>
          <t>Filley, Kimberly S:</t>
        </r>
        <r>
          <rPr>
            <sz val="9"/>
            <color indexed="81"/>
            <rFont val="Tahoma"/>
            <family val="2"/>
          </rPr>
          <t xml:space="preserve">
includes rev true-up related to Nov 21 of 
-$0.19
</t>
        </r>
      </text>
    </comment>
    <comment ref="N15" authorId="0" shapeId="0" xr:uid="{00000000-0006-0000-0000-000019000000}">
      <text>
        <r>
          <rPr>
            <b/>
            <sz val="9"/>
            <color indexed="81"/>
            <rFont val="Tahoma"/>
            <family val="2"/>
          </rPr>
          <t>Filley, Kimberly S:</t>
        </r>
        <r>
          <rPr>
            <sz val="9"/>
            <color indexed="81"/>
            <rFont val="Tahoma"/>
            <family val="2"/>
          </rPr>
          <t xml:space="preserve">
Note, this total value is not  linked into the TD-Total formulas below because already included via the TD 1M-4M and 11M updates we made below</t>
        </r>
      </text>
    </comment>
    <comment ref="Z15" authorId="0" shapeId="0" xr:uid="{00000000-0006-0000-0000-00001A000000}">
      <text>
        <r>
          <rPr>
            <b/>
            <sz val="9"/>
            <color indexed="81"/>
            <rFont val="Tahoma"/>
            <family val="2"/>
          </rPr>
          <t>Filley, Kimberly S:</t>
        </r>
        <r>
          <rPr>
            <sz val="9"/>
            <color indexed="81"/>
            <rFont val="Tahoma"/>
            <family val="2"/>
          </rPr>
          <t xml:space="preserve">
interest correction needed in Nov 2020 as interest was incorrectly calculated Feb - Oct 20 as this amount is already in the TD totals for 1M - 11M below do not need to link to this particular row to this TD-TOTAL total section in gray</t>
        </r>
      </text>
    </comment>
    <comment ref="AW26" authorId="0" shapeId="0" xr:uid="{00000000-0006-0000-0000-00001B000000}">
      <text>
        <r>
          <rPr>
            <b/>
            <sz val="9"/>
            <color indexed="81"/>
            <rFont val="Tahoma"/>
            <family val="2"/>
          </rPr>
          <t>Filley, Kimberly S:</t>
        </r>
        <r>
          <rPr>
            <sz val="9"/>
            <color indexed="81"/>
            <rFont val="Tahoma"/>
            <family val="2"/>
          </rPr>
          <t xml:space="preserve">
reallocation of TD over/under as result of KwH changes Nov 21-May 22 - overall net impact = $0</t>
        </r>
      </text>
    </comment>
    <comment ref="F29" authorId="1" shapeId="0" xr:uid="{00000000-0006-0000-0000-00001C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AW36" authorId="0" shapeId="0" xr:uid="{00000000-0006-0000-0000-00001D000000}">
      <text>
        <r>
          <rPr>
            <b/>
            <sz val="9"/>
            <color indexed="81"/>
            <rFont val="Tahoma"/>
            <family val="2"/>
          </rPr>
          <t>Filley, Kimberly S:</t>
        </r>
        <r>
          <rPr>
            <sz val="9"/>
            <color indexed="81"/>
            <rFont val="Tahoma"/>
            <family val="2"/>
          </rPr>
          <t xml:space="preserve">
reallocation of TD over/under as result of KwH changes Nov 21-May 22 - overall net impact = $0</t>
        </r>
      </text>
    </comment>
    <comment ref="F39" authorId="1" shapeId="0" xr:uid="{00000000-0006-0000-0000-00001E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AW46" authorId="0" shapeId="0" xr:uid="{00000000-0006-0000-0000-00001F000000}">
      <text>
        <r>
          <rPr>
            <b/>
            <sz val="9"/>
            <color indexed="81"/>
            <rFont val="Tahoma"/>
            <family val="2"/>
          </rPr>
          <t>Filley, Kimberly S:</t>
        </r>
        <r>
          <rPr>
            <sz val="9"/>
            <color indexed="81"/>
            <rFont val="Tahoma"/>
            <family val="2"/>
          </rPr>
          <t xml:space="preserve">
reallocation of TD over/under as result of KwH changes Nov 21-May 22 - overall net impact = $0</t>
        </r>
      </text>
    </comment>
    <comment ref="F49" authorId="1" shapeId="0" xr:uid="{00000000-0006-0000-0000-000020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AW56" authorId="0" shapeId="0" xr:uid="{00000000-0006-0000-0000-000021000000}">
      <text>
        <r>
          <rPr>
            <b/>
            <sz val="9"/>
            <color indexed="81"/>
            <rFont val="Tahoma"/>
            <family val="2"/>
          </rPr>
          <t>Filley, Kimberly S:</t>
        </r>
        <r>
          <rPr>
            <sz val="9"/>
            <color indexed="81"/>
            <rFont val="Tahoma"/>
            <family val="2"/>
          </rPr>
          <t xml:space="preserve">
reallocation of TD over/under as result of KwH changes Nov 21-May 22 - overall net impact = $0</t>
        </r>
      </text>
    </comment>
    <comment ref="F59" authorId="1" shapeId="0" xr:uid="{00000000-0006-0000-0000-000022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AW66" authorId="0" shapeId="0" xr:uid="{00000000-0006-0000-0000-000023000000}">
      <text>
        <r>
          <rPr>
            <b/>
            <sz val="9"/>
            <color indexed="81"/>
            <rFont val="Tahoma"/>
            <family val="2"/>
          </rPr>
          <t>Filley, Kimberly S:</t>
        </r>
        <r>
          <rPr>
            <sz val="9"/>
            <color indexed="81"/>
            <rFont val="Tahoma"/>
            <family val="2"/>
          </rPr>
          <t xml:space="preserve">
reallocation of TD over/under as result of KwH changes Nov 21-May 22 - overall net impact = $0</t>
        </r>
      </text>
    </comment>
    <comment ref="F69" authorId="1" shapeId="0" xr:uid="{00000000-0006-0000-0000-000024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AC76" authorId="1" shapeId="0" xr:uid="{00000000-0006-0000-0000-000025000000}">
      <text>
        <r>
          <rPr>
            <b/>
            <sz val="9"/>
            <color indexed="81"/>
            <rFont val="Tahoma"/>
            <family val="2"/>
          </rPr>
          <t>Logan, Raysene:</t>
        </r>
        <r>
          <rPr>
            <sz val="9"/>
            <color indexed="81"/>
            <rFont val="Tahoma"/>
            <family val="2"/>
          </rPr>
          <t xml:space="preserve">
OA of -$50K should have been in MEEIA Nov 2020 filing, booked to GL in Feb 2021 and will be part of rates starting Feb 2022</t>
        </r>
      </text>
    </comment>
    <comment ref="AK76" authorId="1" shapeId="0" xr:uid="{00000000-0006-0000-0000-000026000000}">
      <text>
        <r>
          <rPr>
            <b/>
            <sz val="9"/>
            <color indexed="81"/>
            <rFont val="Tahoma"/>
            <family val="2"/>
          </rPr>
          <t>Logan, Raysene:</t>
        </r>
        <r>
          <rPr>
            <sz val="9"/>
            <color indexed="81"/>
            <rFont val="Tahoma"/>
            <family val="2"/>
          </rPr>
          <t xml:space="preserve">
OA of -$153,732.06 booked to GL in Nov  2021 and will be part of rates starting Feb 2022 </t>
        </r>
      </text>
    </comment>
    <comment ref="AL76" authorId="0" shapeId="0" xr:uid="{00000000-0006-0000-0000-000027000000}">
      <text>
        <r>
          <rPr>
            <b/>
            <sz val="9"/>
            <color indexed="81"/>
            <rFont val="Tahoma"/>
            <family val="2"/>
          </rPr>
          <t>Filley, Kimberly S:</t>
        </r>
        <r>
          <rPr>
            <sz val="9"/>
            <color indexed="81"/>
            <rFont val="Tahoma"/>
            <family val="2"/>
          </rPr>
          <t xml:space="preserve">
interest of -$31.02 on the -$50K OA that should w/h/been included in M3 had the OA been initially recorded in Nov 20 instead of Feb 21 - booked in GL in Nov 21  </t>
        </r>
      </text>
    </comment>
    <comment ref="AO76" authorId="1" shapeId="0" xr:uid="{00000000-0006-0000-0000-000028000000}">
      <text>
        <r>
          <rPr>
            <b/>
            <sz val="9"/>
            <color indexed="81"/>
            <rFont val="Tahoma"/>
            <family val="2"/>
          </rPr>
          <t>Logan, Raysene:</t>
        </r>
        <r>
          <rPr>
            <sz val="9"/>
            <color indexed="81"/>
            <rFont val="Tahoma"/>
            <family val="2"/>
          </rPr>
          <t xml:space="preserve">
M2 Janaury 2022 ending balances rolled into M3 effective Feb 2022</t>
        </r>
      </text>
    </comment>
    <comment ref="AL78" authorId="0" shapeId="0" xr:uid="{00000000-0006-0000-0000-000029000000}">
      <text>
        <r>
          <rPr>
            <b/>
            <sz val="9"/>
            <color indexed="81"/>
            <rFont val="Tahoma"/>
            <family val="2"/>
          </rPr>
          <t>Filley, Kimberly S:</t>
        </r>
        <r>
          <rPr>
            <sz val="9"/>
            <color indexed="81"/>
            <rFont val="Tahoma"/>
            <family val="2"/>
          </rPr>
          <t xml:space="preserve">
manually adjusted to split the total OA amount of  -$153K into an over/under amort amount and an interest amount herein</t>
        </r>
      </text>
    </comment>
    <comment ref="AL79" authorId="0" shapeId="0" xr:uid="{00000000-0006-0000-0000-00002A000000}">
      <text>
        <r>
          <rPr>
            <b/>
            <sz val="9"/>
            <color indexed="81"/>
            <rFont val="Tahoma"/>
            <family val="2"/>
          </rPr>
          <t>Filley, Kimberly S:</t>
        </r>
        <r>
          <rPr>
            <sz val="9"/>
            <color indexed="81"/>
            <rFont val="Tahoma"/>
            <family val="2"/>
          </rPr>
          <t xml:space="preserve">
manually adjustment to pick up the -$1.8K in interest that I took out of the amortization portion of the calculation as it s/n/h gone there in Oct 21 only the base amount of the OA should have gone to the amort section of the over under and the interest should have gone to the interest row in Oct 21</t>
        </r>
      </text>
    </comment>
    <comment ref="Q84" authorId="0" shapeId="0" xr:uid="{00000000-0006-0000-0000-00002B000000}">
      <text>
        <r>
          <rPr>
            <b/>
            <sz val="9"/>
            <color indexed="81"/>
            <rFont val="Tahoma"/>
            <family val="2"/>
          </rPr>
          <t>Filley, Kimberly S:</t>
        </r>
        <r>
          <rPr>
            <sz val="9"/>
            <color indexed="81"/>
            <rFont val="Tahoma"/>
            <family val="2"/>
          </rPr>
          <t xml:space="preserve">
each time new EO rates go into effect have to update this cell - no M3 EO rate in effect currently so no value to put herein at this time - see comment box in same section of the MEEIA 2 calcs tab herein for how to handle when M3 EO rates do go into effect</t>
        </r>
      </text>
    </comment>
    <comment ref="W84" authorId="1" shapeId="0" xr:uid="{00000000-0006-0000-0000-00002C000000}">
      <text>
        <r>
          <rPr>
            <b/>
            <sz val="9"/>
            <color indexed="81"/>
            <rFont val="Tahoma"/>
            <family val="2"/>
          </rPr>
          <t>Logan, Raysene:</t>
        </r>
        <r>
          <rPr>
            <sz val="9"/>
            <color indexed="81"/>
            <rFont val="Tahoma"/>
            <family val="2"/>
          </rPr>
          <t xml:space="preserve">
2019 EO for M3 of $6.6M booked in August 20 and includes a TD True-up -$344K</t>
        </r>
      </text>
    </comment>
    <comment ref="AJ84" authorId="1" shapeId="0" xr:uid="{00000000-0006-0000-0000-00002D000000}">
      <text>
        <r>
          <rPr>
            <b/>
            <sz val="9"/>
            <color indexed="81"/>
            <rFont val="Tahoma"/>
            <family val="2"/>
          </rPr>
          <t>Filley, Kim:</t>
        </r>
        <r>
          <rPr>
            <sz val="9"/>
            <color indexed="81"/>
            <rFont val="Tahoma"/>
            <family val="2"/>
          </rPr>
          <t xml:space="preserve">
-$613,446.59: TD True-up for inclusion in EO booked to GL in September 21
-$100,000: stipulated Black Box amount for inclusion in EO booked to GL in September 21
+$10,195,155.19: M3 PY2020 EO booked to GL in September 21</t>
        </r>
      </text>
    </comment>
    <comment ref="AO84" authorId="1" shapeId="0" xr:uid="{00000000-0006-0000-0000-00002E000000}">
      <text>
        <r>
          <rPr>
            <b/>
            <sz val="9"/>
            <color indexed="81"/>
            <rFont val="Tahoma"/>
            <family val="2"/>
          </rPr>
          <t>Logan, Raysene:</t>
        </r>
        <r>
          <rPr>
            <sz val="9"/>
            <color indexed="81"/>
            <rFont val="Tahoma"/>
            <family val="2"/>
          </rPr>
          <t xml:space="preserve">
M2 Janaury 2022 ending balances rolled into M3 effective Feb 2022</t>
        </r>
      </text>
    </comment>
    <comment ref="AU84" authorId="1" shapeId="0" xr:uid="{00000000-0006-0000-0000-00002F000000}">
      <text>
        <r>
          <rPr>
            <b/>
            <sz val="9"/>
            <color indexed="81"/>
            <rFont val="Tahoma"/>
            <family val="2"/>
          </rPr>
          <t>Filley, Kim:</t>
        </r>
        <r>
          <rPr>
            <sz val="9"/>
            <color indexed="81"/>
            <rFont val="Tahoma"/>
            <family val="2"/>
          </rPr>
          <t xml:space="preserve">
-$1,019,499.30: TD True-up for inclusion in EO booked to GL in August 2022
+$12,767,185.73: M3 PY2021 EO booked to GL in August 2022</t>
        </r>
      </text>
    </comment>
    <comment ref="AW84" authorId="1" shapeId="0" xr:uid="{00000000-0006-0000-0000-000030000000}">
      <text>
        <r>
          <rPr>
            <b/>
            <sz val="9"/>
            <color indexed="81"/>
            <rFont val="Tahoma"/>
            <family val="2"/>
          </rPr>
          <t>Filley, Kim:</t>
        </r>
        <r>
          <rPr>
            <sz val="9"/>
            <color indexed="81"/>
            <rFont val="Tahoma"/>
            <family val="2"/>
          </rPr>
          <t xml:space="preserve">
-$197.32: True-up of TD True-up for inclusion in EO booked to GL in October 2022
</t>
        </r>
      </text>
    </comment>
    <comment ref="AS86" authorId="0" shapeId="0" xr:uid="{00000000-0006-0000-0000-000031000000}">
      <text>
        <r>
          <rPr>
            <b/>
            <sz val="9"/>
            <color indexed="81"/>
            <rFont val="Tahoma"/>
            <family val="2"/>
          </rPr>
          <t>Filley, Kimberly S:</t>
        </r>
        <r>
          <rPr>
            <sz val="9"/>
            <color indexed="81"/>
            <rFont val="Tahoma"/>
            <family val="2"/>
          </rPr>
          <t xml:space="preserve">
includes rev true-up related to Nov 21 of 
$3.25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M6" authorId="0" shapeId="0" xr:uid="{00000000-0006-0000-0100-000001000000}">
      <text>
        <r>
          <rPr>
            <b/>
            <sz val="9"/>
            <color indexed="81"/>
            <rFont val="Tahoma"/>
            <family val="2"/>
          </rPr>
          <t>Filley, Kimberly S:</t>
        </r>
        <r>
          <rPr>
            <sz val="9"/>
            <color indexed="81"/>
            <rFont val="Tahoma"/>
            <family val="2"/>
          </rPr>
          <t xml:space="preserve">
reclassing of Sept 30, 2021 PAYS balance to Non-MEEIA Rate Base accounts effective February 2022
</t>
        </r>
      </text>
    </comment>
    <comment ref="N7" authorId="0" shapeId="0" xr:uid="{00000000-0006-0000-0100-000002000000}">
      <text>
        <r>
          <rPr>
            <b/>
            <sz val="9"/>
            <color indexed="81"/>
            <rFont val="Tahoma"/>
            <family val="2"/>
          </rPr>
          <t>Filley, Kimberly S:</t>
        </r>
        <r>
          <rPr>
            <sz val="9"/>
            <color indexed="81"/>
            <rFont val="Tahoma"/>
            <family val="2"/>
          </rPr>
          <t xml:space="preserve">
Outstanding customer PAYS balance as of Dec 2021 was written off in March 2022 as such associated deferred spend less amortization was also written off to MEEIA 3 PC in March 2022 </t>
        </r>
      </text>
    </comment>
    <comment ref="N12" authorId="0" shapeId="0" xr:uid="{00000000-0006-0000-0100-000003000000}">
      <text>
        <r>
          <rPr>
            <b/>
            <sz val="9"/>
            <color indexed="81"/>
            <rFont val="Tahoma"/>
            <family val="2"/>
          </rPr>
          <t>Filley, Kimberly S:</t>
        </r>
        <r>
          <rPr>
            <sz val="9"/>
            <color indexed="81"/>
            <rFont val="Tahoma"/>
            <family val="2"/>
          </rPr>
          <t xml:space="preserve">
updated as result of rate case finalization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Logan, Raysene</author>
    <author>Filley, Kimberly S</author>
    <author>Raysene Logan</author>
  </authors>
  <commentList>
    <comment ref="P5" authorId="0" shapeId="0" xr:uid="{00000000-0006-0000-0500-000001000000}">
      <text>
        <r>
          <rPr>
            <b/>
            <sz val="9"/>
            <color indexed="81"/>
            <rFont val="Tahoma"/>
            <family val="2"/>
          </rPr>
          <t>Logan, Raysene:</t>
        </r>
        <r>
          <rPr>
            <sz val="9"/>
            <color indexed="81"/>
            <rFont val="Tahoma"/>
            <family val="2"/>
          </rPr>
          <t xml:space="preserve">
M1 ending balances rolled into M2 effective Feb 2017</t>
        </r>
      </text>
    </comment>
    <comment ref="Y5" authorId="0" shapeId="0" xr:uid="{00000000-0006-0000-0500-000002000000}">
      <text>
        <r>
          <rPr>
            <b/>
            <sz val="9"/>
            <color indexed="81"/>
            <rFont val="Tahoma"/>
            <family val="2"/>
          </rPr>
          <t>Logan, Raysene:</t>
        </r>
        <r>
          <rPr>
            <sz val="9"/>
            <color indexed="81"/>
            <rFont val="Tahoma"/>
            <family val="2"/>
          </rPr>
          <t xml:space="preserve">
to adjust interest related to Cardinals sign expense removal and radio allocation changes booked in November</t>
        </r>
      </text>
    </comment>
    <comment ref="BM5" authorId="1" shapeId="0" xr:uid="{00000000-0006-0000-0500-000003000000}">
      <text>
        <r>
          <rPr>
            <b/>
            <sz val="9"/>
            <color indexed="81"/>
            <rFont val="Tahoma"/>
            <family val="2"/>
          </rPr>
          <t>Filley, Kimberly S:</t>
        </r>
        <r>
          <rPr>
            <sz val="9"/>
            <color indexed="81"/>
            <rFont val="Tahoma"/>
            <family val="2"/>
          </rPr>
          <t xml:space="preserve">
includes cost and associated interest correction related to prud review to back out $3,273.98 in costs from March 19 - Sep 20 for RT = 34 as these are not recoverable through MEEIA and $66.60 in associated interest</t>
        </r>
      </text>
    </comment>
    <comment ref="AS15" authorId="0" shapeId="0" xr:uid="{00000000-0006-0000-0500-000004000000}">
      <text>
        <r>
          <rPr>
            <b/>
            <sz val="9"/>
            <color indexed="81"/>
            <rFont val="Tahoma"/>
            <family val="2"/>
          </rPr>
          <t>Logan, Raysene:</t>
        </r>
        <r>
          <rPr>
            <sz val="9"/>
            <color indexed="81"/>
            <rFont val="Tahoma"/>
            <family val="2"/>
          </rPr>
          <t xml:space="preserve">
to adjust interest related to TD HER adjs booked in July.
Manually adj formulas in red below to include interest adj in total - did NOT push down to customer classes</t>
        </r>
      </text>
    </comment>
    <comment ref="P26" authorId="0" shapeId="0" xr:uid="{00000000-0006-0000-0500-000005000000}">
      <text>
        <r>
          <rPr>
            <b/>
            <sz val="9"/>
            <color indexed="81"/>
            <rFont val="Tahoma"/>
            <family val="2"/>
          </rPr>
          <t>Logan, Raysene:</t>
        </r>
        <r>
          <rPr>
            <sz val="9"/>
            <color indexed="81"/>
            <rFont val="Tahoma"/>
            <family val="2"/>
          </rPr>
          <t xml:space="preserve">
splits by rate class from M1 final recon to be filed 11-2017</t>
        </r>
      </text>
    </comment>
    <comment ref="AS26" authorId="0" shapeId="0" xr:uid="{00000000-0006-0000-0500-000006000000}">
      <text>
        <r>
          <rPr>
            <b/>
            <sz val="9"/>
            <color indexed="81"/>
            <rFont val="Tahoma"/>
            <family val="2"/>
          </rPr>
          <t>Logan, Raysene:</t>
        </r>
        <r>
          <rPr>
            <sz val="9"/>
            <color indexed="81"/>
            <rFont val="Tahoma"/>
            <family val="2"/>
          </rPr>
          <t xml:space="preserve">
to adjust interest related to TD HER adjs booked in July.
Manually adj formulas in red below to include interest adj in total - did NOT push down to customer classes</t>
        </r>
      </text>
    </comment>
    <comment ref="CF26" authorId="1" shapeId="0" xr:uid="{00000000-0006-0000-0500-000007000000}">
      <text>
        <r>
          <rPr>
            <b/>
            <sz val="9"/>
            <color indexed="81"/>
            <rFont val="Tahoma"/>
            <family val="2"/>
          </rPr>
          <t>Filley, Kimberly S:</t>
        </r>
        <r>
          <rPr>
            <sz val="9"/>
            <color indexed="81"/>
            <rFont val="Tahoma"/>
            <family val="2"/>
          </rPr>
          <t xml:space="preserve">
reallocation of TD over/under as result of KwH changes Nov 21-May 22 - overall net impact = $0</t>
        </r>
      </text>
    </comment>
    <comment ref="CF36" authorId="1" shapeId="0" xr:uid="{00000000-0006-0000-0500-000008000000}">
      <text>
        <r>
          <rPr>
            <b/>
            <sz val="9"/>
            <color indexed="81"/>
            <rFont val="Tahoma"/>
            <family val="2"/>
          </rPr>
          <t>Filley, Kimberly S:</t>
        </r>
        <r>
          <rPr>
            <sz val="9"/>
            <color indexed="81"/>
            <rFont val="Tahoma"/>
            <family val="2"/>
          </rPr>
          <t xml:space="preserve">
reallocation of TD over/under as result of KwH changes Nov 21-May 22 - overall net impact = $0</t>
        </r>
      </text>
    </comment>
    <comment ref="CF46" authorId="1" shapeId="0" xr:uid="{00000000-0006-0000-0500-000009000000}">
      <text>
        <r>
          <rPr>
            <b/>
            <sz val="9"/>
            <color indexed="81"/>
            <rFont val="Tahoma"/>
            <family val="2"/>
          </rPr>
          <t>Filley, Kimberly S:</t>
        </r>
        <r>
          <rPr>
            <sz val="9"/>
            <color indexed="81"/>
            <rFont val="Tahoma"/>
            <family val="2"/>
          </rPr>
          <t xml:space="preserve">
reallocation of TD over/under as result of KwH changes Nov 21-May 22 - overall net impact = $0</t>
        </r>
      </text>
    </comment>
    <comment ref="CF56" authorId="1" shapeId="0" xr:uid="{00000000-0006-0000-0500-00000A000000}">
      <text>
        <r>
          <rPr>
            <b/>
            <sz val="9"/>
            <color indexed="81"/>
            <rFont val="Tahoma"/>
            <family val="2"/>
          </rPr>
          <t>Filley, Kimberly S:</t>
        </r>
        <r>
          <rPr>
            <sz val="9"/>
            <color indexed="81"/>
            <rFont val="Tahoma"/>
            <family val="2"/>
          </rPr>
          <t xml:space="preserve">
reallocation of TD over/under as result of KwH changes Nov 21-May 22 - overall net impact = $0</t>
        </r>
      </text>
    </comment>
    <comment ref="CF66" authorId="1" shapeId="0" xr:uid="{00000000-0006-0000-0500-00000B000000}">
      <text>
        <r>
          <rPr>
            <b/>
            <sz val="9"/>
            <color indexed="81"/>
            <rFont val="Tahoma"/>
            <family val="2"/>
          </rPr>
          <t>Filley, Kimberly S:</t>
        </r>
        <r>
          <rPr>
            <sz val="9"/>
            <color indexed="81"/>
            <rFont val="Tahoma"/>
            <family val="2"/>
          </rPr>
          <t xml:space="preserve">
reallocation of TD over/under as result of KwH changes Nov 21-May 22 - overall net impact = $0</t>
        </r>
      </text>
    </comment>
    <comment ref="Y76" authorId="0" shapeId="0" xr:uid="{00000000-0006-0000-0500-00000C000000}">
      <text>
        <r>
          <rPr>
            <b/>
            <sz val="9"/>
            <color indexed="81"/>
            <rFont val="Tahoma"/>
            <family val="2"/>
          </rPr>
          <t>Logan, Raysene:</t>
        </r>
        <r>
          <rPr>
            <sz val="9"/>
            <color indexed="81"/>
            <rFont val="Tahoma"/>
            <family val="2"/>
          </rPr>
          <t xml:space="preserve">
OA in MEEIA Nov 2017 filing and booked to GL in Nov 2017, will be in rates starting Feb 2018</t>
        </r>
      </text>
    </comment>
    <comment ref="AK76" authorId="0" shapeId="0" xr:uid="{00000000-0006-0000-0500-00000D000000}">
      <text>
        <r>
          <rPr>
            <b/>
            <sz val="9"/>
            <color indexed="81"/>
            <rFont val="Tahoma"/>
            <family val="2"/>
          </rPr>
          <t>Logan, Raysene:</t>
        </r>
        <r>
          <rPr>
            <sz val="9"/>
            <color indexed="81"/>
            <rFont val="Tahoma"/>
            <family val="2"/>
          </rPr>
          <t xml:space="preserve">
OA in MEEIA Nov 2018 filing and booked to GL in Nov 2018, will be in rates starting Feb 2019</t>
        </r>
      </text>
    </comment>
    <comment ref="AM84" authorId="0" shapeId="0" xr:uid="{00000000-0006-0000-0500-00000E000000}">
      <text>
        <r>
          <rPr>
            <b/>
            <sz val="9"/>
            <color indexed="81"/>
            <rFont val="Tahoma"/>
            <family val="2"/>
          </rPr>
          <t>Logan, Raysene:</t>
        </r>
        <r>
          <rPr>
            <sz val="9"/>
            <color indexed="81"/>
            <rFont val="Tahoma"/>
            <family val="2"/>
          </rPr>
          <t xml:space="preserve">
Additional $9M awarded in avoided cost complaint ruling, booked in Jan 19 GL</t>
        </r>
      </text>
    </comment>
    <comment ref="AW84" authorId="1" shapeId="0" xr:uid="{00000000-0006-0000-0500-00000F000000}">
      <text>
        <r>
          <rPr>
            <b/>
            <sz val="9"/>
            <color indexed="81"/>
            <rFont val="Tahoma"/>
            <family val="2"/>
          </rPr>
          <t>Filley, Kimberly S:</t>
        </r>
        <r>
          <rPr>
            <sz val="9"/>
            <color indexed="81"/>
            <rFont val="Tahoma"/>
            <family val="2"/>
          </rPr>
          <t xml:space="preserve">
moved into M2 amounts below so anything M1 related for this will be input into the pink cells below going forward</t>
        </r>
      </text>
    </comment>
    <comment ref="AM85" authorId="0" shapeId="0" xr:uid="{00000000-0006-0000-0500-000010000000}">
      <text>
        <r>
          <rPr>
            <b/>
            <sz val="9"/>
            <color indexed="81"/>
            <rFont val="Tahoma"/>
            <family val="2"/>
          </rPr>
          <t>Logan, Raysene:</t>
        </r>
        <r>
          <rPr>
            <sz val="9"/>
            <color indexed="81"/>
            <rFont val="Tahoma"/>
            <family val="2"/>
          </rPr>
          <t xml:space="preserve">
M1 P1 amount fully amortized as of 12/31</t>
        </r>
      </text>
    </comment>
    <comment ref="AL95" authorId="0" shapeId="0" xr:uid="{00000000-0006-0000-0500-000011000000}">
      <text>
        <r>
          <rPr>
            <b/>
            <sz val="9"/>
            <color indexed="81"/>
            <rFont val="Tahoma"/>
            <family val="2"/>
          </rPr>
          <t>Logan, Raysene:</t>
        </r>
        <r>
          <rPr>
            <sz val="9"/>
            <color indexed="81"/>
            <rFont val="Tahoma"/>
            <family val="2"/>
          </rPr>
          <t xml:space="preserve">
First 1/2 of 2017 booked in Dec 18 GL</t>
        </r>
      </text>
    </comment>
    <comment ref="AM95" authorId="0" shapeId="0" xr:uid="{00000000-0006-0000-0500-000012000000}">
      <text>
        <r>
          <rPr>
            <b/>
            <sz val="9"/>
            <color indexed="81"/>
            <rFont val="Tahoma"/>
            <family val="2"/>
          </rPr>
          <t>Logan, Raysene:</t>
        </r>
        <r>
          <rPr>
            <sz val="9"/>
            <color indexed="81"/>
            <rFont val="Tahoma"/>
            <family val="2"/>
          </rPr>
          <t xml:space="preserve">
Second 1/2 of 2017 and 2016 booked in Jan 19 GL</t>
        </r>
      </text>
    </comment>
    <comment ref="AU95" authorId="0" shapeId="0" xr:uid="{00000000-0006-0000-0500-000013000000}">
      <text>
        <r>
          <rPr>
            <b/>
            <sz val="9"/>
            <color indexed="81"/>
            <rFont val="Tahoma"/>
            <family val="2"/>
          </rPr>
          <t>Logan, Raysene:</t>
        </r>
        <r>
          <rPr>
            <sz val="9"/>
            <color indexed="81"/>
            <rFont val="Tahoma"/>
            <family val="2"/>
          </rPr>
          <t xml:space="preserve">
Final EO calc booked in Sep 19 GL</t>
        </r>
      </text>
    </comment>
    <comment ref="AW95" authorId="2" shapeId="0" xr:uid="{00000000-0006-0000-0500-000014000000}">
      <text>
        <r>
          <rPr>
            <b/>
            <sz val="9"/>
            <color indexed="81"/>
            <rFont val="Tahoma"/>
            <family val="2"/>
          </rPr>
          <t>Raysene Logan:</t>
        </r>
        <r>
          <rPr>
            <sz val="9"/>
            <color indexed="81"/>
            <rFont val="Tahoma"/>
            <family val="2"/>
          </rPr>
          <t xml:space="preserve">
Rolling M1 PI balance into M2 effective Nov 2019 with annual MEEIA rate filing</t>
        </r>
      </text>
    </comment>
    <comment ref="BF95" authorId="0" shapeId="0" xr:uid="{00000000-0006-0000-0500-000015000000}">
      <text>
        <r>
          <rPr>
            <b/>
            <sz val="9"/>
            <color indexed="81"/>
            <rFont val="Tahoma"/>
            <family val="2"/>
          </rPr>
          <t>Logan, Raysene:</t>
        </r>
        <r>
          <rPr>
            <sz val="9"/>
            <color indexed="81"/>
            <rFont val="Tahoma"/>
            <family val="2"/>
          </rPr>
          <t xml:space="preserve">
TD True-up approved for inclusion in EO booked to GL in August 20</t>
        </r>
      </text>
    </comment>
    <comment ref="BR95" authorId="0" shapeId="0" xr:uid="{00000000-0006-0000-0500-000016000000}">
      <text>
        <r>
          <rPr>
            <b/>
            <sz val="9"/>
            <color indexed="81"/>
            <rFont val="Tahoma"/>
            <family val="2"/>
          </rPr>
          <t>Filley, Kim:</t>
        </r>
        <r>
          <rPr>
            <sz val="9"/>
            <color indexed="81"/>
            <rFont val="Tahoma"/>
            <family val="2"/>
          </rPr>
          <t xml:space="preserve">
TD True-up for inclusion in EO booked to GL in August 21</t>
        </r>
      </text>
    </comment>
    <comment ref="AZ96" authorId="1" shapeId="0" xr:uid="{00000000-0006-0000-0500-000017000000}">
      <text>
        <r>
          <rPr>
            <b/>
            <sz val="9"/>
            <color indexed="81"/>
            <rFont val="Tahoma"/>
            <family val="2"/>
          </rPr>
          <t>Filley, Kimberly S:</t>
        </r>
        <r>
          <rPr>
            <sz val="9"/>
            <color indexed="81"/>
            <rFont val="Tahoma"/>
            <family val="2"/>
          </rPr>
          <t xml:space="preserve">
each time new EO rates go into effect have to update this cell - new rates for EO went into effect for M2 in Feb 20 - go into case works MEEIA 3 rate filing workpapers - opened wp WRD2 - MEEIA Rider Calcs November 2019 - Rate - updated 1.2.20 excel file and pulled value in cell B 4 of the EO tab and divided by 23 - this formula is copied over to the subsequent months up to 23 mo.s and then will be updated when new rates go into effect for this.</t>
        </r>
      </text>
    </comment>
    <comment ref="BL96" authorId="1" shapeId="0" xr:uid="{00000000-0006-0000-0500-000018000000}">
      <text>
        <r>
          <rPr>
            <b/>
            <sz val="9"/>
            <color indexed="81"/>
            <rFont val="Tahoma"/>
            <family val="2"/>
          </rPr>
          <t>Filley, Kimberly S:</t>
        </r>
        <r>
          <rPr>
            <sz val="9"/>
            <color indexed="81"/>
            <rFont val="Tahoma"/>
            <family val="2"/>
          </rPr>
          <t xml:space="preserve">
the EO amort associated with the $43M in this calc only goes through Dec 21 then falls off as we were to amortize that over a 23mo period so 12 months in 2020 and only 11 months in 2021 even though rate set is for a full 12 mo period</t>
        </r>
      </text>
    </comment>
    <comment ref="BG100" authorId="1" shapeId="0" xr:uid="{00000000-0006-0000-0500-000019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AC104" authorId="0" shapeId="0" xr:uid="{00000000-0006-0000-0500-00001A000000}">
      <text>
        <r>
          <rPr>
            <b/>
            <sz val="9"/>
            <color indexed="81"/>
            <rFont val="Tahoma"/>
            <family val="2"/>
          </rPr>
          <t>Logan, Raysene:</t>
        </r>
        <r>
          <rPr>
            <sz val="9"/>
            <color indexed="81"/>
            <rFont val="Tahoma"/>
            <family val="2"/>
          </rPr>
          <t xml:space="preserve">
1/2 of 2016 EMV results</t>
        </r>
      </text>
    </comment>
  </commentList>
</comments>
</file>

<file path=xl/sharedStrings.xml><?xml version="1.0" encoding="utf-8"?>
<sst xmlns="http://schemas.openxmlformats.org/spreadsheetml/2006/main" count="981" uniqueCount="135">
  <si>
    <t>Program Cost</t>
  </si>
  <si>
    <t>MEEIA Cycle 2</t>
  </si>
  <si>
    <t>Cumulative Balance - TD Regulatory Asset/(Liability)</t>
  </si>
  <si>
    <t>Cumulative Balance - PC Regulatory Asset/(Liability)</t>
  </si>
  <si>
    <t xml:space="preserve">   Interest Rate (ST Borrowing rate)</t>
  </si>
  <si>
    <t xml:space="preserve">   Interest $</t>
  </si>
  <si>
    <t>Cumulative Interest</t>
  </si>
  <si>
    <t>Over/Under Calculations</t>
  </si>
  <si>
    <t>Interest $ - ST rate</t>
  </si>
  <si>
    <t>Program Cost Expense</t>
  </si>
  <si>
    <t>Program Cost Revenue</t>
  </si>
  <si>
    <t>PC (Over)/Under Recovery</t>
  </si>
  <si>
    <t>Total PC (Over)/Under Recovery</t>
  </si>
  <si>
    <t>TD (Over)/Under Recovery</t>
  </si>
  <si>
    <t>Total TD (Over)/Under Recovery</t>
  </si>
  <si>
    <t>Cumulative Balance - TD Regulatory Asset/(Liability) 1M</t>
  </si>
  <si>
    <t>Cumulative Balance - TD Regulatory Asset/(Liability) 2M</t>
  </si>
  <si>
    <t>Cumulative Balance - TD Regulatory Asset/(Liability) 3M</t>
  </si>
  <si>
    <t>Cumulative Balance - TD Regulatory Asset/(Liability) 4M</t>
  </si>
  <si>
    <t>Cumulative Balance - TD Regulatory Asset/(Liability) 11M</t>
  </si>
  <si>
    <t>TD - 1M RES</t>
  </si>
  <si>
    <t>TD - 2M SGS</t>
  </si>
  <si>
    <t>TD - 3M LGS</t>
  </si>
  <si>
    <t>TD - 4M SPS</t>
  </si>
  <si>
    <t>TD - 11M LPS</t>
  </si>
  <si>
    <t>TD - TOTAL</t>
  </si>
  <si>
    <t>Throughput Disincentive Revenue</t>
  </si>
  <si>
    <t>Cumulative interest</t>
  </si>
  <si>
    <t>Throughput Disincentive - Current Month</t>
  </si>
  <si>
    <t>Low Income</t>
  </si>
  <si>
    <t>Allocate TD Low Income</t>
  </si>
  <si>
    <t>Total</t>
  </si>
  <si>
    <t>kwh from CDW (adjusted for opt out)</t>
  </si>
  <si>
    <t>1M - RES</t>
  </si>
  <si>
    <t>2M - SGS</t>
  </si>
  <si>
    <t>3M - LGS</t>
  </si>
  <si>
    <t>4M - SPS</t>
  </si>
  <si>
    <t>11M - LPS</t>
  </si>
  <si>
    <t>TD $ from TD calculation file - Cumulative</t>
  </si>
  <si>
    <t>TD $ - Monthly</t>
  </si>
  <si>
    <t>TD Allocated - Monthly</t>
  </si>
  <si>
    <t>RES</t>
  </si>
  <si>
    <t>A</t>
  </si>
  <si>
    <t>Row Labels</t>
  </si>
  <si>
    <t>Grand Total</t>
  </si>
  <si>
    <t>MEEIA Performance Incentive Revenue (Current $)</t>
  </si>
  <si>
    <t>PI (Over)/Under Recovery</t>
  </si>
  <si>
    <t>Cumulative Balance - PI Regulatory Asset/(Liability)</t>
  </si>
  <si>
    <t>Total PI (Over)/Under Recovery - Cumulative</t>
  </si>
  <si>
    <t xml:space="preserve">   Interest (Expense)/Revenue $</t>
  </si>
  <si>
    <t>MEEIA PI Amortization per Rider EEIC tariff</t>
  </si>
  <si>
    <t>Amortization of previous year balance</t>
  </si>
  <si>
    <t>Net TD Revenue</t>
  </si>
  <si>
    <t>TD Billed Rev</t>
  </si>
  <si>
    <t>TDR Rate (o/u)</t>
  </si>
  <si>
    <t>PTD rate (projected)</t>
  </si>
  <si>
    <t>TDR % of rate</t>
  </si>
  <si>
    <t>TDR Billed Revenue $ Amort</t>
  </si>
  <si>
    <t>Total PI (Over)/Under Recovery</t>
  </si>
  <si>
    <t>Allocate TD Low Income Exemption Bill Credits</t>
  </si>
  <si>
    <t>TD Billed Revenue $ - GL query</t>
  </si>
  <si>
    <t>Low Income Exemption (RES) - CDW</t>
  </si>
  <si>
    <t>TD Billed Revenue Allocated</t>
  </si>
  <si>
    <t>Total TD Rate</t>
  </si>
  <si>
    <t>Over/Under Calculation Adjs</t>
  </si>
  <si>
    <t>Ordered Adjustments</t>
  </si>
  <si>
    <t>Ordered Adjustment Revenue</t>
  </si>
  <si>
    <t>OA (Over)/Under Recovery</t>
  </si>
  <si>
    <t>Cardinals sign removal and radio allocation changes - included in MEEIA rate filing and booked to GL in Nov 2017</t>
  </si>
  <si>
    <t>Total OA (Over)/Under Recovery</t>
  </si>
  <si>
    <t>Cumulative Balance - OA Regulatory Asset/(Liability)</t>
  </si>
  <si>
    <t>TDR Rate ((over)/under)</t>
  </si>
  <si>
    <t>MEEIA EO Amortization per Rider EEIC tariff</t>
  </si>
  <si>
    <t>MEEIA Earnings Opportunity Revenue (Current $)</t>
  </si>
  <si>
    <t>EO (Over)/Under Recovery</t>
  </si>
  <si>
    <t>Total EO (Over)/Under Recovery</t>
  </si>
  <si>
    <t>Total EO (Over)/Under Recovery - Cumulative</t>
  </si>
  <si>
    <t>Cumulative Balance - EO Regulatory Asset/(Liability)</t>
  </si>
  <si>
    <t>M2 Earnings Opportunity</t>
  </si>
  <si>
    <t>M1 Performance Incentive</t>
  </si>
  <si>
    <t>MEEIA Cycle 3</t>
  </si>
  <si>
    <t>M3 Earnings Opportunity</t>
  </si>
  <si>
    <t>TD Home Energy Report adjs to book in accordance with tariff - booked to GL in Jul 2019</t>
  </si>
  <si>
    <t>Updated TD per month based on HER adjs</t>
  </si>
  <si>
    <t>original calc</t>
  </si>
  <si>
    <t>adj needed - all RES</t>
  </si>
  <si>
    <t xml:space="preserve">adj needed  </t>
  </si>
  <si>
    <t>adj needed</t>
  </si>
  <si>
    <t>TD interest adjs to book as result of the air compressor margin rate being applied to all measures  - booked to GL in Nov 2019</t>
  </si>
  <si>
    <t>adj</t>
  </si>
  <si>
    <t>orginal interest</t>
  </si>
  <si>
    <t>revised costs to exclude RT = 34</t>
  </si>
  <si>
    <t>original costs</t>
  </si>
  <si>
    <t>revised interest calculated to right</t>
  </si>
  <si>
    <t>revised costs cumulative calculated to right as result of prud review</t>
  </si>
  <si>
    <t>Rate of Return</t>
  </si>
  <si>
    <t>Interest to flow through MEEIA</t>
  </si>
  <si>
    <t>PM EB</t>
  </si>
  <si>
    <t xml:space="preserve">CM Deferred Spend </t>
  </si>
  <si>
    <t>Less:  Amortization</t>
  </si>
  <si>
    <t>Cumulative Unamortized Balance</t>
  </si>
  <si>
    <t>Less:  Deferred Taxes</t>
  </si>
  <si>
    <t>Net Rate Base</t>
  </si>
  <si>
    <t>PISA Rate:</t>
  </si>
  <si>
    <t>Customer Financing Rate</t>
  </si>
  <si>
    <t>Sum of Amount</t>
  </si>
  <si>
    <t>Column Labels</t>
  </si>
  <si>
    <t>J0QW4</t>
  </si>
  <si>
    <t>Input #s</t>
  </si>
  <si>
    <t>cost correction allocation</t>
  </si>
  <si>
    <t>% of total</t>
  </si>
  <si>
    <t>interest correction allocation</t>
  </si>
  <si>
    <t xml:space="preserve">In October 2021, Ameren identified some labor charges that were incorrectly included in MEEIA  3 PC related to the PAYS program for the months of November 19 and February 21 totaling $60,467.71.  </t>
  </si>
  <si>
    <t>to calculate interest adjustment associated with PC amounts that need to be removed from M3PC</t>
  </si>
  <si>
    <t>M3 OA of $50K should have been booked November 2020 close not booked until Feb 2021.  Thus need to calculate an interest adjustment (starting November 2020 and compounded through October 2021)</t>
  </si>
  <si>
    <t xml:space="preserve">Less Write-offs </t>
  </si>
  <si>
    <t>Less Reclass to Rate Base</t>
  </si>
  <si>
    <t>Original</t>
  </si>
  <si>
    <t>new</t>
  </si>
  <si>
    <t xml:space="preserve">old </t>
  </si>
  <si>
    <t>diff</t>
  </si>
  <si>
    <t>Revised</t>
  </si>
  <si>
    <t>change in kwh adjusted for opt out related to Nov 21-May 22 so adjustment made in Oct 22 to reallocate the TD over/under amounts by rate class, overall impact to TD o/u net $0</t>
  </si>
  <si>
    <t>forecast from TD calculator file</t>
  </si>
  <si>
    <t>forecast from PPC.1 tab</t>
  </si>
  <si>
    <t>PTD.1</t>
  </si>
  <si>
    <t>TDR.1F</t>
  </si>
  <si>
    <t>TDR.1</t>
  </si>
  <si>
    <t>Rate filing TDR tab, lines 22 - 26</t>
  </si>
  <si>
    <t>Rate filing TDR tab, line 36</t>
  </si>
  <si>
    <t>From November 2021 filing (wp CPA3 MEEIA 2 adjs tab):</t>
  </si>
  <si>
    <t>From November 2021 filing (wp CPA3 MEEIA 3 adjs tab):</t>
  </si>
  <si>
    <t>M3 TD interest correction calculation - booked November 2020 close - see workpaper CPA3.A - M3 over under TD interst error support for calculation details</t>
  </si>
  <si>
    <t>MEEIA 3 Expense - PC  Adjustment</t>
  </si>
  <si>
    <t>PAYS interest calculation to be included in MEEIA 3 PC - see AML3.A for calcuation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</si>
</sst>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quot;$&quot;#,##0.00"/>
    <numFmt numFmtId="165" formatCode="0.000000%"/>
    <numFmt numFmtId="166" formatCode="_(* #,##0_);_(* \(#,##0\);_(* &quot;-&quot;??_);_(@_)"/>
    <numFmt numFmtId="167" formatCode="&quot;$&quot;#,##0.000000_);[Red]\(&quot;$&quot;#,##0.000000\)"/>
    <numFmt numFmtId="168" formatCode="&quot;$&quot;#,##0.000000_);\(&quot;$&quot;#,##0.000000\)"/>
    <numFmt numFmtId="169" formatCode="&quot;$&quot;#,##0.000000"/>
    <numFmt numFmtId="170" formatCode="mmm\-yyyy"/>
    <numFmt numFmtId="171" formatCode="0.0000%"/>
  </numFmts>
  <fonts count="82" x14ac:knownFonts="1">
    <font>
      <sz val="11"/>
      <color theme="1"/>
      <name val="Calibri"/>
      <family val="2"/>
      <scheme val="minor"/>
    </font>
    <font>
      <sz val="11"/>
      <color theme="1"/>
      <name val="Calibri"/>
      <family val="2"/>
      <scheme val="minor"/>
    </font>
    <font>
      <sz val="11"/>
      <color rgb="FF3F3F76"/>
      <name val="Calibri"/>
      <family val="2"/>
      <scheme val="minor"/>
    </font>
    <font>
      <b/>
      <sz val="11"/>
      <color rgb="FFFA7D00"/>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theme="0"/>
      <name val="Calibri"/>
      <family val="2"/>
      <scheme val="minor"/>
    </font>
    <font>
      <b/>
      <sz val="9"/>
      <color indexed="81"/>
      <name val="Tahoma"/>
      <family val="2"/>
    </font>
    <font>
      <sz val="9"/>
      <color indexed="81"/>
      <name val="Tahoma"/>
      <family val="2"/>
    </font>
    <font>
      <sz val="11"/>
      <color theme="3" tint="-0.499984740745262"/>
      <name val="Calibri"/>
      <family val="2"/>
      <scheme val="minor"/>
    </font>
    <font>
      <sz val="11"/>
      <color theme="5" tint="-0.499984740745262"/>
      <name val="Calibri"/>
      <family val="2"/>
      <scheme val="minor"/>
    </font>
    <font>
      <sz val="10"/>
      <name val="Arial"/>
      <family val="2"/>
    </font>
    <font>
      <sz val="11"/>
      <color indexed="8"/>
      <name val="Calibri"/>
      <family val="2"/>
    </font>
    <font>
      <u/>
      <sz val="6"/>
      <color indexed="12"/>
      <name val="Arial"/>
      <family val="2"/>
    </font>
    <font>
      <u/>
      <sz val="8.5"/>
      <color indexed="12"/>
      <name val="Arial"/>
      <family val="2"/>
    </font>
    <font>
      <sz val="10"/>
      <name val="MS Sans Serif"/>
      <family val="2"/>
    </font>
    <font>
      <sz val="10"/>
      <color indexed="0"/>
      <name val="Arial"/>
      <family val="2"/>
    </font>
    <font>
      <b/>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u/>
      <sz val="8"/>
      <color rgb="FF0000FF"/>
      <name val="Calibri"/>
      <family val="2"/>
      <scheme val="minor"/>
    </font>
    <font>
      <u/>
      <sz val="8"/>
      <color rgb="FF800080"/>
      <name val="Calibri"/>
      <family val="2"/>
      <scheme val="minor"/>
    </font>
    <font>
      <u/>
      <sz val="11"/>
      <color theme="10"/>
      <name val="Calibri"/>
      <family val="2"/>
      <scheme val="minor"/>
    </font>
    <font>
      <b/>
      <i/>
      <u/>
      <sz val="11"/>
      <color theme="1"/>
      <name val="Calibri"/>
      <family val="2"/>
      <scheme val="minor"/>
    </font>
    <font>
      <i/>
      <sz val="11"/>
      <color rgb="FFFF0000"/>
      <name val="Calibri"/>
      <family val="2"/>
      <scheme val="minor"/>
    </font>
    <font>
      <sz val="11"/>
      <color theme="1"/>
      <name val="Book Antiqua"/>
      <family val="2"/>
    </font>
    <font>
      <sz val="10"/>
      <color theme="1"/>
      <name val="Arial"/>
      <family val="2"/>
    </font>
    <font>
      <sz val="10"/>
      <color theme="1"/>
      <name val="Calibri"/>
      <family val="2"/>
    </font>
    <font>
      <b/>
      <sz val="15"/>
      <color theme="3"/>
      <name val="Calibri"/>
      <family val="2"/>
    </font>
    <font>
      <b/>
      <sz val="13"/>
      <color theme="3"/>
      <name val="Calibri"/>
      <family val="2"/>
    </font>
    <font>
      <b/>
      <sz val="11"/>
      <color theme="3"/>
      <name val="Calibri"/>
      <family val="2"/>
    </font>
    <font>
      <sz val="10"/>
      <color rgb="FF006100"/>
      <name val="Calibri"/>
      <family val="2"/>
    </font>
    <font>
      <sz val="10"/>
      <color rgb="FF9C0006"/>
      <name val="Calibri"/>
      <family val="2"/>
    </font>
    <font>
      <sz val="10"/>
      <color rgb="FF9C6500"/>
      <name val="Calibri"/>
      <family val="2"/>
    </font>
    <font>
      <sz val="10"/>
      <color rgb="FF3F3F76"/>
      <name val="Calibri"/>
      <family val="2"/>
    </font>
    <font>
      <b/>
      <sz val="10"/>
      <color rgb="FF3F3F3F"/>
      <name val="Calibri"/>
      <family val="2"/>
    </font>
    <font>
      <b/>
      <sz val="10"/>
      <color rgb="FFFA7D00"/>
      <name val="Calibri"/>
      <family val="2"/>
    </font>
    <font>
      <sz val="10"/>
      <color rgb="FFFA7D00"/>
      <name val="Calibri"/>
      <family val="2"/>
    </font>
    <font>
      <b/>
      <sz val="10"/>
      <color theme="0"/>
      <name val="Calibri"/>
      <family val="2"/>
    </font>
    <font>
      <sz val="10"/>
      <color rgb="FFFF0000"/>
      <name val="Calibri"/>
      <family val="2"/>
    </font>
    <font>
      <i/>
      <sz val="10"/>
      <color rgb="FF7F7F7F"/>
      <name val="Calibri"/>
      <family val="2"/>
    </font>
    <font>
      <b/>
      <sz val="10"/>
      <color theme="1"/>
      <name val="Calibri"/>
      <family val="2"/>
    </font>
    <font>
      <sz val="10"/>
      <color theme="0"/>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theme="10"/>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rgb="FF000000"/>
      <name val="Times New Roman"/>
      <family val="1"/>
    </font>
    <font>
      <b/>
      <sz val="12"/>
      <name val="Calibri"/>
      <family val="2"/>
      <scheme val="minor"/>
    </font>
    <font>
      <b/>
      <u/>
      <sz val="11"/>
      <color theme="1"/>
      <name val="Calibri"/>
      <family val="2"/>
      <scheme val="minor"/>
    </font>
    <font>
      <b/>
      <i/>
      <sz val="11"/>
      <color theme="1"/>
      <name val="Calibri"/>
      <family val="2"/>
      <scheme val="minor"/>
    </font>
    <font>
      <b/>
      <sz val="11"/>
      <color rgb="FFFF0000"/>
      <name val="Calibri"/>
      <family val="2"/>
      <scheme val="minor"/>
    </font>
    <font>
      <sz val="10"/>
      <name val="Arial"/>
      <family val="2"/>
    </font>
    <font>
      <sz val="11"/>
      <color rgb="FF0000FF"/>
      <name val="Calibri"/>
      <family val="2"/>
      <scheme val="minor"/>
    </font>
    <font>
      <b/>
      <sz val="12"/>
      <color theme="1"/>
      <name val="Calibri"/>
      <family val="2"/>
      <scheme val="minor"/>
    </font>
    <font>
      <b/>
      <sz val="11"/>
      <color theme="3" tint="-0.499984740745262"/>
      <name val="Calibri"/>
      <family val="2"/>
      <scheme val="minor"/>
    </font>
    <font>
      <sz val="9"/>
      <color rgb="FF000000"/>
      <name val="Tahoma"/>
      <family val="2"/>
    </font>
    <font>
      <b/>
      <i/>
      <sz val="11"/>
      <color rgb="FFFF0000"/>
      <name val="Calibri"/>
      <family val="2"/>
      <scheme val="minor"/>
    </font>
    <font>
      <b/>
      <sz val="11"/>
      <color rgb="FFFF0000"/>
      <name val="Book Antiqua"/>
      <family val="1"/>
    </font>
  </fonts>
  <fills count="82">
    <fill>
      <patternFill patternType="none"/>
    </fill>
    <fill>
      <patternFill patternType="gray125"/>
    </fill>
    <fill>
      <patternFill patternType="solid">
        <fgColor rgb="FFFFCC99"/>
      </patternFill>
    </fill>
    <fill>
      <patternFill patternType="solid">
        <fgColor rgb="FFF2F2F2"/>
      </patternFill>
    </fill>
    <fill>
      <patternFill patternType="solid">
        <fgColor rgb="FFFFFFCC"/>
      </patternFill>
    </fill>
    <fill>
      <patternFill patternType="solid">
        <fgColor theme="0"/>
        <bgColor indexed="64"/>
      </patternFill>
    </fill>
    <fill>
      <patternFill patternType="solid">
        <fgColor theme="1"/>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indexed="44"/>
        <bgColor indexed="64"/>
      </patternFill>
    </fill>
    <fill>
      <patternFill patternType="solid">
        <fgColor indexed="4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499984740745262"/>
        <bgColor indexed="64"/>
      </patternFill>
    </fill>
    <fill>
      <patternFill patternType="solid">
        <fgColor rgb="FFF7C5BB"/>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rgb="FFFFC000"/>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rgb="FF92D050"/>
        <bgColor indexed="64"/>
      </patternFill>
    </fill>
    <fill>
      <patternFill patternType="solid">
        <fgColor theme="4" tint="0.59999389629810485"/>
        <bgColor indexed="64"/>
      </patternFill>
    </fill>
    <fill>
      <patternFill patternType="solid">
        <fgColor theme="5" tint="0.59999389629810485"/>
        <bgColor indexed="64"/>
      </patternFill>
    </fill>
  </fills>
  <borders count="47">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medium">
        <color indexed="64"/>
      </right>
      <top/>
      <bottom style="medium">
        <color indexed="64"/>
      </bottom>
      <diagonal/>
    </border>
    <border>
      <left style="thin">
        <color rgb="FFC9C9CB"/>
      </left>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thin">
        <color theme="0" tint="-0.499984740745262"/>
      </left>
      <right style="thin">
        <color theme="0" tint="-0.499984740745262"/>
      </right>
      <top/>
      <bottom/>
      <diagonal/>
    </border>
  </borders>
  <cellStyleXfs count="37699">
    <xf numFmtId="0" fontId="0" fillId="0" borderId="0"/>
    <xf numFmtId="0" fontId="2" fillId="2" borderId="1" applyNumberFormat="0" applyAlignment="0" applyProtection="0"/>
    <xf numFmtId="0" fontId="3" fillId="3" borderId="1" applyNumberFormat="0" applyAlignment="0" applyProtection="0"/>
    <xf numFmtId="0" fontId="1" fillId="4" borderId="2" applyNumberFormat="0" applyFont="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2" fillId="0" borderId="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2" fillId="10" borderId="0" applyNumberFormat="0" applyAlignment="0">
      <alignment horizontal="right"/>
    </xf>
    <xf numFmtId="0" fontId="12" fillId="11" borderId="0" applyNumberFormat="0" applyAlignment="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2" fillId="0" borderId="0"/>
    <xf numFmtId="0" fontId="12" fillId="0" borderId="0"/>
    <xf numFmtId="0" fontId="12" fillId="0" borderId="0"/>
    <xf numFmtId="0" fontId="12"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0" fontId="17" fillId="0" borderId="0"/>
    <xf numFmtId="0" fontId="19" fillId="0" borderId="0" applyNumberFormat="0" applyFill="0" applyBorder="0" applyAlignment="0" applyProtection="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23" fillId="16" borderId="0" applyNumberFormat="0" applyBorder="0" applyAlignment="0" applyProtection="0"/>
    <xf numFmtId="0" fontId="24" fillId="17" borderId="0" applyNumberFormat="0" applyBorder="0" applyAlignment="0" applyProtection="0"/>
    <xf numFmtId="0" fontId="25" fillId="18" borderId="0" applyNumberFormat="0" applyBorder="0" applyAlignment="0" applyProtection="0"/>
    <xf numFmtId="0" fontId="26" fillId="3" borderId="8" applyNumberFormat="0" applyAlignment="0" applyProtection="0"/>
    <xf numFmtId="0" fontId="27" fillId="0" borderId="9" applyNumberFormat="0" applyFill="0" applyAlignment="0" applyProtection="0"/>
    <xf numFmtId="0" fontId="28" fillId="19" borderId="10" applyNumberFormat="0" applyAlignment="0" applyProtection="0"/>
    <xf numFmtId="0" fontId="5" fillId="0" borderId="0" applyNumberFormat="0" applyFill="0" applyBorder="0" applyAlignment="0" applyProtection="0"/>
    <xf numFmtId="0" fontId="29" fillId="0" borderId="0" applyNumberFormat="0" applyFill="0" applyBorder="0" applyAlignment="0" applyProtection="0"/>
    <xf numFmtId="0" fontId="4" fillId="0" borderId="11" applyNumberFormat="0" applyFill="0" applyAlignment="0" applyProtection="0"/>
    <xf numFmtId="0" fontId="7"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7" fillId="43" borderId="0" applyNumberFormat="0" applyBorder="0" applyAlignment="0" applyProtection="0"/>
    <xf numFmtId="43" fontId="12" fillId="0" borderId="0" applyFont="0" applyFill="0" applyBorder="0" applyAlignment="0" applyProtection="0"/>
    <xf numFmtId="44" fontId="1" fillId="0" borderId="0" applyFont="0" applyFill="0" applyBorder="0" applyAlignment="0" applyProtection="0"/>
    <xf numFmtId="0" fontId="1" fillId="0" borderId="0"/>
    <xf numFmtId="43" fontId="12" fillId="0" borderId="0" applyFont="0" applyFill="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7"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10" borderId="0" applyNumberFormat="0" applyAlignment="0">
      <alignment horizontal="right"/>
    </xf>
    <xf numFmtId="0" fontId="12" fillId="11"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4" fontId="12" fillId="0" borderId="0" applyFon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2" fillId="0" borderId="0" applyNumberFormat="0" applyFill="0" applyBorder="0" applyAlignment="0" applyProtection="0"/>
    <xf numFmtId="0" fontId="1" fillId="0" borderId="0"/>
    <xf numFmtId="0" fontId="30" fillId="0" borderId="0" applyNumberFormat="0" applyFill="0" applyBorder="0" applyAlignment="0" applyProtection="0"/>
    <xf numFmtId="0" fontId="1"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 fillId="0" borderId="0"/>
    <xf numFmtId="0" fontId="12" fillId="0" borderId="0"/>
    <xf numFmtId="43"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2" fillId="0" borderId="0"/>
    <xf numFmtId="0" fontId="1" fillId="0" borderId="0"/>
    <xf numFmtId="43" fontId="12" fillId="0" borderId="0" applyFont="0" applyFill="0" applyBorder="0" applyAlignment="0" applyProtection="0"/>
    <xf numFmtId="0" fontId="35" fillId="0" borderId="0"/>
    <xf numFmtId="9" fontId="35" fillId="0" borderId="0" applyFont="0" applyFill="0" applyBorder="0" applyAlignment="0" applyProtection="0"/>
    <xf numFmtId="0" fontId="1" fillId="0" borderId="0"/>
    <xf numFmtId="43" fontId="1" fillId="0" borderId="0" applyFont="0" applyFill="0" applyBorder="0" applyAlignment="0" applyProtection="0"/>
    <xf numFmtId="0" fontId="1" fillId="4" borderId="2" applyNumberFormat="0" applyFont="0" applyAlignment="0" applyProtection="0"/>
    <xf numFmtId="0" fontId="1" fillId="0" borderId="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2" fillId="0" borderId="0"/>
    <xf numFmtId="0" fontId="38" fillId="0" borderId="5" applyNumberFormat="0" applyFill="0" applyAlignment="0" applyProtection="0"/>
    <xf numFmtId="0" fontId="39" fillId="0" borderId="6" applyNumberFormat="0" applyFill="0" applyAlignment="0" applyProtection="0"/>
    <xf numFmtId="0" fontId="40" fillId="0" borderId="7" applyNumberFormat="0" applyFill="0" applyAlignment="0" applyProtection="0"/>
    <xf numFmtId="0" fontId="40" fillId="0" borderId="0" applyNumberFormat="0" applyFill="0" applyBorder="0" applyAlignment="0" applyProtection="0"/>
    <xf numFmtId="0" fontId="41" fillId="16" borderId="0" applyNumberFormat="0" applyBorder="0" applyAlignment="0" applyProtection="0"/>
    <xf numFmtId="0" fontId="42" fillId="17" borderId="0" applyNumberFormat="0" applyBorder="0" applyAlignment="0" applyProtection="0"/>
    <xf numFmtId="0" fontId="43" fillId="18" borderId="0" applyNumberFormat="0" applyBorder="0" applyAlignment="0" applyProtection="0"/>
    <xf numFmtId="0" fontId="44" fillId="2" borderId="1" applyNumberFormat="0" applyAlignment="0" applyProtection="0"/>
    <xf numFmtId="0" fontId="45" fillId="3" borderId="8" applyNumberFormat="0" applyAlignment="0" applyProtection="0"/>
    <xf numFmtId="0" fontId="46" fillId="3" borderId="1" applyNumberFormat="0" applyAlignment="0" applyProtection="0"/>
    <xf numFmtId="0" fontId="47" fillId="0" borderId="9" applyNumberFormat="0" applyFill="0" applyAlignment="0" applyProtection="0"/>
    <xf numFmtId="0" fontId="48" fillId="19" borderId="10" applyNumberFormat="0" applyAlignment="0" applyProtection="0"/>
    <xf numFmtId="0" fontId="49" fillId="0" borderId="0" applyNumberFormat="0" applyFill="0" applyBorder="0" applyAlignment="0" applyProtection="0"/>
    <xf numFmtId="0" fontId="37" fillId="4" borderId="2" applyNumberFormat="0" applyFont="0" applyAlignment="0" applyProtection="0"/>
    <xf numFmtId="0" fontId="50" fillId="0" borderId="0" applyNumberFormat="0" applyFill="0" applyBorder="0" applyAlignment="0" applyProtection="0"/>
    <xf numFmtId="0" fontId="51" fillId="0" borderId="11" applyNumberFormat="0" applyFill="0" applyAlignment="0" applyProtection="0"/>
    <xf numFmtId="0" fontId="52" fillId="20"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52" fillId="27" borderId="0" applyNumberFormat="0" applyBorder="0" applyAlignment="0" applyProtection="0"/>
    <xf numFmtId="0" fontId="52" fillId="28" borderId="0" applyNumberFormat="0" applyBorder="0" applyAlignment="0" applyProtection="0"/>
    <xf numFmtId="0" fontId="37" fillId="29" borderId="0" applyNumberFormat="0" applyBorder="0" applyAlignment="0" applyProtection="0"/>
    <xf numFmtId="0" fontId="37" fillId="30" borderId="0" applyNumberFormat="0" applyBorder="0" applyAlignment="0" applyProtection="0"/>
    <xf numFmtId="0" fontId="52" fillId="31" borderId="0" applyNumberFormat="0" applyBorder="0" applyAlignment="0" applyProtection="0"/>
    <xf numFmtId="0" fontId="52" fillId="32" borderId="0" applyNumberFormat="0" applyBorder="0" applyAlignment="0" applyProtection="0"/>
    <xf numFmtId="0" fontId="37" fillId="33" borderId="0" applyNumberFormat="0" applyBorder="0" applyAlignment="0" applyProtection="0"/>
    <xf numFmtId="0" fontId="37" fillId="34" borderId="0" applyNumberFormat="0" applyBorder="0" applyAlignment="0" applyProtection="0"/>
    <xf numFmtId="0" fontId="52" fillId="35" borderId="0" applyNumberFormat="0" applyBorder="0" applyAlignment="0" applyProtection="0"/>
    <xf numFmtId="0" fontId="52" fillId="36" borderId="0" applyNumberFormat="0" applyBorder="0" applyAlignment="0" applyProtection="0"/>
    <xf numFmtId="0" fontId="37" fillId="37" borderId="0" applyNumberFormat="0" applyBorder="0" applyAlignment="0" applyProtection="0"/>
    <xf numFmtId="0" fontId="37" fillId="38" borderId="0" applyNumberFormat="0" applyBorder="0" applyAlignment="0" applyProtection="0"/>
    <xf numFmtId="0" fontId="52" fillId="39" borderId="0" applyNumberFormat="0" applyBorder="0" applyAlignment="0" applyProtection="0"/>
    <xf numFmtId="0" fontId="52"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52" fillId="43"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36" fillId="0" borderId="0"/>
    <xf numFmtId="0" fontId="12" fillId="0" borderId="0"/>
    <xf numFmtId="0" fontId="12" fillId="0" borderId="0"/>
    <xf numFmtId="0" fontId="12" fillId="0" borderId="0"/>
    <xf numFmtId="0" fontId="1" fillId="21" borderId="0" applyNumberFormat="0" applyBorder="0" applyAlignment="0" applyProtection="0"/>
    <xf numFmtId="0" fontId="1" fillId="22" borderId="0" applyNumberFormat="0" applyBorder="0" applyAlignment="0" applyProtection="0"/>
    <xf numFmtId="0" fontId="7" fillId="28" borderId="0" applyNumberFormat="0" applyBorder="0" applyAlignment="0" applyProtection="0"/>
    <xf numFmtId="0" fontId="22" fillId="0" borderId="7" applyNumberFormat="0" applyFill="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43" fontId="12"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4" borderId="0" applyNumberFormat="0" applyBorder="0" applyAlignment="0" applyProtection="0"/>
    <xf numFmtId="0" fontId="7" fillId="2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2" fillId="0" borderId="0"/>
    <xf numFmtId="0" fontId="1" fillId="41" borderId="0" applyNumberFormat="0" applyBorder="0" applyAlignment="0" applyProtection="0"/>
    <xf numFmtId="0" fontId="1" fillId="42" borderId="0" applyNumberFormat="0" applyBorder="0" applyAlignment="0" applyProtection="0"/>
    <xf numFmtId="0" fontId="1" fillId="0" borderId="0"/>
    <xf numFmtId="43" fontId="1" fillId="0" borderId="0" applyFont="0" applyFill="0" applyBorder="0" applyAlignment="0" applyProtection="0"/>
    <xf numFmtId="0" fontId="1" fillId="4" borderId="2"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7" fillId="43" borderId="0" applyNumberFormat="0" applyBorder="0" applyAlignment="0" applyProtection="0"/>
    <xf numFmtId="0" fontId="7" fillId="35" borderId="0" applyNumberFormat="0" applyBorder="0" applyAlignment="0" applyProtection="0"/>
    <xf numFmtId="0" fontId="12" fillId="0" borderId="0"/>
    <xf numFmtId="0" fontId="26" fillId="3" borderId="8" applyNumberFormat="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7" fillId="20" borderId="0" applyNumberFormat="0" applyBorder="0" applyAlignment="0" applyProtection="0"/>
    <xf numFmtId="0" fontId="20" fillId="0" borderId="5" applyNumberFormat="0" applyFill="0" applyAlignment="0" applyProtection="0"/>
    <xf numFmtId="0" fontId="27" fillId="0" borderId="9" applyNumberFormat="0" applyFill="0" applyAlignment="0" applyProtection="0"/>
    <xf numFmtId="0" fontId="5" fillId="0" borderId="0" applyNumberFormat="0" applyFill="0" applyBorder="0" applyAlignment="0" applyProtection="0"/>
    <xf numFmtId="0" fontId="21" fillId="0" borderId="6" applyNumberFormat="0" applyFill="0" applyAlignment="0" applyProtection="0"/>
    <xf numFmtId="0" fontId="12" fillId="0" borderId="0"/>
    <xf numFmtId="0" fontId="13" fillId="0" borderId="0"/>
    <xf numFmtId="0" fontId="12" fillId="0" borderId="0"/>
    <xf numFmtId="9" fontId="37" fillId="0" borderId="0" applyFont="0" applyFill="0" applyBorder="0" applyAlignment="0" applyProtection="0"/>
    <xf numFmtId="0" fontId="12" fillId="0" borderId="0"/>
    <xf numFmtId="0" fontId="7" fillId="36" borderId="0" applyNumberFormat="0" applyBorder="0" applyAlignment="0" applyProtection="0"/>
    <xf numFmtId="0" fontId="7" fillId="40" borderId="0" applyNumberFormat="0" applyBorder="0" applyAlignment="0" applyProtection="0"/>
    <xf numFmtId="44" fontId="1" fillId="0" borderId="0" applyFont="0" applyFill="0" applyBorder="0" applyAlignment="0" applyProtection="0"/>
    <xf numFmtId="0" fontId="7" fillId="23" borderId="0" applyNumberFormat="0" applyBorder="0" applyAlignment="0" applyProtection="0"/>
    <xf numFmtId="0" fontId="7" fillId="39" borderId="0" applyNumberFormat="0" applyBorder="0" applyAlignment="0" applyProtection="0"/>
    <xf numFmtId="0" fontId="12" fillId="0" borderId="0"/>
    <xf numFmtId="0" fontId="7" fillId="24" borderId="0" applyNumberFormat="0" applyBorder="0" applyAlignment="0" applyProtection="0"/>
    <xf numFmtId="0" fontId="12" fillId="0" borderId="0"/>
    <xf numFmtId="0" fontId="12" fillId="0" borderId="0"/>
    <xf numFmtId="0" fontId="7" fillId="32" borderId="0" applyNumberFormat="0" applyBorder="0" applyAlignment="0" applyProtection="0"/>
    <xf numFmtId="0" fontId="4" fillId="0" borderId="11" applyNumberFormat="0" applyFill="0" applyAlignment="0" applyProtection="0"/>
    <xf numFmtId="0" fontId="37" fillId="0" borderId="0"/>
    <xf numFmtId="0" fontId="7" fillId="31" borderId="0" applyNumberFormat="0" applyBorder="0" applyAlignment="0" applyProtection="0"/>
    <xf numFmtId="0" fontId="12" fillId="0" borderId="0"/>
    <xf numFmtId="0" fontId="23" fillId="16" borderId="0" applyNumberFormat="0" applyBorder="0" applyAlignment="0" applyProtection="0"/>
    <xf numFmtId="0" fontId="12" fillId="0" borderId="0"/>
    <xf numFmtId="0" fontId="25" fillId="18" borderId="0" applyNumberFormat="0" applyBorder="0" applyAlignment="0" applyProtection="0"/>
    <xf numFmtId="0" fontId="1" fillId="0" borderId="0"/>
    <xf numFmtId="0" fontId="1" fillId="0" borderId="0"/>
    <xf numFmtId="0" fontId="1" fillId="0" borderId="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2" fillId="0" borderId="0"/>
    <xf numFmtId="0" fontId="24" fillId="17" borderId="0" applyNumberFormat="0" applyBorder="0" applyAlignment="0" applyProtection="0"/>
    <xf numFmtId="0" fontId="12" fillId="0" borderId="0"/>
    <xf numFmtId="0" fontId="28" fillId="19" borderId="10" applyNumberFormat="0" applyAlignment="0" applyProtection="0"/>
    <xf numFmtId="0" fontId="12" fillId="0" borderId="0"/>
    <xf numFmtId="0" fontId="12"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3" fillId="3" borderId="1" applyNumberFormat="0" applyAlignment="0" applyProtection="0"/>
    <xf numFmtId="0" fontId="2" fillId="2" borderId="1" applyNumberFormat="0" applyAlignment="0" applyProtection="0"/>
    <xf numFmtId="0" fontId="12" fillId="0" borderId="0"/>
    <xf numFmtId="43" fontId="13" fillId="0" borderId="0" applyFont="0" applyFill="0" applyBorder="0" applyAlignment="0" applyProtection="0"/>
    <xf numFmtId="0" fontId="29" fillId="0" borderId="0" applyNumberFormat="0" applyFill="0" applyBorder="0" applyAlignment="0" applyProtection="0"/>
    <xf numFmtId="0" fontId="22" fillId="0" borderId="0" applyNumberFormat="0" applyFill="0" applyBorder="0" applyAlignment="0" applyProtection="0"/>
    <xf numFmtId="43" fontId="1" fillId="0" borderId="0" applyFont="0" applyFill="0" applyBorder="0" applyAlignment="0" applyProtection="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24" fillId="17" borderId="0" applyNumberFormat="0" applyBorder="0" applyAlignment="0" applyProtection="0"/>
    <xf numFmtId="0" fontId="3" fillId="3" borderId="1" applyNumberFormat="0" applyAlignment="0" applyProtection="0"/>
    <xf numFmtId="0" fontId="28" fillId="19" borderId="10" applyNumberFormat="0" applyAlignment="0" applyProtection="0"/>
    <xf numFmtId="43" fontId="35" fillId="0" borderId="0" applyFont="0" applyFill="0" applyBorder="0" applyAlignment="0" applyProtection="0"/>
    <xf numFmtId="0" fontId="29" fillId="0" borderId="0" applyNumberFormat="0" applyFill="0" applyBorder="0" applyAlignment="0" applyProtection="0"/>
    <xf numFmtId="0" fontId="31" fillId="0" borderId="0" applyNumberFormat="0" applyFill="0" applyBorder="0" applyAlignment="0" applyProtection="0"/>
    <xf numFmtId="0" fontId="23" fillId="16" borderId="0" applyNumberFormat="0" applyBorder="0" applyAlignment="0" applyProtection="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30" fillId="0" borderId="0" applyNumberFormat="0" applyFill="0" applyBorder="0" applyAlignment="0" applyProtection="0"/>
    <xf numFmtId="0" fontId="2" fillId="2" borderId="1" applyNumberFormat="0" applyAlignment="0" applyProtection="0"/>
    <xf numFmtId="0" fontId="27" fillId="0" borderId="9" applyNumberFormat="0" applyFill="0" applyAlignment="0" applyProtection="0"/>
    <xf numFmtId="0" fontId="25" fillId="18" borderId="0" applyNumberFormat="0" applyBorder="0" applyAlignment="0" applyProtection="0"/>
    <xf numFmtId="0" fontId="26" fillId="3" borderId="8" applyNumberFormat="0" applyAlignment="0" applyProtection="0"/>
    <xf numFmtId="9" fontId="35" fillId="0" borderId="0" applyFont="0" applyFill="0" applyBorder="0" applyAlignment="0" applyProtection="0"/>
    <xf numFmtId="0" fontId="4" fillId="0" borderId="11" applyNumberFormat="0" applyFill="0" applyAlignment="0" applyProtection="0"/>
    <xf numFmtId="0" fontId="5" fillId="0" borderId="0" applyNumberForma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2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37" fillId="2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2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 fillId="2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37" fillId="2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 fillId="2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 fillId="2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37" fillId="2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 fillId="2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37" fillId="3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37"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 fillId="4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37" fillId="4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 fillId="4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2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37" fillId="2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2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 fillId="26"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37" fillId="26"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 fillId="26"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 fillId="30"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37" fillId="30"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 fillId="30"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37" fillId="3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3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37" fillId="3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3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 fillId="42"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37" fillId="42"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 fillId="42"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37"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6" fontId="16" fillId="0" borderId="0" applyFont="0" applyFill="0" applyBorder="0" applyAlignment="0" applyProtection="0"/>
    <xf numFmtId="6" fontId="16"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6" fontId="16" fillId="0" borderId="0" applyFon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6" fillId="0" borderId="0"/>
    <xf numFmtId="0" fontId="16" fillId="0" borderId="0"/>
    <xf numFmtId="0" fontId="16"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 fillId="4" borderId="2"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 fillId="4" borderId="2"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9" fontId="12" fillId="0" borderId="0" applyFont="0" applyFill="0" applyBorder="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4"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9"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7" fillId="0" borderId="0"/>
    <xf numFmtId="43" fontId="13"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44" fontId="1" fillId="0" borderId="0" applyFont="0" applyFill="0" applyBorder="0" applyAlignment="0" applyProtection="0"/>
    <xf numFmtId="44"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70" fillId="0" borderId="0"/>
    <xf numFmtId="44" fontId="1" fillId="0" borderId="0" applyFont="0" applyFill="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4" borderId="2" applyNumberFormat="0" applyFont="0" applyAlignment="0" applyProtection="0"/>
    <xf numFmtId="0" fontId="1" fillId="4" borderId="2" applyNumberFormat="0" applyFont="0" applyAlignment="0" applyProtection="0"/>
    <xf numFmtId="9" fontId="1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75" fillId="0" borderId="0"/>
  </cellStyleXfs>
  <cellXfs count="289">
    <xf numFmtId="0" fontId="0" fillId="0" borderId="0" xfId="0"/>
    <xf numFmtId="0" fontId="7" fillId="0" borderId="0" xfId="0" applyFont="1"/>
    <xf numFmtId="0" fontId="0" fillId="0" borderId="0" xfId="0" applyFont="1" applyFill="1"/>
    <xf numFmtId="0" fontId="6" fillId="0" borderId="0" xfId="0" applyFont="1" applyFill="1"/>
    <xf numFmtId="0" fontId="10" fillId="0" borderId="0" xfId="0" applyFont="1" applyFill="1"/>
    <xf numFmtId="0" fontId="11" fillId="0" borderId="0" xfId="0" applyFont="1" applyFill="1"/>
    <xf numFmtId="0" fontId="7" fillId="0" borderId="0" xfId="0" applyFont="1" applyFill="1"/>
    <xf numFmtId="0" fontId="6" fillId="8" borderId="0" xfId="0" applyFont="1" applyFill="1" applyBorder="1" applyProtection="1">
      <protection locked="0"/>
    </xf>
    <xf numFmtId="0" fontId="6" fillId="8" borderId="0" xfId="0" applyFont="1" applyFill="1" applyBorder="1" applyAlignment="1" applyProtection="1">
      <alignment horizontal="left" indent="1"/>
      <protection locked="0"/>
    </xf>
    <xf numFmtId="164" fontId="6" fillId="0" borderId="3" xfId="2" applyNumberFormat="1" applyFont="1" applyFill="1" applyBorder="1" applyProtection="1"/>
    <xf numFmtId="164" fontId="6" fillId="5" borderId="3" xfId="2" applyNumberFormat="1" applyFont="1" applyFill="1" applyBorder="1" applyProtection="1"/>
    <xf numFmtId="0" fontId="18" fillId="8" borderId="0" xfId="0" applyFont="1" applyFill="1" applyBorder="1" applyProtection="1">
      <protection locked="0"/>
    </xf>
    <xf numFmtId="17" fontId="4" fillId="12" borderId="4" xfId="0" applyNumberFormat="1" applyFont="1" applyFill="1" applyBorder="1" applyAlignment="1" applyProtection="1">
      <alignment horizontal="center"/>
    </xf>
    <xf numFmtId="0" fontId="18" fillId="6" borderId="0" xfId="0" applyFont="1" applyFill="1" applyBorder="1" applyProtection="1">
      <protection locked="0"/>
    </xf>
    <xf numFmtId="164" fontId="6" fillId="6" borderId="3" xfId="2" applyNumberFormat="1" applyFont="1" applyFill="1" applyBorder="1" applyProtection="1"/>
    <xf numFmtId="164" fontId="11" fillId="6" borderId="3" xfId="2" applyNumberFormat="1" applyFont="1" applyFill="1" applyBorder="1" applyProtection="1"/>
    <xf numFmtId="164" fontId="6" fillId="12" borderId="3" xfId="2" applyNumberFormat="1" applyFont="1" applyFill="1" applyBorder="1" applyProtection="1"/>
    <xf numFmtId="0" fontId="6" fillId="9" borderId="0" xfId="0" applyFont="1" applyFill="1"/>
    <xf numFmtId="0" fontId="6" fillId="9" borderId="0" xfId="0" applyFont="1" applyFill="1" applyBorder="1" applyProtection="1">
      <protection locked="0"/>
    </xf>
    <xf numFmtId="0" fontId="6" fillId="9" borderId="0" xfId="0" applyFont="1" applyFill="1" applyBorder="1" applyAlignment="1" applyProtection="1">
      <alignment horizontal="left" indent="1"/>
      <protection locked="0"/>
    </xf>
    <xf numFmtId="0" fontId="18" fillId="9" borderId="0" xfId="0" applyFont="1" applyFill="1" applyBorder="1" applyProtection="1">
      <protection locked="0"/>
    </xf>
    <xf numFmtId="164" fontId="6" fillId="12" borderId="3" xfId="1" applyNumberFormat="1" applyFont="1" applyFill="1" applyBorder="1" applyProtection="1"/>
    <xf numFmtId="164" fontId="6" fillId="14" borderId="3" xfId="2" applyNumberFormat="1" applyFont="1" applyFill="1" applyBorder="1" applyProtection="1"/>
    <xf numFmtId="164" fontId="6" fillId="15" borderId="3" xfId="1" applyNumberFormat="1" applyFont="1" applyFill="1" applyBorder="1" applyProtection="1"/>
    <xf numFmtId="164" fontId="6" fillId="15" borderId="3" xfId="2" applyNumberFormat="1" applyFont="1" applyFill="1" applyBorder="1" applyProtection="1"/>
    <xf numFmtId="165" fontId="6" fillId="15" borderId="3" xfId="6" applyNumberFormat="1" applyFont="1" applyFill="1" applyBorder="1" applyProtection="1">
      <protection locked="0"/>
    </xf>
    <xf numFmtId="0" fontId="6" fillId="44" borderId="0" xfId="0" applyFont="1" applyFill="1" applyBorder="1" applyProtection="1">
      <protection locked="0"/>
    </xf>
    <xf numFmtId="0" fontId="34" fillId="0" borderId="0" xfId="0" applyFont="1"/>
    <xf numFmtId="0" fontId="18" fillId="44" borderId="0" xfId="0" applyFont="1" applyFill="1" applyBorder="1" applyProtection="1">
      <protection locked="0"/>
    </xf>
    <xf numFmtId="0" fontId="33" fillId="0" borderId="0" xfId="0" applyFont="1"/>
    <xf numFmtId="0" fontId="6" fillId="44" borderId="0" xfId="0" applyFont="1" applyFill="1" applyBorder="1" applyAlignment="1" applyProtection="1">
      <alignment horizontal="left" indent="1"/>
      <protection locked="0"/>
    </xf>
    <xf numFmtId="17" fontId="4" fillId="0" borderId="0" xfId="0" applyNumberFormat="1" applyFont="1" applyFill="1" applyBorder="1" applyAlignment="1" applyProtection="1">
      <alignment horizontal="center"/>
    </xf>
    <xf numFmtId="0" fontId="6" fillId="44" borderId="0" xfId="0" applyFont="1" applyFill="1"/>
    <xf numFmtId="0" fontId="4" fillId="44" borderId="0" xfId="0" applyFont="1" applyFill="1"/>
    <xf numFmtId="17" fontId="4" fillId="44" borderId="0" xfId="0" applyNumberFormat="1" applyFont="1" applyFill="1" applyBorder="1" applyAlignment="1" applyProtection="1">
      <alignment horizontal="center"/>
    </xf>
    <xf numFmtId="0" fontId="4" fillId="0" borderId="0" xfId="0" applyFont="1"/>
    <xf numFmtId="0" fontId="4" fillId="0" borderId="0" xfId="0" applyFont="1" applyFill="1"/>
    <xf numFmtId="166" fontId="4" fillId="0" borderId="12" xfId="4" applyNumberFormat="1" applyFont="1" applyBorder="1"/>
    <xf numFmtId="0" fontId="4" fillId="0" borderId="0" xfId="21150" applyFont="1"/>
    <xf numFmtId="0" fontId="33" fillId="0" borderId="0" xfId="21150" applyFont="1"/>
    <xf numFmtId="0" fontId="0" fillId="0" borderId="0" xfId="0" applyFont="1"/>
    <xf numFmtId="0" fontId="0" fillId="44" borderId="0" xfId="0" applyFont="1" applyFill="1"/>
    <xf numFmtId="0" fontId="0" fillId="0" borderId="0" xfId="21150" applyFont="1"/>
    <xf numFmtId="164" fontId="0" fillId="0" borderId="0" xfId="0" applyNumberFormat="1" applyFont="1"/>
    <xf numFmtId="0" fontId="7" fillId="6" borderId="0" xfId="0" applyFont="1" applyFill="1" applyAlignment="1">
      <alignment horizontal="center" vertical="center" textRotation="90"/>
    </xf>
    <xf numFmtId="44" fontId="0" fillId="15" borderId="0" xfId="644" applyNumberFormat="1" applyFont="1" applyFill="1"/>
    <xf numFmtId="43" fontId="0" fillId="15" borderId="0" xfId="4" applyFont="1" applyFill="1"/>
    <xf numFmtId="166" fontId="0" fillId="15" borderId="0" xfId="4" applyNumberFormat="1" applyFont="1" applyFill="1"/>
    <xf numFmtId="44" fontId="4" fillId="0" borderId="12" xfId="37697" applyFont="1" applyBorder="1"/>
    <xf numFmtId="44" fontId="0" fillId="0" borderId="0" xfId="37697" applyFont="1"/>
    <xf numFmtId="0" fontId="71" fillId="0" borderId="0" xfId="0" applyFont="1" applyFill="1"/>
    <xf numFmtId="0" fontId="5" fillId="0" borderId="0" xfId="0" applyFont="1"/>
    <xf numFmtId="44" fontId="0" fillId="0" borderId="0" xfId="37697" applyNumberFormat="1" applyFont="1"/>
    <xf numFmtId="0" fontId="73" fillId="0" borderId="0" xfId="0" applyFont="1"/>
    <xf numFmtId="0" fontId="74" fillId="0" borderId="0" xfId="0" applyFont="1" applyAlignment="1">
      <alignment horizontal="center"/>
    </xf>
    <xf numFmtId="43" fontId="0" fillId="0" borderId="0" xfId="4" applyFont="1"/>
    <xf numFmtId="8" fontId="0" fillId="15" borderId="0" xfId="644" applyNumberFormat="1" applyFont="1" applyFill="1"/>
    <xf numFmtId="0" fontId="6" fillId="71" borderId="0" xfId="0" applyFont="1" applyFill="1" applyBorder="1" applyProtection="1">
      <protection locked="0"/>
    </xf>
    <xf numFmtId="0" fontId="6" fillId="71" borderId="0" xfId="0" applyFont="1" applyFill="1" applyBorder="1" applyAlignment="1" applyProtection="1">
      <alignment horizontal="left" indent="1"/>
      <protection locked="0"/>
    </xf>
    <xf numFmtId="0" fontId="18" fillId="71" borderId="0" xfId="0" applyFont="1" applyFill="1" applyBorder="1" applyProtection="1">
      <protection locked="0"/>
    </xf>
    <xf numFmtId="0" fontId="74" fillId="0" borderId="0" xfId="0" applyFont="1"/>
    <xf numFmtId="0" fontId="0" fillId="0" borderId="0" xfId="0"/>
    <xf numFmtId="44" fontId="0" fillId="0" borderId="0" xfId="0" applyNumberFormat="1"/>
    <xf numFmtId="0" fontId="0" fillId="0" borderId="0" xfId="0" applyFill="1"/>
    <xf numFmtId="0" fontId="0" fillId="0" borderId="0" xfId="0" applyFont="1" applyAlignment="1">
      <alignment horizontal="right"/>
    </xf>
    <xf numFmtId="10" fontId="0" fillId="0" borderId="0" xfId="0" applyNumberFormat="1"/>
    <xf numFmtId="164" fontId="6" fillId="0" borderId="3" xfId="1" applyNumberFormat="1" applyFont="1" applyFill="1" applyBorder="1" applyProtection="1"/>
    <xf numFmtId="165" fontId="6" fillId="0" borderId="3" xfId="6" applyNumberFormat="1" applyFont="1" applyFill="1" applyBorder="1" applyProtection="1">
      <protection locked="0"/>
    </xf>
    <xf numFmtId="167" fontId="0" fillId="72" borderId="0" xfId="0" applyNumberFormat="1" applyFill="1"/>
    <xf numFmtId="43" fontId="1" fillId="14" borderId="0" xfId="4" applyNumberFormat="1" applyFont="1" applyFill="1"/>
    <xf numFmtId="43" fontId="73" fillId="0" borderId="0" xfId="4" applyFont="1"/>
    <xf numFmtId="43" fontId="73" fillId="6" borderId="0" xfId="4" applyFont="1" applyFill="1"/>
    <xf numFmtId="9" fontId="0" fillId="0" borderId="0" xfId="6" applyFont="1"/>
    <xf numFmtId="164" fontId="11" fillId="0" borderId="3" xfId="2" applyNumberFormat="1" applyFont="1" applyFill="1" applyBorder="1" applyProtection="1"/>
    <xf numFmtId="164" fontId="6" fillId="73" borderId="3" xfId="2" applyNumberFormat="1" applyFont="1" applyFill="1" applyBorder="1" applyProtection="1"/>
    <xf numFmtId="8" fontId="0" fillId="15" borderId="0" xfId="4" applyNumberFormat="1" applyFont="1" applyFill="1"/>
    <xf numFmtId="0" fontId="6" fillId="71" borderId="0" xfId="0" applyFont="1" applyFill="1" applyBorder="1" applyAlignment="1" applyProtection="1">
      <alignment horizontal="left"/>
      <protection locked="0"/>
    </xf>
    <xf numFmtId="167" fontId="76" fillId="0" borderId="0" xfId="0" applyNumberFormat="1" applyFont="1"/>
    <xf numFmtId="0" fontId="0" fillId="0" borderId="23" xfId="0" applyBorder="1"/>
    <xf numFmtId="0" fontId="0" fillId="0" borderId="24" xfId="0" applyBorder="1"/>
    <xf numFmtId="0" fontId="73" fillId="0" borderId="24" xfId="0" applyFont="1" applyBorder="1"/>
    <xf numFmtId="0" fontId="73" fillId="6" borderId="24" xfId="0" applyFont="1" applyFill="1" applyBorder="1"/>
    <xf numFmtId="0" fontId="73" fillId="6" borderId="25" xfId="0" applyFont="1" applyFill="1" applyBorder="1"/>
    <xf numFmtId="0" fontId="4" fillId="6" borderId="27" xfId="0" applyFont="1" applyFill="1" applyBorder="1" applyAlignment="1">
      <alignment horizontal="center" vertical="center" textRotation="90"/>
    </xf>
    <xf numFmtId="0" fontId="4" fillId="6" borderId="28" xfId="0" applyFont="1" applyFill="1" applyBorder="1" applyAlignment="1">
      <alignment horizontal="center" vertical="center" textRotation="90"/>
    </xf>
    <xf numFmtId="0" fontId="77" fillId="0" borderId="0" xfId="0" applyFont="1"/>
    <xf numFmtId="44" fontId="4" fillId="0" borderId="0" xfId="37697" applyFont="1" applyBorder="1"/>
    <xf numFmtId="166" fontId="76" fillId="0" borderId="0" xfId="4" applyNumberFormat="1" applyFont="1" applyFill="1"/>
    <xf numFmtId="44" fontId="0" fillId="0" borderId="0" xfId="0" applyNumberFormat="1" applyFont="1"/>
    <xf numFmtId="0" fontId="0" fillId="0" borderId="22" xfId="0" applyFont="1" applyBorder="1"/>
    <xf numFmtId="43" fontId="0" fillId="0" borderId="0" xfId="0" applyNumberFormat="1" applyFont="1"/>
    <xf numFmtId="0" fontId="5" fillId="0" borderId="0" xfId="0" applyFont="1" applyFill="1"/>
    <xf numFmtId="0" fontId="6" fillId="73" borderId="0" xfId="0" applyFont="1" applyFill="1" applyBorder="1" applyProtection="1">
      <protection locked="0"/>
    </xf>
    <xf numFmtId="0" fontId="6" fillId="73" borderId="0" xfId="0" applyFont="1" applyFill="1" applyBorder="1" applyAlignment="1" applyProtection="1">
      <alignment horizontal="left" indent="1"/>
      <protection locked="0"/>
    </xf>
    <xf numFmtId="0" fontId="18" fillId="73" borderId="0" xfId="0" applyFont="1" applyFill="1" applyBorder="1" applyProtection="1">
      <protection locked="0"/>
    </xf>
    <xf numFmtId="167" fontId="0" fillId="15" borderId="0" xfId="0" applyNumberFormat="1" applyFill="1"/>
    <xf numFmtId="43" fontId="0" fillId="0" borderId="0" xfId="0" applyNumberFormat="1"/>
    <xf numFmtId="44" fontId="6" fillId="0" borderId="0" xfId="37697" applyNumberFormat="1" applyFont="1"/>
    <xf numFmtId="44" fontId="5" fillId="0" borderId="0" xfId="37697" applyNumberFormat="1" applyFont="1"/>
    <xf numFmtId="168" fontId="76" fillId="0" borderId="0" xfId="0" applyNumberFormat="1" applyFont="1"/>
    <xf numFmtId="168" fontId="0" fillId="15" borderId="0" xfId="0" applyNumberFormat="1" applyFill="1"/>
    <xf numFmtId="0" fontId="74" fillId="0" borderId="0" xfId="0" applyFont="1" applyFill="1"/>
    <xf numFmtId="0" fontId="18" fillId="0" borderId="0" xfId="0" applyFont="1" applyFill="1" applyBorder="1" applyProtection="1">
      <protection locked="0"/>
    </xf>
    <xf numFmtId="2" fontId="4" fillId="0" borderId="0" xfId="0" applyNumberFormat="1" applyFont="1" applyFill="1" applyBorder="1" applyAlignment="1" applyProtection="1">
      <alignment horizontal="center"/>
    </xf>
    <xf numFmtId="164" fontId="6" fillId="44" borderId="3" xfId="2" applyNumberFormat="1" applyFont="1" applyFill="1" applyBorder="1" applyProtection="1"/>
    <xf numFmtId="164" fontId="6" fillId="44" borderId="3" xfId="1" applyNumberFormat="1" applyFont="1" applyFill="1" applyBorder="1" applyProtection="1"/>
    <xf numFmtId="165" fontId="6" fillId="44" borderId="3" xfId="6" applyNumberFormat="1" applyFont="1" applyFill="1" applyBorder="1" applyProtection="1">
      <protection locked="0"/>
    </xf>
    <xf numFmtId="164" fontId="6" fillId="6" borderId="29" xfId="2" applyNumberFormat="1" applyFont="1" applyFill="1" applyBorder="1" applyProtection="1"/>
    <xf numFmtId="164" fontId="6" fillId="44" borderId="30" xfId="2" applyNumberFormat="1" applyFont="1" applyFill="1" applyBorder="1" applyProtection="1"/>
    <xf numFmtId="164" fontId="6" fillId="6" borderId="0" xfId="2" applyNumberFormat="1" applyFont="1" applyFill="1" applyBorder="1" applyProtection="1"/>
    <xf numFmtId="164" fontId="6" fillId="5" borderId="30" xfId="2" applyNumberFormat="1" applyFont="1" applyFill="1" applyBorder="1" applyProtection="1"/>
    <xf numFmtId="164" fontId="6" fillId="44" borderId="31" xfId="2" applyNumberFormat="1" applyFont="1" applyFill="1" applyBorder="1" applyProtection="1"/>
    <xf numFmtId="17" fontId="5" fillId="0" borderId="0" xfId="0" applyNumberFormat="1" applyFont="1" applyFill="1" applyBorder="1" applyAlignment="1" applyProtection="1">
      <alignment horizontal="left"/>
    </xf>
    <xf numFmtId="0" fontId="78" fillId="68" borderId="0" xfId="0" applyFont="1" applyFill="1"/>
    <xf numFmtId="43" fontId="78" fillId="68" borderId="0" xfId="4" applyFont="1" applyFill="1"/>
    <xf numFmtId="43" fontId="78" fillId="68" borderId="0" xfId="0" applyNumberFormat="1" applyFont="1" applyFill="1"/>
    <xf numFmtId="43" fontId="4" fillId="0" borderId="0" xfId="4" applyFont="1" applyFill="1"/>
    <xf numFmtId="164" fontId="4" fillId="0" borderId="0" xfId="0" applyNumberFormat="1" applyFont="1" applyFill="1" applyBorder="1" applyAlignment="1" applyProtection="1">
      <alignment horizontal="center"/>
    </xf>
    <xf numFmtId="164" fontId="6" fillId="0" borderId="3" xfId="6" applyNumberFormat="1" applyFont="1" applyFill="1" applyBorder="1" applyProtection="1">
      <protection locked="0"/>
    </xf>
    <xf numFmtId="43" fontId="73" fillId="0" borderId="0" xfId="4" applyNumberFormat="1" applyFont="1"/>
    <xf numFmtId="38" fontId="0" fillId="15" borderId="0" xfId="4" applyNumberFormat="1" applyFont="1" applyFill="1"/>
    <xf numFmtId="43" fontId="0" fillId="15" borderId="0" xfId="644" applyFont="1" applyFill="1"/>
    <xf numFmtId="44" fontId="0" fillId="15" borderId="0" xfId="4" applyNumberFormat="1" applyFont="1" applyFill="1"/>
    <xf numFmtId="164" fontId="78" fillId="68" borderId="0" xfId="0" applyNumberFormat="1" applyFont="1" applyFill="1"/>
    <xf numFmtId="164" fontId="6" fillId="74" borderId="3" xfId="2" applyNumberFormat="1" applyFont="1" applyFill="1" applyBorder="1" applyProtection="1"/>
    <xf numFmtId="0" fontId="6" fillId="0" borderId="3" xfId="2" applyNumberFormat="1" applyFont="1" applyFill="1" applyBorder="1" applyProtection="1"/>
    <xf numFmtId="169" fontId="6" fillId="0" borderId="3" xfId="2" applyNumberFormat="1" applyFont="1" applyFill="1" applyBorder="1" applyProtection="1"/>
    <xf numFmtId="164" fontId="6" fillId="68" borderId="3" xfId="2" applyNumberFormat="1" applyFont="1" applyFill="1" applyBorder="1" applyProtection="1"/>
    <xf numFmtId="164" fontId="11" fillId="68" borderId="3" xfId="2" applyNumberFormat="1" applyFont="1" applyFill="1" applyBorder="1" applyProtection="1"/>
    <xf numFmtId="164" fontId="6" fillId="76" borderId="3" xfId="1" applyNumberFormat="1" applyFont="1" applyFill="1" applyBorder="1" applyProtection="1"/>
    <xf numFmtId="167" fontId="76" fillId="15" borderId="0" xfId="0" applyNumberFormat="1" applyFont="1" applyFill="1"/>
    <xf numFmtId="168" fontId="76" fillId="15" borderId="0" xfId="0" applyNumberFormat="1" applyFont="1" applyFill="1"/>
    <xf numFmtId="170" fontId="0" fillId="0" borderId="0" xfId="0" applyNumberFormat="1" applyFill="1"/>
    <xf numFmtId="43" fontId="0" fillId="0" borderId="0" xfId="4" applyFont="1" applyFill="1"/>
    <xf numFmtId="168" fontId="76" fillId="0" borderId="0" xfId="0" applyNumberFormat="1" applyFont="1" applyFill="1"/>
    <xf numFmtId="167" fontId="76" fillId="0" borderId="0" xfId="0" applyNumberFormat="1" applyFont="1" applyFill="1"/>
    <xf numFmtId="0" fontId="33" fillId="0" borderId="0" xfId="0" applyFont="1" applyFill="1"/>
    <xf numFmtId="0" fontId="33" fillId="0" borderId="0" xfId="21150" applyFont="1" applyFill="1"/>
    <xf numFmtId="0" fontId="7" fillId="70" borderId="0" xfId="0" applyFont="1" applyFill="1" applyAlignment="1">
      <alignment horizontal="center" vertical="center" textRotation="90"/>
    </xf>
    <xf numFmtId="164" fontId="6" fillId="0" borderId="0" xfId="2" applyNumberFormat="1" applyFont="1" applyFill="1" applyBorder="1" applyProtection="1"/>
    <xf numFmtId="164" fontId="6" fillId="0" borderId="29" xfId="2" applyNumberFormat="1" applyFont="1" applyFill="1" applyBorder="1" applyProtection="1"/>
    <xf numFmtId="164" fontId="6" fillId="76" borderId="3" xfId="2" applyNumberFormat="1" applyFont="1" applyFill="1" applyBorder="1" applyProtection="1"/>
    <xf numFmtId="44" fontId="79" fillId="73" borderId="33" xfId="0" applyNumberFormat="1" applyFont="1" applyFill="1" applyBorder="1" applyProtection="1">
      <protection locked="0"/>
    </xf>
    <xf numFmtId="164" fontId="0" fillId="0" borderId="0" xfId="0" applyNumberFormat="1" applyFont="1" applyFill="1"/>
    <xf numFmtId="164" fontId="6" fillId="6" borderId="34" xfId="2" applyNumberFormat="1" applyFont="1" applyFill="1" applyBorder="1" applyProtection="1"/>
    <xf numFmtId="164" fontId="6" fillId="0" borderId="34" xfId="2" applyNumberFormat="1" applyFont="1" applyFill="1" applyBorder="1" applyProtection="1"/>
    <xf numFmtId="164" fontId="6" fillId="12" borderId="34" xfId="1" applyNumberFormat="1" applyFont="1" applyFill="1" applyBorder="1" applyProtection="1"/>
    <xf numFmtId="164" fontId="6" fillId="12" borderId="34" xfId="2" applyNumberFormat="1" applyFont="1" applyFill="1" applyBorder="1" applyProtection="1"/>
    <xf numFmtId="164" fontId="6" fillId="14" borderId="34" xfId="2" applyNumberFormat="1" applyFont="1" applyFill="1" applyBorder="1" applyProtection="1"/>
    <xf numFmtId="0" fontId="0" fillId="0" borderId="0" xfId="0" applyFont="1" applyFill="1" applyBorder="1"/>
    <xf numFmtId="164" fontId="6" fillId="0" borderId="0" xfId="1" applyNumberFormat="1" applyFont="1" applyFill="1" applyBorder="1" applyProtection="1"/>
    <xf numFmtId="0" fontId="10" fillId="0" borderId="0" xfId="0" applyFont="1" applyFill="1" applyBorder="1"/>
    <xf numFmtId="165" fontId="6" fillId="0" borderId="0" xfId="6" applyNumberFormat="1" applyFont="1" applyFill="1" applyBorder="1" applyProtection="1">
      <protection locked="0"/>
    </xf>
    <xf numFmtId="0" fontId="11" fillId="0" borderId="0" xfId="0" applyFont="1" applyFill="1" applyBorder="1"/>
    <xf numFmtId="0" fontId="6" fillId="0" borderId="0" xfId="0" applyFont="1" applyFill="1" applyBorder="1"/>
    <xf numFmtId="0" fontId="78" fillId="0" borderId="0" xfId="0" applyFont="1" applyFill="1" applyBorder="1"/>
    <xf numFmtId="43" fontId="78" fillId="0" borderId="0" xfId="4" applyFont="1" applyFill="1" applyBorder="1"/>
    <xf numFmtId="44" fontId="79" fillId="0" borderId="0" xfId="0" applyNumberFormat="1" applyFont="1" applyFill="1" applyBorder="1" applyProtection="1">
      <protection locked="0"/>
    </xf>
    <xf numFmtId="0" fontId="7" fillId="0" borderId="0" xfId="0" applyFont="1" applyFill="1" applyBorder="1"/>
    <xf numFmtId="0" fontId="6" fillId="0" borderId="0" xfId="0" applyFont="1" applyFill="1" applyBorder="1" applyProtection="1">
      <protection locked="0"/>
    </xf>
    <xf numFmtId="0" fontId="6" fillId="0" borderId="0" xfId="0" applyFont="1" applyFill="1" applyBorder="1" applyAlignment="1" applyProtection="1">
      <alignment horizontal="left" indent="1"/>
      <protection locked="0"/>
    </xf>
    <xf numFmtId="17" fontId="4" fillId="12" borderId="26" xfId="0" applyNumberFormat="1" applyFont="1" applyFill="1" applyBorder="1" applyAlignment="1" applyProtection="1">
      <alignment horizontal="center"/>
    </xf>
    <xf numFmtId="17" fontId="4" fillId="12" borderId="35" xfId="0" applyNumberFormat="1" applyFont="1" applyFill="1" applyBorder="1" applyAlignment="1" applyProtection="1">
      <alignment horizontal="center"/>
    </xf>
    <xf numFmtId="164" fontId="6" fillId="6" borderId="36" xfId="2" applyNumberFormat="1" applyFont="1" applyFill="1" applyBorder="1" applyProtection="1"/>
    <xf numFmtId="164" fontId="6" fillId="6" borderId="31" xfId="2" applyNumberFormat="1" applyFont="1" applyFill="1" applyBorder="1" applyProtection="1"/>
    <xf numFmtId="164" fontId="6" fillId="6" borderId="37" xfId="2" applyNumberFormat="1" applyFont="1" applyFill="1" applyBorder="1" applyProtection="1"/>
    <xf numFmtId="0" fontId="7" fillId="0" borderId="0" xfId="0" applyFont="1" applyFill="1" applyBorder="1" applyAlignment="1">
      <alignment vertical="center" textRotation="90"/>
    </xf>
    <xf numFmtId="164" fontId="6" fillId="6" borderId="30" xfId="2" applyNumberFormat="1" applyFont="1" applyFill="1" applyBorder="1" applyProtection="1"/>
    <xf numFmtId="0" fontId="7" fillId="0" borderId="0" xfId="0" applyFont="1" applyFill="1" applyBorder="1" applyAlignment="1">
      <alignment horizontal="center" vertical="center" textRotation="90"/>
    </xf>
    <xf numFmtId="164" fontId="6" fillId="0" borderId="0" xfId="6" applyNumberFormat="1" applyFont="1" applyFill="1" applyBorder="1" applyProtection="1">
      <protection locked="0"/>
    </xf>
    <xf numFmtId="0" fontId="0" fillId="67" borderId="0" xfId="0" applyFont="1" applyFill="1"/>
    <xf numFmtId="0" fontId="11" fillId="67" borderId="0" xfId="0" applyFont="1" applyFill="1"/>
    <xf numFmtId="0" fontId="6" fillId="67" borderId="0" xfId="0" applyFont="1" applyFill="1"/>
    <xf numFmtId="44" fontId="1" fillId="74" borderId="0" xfId="37697" applyFont="1" applyFill="1" applyBorder="1" applyAlignment="1" applyProtection="1">
      <alignment horizontal="center"/>
    </xf>
    <xf numFmtId="44" fontId="1" fillId="0" borderId="0" xfId="37697" applyFont="1" applyFill="1" applyBorder="1" applyAlignment="1" applyProtection="1">
      <alignment horizontal="center"/>
    </xf>
    <xf numFmtId="44" fontId="6" fillId="0" borderId="0" xfId="37697" applyFont="1" applyFill="1" applyBorder="1" applyProtection="1">
      <protection locked="0"/>
    </xf>
    <xf numFmtId="164" fontId="0" fillId="0" borderId="0" xfId="4" applyNumberFormat="1" applyFont="1"/>
    <xf numFmtId="0" fontId="5" fillId="12" borderId="0" xfId="0" applyFont="1" applyFill="1" applyBorder="1"/>
    <xf numFmtId="17" fontId="74" fillId="12" borderId="0" xfId="0" applyNumberFormat="1" applyFont="1" applyFill="1" applyBorder="1" applyAlignment="1" applyProtection="1">
      <alignment horizontal="center"/>
    </xf>
    <xf numFmtId="164" fontId="5" fillId="12" borderId="0" xfId="1" applyNumberFormat="1" applyFont="1" applyFill="1" applyBorder="1" applyProtection="1"/>
    <xf numFmtId="164" fontId="5" fillId="12" borderId="0" xfId="2" applyNumberFormat="1" applyFont="1" applyFill="1" applyBorder="1" applyProtection="1"/>
    <xf numFmtId="165" fontId="5" fillId="12" borderId="0" xfId="6" applyNumberFormat="1" applyFont="1" applyFill="1" applyBorder="1" applyProtection="1">
      <protection locked="0"/>
    </xf>
    <xf numFmtId="0" fontId="5" fillId="12" borderId="0" xfId="0" applyFont="1" applyFill="1"/>
    <xf numFmtId="0" fontId="0" fillId="12" borderId="0" xfId="0" applyFont="1" applyFill="1"/>
    <xf numFmtId="0" fontId="10" fillId="12" borderId="0" xfId="0" applyFont="1" applyFill="1"/>
    <xf numFmtId="0" fontId="11" fillId="12" borderId="0" xfId="0" applyFont="1" applyFill="1"/>
    <xf numFmtId="0" fontId="7" fillId="12" borderId="0" xfId="0" applyFont="1" applyFill="1"/>
    <xf numFmtId="164" fontId="0" fillId="68" borderId="38" xfId="0" applyNumberFormat="1" applyFont="1" applyFill="1" applyBorder="1"/>
    <xf numFmtId="44" fontId="10" fillId="0" borderId="0" xfId="37697" applyFont="1" applyFill="1"/>
    <xf numFmtId="164" fontId="10" fillId="68" borderId="0" xfId="0" applyNumberFormat="1" applyFont="1" applyFill="1"/>
    <xf numFmtId="0" fontId="4" fillId="68" borderId="0" xfId="0" applyFont="1" applyFill="1"/>
    <xf numFmtId="0" fontId="0" fillId="0" borderId="0" xfId="0" applyAlignment="1">
      <alignment horizontal="right"/>
    </xf>
    <xf numFmtId="164" fontId="6" fillId="77" borderId="3" xfId="1" applyNumberFormat="1" applyFont="1" applyFill="1" applyBorder="1" applyProtection="1"/>
    <xf numFmtId="170" fontId="0" fillId="0" borderId="0" xfId="0" applyNumberFormat="1"/>
    <xf numFmtId="44" fontId="0" fillId="0" borderId="38" xfId="0" applyNumberFormat="1" applyBorder="1"/>
    <xf numFmtId="44" fontId="0" fillId="0" borderId="0" xfId="0" applyNumberFormat="1" applyBorder="1"/>
    <xf numFmtId="44" fontId="0" fillId="0" borderId="0" xfId="37697" applyFont="1" applyBorder="1"/>
    <xf numFmtId="10" fontId="0" fillId="0" borderId="0" xfId="0" applyNumberFormat="1" applyBorder="1"/>
    <xf numFmtId="44" fontId="0" fillId="0" borderId="38" xfId="37697" applyNumberFormat="1" applyFont="1" applyBorder="1"/>
    <xf numFmtId="10" fontId="0" fillId="0" borderId="38" xfId="0" applyNumberFormat="1" applyBorder="1"/>
    <xf numFmtId="10" fontId="0" fillId="0" borderId="39" xfId="0" applyNumberFormat="1" applyBorder="1"/>
    <xf numFmtId="44" fontId="4" fillId="0" borderId="0" xfId="37697" applyFont="1" applyFill="1" applyBorder="1" applyAlignment="1" applyProtection="1">
      <alignment horizontal="center"/>
    </xf>
    <xf numFmtId="44" fontId="0" fillId="0" borderId="0" xfId="37697" applyFont="1" applyFill="1"/>
    <xf numFmtId="44" fontId="0" fillId="0" borderId="0" xfId="0" applyNumberFormat="1" applyFill="1"/>
    <xf numFmtId="44" fontId="0" fillId="0" borderId="38" xfId="0" applyNumberFormat="1" applyFill="1" applyBorder="1"/>
    <xf numFmtId="44" fontId="0" fillId="0" borderId="38" xfId="37697" applyFont="1" applyFill="1" applyBorder="1"/>
    <xf numFmtId="44" fontId="0" fillId="0" borderId="0" xfId="37697" applyFont="1" applyFill="1" applyBorder="1"/>
    <xf numFmtId="10" fontId="0" fillId="0" borderId="0" xfId="6" applyNumberFormat="1" applyFont="1" applyFill="1"/>
    <xf numFmtId="10" fontId="0" fillId="0" borderId="38" xfId="0" applyNumberFormat="1" applyFill="1" applyBorder="1"/>
    <xf numFmtId="164" fontId="6" fillId="78" borderId="3" xfId="1" applyNumberFormat="1" applyFont="1" applyFill="1" applyBorder="1" applyProtection="1"/>
    <xf numFmtId="44" fontId="18" fillId="0" borderId="0" xfId="37697" applyFont="1" applyFill="1" applyBorder="1" applyProtection="1">
      <protection locked="0"/>
    </xf>
    <xf numFmtId="165" fontId="18" fillId="0" borderId="0" xfId="6" applyNumberFormat="1" applyFont="1" applyFill="1" applyBorder="1" applyProtection="1">
      <protection locked="0"/>
    </xf>
    <xf numFmtId="0" fontId="74" fillId="0" borderId="0" xfId="0" applyFont="1" applyFill="1" applyBorder="1"/>
    <xf numFmtId="0" fontId="73" fillId="0" borderId="0" xfId="0" applyFont="1" applyFill="1"/>
    <xf numFmtId="0" fontId="7" fillId="67" borderId="0" xfId="0" applyFont="1" applyFill="1"/>
    <xf numFmtId="0" fontId="0" fillId="76" borderId="0" xfId="0" applyFill="1" applyAlignment="1">
      <alignment horizontal="left"/>
    </xf>
    <xf numFmtId="0" fontId="4" fillId="0" borderId="40" xfId="7" applyFont="1" applyBorder="1"/>
    <xf numFmtId="0" fontId="0" fillId="0" borderId="41" xfId="0" applyBorder="1" applyAlignment="1">
      <alignment horizontal="center"/>
    </xf>
    <xf numFmtId="0" fontId="0" fillId="0" borderId="42" xfId="0" applyBorder="1" applyAlignment="1">
      <alignment horizontal="center"/>
    </xf>
    <xf numFmtId="0" fontId="1" fillId="76" borderId="43" xfId="7" applyFont="1" applyFill="1" applyBorder="1"/>
    <xf numFmtId="44" fontId="0" fillId="0" borderId="22" xfId="0" applyNumberFormat="1" applyBorder="1"/>
    <xf numFmtId="9" fontId="0" fillId="0" borderId="22" xfId="6" applyFont="1" applyBorder="1" applyAlignment="1">
      <alignment horizontal="center"/>
    </xf>
    <xf numFmtId="44" fontId="0" fillId="0" borderId="32" xfId="0" applyNumberFormat="1" applyBorder="1"/>
    <xf numFmtId="0" fontId="1" fillId="0" borderId="0" xfId="7" applyFont="1" applyFill="1" applyBorder="1"/>
    <xf numFmtId="9" fontId="0" fillId="0" borderId="0" xfId="6" applyFont="1" applyBorder="1" applyAlignment="1">
      <alignment horizontal="center"/>
    </xf>
    <xf numFmtId="0" fontId="0" fillId="69" borderId="0" xfId="0" applyFill="1" applyAlignment="1">
      <alignment horizontal="left"/>
    </xf>
    <xf numFmtId="44" fontId="0" fillId="69" borderId="0" xfId="0" applyNumberFormat="1" applyFill="1"/>
    <xf numFmtId="0" fontId="6" fillId="69" borderId="0" xfId="0" applyFont="1" applyFill="1"/>
    <xf numFmtId="0" fontId="0" fillId="0" borderId="0" xfId="0" applyFont="1" applyAlignment="1">
      <alignment vertical="top" wrapText="1"/>
    </xf>
    <xf numFmtId="0" fontId="74" fillId="0" borderId="0" xfId="0" applyFont="1" applyAlignment="1">
      <alignment vertical="top"/>
    </xf>
    <xf numFmtId="44" fontId="0" fillId="74" borderId="0" xfId="37697" applyFont="1" applyFill="1"/>
    <xf numFmtId="44" fontId="0" fillId="15" borderId="4" xfId="37697" applyFont="1" applyFill="1" applyBorder="1"/>
    <xf numFmtId="44" fontId="0" fillId="76" borderId="4" xfId="37697" applyFont="1" applyFill="1" applyBorder="1"/>
    <xf numFmtId="44" fontId="0" fillId="0" borderId="4" xfId="37697" applyFont="1" applyBorder="1"/>
    <xf numFmtId="164" fontId="6" fillId="5" borderId="4" xfId="2" applyNumberFormat="1" applyFont="1" applyFill="1" applyBorder="1" applyProtection="1"/>
    <xf numFmtId="165" fontId="6" fillId="15" borderId="46" xfId="6" applyNumberFormat="1" applyFont="1" applyFill="1" applyBorder="1" applyProtection="1">
      <protection locked="0"/>
    </xf>
    <xf numFmtId="165" fontId="6" fillId="15" borderId="31" xfId="6" applyNumberFormat="1" applyFont="1" applyFill="1" applyBorder="1" applyProtection="1">
      <protection locked="0"/>
    </xf>
    <xf numFmtId="164" fontId="6" fillId="5" borderId="29" xfId="2" applyNumberFormat="1" applyFont="1" applyFill="1" applyBorder="1" applyProtection="1"/>
    <xf numFmtId="164" fontId="11" fillId="0" borderId="0" xfId="0" applyNumberFormat="1" applyFont="1" applyFill="1"/>
    <xf numFmtId="44" fontId="0" fillId="74" borderId="0" xfId="0" applyNumberFormat="1" applyFont="1" applyFill="1" applyBorder="1" applyAlignment="1" applyProtection="1">
      <alignment horizontal="center"/>
    </xf>
    <xf numFmtId="44" fontId="11" fillId="0" borderId="0" xfId="37697" applyFont="1" applyFill="1"/>
    <xf numFmtId="164" fontId="0" fillId="68" borderId="0" xfId="37697" applyNumberFormat="1" applyFont="1" applyFill="1"/>
    <xf numFmtId="44" fontId="0" fillId="76" borderId="0" xfId="37697" applyFont="1" applyFill="1" applyBorder="1" applyAlignment="1" applyProtection="1">
      <alignment horizontal="center"/>
    </xf>
    <xf numFmtId="164" fontId="6" fillId="6" borderId="3" xfId="1" applyNumberFormat="1" applyFont="1" applyFill="1" applyBorder="1" applyProtection="1"/>
    <xf numFmtId="165" fontId="6" fillId="6" borderId="3" xfId="6" applyNumberFormat="1" applyFont="1" applyFill="1" applyBorder="1" applyProtection="1">
      <protection locked="0"/>
    </xf>
    <xf numFmtId="10" fontId="6" fillId="0" borderId="0" xfId="6" applyNumberFormat="1" applyFont="1" applyFill="1"/>
    <xf numFmtId="164" fontId="6" fillId="0" borderId="0" xfId="0" applyNumberFormat="1" applyFont="1" applyFill="1"/>
    <xf numFmtId="44" fontId="6" fillId="67" borderId="0" xfId="37697" applyFont="1" applyFill="1"/>
    <xf numFmtId="44" fontId="6" fillId="14" borderId="0" xfId="37697" applyFont="1" applyFill="1"/>
    <xf numFmtId="44" fontId="11" fillId="0" borderId="0" xfId="0" applyNumberFormat="1" applyFont="1" applyFill="1"/>
    <xf numFmtId="0" fontId="80" fillId="0" borderId="0" xfId="21150" applyFont="1"/>
    <xf numFmtId="44" fontId="0" fillId="15" borderId="0" xfId="37697" applyFont="1" applyFill="1"/>
    <xf numFmtId="0" fontId="80" fillId="80" borderId="0" xfId="21150" applyFont="1" applyFill="1"/>
    <xf numFmtId="0" fontId="0" fillId="80" borderId="0" xfId="0" applyFont="1" applyFill="1"/>
    <xf numFmtId="166" fontId="0" fillId="80" borderId="0" xfId="4" applyNumberFormat="1" applyFont="1" applyFill="1"/>
    <xf numFmtId="44" fontId="0" fillId="76" borderId="0" xfId="37697" applyFont="1" applyFill="1"/>
    <xf numFmtId="44" fontId="0" fillId="76" borderId="0" xfId="37697" applyNumberFormat="1" applyFont="1" applyFill="1"/>
    <xf numFmtId="44" fontId="0" fillId="68" borderId="0" xfId="37697" applyFont="1" applyFill="1"/>
    <xf numFmtId="44" fontId="0" fillId="79" borderId="0" xfId="37697" applyFont="1" applyFill="1"/>
    <xf numFmtId="44" fontId="1" fillId="79" borderId="0" xfId="37697" applyFont="1" applyFill="1" applyBorder="1"/>
    <xf numFmtId="44" fontId="1" fillId="68" borderId="0" xfId="37697" applyFont="1" applyFill="1" applyBorder="1"/>
    <xf numFmtId="0" fontId="4" fillId="0" borderId="0" xfId="21150" applyFont="1" applyFill="1"/>
    <xf numFmtId="44" fontId="1" fillId="76" borderId="0" xfId="37697" applyFont="1" applyFill="1" applyBorder="1"/>
    <xf numFmtId="0" fontId="80" fillId="81" borderId="0" xfId="21150" applyFont="1" applyFill="1"/>
    <xf numFmtId="17" fontId="4" fillId="81" borderId="0" xfId="0" applyNumberFormat="1" applyFont="1" applyFill="1" applyBorder="1" applyAlignment="1" applyProtection="1">
      <alignment horizontal="center"/>
    </xf>
    <xf numFmtId="43" fontId="0" fillId="81" borderId="0" xfId="4" applyFont="1" applyFill="1"/>
    <xf numFmtId="44" fontId="4" fillId="81" borderId="0" xfId="37697" applyFont="1" applyFill="1" applyBorder="1"/>
    <xf numFmtId="171" fontId="0" fillId="0" borderId="0" xfId="6" applyNumberFormat="1" applyFont="1"/>
    <xf numFmtId="0" fontId="81" fillId="0" borderId="0" xfId="0" applyFont="1"/>
    <xf numFmtId="0" fontId="80" fillId="0" borderId="0" xfId="0" applyFont="1" applyFill="1"/>
    <xf numFmtId="0" fontId="18" fillId="0" borderId="0" xfId="0" applyFont="1" applyFill="1"/>
    <xf numFmtId="0" fontId="72" fillId="0" borderId="0" xfId="0" applyFont="1" applyFill="1" applyAlignment="1">
      <alignment horizontal="left"/>
    </xf>
    <xf numFmtId="164" fontId="6" fillId="68" borderId="3" xfId="1" applyNumberFormat="1" applyFont="1" applyFill="1" applyBorder="1" applyProtection="1"/>
    <xf numFmtId="165" fontId="6" fillId="68" borderId="3" xfId="6" applyNumberFormat="1" applyFont="1" applyFill="1" applyBorder="1" applyProtection="1">
      <protection locked="0"/>
    </xf>
    <xf numFmtId="0" fontId="7" fillId="13" borderId="0" xfId="0" applyFont="1" applyFill="1" applyAlignment="1">
      <alignment horizontal="center" vertical="center" textRotation="90"/>
    </xf>
    <xf numFmtId="0" fontId="7" fillId="75" borderId="0" xfId="0" applyFont="1" applyFill="1" applyAlignment="1">
      <alignment horizontal="center" vertical="center" textRotation="90"/>
    </xf>
    <xf numFmtId="0" fontId="7" fillId="70" borderId="0" xfId="0" applyFont="1" applyFill="1" applyAlignment="1">
      <alignment horizontal="center" vertical="center" textRotation="90"/>
    </xf>
    <xf numFmtId="0" fontId="7" fillId="7" borderId="0" xfId="0" applyFont="1" applyFill="1" applyAlignment="1">
      <alignment horizontal="center" vertical="center" textRotation="90"/>
    </xf>
    <xf numFmtId="0" fontId="0" fillId="0" borderId="41" xfId="0" applyFont="1" applyBorder="1" applyAlignment="1">
      <alignment horizontal="left" vertical="top" wrapText="1"/>
    </xf>
    <xf numFmtId="0" fontId="0" fillId="0" borderId="42" xfId="0" applyFont="1" applyBorder="1" applyAlignment="1">
      <alignment horizontal="left" vertical="top" wrapText="1"/>
    </xf>
    <xf numFmtId="0" fontId="0" fillId="0" borderId="0" xfId="0" applyFont="1" applyBorder="1" applyAlignment="1">
      <alignment horizontal="left" vertical="top" wrapText="1"/>
    </xf>
    <xf numFmtId="0" fontId="0" fillId="0" borderId="45" xfId="0" applyFont="1" applyBorder="1" applyAlignment="1">
      <alignment horizontal="left" vertical="top" wrapText="1"/>
    </xf>
    <xf numFmtId="0" fontId="0" fillId="0" borderId="22" xfId="0" applyFont="1" applyBorder="1" applyAlignment="1">
      <alignment horizontal="left" vertical="top" wrapText="1"/>
    </xf>
    <xf numFmtId="0" fontId="0" fillId="0" borderId="32" xfId="0" applyFont="1" applyBorder="1" applyAlignment="1">
      <alignment horizontal="left" vertical="top" wrapText="1"/>
    </xf>
    <xf numFmtId="0" fontId="74" fillId="0" borderId="40" xfId="0" applyFont="1" applyBorder="1" applyAlignment="1">
      <alignment horizontal="right" vertical="top"/>
    </xf>
    <xf numFmtId="0" fontId="74" fillId="0" borderId="44" xfId="0" applyFont="1" applyBorder="1" applyAlignment="1">
      <alignment horizontal="right" vertical="top"/>
    </xf>
    <xf numFmtId="0" fontId="74" fillId="0" borderId="43" xfId="0" applyFont="1" applyBorder="1" applyAlignment="1">
      <alignment horizontal="right" vertical="top"/>
    </xf>
    <xf numFmtId="0" fontId="4" fillId="69" borderId="26" xfId="0" applyFont="1" applyFill="1" applyBorder="1" applyAlignment="1">
      <alignment horizontal="center" vertical="center" textRotation="90"/>
    </xf>
    <xf numFmtId="0" fontId="4" fillId="69" borderId="27" xfId="0" applyFont="1" applyFill="1" applyBorder="1" applyAlignment="1">
      <alignment horizontal="center" vertical="center" textRotation="90"/>
    </xf>
  </cellXfs>
  <cellStyles count="37699">
    <cellStyle name="20% - Accent1" xfId="152" builtinId="30" customBuiltin="1"/>
    <cellStyle name="20% - Accent1 10 2" xfId="674" xr:uid="{00000000-0005-0000-0000-000001000000}"/>
    <cellStyle name="20% - Accent1 10 3" xfId="675" xr:uid="{00000000-0005-0000-0000-000002000000}"/>
    <cellStyle name="20% - Accent1 11 2" xfId="676" xr:uid="{00000000-0005-0000-0000-000003000000}"/>
    <cellStyle name="20% - Accent1 11 3" xfId="677" xr:uid="{00000000-0005-0000-0000-000004000000}"/>
    <cellStyle name="20% - Accent1 12 2" xfId="678" xr:uid="{00000000-0005-0000-0000-000005000000}"/>
    <cellStyle name="20% - Accent1 12 3" xfId="679" xr:uid="{00000000-0005-0000-0000-000006000000}"/>
    <cellStyle name="20% - Accent1 13 2" xfId="680" xr:uid="{00000000-0005-0000-0000-000007000000}"/>
    <cellStyle name="20% - Accent1 13 3" xfId="681" xr:uid="{00000000-0005-0000-0000-000008000000}"/>
    <cellStyle name="20% - Accent1 14 2" xfId="682" xr:uid="{00000000-0005-0000-0000-000009000000}"/>
    <cellStyle name="20% - Accent1 14 3" xfId="683" xr:uid="{00000000-0005-0000-0000-00000A000000}"/>
    <cellStyle name="20% - Accent1 15" xfId="684" xr:uid="{00000000-0005-0000-0000-00000B000000}"/>
    <cellStyle name="20% - Accent1 15 2" xfId="685" xr:uid="{00000000-0005-0000-0000-00000C000000}"/>
    <cellStyle name="20% - Accent1 15 3" xfId="686" xr:uid="{00000000-0005-0000-0000-00000D000000}"/>
    <cellStyle name="20% - Accent1 15 4" xfId="687" xr:uid="{00000000-0005-0000-0000-00000E000000}"/>
    <cellStyle name="20% - Accent1 15 5" xfId="688" xr:uid="{00000000-0005-0000-0000-00000F000000}"/>
    <cellStyle name="20% - Accent1 15 6" xfId="689" xr:uid="{00000000-0005-0000-0000-000010000000}"/>
    <cellStyle name="20% - Accent1 15 7" xfId="690" xr:uid="{00000000-0005-0000-0000-000011000000}"/>
    <cellStyle name="20% - Accent1 16" xfId="691" xr:uid="{00000000-0005-0000-0000-000012000000}"/>
    <cellStyle name="20% - Accent1 17" xfId="692" xr:uid="{00000000-0005-0000-0000-000013000000}"/>
    <cellStyle name="20% - Accent1 18" xfId="693" xr:uid="{00000000-0005-0000-0000-000014000000}"/>
    <cellStyle name="20% - Accent1 19" xfId="694" xr:uid="{00000000-0005-0000-0000-000015000000}"/>
    <cellStyle name="20% - Accent1 2" xfId="186" xr:uid="{00000000-0005-0000-0000-000016000000}"/>
    <cellStyle name="20% - Accent1 2 2" xfId="368" xr:uid="{00000000-0005-0000-0000-000017000000}"/>
    <cellStyle name="20% - Accent1 2 2 2" xfId="560" xr:uid="{00000000-0005-0000-0000-000018000000}"/>
    <cellStyle name="20% - Accent1 2 2 3" xfId="696" xr:uid="{00000000-0005-0000-0000-000019000000}"/>
    <cellStyle name="20% - Accent1 2 3" xfId="471" xr:uid="{00000000-0005-0000-0000-00001A000000}"/>
    <cellStyle name="20% - Accent1 2 3 2" xfId="697" xr:uid="{00000000-0005-0000-0000-00001B000000}"/>
    <cellStyle name="20% - Accent1 2 4" xfId="695" xr:uid="{00000000-0005-0000-0000-00001C000000}"/>
    <cellStyle name="20% - Accent1 2 5" xfId="37607" xr:uid="{00000000-0005-0000-0000-00001D000000}"/>
    <cellStyle name="20% - Accent1 20" xfId="698" xr:uid="{00000000-0005-0000-0000-00001E000000}"/>
    <cellStyle name="20% - Accent1 21" xfId="699" xr:uid="{00000000-0005-0000-0000-00001F000000}"/>
    <cellStyle name="20% - Accent1 22" xfId="700" xr:uid="{00000000-0005-0000-0000-000020000000}"/>
    <cellStyle name="20% - Accent1 3" xfId="334" xr:uid="{00000000-0005-0000-0000-000021000000}"/>
    <cellStyle name="20% - Accent1 3 2" xfId="524" xr:uid="{00000000-0005-0000-0000-000022000000}"/>
    <cellStyle name="20% - Accent1 3 2 2" xfId="702" xr:uid="{00000000-0005-0000-0000-000023000000}"/>
    <cellStyle name="20% - Accent1 3 3" xfId="703" xr:uid="{00000000-0005-0000-0000-000024000000}"/>
    <cellStyle name="20% - Accent1 3 4" xfId="701" xr:uid="{00000000-0005-0000-0000-000025000000}"/>
    <cellStyle name="20% - Accent1 4" xfId="354" xr:uid="{00000000-0005-0000-0000-000026000000}"/>
    <cellStyle name="20% - Accent1 4 2" xfId="544" xr:uid="{00000000-0005-0000-0000-000027000000}"/>
    <cellStyle name="20% - Accent1 4 2 2" xfId="705" xr:uid="{00000000-0005-0000-0000-000028000000}"/>
    <cellStyle name="20% - Accent1 4 3" xfId="706" xr:uid="{00000000-0005-0000-0000-000029000000}"/>
    <cellStyle name="20% - Accent1 4 4" xfId="704" xr:uid="{00000000-0005-0000-0000-00002A000000}"/>
    <cellStyle name="20% - Accent1 4 5" xfId="37608" xr:uid="{00000000-0005-0000-0000-00002B000000}"/>
    <cellStyle name="20% - Accent1 5" xfId="407" xr:uid="{00000000-0005-0000-0000-00002C000000}"/>
    <cellStyle name="20% - Accent1 5 2" xfId="707" xr:uid="{00000000-0005-0000-0000-00002D000000}"/>
    <cellStyle name="20% - Accent1 5 3" xfId="708" xr:uid="{00000000-0005-0000-0000-00002E000000}"/>
    <cellStyle name="20% - Accent1 6" xfId="445" xr:uid="{00000000-0005-0000-0000-00002F000000}"/>
    <cellStyle name="20% - Accent1 6 2" xfId="709" xr:uid="{00000000-0005-0000-0000-000030000000}"/>
    <cellStyle name="20% - Accent1 6 3" xfId="710" xr:uid="{00000000-0005-0000-0000-000031000000}"/>
    <cellStyle name="20% - Accent1 7" xfId="617" xr:uid="{00000000-0005-0000-0000-000032000000}"/>
    <cellStyle name="20% - Accent1 7 2" xfId="711" xr:uid="{00000000-0005-0000-0000-000033000000}"/>
    <cellStyle name="20% - Accent1 7 3" xfId="712" xr:uid="{00000000-0005-0000-0000-000034000000}"/>
    <cellStyle name="20% - Accent1 8 2" xfId="713" xr:uid="{00000000-0005-0000-0000-000035000000}"/>
    <cellStyle name="20% - Accent1 8 3" xfId="714" xr:uid="{00000000-0005-0000-0000-000036000000}"/>
    <cellStyle name="20% - Accent1 9 2" xfId="715" xr:uid="{00000000-0005-0000-0000-000037000000}"/>
    <cellStyle name="20% - Accent1 9 3" xfId="716" xr:uid="{00000000-0005-0000-0000-000038000000}"/>
    <cellStyle name="20% - Accent2" xfId="156" builtinId="34" customBuiltin="1"/>
    <cellStyle name="20% - Accent2 10 2" xfId="717" xr:uid="{00000000-0005-0000-0000-00003A000000}"/>
    <cellStyle name="20% - Accent2 10 3" xfId="718" xr:uid="{00000000-0005-0000-0000-00003B000000}"/>
    <cellStyle name="20% - Accent2 11 2" xfId="719" xr:uid="{00000000-0005-0000-0000-00003C000000}"/>
    <cellStyle name="20% - Accent2 11 3" xfId="720" xr:uid="{00000000-0005-0000-0000-00003D000000}"/>
    <cellStyle name="20% - Accent2 12 2" xfId="721" xr:uid="{00000000-0005-0000-0000-00003E000000}"/>
    <cellStyle name="20% - Accent2 12 3" xfId="722" xr:uid="{00000000-0005-0000-0000-00003F000000}"/>
    <cellStyle name="20% - Accent2 13 2" xfId="723" xr:uid="{00000000-0005-0000-0000-000040000000}"/>
    <cellStyle name="20% - Accent2 13 3" xfId="724" xr:uid="{00000000-0005-0000-0000-000041000000}"/>
    <cellStyle name="20% - Accent2 14 2" xfId="725" xr:uid="{00000000-0005-0000-0000-000042000000}"/>
    <cellStyle name="20% - Accent2 14 3" xfId="726" xr:uid="{00000000-0005-0000-0000-000043000000}"/>
    <cellStyle name="20% - Accent2 15" xfId="727" xr:uid="{00000000-0005-0000-0000-000044000000}"/>
    <cellStyle name="20% - Accent2 15 2" xfId="728" xr:uid="{00000000-0005-0000-0000-000045000000}"/>
    <cellStyle name="20% - Accent2 15 3" xfId="729" xr:uid="{00000000-0005-0000-0000-000046000000}"/>
    <cellStyle name="20% - Accent2 15 4" xfId="730" xr:uid="{00000000-0005-0000-0000-000047000000}"/>
    <cellStyle name="20% - Accent2 15 5" xfId="731" xr:uid="{00000000-0005-0000-0000-000048000000}"/>
    <cellStyle name="20% - Accent2 15 6" xfId="732" xr:uid="{00000000-0005-0000-0000-000049000000}"/>
    <cellStyle name="20% - Accent2 15 7" xfId="733" xr:uid="{00000000-0005-0000-0000-00004A000000}"/>
    <cellStyle name="20% - Accent2 16" xfId="734" xr:uid="{00000000-0005-0000-0000-00004B000000}"/>
    <cellStyle name="20% - Accent2 17" xfId="735" xr:uid="{00000000-0005-0000-0000-00004C000000}"/>
    <cellStyle name="20% - Accent2 18" xfId="736" xr:uid="{00000000-0005-0000-0000-00004D000000}"/>
    <cellStyle name="20% - Accent2 19" xfId="737" xr:uid="{00000000-0005-0000-0000-00004E000000}"/>
    <cellStyle name="20% - Accent2 2" xfId="188" xr:uid="{00000000-0005-0000-0000-00004F000000}"/>
    <cellStyle name="20% - Accent2 2 2" xfId="370" xr:uid="{00000000-0005-0000-0000-000050000000}"/>
    <cellStyle name="20% - Accent2 2 2 2" xfId="562" xr:uid="{00000000-0005-0000-0000-000051000000}"/>
    <cellStyle name="20% - Accent2 2 2 3" xfId="739" xr:uid="{00000000-0005-0000-0000-000052000000}"/>
    <cellStyle name="20% - Accent2 2 3" xfId="473" xr:uid="{00000000-0005-0000-0000-000053000000}"/>
    <cellStyle name="20% - Accent2 2 3 2" xfId="740" xr:uid="{00000000-0005-0000-0000-000054000000}"/>
    <cellStyle name="20% - Accent2 2 4" xfId="738" xr:uid="{00000000-0005-0000-0000-000055000000}"/>
    <cellStyle name="20% - Accent2 2 5" xfId="37609" xr:uid="{00000000-0005-0000-0000-000056000000}"/>
    <cellStyle name="20% - Accent2 20" xfId="741" xr:uid="{00000000-0005-0000-0000-000057000000}"/>
    <cellStyle name="20% - Accent2 21" xfId="742" xr:uid="{00000000-0005-0000-0000-000058000000}"/>
    <cellStyle name="20% - Accent2 22" xfId="743" xr:uid="{00000000-0005-0000-0000-000059000000}"/>
    <cellStyle name="20% - Accent2 3" xfId="336" xr:uid="{00000000-0005-0000-0000-00005A000000}"/>
    <cellStyle name="20% - Accent2 3 2" xfId="526" xr:uid="{00000000-0005-0000-0000-00005B000000}"/>
    <cellStyle name="20% - Accent2 3 2 2" xfId="745" xr:uid="{00000000-0005-0000-0000-00005C000000}"/>
    <cellStyle name="20% - Accent2 3 3" xfId="746" xr:uid="{00000000-0005-0000-0000-00005D000000}"/>
    <cellStyle name="20% - Accent2 3 4" xfId="744" xr:uid="{00000000-0005-0000-0000-00005E000000}"/>
    <cellStyle name="20% - Accent2 4" xfId="356" xr:uid="{00000000-0005-0000-0000-00005F000000}"/>
    <cellStyle name="20% - Accent2 4 2" xfId="546" xr:uid="{00000000-0005-0000-0000-000060000000}"/>
    <cellStyle name="20% - Accent2 4 2 2" xfId="748" xr:uid="{00000000-0005-0000-0000-000061000000}"/>
    <cellStyle name="20% - Accent2 4 3" xfId="749" xr:uid="{00000000-0005-0000-0000-000062000000}"/>
    <cellStyle name="20% - Accent2 4 4" xfId="747" xr:uid="{00000000-0005-0000-0000-000063000000}"/>
    <cellStyle name="20% - Accent2 4 5" xfId="37610" xr:uid="{00000000-0005-0000-0000-000064000000}"/>
    <cellStyle name="20% - Accent2 5" xfId="411" xr:uid="{00000000-0005-0000-0000-000065000000}"/>
    <cellStyle name="20% - Accent2 5 2" xfId="750" xr:uid="{00000000-0005-0000-0000-000066000000}"/>
    <cellStyle name="20% - Accent2 5 3" xfId="751" xr:uid="{00000000-0005-0000-0000-000067000000}"/>
    <cellStyle name="20% - Accent2 6" xfId="449" xr:uid="{00000000-0005-0000-0000-000068000000}"/>
    <cellStyle name="20% - Accent2 6 2" xfId="752" xr:uid="{00000000-0005-0000-0000-000069000000}"/>
    <cellStyle name="20% - Accent2 6 3" xfId="753" xr:uid="{00000000-0005-0000-0000-00006A000000}"/>
    <cellStyle name="20% - Accent2 7" xfId="618" xr:uid="{00000000-0005-0000-0000-00006B000000}"/>
    <cellStyle name="20% - Accent2 7 2" xfId="754" xr:uid="{00000000-0005-0000-0000-00006C000000}"/>
    <cellStyle name="20% - Accent2 7 3" xfId="755" xr:uid="{00000000-0005-0000-0000-00006D000000}"/>
    <cellStyle name="20% - Accent2 8 2" xfId="756" xr:uid="{00000000-0005-0000-0000-00006E000000}"/>
    <cellStyle name="20% - Accent2 8 3" xfId="757" xr:uid="{00000000-0005-0000-0000-00006F000000}"/>
    <cellStyle name="20% - Accent2 9 2" xfId="758" xr:uid="{00000000-0005-0000-0000-000070000000}"/>
    <cellStyle name="20% - Accent2 9 3" xfId="759" xr:uid="{00000000-0005-0000-0000-000071000000}"/>
    <cellStyle name="20% - Accent3" xfId="160" builtinId="38" customBuiltin="1"/>
    <cellStyle name="20% - Accent3 10 2" xfId="760" xr:uid="{00000000-0005-0000-0000-000073000000}"/>
    <cellStyle name="20% - Accent3 10 3" xfId="761" xr:uid="{00000000-0005-0000-0000-000074000000}"/>
    <cellStyle name="20% - Accent3 11 2" xfId="762" xr:uid="{00000000-0005-0000-0000-000075000000}"/>
    <cellStyle name="20% - Accent3 11 3" xfId="763" xr:uid="{00000000-0005-0000-0000-000076000000}"/>
    <cellStyle name="20% - Accent3 12 2" xfId="764" xr:uid="{00000000-0005-0000-0000-000077000000}"/>
    <cellStyle name="20% - Accent3 12 3" xfId="765" xr:uid="{00000000-0005-0000-0000-000078000000}"/>
    <cellStyle name="20% - Accent3 13 2" xfId="766" xr:uid="{00000000-0005-0000-0000-000079000000}"/>
    <cellStyle name="20% - Accent3 13 3" xfId="767" xr:uid="{00000000-0005-0000-0000-00007A000000}"/>
    <cellStyle name="20% - Accent3 14 2" xfId="768" xr:uid="{00000000-0005-0000-0000-00007B000000}"/>
    <cellStyle name="20% - Accent3 14 3" xfId="769" xr:uid="{00000000-0005-0000-0000-00007C000000}"/>
    <cellStyle name="20% - Accent3 15" xfId="770" xr:uid="{00000000-0005-0000-0000-00007D000000}"/>
    <cellStyle name="20% - Accent3 15 2" xfId="771" xr:uid="{00000000-0005-0000-0000-00007E000000}"/>
    <cellStyle name="20% - Accent3 15 3" xfId="772" xr:uid="{00000000-0005-0000-0000-00007F000000}"/>
    <cellStyle name="20% - Accent3 15 4" xfId="773" xr:uid="{00000000-0005-0000-0000-000080000000}"/>
    <cellStyle name="20% - Accent3 15 5" xfId="774" xr:uid="{00000000-0005-0000-0000-000081000000}"/>
    <cellStyle name="20% - Accent3 15 6" xfId="775" xr:uid="{00000000-0005-0000-0000-000082000000}"/>
    <cellStyle name="20% - Accent3 15 7" xfId="776" xr:uid="{00000000-0005-0000-0000-000083000000}"/>
    <cellStyle name="20% - Accent3 16" xfId="777" xr:uid="{00000000-0005-0000-0000-000084000000}"/>
    <cellStyle name="20% - Accent3 17" xfId="778" xr:uid="{00000000-0005-0000-0000-000085000000}"/>
    <cellStyle name="20% - Accent3 18" xfId="779" xr:uid="{00000000-0005-0000-0000-000086000000}"/>
    <cellStyle name="20% - Accent3 19" xfId="780" xr:uid="{00000000-0005-0000-0000-000087000000}"/>
    <cellStyle name="20% - Accent3 2" xfId="190" xr:uid="{00000000-0005-0000-0000-000088000000}"/>
    <cellStyle name="20% - Accent3 2 2" xfId="372" xr:uid="{00000000-0005-0000-0000-000089000000}"/>
    <cellStyle name="20% - Accent3 2 2 2" xfId="564" xr:uid="{00000000-0005-0000-0000-00008A000000}"/>
    <cellStyle name="20% - Accent3 2 2 3" xfId="782" xr:uid="{00000000-0005-0000-0000-00008B000000}"/>
    <cellStyle name="20% - Accent3 2 3" xfId="475" xr:uid="{00000000-0005-0000-0000-00008C000000}"/>
    <cellStyle name="20% - Accent3 2 3 2" xfId="783" xr:uid="{00000000-0005-0000-0000-00008D000000}"/>
    <cellStyle name="20% - Accent3 2 4" xfId="781" xr:uid="{00000000-0005-0000-0000-00008E000000}"/>
    <cellStyle name="20% - Accent3 2 5" xfId="37611" xr:uid="{00000000-0005-0000-0000-00008F000000}"/>
    <cellStyle name="20% - Accent3 20" xfId="784" xr:uid="{00000000-0005-0000-0000-000090000000}"/>
    <cellStyle name="20% - Accent3 21" xfId="785" xr:uid="{00000000-0005-0000-0000-000091000000}"/>
    <cellStyle name="20% - Accent3 22" xfId="786" xr:uid="{00000000-0005-0000-0000-000092000000}"/>
    <cellStyle name="20% - Accent3 3" xfId="338" xr:uid="{00000000-0005-0000-0000-000093000000}"/>
    <cellStyle name="20% - Accent3 3 2" xfId="528" xr:uid="{00000000-0005-0000-0000-000094000000}"/>
    <cellStyle name="20% - Accent3 3 2 2" xfId="788" xr:uid="{00000000-0005-0000-0000-000095000000}"/>
    <cellStyle name="20% - Accent3 3 3" xfId="789" xr:uid="{00000000-0005-0000-0000-000096000000}"/>
    <cellStyle name="20% - Accent3 3 4" xfId="787" xr:uid="{00000000-0005-0000-0000-000097000000}"/>
    <cellStyle name="20% - Accent3 4" xfId="358" xr:uid="{00000000-0005-0000-0000-000098000000}"/>
    <cellStyle name="20% - Accent3 4 2" xfId="548" xr:uid="{00000000-0005-0000-0000-000099000000}"/>
    <cellStyle name="20% - Accent3 4 2 2" xfId="791" xr:uid="{00000000-0005-0000-0000-00009A000000}"/>
    <cellStyle name="20% - Accent3 4 3" xfId="792" xr:uid="{00000000-0005-0000-0000-00009B000000}"/>
    <cellStyle name="20% - Accent3 4 4" xfId="790" xr:uid="{00000000-0005-0000-0000-00009C000000}"/>
    <cellStyle name="20% - Accent3 4 5" xfId="37612" xr:uid="{00000000-0005-0000-0000-00009D000000}"/>
    <cellStyle name="20% - Accent3 5" xfId="415" xr:uid="{00000000-0005-0000-0000-00009E000000}"/>
    <cellStyle name="20% - Accent3 5 2" xfId="793" xr:uid="{00000000-0005-0000-0000-00009F000000}"/>
    <cellStyle name="20% - Accent3 5 3" xfId="794" xr:uid="{00000000-0005-0000-0000-0000A0000000}"/>
    <cellStyle name="20% - Accent3 6" xfId="451" xr:uid="{00000000-0005-0000-0000-0000A1000000}"/>
    <cellStyle name="20% - Accent3 6 2" xfId="795" xr:uid="{00000000-0005-0000-0000-0000A2000000}"/>
    <cellStyle name="20% - Accent3 6 3" xfId="796" xr:uid="{00000000-0005-0000-0000-0000A3000000}"/>
    <cellStyle name="20% - Accent3 7" xfId="619" xr:uid="{00000000-0005-0000-0000-0000A4000000}"/>
    <cellStyle name="20% - Accent3 7 2" xfId="797" xr:uid="{00000000-0005-0000-0000-0000A5000000}"/>
    <cellStyle name="20% - Accent3 7 3" xfId="798" xr:uid="{00000000-0005-0000-0000-0000A6000000}"/>
    <cellStyle name="20% - Accent3 8 2" xfId="799" xr:uid="{00000000-0005-0000-0000-0000A7000000}"/>
    <cellStyle name="20% - Accent3 8 3" xfId="800" xr:uid="{00000000-0005-0000-0000-0000A8000000}"/>
    <cellStyle name="20% - Accent3 9 2" xfId="801" xr:uid="{00000000-0005-0000-0000-0000A9000000}"/>
    <cellStyle name="20% - Accent3 9 3" xfId="802" xr:uid="{00000000-0005-0000-0000-0000AA000000}"/>
    <cellStyle name="20% - Accent4" xfId="164" builtinId="42" customBuiltin="1"/>
    <cellStyle name="20% - Accent4 10 2" xfId="803" xr:uid="{00000000-0005-0000-0000-0000AC000000}"/>
    <cellStyle name="20% - Accent4 10 3" xfId="804" xr:uid="{00000000-0005-0000-0000-0000AD000000}"/>
    <cellStyle name="20% - Accent4 11 2" xfId="805" xr:uid="{00000000-0005-0000-0000-0000AE000000}"/>
    <cellStyle name="20% - Accent4 11 3" xfId="806" xr:uid="{00000000-0005-0000-0000-0000AF000000}"/>
    <cellStyle name="20% - Accent4 12 2" xfId="807" xr:uid="{00000000-0005-0000-0000-0000B0000000}"/>
    <cellStyle name="20% - Accent4 12 3" xfId="808" xr:uid="{00000000-0005-0000-0000-0000B1000000}"/>
    <cellStyle name="20% - Accent4 13 2" xfId="809" xr:uid="{00000000-0005-0000-0000-0000B2000000}"/>
    <cellStyle name="20% - Accent4 13 3" xfId="810" xr:uid="{00000000-0005-0000-0000-0000B3000000}"/>
    <cellStyle name="20% - Accent4 14 2" xfId="811" xr:uid="{00000000-0005-0000-0000-0000B4000000}"/>
    <cellStyle name="20% - Accent4 14 3" xfId="812" xr:uid="{00000000-0005-0000-0000-0000B5000000}"/>
    <cellStyle name="20% - Accent4 15" xfId="813" xr:uid="{00000000-0005-0000-0000-0000B6000000}"/>
    <cellStyle name="20% - Accent4 15 2" xfId="814" xr:uid="{00000000-0005-0000-0000-0000B7000000}"/>
    <cellStyle name="20% - Accent4 15 3" xfId="815" xr:uid="{00000000-0005-0000-0000-0000B8000000}"/>
    <cellStyle name="20% - Accent4 15 4" xfId="816" xr:uid="{00000000-0005-0000-0000-0000B9000000}"/>
    <cellStyle name="20% - Accent4 15 5" xfId="817" xr:uid="{00000000-0005-0000-0000-0000BA000000}"/>
    <cellStyle name="20% - Accent4 15 6" xfId="818" xr:uid="{00000000-0005-0000-0000-0000BB000000}"/>
    <cellStyle name="20% - Accent4 15 7" xfId="819" xr:uid="{00000000-0005-0000-0000-0000BC000000}"/>
    <cellStyle name="20% - Accent4 16" xfId="820" xr:uid="{00000000-0005-0000-0000-0000BD000000}"/>
    <cellStyle name="20% - Accent4 17" xfId="821" xr:uid="{00000000-0005-0000-0000-0000BE000000}"/>
    <cellStyle name="20% - Accent4 18" xfId="822" xr:uid="{00000000-0005-0000-0000-0000BF000000}"/>
    <cellStyle name="20% - Accent4 19" xfId="823" xr:uid="{00000000-0005-0000-0000-0000C0000000}"/>
    <cellStyle name="20% - Accent4 2" xfId="192" xr:uid="{00000000-0005-0000-0000-0000C1000000}"/>
    <cellStyle name="20% - Accent4 2 2" xfId="374" xr:uid="{00000000-0005-0000-0000-0000C2000000}"/>
    <cellStyle name="20% - Accent4 2 2 2" xfId="566" xr:uid="{00000000-0005-0000-0000-0000C3000000}"/>
    <cellStyle name="20% - Accent4 2 2 3" xfId="825" xr:uid="{00000000-0005-0000-0000-0000C4000000}"/>
    <cellStyle name="20% - Accent4 2 3" xfId="477" xr:uid="{00000000-0005-0000-0000-0000C5000000}"/>
    <cellStyle name="20% - Accent4 2 3 2" xfId="826" xr:uid="{00000000-0005-0000-0000-0000C6000000}"/>
    <cellStyle name="20% - Accent4 2 4" xfId="824" xr:uid="{00000000-0005-0000-0000-0000C7000000}"/>
    <cellStyle name="20% - Accent4 2 5" xfId="37613" xr:uid="{00000000-0005-0000-0000-0000C8000000}"/>
    <cellStyle name="20% - Accent4 20" xfId="827" xr:uid="{00000000-0005-0000-0000-0000C9000000}"/>
    <cellStyle name="20% - Accent4 21" xfId="828" xr:uid="{00000000-0005-0000-0000-0000CA000000}"/>
    <cellStyle name="20% - Accent4 22" xfId="829" xr:uid="{00000000-0005-0000-0000-0000CB000000}"/>
    <cellStyle name="20% - Accent4 3" xfId="340" xr:uid="{00000000-0005-0000-0000-0000CC000000}"/>
    <cellStyle name="20% - Accent4 3 2" xfId="530" xr:uid="{00000000-0005-0000-0000-0000CD000000}"/>
    <cellStyle name="20% - Accent4 3 2 2" xfId="831" xr:uid="{00000000-0005-0000-0000-0000CE000000}"/>
    <cellStyle name="20% - Accent4 3 3" xfId="832" xr:uid="{00000000-0005-0000-0000-0000CF000000}"/>
    <cellStyle name="20% - Accent4 3 4" xfId="830" xr:uid="{00000000-0005-0000-0000-0000D0000000}"/>
    <cellStyle name="20% - Accent4 4" xfId="360" xr:uid="{00000000-0005-0000-0000-0000D1000000}"/>
    <cellStyle name="20% - Accent4 4 2" xfId="550" xr:uid="{00000000-0005-0000-0000-0000D2000000}"/>
    <cellStyle name="20% - Accent4 4 2 2" xfId="834" xr:uid="{00000000-0005-0000-0000-0000D3000000}"/>
    <cellStyle name="20% - Accent4 4 3" xfId="835" xr:uid="{00000000-0005-0000-0000-0000D4000000}"/>
    <cellStyle name="20% - Accent4 4 4" xfId="833" xr:uid="{00000000-0005-0000-0000-0000D5000000}"/>
    <cellStyle name="20% - Accent4 4 5" xfId="37614" xr:uid="{00000000-0005-0000-0000-0000D6000000}"/>
    <cellStyle name="20% - Accent4 5" xfId="419" xr:uid="{00000000-0005-0000-0000-0000D7000000}"/>
    <cellStyle name="20% - Accent4 5 2" xfId="836" xr:uid="{00000000-0005-0000-0000-0000D8000000}"/>
    <cellStyle name="20% - Accent4 5 3" xfId="837" xr:uid="{00000000-0005-0000-0000-0000D9000000}"/>
    <cellStyle name="20% - Accent4 6" xfId="455" xr:uid="{00000000-0005-0000-0000-0000DA000000}"/>
    <cellStyle name="20% - Accent4 6 2" xfId="838" xr:uid="{00000000-0005-0000-0000-0000DB000000}"/>
    <cellStyle name="20% - Accent4 6 3" xfId="839" xr:uid="{00000000-0005-0000-0000-0000DC000000}"/>
    <cellStyle name="20% - Accent4 7" xfId="620" xr:uid="{00000000-0005-0000-0000-0000DD000000}"/>
    <cellStyle name="20% - Accent4 7 2" xfId="840" xr:uid="{00000000-0005-0000-0000-0000DE000000}"/>
    <cellStyle name="20% - Accent4 7 3" xfId="841" xr:uid="{00000000-0005-0000-0000-0000DF000000}"/>
    <cellStyle name="20% - Accent4 8 2" xfId="842" xr:uid="{00000000-0005-0000-0000-0000E0000000}"/>
    <cellStyle name="20% - Accent4 8 3" xfId="843" xr:uid="{00000000-0005-0000-0000-0000E1000000}"/>
    <cellStyle name="20% - Accent4 9 2" xfId="844" xr:uid="{00000000-0005-0000-0000-0000E2000000}"/>
    <cellStyle name="20% - Accent4 9 3" xfId="845" xr:uid="{00000000-0005-0000-0000-0000E3000000}"/>
    <cellStyle name="20% - Accent5" xfId="168" builtinId="46" customBuiltin="1"/>
    <cellStyle name="20% - Accent5 10 2" xfId="846" xr:uid="{00000000-0005-0000-0000-0000E5000000}"/>
    <cellStyle name="20% - Accent5 10 3" xfId="847" xr:uid="{00000000-0005-0000-0000-0000E6000000}"/>
    <cellStyle name="20% - Accent5 11 2" xfId="848" xr:uid="{00000000-0005-0000-0000-0000E7000000}"/>
    <cellStyle name="20% - Accent5 11 3" xfId="849" xr:uid="{00000000-0005-0000-0000-0000E8000000}"/>
    <cellStyle name="20% - Accent5 12 2" xfId="850" xr:uid="{00000000-0005-0000-0000-0000E9000000}"/>
    <cellStyle name="20% - Accent5 12 3" xfId="851" xr:uid="{00000000-0005-0000-0000-0000EA000000}"/>
    <cellStyle name="20% - Accent5 13 2" xfId="852" xr:uid="{00000000-0005-0000-0000-0000EB000000}"/>
    <cellStyle name="20% - Accent5 13 3" xfId="853" xr:uid="{00000000-0005-0000-0000-0000EC000000}"/>
    <cellStyle name="20% - Accent5 14 2" xfId="854" xr:uid="{00000000-0005-0000-0000-0000ED000000}"/>
    <cellStyle name="20% - Accent5 14 3" xfId="855" xr:uid="{00000000-0005-0000-0000-0000EE000000}"/>
    <cellStyle name="20% - Accent5 15" xfId="856" xr:uid="{00000000-0005-0000-0000-0000EF000000}"/>
    <cellStyle name="20% - Accent5 15 2" xfId="857" xr:uid="{00000000-0005-0000-0000-0000F0000000}"/>
    <cellStyle name="20% - Accent5 15 3" xfId="858" xr:uid="{00000000-0005-0000-0000-0000F1000000}"/>
    <cellStyle name="20% - Accent5 15 4" xfId="859" xr:uid="{00000000-0005-0000-0000-0000F2000000}"/>
    <cellStyle name="20% - Accent5 15 5" xfId="860" xr:uid="{00000000-0005-0000-0000-0000F3000000}"/>
    <cellStyle name="20% - Accent5 15 6" xfId="861" xr:uid="{00000000-0005-0000-0000-0000F4000000}"/>
    <cellStyle name="20% - Accent5 15 7" xfId="862" xr:uid="{00000000-0005-0000-0000-0000F5000000}"/>
    <cellStyle name="20% - Accent5 16" xfId="863" xr:uid="{00000000-0005-0000-0000-0000F6000000}"/>
    <cellStyle name="20% - Accent5 17" xfId="864" xr:uid="{00000000-0005-0000-0000-0000F7000000}"/>
    <cellStyle name="20% - Accent5 18" xfId="865" xr:uid="{00000000-0005-0000-0000-0000F8000000}"/>
    <cellStyle name="20% - Accent5 19" xfId="866" xr:uid="{00000000-0005-0000-0000-0000F9000000}"/>
    <cellStyle name="20% - Accent5 2" xfId="194" xr:uid="{00000000-0005-0000-0000-0000FA000000}"/>
    <cellStyle name="20% - Accent5 2 2" xfId="376" xr:uid="{00000000-0005-0000-0000-0000FB000000}"/>
    <cellStyle name="20% - Accent5 2 2 2" xfId="568" xr:uid="{00000000-0005-0000-0000-0000FC000000}"/>
    <cellStyle name="20% - Accent5 2 2 3" xfId="868" xr:uid="{00000000-0005-0000-0000-0000FD000000}"/>
    <cellStyle name="20% - Accent5 2 3" xfId="479" xr:uid="{00000000-0005-0000-0000-0000FE000000}"/>
    <cellStyle name="20% - Accent5 2 3 2" xfId="869" xr:uid="{00000000-0005-0000-0000-0000FF000000}"/>
    <cellStyle name="20% - Accent5 2 4" xfId="867" xr:uid="{00000000-0005-0000-0000-000000010000}"/>
    <cellStyle name="20% - Accent5 2 5" xfId="37615" xr:uid="{00000000-0005-0000-0000-000001010000}"/>
    <cellStyle name="20% - Accent5 20" xfId="870" xr:uid="{00000000-0005-0000-0000-000002010000}"/>
    <cellStyle name="20% - Accent5 21" xfId="871" xr:uid="{00000000-0005-0000-0000-000003010000}"/>
    <cellStyle name="20% - Accent5 22" xfId="872" xr:uid="{00000000-0005-0000-0000-000004010000}"/>
    <cellStyle name="20% - Accent5 3" xfId="342" xr:uid="{00000000-0005-0000-0000-000005010000}"/>
    <cellStyle name="20% - Accent5 3 2" xfId="532" xr:uid="{00000000-0005-0000-0000-000006010000}"/>
    <cellStyle name="20% - Accent5 3 2 2" xfId="874" xr:uid="{00000000-0005-0000-0000-000007010000}"/>
    <cellStyle name="20% - Accent5 3 3" xfId="875" xr:uid="{00000000-0005-0000-0000-000008010000}"/>
    <cellStyle name="20% - Accent5 3 4" xfId="873" xr:uid="{00000000-0005-0000-0000-000009010000}"/>
    <cellStyle name="20% - Accent5 4" xfId="362" xr:uid="{00000000-0005-0000-0000-00000A010000}"/>
    <cellStyle name="20% - Accent5 4 2" xfId="552" xr:uid="{00000000-0005-0000-0000-00000B010000}"/>
    <cellStyle name="20% - Accent5 4 2 2" xfId="877" xr:uid="{00000000-0005-0000-0000-00000C010000}"/>
    <cellStyle name="20% - Accent5 4 3" xfId="878" xr:uid="{00000000-0005-0000-0000-00000D010000}"/>
    <cellStyle name="20% - Accent5 4 4" xfId="876" xr:uid="{00000000-0005-0000-0000-00000E010000}"/>
    <cellStyle name="20% - Accent5 4 5" xfId="37616" xr:uid="{00000000-0005-0000-0000-00000F010000}"/>
    <cellStyle name="20% - Accent5 5" xfId="423" xr:uid="{00000000-0005-0000-0000-000010010000}"/>
    <cellStyle name="20% - Accent5 5 2" xfId="879" xr:uid="{00000000-0005-0000-0000-000011010000}"/>
    <cellStyle name="20% - Accent5 5 3" xfId="880" xr:uid="{00000000-0005-0000-0000-000012010000}"/>
    <cellStyle name="20% - Accent5 6" xfId="458" xr:uid="{00000000-0005-0000-0000-000013010000}"/>
    <cellStyle name="20% - Accent5 6 2" xfId="881" xr:uid="{00000000-0005-0000-0000-000014010000}"/>
    <cellStyle name="20% - Accent5 6 3" xfId="882" xr:uid="{00000000-0005-0000-0000-000015010000}"/>
    <cellStyle name="20% - Accent5 7" xfId="621" xr:uid="{00000000-0005-0000-0000-000016010000}"/>
    <cellStyle name="20% - Accent5 7 2" xfId="883" xr:uid="{00000000-0005-0000-0000-000017010000}"/>
    <cellStyle name="20% - Accent5 7 3" xfId="884" xr:uid="{00000000-0005-0000-0000-000018010000}"/>
    <cellStyle name="20% - Accent5 8 2" xfId="885" xr:uid="{00000000-0005-0000-0000-000019010000}"/>
    <cellStyle name="20% - Accent5 8 3" xfId="886" xr:uid="{00000000-0005-0000-0000-00001A010000}"/>
    <cellStyle name="20% - Accent5 9 2" xfId="887" xr:uid="{00000000-0005-0000-0000-00001B010000}"/>
    <cellStyle name="20% - Accent5 9 3" xfId="888" xr:uid="{00000000-0005-0000-0000-00001C010000}"/>
    <cellStyle name="20% - Accent6" xfId="172" builtinId="50" customBuiltin="1"/>
    <cellStyle name="20% - Accent6 10 2" xfId="889" xr:uid="{00000000-0005-0000-0000-00001E010000}"/>
    <cellStyle name="20% - Accent6 10 3" xfId="890" xr:uid="{00000000-0005-0000-0000-00001F010000}"/>
    <cellStyle name="20% - Accent6 11 2" xfId="891" xr:uid="{00000000-0005-0000-0000-000020010000}"/>
    <cellStyle name="20% - Accent6 11 3" xfId="892" xr:uid="{00000000-0005-0000-0000-000021010000}"/>
    <cellStyle name="20% - Accent6 12 2" xfId="893" xr:uid="{00000000-0005-0000-0000-000022010000}"/>
    <cellStyle name="20% - Accent6 12 3" xfId="894" xr:uid="{00000000-0005-0000-0000-000023010000}"/>
    <cellStyle name="20% - Accent6 13 2" xfId="895" xr:uid="{00000000-0005-0000-0000-000024010000}"/>
    <cellStyle name="20% - Accent6 13 3" xfId="896" xr:uid="{00000000-0005-0000-0000-000025010000}"/>
    <cellStyle name="20% - Accent6 14 2" xfId="897" xr:uid="{00000000-0005-0000-0000-000026010000}"/>
    <cellStyle name="20% - Accent6 14 3" xfId="898" xr:uid="{00000000-0005-0000-0000-000027010000}"/>
    <cellStyle name="20% - Accent6 15" xfId="899" xr:uid="{00000000-0005-0000-0000-000028010000}"/>
    <cellStyle name="20% - Accent6 15 2" xfId="900" xr:uid="{00000000-0005-0000-0000-000029010000}"/>
    <cellStyle name="20% - Accent6 15 3" xfId="901" xr:uid="{00000000-0005-0000-0000-00002A010000}"/>
    <cellStyle name="20% - Accent6 15 4" xfId="902" xr:uid="{00000000-0005-0000-0000-00002B010000}"/>
    <cellStyle name="20% - Accent6 15 5" xfId="903" xr:uid="{00000000-0005-0000-0000-00002C010000}"/>
    <cellStyle name="20% - Accent6 15 6" xfId="904" xr:uid="{00000000-0005-0000-0000-00002D010000}"/>
    <cellStyle name="20% - Accent6 15 7" xfId="905" xr:uid="{00000000-0005-0000-0000-00002E010000}"/>
    <cellStyle name="20% - Accent6 16" xfId="906" xr:uid="{00000000-0005-0000-0000-00002F010000}"/>
    <cellStyle name="20% - Accent6 17" xfId="907" xr:uid="{00000000-0005-0000-0000-000030010000}"/>
    <cellStyle name="20% - Accent6 18" xfId="908" xr:uid="{00000000-0005-0000-0000-000031010000}"/>
    <cellStyle name="20% - Accent6 19" xfId="909" xr:uid="{00000000-0005-0000-0000-000032010000}"/>
    <cellStyle name="20% - Accent6 2" xfId="196" xr:uid="{00000000-0005-0000-0000-000033010000}"/>
    <cellStyle name="20% - Accent6 2 2" xfId="378" xr:uid="{00000000-0005-0000-0000-000034010000}"/>
    <cellStyle name="20% - Accent6 2 2 2" xfId="570" xr:uid="{00000000-0005-0000-0000-000035010000}"/>
    <cellStyle name="20% - Accent6 2 2 3" xfId="911" xr:uid="{00000000-0005-0000-0000-000036010000}"/>
    <cellStyle name="20% - Accent6 2 3" xfId="481" xr:uid="{00000000-0005-0000-0000-000037010000}"/>
    <cellStyle name="20% - Accent6 2 3 2" xfId="912" xr:uid="{00000000-0005-0000-0000-000038010000}"/>
    <cellStyle name="20% - Accent6 2 4" xfId="910" xr:uid="{00000000-0005-0000-0000-000039010000}"/>
    <cellStyle name="20% - Accent6 2 5" xfId="37617" xr:uid="{00000000-0005-0000-0000-00003A010000}"/>
    <cellStyle name="20% - Accent6 20" xfId="913" xr:uid="{00000000-0005-0000-0000-00003B010000}"/>
    <cellStyle name="20% - Accent6 21" xfId="914" xr:uid="{00000000-0005-0000-0000-00003C010000}"/>
    <cellStyle name="20% - Accent6 22" xfId="915" xr:uid="{00000000-0005-0000-0000-00003D010000}"/>
    <cellStyle name="20% - Accent6 3" xfId="344" xr:uid="{00000000-0005-0000-0000-00003E010000}"/>
    <cellStyle name="20% - Accent6 3 2" xfId="534" xr:uid="{00000000-0005-0000-0000-00003F010000}"/>
    <cellStyle name="20% - Accent6 3 2 2" xfId="917" xr:uid="{00000000-0005-0000-0000-000040010000}"/>
    <cellStyle name="20% - Accent6 3 3" xfId="918" xr:uid="{00000000-0005-0000-0000-000041010000}"/>
    <cellStyle name="20% - Accent6 3 4" xfId="916" xr:uid="{00000000-0005-0000-0000-000042010000}"/>
    <cellStyle name="20% - Accent6 4" xfId="364" xr:uid="{00000000-0005-0000-0000-000043010000}"/>
    <cellStyle name="20% - Accent6 4 2" xfId="554" xr:uid="{00000000-0005-0000-0000-000044010000}"/>
    <cellStyle name="20% - Accent6 4 2 2" xfId="920" xr:uid="{00000000-0005-0000-0000-000045010000}"/>
    <cellStyle name="20% - Accent6 4 3" xfId="921" xr:uid="{00000000-0005-0000-0000-000046010000}"/>
    <cellStyle name="20% - Accent6 4 4" xfId="919" xr:uid="{00000000-0005-0000-0000-000047010000}"/>
    <cellStyle name="20% - Accent6 4 5" xfId="37618" xr:uid="{00000000-0005-0000-0000-000048010000}"/>
    <cellStyle name="20% - Accent6 5" xfId="427" xr:uid="{00000000-0005-0000-0000-000049010000}"/>
    <cellStyle name="20% - Accent6 5 2" xfId="922" xr:uid="{00000000-0005-0000-0000-00004A010000}"/>
    <cellStyle name="20% - Accent6 5 3" xfId="923" xr:uid="{00000000-0005-0000-0000-00004B010000}"/>
    <cellStyle name="20% - Accent6 6" xfId="461" xr:uid="{00000000-0005-0000-0000-00004C010000}"/>
    <cellStyle name="20% - Accent6 6 2" xfId="924" xr:uid="{00000000-0005-0000-0000-00004D010000}"/>
    <cellStyle name="20% - Accent6 6 3" xfId="925" xr:uid="{00000000-0005-0000-0000-00004E010000}"/>
    <cellStyle name="20% - Accent6 7" xfId="622" xr:uid="{00000000-0005-0000-0000-00004F010000}"/>
    <cellStyle name="20% - Accent6 7 2" xfId="926" xr:uid="{00000000-0005-0000-0000-000050010000}"/>
    <cellStyle name="20% - Accent6 7 3" xfId="927" xr:uid="{00000000-0005-0000-0000-000051010000}"/>
    <cellStyle name="20% - Accent6 8 2" xfId="928" xr:uid="{00000000-0005-0000-0000-000052010000}"/>
    <cellStyle name="20% - Accent6 8 3" xfId="929" xr:uid="{00000000-0005-0000-0000-000053010000}"/>
    <cellStyle name="20% - Accent6 9 2" xfId="930" xr:uid="{00000000-0005-0000-0000-000054010000}"/>
    <cellStyle name="20% - Accent6 9 3" xfId="931" xr:uid="{00000000-0005-0000-0000-000055010000}"/>
    <cellStyle name="40% - Accent1" xfId="153" builtinId="31" customBuiltin="1"/>
    <cellStyle name="40% - Accent1 10 2" xfId="932" xr:uid="{00000000-0005-0000-0000-000057010000}"/>
    <cellStyle name="40% - Accent1 10 3" xfId="933" xr:uid="{00000000-0005-0000-0000-000058010000}"/>
    <cellStyle name="40% - Accent1 11 2" xfId="934" xr:uid="{00000000-0005-0000-0000-000059010000}"/>
    <cellStyle name="40% - Accent1 11 3" xfId="935" xr:uid="{00000000-0005-0000-0000-00005A010000}"/>
    <cellStyle name="40% - Accent1 12 2" xfId="936" xr:uid="{00000000-0005-0000-0000-00005B010000}"/>
    <cellStyle name="40% - Accent1 12 3" xfId="937" xr:uid="{00000000-0005-0000-0000-00005C010000}"/>
    <cellStyle name="40% - Accent1 13 2" xfId="938" xr:uid="{00000000-0005-0000-0000-00005D010000}"/>
    <cellStyle name="40% - Accent1 13 3" xfId="939" xr:uid="{00000000-0005-0000-0000-00005E010000}"/>
    <cellStyle name="40% - Accent1 14 2" xfId="940" xr:uid="{00000000-0005-0000-0000-00005F010000}"/>
    <cellStyle name="40% - Accent1 14 3" xfId="941" xr:uid="{00000000-0005-0000-0000-000060010000}"/>
    <cellStyle name="40% - Accent1 15" xfId="942" xr:uid="{00000000-0005-0000-0000-000061010000}"/>
    <cellStyle name="40% - Accent1 15 2" xfId="943" xr:uid="{00000000-0005-0000-0000-000062010000}"/>
    <cellStyle name="40% - Accent1 15 3" xfId="944" xr:uid="{00000000-0005-0000-0000-000063010000}"/>
    <cellStyle name="40% - Accent1 15 4" xfId="945" xr:uid="{00000000-0005-0000-0000-000064010000}"/>
    <cellStyle name="40% - Accent1 15 5" xfId="946" xr:uid="{00000000-0005-0000-0000-000065010000}"/>
    <cellStyle name="40% - Accent1 15 6" xfId="947" xr:uid="{00000000-0005-0000-0000-000066010000}"/>
    <cellStyle name="40% - Accent1 15 7" xfId="948" xr:uid="{00000000-0005-0000-0000-000067010000}"/>
    <cellStyle name="40% - Accent1 16" xfId="949" xr:uid="{00000000-0005-0000-0000-000068010000}"/>
    <cellStyle name="40% - Accent1 17" xfId="950" xr:uid="{00000000-0005-0000-0000-000069010000}"/>
    <cellStyle name="40% - Accent1 18" xfId="951" xr:uid="{00000000-0005-0000-0000-00006A010000}"/>
    <cellStyle name="40% - Accent1 19" xfId="952" xr:uid="{00000000-0005-0000-0000-00006B010000}"/>
    <cellStyle name="40% - Accent1 2" xfId="187" xr:uid="{00000000-0005-0000-0000-00006C010000}"/>
    <cellStyle name="40% - Accent1 2 2" xfId="369" xr:uid="{00000000-0005-0000-0000-00006D010000}"/>
    <cellStyle name="40% - Accent1 2 2 2" xfId="561" xr:uid="{00000000-0005-0000-0000-00006E010000}"/>
    <cellStyle name="40% - Accent1 2 2 3" xfId="954" xr:uid="{00000000-0005-0000-0000-00006F010000}"/>
    <cellStyle name="40% - Accent1 2 3" xfId="472" xr:uid="{00000000-0005-0000-0000-000070010000}"/>
    <cellStyle name="40% - Accent1 2 3 2" xfId="955" xr:uid="{00000000-0005-0000-0000-000071010000}"/>
    <cellStyle name="40% - Accent1 2 4" xfId="953" xr:uid="{00000000-0005-0000-0000-000072010000}"/>
    <cellStyle name="40% - Accent1 2 5" xfId="37619" xr:uid="{00000000-0005-0000-0000-000073010000}"/>
    <cellStyle name="40% - Accent1 20" xfId="956" xr:uid="{00000000-0005-0000-0000-000074010000}"/>
    <cellStyle name="40% - Accent1 21" xfId="957" xr:uid="{00000000-0005-0000-0000-000075010000}"/>
    <cellStyle name="40% - Accent1 22" xfId="958" xr:uid="{00000000-0005-0000-0000-000076010000}"/>
    <cellStyle name="40% - Accent1 3" xfId="335" xr:uid="{00000000-0005-0000-0000-000077010000}"/>
    <cellStyle name="40% - Accent1 3 2" xfId="525" xr:uid="{00000000-0005-0000-0000-000078010000}"/>
    <cellStyle name="40% - Accent1 3 2 2" xfId="960" xr:uid="{00000000-0005-0000-0000-000079010000}"/>
    <cellStyle name="40% - Accent1 3 3" xfId="961" xr:uid="{00000000-0005-0000-0000-00007A010000}"/>
    <cellStyle name="40% - Accent1 3 4" xfId="959" xr:uid="{00000000-0005-0000-0000-00007B010000}"/>
    <cellStyle name="40% - Accent1 4" xfId="355" xr:uid="{00000000-0005-0000-0000-00007C010000}"/>
    <cellStyle name="40% - Accent1 4 2" xfId="545" xr:uid="{00000000-0005-0000-0000-00007D010000}"/>
    <cellStyle name="40% - Accent1 4 2 2" xfId="963" xr:uid="{00000000-0005-0000-0000-00007E010000}"/>
    <cellStyle name="40% - Accent1 4 3" xfId="964" xr:uid="{00000000-0005-0000-0000-00007F010000}"/>
    <cellStyle name="40% - Accent1 4 4" xfId="962" xr:uid="{00000000-0005-0000-0000-000080010000}"/>
    <cellStyle name="40% - Accent1 4 5" xfId="37620" xr:uid="{00000000-0005-0000-0000-000081010000}"/>
    <cellStyle name="40% - Accent1 5" xfId="408" xr:uid="{00000000-0005-0000-0000-000082010000}"/>
    <cellStyle name="40% - Accent1 5 2" xfId="965" xr:uid="{00000000-0005-0000-0000-000083010000}"/>
    <cellStyle name="40% - Accent1 5 3" xfId="966" xr:uid="{00000000-0005-0000-0000-000084010000}"/>
    <cellStyle name="40% - Accent1 6" xfId="446" xr:uid="{00000000-0005-0000-0000-000085010000}"/>
    <cellStyle name="40% - Accent1 6 2" xfId="967" xr:uid="{00000000-0005-0000-0000-000086010000}"/>
    <cellStyle name="40% - Accent1 6 3" xfId="968" xr:uid="{00000000-0005-0000-0000-000087010000}"/>
    <cellStyle name="40% - Accent1 7" xfId="623" xr:uid="{00000000-0005-0000-0000-000088010000}"/>
    <cellStyle name="40% - Accent1 7 2" xfId="969" xr:uid="{00000000-0005-0000-0000-000089010000}"/>
    <cellStyle name="40% - Accent1 7 3" xfId="970" xr:uid="{00000000-0005-0000-0000-00008A010000}"/>
    <cellStyle name="40% - Accent1 8 2" xfId="971" xr:uid="{00000000-0005-0000-0000-00008B010000}"/>
    <cellStyle name="40% - Accent1 8 3" xfId="972" xr:uid="{00000000-0005-0000-0000-00008C010000}"/>
    <cellStyle name="40% - Accent1 9 2" xfId="973" xr:uid="{00000000-0005-0000-0000-00008D010000}"/>
    <cellStyle name="40% - Accent1 9 3" xfId="974" xr:uid="{00000000-0005-0000-0000-00008E010000}"/>
    <cellStyle name="40% - Accent2" xfId="157" builtinId="35" customBuiltin="1"/>
    <cellStyle name="40% - Accent2 10 2" xfId="975" xr:uid="{00000000-0005-0000-0000-000090010000}"/>
    <cellStyle name="40% - Accent2 10 3" xfId="976" xr:uid="{00000000-0005-0000-0000-000091010000}"/>
    <cellStyle name="40% - Accent2 11 2" xfId="977" xr:uid="{00000000-0005-0000-0000-000092010000}"/>
    <cellStyle name="40% - Accent2 11 3" xfId="978" xr:uid="{00000000-0005-0000-0000-000093010000}"/>
    <cellStyle name="40% - Accent2 12 2" xfId="979" xr:uid="{00000000-0005-0000-0000-000094010000}"/>
    <cellStyle name="40% - Accent2 12 3" xfId="980" xr:uid="{00000000-0005-0000-0000-000095010000}"/>
    <cellStyle name="40% - Accent2 13 2" xfId="981" xr:uid="{00000000-0005-0000-0000-000096010000}"/>
    <cellStyle name="40% - Accent2 13 3" xfId="982" xr:uid="{00000000-0005-0000-0000-000097010000}"/>
    <cellStyle name="40% - Accent2 14 2" xfId="983" xr:uid="{00000000-0005-0000-0000-000098010000}"/>
    <cellStyle name="40% - Accent2 14 3" xfId="984" xr:uid="{00000000-0005-0000-0000-000099010000}"/>
    <cellStyle name="40% - Accent2 15" xfId="985" xr:uid="{00000000-0005-0000-0000-00009A010000}"/>
    <cellStyle name="40% - Accent2 15 2" xfId="986" xr:uid="{00000000-0005-0000-0000-00009B010000}"/>
    <cellStyle name="40% - Accent2 15 3" xfId="987" xr:uid="{00000000-0005-0000-0000-00009C010000}"/>
    <cellStyle name="40% - Accent2 15 4" xfId="988" xr:uid="{00000000-0005-0000-0000-00009D010000}"/>
    <cellStyle name="40% - Accent2 15 5" xfId="989" xr:uid="{00000000-0005-0000-0000-00009E010000}"/>
    <cellStyle name="40% - Accent2 15 6" xfId="990" xr:uid="{00000000-0005-0000-0000-00009F010000}"/>
    <cellStyle name="40% - Accent2 15 7" xfId="991" xr:uid="{00000000-0005-0000-0000-0000A0010000}"/>
    <cellStyle name="40% - Accent2 16" xfId="992" xr:uid="{00000000-0005-0000-0000-0000A1010000}"/>
    <cellStyle name="40% - Accent2 17" xfId="993" xr:uid="{00000000-0005-0000-0000-0000A2010000}"/>
    <cellStyle name="40% - Accent2 18" xfId="994" xr:uid="{00000000-0005-0000-0000-0000A3010000}"/>
    <cellStyle name="40% - Accent2 19" xfId="995" xr:uid="{00000000-0005-0000-0000-0000A4010000}"/>
    <cellStyle name="40% - Accent2 2" xfId="189" xr:uid="{00000000-0005-0000-0000-0000A5010000}"/>
    <cellStyle name="40% - Accent2 2 2" xfId="371" xr:uid="{00000000-0005-0000-0000-0000A6010000}"/>
    <cellStyle name="40% - Accent2 2 2 2" xfId="563" xr:uid="{00000000-0005-0000-0000-0000A7010000}"/>
    <cellStyle name="40% - Accent2 2 2 3" xfId="997" xr:uid="{00000000-0005-0000-0000-0000A8010000}"/>
    <cellStyle name="40% - Accent2 2 3" xfId="474" xr:uid="{00000000-0005-0000-0000-0000A9010000}"/>
    <cellStyle name="40% - Accent2 2 3 2" xfId="998" xr:uid="{00000000-0005-0000-0000-0000AA010000}"/>
    <cellStyle name="40% - Accent2 2 4" xfId="996" xr:uid="{00000000-0005-0000-0000-0000AB010000}"/>
    <cellStyle name="40% - Accent2 2 5" xfId="37621" xr:uid="{00000000-0005-0000-0000-0000AC010000}"/>
    <cellStyle name="40% - Accent2 20" xfId="999" xr:uid="{00000000-0005-0000-0000-0000AD010000}"/>
    <cellStyle name="40% - Accent2 21" xfId="1000" xr:uid="{00000000-0005-0000-0000-0000AE010000}"/>
    <cellStyle name="40% - Accent2 22" xfId="1001" xr:uid="{00000000-0005-0000-0000-0000AF010000}"/>
    <cellStyle name="40% - Accent2 3" xfId="337" xr:uid="{00000000-0005-0000-0000-0000B0010000}"/>
    <cellStyle name="40% - Accent2 3 2" xfId="527" xr:uid="{00000000-0005-0000-0000-0000B1010000}"/>
    <cellStyle name="40% - Accent2 3 2 2" xfId="1003" xr:uid="{00000000-0005-0000-0000-0000B2010000}"/>
    <cellStyle name="40% - Accent2 3 3" xfId="1004" xr:uid="{00000000-0005-0000-0000-0000B3010000}"/>
    <cellStyle name="40% - Accent2 3 4" xfId="1002" xr:uid="{00000000-0005-0000-0000-0000B4010000}"/>
    <cellStyle name="40% - Accent2 4" xfId="357" xr:uid="{00000000-0005-0000-0000-0000B5010000}"/>
    <cellStyle name="40% - Accent2 4 2" xfId="547" xr:uid="{00000000-0005-0000-0000-0000B6010000}"/>
    <cellStyle name="40% - Accent2 4 2 2" xfId="1006" xr:uid="{00000000-0005-0000-0000-0000B7010000}"/>
    <cellStyle name="40% - Accent2 4 3" xfId="1007" xr:uid="{00000000-0005-0000-0000-0000B8010000}"/>
    <cellStyle name="40% - Accent2 4 4" xfId="1005" xr:uid="{00000000-0005-0000-0000-0000B9010000}"/>
    <cellStyle name="40% - Accent2 4 5" xfId="37622" xr:uid="{00000000-0005-0000-0000-0000BA010000}"/>
    <cellStyle name="40% - Accent2 5" xfId="412" xr:uid="{00000000-0005-0000-0000-0000BB010000}"/>
    <cellStyle name="40% - Accent2 5 2" xfId="1008" xr:uid="{00000000-0005-0000-0000-0000BC010000}"/>
    <cellStyle name="40% - Accent2 5 3" xfId="1009" xr:uid="{00000000-0005-0000-0000-0000BD010000}"/>
    <cellStyle name="40% - Accent2 6" xfId="450" xr:uid="{00000000-0005-0000-0000-0000BE010000}"/>
    <cellStyle name="40% - Accent2 6 2" xfId="1010" xr:uid="{00000000-0005-0000-0000-0000BF010000}"/>
    <cellStyle name="40% - Accent2 6 3" xfId="1011" xr:uid="{00000000-0005-0000-0000-0000C0010000}"/>
    <cellStyle name="40% - Accent2 7" xfId="624" xr:uid="{00000000-0005-0000-0000-0000C1010000}"/>
    <cellStyle name="40% - Accent2 7 2" xfId="1012" xr:uid="{00000000-0005-0000-0000-0000C2010000}"/>
    <cellStyle name="40% - Accent2 7 3" xfId="1013" xr:uid="{00000000-0005-0000-0000-0000C3010000}"/>
    <cellStyle name="40% - Accent2 8 2" xfId="1014" xr:uid="{00000000-0005-0000-0000-0000C4010000}"/>
    <cellStyle name="40% - Accent2 8 3" xfId="1015" xr:uid="{00000000-0005-0000-0000-0000C5010000}"/>
    <cellStyle name="40% - Accent2 9 2" xfId="1016" xr:uid="{00000000-0005-0000-0000-0000C6010000}"/>
    <cellStyle name="40% - Accent2 9 3" xfId="1017" xr:uid="{00000000-0005-0000-0000-0000C7010000}"/>
    <cellStyle name="40% - Accent3" xfId="161" builtinId="39" customBuiltin="1"/>
    <cellStyle name="40% - Accent3 10 2" xfId="1018" xr:uid="{00000000-0005-0000-0000-0000C9010000}"/>
    <cellStyle name="40% - Accent3 10 3" xfId="1019" xr:uid="{00000000-0005-0000-0000-0000CA010000}"/>
    <cellStyle name="40% - Accent3 11 2" xfId="1020" xr:uid="{00000000-0005-0000-0000-0000CB010000}"/>
    <cellStyle name="40% - Accent3 11 3" xfId="1021" xr:uid="{00000000-0005-0000-0000-0000CC010000}"/>
    <cellStyle name="40% - Accent3 12 2" xfId="1022" xr:uid="{00000000-0005-0000-0000-0000CD010000}"/>
    <cellStyle name="40% - Accent3 12 3" xfId="1023" xr:uid="{00000000-0005-0000-0000-0000CE010000}"/>
    <cellStyle name="40% - Accent3 13 2" xfId="1024" xr:uid="{00000000-0005-0000-0000-0000CF010000}"/>
    <cellStyle name="40% - Accent3 13 3" xfId="1025" xr:uid="{00000000-0005-0000-0000-0000D0010000}"/>
    <cellStyle name="40% - Accent3 14 2" xfId="1026" xr:uid="{00000000-0005-0000-0000-0000D1010000}"/>
    <cellStyle name="40% - Accent3 14 3" xfId="1027" xr:uid="{00000000-0005-0000-0000-0000D2010000}"/>
    <cellStyle name="40% - Accent3 15" xfId="1028" xr:uid="{00000000-0005-0000-0000-0000D3010000}"/>
    <cellStyle name="40% - Accent3 15 2" xfId="1029" xr:uid="{00000000-0005-0000-0000-0000D4010000}"/>
    <cellStyle name="40% - Accent3 15 3" xfId="1030" xr:uid="{00000000-0005-0000-0000-0000D5010000}"/>
    <cellStyle name="40% - Accent3 15 4" xfId="1031" xr:uid="{00000000-0005-0000-0000-0000D6010000}"/>
    <cellStyle name="40% - Accent3 15 5" xfId="1032" xr:uid="{00000000-0005-0000-0000-0000D7010000}"/>
    <cellStyle name="40% - Accent3 15 6" xfId="1033" xr:uid="{00000000-0005-0000-0000-0000D8010000}"/>
    <cellStyle name="40% - Accent3 15 7" xfId="1034" xr:uid="{00000000-0005-0000-0000-0000D9010000}"/>
    <cellStyle name="40% - Accent3 16" xfId="1035" xr:uid="{00000000-0005-0000-0000-0000DA010000}"/>
    <cellStyle name="40% - Accent3 17" xfId="1036" xr:uid="{00000000-0005-0000-0000-0000DB010000}"/>
    <cellStyle name="40% - Accent3 18" xfId="1037" xr:uid="{00000000-0005-0000-0000-0000DC010000}"/>
    <cellStyle name="40% - Accent3 19" xfId="1038" xr:uid="{00000000-0005-0000-0000-0000DD010000}"/>
    <cellStyle name="40% - Accent3 2" xfId="191" xr:uid="{00000000-0005-0000-0000-0000DE010000}"/>
    <cellStyle name="40% - Accent3 2 2" xfId="373" xr:uid="{00000000-0005-0000-0000-0000DF010000}"/>
    <cellStyle name="40% - Accent3 2 2 2" xfId="565" xr:uid="{00000000-0005-0000-0000-0000E0010000}"/>
    <cellStyle name="40% - Accent3 2 2 3" xfId="1040" xr:uid="{00000000-0005-0000-0000-0000E1010000}"/>
    <cellStyle name="40% - Accent3 2 3" xfId="476" xr:uid="{00000000-0005-0000-0000-0000E2010000}"/>
    <cellStyle name="40% - Accent3 2 3 2" xfId="1041" xr:uid="{00000000-0005-0000-0000-0000E3010000}"/>
    <cellStyle name="40% - Accent3 2 4" xfId="1039" xr:uid="{00000000-0005-0000-0000-0000E4010000}"/>
    <cellStyle name="40% - Accent3 2 5" xfId="37623" xr:uid="{00000000-0005-0000-0000-0000E5010000}"/>
    <cellStyle name="40% - Accent3 20" xfId="1042" xr:uid="{00000000-0005-0000-0000-0000E6010000}"/>
    <cellStyle name="40% - Accent3 21" xfId="1043" xr:uid="{00000000-0005-0000-0000-0000E7010000}"/>
    <cellStyle name="40% - Accent3 22" xfId="1044" xr:uid="{00000000-0005-0000-0000-0000E8010000}"/>
    <cellStyle name="40% - Accent3 3" xfId="339" xr:uid="{00000000-0005-0000-0000-0000E9010000}"/>
    <cellStyle name="40% - Accent3 3 2" xfId="529" xr:uid="{00000000-0005-0000-0000-0000EA010000}"/>
    <cellStyle name="40% - Accent3 3 2 2" xfId="1046" xr:uid="{00000000-0005-0000-0000-0000EB010000}"/>
    <cellStyle name="40% - Accent3 3 3" xfId="1047" xr:uid="{00000000-0005-0000-0000-0000EC010000}"/>
    <cellStyle name="40% - Accent3 3 4" xfId="1045" xr:uid="{00000000-0005-0000-0000-0000ED010000}"/>
    <cellStyle name="40% - Accent3 4" xfId="359" xr:uid="{00000000-0005-0000-0000-0000EE010000}"/>
    <cellStyle name="40% - Accent3 4 2" xfId="549" xr:uid="{00000000-0005-0000-0000-0000EF010000}"/>
    <cellStyle name="40% - Accent3 4 2 2" xfId="1049" xr:uid="{00000000-0005-0000-0000-0000F0010000}"/>
    <cellStyle name="40% - Accent3 4 3" xfId="1050" xr:uid="{00000000-0005-0000-0000-0000F1010000}"/>
    <cellStyle name="40% - Accent3 4 4" xfId="1048" xr:uid="{00000000-0005-0000-0000-0000F2010000}"/>
    <cellStyle name="40% - Accent3 4 5" xfId="37624" xr:uid="{00000000-0005-0000-0000-0000F3010000}"/>
    <cellStyle name="40% - Accent3 5" xfId="416" xr:uid="{00000000-0005-0000-0000-0000F4010000}"/>
    <cellStyle name="40% - Accent3 5 2" xfId="1051" xr:uid="{00000000-0005-0000-0000-0000F5010000}"/>
    <cellStyle name="40% - Accent3 5 3" xfId="1052" xr:uid="{00000000-0005-0000-0000-0000F6010000}"/>
    <cellStyle name="40% - Accent3 6" xfId="452" xr:uid="{00000000-0005-0000-0000-0000F7010000}"/>
    <cellStyle name="40% - Accent3 6 2" xfId="1053" xr:uid="{00000000-0005-0000-0000-0000F8010000}"/>
    <cellStyle name="40% - Accent3 6 3" xfId="1054" xr:uid="{00000000-0005-0000-0000-0000F9010000}"/>
    <cellStyle name="40% - Accent3 7" xfId="625" xr:uid="{00000000-0005-0000-0000-0000FA010000}"/>
    <cellStyle name="40% - Accent3 7 2" xfId="1055" xr:uid="{00000000-0005-0000-0000-0000FB010000}"/>
    <cellStyle name="40% - Accent3 7 3" xfId="1056" xr:uid="{00000000-0005-0000-0000-0000FC010000}"/>
    <cellStyle name="40% - Accent3 8 2" xfId="1057" xr:uid="{00000000-0005-0000-0000-0000FD010000}"/>
    <cellStyle name="40% - Accent3 8 3" xfId="1058" xr:uid="{00000000-0005-0000-0000-0000FE010000}"/>
    <cellStyle name="40% - Accent3 9 2" xfId="1059" xr:uid="{00000000-0005-0000-0000-0000FF010000}"/>
    <cellStyle name="40% - Accent3 9 3" xfId="1060" xr:uid="{00000000-0005-0000-0000-000000020000}"/>
    <cellStyle name="40% - Accent4" xfId="165" builtinId="43" customBuiltin="1"/>
    <cellStyle name="40% - Accent4 10 2" xfId="1061" xr:uid="{00000000-0005-0000-0000-000002020000}"/>
    <cellStyle name="40% - Accent4 10 3" xfId="1062" xr:uid="{00000000-0005-0000-0000-000003020000}"/>
    <cellStyle name="40% - Accent4 11 2" xfId="1063" xr:uid="{00000000-0005-0000-0000-000004020000}"/>
    <cellStyle name="40% - Accent4 11 3" xfId="1064" xr:uid="{00000000-0005-0000-0000-000005020000}"/>
    <cellStyle name="40% - Accent4 12 2" xfId="1065" xr:uid="{00000000-0005-0000-0000-000006020000}"/>
    <cellStyle name="40% - Accent4 12 3" xfId="1066" xr:uid="{00000000-0005-0000-0000-000007020000}"/>
    <cellStyle name="40% - Accent4 13 2" xfId="1067" xr:uid="{00000000-0005-0000-0000-000008020000}"/>
    <cellStyle name="40% - Accent4 13 3" xfId="1068" xr:uid="{00000000-0005-0000-0000-000009020000}"/>
    <cellStyle name="40% - Accent4 14 2" xfId="1069" xr:uid="{00000000-0005-0000-0000-00000A020000}"/>
    <cellStyle name="40% - Accent4 14 3" xfId="1070" xr:uid="{00000000-0005-0000-0000-00000B020000}"/>
    <cellStyle name="40% - Accent4 15" xfId="1071" xr:uid="{00000000-0005-0000-0000-00000C020000}"/>
    <cellStyle name="40% - Accent4 15 2" xfId="1072" xr:uid="{00000000-0005-0000-0000-00000D020000}"/>
    <cellStyle name="40% - Accent4 15 3" xfId="1073" xr:uid="{00000000-0005-0000-0000-00000E020000}"/>
    <cellStyle name="40% - Accent4 15 4" xfId="1074" xr:uid="{00000000-0005-0000-0000-00000F020000}"/>
    <cellStyle name="40% - Accent4 15 5" xfId="1075" xr:uid="{00000000-0005-0000-0000-000010020000}"/>
    <cellStyle name="40% - Accent4 15 6" xfId="1076" xr:uid="{00000000-0005-0000-0000-000011020000}"/>
    <cellStyle name="40% - Accent4 15 7" xfId="1077" xr:uid="{00000000-0005-0000-0000-000012020000}"/>
    <cellStyle name="40% - Accent4 16" xfId="1078" xr:uid="{00000000-0005-0000-0000-000013020000}"/>
    <cellStyle name="40% - Accent4 17" xfId="1079" xr:uid="{00000000-0005-0000-0000-000014020000}"/>
    <cellStyle name="40% - Accent4 18" xfId="1080" xr:uid="{00000000-0005-0000-0000-000015020000}"/>
    <cellStyle name="40% - Accent4 19" xfId="1081" xr:uid="{00000000-0005-0000-0000-000016020000}"/>
    <cellStyle name="40% - Accent4 2" xfId="193" xr:uid="{00000000-0005-0000-0000-000017020000}"/>
    <cellStyle name="40% - Accent4 2 2" xfId="375" xr:uid="{00000000-0005-0000-0000-000018020000}"/>
    <cellStyle name="40% - Accent4 2 2 2" xfId="567" xr:uid="{00000000-0005-0000-0000-000019020000}"/>
    <cellStyle name="40% - Accent4 2 2 3" xfId="1083" xr:uid="{00000000-0005-0000-0000-00001A020000}"/>
    <cellStyle name="40% - Accent4 2 3" xfId="478" xr:uid="{00000000-0005-0000-0000-00001B020000}"/>
    <cellStyle name="40% - Accent4 2 3 2" xfId="1084" xr:uid="{00000000-0005-0000-0000-00001C020000}"/>
    <cellStyle name="40% - Accent4 2 4" xfId="1082" xr:uid="{00000000-0005-0000-0000-00001D020000}"/>
    <cellStyle name="40% - Accent4 2 5" xfId="37625" xr:uid="{00000000-0005-0000-0000-00001E020000}"/>
    <cellStyle name="40% - Accent4 20" xfId="1085" xr:uid="{00000000-0005-0000-0000-00001F020000}"/>
    <cellStyle name="40% - Accent4 21" xfId="1086" xr:uid="{00000000-0005-0000-0000-000020020000}"/>
    <cellStyle name="40% - Accent4 22" xfId="1087" xr:uid="{00000000-0005-0000-0000-000021020000}"/>
    <cellStyle name="40% - Accent4 3" xfId="341" xr:uid="{00000000-0005-0000-0000-000022020000}"/>
    <cellStyle name="40% - Accent4 3 2" xfId="531" xr:uid="{00000000-0005-0000-0000-000023020000}"/>
    <cellStyle name="40% - Accent4 3 2 2" xfId="1089" xr:uid="{00000000-0005-0000-0000-000024020000}"/>
    <cellStyle name="40% - Accent4 3 3" xfId="1090" xr:uid="{00000000-0005-0000-0000-000025020000}"/>
    <cellStyle name="40% - Accent4 3 4" xfId="1088" xr:uid="{00000000-0005-0000-0000-000026020000}"/>
    <cellStyle name="40% - Accent4 4" xfId="361" xr:uid="{00000000-0005-0000-0000-000027020000}"/>
    <cellStyle name="40% - Accent4 4 2" xfId="551" xr:uid="{00000000-0005-0000-0000-000028020000}"/>
    <cellStyle name="40% - Accent4 4 2 2" xfId="1092" xr:uid="{00000000-0005-0000-0000-000029020000}"/>
    <cellStyle name="40% - Accent4 4 3" xfId="1093" xr:uid="{00000000-0005-0000-0000-00002A020000}"/>
    <cellStyle name="40% - Accent4 4 4" xfId="1091" xr:uid="{00000000-0005-0000-0000-00002B020000}"/>
    <cellStyle name="40% - Accent4 4 5" xfId="37626" xr:uid="{00000000-0005-0000-0000-00002C020000}"/>
    <cellStyle name="40% - Accent4 5" xfId="420" xr:uid="{00000000-0005-0000-0000-00002D020000}"/>
    <cellStyle name="40% - Accent4 5 2" xfId="1094" xr:uid="{00000000-0005-0000-0000-00002E020000}"/>
    <cellStyle name="40% - Accent4 5 3" xfId="1095" xr:uid="{00000000-0005-0000-0000-00002F020000}"/>
    <cellStyle name="40% - Accent4 6" xfId="456" xr:uid="{00000000-0005-0000-0000-000030020000}"/>
    <cellStyle name="40% - Accent4 6 2" xfId="1096" xr:uid="{00000000-0005-0000-0000-000031020000}"/>
    <cellStyle name="40% - Accent4 6 3" xfId="1097" xr:uid="{00000000-0005-0000-0000-000032020000}"/>
    <cellStyle name="40% - Accent4 7" xfId="626" xr:uid="{00000000-0005-0000-0000-000033020000}"/>
    <cellStyle name="40% - Accent4 7 2" xfId="1098" xr:uid="{00000000-0005-0000-0000-000034020000}"/>
    <cellStyle name="40% - Accent4 7 3" xfId="1099" xr:uid="{00000000-0005-0000-0000-000035020000}"/>
    <cellStyle name="40% - Accent4 8 2" xfId="1100" xr:uid="{00000000-0005-0000-0000-000036020000}"/>
    <cellStyle name="40% - Accent4 8 3" xfId="1101" xr:uid="{00000000-0005-0000-0000-000037020000}"/>
    <cellStyle name="40% - Accent4 9 2" xfId="1102" xr:uid="{00000000-0005-0000-0000-000038020000}"/>
    <cellStyle name="40% - Accent4 9 3" xfId="1103" xr:uid="{00000000-0005-0000-0000-000039020000}"/>
    <cellStyle name="40% - Accent5" xfId="169" builtinId="47" customBuiltin="1"/>
    <cellStyle name="40% - Accent5 10 2" xfId="1104" xr:uid="{00000000-0005-0000-0000-00003B020000}"/>
    <cellStyle name="40% - Accent5 10 3" xfId="1105" xr:uid="{00000000-0005-0000-0000-00003C020000}"/>
    <cellStyle name="40% - Accent5 11 2" xfId="1106" xr:uid="{00000000-0005-0000-0000-00003D020000}"/>
    <cellStyle name="40% - Accent5 11 3" xfId="1107" xr:uid="{00000000-0005-0000-0000-00003E020000}"/>
    <cellStyle name="40% - Accent5 12 2" xfId="1108" xr:uid="{00000000-0005-0000-0000-00003F020000}"/>
    <cellStyle name="40% - Accent5 12 3" xfId="1109" xr:uid="{00000000-0005-0000-0000-000040020000}"/>
    <cellStyle name="40% - Accent5 13 2" xfId="1110" xr:uid="{00000000-0005-0000-0000-000041020000}"/>
    <cellStyle name="40% - Accent5 13 3" xfId="1111" xr:uid="{00000000-0005-0000-0000-000042020000}"/>
    <cellStyle name="40% - Accent5 14 2" xfId="1112" xr:uid="{00000000-0005-0000-0000-000043020000}"/>
    <cellStyle name="40% - Accent5 14 3" xfId="1113" xr:uid="{00000000-0005-0000-0000-000044020000}"/>
    <cellStyle name="40% - Accent5 15" xfId="1114" xr:uid="{00000000-0005-0000-0000-000045020000}"/>
    <cellStyle name="40% - Accent5 15 2" xfId="1115" xr:uid="{00000000-0005-0000-0000-000046020000}"/>
    <cellStyle name="40% - Accent5 15 3" xfId="1116" xr:uid="{00000000-0005-0000-0000-000047020000}"/>
    <cellStyle name="40% - Accent5 15 4" xfId="1117" xr:uid="{00000000-0005-0000-0000-000048020000}"/>
    <cellStyle name="40% - Accent5 15 5" xfId="1118" xr:uid="{00000000-0005-0000-0000-000049020000}"/>
    <cellStyle name="40% - Accent5 15 6" xfId="1119" xr:uid="{00000000-0005-0000-0000-00004A020000}"/>
    <cellStyle name="40% - Accent5 15 7" xfId="1120" xr:uid="{00000000-0005-0000-0000-00004B020000}"/>
    <cellStyle name="40% - Accent5 16" xfId="1121" xr:uid="{00000000-0005-0000-0000-00004C020000}"/>
    <cellStyle name="40% - Accent5 17" xfId="1122" xr:uid="{00000000-0005-0000-0000-00004D020000}"/>
    <cellStyle name="40% - Accent5 18" xfId="1123" xr:uid="{00000000-0005-0000-0000-00004E020000}"/>
    <cellStyle name="40% - Accent5 19" xfId="1124" xr:uid="{00000000-0005-0000-0000-00004F020000}"/>
    <cellStyle name="40% - Accent5 2" xfId="195" xr:uid="{00000000-0005-0000-0000-000050020000}"/>
    <cellStyle name="40% - Accent5 2 2" xfId="377" xr:uid="{00000000-0005-0000-0000-000051020000}"/>
    <cellStyle name="40% - Accent5 2 2 2" xfId="569" xr:uid="{00000000-0005-0000-0000-000052020000}"/>
    <cellStyle name="40% - Accent5 2 2 3" xfId="1126" xr:uid="{00000000-0005-0000-0000-000053020000}"/>
    <cellStyle name="40% - Accent5 2 3" xfId="480" xr:uid="{00000000-0005-0000-0000-000054020000}"/>
    <cellStyle name="40% - Accent5 2 3 2" xfId="1127" xr:uid="{00000000-0005-0000-0000-000055020000}"/>
    <cellStyle name="40% - Accent5 2 4" xfId="1125" xr:uid="{00000000-0005-0000-0000-000056020000}"/>
    <cellStyle name="40% - Accent5 2 5" xfId="37627" xr:uid="{00000000-0005-0000-0000-000057020000}"/>
    <cellStyle name="40% - Accent5 20" xfId="1128" xr:uid="{00000000-0005-0000-0000-000058020000}"/>
    <cellStyle name="40% - Accent5 21" xfId="1129" xr:uid="{00000000-0005-0000-0000-000059020000}"/>
    <cellStyle name="40% - Accent5 22" xfId="1130" xr:uid="{00000000-0005-0000-0000-00005A020000}"/>
    <cellStyle name="40% - Accent5 3" xfId="343" xr:uid="{00000000-0005-0000-0000-00005B020000}"/>
    <cellStyle name="40% - Accent5 3 2" xfId="533" xr:uid="{00000000-0005-0000-0000-00005C020000}"/>
    <cellStyle name="40% - Accent5 3 2 2" xfId="1132" xr:uid="{00000000-0005-0000-0000-00005D020000}"/>
    <cellStyle name="40% - Accent5 3 3" xfId="1133" xr:uid="{00000000-0005-0000-0000-00005E020000}"/>
    <cellStyle name="40% - Accent5 3 4" xfId="1131" xr:uid="{00000000-0005-0000-0000-00005F020000}"/>
    <cellStyle name="40% - Accent5 4" xfId="363" xr:uid="{00000000-0005-0000-0000-000060020000}"/>
    <cellStyle name="40% - Accent5 4 2" xfId="553" xr:uid="{00000000-0005-0000-0000-000061020000}"/>
    <cellStyle name="40% - Accent5 4 2 2" xfId="1135" xr:uid="{00000000-0005-0000-0000-000062020000}"/>
    <cellStyle name="40% - Accent5 4 3" xfId="1136" xr:uid="{00000000-0005-0000-0000-000063020000}"/>
    <cellStyle name="40% - Accent5 4 4" xfId="1134" xr:uid="{00000000-0005-0000-0000-000064020000}"/>
    <cellStyle name="40% - Accent5 4 5" xfId="37628" xr:uid="{00000000-0005-0000-0000-000065020000}"/>
    <cellStyle name="40% - Accent5 5" xfId="424" xr:uid="{00000000-0005-0000-0000-000066020000}"/>
    <cellStyle name="40% - Accent5 5 2" xfId="1137" xr:uid="{00000000-0005-0000-0000-000067020000}"/>
    <cellStyle name="40% - Accent5 5 3" xfId="1138" xr:uid="{00000000-0005-0000-0000-000068020000}"/>
    <cellStyle name="40% - Accent5 6" xfId="459" xr:uid="{00000000-0005-0000-0000-000069020000}"/>
    <cellStyle name="40% - Accent5 6 2" xfId="1139" xr:uid="{00000000-0005-0000-0000-00006A020000}"/>
    <cellStyle name="40% - Accent5 6 3" xfId="1140" xr:uid="{00000000-0005-0000-0000-00006B020000}"/>
    <cellStyle name="40% - Accent5 7" xfId="627" xr:uid="{00000000-0005-0000-0000-00006C020000}"/>
    <cellStyle name="40% - Accent5 7 2" xfId="1141" xr:uid="{00000000-0005-0000-0000-00006D020000}"/>
    <cellStyle name="40% - Accent5 7 3" xfId="1142" xr:uid="{00000000-0005-0000-0000-00006E020000}"/>
    <cellStyle name="40% - Accent5 8 2" xfId="1143" xr:uid="{00000000-0005-0000-0000-00006F020000}"/>
    <cellStyle name="40% - Accent5 8 3" xfId="1144" xr:uid="{00000000-0005-0000-0000-000070020000}"/>
    <cellStyle name="40% - Accent5 9 2" xfId="1145" xr:uid="{00000000-0005-0000-0000-000071020000}"/>
    <cellStyle name="40% - Accent5 9 3" xfId="1146" xr:uid="{00000000-0005-0000-0000-000072020000}"/>
    <cellStyle name="40% - Accent6" xfId="173" builtinId="51" customBuiltin="1"/>
    <cellStyle name="40% - Accent6 10 2" xfId="1147" xr:uid="{00000000-0005-0000-0000-000074020000}"/>
    <cellStyle name="40% - Accent6 10 3" xfId="1148" xr:uid="{00000000-0005-0000-0000-000075020000}"/>
    <cellStyle name="40% - Accent6 11 2" xfId="1149" xr:uid="{00000000-0005-0000-0000-000076020000}"/>
    <cellStyle name="40% - Accent6 11 3" xfId="1150" xr:uid="{00000000-0005-0000-0000-000077020000}"/>
    <cellStyle name="40% - Accent6 12 2" xfId="1151" xr:uid="{00000000-0005-0000-0000-000078020000}"/>
    <cellStyle name="40% - Accent6 12 3" xfId="1152" xr:uid="{00000000-0005-0000-0000-000079020000}"/>
    <cellStyle name="40% - Accent6 13 2" xfId="1153" xr:uid="{00000000-0005-0000-0000-00007A020000}"/>
    <cellStyle name="40% - Accent6 13 3" xfId="1154" xr:uid="{00000000-0005-0000-0000-00007B020000}"/>
    <cellStyle name="40% - Accent6 14 2" xfId="1155" xr:uid="{00000000-0005-0000-0000-00007C020000}"/>
    <cellStyle name="40% - Accent6 14 3" xfId="1156" xr:uid="{00000000-0005-0000-0000-00007D020000}"/>
    <cellStyle name="40% - Accent6 15" xfId="1157" xr:uid="{00000000-0005-0000-0000-00007E020000}"/>
    <cellStyle name="40% - Accent6 15 2" xfId="1158" xr:uid="{00000000-0005-0000-0000-00007F020000}"/>
    <cellStyle name="40% - Accent6 15 3" xfId="1159" xr:uid="{00000000-0005-0000-0000-000080020000}"/>
    <cellStyle name="40% - Accent6 15 4" xfId="1160" xr:uid="{00000000-0005-0000-0000-000081020000}"/>
    <cellStyle name="40% - Accent6 15 5" xfId="1161" xr:uid="{00000000-0005-0000-0000-000082020000}"/>
    <cellStyle name="40% - Accent6 15 6" xfId="1162" xr:uid="{00000000-0005-0000-0000-000083020000}"/>
    <cellStyle name="40% - Accent6 15 7" xfId="1163" xr:uid="{00000000-0005-0000-0000-000084020000}"/>
    <cellStyle name="40% - Accent6 16" xfId="1164" xr:uid="{00000000-0005-0000-0000-000085020000}"/>
    <cellStyle name="40% - Accent6 17" xfId="1165" xr:uid="{00000000-0005-0000-0000-000086020000}"/>
    <cellStyle name="40% - Accent6 18" xfId="1166" xr:uid="{00000000-0005-0000-0000-000087020000}"/>
    <cellStyle name="40% - Accent6 19" xfId="1167" xr:uid="{00000000-0005-0000-0000-000088020000}"/>
    <cellStyle name="40% - Accent6 2" xfId="197" xr:uid="{00000000-0005-0000-0000-000089020000}"/>
    <cellStyle name="40% - Accent6 2 2" xfId="379" xr:uid="{00000000-0005-0000-0000-00008A020000}"/>
    <cellStyle name="40% - Accent6 2 2 2" xfId="571" xr:uid="{00000000-0005-0000-0000-00008B020000}"/>
    <cellStyle name="40% - Accent6 2 2 3" xfId="1169" xr:uid="{00000000-0005-0000-0000-00008C020000}"/>
    <cellStyle name="40% - Accent6 2 3" xfId="482" xr:uid="{00000000-0005-0000-0000-00008D020000}"/>
    <cellStyle name="40% - Accent6 2 3 2" xfId="1170" xr:uid="{00000000-0005-0000-0000-00008E020000}"/>
    <cellStyle name="40% - Accent6 2 4" xfId="1168" xr:uid="{00000000-0005-0000-0000-00008F020000}"/>
    <cellStyle name="40% - Accent6 2 5" xfId="37629" xr:uid="{00000000-0005-0000-0000-000090020000}"/>
    <cellStyle name="40% - Accent6 20" xfId="1171" xr:uid="{00000000-0005-0000-0000-000091020000}"/>
    <cellStyle name="40% - Accent6 21" xfId="1172" xr:uid="{00000000-0005-0000-0000-000092020000}"/>
    <cellStyle name="40% - Accent6 22" xfId="1173" xr:uid="{00000000-0005-0000-0000-000093020000}"/>
    <cellStyle name="40% - Accent6 3" xfId="345" xr:uid="{00000000-0005-0000-0000-000094020000}"/>
    <cellStyle name="40% - Accent6 3 2" xfId="535" xr:uid="{00000000-0005-0000-0000-000095020000}"/>
    <cellStyle name="40% - Accent6 3 2 2" xfId="1175" xr:uid="{00000000-0005-0000-0000-000096020000}"/>
    <cellStyle name="40% - Accent6 3 3" xfId="1176" xr:uid="{00000000-0005-0000-0000-000097020000}"/>
    <cellStyle name="40% - Accent6 3 4" xfId="1174" xr:uid="{00000000-0005-0000-0000-000098020000}"/>
    <cellStyle name="40% - Accent6 4" xfId="365" xr:uid="{00000000-0005-0000-0000-000099020000}"/>
    <cellStyle name="40% - Accent6 4 2" xfId="555" xr:uid="{00000000-0005-0000-0000-00009A020000}"/>
    <cellStyle name="40% - Accent6 4 2 2" xfId="1178" xr:uid="{00000000-0005-0000-0000-00009B020000}"/>
    <cellStyle name="40% - Accent6 4 3" xfId="1179" xr:uid="{00000000-0005-0000-0000-00009C020000}"/>
    <cellStyle name="40% - Accent6 4 4" xfId="1177" xr:uid="{00000000-0005-0000-0000-00009D020000}"/>
    <cellStyle name="40% - Accent6 4 5" xfId="37630" xr:uid="{00000000-0005-0000-0000-00009E020000}"/>
    <cellStyle name="40% - Accent6 5" xfId="428" xr:uid="{00000000-0005-0000-0000-00009F020000}"/>
    <cellStyle name="40% - Accent6 5 2" xfId="1180" xr:uid="{00000000-0005-0000-0000-0000A0020000}"/>
    <cellStyle name="40% - Accent6 5 3" xfId="1181" xr:uid="{00000000-0005-0000-0000-0000A1020000}"/>
    <cellStyle name="40% - Accent6 6" xfId="462" xr:uid="{00000000-0005-0000-0000-0000A2020000}"/>
    <cellStyle name="40% - Accent6 6 2" xfId="1182" xr:uid="{00000000-0005-0000-0000-0000A3020000}"/>
    <cellStyle name="40% - Accent6 6 3" xfId="1183" xr:uid="{00000000-0005-0000-0000-0000A4020000}"/>
    <cellStyle name="40% - Accent6 7" xfId="628" xr:uid="{00000000-0005-0000-0000-0000A5020000}"/>
    <cellStyle name="40% - Accent6 7 2" xfId="1184" xr:uid="{00000000-0005-0000-0000-0000A6020000}"/>
    <cellStyle name="40% - Accent6 7 3" xfId="1185" xr:uid="{00000000-0005-0000-0000-0000A7020000}"/>
    <cellStyle name="40% - Accent6 8 2" xfId="1186" xr:uid="{00000000-0005-0000-0000-0000A8020000}"/>
    <cellStyle name="40% - Accent6 8 3" xfId="1187" xr:uid="{00000000-0005-0000-0000-0000A9020000}"/>
    <cellStyle name="40% - Accent6 9 2" xfId="1188" xr:uid="{00000000-0005-0000-0000-0000AA020000}"/>
    <cellStyle name="40% - Accent6 9 3" xfId="1189" xr:uid="{00000000-0005-0000-0000-0000AB020000}"/>
    <cellStyle name="60% - Accent1" xfId="154" builtinId="32" customBuiltin="1"/>
    <cellStyle name="60% - Accent1 10 2" xfId="1190" xr:uid="{00000000-0005-0000-0000-0000AD020000}"/>
    <cellStyle name="60% - Accent1 10 3" xfId="1191" xr:uid="{00000000-0005-0000-0000-0000AE020000}"/>
    <cellStyle name="60% - Accent1 11 2" xfId="1192" xr:uid="{00000000-0005-0000-0000-0000AF020000}"/>
    <cellStyle name="60% - Accent1 11 3" xfId="1193" xr:uid="{00000000-0005-0000-0000-0000B0020000}"/>
    <cellStyle name="60% - Accent1 12 2" xfId="1194" xr:uid="{00000000-0005-0000-0000-0000B1020000}"/>
    <cellStyle name="60% - Accent1 12 3" xfId="1195" xr:uid="{00000000-0005-0000-0000-0000B2020000}"/>
    <cellStyle name="60% - Accent1 13 2" xfId="1196" xr:uid="{00000000-0005-0000-0000-0000B3020000}"/>
    <cellStyle name="60% - Accent1 13 3" xfId="1197" xr:uid="{00000000-0005-0000-0000-0000B4020000}"/>
    <cellStyle name="60% - Accent1 14 2" xfId="1198" xr:uid="{00000000-0005-0000-0000-0000B5020000}"/>
    <cellStyle name="60% - Accent1 14 3" xfId="1199" xr:uid="{00000000-0005-0000-0000-0000B6020000}"/>
    <cellStyle name="60% - Accent1 15" xfId="1200" xr:uid="{00000000-0005-0000-0000-0000B7020000}"/>
    <cellStyle name="60% - Accent1 15 2" xfId="1201" xr:uid="{00000000-0005-0000-0000-0000B8020000}"/>
    <cellStyle name="60% - Accent1 15 3" xfId="1202" xr:uid="{00000000-0005-0000-0000-0000B9020000}"/>
    <cellStyle name="60% - Accent1 15 4" xfId="1203" xr:uid="{00000000-0005-0000-0000-0000BA020000}"/>
    <cellStyle name="60% - Accent1 15 5" xfId="1204" xr:uid="{00000000-0005-0000-0000-0000BB020000}"/>
    <cellStyle name="60% - Accent1 15 6" xfId="1205" xr:uid="{00000000-0005-0000-0000-0000BC020000}"/>
    <cellStyle name="60% - Accent1 15 7" xfId="1206" xr:uid="{00000000-0005-0000-0000-0000BD020000}"/>
    <cellStyle name="60% - Accent1 16" xfId="1207" xr:uid="{00000000-0005-0000-0000-0000BE020000}"/>
    <cellStyle name="60% - Accent1 17" xfId="1208" xr:uid="{00000000-0005-0000-0000-0000BF020000}"/>
    <cellStyle name="60% - Accent1 18" xfId="1209" xr:uid="{00000000-0005-0000-0000-0000C0020000}"/>
    <cellStyle name="60% - Accent1 19" xfId="1210" xr:uid="{00000000-0005-0000-0000-0000C1020000}"/>
    <cellStyle name="60% - Accent1 2" xfId="409" xr:uid="{00000000-0005-0000-0000-0000C2020000}"/>
    <cellStyle name="60% - Accent1 2 2" xfId="506" xr:uid="{00000000-0005-0000-0000-0000C3020000}"/>
    <cellStyle name="60% - Accent1 2 2 2" xfId="1211" xr:uid="{00000000-0005-0000-0000-0000C4020000}"/>
    <cellStyle name="60% - Accent1 2 3" xfId="1212" xr:uid="{00000000-0005-0000-0000-0000C5020000}"/>
    <cellStyle name="60% - Accent1 20" xfId="1213" xr:uid="{00000000-0005-0000-0000-0000C6020000}"/>
    <cellStyle name="60% - Accent1 21" xfId="1214" xr:uid="{00000000-0005-0000-0000-0000C7020000}"/>
    <cellStyle name="60% - Accent1 22" xfId="1215" xr:uid="{00000000-0005-0000-0000-0000C8020000}"/>
    <cellStyle name="60% - Accent1 3" xfId="629" xr:uid="{00000000-0005-0000-0000-0000C9020000}"/>
    <cellStyle name="60% - Accent1 3 2" xfId="1216" xr:uid="{00000000-0005-0000-0000-0000CA020000}"/>
    <cellStyle name="60% - Accent1 3 3" xfId="1217" xr:uid="{00000000-0005-0000-0000-0000CB020000}"/>
    <cellStyle name="60% - Accent1 4 2" xfId="1218" xr:uid="{00000000-0005-0000-0000-0000CC020000}"/>
    <cellStyle name="60% - Accent1 4 3" xfId="1219" xr:uid="{00000000-0005-0000-0000-0000CD020000}"/>
    <cellStyle name="60% - Accent1 5 2" xfId="1220" xr:uid="{00000000-0005-0000-0000-0000CE020000}"/>
    <cellStyle name="60% - Accent1 5 3" xfId="1221" xr:uid="{00000000-0005-0000-0000-0000CF020000}"/>
    <cellStyle name="60% - Accent1 6 2" xfId="1222" xr:uid="{00000000-0005-0000-0000-0000D0020000}"/>
    <cellStyle name="60% - Accent1 6 3" xfId="1223" xr:uid="{00000000-0005-0000-0000-0000D1020000}"/>
    <cellStyle name="60% - Accent1 7 2" xfId="1224" xr:uid="{00000000-0005-0000-0000-0000D2020000}"/>
    <cellStyle name="60% - Accent1 7 3" xfId="1225" xr:uid="{00000000-0005-0000-0000-0000D3020000}"/>
    <cellStyle name="60% - Accent1 8 2" xfId="1226" xr:uid="{00000000-0005-0000-0000-0000D4020000}"/>
    <cellStyle name="60% - Accent1 8 3" xfId="1227" xr:uid="{00000000-0005-0000-0000-0000D5020000}"/>
    <cellStyle name="60% - Accent1 9 2" xfId="1228" xr:uid="{00000000-0005-0000-0000-0000D6020000}"/>
    <cellStyle name="60% - Accent1 9 3" xfId="1229" xr:uid="{00000000-0005-0000-0000-0000D7020000}"/>
    <cellStyle name="60% - Accent2" xfId="158" builtinId="36" customBuiltin="1"/>
    <cellStyle name="60% - Accent2 10 2" xfId="1230" xr:uid="{00000000-0005-0000-0000-0000D9020000}"/>
    <cellStyle name="60% - Accent2 10 3" xfId="1231" xr:uid="{00000000-0005-0000-0000-0000DA020000}"/>
    <cellStyle name="60% - Accent2 11 2" xfId="1232" xr:uid="{00000000-0005-0000-0000-0000DB020000}"/>
    <cellStyle name="60% - Accent2 11 3" xfId="1233" xr:uid="{00000000-0005-0000-0000-0000DC020000}"/>
    <cellStyle name="60% - Accent2 12 2" xfId="1234" xr:uid="{00000000-0005-0000-0000-0000DD020000}"/>
    <cellStyle name="60% - Accent2 12 3" xfId="1235" xr:uid="{00000000-0005-0000-0000-0000DE020000}"/>
    <cellStyle name="60% - Accent2 13 2" xfId="1236" xr:uid="{00000000-0005-0000-0000-0000DF020000}"/>
    <cellStyle name="60% - Accent2 13 3" xfId="1237" xr:uid="{00000000-0005-0000-0000-0000E0020000}"/>
    <cellStyle name="60% - Accent2 14 2" xfId="1238" xr:uid="{00000000-0005-0000-0000-0000E1020000}"/>
    <cellStyle name="60% - Accent2 14 3" xfId="1239" xr:uid="{00000000-0005-0000-0000-0000E2020000}"/>
    <cellStyle name="60% - Accent2 15" xfId="1240" xr:uid="{00000000-0005-0000-0000-0000E3020000}"/>
    <cellStyle name="60% - Accent2 15 2" xfId="1241" xr:uid="{00000000-0005-0000-0000-0000E4020000}"/>
    <cellStyle name="60% - Accent2 15 3" xfId="1242" xr:uid="{00000000-0005-0000-0000-0000E5020000}"/>
    <cellStyle name="60% - Accent2 15 4" xfId="1243" xr:uid="{00000000-0005-0000-0000-0000E6020000}"/>
    <cellStyle name="60% - Accent2 15 5" xfId="1244" xr:uid="{00000000-0005-0000-0000-0000E7020000}"/>
    <cellStyle name="60% - Accent2 15 6" xfId="1245" xr:uid="{00000000-0005-0000-0000-0000E8020000}"/>
    <cellStyle name="60% - Accent2 15 7" xfId="1246" xr:uid="{00000000-0005-0000-0000-0000E9020000}"/>
    <cellStyle name="60% - Accent2 16" xfId="1247" xr:uid="{00000000-0005-0000-0000-0000EA020000}"/>
    <cellStyle name="60% - Accent2 17" xfId="1248" xr:uid="{00000000-0005-0000-0000-0000EB020000}"/>
    <cellStyle name="60% - Accent2 18" xfId="1249" xr:uid="{00000000-0005-0000-0000-0000EC020000}"/>
    <cellStyle name="60% - Accent2 19" xfId="1250" xr:uid="{00000000-0005-0000-0000-0000ED020000}"/>
    <cellStyle name="60% - Accent2 2" xfId="413" xr:uid="{00000000-0005-0000-0000-0000EE020000}"/>
    <cellStyle name="60% - Accent2 2 2" xfId="457" xr:uid="{00000000-0005-0000-0000-0000EF020000}"/>
    <cellStyle name="60% - Accent2 2 2 2" xfId="1251" xr:uid="{00000000-0005-0000-0000-0000F0020000}"/>
    <cellStyle name="60% - Accent2 2 3" xfId="1252" xr:uid="{00000000-0005-0000-0000-0000F1020000}"/>
    <cellStyle name="60% - Accent2 20" xfId="1253" xr:uid="{00000000-0005-0000-0000-0000F2020000}"/>
    <cellStyle name="60% - Accent2 21" xfId="1254" xr:uid="{00000000-0005-0000-0000-0000F3020000}"/>
    <cellStyle name="60% - Accent2 22" xfId="1255" xr:uid="{00000000-0005-0000-0000-0000F4020000}"/>
    <cellStyle name="60% - Accent2 3" xfId="630" xr:uid="{00000000-0005-0000-0000-0000F5020000}"/>
    <cellStyle name="60% - Accent2 3 2" xfId="1256" xr:uid="{00000000-0005-0000-0000-0000F6020000}"/>
    <cellStyle name="60% - Accent2 3 3" xfId="1257" xr:uid="{00000000-0005-0000-0000-0000F7020000}"/>
    <cellStyle name="60% - Accent2 4 2" xfId="1258" xr:uid="{00000000-0005-0000-0000-0000F8020000}"/>
    <cellStyle name="60% - Accent2 4 3" xfId="1259" xr:uid="{00000000-0005-0000-0000-0000F9020000}"/>
    <cellStyle name="60% - Accent2 5 2" xfId="1260" xr:uid="{00000000-0005-0000-0000-0000FA020000}"/>
    <cellStyle name="60% - Accent2 5 3" xfId="1261" xr:uid="{00000000-0005-0000-0000-0000FB020000}"/>
    <cellStyle name="60% - Accent2 6 2" xfId="1262" xr:uid="{00000000-0005-0000-0000-0000FC020000}"/>
    <cellStyle name="60% - Accent2 6 3" xfId="1263" xr:uid="{00000000-0005-0000-0000-0000FD020000}"/>
    <cellStyle name="60% - Accent2 7 2" xfId="1264" xr:uid="{00000000-0005-0000-0000-0000FE020000}"/>
    <cellStyle name="60% - Accent2 7 3" xfId="1265" xr:uid="{00000000-0005-0000-0000-0000FF020000}"/>
    <cellStyle name="60% - Accent2 8 2" xfId="1266" xr:uid="{00000000-0005-0000-0000-000000030000}"/>
    <cellStyle name="60% - Accent2 8 3" xfId="1267" xr:uid="{00000000-0005-0000-0000-000001030000}"/>
    <cellStyle name="60% - Accent2 9 2" xfId="1268" xr:uid="{00000000-0005-0000-0000-000002030000}"/>
    <cellStyle name="60% - Accent2 9 3" xfId="1269" xr:uid="{00000000-0005-0000-0000-000003030000}"/>
    <cellStyle name="60% - Accent3" xfId="162" builtinId="40" customBuiltin="1"/>
    <cellStyle name="60% - Accent3 10 2" xfId="1270" xr:uid="{00000000-0005-0000-0000-000005030000}"/>
    <cellStyle name="60% - Accent3 10 3" xfId="1271" xr:uid="{00000000-0005-0000-0000-000006030000}"/>
    <cellStyle name="60% - Accent3 11 2" xfId="1272" xr:uid="{00000000-0005-0000-0000-000007030000}"/>
    <cellStyle name="60% - Accent3 11 3" xfId="1273" xr:uid="{00000000-0005-0000-0000-000008030000}"/>
    <cellStyle name="60% - Accent3 12 2" xfId="1274" xr:uid="{00000000-0005-0000-0000-000009030000}"/>
    <cellStyle name="60% - Accent3 12 3" xfId="1275" xr:uid="{00000000-0005-0000-0000-00000A030000}"/>
    <cellStyle name="60% - Accent3 13 2" xfId="1276" xr:uid="{00000000-0005-0000-0000-00000B030000}"/>
    <cellStyle name="60% - Accent3 13 3" xfId="1277" xr:uid="{00000000-0005-0000-0000-00000C030000}"/>
    <cellStyle name="60% - Accent3 14 2" xfId="1278" xr:uid="{00000000-0005-0000-0000-00000D030000}"/>
    <cellStyle name="60% - Accent3 14 3" xfId="1279" xr:uid="{00000000-0005-0000-0000-00000E030000}"/>
    <cellStyle name="60% - Accent3 15" xfId="1280" xr:uid="{00000000-0005-0000-0000-00000F030000}"/>
    <cellStyle name="60% - Accent3 15 2" xfId="1281" xr:uid="{00000000-0005-0000-0000-000010030000}"/>
    <cellStyle name="60% - Accent3 15 3" xfId="1282" xr:uid="{00000000-0005-0000-0000-000011030000}"/>
    <cellStyle name="60% - Accent3 15 4" xfId="1283" xr:uid="{00000000-0005-0000-0000-000012030000}"/>
    <cellStyle name="60% - Accent3 15 5" xfId="1284" xr:uid="{00000000-0005-0000-0000-000013030000}"/>
    <cellStyle name="60% - Accent3 15 6" xfId="1285" xr:uid="{00000000-0005-0000-0000-000014030000}"/>
    <cellStyle name="60% - Accent3 15 7" xfId="1286" xr:uid="{00000000-0005-0000-0000-000015030000}"/>
    <cellStyle name="60% - Accent3 16" xfId="1287" xr:uid="{00000000-0005-0000-0000-000016030000}"/>
    <cellStyle name="60% - Accent3 17" xfId="1288" xr:uid="{00000000-0005-0000-0000-000017030000}"/>
    <cellStyle name="60% - Accent3 18" xfId="1289" xr:uid="{00000000-0005-0000-0000-000018030000}"/>
    <cellStyle name="60% - Accent3 19" xfId="1290" xr:uid="{00000000-0005-0000-0000-000019030000}"/>
    <cellStyle name="60% - Accent3 2" xfId="417" xr:uid="{00000000-0005-0000-0000-00001A030000}"/>
    <cellStyle name="60% - Accent3 2 2" xfId="515" xr:uid="{00000000-0005-0000-0000-00001B030000}"/>
    <cellStyle name="60% - Accent3 2 2 2" xfId="1291" xr:uid="{00000000-0005-0000-0000-00001C030000}"/>
    <cellStyle name="60% - Accent3 2 3" xfId="1292" xr:uid="{00000000-0005-0000-0000-00001D030000}"/>
    <cellStyle name="60% - Accent3 20" xfId="1293" xr:uid="{00000000-0005-0000-0000-00001E030000}"/>
    <cellStyle name="60% - Accent3 21" xfId="1294" xr:uid="{00000000-0005-0000-0000-00001F030000}"/>
    <cellStyle name="60% - Accent3 22" xfId="1295" xr:uid="{00000000-0005-0000-0000-000020030000}"/>
    <cellStyle name="60% - Accent3 3" xfId="631" xr:uid="{00000000-0005-0000-0000-000021030000}"/>
    <cellStyle name="60% - Accent3 3 2" xfId="1296" xr:uid="{00000000-0005-0000-0000-000022030000}"/>
    <cellStyle name="60% - Accent3 3 3" xfId="1297" xr:uid="{00000000-0005-0000-0000-000023030000}"/>
    <cellStyle name="60% - Accent3 4 2" xfId="1298" xr:uid="{00000000-0005-0000-0000-000024030000}"/>
    <cellStyle name="60% - Accent3 4 3" xfId="1299" xr:uid="{00000000-0005-0000-0000-000025030000}"/>
    <cellStyle name="60% - Accent3 5 2" xfId="1300" xr:uid="{00000000-0005-0000-0000-000026030000}"/>
    <cellStyle name="60% - Accent3 5 3" xfId="1301" xr:uid="{00000000-0005-0000-0000-000027030000}"/>
    <cellStyle name="60% - Accent3 6 2" xfId="1302" xr:uid="{00000000-0005-0000-0000-000028030000}"/>
    <cellStyle name="60% - Accent3 6 3" xfId="1303" xr:uid="{00000000-0005-0000-0000-000029030000}"/>
    <cellStyle name="60% - Accent3 7 2" xfId="1304" xr:uid="{00000000-0005-0000-0000-00002A030000}"/>
    <cellStyle name="60% - Accent3 7 3" xfId="1305" xr:uid="{00000000-0005-0000-0000-00002B030000}"/>
    <cellStyle name="60% - Accent3 8 2" xfId="1306" xr:uid="{00000000-0005-0000-0000-00002C030000}"/>
    <cellStyle name="60% - Accent3 8 3" xfId="1307" xr:uid="{00000000-0005-0000-0000-00002D030000}"/>
    <cellStyle name="60% - Accent3 9 2" xfId="1308" xr:uid="{00000000-0005-0000-0000-00002E030000}"/>
    <cellStyle name="60% - Accent3 9 3" xfId="1309" xr:uid="{00000000-0005-0000-0000-00002F030000}"/>
    <cellStyle name="60% - Accent4" xfId="166" builtinId="44" customBuiltin="1"/>
    <cellStyle name="60% - Accent4 10 2" xfId="1310" xr:uid="{00000000-0005-0000-0000-000031030000}"/>
    <cellStyle name="60% - Accent4 10 3" xfId="1311" xr:uid="{00000000-0005-0000-0000-000032030000}"/>
    <cellStyle name="60% - Accent4 11 2" xfId="1312" xr:uid="{00000000-0005-0000-0000-000033030000}"/>
    <cellStyle name="60% - Accent4 11 3" xfId="1313" xr:uid="{00000000-0005-0000-0000-000034030000}"/>
    <cellStyle name="60% - Accent4 12 2" xfId="1314" xr:uid="{00000000-0005-0000-0000-000035030000}"/>
    <cellStyle name="60% - Accent4 12 3" xfId="1315" xr:uid="{00000000-0005-0000-0000-000036030000}"/>
    <cellStyle name="60% - Accent4 13 2" xfId="1316" xr:uid="{00000000-0005-0000-0000-000037030000}"/>
    <cellStyle name="60% - Accent4 13 3" xfId="1317" xr:uid="{00000000-0005-0000-0000-000038030000}"/>
    <cellStyle name="60% - Accent4 14 2" xfId="1318" xr:uid="{00000000-0005-0000-0000-000039030000}"/>
    <cellStyle name="60% - Accent4 14 3" xfId="1319" xr:uid="{00000000-0005-0000-0000-00003A030000}"/>
    <cellStyle name="60% - Accent4 15" xfId="1320" xr:uid="{00000000-0005-0000-0000-00003B030000}"/>
    <cellStyle name="60% - Accent4 15 2" xfId="1321" xr:uid="{00000000-0005-0000-0000-00003C030000}"/>
    <cellStyle name="60% - Accent4 15 3" xfId="1322" xr:uid="{00000000-0005-0000-0000-00003D030000}"/>
    <cellStyle name="60% - Accent4 15 4" xfId="1323" xr:uid="{00000000-0005-0000-0000-00003E030000}"/>
    <cellStyle name="60% - Accent4 15 5" xfId="1324" xr:uid="{00000000-0005-0000-0000-00003F030000}"/>
    <cellStyle name="60% - Accent4 15 6" xfId="1325" xr:uid="{00000000-0005-0000-0000-000040030000}"/>
    <cellStyle name="60% - Accent4 15 7" xfId="1326" xr:uid="{00000000-0005-0000-0000-000041030000}"/>
    <cellStyle name="60% - Accent4 16" xfId="1327" xr:uid="{00000000-0005-0000-0000-000042030000}"/>
    <cellStyle name="60% - Accent4 17" xfId="1328" xr:uid="{00000000-0005-0000-0000-000043030000}"/>
    <cellStyle name="60% - Accent4 18" xfId="1329" xr:uid="{00000000-0005-0000-0000-000044030000}"/>
    <cellStyle name="60% - Accent4 19" xfId="1330" xr:uid="{00000000-0005-0000-0000-000045030000}"/>
    <cellStyle name="60% - Accent4 2" xfId="421" xr:uid="{00000000-0005-0000-0000-000046030000}"/>
    <cellStyle name="60% - Accent4 2 2" xfId="486" xr:uid="{00000000-0005-0000-0000-000047030000}"/>
    <cellStyle name="60% - Accent4 2 2 2" xfId="1331" xr:uid="{00000000-0005-0000-0000-000048030000}"/>
    <cellStyle name="60% - Accent4 2 3" xfId="1332" xr:uid="{00000000-0005-0000-0000-000049030000}"/>
    <cellStyle name="60% - Accent4 20" xfId="1333" xr:uid="{00000000-0005-0000-0000-00004A030000}"/>
    <cellStyle name="60% - Accent4 21" xfId="1334" xr:uid="{00000000-0005-0000-0000-00004B030000}"/>
    <cellStyle name="60% - Accent4 22" xfId="1335" xr:uid="{00000000-0005-0000-0000-00004C030000}"/>
    <cellStyle name="60% - Accent4 3" xfId="632" xr:uid="{00000000-0005-0000-0000-00004D030000}"/>
    <cellStyle name="60% - Accent4 3 2" xfId="1336" xr:uid="{00000000-0005-0000-0000-00004E030000}"/>
    <cellStyle name="60% - Accent4 3 3" xfId="1337" xr:uid="{00000000-0005-0000-0000-00004F030000}"/>
    <cellStyle name="60% - Accent4 4 2" xfId="1338" xr:uid="{00000000-0005-0000-0000-000050030000}"/>
    <cellStyle name="60% - Accent4 4 3" xfId="1339" xr:uid="{00000000-0005-0000-0000-000051030000}"/>
    <cellStyle name="60% - Accent4 5 2" xfId="1340" xr:uid="{00000000-0005-0000-0000-000052030000}"/>
    <cellStyle name="60% - Accent4 5 3" xfId="1341" xr:uid="{00000000-0005-0000-0000-000053030000}"/>
    <cellStyle name="60% - Accent4 6 2" xfId="1342" xr:uid="{00000000-0005-0000-0000-000054030000}"/>
    <cellStyle name="60% - Accent4 6 3" xfId="1343" xr:uid="{00000000-0005-0000-0000-000055030000}"/>
    <cellStyle name="60% - Accent4 7 2" xfId="1344" xr:uid="{00000000-0005-0000-0000-000056030000}"/>
    <cellStyle name="60% - Accent4 7 3" xfId="1345" xr:uid="{00000000-0005-0000-0000-000057030000}"/>
    <cellStyle name="60% - Accent4 8 2" xfId="1346" xr:uid="{00000000-0005-0000-0000-000058030000}"/>
    <cellStyle name="60% - Accent4 8 3" xfId="1347" xr:uid="{00000000-0005-0000-0000-000059030000}"/>
    <cellStyle name="60% - Accent4 9 2" xfId="1348" xr:uid="{00000000-0005-0000-0000-00005A030000}"/>
    <cellStyle name="60% - Accent4 9 3" xfId="1349" xr:uid="{00000000-0005-0000-0000-00005B030000}"/>
    <cellStyle name="60% - Accent5" xfId="170" builtinId="48" customBuiltin="1"/>
    <cellStyle name="60% - Accent5 10 2" xfId="1350" xr:uid="{00000000-0005-0000-0000-00005D030000}"/>
    <cellStyle name="60% - Accent5 10 3" xfId="1351" xr:uid="{00000000-0005-0000-0000-00005E030000}"/>
    <cellStyle name="60% - Accent5 11 2" xfId="1352" xr:uid="{00000000-0005-0000-0000-00005F030000}"/>
    <cellStyle name="60% - Accent5 11 3" xfId="1353" xr:uid="{00000000-0005-0000-0000-000060030000}"/>
    <cellStyle name="60% - Accent5 12 2" xfId="1354" xr:uid="{00000000-0005-0000-0000-000061030000}"/>
    <cellStyle name="60% - Accent5 12 3" xfId="1355" xr:uid="{00000000-0005-0000-0000-000062030000}"/>
    <cellStyle name="60% - Accent5 13 2" xfId="1356" xr:uid="{00000000-0005-0000-0000-000063030000}"/>
    <cellStyle name="60% - Accent5 13 3" xfId="1357" xr:uid="{00000000-0005-0000-0000-000064030000}"/>
    <cellStyle name="60% - Accent5 14 2" xfId="1358" xr:uid="{00000000-0005-0000-0000-000065030000}"/>
    <cellStyle name="60% - Accent5 14 3" xfId="1359" xr:uid="{00000000-0005-0000-0000-000066030000}"/>
    <cellStyle name="60% - Accent5 15" xfId="1360" xr:uid="{00000000-0005-0000-0000-000067030000}"/>
    <cellStyle name="60% - Accent5 15 2" xfId="1361" xr:uid="{00000000-0005-0000-0000-000068030000}"/>
    <cellStyle name="60% - Accent5 15 3" xfId="1362" xr:uid="{00000000-0005-0000-0000-000069030000}"/>
    <cellStyle name="60% - Accent5 15 4" xfId="1363" xr:uid="{00000000-0005-0000-0000-00006A030000}"/>
    <cellStyle name="60% - Accent5 15 5" xfId="1364" xr:uid="{00000000-0005-0000-0000-00006B030000}"/>
    <cellStyle name="60% - Accent5 15 6" xfId="1365" xr:uid="{00000000-0005-0000-0000-00006C030000}"/>
    <cellStyle name="60% - Accent5 15 7" xfId="1366" xr:uid="{00000000-0005-0000-0000-00006D030000}"/>
    <cellStyle name="60% - Accent5 16" xfId="1367" xr:uid="{00000000-0005-0000-0000-00006E030000}"/>
    <cellStyle name="60% - Accent5 17" xfId="1368" xr:uid="{00000000-0005-0000-0000-00006F030000}"/>
    <cellStyle name="60% - Accent5 18" xfId="1369" xr:uid="{00000000-0005-0000-0000-000070030000}"/>
    <cellStyle name="60% - Accent5 19" xfId="1370" xr:uid="{00000000-0005-0000-0000-000071030000}"/>
    <cellStyle name="60% - Accent5 2" xfId="425" xr:uid="{00000000-0005-0000-0000-000072030000}"/>
    <cellStyle name="60% - Accent5 2 2" xfId="507" xr:uid="{00000000-0005-0000-0000-000073030000}"/>
    <cellStyle name="60% - Accent5 2 2 2" xfId="1371" xr:uid="{00000000-0005-0000-0000-000074030000}"/>
    <cellStyle name="60% - Accent5 2 3" xfId="1372" xr:uid="{00000000-0005-0000-0000-000075030000}"/>
    <cellStyle name="60% - Accent5 20" xfId="1373" xr:uid="{00000000-0005-0000-0000-000076030000}"/>
    <cellStyle name="60% - Accent5 21" xfId="1374" xr:uid="{00000000-0005-0000-0000-000077030000}"/>
    <cellStyle name="60% - Accent5 22" xfId="1375" xr:uid="{00000000-0005-0000-0000-000078030000}"/>
    <cellStyle name="60% - Accent5 3" xfId="633" xr:uid="{00000000-0005-0000-0000-000079030000}"/>
    <cellStyle name="60% - Accent5 3 2" xfId="1376" xr:uid="{00000000-0005-0000-0000-00007A030000}"/>
    <cellStyle name="60% - Accent5 3 3" xfId="1377" xr:uid="{00000000-0005-0000-0000-00007B030000}"/>
    <cellStyle name="60% - Accent5 4 2" xfId="1378" xr:uid="{00000000-0005-0000-0000-00007C030000}"/>
    <cellStyle name="60% - Accent5 4 3" xfId="1379" xr:uid="{00000000-0005-0000-0000-00007D030000}"/>
    <cellStyle name="60% - Accent5 5 2" xfId="1380" xr:uid="{00000000-0005-0000-0000-00007E030000}"/>
    <cellStyle name="60% - Accent5 5 3" xfId="1381" xr:uid="{00000000-0005-0000-0000-00007F030000}"/>
    <cellStyle name="60% - Accent5 6 2" xfId="1382" xr:uid="{00000000-0005-0000-0000-000080030000}"/>
    <cellStyle name="60% - Accent5 6 3" xfId="1383" xr:uid="{00000000-0005-0000-0000-000081030000}"/>
    <cellStyle name="60% - Accent5 7 2" xfId="1384" xr:uid="{00000000-0005-0000-0000-000082030000}"/>
    <cellStyle name="60% - Accent5 7 3" xfId="1385" xr:uid="{00000000-0005-0000-0000-000083030000}"/>
    <cellStyle name="60% - Accent5 8 2" xfId="1386" xr:uid="{00000000-0005-0000-0000-000084030000}"/>
    <cellStyle name="60% - Accent5 8 3" xfId="1387" xr:uid="{00000000-0005-0000-0000-000085030000}"/>
    <cellStyle name="60% - Accent5 9 2" xfId="1388" xr:uid="{00000000-0005-0000-0000-000086030000}"/>
    <cellStyle name="60% - Accent5 9 3" xfId="1389" xr:uid="{00000000-0005-0000-0000-000087030000}"/>
    <cellStyle name="60% - Accent6" xfId="174" builtinId="52" customBuiltin="1"/>
    <cellStyle name="60% - Accent6 10 2" xfId="1390" xr:uid="{00000000-0005-0000-0000-000089030000}"/>
    <cellStyle name="60% - Accent6 10 3" xfId="1391" xr:uid="{00000000-0005-0000-0000-00008A030000}"/>
    <cellStyle name="60% - Accent6 11 2" xfId="1392" xr:uid="{00000000-0005-0000-0000-00008B030000}"/>
    <cellStyle name="60% - Accent6 11 3" xfId="1393" xr:uid="{00000000-0005-0000-0000-00008C030000}"/>
    <cellStyle name="60% - Accent6 12 2" xfId="1394" xr:uid="{00000000-0005-0000-0000-00008D030000}"/>
    <cellStyle name="60% - Accent6 12 3" xfId="1395" xr:uid="{00000000-0005-0000-0000-00008E030000}"/>
    <cellStyle name="60% - Accent6 13 2" xfId="1396" xr:uid="{00000000-0005-0000-0000-00008F030000}"/>
    <cellStyle name="60% - Accent6 13 3" xfId="1397" xr:uid="{00000000-0005-0000-0000-000090030000}"/>
    <cellStyle name="60% - Accent6 14 2" xfId="1398" xr:uid="{00000000-0005-0000-0000-000091030000}"/>
    <cellStyle name="60% - Accent6 14 3" xfId="1399" xr:uid="{00000000-0005-0000-0000-000092030000}"/>
    <cellStyle name="60% - Accent6 15" xfId="1400" xr:uid="{00000000-0005-0000-0000-000093030000}"/>
    <cellStyle name="60% - Accent6 15 2" xfId="1401" xr:uid="{00000000-0005-0000-0000-000094030000}"/>
    <cellStyle name="60% - Accent6 15 3" xfId="1402" xr:uid="{00000000-0005-0000-0000-000095030000}"/>
    <cellStyle name="60% - Accent6 15 4" xfId="1403" xr:uid="{00000000-0005-0000-0000-000096030000}"/>
    <cellStyle name="60% - Accent6 15 5" xfId="1404" xr:uid="{00000000-0005-0000-0000-000097030000}"/>
    <cellStyle name="60% - Accent6 15 6" xfId="1405" xr:uid="{00000000-0005-0000-0000-000098030000}"/>
    <cellStyle name="60% - Accent6 15 7" xfId="1406" xr:uid="{00000000-0005-0000-0000-000099030000}"/>
    <cellStyle name="60% - Accent6 16" xfId="1407" xr:uid="{00000000-0005-0000-0000-00009A030000}"/>
    <cellStyle name="60% - Accent6 17" xfId="1408" xr:uid="{00000000-0005-0000-0000-00009B030000}"/>
    <cellStyle name="60% - Accent6 18" xfId="1409" xr:uid="{00000000-0005-0000-0000-00009C030000}"/>
    <cellStyle name="60% - Accent6 19" xfId="1410" xr:uid="{00000000-0005-0000-0000-00009D030000}"/>
    <cellStyle name="60% - Accent6 2" xfId="429" xr:uid="{00000000-0005-0000-0000-00009E030000}"/>
    <cellStyle name="60% - Accent6 2 2" xfId="485" xr:uid="{00000000-0005-0000-0000-00009F030000}"/>
    <cellStyle name="60% - Accent6 2 2 2" xfId="1411" xr:uid="{00000000-0005-0000-0000-0000A0030000}"/>
    <cellStyle name="60% - Accent6 2 3" xfId="1412" xr:uid="{00000000-0005-0000-0000-0000A1030000}"/>
    <cellStyle name="60% - Accent6 20" xfId="1413" xr:uid="{00000000-0005-0000-0000-0000A2030000}"/>
    <cellStyle name="60% - Accent6 21" xfId="1414" xr:uid="{00000000-0005-0000-0000-0000A3030000}"/>
    <cellStyle name="60% - Accent6 22" xfId="1415" xr:uid="{00000000-0005-0000-0000-0000A4030000}"/>
    <cellStyle name="60% - Accent6 3" xfId="634" xr:uid="{00000000-0005-0000-0000-0000A5030000}"/>
    <cellStyle name="60% - Accent6 3 2" xfId="1416" xr:uid="{00000000-0005-0000-0000-0000A6030000}"/>
    <cellStyle name="60% - Accent6 3 3" xfId="1417" xr:uid="{00000000-0005-0000-0000-0000A7030000}"/>
    <cellStyle name="60% - Accent6 4 2" xfId="1418" xr:uid="{00000000-0005-0000-0000-0000A8030000}"/>
    <cellStyle name="60% - Accent6 4 3" xfId="1419" xr:uid="{00000000-0005-0000-0000-0000A9030000}"/>
    <cellStyle name="60% - Accent6 5 2" xfId="1420" xr:uid="{00000000-0005-0000-0000-0000AA030000}"/>
    <cellStyle name="60% - Accent6 5 3" xfId="1421" xr:uid="{00000000-0005-0000-0000-0000AB030000}"/>
    <cellStyle name="60% - Accent6 6 2" xfId="1422" xr:uid="{00000000-0005-0000-0000-0000AC030000}"/>
    <cellStyle name="60% - Accent6 6 3" xfId="1423" xr:uid="{00000000-0005-0000-0000-0000AD030000}"/>
    <cellStyle name="60% - Accent6 7 2" xfId="1424" xr:uid="{00000000-0005-0000-0000-0000AE030000}"/>
    <cellStyle name="60% - Accent6 7 3" xfId="1425" xr:uid="{00000000-0005-0000-0000-0000AF030000}"/>
    <cellStyle name="60% - Accent6 8 2" xfId="1426" xr:uid="{00000000-0005-0000-0000-0000B0030000}"/>
    <cellStyle name="60% - Accent6 8 3" xfId="1427" xr:uid="{00000000-0005-0000-0000-0000B1030000}"/>
    <cellStyle name="60% - Accent6 9 2" xfId="1428" xr:uid="{00000000-0005-0000-0000-0000B2030000}"/>
    <cellStyle name="60% - Accent6 9 3" xfId="1429" xr:uid="{00000000-0005-0000-0000-0000B3030000}"/>
    <cellStyle name="Accent1" xfId="151" builtinId="29" customBuiltin="1"/>
    <cellStyle name="Accent1 10 2" xfId="1430" xr:uid="{00000000-0005-0000-0000-0000B5030000}"/>
    <cellStyle name="Accent1 10 3" xfId="1431" xr:uid="{00000000-0005-0000-0000-0000B6030000}"/>
    <cellStyle name="Accent1 11 2" xfId="1432" xr:uid="{00000000-0005-0000-0000-0000B7030000}"/>
    <cellStyle name="Accent1 11 3" xfId="1433" xr:uid="{00000000-0005-0000-0000-0000B8030000}"/>
    <cellStyle name="Accent1 12 2" xfId="1434" xr:uid="{00000000-0005-0000-0000-0000B9030000}"/>
    <cellStyle name="Accent1 12 3" xfId="1435" xr:uid="{00000000-0005-0000-0000-0000BA030000}"/>
    <cellStyle name="Accent1 13 2" xfId="1436" xr:uid="{00000000-0005-0000-0000-0000BB030000}"/>
    <cellStyle name="Accent1 13 3" xfId="1437" xr:uid="{00000000-0005-0000-0000-0000BC030000}"/>
    <cellStyle name="Accent1 14 2" xfId="1438" xr:uid="{00000000-0005-0000-0000-0000BD030000}"/>
    <cellStyle name="Accent1 14 3" xfId="1439" xr:uid="{00000000-0005-0000-0000-0000BE030000}"/>
    <cellStyle name="Accent1 15" xfId="1440" xr:uid="{00000000-0005-0000-0000-0000BF030000}"/>
    <cellStyle name="Accent1 15 2" xfId="1441" xr:uid="{00000000-0005-0000-0000-0000C0030000}"/>
    <cellStyle name="Accent1 15 3" xfId="1442" xr:uid="{00000000-0005-0000-0000-0000C1030000}"/>
    <cellStyle name="Accent1 15 4" xfId="1443" xr:uid="{00000000-0005-0000-0000-0000C2030000}"/>
    <cellStyle name="Accent1 15 5" xfId="1444" xr:uid="{00000000-0005-0000-0000-0000C3030000}"/>
    <cellStyle name="Accent1 15 6" xfId="1445" xr:uid="{00000000-0005-0000-0000-0000C4030000}"/>
    <cellStyle name="Accent1 15 7" xfId="1446" xr:uid="{00000000-0005-0000-0000-0000C5030000}"/>
    <cellStyle name="Accent1 16" xfId="1447" xr:uid="{00000000-0005-0000-0000-0000C6030000}"/>
    <cellStyle name="Accent1 17" xfId="1448" xr:uid="{00000000-0005-0000-0000-0000C7030000}"/>
    <cellStyle name="Accent1 18" xfId="1449" xr:uid="{00000000-0005-0000-0000-0000C8030000}"/>
    <cellStyle name="Accent1 19" xfId="1450" xr:uid="{00000000-0005-0000-0000-0000C9030000}"/>
    <cellStyle name="Accent1 2" xfId="406" xr:uid="{00000000-0005-0000-0000-0000CA030000}"/>
    <cellStyle name="Accent1 2 2" xfId="493" xr:uid="{00000000-0005-0000-0000-0000CB030000}"/>
    <cellStyle name="Accent1 2 2 2" xfId="1451" xr:uid="{00000000-0005-0000-0000-0000CC030000}"/>
    <cellStyle name="Accent1 2 3" xfId="1452" xr:uid="{00000000-0005-0000-0000-0000CD030000}"/>
    <cellStyle name="Accent1 20" xfId="1453" xr:uid="{00000000-0005-0000-0000-0000CE030000}"/>
    <cellStyle name="Accent1 21" xfId="1454" xr:uid="{00000000-0005-0000-0000-0000CF030000}"/>
    <cellStyle name="Accent1 22" xfId="1455" xr:uid="{00000000-0005-0000-0000-0000D0030000}"/>
    <cellStyle name="Accent1 3" xfId="635" xr:uid="{00000000-0005-0000-0000-0000D1030000}"/>
    <cellStyle name="Accent1 3 2" xfId="1456" xr:uid="{00000000-0005-0000-0000-0000D2030000}"/>
    <cellStyle name="Accent1 3 3" xfId="1457" xr:uid="{00000000-0005-0000-0000-0000D3030000}"/>
    <cellStyle name="Accent1 4 2" xfId="1458" xr:uid="{00000000-0005-0000-0000-0000D4030000}"/>
    <cellStyle name="Accent1 4 3" xfId="1459" xr:uid="{00000000-0005-0000-0000-0000D5030000}"/>
    <cellStyle name="Accent1 5 2" xfId="1460" xr:uid="{00000000-0005-0000-0000-0000D6030000}"/>
    <cellStyle name="Accent1 5 3" xfId="1461" xr:uid="{00000000-0005-0000-0000-0000D7030000}"/>
    <cellStyle name="Accent1 6 2" xfId="1462" xr:uid="{00000000-0005-0000-0000-0000D8030000}"/>
    <cellStyle name="Accent1 6 3" xfId="1463" xr:uid="{00000000-0005-0000-0000-0000D9030000}"/>
    <cellStyle name="Accent1 7 2" xfId="1464" xr:uid="{00000000-0005-0000-0000-0000DA030000}"/>
    <cellStyle name="Accent1 7 3" xfId="1465" xr:uid="{00000000-0005-0000-0000-0000DB030000}"/>
    <cellStyle name="Accent1 8 2" xfId="1466" xr:uid="{00000000-0005-0000-0000-0000DC030000}"/>
    <cellStyle name="Accent1 8 3" xfId="1467" xr:uid="{00000000-0005-0000-0000-0000DD030000}"/>
    <cellStyle name="Accent1 9 2" xfId="1468" xr:uid="{00000000-0005-0000-0000-0000DE030000}"/>
    <cellStyle name="Accent1 9 3" xfId="1469" xr:uid="{00000000-0005-0000-0000-0000DF030000}"/>
    <cellStyle name="Accent2" xfId="155" builtinId="33" customBuiltin="1"/>
    <cellStyle name="Accent2 10 2" xfId="1470" xr:uid="{00000000-0005-0000-0000-0000E1030000}"/>
    <cellStyle name="Accent2 10 3" xfId="1471" xr:uid="{00000000-0005-0000-0000-0000E2030000}"/>
    <cellStyle name="Accent2 11 2" xfId="1472" xr:uid="{00000000-0005-0000-0000-0000E3030000}"/>
    <cellStyle name="Accent2 11 3" xfId="1473" xr:uid="{00000000-0005-0000-0000-0000E4030000}"/>
    <cellStyle name="Accent2 12 2" xfId="1474" xr:uid="{00000000-0005-0000-0000-0000E5030000}"/>
    <cellStyle name="Accent2 12 3" xfId="1475" xr:uid="{00000000-0005-0000-0000-0000E6030000}"/>
    <cellStyle name="Accent2 13 2" xfId="1476" xr:uid="{00000000-0005-0000-0000-0000E7030000}"/>
    <cellStyle name="Accent2 13 3" xfId="1477" xr:uid="{00000000-0005-0000-0000-0000E8030000}"/>
    <cellStyle name="Accent2 14 2" xfId="1478" xr:uid="{00000000-0005-0000-0000-0000E9030000}"/>
    <cellStyle name="Accent2 14 3" xfId="1479" xr:uid="{00000000-0005-0000-0000-0000EA030000}"/>
    <cellStyle name="Accent2 15" xfId="1480" xr:uid="{00000000-0005-0000-0000-0000EB030000}"/>
    <cellStyle name="Accent2 15 2" xfId="1481" xr:uid="{00000000-0005-0000-0000-0000EC030000}"/>
    <cellStyle name="Accent2 15 3" xfId="1482" xr:uid="{00000000-0005-0000-0000-0000ED030000}"/>
    <cellStyle name="Accent2 15 4" xfId="1483" xr:uid="{00000000-0005-0000-0000-0000EE030000}"/>
    <cellStyle name="Accent2 15 5" xfId="1484" xr:uid="{00000000-0005-0000-0000-0000EF030000}"/>
    <cellStyle name="Accent2 15 6" xfId="1485" xr:uid="{00000000-0005-0000-0000-0000F0030000}"/>
    <cellStyle name="Accent2 15 7" xfId="1486" xr:uid="{00000000-0005-0000-0000-0000F1030000}"/>
    <cellStyle name="Accent2 16" xfId="1487" xr:uid="{00000000-0005-0000-0000-0000F2030000}"/>
    <cellStyle name="Accent2 17" xfId="1488" xr:uid="{00000000-0005-0000-0000-0000F3030000}"/>
    <cellStyle name="Accent2 18" xfId="1489" xr:uid="{00000000-0005-0000-0000-0000F4030000}"/>
    <cellStyle name="Accent2 19" xfId="1490" xr:uid="{00000000-0005-0000-0000-0000F5030000}"/>
    <cellStyle name="Accent2 2" xfId="410" xr:uid="{00000000-0005-0000-0000-0000F6030000}"/>
    <cellStyle name="Accent2 2 2" xfId="509" xr:uid="{00000000-0005-0000-0000-0000F7030000}"/>
    <cellStyle name="Accent2 2 2 2" xfId="1491" xr:uid="{00000000-0005-0000-0000-0000F8030000}"/>
    <cellStyle name="Accent2 2 3" xfId="1492" xr:uid="{00000000-0005-0000-0000-0000F9030000}"/>
    <cellStyle name="Accent2 20" xfId="1493" xr:uid="{00000000-0005-0000-0000-0000FA030000}"/>
    <cellStyle name="Accent2 21" xfId="1494" xr:uid="{00000000-0005-0000-0000-0000FB030000}"/>
    <cellStyle name="Accent2 22" xfId="1495" xr:uid="{00000000-0005-0000-0000-0000FC030000}"/>
    <cellStyle name="Accent2 3" xfId="636" xr:uid="{00000000-0005-0000-0000-0000FD030000}"/>
    <cellStyle name="Accent2 3 2" xfId="1496" xr:uid="{00000000-0005-0000-0000-0000FE030000}"/>
    <cellStyle name="Accent2 3 3" xfId="1497" xr:uid="{00000000-0005-0000-0000-0000FF030000}"/>
    <cellStyle name="Accent2 4 2" xfId="1498" xr:uid="{00000000-0005-0000-0000-000000040000}"/>
    <cellStyle name="Accent2 4 3" xfId="1499" xr:uid="{00000000-0005-0000-0000-000001040000}"/>
    <cellStyle name="Accent2 5 2" xfId="1500" xr:uid="{00000000-0005-0000-0000-000002040000}"/>
    <cellStyle name="Accent2 5 3" xfId="1501" xr:uid="{00000000-0005-0000-0000-000003040000}"/>
    <cellStyle name="Accent2 6 2" xfId="1502" xr:uid="{00000000-0005-0000-0000-000004040000}"/>
    <cellStyle name="Accent2 6 3" xfId="1503" xr:uid="{00000000-0005-0000-0000-000005040000}"/>
    <cellStyle name="Accent2 7 2" xfId="1504" xr:uid="{00000000-0005-0000-0000-000006040000}"/>
    <cellStyle name="Accent2 7 3" xfId="1505" xr:uid="{00000000-0005-0000-0000-000007040000}"/>
    <cellStyle name="Accent2 8 2" xfId="1506" xr:uid="{00000000-0005-0000-0000-000008040000}"/>
    <cellStyle name="Accent2 8 3" xfId="1507" xr:uid="{00000000-0005-0000-0000-000009040000}"/>
    <cellStyle name="Accent2 9 2" xfId="1508" xr:uid="{00000000-0005-0000-0000-00000A040000}"/>
    <cellStyle name="Accent2 9 3" xfId="1509" xr:uid="{00000000-0005-0000-0000-00000B040000}"/>
    <cellStyle name="Accent3" xfId="159" builtinId="37" customBuiltin="1"/>
    <cellStyle name="Accent3 10 2" xfId="1510" xr:uid="{00000000-0005-0000-0000-00000D040000}"/>
    <cellStyle name="Accent3 10 3" xfId="1511" xr:uid="{00000000-0005-0000-0000-00000E040000}"/>
    <cellStyle name="Accent3 11 2" xfId="1512" xr:uid="{00000000-0005-0000-0000-00000F040000}"/>
    <cellStyle name="Accent3 11 3" xfId="1513" xr:uid="{00000000-0005-0000-0000-000010040000}"/>
    <cellStyle name="Accent3 12 2" xfId="1514" xr:uid="{00000000-0005-0000-0000-000011040000}"/>
    <cellStyle name="Accent3 12 3" xfId="1515" xr:uid="{00000000-0005-0000-0000-000012040000}"/>
    <cellStyle name="Accent3 13 2" xfId="1516" xr:uid="{00000000-0005-0000-0000-000013040000}"/>
    <cellStyle name="Accent3 13 3" xfId="1517" xr:uid="{00000000-0005-0000-0000-000014040000}"/>
    <cellStyle name="Accent3 14 2" xfId="1518" xr:uid="{00000000-0005-0000-0000-000015040000}"/>
    <cellStyle name="Accent3 14 3" xfId="1519" xr:uid="{00000000-0005-0000-0000-000016040000}"/>
    <cellStyle name="Accent3 15" xfId="1520" xr:uid="{00000000-0005-0000-0000-000017040000}"/>
    <cellStyle name="Accent3 15 2" xfId="1521" xr:uid="{00000000-0005-0000-0000-000018040000}"/>
    <cellStyle name="Accent3 15 3" xfId="1522" xr:uid="{00000000-0005-0000-0000-000019040000}"/>
    <cellStyle name="Accent3 15 4" xfId="1523" xr:uid="{00000000-0005-0000-0000-00001A040000}"/>
    <cellStyle name="Accent3 15 5" xfId="1524" xr:uid="{00000000-0005-0000-0000-00001B040000}"/>
    <cellStyle name="Accent3 15 6" xfId="1525" xr:uid="{00000000-0005-0000-0000-00001C040000}"/>
    <cellStyle name="Accent3 15 7" xfId="1526" xr:uid="{00000000-0005-0000-0000-00001D040000}"/>
    <cellStyle name="Accent3 16" xfId="1527" xr:uid="{00000000-0005-0000-0000-00001E040000}"/>
    <cellStyle name="Accent3 17" xfId="1528" xr:uid="{00000000-0005-0000-0000-00001F040000}"/>
    <cellStyle name="Accent3 18" xfId="1529" xr:uid="{00000000-0005-0000-0000-000020040000}"/>
    <cellStyle name="Accent3 19" xfId="1530" xr:uid="{00000000-0005-0000-0000-000021040000}"/>
    <cellStyle name="Accent3 2" xfId="414" xr:uid="{00000000-0005-0000-0000-000022040000}"/>
    <cellStyle name="Accent3 2 2" xfId="447" xr:uid="{00000000-0005-0000-0000-000023040000}"/>
    <cellStyle name="Accent3 2 2 2" xfId="1531" xr:uid="{00000000-0005-0000-0000-000024040000}"/>
    <cellStyle name="Accent3 2 3" xfId="1532" xr:uid="{00000000-0005-0000-0000-000025040000}"/>
    <cellStyle name="Accent3 20" xfId="1533" xr:uid="{00000000-0005-0000-0000-000026040000}"/>
    <cellStyle name="Accent3 21" xfId="1534" xr:uid="{00000000-0005-0000-0000-000027040000}"/>
    <cellStyle name="Accent3 22" xfId="1535" xr:uid="{00000000-0005-0000-0000-000028040000}"/>
    <cellStyle name="Accent3 3" xfId="637" xr:uid="{00000000-0005-0000-0000-000029040000}"/>
    <cellStyle name="Accent3 3 2" xfId="1536" xr:uid="{00000000-0005-0000-0000-00002A040000}"/>
    <cellStyle name="Accent3 3 3" xfId="1537" xr:uid="{00000000-0005-0000-0000-00002B040000}"/>
    <cellStyle name="Accent3 4 2" xfId="1538" xr:uid="{00000000-0005-0000-0000-00002C040000}"/>
    <cellStyle name="Accent3 4 3" xfId="1539" xr:uid="{00000000-0005-0000-0000-00002D040000}"/>
    <cellStyle name="Accent3 5 2" xfId="1540" xr:uid="{00000000-0005-0000-0000-00002E040000}"/>
    <cellStyle name="Accent3 5 3" xfId="1541" xr:uid="{00000000-0005-0000-0000-00002F040000}"/>
    <cellStyle name="Accent3 6 2" xfId="1542" xr:uid="{00000000-0005-0000-0000-000030040000}"/>
    <cellStyle name="Accent3 6 3" xfId="1543" xr:uid="{00000000-0005-0000-0000-000031040000}"/>
    <cellStyle name="Accent3 7 2" xfId="1544" xr:uid="{00000000-0005-0000-0000-000032040000}"/>
    <cellStyle name="Accent3 7 3" xfId="1545" xr:uid="{00000000-0005-0000-0000-000033040000}"/>
    <cellStyle name="Accent3 8 2" xfId="1546" xr:uid="{00000000-0005-0000-0000-000034040000}"/>
    <cellStyle name="Accent3 8 3" xfId="1547" xr:uid="{00000000-0005-0000-0000-000035040000}"/>
    <cellStyle name="Accent3 9 2" xfId="1548" xr:uid="{00000000-0005-0000-0000-000036040000}"/>
    <cellStyle name="Accent3 9 3" xfId="1549" xr:uid="{00000000-0005-0000-0000-000037040000}"/>
    <cellStyle name="Accent4" xfId="163" builtinId="41" customBuiltin="1"/>
    <cellStyle name="Accent4 10 2" xfId="1550" xr:uid="{00000000-0005-0000-0000-000039040000}"/>
    <cellStyle name="Accent4 10 3" xfId="1551" xr:uid="{00000000-0005-0000-0000-00003A040000}"/>
    <cellStyle name="Accent4 11 2" xfId="1552" xr:uid="{00000000-0005-0000-0000-00003B040000}"/>
    <cellStyle name="Accent4 11 3" xfId="1553" xr:uid="{00000000-0005-0000-0000-00003C040000}"/>
    <cellStyle name="Accent4 12 2" xfId="1554" xr:uid="{00000000-0005-0000-0000-00003D040000}"/>
    <cellStyle name="Accent4 12 3" xfId="1555" xr:uid="{00000000-0005-0000-0000-00003E040000}"/>
    <cellStyle name="Accent4 13 2" xfId="1556" xr:uid="{00000000-0005-0000-0000-00003F040000}"/>
    <cellStyle name="Accent4 13 3" xfId="1557" xr:uid="{00000000-0005-0000-0000-000040040000}"/>
    <cellStyle name="Accent4 14 2" xfId="1558" xr:uid="{00000000-0005-0000-0000-000041040000}"/>
    <cellStyle name="Accent4 14 3" xfId="1559" xr:uid="{00000000-0005-0000-0000-000042040000}"/>
    <cellStyle name="Accent4 15" xfId="1560" xr:uid="{00000000-0005-0000-0000-000043040000}"/>
    <cellStyle name="Accent4 15 2" xfId="1561" xr:uid="{00000000-0005-0000-0000-000044040000}"/>
    <cellStyle name="Accent4 15 3" xfId="1562" xr:uid="{00000000-0005-0000-0000-000045040000}"/>
    <cellStyle name="Accent4 15 4" xfId="1563" xr:uid="{00000000-0005-0000-0000-000046040000}"/>
    <cellStyle name="Accent4 15 5" xfId="1564" xr:uid="{00000000-0005-0000-0000-000047040000}"/>
    <cellStyle name="Accent4 15 6" xfId="1565" xr:uid="{00000000-0005-0000-0000-000048040000}"/>
    <cellStyle name="Accent4 15 7" xfId="1566" xr:uid="{00000000-0005-0000-0000-000049040000}"/>
    <cellStyle name="Accent4 16" xfId="1567" xr:uid="{00000000-0005-0000-0000-00004A040000}"/>
    <cellStyle name="Accent4 17" xfId="1568" xr:uid="{00000000-0005-0000-0000-00004B040000}"/>
    <cellStyle name="Accent4 18" xfId="1569" xr:uid="{00000000-0005-0000-0000-00004C040000}"/>
    <cellStyle name="Accent4 19" xfId="1570" xr:uid="{00000000-0005-0000-0000-00004D040000}"/>
    <cellStyle name="Accent4 2" xfId="418" xr:uid="{00000000-0005-0000-0000-00004E040000}"/>
    <cellStyle name="Accent4 2 2" xfId="512" xr:uid="{00000000-0005-0000-0000-00004F040000}"/>
    <cellStyle name="Accent4 2 2 2" xfId="1571" xr:uid="{00000000-0005-0000-0000-000050040000}"/>
    <cellStyle name="Accent4 2 3" xfId="1572" xr:uid="{00000000-0005-0000-0000-000051040000}"/>
    <cellStyle name="Accent4 20" xfId="1573" xr:uid="{00000000-0005-0000-0000-000052040000}"/>
    <cellStyle name="Accent4 21" xfId="1574" xr:uid="{00000000-0005-0000-0000-000053040000}"/>
    <cellStyle name="Accent4 22" xfId="1575" xr:uid="{00000000-0005-0000-0000-000054040000}"/>
    <cellStyle name="Accent4 3" xfId="638" xr:uid="{00000000-0005-0000-0000-000055040000}"/>
    <cellStyle name="Accent4 3 2" xfId="1576" xr:uid="{00000000-0005-0000-0000-000056040000}"/>
    <cellStyle name="Accent4 3 3" xfId="1577" xr:uid="{00000000-0005-0000-0000-000057040000}"/>
    <cellStyle name="Accent4 4 2" xfId="1578" xr:uid="{00000000-0005-0000-0000-000058040000}"/>
    <cellStyle name="Accent4 4 3" xfId="1579" xr:uid="{00000000-0005-0000-0000-000059040000}"/>
    <cellStyle name="Accent4 5 2" xfId="1580" xr:uid="{00000000-0005-0000-0000-00005A040000}"/>
    <cellStyle name="Accent4 5 3" xfId="1581" xr:uid="{00000000-0005-0000-0000-00005B040000}"/>
    <cellStyle name="Accent4 6 2" xfId="1582" xr:uid="{00000000-0005-0000-0000-00005C040000}"/>
    <cellStyle name="Accent4 6 3" xfId="1583" xr:uid="{00000000-0005-0000-0000-00005D040000}"/>
    <cellStyle name="Accent4 7 2" xfId="1584" xr:uid="{00000000-0005-0000-0000-00005E040000}"/>
    <cellStyle name="Accent4 7 3" xfId="1585" xr:uid="{00000000-0005-0000-0000-00005F040000}"/>
    <cellStyle name="Accent4 8 2" xfId="1586" xr:uid="{00000000-0005-0000-0000-000060040000}"/>
    <cellStyle name="Accent4 8 3" xfId="1587" xr:uid="{00000000-0005-0000-0000-000061040000}"/>
    <cellStyle name="Accent4 9 2" xfId="1588" xr:uid="{00000000-0005-0000-0000-000062040000}"/>
    <cellStyle name="Accent4 9 3" xfId="1589" xr:uid="{00000000-0005-0000-0000-000063040000}"/>
    <cellStyle name="Accent5" xfId="167" builtinId="45" customBuiltin="1"/>
    <cellStyle name="Accent5 10 2" xfId="1590" xr:uid="{00000000-0005-0000-0000-000065040000}"/>
    <cellStyle name="Accent5 10 3" xfId="1591" xr:uid="{00000000-0005-0000-0000-000066040000}"/>
    <cellStyle name="Accent5 11 2" xfId="1592" xr:uid="{00000000-0005-0000-0000-000067040000}"/>
    <cellStyle name="Accent5 11 3" xfId="1593" xr:uid="{00000000-0005-0000-0000-000068040000}"/>
    <cellStyle name="Accent5 12 2" xfId="1594" xr:uid="{00000000-0005-0000-0000-000069040000}"/>
    <cellStyle name="Accent5 12 3" xfId="1595" xr:uid="{00000000-0005-0000-0000-00006A040000}"/>
    <cellStyle name="Accent5 13 2" xfId="1596" xr:uid="{00000000-0005-0000-0000-00006B040000}"/>
    <cellStyle name="Accent5 13 3" xfId="1597" xr:uid="{00000000-0005-0000-0000-00006C040000}"/>
    <cellStyle name="Accent5 14 2" xfId="1598" xr:uid="{00000000-0005-0000-0000-00006D040000}"/>
    <cellStyle name="Accent5 14 3" xfId="1599" xr:uid="{00000000-0005-0000-0000-00006E040000}"/>
    <cellStyle name="Accent5 15" xfId="1600" xr:uid="{00000000-0005-0000-0000-00006F040000}"/>
    <cellStyle name="Accent5 15 2" xfId="1601" xr:uid="{00000000-0005-0000-0000-000070040000}"/>
    <cellStyle name="Accent5 15 3" xfId="1602" xr:uid="{00000000-0005-0000-0000-000071040000}"/>
    <cellStyle name="Accent5 15 4" xfId="1603" xr:uid="{00000000-0005-0000-0000-000072040000}"/>
    <cellStyle name="Accent5 15 5" xfId="1604" xr:uid="{00000000-0005-0000-0000-000073040000}"/>
    <cellStyle name="Accent5 15 6" xfId="1605" xr:uid="{00000000-0005-0000-0000-000074040000}"/>
    <cellStyle name="Accent5 15 7" xfId="1606" xr:uid="{00000000-0005-0000-0000-000075040000}"/>
    <cellStyle name="Accent5 16" xfId="1607" xr:uid="{00000000-0005-0000-0000-000076040000}"/>
    <cellStyle name="Accent5 17" xfId="1608" xr:uid="{00000000-0005-0000-0000-000077040000}"/>
    <cellStyle name="Accent5 18" xfId="1609" xr:uid="{00000000-0005-0000-0000-000078040000}"/>
    <cellStyle name="Accent5 19" xfId="1610" xr:uid="{00000000-0005-0000-0000-000079040000}"/>
    <cellStyle name="Accent5 2" xfId="422" xr:uid="{00000000-0005-0000-0000-00007A040000}"/>
    <cellStyle name="Accent5 2 2" xfId="503" xr:uid="{00000000-0005-0000-0000-00007B040000}"/>
    <cellStyle name="Accent5 2 2 2" xfId="1611" xr:uid="{00000000-0005-0000-0000-00007C040000}"/>
    <cellStyle name="Accent5 2 3" xfId="1612" xr:uid="{00000000-0005-0000-0000-00007D040000}"/>
    <cellStyle name="Accent5 20" xfId="1613" xr:uid="{00000000-0005-0000-0000-00007E040000}"/>
    <cellStyle name="Accent5 21" xfId="1614" xr:uid="{00000000-0005-0000-0000-00007F040000}"/>
    <cellStyle name="Accent5 22" xfId="1615" xr:uid="{00000000-0005-0000-0000-000080040000}"/>
    <cellStyle name="Accent5 3" xfId="639" xr:uid="{00000000-0005-0000-0000-000081040000}"/>
    <cellStyle name="Accent5 3 2" xfId="1616" xr:uid="{00000000-0005-0000-0000-000082040000}"/>
    <cellStyle name="Accent5 3 3" xfId="1617" xr:uid="{00000000-0005-0000-0000-000083040000}"/>
    <cellStyle name="Accent5 4 2" xfId="1618" xr:uid="{00000000-0005-0000-0000-000084040000}"/>
    <cellStyle name="Accent5 4 3" xfId="1619" xr:uid="{00000000-0005-0000-0000-000085040000}"/>
    <cellStyle name="Accent5 5 2" xfId="1620" xr:uid="{00000000-0005-0000-0000-000086040000}"/>
    <cellStyle name="Accent5 5 3" xfId="1621" xr:uid="{00000000-0005-0000-0000-000087040000}"/>
    <cellStyle name="Accent5 6 2" xfId="1622" xr:uid="{00000000-0005-0000-0000-000088040000}"/>
    <cellStyle name="Accent5 6 3" xfId="1623" xr:uid="{00000000-0005-0000-0000-000089040000}"/>
    <cellStyle name="Accent5 7 2" xfId="1624" xr:uid="{00000000-0005-0000-0000-00008A040000}"/>
    <cellStyle name="Accent5 7 3" xfId="1625" xr:uid="{00000000-0005-0000-0000-00008B040000}"/>
    <cellStyle name="Accent5 8 2" xfId="1626" xr:uid="{00000000-0005-0000-0000-00008C040000}"/>
    <cellStyle name="Accent5 8 3" xfId="1627" xr:uid="{00000000-0005-0000-0000-00008D040000}"/>
    <cellStyle name="Accent5 9 2" xfId="1628" xr:uid="{00000000-0005-0000-0000-00008E040000}"/>
    <cellStyle name="Accent5 9 3" xfId="1629" xr:uid="{00000000-0005-0000-0000-00008F040000}"/>
    <cellStyle name="Accent6" xfId="171" builtinId="49" customBuiltin="1"/>
    <cellStyle name="Accent6 10 2" xfId="1630" xr:uid="{00000000-0005-0000-0000-000091040000}"/>
    <cellStyle name="Accent6 10 3" xfId="1631" xr:uid="{00000000-0005-0000-0000-000092040000}"/>
    <cellStyle name="Accent6 11 2" xfId="1632" xr:uid="{00000000-0005-0000-0000-000093040000}"/>
    <cellStyle name="Accent6 11 3" xfId="1633" xr:uid="{00000000-0005-0000-0000-000094040000}"/>
    <cellStyle name="Accent6 12 2" xfId="1634" xr:uid="{00000000-0005-0000-0000-000095040000}"/>
    <cellStyle name="Accent6 12 3" xfId="1635" xr:uid="{00000000-0005-0000-0000-000096040000}"/>
    <cellStyle name="Accent6 13 2" xfId="1636" xr:uid="{00000000-0005-0000-0000-000097040000}"/>
    <cellStyle name="Accent6 13 3" xfId="1637" xr:uid="{00000000-0005-0000-0000-000098040000}"/>
    <cellStyle name="Accent6 14 2" xfId="1638" xr:uid="{00000000-0005-0000-0000-000099040000}"/>
    <cellStyle name="Accent6 14 3" xfId="1639" xr:uid="{00000000-0005-0000-0000-00009A040000}"/>
    <cellStyle name="Accent6 15" xfId="1640" xr:uid="{00000000-0005-0000-0000-00009B040000}"/>
    <cellStyle name="Accent6 15 2" xfId="1641" xr:uid="{00000000-0005-0000-0000-00009C040000}"/>
    <cellStyle name="Accent6 15 3" xfId="1642" xr:uid="{00000000-0005-0000-0000-00009D040000}"/>
    <cellStyle name="Accent6 15 4" xfId="1643" xr:uid="{00000000-0005-0000-0000-00009E040000}"/>
    <cellStyle name="Accent6 15 5" xfId="1644" xr:uid="{00000000-0005-0000-0000-00009F040000}"/>
    <cellStyle name="Accent6 15 6" xfId="1645" xr:uid="{00000000-0005-0000-0000-0000A0040000}"/>
    <cellStyle name="Accent6 15 7" xfId="1646" xr:uid="{00000000-0005-0000-0000-0000A1040000}"/>
    <cellStyle name="Accent6 16" xfId="1647" xr:uid="{00000000-0005-0000-0000-0000A2040000}"/>
    <cellStyle name="Accent6 17" xfId="1648" xr:uid="{00000000-0005-0000-0000-0000A3040000}"/>
    <cellStyle name="Accent6 18" xfId="1649" xr:uid="{00000000-0005-0000-0000-0000A4040000}"/>
    <cellStyle name="Accent6 19" xfId="1650" xr:uid="{00000000-0005-0000-0000-0000A5040000}"/>
    <cellStyle name="Accent6 2" xfId="426" xr:uid="{00000000-0005-0000-0000-0000A6040000}"/>
    <cellStyle name="Accent6 2 2" xfId="504" xr:uid="{00000000-0005-0000-0000-0000A7040000}"/>
    <cellStyle name="Accent6 2 2 2" xfId="1651" xr:uid="{00000000-0005-0000-0000-0000A8040000}"/>
    <cellStyle name="Accent6 2 3" xfId="1652" xr:uid="{00000000-0005-0000-0000-0000A9040000}"/>
    <cellStyle name="Accent6 20" xfId="1653" xr:uid="{00000000-0005-0000-0000-0000AA040000}"/>
    <cellStyle name="Accent6 21" xfId="1654" xr:uid="{00000000-0005-0000-0000-0000AB040000}"/>
    <cellStyle name="Accent6 22" xfId="1655" xr:uid="{00000000-0005-0000-0000-0000AC040000}"/>
    <cellStyle name="Accent6 3" xfId="640" xr:uid="{00000000-0005-0000-0000-0000AD040000}"/>
    <cellStyle name="Accent6 3 2" xfId="1656" xr:uid="{00000000-0005-0000-0000-0000AE040000}"/>
    <cellStyle name="Accent6 3 3" xfId="1657" xr:uid="{00000000-0005-0000-0000-0000AF040000}"/>
    <cellStyle name="Accent6 4 2" xfId="1658" xr:uid="{00000000-0005-0000-0000-0000B0040000}"/>
    <cellStyle name="Accent6 4 3" xfId="1659" xr:uid="{00000000-0005-0000-0000-0000B1040000}"/>
    <cellStyle name="Accent6 5 2" xfId="1660" xr:uid="{00000000-0005-0000-0000-0000B2040000}"/>
    <cellStyle name="Accent6 5 3" xfId="1661" xr:uid="{00000000-0005-0000-0000-0000B3040000}"/>
    <cellStyle name="Accent6 6 2" xfId="1662" xr:uid="{00000000-0005-0000-0000-0000B4040000}"/>
    <cellStyle name="Accent6 6 3" xfId="1663" xr:uid="{00000000-0005-0000-0000-0000B5040000}"/>
    <cellStyle name="Accent6 7 2" xfId="1664" xr:uid="{00000000-0005-0000-0000-0000B6040000}"/>
    <cellStyle name="Accent6 7 3" xfId="1665" xr:uid="{00000000-0005-0000-0000-0000B7040000}"/>
    <cellStyle name="Accent6 8 2" xfId="1666" xr:uid="{00000000-0005-0000-0000-0000B8040000}"/>
    <cellStyle name="Accent6 8 3" xfId="1667" xr:uid="{00000000-0005-0000-0000-0000B9040000}"/>
    <cellStyle name="Accent6 9 2" xfId="1668" xr:uid="{00000000-0005-0000-0000-0000BA040000}"/>
    <cellStyle name="Accent6 9 3" xfId="1669" xr:uid="{00000000-0005-0000-0000-0000BB040000}"/>
    <cellStyle name="Bad" xfId="143" builtinId="27" customBuiltin="1"/>
    <cellStyle name="Bad 10 2" xfId="1670" xr:uid="{00000000-0005-0000-0000-0000BD040000}"/>
    <cellStyle name="Bad 10 3" xfId="1671" xr:uid="{00000000-0005-0000-0000-0000BE040000}"/>
    <cellStyle name="Bad 11 2" xfId="1672" xr:uid="{00000000-0005-0000-0000-0000BF040000}"/>
    <cellStyle name="Bad 11 3" xfId="1673" xr:uid="{00000000-0005-0000-0000-0000C0040000}"/>
    <cellStyle name="Bad 12 2" xfId="1674" xr:uid="{00000000-0005-0000-0000-0000C1040000}"/>
    <cellStyle name="Bad 12 3" xfId="1675" xr:uid="{00000000-0005-0000-0000-0000C2040000}"/>
    <cellStyle name="Bad 13 2" xfId="1676" xr:uid="{00000000-0005-0000-0000-0000C3040000}"/>
    <cellStyle name="Bad 13 3" xfId="1677" xr:uid="{00000000-0005-0000-0000-0000C4040000}"/>
    <cellStyle name="Bad 14 2" xfId="1678" xr:uid="{00000000-0005-0000-0000-0000C5040000}"/>
    <cellStyle name="Bad 14 3" xfId="1679" xr:uid="{00000000-0005-0000-0000-0000C6040000}"/>
    <cellStyle name="Bad 15" xfId="1680" xr:uid="{00000000-0005-0000-0000-0000C7040000}"/>
    <cellStyle name="Bad 15 2" xfId="1681" xr:uid="{00000000-0005-0000-0000-0000C8040000}"/>
    <cellStyle name="Bad 15 3" xfId="1682" xr:uid="{00000000-0005-0000-0000-0000C9040000}"/>
    <cellStyle name="Bad 15 4" xfId="1683" xr:uid="{00000000-0005-0000-0000-0000CA040000}"/>
    <cellStyle name="Bad 15 5" xfId="1684" xr:uid="{00000000-0005-0000-0000-0000CB040000}"/>
    <cellStyle name="Bad 15 6" xfId="1685" xr:uid="{00000000-0005-0000-0000-0000CC040000}"/>
    <cellStyle name="Bad 15 7" xfId="1686" xr:uid="{00000000-0005-0000-0000-0000CD040000}"/>
    <cellStyle name="Bad 16" xfId="1687" xr:uid="{00000000-0005-0000-0000-0000CE040000}"/>
    <cellStyle name="Bad 17" xfId="1688" xr:uid="{00000000-0005-0000-0000-0000CF040000}"/>
    <cellStyle name="Bad 18" xfId="1689" xr:uid="{00000000-0005-0000-0000-0000D0040000}"/>
    <cellStyle name="Bad 19" xfId="1690" xr:uid="{00000000-0005-0000-0000-0000D1040000}"/>
    <cellStyle name="Bad 2" xfId="395" xr:uid="{00000000-0005-0000-0000-0000D2040000}"/>
    <cellStyle name="Bad 2 2" xfId="582" xr:uid="{00000000-0005-0000-0000-0000D3040000}"/>
    <cellStyle name="Bad 2 2 2" xfId="1691" xr:uid="{00000000-0005-0000-0000-0000D4040000}"/>
    <cellStyle name="Bad 2 3" xfId="1692" xr:uid="{00000000-0005-0000-0000-0000D5040000}"/>
    <cellStyle name="Bad 20" xfId="1693" xr:uid="{00000000-0005-0000-0000-0000D6040000}"/>
    <cellStyle name="Bad 21" xfId="1694" xr:uid="{00000000-0005-0000-0000-0000D7040000}"/>
    <cellStyle name="Bad 22" xfId="1695" xr:uid="{00000000-0005-0000-0000-0000D8040000}"/>
    <cellStyle name="Bad 3" xfId="641" xr:uid="{00000000-0005-0000-0000-0000D9040000}"/>
    <cellStyle name="Bad 3 2" xfId="1696" xr:uid="{00000000-0005-0000-0000-0000DA040000}"/>
    <cellStyle name="Bad 3 3" xfId="1697" xr:uid="{00000000-0005-0000-0000-0000DB040000}"/>
    <cellStyle name="Bad 4 2" xfId="1698" xr:uid="{00000000-0005-0000-0000-0000DC040000}"/>
    <cellStyle name="Bad 4 3" xfId="1699" xr:uid="{00000000-0005-0000-0000-0000DD040000}"/>
    <cellStyle name="Bad 5 2" xfId="1700" xr:uid="{00000000-0005-0000-0000-0000DE040000}"/>
    <cellStyle name="Bad 5 3" xfId="1701" xr:uid="{00000000-0005-0000-0000-0000DF040000}"/>
    <cellStyle name="Bad 6 2" xfId="1702" xr:uid="{00000000-0005-0000-0000-0000E0040000}"/>
    <cellStyle name="Bad 6 3" xfId="1703" xr:uid="{00000000-0005-0000-0000-0000E1040000}"/>
    <cellStyle name="Bad 7 2" xfId="1704" xr:uid="{00000000-0005-0000-0000-0000E2040000}"/>
    <cellStyle name="Bad 7 3" xfId="1705" xr:uid="{00000000-0005-0000-0000-0000E3040000}"/>
    <cellStyle name="Bad 8 2" xfId="1706" xr:uid="{00000000-0005-0000-0000-0000E4040000}"/>
    <cellStyle name="Bad 8 3" xfId="1707" xr:uid="{00000000-0005-0000-0000-0000E5040000}"/>
    <cellStyle name="Bad 9 2" xfId="1708" xr:uid="{00000000-0005-0000-0000-0000E6040000}"/>
    <cellStyle name="Bad 9 3" xfId="1709" xr:uid="{00000000-0005-0000-0000-0000E7040000}"/>
    <cellStyle name="Calculation" xfId="2" builtinId="22" customBuiltin="1"/>
    <cellStyle name="Calculation 10 2" xfId="1710" xr:uid="{00000000-0005-0000-0000-0000E9040000}"/>
    <cellStyle name="Calculation 10 3" xfId="1711" xr:uid="{00000000-0005-0000-0000-0000EA040000}"/>
    <cellStyle name="Calculation 11 2" xfId="1712" xr:uid="{00000000-0005-0000-0000-0000EB040000}"/>
    <cellStyle name="Calculation 11 3" xfId="1713" xr:uid="{00000000-0005-0000-0000-0000EC040000}"/>
    <cellStyle name="Calculation 12 2" xfId="1714" xr:uid="{00000000-0005-0000-0000-0000ED040000}"/>
    <cellStyle name="Calculation 12 3" xfId="1715" xr:uid="{00000000-0005-0000-0000-0000EE040000}"/>
    <cellStyle name="Calculation 13 2" xfId="1716" xr:uid="{00000000-0005-0000-0000-0000EF040000}"/>
    <cellStyle name="Calculation 13 3" xfId="1717" xr:uid="{00000000-0005-0000-0000-0000F0040000}"/>
    <cellStyle name="Calculation 14 2" xfId="1718" xr:uid="{00000000-0005-0000-0000-0000F1040000}"/>
    <cellStyle name="Calculation 14 3" xfId="1719" xr:uid="{00000000-0005-0000-0000-0000F2040000}"/>
    <cellStyle name="Calculation 15" xfId="1720" xr:uid="{00000000-0005-0000-0000-0000F3040000}"/>
    <cellStyle name="Calculation 15 2" xfId="1721" xr:uid="{00000000-0005-0000-0000-0000F4040000}"/>
    <cellStyle name="Calculation 15 3" xfId="1722" xr:uid="{00000000-0005-0000-0000-0000F5040000}"/>
    <cellStyle name="Calculation 15 4" xfId="1723" xr:uid="{00000000-0005-0000-0000-0000F6040000}"/>
    <cellStyle name="Calculation 15 5" xfId="1724" xr:uid="{00000000-0005-0000-0000-0000F7040000}"/>
    <cellStyle name="Calculation 15 6" xfId="1725" xr:uid="{00000000-0005-0000-0000-0000F8040000}"/>
    <cellStyle name="Calculation 15 7" xfId="1726" xr:uid="{00000000-0005-0000-0000-0000F9040000}"/>
    <cellStyle name="Calculation 16" xfId="1727" xr:uid="{00000000-0005-0000-0000-0000FA040000}"/>
    <cellStyle name="Calculation 17" xfId="1728" xr:uid="{00000000-0005-0000-0000-0000FB040000}"/>
    <cellStyle name="Calculation 18" xfId="1729" xr:uid="{00000000-0005-0000-0000-0000FC040000}"/>
    <cellStyle name="Calculation 19" xfId="1730" xr:uid="{00000000-0005-0000-0000-0000FD040000}"/>
    <cellStyle name="Calculation 2" xfId="399" xr:uid="{00000000-0005-0000-0000-0000FE040000}"/>
    <cellStyle name="Calculation 2 2" xfId="599" xr:uid="{00000000-0005-0000-0000-0000FF040000}"/>
    <cellStyle name="Calculation 2 2 2" xfId="1731" xr:uid="{00000000-0005-0000-0000-000000050000}"/>
    <cellStyle name="Calculation 2 3" xfId="1732" xr:uid="{00000000-0005-0000-0000-000001050000}"/>
    <cellStyle name="Calculation 20" xfId="1733" xr:uid="{00000000-0005-0000-0000-000002050000}"/>
    <cellStyle name="Calculation 21" xfId="1734" xr:uid="{00000000-0005-0000-0000-000003050000}"/>
    <cellStyle name="Calculation 22" xfId="1735" xr:uid="{00000000-0005-0000-0000-000004050000}"/>
    <cellStyle name="Calculation 3" xfId="642" xr:uid="{00000000-0005-0000-0000-000005050000}"/>
    <cellStyle name="Calculation 3 2" xfId="1736" xr:uid="{00000000-0005-0000-0000-000006050000}"/>
    <cellStyle name="Calculation 3 3" xfId="1737" xr:uid="{00000000-0005-0000-0000-000007050000}"/>
    <cellStyle name="Calculation 4 2" xfId="1738" xr:uid="{00000000-0005-0000-0000-000008050000}"/>
    <cellStyle name="Calculation 4 3" xfId="1739" xr:uid="{00000000-0005-0000-0000-000009050000}"/>
    <cellStyle name="Calculation 5 2" xfId="1740" xr:uid="{00000000-0005-0000-0000-00000A050000}"/>
    <cellStyle name="Calculation 5 3" xfId="1741" xr:uid="{00000000-0005-0000-0000-00000B050000}"/>
    <cellStyle name="Calculation 6 2" xfId="1742" xr:uid="{00000000-0005-0000-0000-00000C050000}"/>
    <cellStyle name="Calculation 6 3" xfId="1743" xr:uid="{00000000-0005-0000-0000-00000D050000}"/>
    <cellStyle name="Calculation 7 2" xfId="1744" xr:uid="{00000000-0005-0000-0000-00000E050000}"/>
    <cellStyle name="Calculation 7 3" xfId="1745" xr:uid="{00000000-0005-0000-0000-00000F050000}"/>
    <cellStyle name="Calculation 8 2" xfId="1746" xr:uid="{00000000-0005-0000-0000-000010050000}"/>
    <cellStyle name="Calculation 8 3" xfId="1747" xr:uid="{00000000-0005-0000-0000-000011050000}"/>
    <cellStyle name="Calculation 9 2" xfId="1748" xr:uid="{00000000-0005-0000-0000-000012050000}"/>
    <cellStyle name="Calculation 9 3" xfId="1749" xr:uid="{00000000-0005-0000-0000-000013050000}"/>
    <cellStyle name="Check Cell" xfId="147" builtinId="23" customBuiltin="1"/>
    <cellStyle name="Check Cell 10 2" xfId="1750" xr:uid="{00000000-0005-0000-0000-000015050000}"/>
    <cellStyle name="Check Cell 10 3" xfId="1751" xr:uid="{00000000-0005-0000-0000-000016050000}"/>
    <cellStyle name="Check Cell 11 2" xfId="1752" xr:uid="{00000000-0005-0000-0000-000017050000}"/>
    <cellStyle name="Check Cell 11 3" xfId="1753" xr:uid="{00000000-0005-0000-0000-000018050000}"/>
    <cellStyle name="Check Cell 12 2" xfId="1754" xr:uid="{00000000-0005-0000-0000-000019050000}"/>
    <cellStyle name="Check Cell 12 3" xfId="1755" xr:uid="{00000000-0005-0000-0000-00001A050000}"/>
    <cellStyle name="Check Cell 13 2" xfId="1756" xr:uid="{00000000-0005-0000-0000-00001B050000}"/>
    <cellStyle name="Check Cell 13 3" xfId="1757" xr:uid="{00000000-0005-0000-0000-00001C050000}"/>
    <cellStyle name="Check Cell 14 2" xfId="1758" xr:uid="{00000000-0005-0000-0000-00001D050000}"/>
    <cellStyle name="Check Cell 14 3" xfId="1759" xr:uid="{00000000-0005-0000-0000-00001E050000}"/>
    <cellStyle name="Check Cell 15" xfId="1760" xr:uid="{00000000-0005-0000-0000-00001F050000}"/>
    <cellStyle name="Check Cell 15 2" xfId="1761" xr:uid="{00000000-0005-0000-0000-000020050000}"/>
    <cellStyle name="Check Cell 15 3" xfId="1762" xr:uid="{00000000-0005-0000-0000-000021050000}"/>
    <cellStyle name="Check Cell 15 4" xfId="1763" xr:uid="{00000000-0005-0000-0000-000022050000}"/>
    <cellStyle name="Check Cell 15 5" xfId="1764" xr:uid="{00000000-0005-0000-0000-000023050000}"/>
    <cellStyle name="Check Cell 15 6" xfId="1765" xr:uid="{00000000-0005-0000-0000-000024050000}"/>
    <cellStyle name="Check Cell 15 7" xfId="1766" xr:uid="{00000000-0005-0000-0000-000025050000}"/>
    <cellStyle name="Check Cell 16" xfId="1767" xr:uid="{00000000-0005-0000-0000-000026050000}"/>
    <cellStyle name="Check Cell 17" xfId="1768" xr:uid="{00000000-0005-0000-0000-000027050000}"/>
    <cellStyle name="Check Cell 18" xfId="1769" xr:uid="{00000000-0005-0000-0000-000028050000}"/>
    <cellStyle name="Check Cell 19" xfId="1770" xr:uid="{00000000-0005-0000-0000-000029050000}"/>
    <cellStyle name="Check Cell 2" xfId="401" xr:uid="{00000000-0005-0000-0000-00002A050000}"/>
    <cellStyle name="Check Cell 2 2" xfId="584" xr:uid="{00000000-0005-0000-0000-00002B050000}"/>
    <cellStyle name="Check Cell 2 2 2" xfId="1771" xr:uid="{00000000-0005-0000-0000-00002C050000}"/>
    <cellStyle name="Check Cell 2 3" xfId="1772" xr:uid="{00000000-0005-0000-0000-00002D050000}"/>
    <cellStyle name="Check Cell 20" xfId="1773" xr:uid="{00000000-0005-0000-0000-00002E050000}"/>
    <cellStyle name="Check Cell 21" xfId="1774" xr:uid="{00000000-0005-0000-0000-00002F050000}"/>
    <cellStyle name="Check Cell 22" xfId="1775" xr:uid="{00000000-0005-0000-0000-000030050000}"/>
    <cellStyle name="Check Cell 3" xfId="643" xr:uid="{00000000-0005-0000-0000-000031050000}"/>
    <cellStyle name="Check Cell 3 2" xfId="1776" xr:uid="{00000000-0005-0000-0000-000032050000}"/>
    <cellStyle name="Check Cell 3 3" xfId="1777" xr:uid="{00000000-0005-0000-0000-000033050000}"/>
    <cellStyle name="Check Cell 4 2" xfId="1778" xr:uid="{00000000-0005-0000-0000-000034050000}"/>
    <cellStyle name="Check Cell 4 3" xfId="1779" xr:uid="{00000000-0005-0000-0000-000035050000}"/>
    <cellStyle name="Check Cell 5 2" xfId="1780" xr:uid="{00000000-0005-0000-0000-000036050000}"/>
    <cellStyle name="Check Cell 5 3" xfId="1781" xr:uid="{00000000-0005-0000-0000-000037050000}"/>
    <cellStyle name="Check Cell 6 2" xfId="1782" xr:uid="{00000000-0005-0000-0000-000038050000}"/>
    <cellStyle name="Check Cell 6 3" xfId="1783" xr:uid="{00000000-0005-0000-0000-000039050000}"/>
    <cellStyle name="Check Cell 7 2" xfId="1784" xr:uid="{00000000-0005-0000-0000-00003A050000}"/>
    <cellStyle name="Check Cell 7 3" xfId="1785" xr:uid="{00000000-0005-0000-0000-00003B050000}"/>
    <cellStyle name="Check Cell 8 2" xfId="1786" xr:uid="{00000000-0005-0000-0000-00003C050000}"/>
    <cellStyle name="Check Cell 8 3" xfId="1787" xr:uid="{00000000-0005-0000-0000-00003D050000}"/>
    <cellStyle name="Check Cell 9 2" xfId="1788" xr:uid="{00000000-0005-0000-0000-00003E050000}"/>
    <cellStyle name="Check Cell 9 3" xfId="1789" xr:uid="{00000000-0005-0000-0000-00003F050000}"/>
    <cellStyle name="Comma" xfId="4" builtinId="3"/>
    <cellStyle name="Comma 10" xfId="436" xr:uid="{00000000-0005-0000-0000-000041050000}"/>
    <cellStyle name="Comma 10 10" xfId="1791" xr:uid="{00000000-0005-0000-0000-000042050000}"/>
    <cellStyle name="Comma 10 10 2" xfId="602" xr:uid="{00000000-0005-0000-0000-000043050000}"/>
    <cellStyle name="Comma 10 11" xfId="1792" xr:uid="{00000000-0005-0000-0000-000044050000}"/>
    <cellStyle name="Comma 10 12" xfId="1793" xr:uid="{00000000-0005-0000-0000-000045050000}"/>
    <cellStyle name="Comma 10 13" xfId="1794" xr:uid="{00000000-0005-0000-0000-000046050000}"/>
    <cellStyle name="Comma 10 14" xfId="1795" xr:uid="{00000000-0005-0000-0000-000047050000}"/>
    <cellStyle name="Comma 10 15" xfId="1796" xr:uid="{00000000-0005-0000-0000-000048050000}"/>
    <cellStyle name="Comma 10 16" xfId="1797" xr:uid="{00000000-0005-0000-0000-000049050000}"/>
    <cellStyle name="Comma 10 17" xfId="1798" xr:uid="{00000000-0005-0000-0000-00004A050000}"/>
    <cellStyle name="Comma 10 18" xfId="1790" xr:uid="{00000000-0005-0000-0000-00004B050000}"/>
    <cellStyle name="Comma 10 19" xfId="37631" xr:uid="{00000000-0005-0000-0000-00004C050000}"/>
    <cellStyle name="Comma 10 2" xfId="594" xr:uid="{00000000-0005-0000-0000-00004D050000}"/>
    <cellStyle name="Comma 10 2 2" xfId="1800" xr:uid="{00000000-0005-0000-0000-00004E050000}"/>
    <cellStyle name="Comma 10 2 3" xfId="1799" xr:uid="{00000000-0005-0000-0000-00004F050000}"/>
    <cellStyle name="Comma 10 3" xfId="1801" xr:uid="{00000000-0005-0000-0000-000050050000}"/>
    <cellStyle name="Comma 10 3 2" xfId="1802" xr:uid="{00000000-0005-0000-0000-000051050000}"/>
    <cellStyle name="Comma 10 4" xfId="1803" xr:uid="{00000000-0005-0000-0000-000052050000}"/>
    <cellStyle name="Comma 10 4 2" xfId="1804" xr:uid="{00000000-0005-0000-0000-000053050000}"/>
    <cellStyle name="Comma 10 5" xfId="1805" xr:uid="{00000000-0005-0000-0000-000054050000}"/>
    <cellStyle name="Comma 10 5 2" xfId="1806" xr:uid="{00000000-0005-0000-0000-000055050000}"/>
    <cellStyle name="Comma 10 6" xfId="1807" xr:uid="{00000000-0005-0000-0000-000056050000}"/>
    <cellStyle name="Comma 10 7" xfId="1808" xr:uid="{00000000-0005-0000-0000-000057050000}"/>
    <cellStyle name="Comma 10 8" xfId="1809" xr:uid="{00000000-0005-0000-0000-000058050000}"/>
    <cellStyle name="Comma 10 9" xfId="1810" xr:uid="{00000000-0005-0000-0000-000059050000}"/>
    <cellStyle name="Comma 11" xfId="440" xr:uid="{00000000-0005-0000-0000-00005A050000}"/>
    <cellStyle name="Comma 11 2" xfId="1812" xr:uid="{00000000-0005-0000-0000-00005B050000}"/>
    <cellStyle name="Comma 11 2 10" xfId="1813" xr:uid="{00000000-0005-0000-0000-00005C050000}"/>
    <cellStyle name="Comma 11 2 2" xfId="1814" xr:uid="{00000000-0005-0000-0000-00005D050000}"/>
    <cellStyle name="Comma 11 2 3" xfId="1815" xr:uid="{00000000-0005-0000-0000-00005E050000}"/>
    <cellStyle name="Comma 11 2 4" xfId="1816" xr:uid="{00000000-0005-0000-0000-00005F050000}"/>
    <cellStyle name="Comma 11 2 5" xfId="1817" xr:uid="{00000000-0005-0000-0000-000060050000}"/>
    <cellStyle name="Comma 11 2 6" xfId="1818" xr:uid="{00000000-0005-0000-0000-000061050000}"/>
    <cellStyle name="Comma 11 2 7" xfId="1819" xr:uid="{00000000-0005-0000-0000-000062050000}"/>
    <cellStyle name="Comma 11 2 8" xfId="1820" xr:uid="{00000000-0005-0000-0000-000063050000}"/>
    <cellStyle name="Comma 11 2 9" xfId="1821" xr:uid="{00000000-0005-0000-0000-000064050000}"/>
    <cellStyle name="Comma 11 3" xfId="1822" xr:uid="{00000000-0005-0000-0000-000065050000}"/>
    <cellStyle name="Comma 11 3 10" xfId="1823" xr:uid="{00000000-0005-0000-0000-000066050000}"/>
    <cellStyle name="Comma 11 3 2" xfId="1824" xr:uid="{00000000-0005-0000-0000-000067050000}"/>
    <cellStyle name="Comma 11 3 3" xfId="1825" xr:uid="{00000000-0005-0000-0000-000068050000}"/>
    <cellStyle name="Comma 11 3 4" xfId="1826" xr:uid="{00000000-0005-0000-0000-000069050000}"/>
    <cellStyle name="Comma 11 3 5" xfId="1827" xr:uid="{00000000-0005-0000-0000-00006A050000}"/>
    <cellStyle name="Comma 11 3 6" xfId="1828" xr:uid="{00000000-0005-0000-0000-00006B050000}"/>
    <cellStyle name="Comma 11 3 7" xfId="1829" xr:uid="{00000000-0005-0000-0000-00006C050000}"/>
    <cellStyle name="Comma 11 3 8" xfId="1830" xr:uid="{00000000-0005-0000-0000-00006D050000}"/>
    <cellStyle name="Comma 11 3 9" xfId="1831" xr:uid="{00000000-0005-0000-0000-00006E050000}"/>
    <cellStyle name="Comma 11 4" xfId="1832" xr:uid="{00000000-0005-0000-0000-00006F050000}"/>
    <cellStyle name="Comma 11 4 10" xfId="1833" xr:uid="{00000000-0005-0000-0000-000070050000}"/>
    <cellStyle name="Comma 11 4 2" xfId="1834" xr:uid="{00000000-0005-0000-0000-000071050000}"/>
    <cellStyle name="Comma 11 4 3" xfId="1835" xr:uid="{00000000-0005-0000-0000-000072050000}"/>
    <cellStyle name="Comma 11 4 4" xfId="1836" xr:uid="{00000000-0005-0000-0000-000073050000}"/>
    <cellStyle name="Comma 11 4 5" xfId="1837" xr:uid="{00000000-0005-0000-0000-000074050000}"/>
    <cellStyle name="Comma 11 4 6" xfId="1838" xr:uid="{00000000-0005-0000-0000-000075050000}"/>
    <cellStyle name="Comma 11 4 7" xfId="1839" xr:uid="{00000000-0005-0000-0000-000076050000}"/>
    <cellStyle name="Comma 11 4 8" xfId="1840" xr:uid="{00000000-0005-0000-0000-000077050000}"/>
    <cellStyle name="Comma 11 4 9" xfId="1841" xr:uid="{00000000-0005-0000-0000-000078050000}"/>
    <cellStyle name="Comma 11 5" xfId="1842" xr:uid="{00000000-0005-0000-0000-000079050000}"/>
    <cellStyle name="Comma 11 5 10" xfId="1843" xr:uid="{00000000-0005-0000-0000-00007A050000}"/>
    <cellStyle name="Comma 11 5 2" xfId="1844" xr:uid="{00000000-0005-0000-0000-00007B050000}"/>
    <cellStyle name="Comma 11 5 3" xfId="1845" xr:uid="{00000000-0005-0000-0000-00007C050000}"/>
    <cellStyle name="Comma 11 5 4" xfId="1846" xr:uid="{00000000-0005-0000-0000-00007D050000}"/>
    <cellStyle name="Comma 11 5 5" xfId="1847" xr:uid="{00000000-0005-0000-0000-00007E050000}"/>
    <cellStyle name="Comma 11 5 6" xfId="1848" xr:uid="{00000000-0005-0000-0000-00007F050000}"/>
    <cellStyle name="Comma 11 5 7" xfId="1849" xr:uid="{00000000-0005-0000-0000-000080050000}"/>
    <cellStyle name="Comma 11 5 8" xfId="1850" xr:uid="{00000000-0005-0000-0000-000081050000}"/>
    <cellStyle name="Comma 11 5 9" xfId="1851" xr:uid="{00000000-0005-0000-0000-000082050000}"/>
    <cellStyle name="Comma 11 6" xfId="1852" xr:uid="{00000000-0005-0000-0000-000083050000}"/>
    <cellStyle name="Comma 11 6 10" xfId="1853" xr:uid="{00000000-0005-0000-0000-000084050000}"/>
    <cellStyle name="Comma 11 6 2" xfId="1854" xr:uid="{00000000-0005-0000-0000-000085050000}"/>
    <cellStyle name="Comma 11 6 3" xfId="1855" xr:uid="{00000000-0005-0000-0000-000086050000}"/>
    <cellStyle name="Comma 11 6 4" xfId="1856" xr:uid="{00000000-0005-0000-0000-000087050000}"/>
    <cellStyle name="Comma 11 6 5" xfId="1857" xr:uid="{00000000-0005-0000-0000-000088050000}"/>
    <cellStyle name="Comma 11 6 6" xfId="1858" xr:uid="{00000000-0005-0000-0000-000089050000}"/>
    <cellStyle name="Comma 11 6 7" xfId="1859" xr:uid="{00000000-0005-0000-0000-00008A050000}"/>
    <cellStyle name="Comma 11 6 8" xfId="1860" xr:uid="{00000000-0005-0000-0000-00008B050000}"/>
    <cellStyle name="Comma 11 6 9" xfId="1861" xr:uid="{00000000-0005-0000-0000-00008C050000}"/>
    <cellStyle name="Comma 11 7" xfId="1862" xr:uid="{00000000-0005-0000-0000-00008D050000}"/>
    <cellStyle name="Comma 11 7 10" xfId="1863" xr:uid="{00000000-0005-0000-0000-00008E050000}"/>
    <cellStyle name="Comma 11 7 2" xfId="1864" xr:uid="{00000000-0005-0000-0000-00008F050000}"/>
    <cellStyle name="Comma 11 7 3" xfId="1865" xr:uid="{00000000-0005-0000-0000-000090050000}"/>
    <cellStyle name="Comma 11 7 4" xfId="1866" xr:uid="{00000000-0005-0000-0000-000091050000}"/>
    <cellStyle name="Comma 11 7 5" xfId="1867" xr:uid="{00000000-0005-0000-0000-000092050000}"/>
    <cellStyle name="Comma 11 7 6" xfId="1868" xr:uid="{00000000-0005-0000-0000-000093050000}"/>
    <cellStyle name="Comma 11 7 7" xfId="1869" xr:uid="{00000000-0005-0000-0000-000094050000}"/>
    <cellStyle name="Comma 11 7 8" xfId="1870" xr:uid="{00000000-0005-0000-0000-000095050000}"/>
    <cellStyle name="Comma 11 7 9" xfId="1871" xr:uid="{00000000-0005-0000-0000-000096050000}"/>
    <cellStyle name="Comma 11 8" xfId="1872" xr:uid="{00000000-0005-0000-0000-000097050000}"/>
    <cellStyle name="Comma 11 9" xfId="1811" xr:uid="{00000000-0005-0000-0000-000098050000}"/>
    <cellStyle name="Comma 12" xfId="644" xr:uid="{00000000-0005-0000-0000-000099050000}"/>
    <cellStyle name="Comma 12 2" xfId="1874" xr:uid="{00000000-0005-0000-0000-00009A050000}"/>
    <cellStyle name="Comma 12 3" xfId="1873" xr:uid="{00000000-0005-0000-0000-00009B050000}"/>
    <cellStyle name="Comma 13" xfId="663" xr:uid="{00000000-0005-0000-0000-00009C050000}"/>
    <cellStyle name="Comma 13 2" xfId="1876" xr:uid="{00000000-0005-0000-0000-00009D050000}"/>
    <cellStyle name="Comma 13 3" xfId="1875" xr:uid="{00000000-0005-0000-0000-00009E050000}"/>
    <cellStyle name="Comma 14" xfId="669" xr:uid="{00000000-0005-0000-0000-00009F050000}"/>
    <cellStyle name="Comma 14 2" xfId="1878" xr:uid="{00000000-0005-0000-0000-0000A0050000}"/>
    <cellStyle name="Comma 14 3" xfId="1877" xr:uid="{00000000-0005-0000-0000-0000A1050000}"/>
    <cellStyle name="Comma 15" xfId="1879" xr:uid="{00000000-0005-0000-0000-0000A2050000}"/>
    <cellStyle name="Comma 15 2" xfId="1880" xr:uid="{00000000-0005-0000-0000-0000A3050000}"/>
    <cellStyle name="Comma 16" xfId="1881" xr:uid="{00000000-0005-0000-0000-0000A4050000}"/>
    <cellStyle name="Comma 16 2" xfId="1882" xr:uid="{00000000-0005-0000-0000-0000A5050000}"/>
    <cellStyle name="Comma 17" xfId="1883" xr:uid="{00000000-0005-0000-0000-0000A6050000}"/>
    <cellStyle name="Comma 17 2" xfId="1884" xr:uid="{00000000-0005-0000-0000-0000A7050000}"/>
    <cellStyle name="Comma 18" xfId="1885" xr:uid="{00000000-0005-0000-0000-0000A8050000}"/>
    <cellStyle name="Comma 18 2" xfId="1886" xr:uid="{00000000-0005-0000-0000-0000A9050000}"/>
    <cellStyle name="Comma 19" xfId="1887" xr:uid="{00000000-0005-0000-0000-0000AA050000}"/>
    <cellStyle name="Comma 19 2" xfId="1888" xr:uid="{00000000-0005-0000-0000-0000AB050000}"/>
    <cellStyle name="Comma 2" xfId="8" xr:uid="{00000000-0005-0000-0000-0000AC050000}"/>
    <cellStyle name="Comma 2 10" xfId="1890" xr:uid="{00000000-0005-0000-0000-0000AD050000}"/>
    <cellStyle name="Comma 2 11" xfId="1891" xr:uid="{00000000-0005-0000-0000-0000AE050000}"/>
    <cellStyle name="Comma 2 12" xfId="1892" xr:uid="{00000000-0005-0000-0000-0000AF050000}"/>
    <cellStyle name="Comma 2 13" xfId="1893" xr:uid="{00000000-0005-0000-0000-0000B0050000}"/>
    <cellStyle name="Comma 2 14" xfId="1894" xr:uid="{00000000-0005-0000-0000-0000B1050000}"/>
    <cellStyle name="Comma 2 15" xfId="1895" xr:uid="{00000000-0005-0000-0000-0000B2050000}"/>
    <cellStyle name="Comma 2 16" xfId="1896" xr:uid="{00000000-0005-0000-0000-0000B3050000}"/>
    <cellStyle name="Comma 2 17" xfId="1897" xr:uid="{00000000-0005-0000-0000-0000B4050000}"/>
    <cellStyle name="Comma 2 18" xfId="1898" xr:uid="{00000000-0005-0000-0000-0000B5050000}"/>
    <cellStyle name="Comma 2 19" xfId="1899" xr:uid="{00000000-0005-0000-0000-0000B6050000}"/>
    <cellStyle name="Comma 2 2" xfId="286" xr:uid="{00000000-0005-0000-0000-0000B7050000}"/>
    <cellStyle name="Comma 2 2 10" xfId="1901" xr:uid="{00000000-0005-0000-0000-0000B8050000}"/>
    <cellStyle name="Comma 2 2 11" xfId="1902" xr:uid="{00000000-0005-0000-0000-0000B9050000}"/>
    <cellStyle name="Comma 2 2 12" xfId="1903" xr:uid="{00000000-0005-0000-0000-0000BA050000}"/>
    <cellStyle name="Comma 2 2 13" xfId="1904" xr:uid="{00000000-0005-0000-0000-0000BB050000}"/>
    <cellStyle name="Comma 2 2 14" xfId="1905" xr:uid="{00000000-0005-0000-0000-0000BC050000}"/>
    <cellStyle name="Comma 2 2 15" xfId="1906" xr:uid="{00000000-0005-0000-0000-0000BD050000}"/>
    <cellStyle name="Comma 2 2 16" xfId="1907" xr:uid="{00000000-0005-0000-0000-0000BE050000}"/>
    <cellStyle name="Comma 2 2 17" xfId="1908" xr:uid="{00000000-0005-0000-0000-0000BF050000}"/>
    <cellStyle name="Comma 2 2 18" xfId="1909" xr:uid="{00000000-0005-0000-0000-0000C0050000}"/>
    <cellStyle name="Comma 2 2 19" xfId="1910" xr:uid="{00000000-0005-0000-0000-0000C1050000}"/>
    <cellStyle name="Comma 2 2 2" xfId="178" xr:uid="{00000000-0005-0000-0000-0000C2050000}"/>
    <cellStyle name="Comma 2 2 2 2" xfId="1912" xr:uid="{00000000-0005-0000-0000-0000C3050000}"/>
    <cellStyle name="Comma 2 2 2 3" xfId="1913" xr:uid="{00000000-0005-0000-0000-0000C4050000}"/>
    <cellStyle name="Comma 2 2 2 4" xfId="1914" xr:uid="{00000000-0005-0000-0000-0000C5050000}"/>
    <cellStyle name="Comma 2 2 2 5" xfId="1911" xr:uid="{00000000-0005-0000-0000-0000C6050000}"/>
    <cellStyle name="Comma 2 2 2 6" xfId="605" xr:uid="{00000000-0005-0000-0000-0000C7050000}"/>
    <cellStyle name="Comma 2 2 20" xfId="1915" xr:uid="{00000000-0005-0000-0000-0000C8050000}"/>
    <cellStyle name="Comma 2 2 21" xfId="1916" xr:uid="{00000000-0005-0000-0000-0000C9050000}"/>
    <cellStyle name="Comma 2 2 22" xfId="1917" xr:uid="{00000000-0005-0000-0000-0000CA050000}"/>
    <cellStyle name="Comma 2 2 23" xfId="1918" xr:uid="{00000000-0005-0000-0000-0000CB050000}"/>
    <cellStyle name="Comma 2 2 24" xfId="1919" xr:uid="{00000000-0005-0000-0000-0000CC050000}"/>
    <cellStyle name="Comma 2 2 25" xfId="1920" xr:uid="{00000000-0005-0000-0000-0000CD050000}"/>
    <cellStyle name="Comma 2 2 26" xfId="1921" xr:uid="{00000000-0005-0000-0000-0000CE050000}"/>
    <cellStyle name="Comma 2 2 27" xfId="1922" xr:uid="{00000000-0005-0000-0000-0000CF050000}"/>
    <cellStyle name="Comma 2 2 28" xfId="1923" xr:uid="{00000000-0005-0000-0000-0000D0050000}"/>
    <cellStyle name="Comma 2 2 29" xfId="1924" xr:uid="{00000000-0005-0000-0000-0000D1050000}"/>
    <cellStyle name="Comma 2 2 3" xfId="1925" xr:uid="{00000000-0005-0000-0000-0000D2050000}"/>
    <cellStyle name="Comma 2 2 30" xfId="1926" xr:uid="{00000000-0005-0000-0000-0000D3050000}"/>
    <cellStyle name="Comma 2 2 31" xfId="1927" xr:uid="{00000000-0005-0000-0000-0000D4050000}"/>
    <cellStyle name="Comma 2 2 32" xfId="1900" xr:uid="{00000000-0005-0000-0000-0000D5050000}"/>
    <cellStyle name="Comma 2 2 4" xfId="1928" xr:uid="{00000000-0005-0000-0000-0000D6050000}"/>
    <cellStyle name="Comma 2 2 5" xfId="1929" xr:uid="{00000000-0005-0000-0000-0000D7050000}"/>
    <cellStyle name="Comma 2 2 6" xfId="1930" xr:uid="{00000000-0005-0000-0000-0000D8050000}"/>
    <cellStyle name="Comma 2 2 7" xfId="1931" xr:uid="{00000000-0005-0000-0000-0000D9050000}"/>
    <cellStyle name="Comma 2 2 8" xfId="1932" xr:uid="{00000000-0005-0000-0000-0000DA050000}"/>
    <cellStyle name="Comma 2 2 9" xfId="1933" xr:uid="{00000000-0005-0000-0000-0000DB050000}"/>
    <cellStyle name="Comma 2 20" xfId="1934" xr:uid="{00000000-0005-0000-0000-0000DC050000}"/>
    <cellStyle name="Comma 2 21" xfId="1935" xr:uid="{00000000-0005-0000-0000-0000DD050000}"/>
    <cellStyle name="Comma 2 22" xfId="1936" xr:uid="{00000000-0005-0000-0000-0000DE050000}"/>
    <cellStyle name="Comma 2 23" xfId="1937" xr:uid="{00000000-0005-0000-0000-0000DF050000}"/>
    <cellStyle name="Comma 2 24" xfId="1938" xr:uid="{00000000-0005-0000-0000-0000E0050000}"/>
    <cellStyle name="Comma 2 25" xfId="1939" xr:uid="{00000000-0005-0000-0000-0000E1050000}"/>
    <cellStyle name="Comma 2 26" xfId="1940" xr:uid="{00000000-0005-0000-0000-0000E2050000}"/>
    <cellStyle name="Comma 2 27" xfId="1941" xr:uid="{00000000-0005-0000-0000-0000E3050000}"/>
    <cellStyle name="Comma 2 28" xfId="1942" xr:uid="{00000000-0005-0000-0000-0000E4050000}"/>
    <cellStyle name="Comma 2 29" xfId="1943" xr:uid="{00000000-0005-0000-0000-0000E5050000}"/>
    <cellStyle name="Comma 2 3" xfId="326" xr:uid="{00000000-0005-0000-0000-0000E6050000}"/>
    <cellStyle name="Comma 2 3 10" xfId="1944" xr:uid="{00000000-0005-0000-0000-0000E7050000}"/>
    <cellStyle name="Comma 2 3 11" xfId="1945" xr:uid="{00000000-0005-0000-0000-0000E8050000}"/>
    <cellStyle name="Comma 2 3 12" xfId="1946" xr:uid="{00000000-0005-0000-0000-0000E9050000}"/>
    <cellStyle name="Comma 2 3 13" xfId="380" xr:uid="{00000000-0005-0000-0000-0000EA050000}"/>
    <cellStyle name="Comma 2 3 2" xfId="572" xr:uid="{00000000-0005-0000-0000-0000EB050000}"/>
    <cellStyle name="Comma 2 3 2 2" xfId="1948" xr:uid="{00000000-0005-0000-0000-0000EC050000}"/>
    <cellStyle name="Comma 2 3 2 3" xfId="1949" xr:uid="{00000000-0005-0000-0000-0000ED050000}"/>
    <cellStyle name="Comma 2 3 2 4" xfId="1950" xr:uid="{00000000-0005-0000-0000-0000EE050000}"/>
    <cellStyle name="Comma 2 3 2 5" xfId="1947" xr:uid="{00000000-0005-0000-0000-0000EF050000}"/>
    <cellStyle name="Comma 2 3 3" xfId="453" xr:uid="{00000000-0005-0000-0000-0000F0050000}"/>
    <cellStyle name="Comma 2 3 3 2" xfId="597" xr:uid="{00000000-0005-0000-0000-0000F1050000}"/>
    <cellStyle name="Comma 2 3 4" xfId="1951" xr:uid="{00000000-0005-0000-0000-0000F2050000}"/>
    <cellStyle name="Comma 2 3 5" xfId="1952" xr:uid="{00000000-0005-0000-0000-0000F3050000}"/>
    <cellStyle name="Comma 2 3 6" xfId="1953" xr:uid="{00000000-0005-0000-0000-0000F4050000}"/>
    <cellStyle name="Comma 2 3 7" xfId="1954" xr:uid="{00000000-0005-0000-0000-0000F5050000}"/>
    <cellStyle name="Comma 2 3 8" xfId="1955" xr:uid="{00000000-0005-0000-0000-0000F6050000}"/>
    <cellStyle name="Comma 2 3 9" xfId="1956" xr:uid="{00000000-0005-0000-0000-0000F7050000}"/>
    <cellStyle name="Comma 2 30" xfId="1957" xr:uid="{00000000-0005-0000-0000-0000F8050000}"/>
    <cellStyle name="Comma 2 31" xfId="1958" xr:uid="{00000000-0005-0000-0000-0000F9050000}"/>
    <cellStyle name="Comma 2 32" xfId="1959" xr:uid="{00000000-0005-0000-0000-0000FA050000}"/>
    <cellStyle name="Comma 2 33" xfId="1960" xr:uid="{00000000-0005-0000-0000-0000FB050000}"/>
    <cellStyle name="Comma 2 34" xfId="1961" xr:uid="{00000000-0005-0000-0000-0000FC050000}"/>
    <cellStyle name="Comma 2 35" xfId="1962" xr:uid="{00000000-0005-0000-0000-0000FD050000}"/>
    <cellStyle name="Comma 2 36" xfId="1963" xr:uid="{00000000-0005-0000-0000-0000FE050000}"/>
    <cellStyle name="Comma 2 37" xfId="1964" xr:uid="{00000000-0005-0000-0000-0000FF050000}"/>
    <cellStyle name="Comma 2 38" xfId="1965" xr:uid="{00000000-0005-0000-0000-000000060000}"/>
    <cellStyle name="Comma 2 39" xfId="1966" xr:uid="{00000000-0005-0000-0000-000001060000}"/>
    <cellStyle name="Comma 2 4" xfId="483" xr:uid="{00000000-0005-0000-0000-000002060000}"/>
    <cellStyle name="Comma 2 4 2" xfId="1967" xr:uid="{00000000-0005-0000-0000-000003060000}"/>
    <cellStyle name="Comma 2 40" xfId="1968" xr:uid="{00000000-0005-0000-0000-000004060000}"/>
    <cellStyle name="Comma 2 41" xfId="1969" xr:uid="{00000000-0005-0000-0000-000005060000}"/>
    <cellStyle name="Comma 2 42" xfId="1970" xr:uid="{00000000-0005-0000-0000-000006060000}"/>
    <cellStyle name="Comma 2 43" xfId="1971" xr:uid="{00000000-0005-0000-0000-000007060000}"/>
    <cellStyle name="Comma 2 43 2" xfId="21159" xr:uid="{00000000-0005-0000-0000-000008060000}"/>
    <cellStyle name="Comma 2 44" xfId="1972" xr:uid="{00000000-0005-0000-0000-000009060000}"/>
    <cellStyle name="Comma 2 44 2" xfId="21160" xr:uid="{00000000-0005-0000-0000-00000A060000}"/>
    <cellStyle name="Comma 2 45" xfId="1973" xr:uid="{00000000-0005-0000-0000-00000B060000}"/>
    <cellStyle name="Comma 2 45 2" xfId="21161" xr:uid="{00000000-0005-0000-0000-00000C060000}"/>
    <cellStyle name="Comma 2 46" xfId="1974" xr:uid="{00000000-0005-0000-0000-00000D060000}"/>
    <cellStyle name="Comma 2 46 2" xfId="21162" xr:uid="{00000000-0005-0000-0000-00000E060000}"/>
    <cellStyle name="Comma 2 47" xfId="1975" xr:uid="{00000000-0005-0000-0000-00000F060000}"/>
    <cellStyle name="Comma 2 47 2" xfId="21163" xr:uid="{00000000-0005-0000-0000-000010060000}"/>
    <cellStyle name="Comma 2 48" xfId="1976" xr:uid="{00000000-0005-0000-0000-000011060000}"/>
    <cellStyle name="Comma 2 48 2" xfId="21164" xr:uid="{00000000-0005-0000-0000-000012060000}"/>
    <cellStyle name="Comma 2 49" xfId="1977" xr:uid="{00000000-0005-0000-0000-000013060000}"/>
    <cellStyle name="Comma 2 49 2" xfId="21165" xr:uid="{00000000-0005-0000-0000-000014060000}"/>
    <cellStyle name="Comma 2 5" xfId="1978" xr:uid="{00000000-0005-0000-0000-000015060000}"/>
    <cellStyle name="Comma 2 50" xfId="1979" xr:uid="{00000000-0005-0000-0000-000016060000}"/>
    <cellStyle name="Comma 2 50 2" xfId="21166" xr:uid="{00000000-0005-0000-0000-000017060000}"/>
    <cellStyle name="Comma 2 51" xfId="1980" xr:uid="{00000000-0005-0000-0000-000018060000}"/>
    <cellStyle name="Comma 2 51 2" xfId="21167" xr:uid="{00000000-0005-0000-0000-000019060000}"/>
    <cellStyle name="Comma 2 52" xfId="1981" xr:uid="{00000000-0005-0000-0000-00001A060000}"/>
    <cellStyle name="Comma 2 52 2" xfId="21168" xr:uid="{00000000-0005-0000-0000-00001B060000}"/>
    <cellStyle name="Comma 2 53" xfId="1982" xr:uid="{00000000-0005-0000-0000-00001C060000}"/>
    <cellStyle name="Comma 2 53 2" xfId="21169" xr:uid="{00000000-0005-0000-0000-00001D060000}"/>
    <cellStyle name="Comma 2 54" xfId="1983" xr:uid="{00000000-0005-0000-0000-00001E060000}"/>
    <cellStyle name="Comma 2 54 2" xfId="21170" xr:uid="{00000000-0005-0000-0000-00001F060000}"/>
    <cellStyle name="Comma 2 55" xfId="1984" xr:uid="{00000000-0005-0000-0000-000020060000}"/>
    <cellStyle name="Comma 2 55 2" xfId="21171" xr:uid="{00000000-0005-0000-0000-000021060000}"/>
    <cellStyle name="Comma 2 56" xfId="1889" xr:uid="{00000000-0005-0000-0000-000022060000}"/>
    <cellStyle name="Comma 2 56 2" xfId="37632" xr:uid="{00000000-0005-0000-0000-000023060000}"/>
    <cellStyle name="Comma 2 57" xfId="21158" xr:uid="{00000000-0005-0000-0000-000024060000}"/>
    <cellStyle name="Comma 2 6" xfId="1985" xr:uid="{00000000-0005-0000-0000-000025060000}"/>
    <cellStyle name="Comma 2 7" xfId="1986" xr:uid="{00000000-0005-0000-0000-000026060000}"/>
    <cellStyle name="Comma 2 8" xfId="1987" xr:uid="{00000000-0005-0000-0000-000027060000}"/>
    <cellStyle name="Comma 2 9" xfId="1988" xr:uid="{00000000-0005-0000-0000-000028060000}"/>
    <cellStyle name="Comma 20" xfId="1989" xr:uid="{00000000-0005-0000-0000-000029060000}"/>
    <cellStyle name="Comma 20 2" xfId="1990" xr:uid="{00000000-0005-0000-0000-00002A060000}"/>
    <cellStyle name="Comma 21" xfId="1991" xr:uid="{00000000-0005-0000-0000-00002B060000}"/>
    <cellStyle name="Comma 21 2" xfId="1992" xr:uid="{00000000-0005-0000-0000-00002C060000}"/>
    <cellStyle name="Comma 22" xfId="1993" xr:uid="{00000000-0005-0000-0000-00002D060000}"/>
    <cellStyle name="Comma 22 2" xfId="1994" xr:uid="{00000000-0005-0000-0000-00002E060000}"/>
    <cellStyle name="Comma 23" xfId="1995" xr:uid="{00000000-0005-0000-0000-00002F060000}"/>
    <cellStyle name="Comma 24" xfId="1996" xr:uid="{00000000-0005-0000-0000-000030060000}"/>
    <cellStyle name="Comma 25" xfId="1997" xr:uid="{00000000-0005-0000-0000-000031060000}"/>
    <cellStyle name="Comma 26" xfId="1998" xr:uid="{00000000-0005-0000-0000-000032060000}"/>
    <cellStyle name="Comma 27" xfId="1999" xr:uid="{00000000-0005-0000-0000-000033060000}"/>
    <cellStyle name="Comma 28" xfId="2000" xr:uid="{00000000-0005-0000-0000-000034060000}"/>
    <cellStyle name="Comma 29" xfId="2001" xr:uid="{00000000-0005-0000-0000-000035060000}"/>
    <cellStyle name="Comma 3" xfId="9" xr:uid="{00000000-0005-0000-0000-000036060000}"/>
    <cellStyle name="Comma 3 10" xfId="2002" xr:uid="{00000000-0005-0000-0000-000037060000}"/>
    <cellStyle name="Comma 3 11" xfId="2003" xr:uid="{00000000-0005-0000-0000-000038060000}"/>
    <cellStyle name="Comma 3 12" xfId="2004" xr:uid="{00000000-0005-0000-0000-000039060000}"/>
    <cellStyle name="Comma 3 13" xfId="2005" xr:uid="{00000000-0005-0000-0000-00003A060000}"/>
    <cellStyle name="Comma 3 14" xfId="2006" xr:uid="{00000000-0005-0000-0000-00003B060000}"/>
    <cellStyle name="Comma 3 15" xfId="2007" xr:uid="{00000000-0005-0000-0000-00003C060000}"/>
    <cellStyle name="Comma 3 16" xfId="2008" xr:uid="{00000000-0005-0000-0000-00003D060000}"/>
    <cellStyle name="Comma 3 17" xfId="2009" xr:uid="{00000000-0005-0000-0000-00003E060000}"/>
    <cellStyle name="Comma 3 18" xfId="2010" xr:uid="{00000000-0005-0000-0000-00003F060000}"/>
    <cellStyle name="Comma 3 19" xfId="2011" xr:uid="{00000000-0005-0000-0000-000040060000}"/>
    <cellStyle name="Comma 3 2" xfId="175" xr:uid="{00000000-0005-0000-0000-000041060000}"/>
    <cellStyle name="Comma 3 20" xfId="2012" xr:uid="{00000000-0005-0000-0000-000042060000}"/>
    <cellStyle name="Comma 3 21" xfId="2013" xr:uid="{00000000-0005-0000-0000-000043060000}"/>
    <cellStyle name="Comma 3 22" xfId="2014" xr:uid="{00000000-0005-0000-0000-000044060000}"/>
    <cellStyle name="Comma 3 23" xfId="2015" xr:uid="{00000000-0005-0000-0000-000045060000}"/>
    <cellStyle name="Comma 3 24" xfId="2016" xr:uid="{00000000-0005-0000-0000-000046060000}"/>
    <cellStyle name="Comma 3 25" xfId="2017" xr:uid="{00000000-0005-0000-0000-000047060000}"/>
    <cellStyle name="Comma 3 26" xfId="2018" xr:uid="{00000000-0005-0000-0000-000048060000}"/>
    <cellStyle name="Comma 3 27" xfId="2019" xr:uid="{00000000-0005-0000-0000-000049060000}"/>
    <cellStyle name="Comma 3 28" xfId="2020" xr:uid="{00000000-0005-0000-0000-00004A060000}"/>
    <cellStyle name="Comma 3 29" xfId="2021" xr:uid="{00000000-0005-0000-0000-00004B060000}"/>
    <cellStyle name="Comma 3 3" xfId="323" xr:uid="{00000000-0005-0000-0000-00004C060000}"/>
    <cellStyle name="Comma 3 3 2" xfId="2022" xr:uid="{00000000-0005-0000-0000-00004D060000}"/>
    <cellStyle name="Comma 3 30" xfId="2023" xr:uid="{00000000-0005-0000-0000-00004E060000}"/>
    <cellStyle name="Comma 3 30 2" xfId="21173" xr:uid="{00000000-0005-0000-0000-00004F060000}"/>
    <cellStyle name="Comma 3 31" xfId="2024" xr:uid="{00000000-0005-0000-0000-000050060000}"/>
    <cellStyle name="Comma 3 31 2" xfId="21174" xr:uid="{00000000-0005-0000-0000-000051060000}"/>
    <cellStyle name="Comma 3 32" xfId="2025" xr:uid="{00000000-0005-0000-0000-000052060000}"/>
    <cellStyle name="Comma 3 32 2" xfId="21175" xr:uid="{00000000-0005-0000-0000-000053060000}"/>
    <cellStyle name="Comma 3 33" xfId="2026" xr:uid="{00000000-0005-0000-0000-000054060000}"/>
    <cellStyle name="Comma 3 33 2" xfId="21176" xr:uid="{00000000-0005-0000-0000-000055060000}"/>
    <cellStyle name="Comma 3 34" xfId="2027" xr:uid="{00000000-0005-0000-0000-000056060000}"/>
    <cellStyle name="Comma 3 34 2" xfId="21177" xr:uid="{00000000-0005-0000-0000-000057060000}"/>
    <cellStyle name="Comma 3 35" xfId="2028" xr:uid="{00000000-0005-0000-0000-000058060000}"/>
    <cellStyle name="Comma 3 35 2" xfId="21178" xr:uid="{00000000-0005-0000-0000-000059060000}"/>
    <cellStyle name="Comma 3 36" xfId="2029" xr:uid="{00000000-0005-0000-0000-00005A060000}"/>
    <cellStyle name="Comma 3 36 2" xfId="21179" xr:uid="{00000000-0005-0000-0000-00005B060000}"/>
    <cellStyle name="Comma 3 37" xfId="2030" xr:uid="{00000000-0005-0000-0000-00005C060000}"/>
    <cellStyle name="Comma 3 37 2" xfId="21180" xr:uid="{00000000-0005-0000-0000-00005D060000}"/>
    <cellStyle name="Comma 3 38" xfId="2031" xr:uid="{00000000-0005-0000-0000-00005E060000}"/>
    <cellStyle name="Comma 3 38 2" xfId="21181" xr:uid="{00000000-0005-0000-0000-00005F060000}"/>
    <cellStyle name="Comma 3 39" xfId="2032" xr:uid="{00000000-0005-0000-0000-000060060000}"/>
    <cellStyle name="Comma 3 39 2" xfId="21182" xr:uid="{00000000-0005-0000-0000-000061060000}"/>
    <cellStyle name="Comma 3 4" xfId="2033" xr:uid="{00000000-0005-0000-0000-000062060000}"/>
    <cellStyle name="Comma 3 40" xfId="2034" xr:uid="{00000000-0005-0000-0000-000063060000}"/>
    <cellStyle name="Comma 3 40 2" xfId="21183" xr:uid="{00000000-0005-0000-0000-000064060000}"/>
    <cellStyle name="Comma 3 41" xfId="2035" xr:uid="{00000000-0005-0000-0000-000065060000}"/>
    <cellStyle name="Comma 3 41 2" xfId="21184" xr:uid="{00000000-0005-0000-0000-000066060000}"/>
    <cellStyle name="Comma 3 42" xfId="2036" xr:uid="{00000000-0005-0000-0000-000067060000}"/>
    <cellStyle name="Comma 3 42 2" xfId="21185" xr:uid="{00000000-0005-0000-0000-000068060000}"/>
    <cellStyle name="Comma 3 43" xfId="37633" xr:uid="{00000000-0005-0000-0000-000069060000}"/>
    <cellStyle name="Comma 3 44" xfId="21172" xr:uid="{00000000-0005-0000-0000-00006A060000}"/>
    <cellStyle name="Comma 3 5" xfId="2037" xr:uid="{00000000-0005-0000-0000-00006B060000}"/>
    <cellStyle name="Comma 3 6" xfId="2038" xr:uid="{00000000-0005-0000-0000-00006C060000}"/>
    <cellStyle name="Comma 3 7" xfId="2039" xr:uid="{00000000-0005-0000-0000-00006D060000}"/>
    <cellStyle name="Comma 3 8" xfId="2040" xr:uid="{00000000-0005-0000-0000-00006E060000}"/>
    <cellStyle name="Comma 3 9" xfId="2041" xr:uid="{00000000-0005-0000-0000-00006F060000}"/>
    <cellStyle name="Comma 30" xfId="2042" xr:uid="{00000000-0005-0000-0000-000070060000}"/>
    <cellStyle name="Comma 31" xfId="2043" xr:uid="{00000000-0005-0000-0000-000071060000}"/>
    <cellStyle name="Comma 31 2" xfId="2044" xr:uid="{00000000-0005-0000-0000-000072060000}"/>
    <cellStyle name="Comma 31 3" xfId="2045" xr:uid="{00000000-0005-0000-0000-000073060000}"/>
    <cellStyle name="Comma 31 4" xfId="2046" xr:uid="{00000000-0005-0000-0000-000074060000}"/>
    <cellStyle name="Comma 31 5" xfId="2047" xr:uid="{00000000-0005-0000-0000-000075060000}"/>
    <cellStyle name="Comma 31 6" xfId="2048" xr:uid="{00000000-0005-0000-0000-000076060000}"/>
    <cellStyle name="Comma 31 7" xfId="2049" xr:uid="{00000000-0005-0000-0000-000077060000}"/>
    <cellStyle name="Comma 32" xfId="2050" xr:uid="{00000000-0005-0000-0000-000078060000}"/>
    <cellStyle name="Comma 33" xfId="2051" xr:uid="{00000000-0005-0000-0000-000079060000}"/>
    <cellStyle name="Comma 34" xfId="2052" xr:uid="{00000000-0005-0000-0000-00007A060000}"/>
    <cellStyle name="Comma 35" xfId="2053" xr:uid="{00000000-0005-0000-0000-00007B060000}"/>
    <cellStyle name="Comma 36" xfId="2054" xr:uid="{00000000-0005-0000-0000-00007C060000}"/>
    <cellStyle name="Comma 37" xfId="2055" xr:uid="{00000000-0005-0000-0000-00007D060000}"/>
    <cellStyle name="Comma 38" xfId="2056" xr:uid="{00000000-0005-0000-0000-00007E060000}"/>
    <cellStyle name="Comma 39" xfId="2057" xr:uid="{00000000-0005-0000-0000-00007F060000}"/>
    <cellStyle name="Comma 39 2" xfId="2058" xr:uid="{00000000-0005-0000-0000-000080060000}"/>
    <cellStyle name="Comma 4" xfId="10" xr:uid="{00000000-0005-0000-0000-000081060000}"/>
    <cellStyle name="Comma 4 2" xfId="322" xr:uid="{00000000-0005-0000-0000-000082060000}"/>
    <cellStyle name="Comma 4 2 2" xfId="2059" xr:uid="{00000000-0005-0000-0000-000083060000}"/>
    <cellStyle name="Comma 4 3" xfId="309" xr:uid="{00000000-0005-0000-0000-000084060000}"/>
    <cellStyle name="Comma 4 4" xfId="2060" xr:uid="{00000000-0005-0000-0000-000085060000}"/>
    <cellStyle name="Comma 4 5" xfId="2061" xr:uid="{00000000-0005-0000-0000-000086060000}"/>
    <cellStyle name="Comma 4 6" xfId="21147" xr:uid="{00000000-0005-0000-0000-000087060000}"/>
    <cellStyle name="Comma 4 7" xfId="37601" xr:uid="{00000000-0005-0000-0000-000088060000}"/>
    <cellStyle name="Comma 40" xfId="2062" xr:uid="{00000000-0005-0000-0000-000089060000}"/>
    <cellStyle name="Comma 40 2" xfId="2063" xr:uid="{00000000-0005-0000-0000-00008A060000}"/>
    <cellStyle name="Comma 41" xfId="2064" xr:uid="{00000000-0005-0000-0000-00008B060000}"/>
    <cellStyle name="Comma 41 2" xfId="2065" xr:uid="{00000000-0005-0000-0000-00008C060000}"/>
    <cellStyle name="Comma 42" xfId="2066" xr:uid="{00000000-0005-0000-0000-00008D060000}"/>
    <cellStyle name="Comma 42 2" xfId="2067" xr:uid="{00000000-0005-0000-0000-00008E060000}"/>
    <cellStyle name="Comma 43" xfId="2068" xr:uid="{00000000-0005-0000-0000-00008F060000}"/>
    <cellStyle name="Comma 43 10" xfId="2069" xr:uid="{00000000-0005-0000-0000-000090060000}"/>
    <cellStyle name="Comma 43 2" xfId="2070" xr:uid="{00000000-0005-0000-0000-000091060000}"/>
    <cellStyle name="Comma 43 3" xfId="2071" xr:uid="{00000000-0005-0000-0000-000092060000}"/>
    <cellStyle name="Comma 43 4" xfId="2072" xr:uid="{00000000-0005-0000-0000-000093060000}"/>
    <cellStyle name="Comma 43 5" xfId="2073" xr:uid="{00000000-0005-0000-0000-000094060000}"/>
    <cellStyle name="Comma 43 6" xfId="2074" xr:uid="{00000000-0005-0000-0000-000095060000}"/>
    <cellStyle name="Comma 43 7" xfId="2075" xr:uid="{00000000-0005-0000-0000-000096060000}"/>
    <cellStyle name="Comma 43 8" xfId="2076" xr:uid="{00000000-0005-0000-0000-000097060000}"/>
    <cellStyle name="Comma 43 9" xfId="2077" xr:uid="{00000000-0005-0000-0000-000098060000}"/>
    <cellStyle name="Comma 44" xfId="2078" xr:uid="{00000000-0005-0000-0000-000099060000}"/>
    <cellStyle name="Comma 44 10" xfId="2079" xr:uid="{00000000-0005-0000-0000-00009A060000}"/>
    <cellStyle name="Comma 44 2" xfId="2080" xr:uid="{00000000-0005-0000-0000-00009B060000}"/>
    <cellStyle name="Comma 44 3" xfId="2081" xr:uid="{00000000-0005-0000-0000-00009C060000}"/>
    <cellStyle name="Comma 44 4" xfId="2082" xr:uid="{00000000-0005-0000-0000-00009D060000}"/>
    <cellStyle name="Comma 44 5" xfId="2083" xr:uid="{00000000-0005-0000-0000-00009E060000}"/>
    <cellStyle name="Comma 44 6" xfId="2084" xr:uid="{00000000-0005-0000-0000-00009F060000}"/>
    <cellStyle name="Comma 44 7" xfId="2085" xr:uid="{00000000-0005-0000-0000-0000A0060000}"/>
    <cellStyle name="Comma 44 8" xfId="2086" xr:uid="{00000000-0005-0000-0000-0000A1060000}"/>
    <cellStyle name="Comma 44 9" xfId="2087" xr:uid="{00000000-0005-0000-0000-0000A2060000}"/>
    <cellStyle name="Comma 45" xfId="2088" xr:uid="{00000000-0005-0000-0000-0000A3060000}"/>
    <cellStyle name="Comma 45 10" xfId="2089" xr:uid="{00000000-0005-0000-0000-0000A4060000}"/>
    <cellStyle name="Comma 45 2" xfId="2090" xr:uid="{00000000-0005-0000-0000-0000A5060000}"/>
    <cellStyle name="Comma 45 3" xfId="2091" xr:uid="{00000000-0005-0000-0000-0000A6060000}"/>
    <cellStyle name="Comma 45 4" xfId="2092" xr:uid="{00000000-0005-0000-0000-0000A7060000}"/>
    <cellStyle name="Comma 45 5" xfId="2093" xr:uid="{00000000-0005-0000-0000-0000A8060000}"/>
    <cellStyle name="Comma 45 6" xfId="2094" xr:uid="{00000000-0005-0000-0000-0000A9060000}"/>
    <cellStyle name="Comma 45 7" xfId="2095" xr:uid="{00000000-0005-0000-0000-0000AA060000}"/>
    <cellStyle name="Comma 45 8" xfId="2096" xr:uid="{00000000-0005-0000-0000-0000AB060000}"/>
    <cellStyle name="Comma 45 9" xfId="2097" xr:uid="{00000000-0005-0000-0000-0000AC060000}"/>
    <cellStyle name="Comma 46" xfId="2098" xr:uid="{00000000-0005-0000-0000-0000AD060000}"/>
    <cellStyle name="Comma 46 10" xfId="2099" xr:uid="{00000000-0005-0000-0000-0000AE060000}"/>
    <cellStyle name="Comma 46 2" xfId="2100" xr:uid="{00000000-0005-0000-0000-0000AF060000}"/>
    <cellStyle name="Comma 46 3" xfId="2101" xr:uid="{00000000-0005-0000-0000-0000B0060000}"/>
    <cellStyle name="Comma 46 4" xfId="2102" xr:uid="{00000000-0005-0000-0000-0000B1060000}"/>
    <cellStyle name="Comma 46 5" xfId="2103" xr:uid="{00000000-0005-0000-0000-0000B2060000}"/>
    <cellStyle name="Comma 46 6" xfId="2104" xr:uid="{00000000-0005-0000-0000-0000B3060000}"/>
    <cellStyle name="Comma 46 7" xfId="2105" xr:uid="{00000000-0005-0000-0000-0000B4060000}"/>
    <cellStyle name="Comma 46 8" xfId="2106" xr:uid="{00000000-0005-0000-0000-0000B5060000}"/>
    <cellStyle name="Comma 46 9" xfId="2107" xr:uid="{00000000-0005-0000-0000-0000B6060000}"/>
    <cellStyle name="Comma 47" xfId="2108" xr:uid="{00000000-0005-0000-0000-0000B7060000}"/>
    <cellStyle name="Comma 47 10" xfId="2109" xr:uid="{00000000-0005-0000-0000-0000B8060000}"/>
    <cellStyle name="Comma 47 2" xfId="2110" xr:uid="{00000000-0005-0000-0000-0000B9060000}"/>
    <cellStyle name="Comma 47 3" xfId="2111" xr:uid="{00000000-0005-0000-0000-0000BA060000}"/>
    <cellStyle name="Comma 47 4" xfId="2112" xr:uid="{00000000-0005-0000-0000-0000BB060000}"/>
    <cellStyle name="Comma 47 5" xfId="2113" xr:uid="{00000000-0005-0000-0000-0000BC060000}"/>
    <cellStyle name="Comma 47 6" xfId="2114" xr:uid="{00000000-0005-0000-0000-0000BD060000}"/>
    <cellStyle name="Comma 47 7" xfId="2115" xr:uid="{00000000-0005-0000-0000-0000BE060000}"/>
    <cellStyle name="Comma 47 8" xfId="2116" xr:uid="{00000000-0005-0000-0000-0000BF060000}"/>
    <cellStyle name="Comma 47 9" xfId="2117" xr:uid="{00000000-0005-0000-0000-0000C0060000}"/>
    <cellStyle name="Comma 48" xfId="2118" xr:uid="{00000000-0005-0000-0000-0000C1060000}"/>
    <cellStyle name="Comma 48 10" xfId="2119" xr:uid="{00000000-0005-0000-0000-0000C2060000}"/>
    <cellStyle name="Comma 48 2" xfId="2120" xr:uid="{00000000-0005-0000-0000-0000C3060000}"/>
    <cellStyle name="Comma 48 3" xfId="2121" xr:uid="{00000000-0005-0000-0000-0000C4060000}"/>
    <cellStyle name="Comma 48 4" xfId="2122" xr:uid="{00000000-0005-0000-0000-0000C5060000}"/>
    <cellStyle name="Comma 48 5" xfId="2123" xr:uid="{00000000-0005-0000-0000-0000C6060000}"/>
    <cellStyle name="Comma 48 6" xfId="2124" xr:uid="{00000000-0005-0000-0000-0000C7060000}"/>
    <cellStyle name="Comma 48 7" xfId="2125" xr:uid="{00000000-0005-0000-0000-0000C8060000}"/>
    <cellStyle name="Comma 48 8" xfId="2126" xr:uid="{00000000-0005-0000-0000-0000C9060000}"/>
    <cellStyle name="Comma 48 9" xfId="2127" xr:uid="{00000000-0005-0000-0000-0000CA060000}"/>
    <cellStyle name="Comma 49" xfId="671" xr:uid="{00000000-0005-0000-0000-0000CB060000}"/>
    <cellStyle name="Comma 49 2" xfId="2128" xr:uid="{00000000-0005-0000-0000-0000CC060000}"/>
    <cellStyle name="Comma 5" xfId="184" xr:uid="{00000000-0005-0000-0000-0000CD060000}"/>
    <cellStyle name="Comma 5 10" xfId="2130" xr:uid="{00000000-0005-0000-0000-0000CE060000}"/>
    <cellStyle name="Comma 5 10 2" xfId="2131" xr:uid="{00000000-0005-0000-0000-0000CF060000}"/>
    <cellStyle name="Comma 5 11" xfId="2132" xr:uid="{00000000-0005-0000-0000-0000D0060000}"/>
    <cellStyle name="Comma 5 11 2" xfId="2133" xr:uid="{00000000-0005-0000-0000-0000D1060000}"/>
    <cellStyle name="Comma 5 12" xfId="2134" xr:uid="{00000000-0005-0000-0000-0000D2060000}"/>
    <cellStyle name="Comma 5 12 2" xfId="2135" xr:uid="{00000000-0005-0000-0000-0000D3060000}"/>
    <cellStyle name="Comma 5 13" xfId="2136" xr:uid="{00000000-0005-0000-0000-0000D4060000}"/>
    <cellStyle name="Comma 5 13 2" xfId="2137" xr:uid="{00000000-0005-0000-0000-0000D5060000}"/>
    <cellStyle name="Comma 5 14" xfId="2138" xr:uid="{00000000-0005-0000-0000-0000D6060000}"/>
    <cellStyle name="Comma 5 14 2" xfId="2139" xr:uid="{00000000-0005-0000-0000-0000D7060000}"/>
    <cellStyle name="Comma 5 15" xfId="2140" xr:uid="{00000000-0005-0000-0000-0000D8060000}"/>
    <cellStyle name="Comma 5 15 2" xfId="2141" xr:uid="{00000000-0005-0000-0000-0000D9060000}"/>
    <cellStyle name="Comma 5 16" xfId="2142" xr:uid="{00000000-0005-0000-0000-0000DA060000}"/>
    <cellStyle name="Comma 5 16 2" xfId="2143" xr:uid="{00000000-0005-0000-0000-0000DB060000}"/>
    <cellStyle name="Comma 5 17" xfId="2144" xr:uid="{00000000-0005-0000-0000-0000DC060000}"/>
    <cellStyle name="Comma 5 17 2" xfId="2145" xr:uid="{00000000-0005-0000-0000-0000DD060000}"/>
    <cellStyle name="Comma 5 18" xfId="2146" xr:uid="{00000000-0005-0000-0000-0000DE060000}"/>
    <cellStyle name="Comma 5 19" xfId="2147" xr:uid="{00000000-0005-0000-0000-0000DF060000}"/>
    <cellStyle name="Comma 5 2" xfId="308" xr:uid="{00000000-0005-0000-0000-0000E0060000}"/>
    <cellStyle name="Comma 5 2 2" xfId="558" xr:uid="{00000000-0005-0000-0000-0000E1060000}"/>
    <cellStyle name="Comma 5 2 2 2" xfId="2149" xr:uid="{00000000-0005-0000-0000-0000E2060000}"/>
    <cellStyle name="Comma 5 2 3" xfId="2148" xr:uid="{00000000-0005-0000-0000-0000E3060000}"/>
    <cellStyle name="Comma 5 2 4" xfId="366" xr:uid="{00000000-0005-0000-0000-0000E4060000}"/>
    <cellStyle name="Comma 5 20" xfId="2150" xr:uid="{00000000-0005-0000-0000-0000E5060000}"/>
    <cellStyle name="Comma 5 21" xfId="2151" xr:uid="{00000000-0005-0000-0000-0000E6060000}"/>
    <cellStyle name="Comma 5 22" xfId="2152" xr:uid="{00000000-0005-0000-0000-0000E7060000}"/>
    <cellStyle name="Comma 5 23" xfId="2153" xr:uid="{00000000-0005-0000-0000-0000E8060000}"/>
    <cellStyle name="Comma 5 24" xfId="2129" xr:uid="{00000000-0005-0000-0000-0000E9060000}"/>
    <cellStyle name="Comma 5 3" xfId="469" xr:uid="{00000000-0005-0000-0000-0000EA060000}"/>
    <cellStyle name="Comma 5 3 2" xfId="2155" xr:uid="{00000000-0005-0000-0000-0000EB060000}"/>
    <cellStyle name="Comma 5 3 3" xfId="2154" xr:uid="{00000000-0005-0000-0000-0000EC060000}"/>
    <cellStyle name="Comma 5 4" xfId="2156" xr:uid="{00000000-0005-0000-0000-0000ED060000}"/>
    <cellStyle name="Comma 5 4 2" xfId="2157" xr:uid="{00000000-0005-0000-0000-0000EE060000}"/>
    <cellStyle name="Comma 5 5" xfId="2158" xr:uid="{00000000-0005-0000-0000-0000EF060000}"/>
    <cellStyle name="Comma 5 5 2" xfId="2159" xr:uid="{00000000-0005-0000-0000-0000F0060000}"/>
    <cellStyle name="Comma 5 6" xfId="2160" xr:uid="{00000000-0005-0000-0000-0000F1060000}"/>
    <cellStyle name="Comma 5 6 2" xfId="2161" xr:uid="{00000000-0005-0000-0000-0000F2060000}"/>
    <cellStyle name="Comma 5 7" xfId="2162" xr:uid="{00000000-0005-0000-0000-0000F3060000}"/>
    <cellStyle name="Comma 5 7 2" xfId="2163" xr:uid="{00000000-0005-0000-0000-0000F4060000}"/>
    <cellStyle name="Comma 5 8" xfId="2164" xr:uid="{00000000-0005-0000-0000-0000F5060000}"/>
    <cellStyle name="Comma 5 8 2" xfId="2165" xr:uid="{00000000-0005-0000-0000-0000F6060000}"/>
    <cellStyle name="Comma 5 9" xfId="2166" xr:uid="{00000000-0005-0000-0000-0000F7060000}"/>
    <cellStyle name="Comma 5 9 2" xfId="2167" xr:uid="{00000000-0005-0000-0000-0000F8060000}"/>
    <cellStyle name="Comma 50" xfId="21151" xr:uid="{00000000-0005-0000-0000-0000F9060000}"/>
    <cellStyle name="Comma 50 2" xfId="2168" xr:uid="{00000000-0005-0000-0000-0000FA060000}"/>
    <cellStyle name="Comma 51" xfId="21152" xr:uid="{00000000-0005-0000-0000-0000FB060000}"/>
    <cellStyle name="Comma 51 2" xfId="21154" xr:uid="{00000000-0005-0000-0000-0000FC060000}"/>
    <cellStyle name="Comma 52" xfId="2169" xr:uid="{00000000-0005-0000-0000-0000FD060000}"/>
    <cellStyle name="Comma 53" xfId="2170" xr:uid="{00000000-0005-0000-0000-0000FE060000}"/>
    <cellStyle name="Comma 59 2" xfId="2171" xr:uid="{00000000-0005-0000-0000-0000FF060000}"/>
    <cellStyle name="Comma 59 3" xfId="2172" xr:uid="{00000000-0005-0000-0000-000000070000}"/>
    <cellStyle name="Comma 6" xfId="313" xr:uid="{00000000-0005-0000-0000-000001070000}"/>
    <cellStyle name="Comma 6 10" xfId="2174" xr:uid="{00000000-0005-0000-0000-000002070000}"/>
    <cellStyle name="Comma 6 11" xfId="2175" xr:uid="{00000000-0005-0000-0000-000003070000}"/>
    <cellStyle name="Comma 6 12" xfId="2173" xr:uid="{00000000-0005-0000-0000-000004070000}"/>
    <cellStyle name="Comma 6 12 2" xfId="37634" xr:uid="{00000000-0005-0000-0000-000005070000}"/>
    <cellStyle name="Comma 6 13" xfId="330" xr:uid="{00000000-0005-0000-0000-000006070000}"/>
    <cellStyle name="Comma 6 2" xfId="464" xr:uid="{00000000-0005-0000-0000-000007070000}"/>
    <cellStyle name="Comma 6 2 2" xfId="2177" xr:uid="{00000000-0005-0000-0000-000008070000}"/>
    <cellStyle name="Comma 6 2 3" xfId="2176" xr:uid="{00000000-0005-0000-0000-000009070000}"/>
    <cellStyle name="Comma 6 3" xfId="2178" xr:uid="{00000000-0005-0000-0000-00000A070000}"/>
    <cellStyle name="Comma 6 3 2" xfId="2179" xr:uid="{00000000-0005-0000-0000-00000B070000}"/>
    <cellStyle name="Comma 6 4" xfId="2180" xr:uid="{00000000-0005-0000-0000-00000C070000}"/>
    <cellStyle name="Comma 6 4 2" xfId="2181" xr:uid="{00000000-0005-0000-0000-00000D070000}"/>
    <cellStyle name="Comma 6 5" xfId="2182" xr:uid="{00000000-0005-0000-0000-00000E070000}"/>
    <cellStyle name="Comma 6 5 2" xfId="2183" xr:uid="{00000000-0005-0000-0000-00000F070000}"/>
    <cellStyle name="Comma 6 6" xfId="2184" xr:uid="{00000000-0005-0000-0000-000010070000}"/>
    <cellStyle name="Comma 6 7" xfId="2185" xr:uid="{00000000-0005-0000-0000-000011070000}"/>
    <cellStyle name="Comma 6 8" xfId="2186" xr:uid="{00000000-0005-0000-0000-000012070000}"/>
    <cellStyle name="Comma 6 9" xfId="2187" xr:uid="{00000000-0005-0000-0000-000013070000}"/>
    <cellStyle name="Comma 60 2" xfId="2188" xr:uid="{00000000-0005-0000-0000-000014070000}"/>
    <cellStyle name="Comma 60 3" xfId="2189" xr:uid="{00000000-0005-0000-0000-000015070000}"/>
    <cellStyle name="Comma 7" xfId="319" xr:uid="{00000000-0005-0000-0000-000016070000}"/>
    <cellStyle name="Comma 7 10" xfId="2191" xr:uid="{00000000-0005-0000-0000-000017070000}"/>
    <cellStyle name="Comma 7 11" xfId="2192" xr:uid="{00000000-0005-0000-0000-000018070000}"/>
    <cellStyle name="Comma 7 12" xfId="2190" xr:uid="{00000000-0005-0000-0000-000019070000}"/>
    <cellStyle name="Comma 7 13" xfId="346" xr:uid="{00000000-0005-0000-0000-00001A070000}"/>
    <cellStyle name="Comma 7 2" xfId="536" xr:uid="{00000000-0005-0000-0000-00001B070000}"/>
    <cellStyle name="Comma 7 2 2" xfId="2194" xr:uid="{00000000-0005-0000-0000-00001C070000}"/>
    <cellStyle name="Comma 7 2 3" xfId="2193" xr:uid="{00000000-0005-0000-0000-00001D070000}"/>
    <cellStyle name="Comma 7 3" xfId="2195" xr:uid="{00000000-0005-0000-0000-00001E070000}"/>
    <cellStyle name="Comma 7 3 2" xfId="2196" xr:uid="{00000000-0005-0000-0000-00001F070000}"/>
    <cellStyle name="Comma 7 4" xfId="2197" xr:uid="{00000000-0005-0000-0000-000020070000}"/>
    <cellStyle name="Comma 7 4 2" xfId="2198" xr:uid="{00000000-0005-0000-0000-000021070000}"/>
    <cellStyle name="Comma 7 5" xfId="2199" xr:uid="{00000000-0005-0000-0000-000022070000}"/>
    <cellStyle name="Comma 7 5 2" xfId="2200" xr:uid="{00000000-0005-0000-0000-000023070000}"/>
    <cellStyle name="Comma 7 6" xfId="2201" xr:uid="{00000000-0005-0000-0000-000024070000}"/>
    <cellStyle name="Comma 7 7" xfId="2202" xr:uid="{00000000-0005-0000-0000-000025070000}"/>
    <cellStyle name="Comma 7 8" xfId="2203" xr:uid="{00000000-0005-0000-0000-000026070000}"/>
    <cellStyle name="Comma 7 9" xfId="2204" xr:uid="{00000000-0005-0000-0000-000027070000}"/>
    <cellStyle name="Comma 8" xfId="307" xr:uid="{00000000-0005-0000-0000-000028070000}"/>
    <cellStyle name="Comma 8 10" xfId="2206" xr:uid="{00000000-0005-0000-0000-000029070000}"/>
    <cellStyle name="Comma 8 11" xfId="2207" xr:uid="{00000000-0005-0000-0000-00002A070000}"/>
    <cellStyle name="Comma 8 12" xfId="2205" xr:uid="{00000000-0005-0000-0000-00002B070000}"/>
    <cellStyle name="Comma 8 13" xfId="349" xr:uid="{00000000-0005-0000-0000-00002C070000}"/>
    <cellStyle name="Comma 8 2" xfId="539" xr:uid="{00000000-0005-0000-0000-00002D070000}"/>
    <cellStyle name="Comma 8 2 2" xfId="2209" xr:uid="{00000000-0005-0000-0000-00002E070000}"/>
    <cellStyle name="Comma 8 2 3" xfId="2208" xr:uid="{00000000-0005-0000-0000-00002F070000}"/>
    <cellStyle name="Comma 8 3" xfId="2210" xr:uid="{00000000-0005-0000-0000-000030070000}"/>
    <cellStyle name="Comma 8 3 2" xfId="2211" xr:uid="{00000000-0005-0000-0000-000031070000}"/>
    <cellStyle name="Comma 8 4" xfId="2212" xr:uid="{00000000-0005-0000-0000-000032070000}"/>
    <cellStyle name="Comma 8 4 2" xfId="2213" xr:uid="{00000000-0005-0000-0000-000033070000}"/>
    <cellStyle name="Comma 8 5" xfId="2214" xr:uid="{00000000-0005-0000-0000-000034070000}"/>
    <cellStyle name="Comma 8 5 2" xfId="2215" xr:uid="{00000000-0005-0000-0000-000035070000}"/>
    <cellStyle name="Comma 8 6" xfId="2216" xr:uid="{00000000-0005-0000-0000-000036070000}"/>
    <cellStyle name="Comma 8 7" xfId="2217" xr:uid="{00000000-0005-0000-0000-000037070000}"/>
    <cellStyle name="Comma 8 8" xfId="2218" xr:uid="{00000000-0005-0000-0000-000038070000}"/>
    <cellStyle name="Comma 8 9" xfId="2219" xr:uid="{00000000-0005-0000-0000-000039070000}"/>
    <cellStyle name="Comma 9" xfId="312" xr:uid="{00000000-0005-0000-0000-00003A070000}"/>
    <cellStyle name="Comma 9 2" xfId="589" xr:uid="{00000000-0005-0000-0000-00003B070000}"/>
    <cellStyle name="Comma 9 2 2" xfId="2221" xr:uid="{00000000-0005-0000-0000-00003C070000}"/>
    <cellStyle name="Comma 9 3" xfId="2222" xr:uid="{00000000-0005-0000-0000-00003D070000}"/>
    <cellStyle name="Comma 9 4" xfId="2223" xr:uid="{00000000-0005-0000-0000-00003E070000}"/>
    <cellStyle name="Comma 9 5" xfId="2224" xr:uid="{00000000-0005-0000-0000-00003F070000}"/>
    <cellStyle name="Comma 9 6" xfId="2220" xr:uid="{00000000-0005-0000-0000-000040070000}"/>
    <cellStyle name="Comma 9 7" xfId="37635" xr:uid="{00000000-0005-0000-0000-000041070000}"/>
    <cellStyle name="Currency" xfId="37697" builtinId="4"/>
    <cellStyle name="Currency [0] 2" xfId="11" xr:uid="{00000000-0005-0000-0000-000043070000}"/>
    <cellStyle name="Currency [0] 2 2" xfId="207" xr:uid="{00000000-0005-0000-0000-000044070000}"/>
    <cellStyle name="Currency 10" xfId="12" xr:uid="{00000000-0005-0000-0000-000045070000}"/>
    <cellStyle name="Currency 11" xfId="199" xr:uid="{00000000-0005-0000-0000-000046070000}"/>
    <cellStyle name="Currency 11 2" xfId="384" xr:uid="{00000000-0005-0000-0000-000047070000}"/>
    <cellStyle name="Currency 11 2 2" xfId="576" xr:uid="{00000000-0005-0000-0000-000048070000}"/>
    <cellStyle name="Currency 11 2 3" xfId="2226" xr:uid="{00000000-0005-0000-0000-000049070000}"/>
    <cellStyle name="Currency 11 2 4" xfId="37637" xr:uid="{00000000-0005-0000-0000-00004A070000}"/>
    <cellStyle name="Currency 11 3" xfId="491" xr:uid="{00000000-0005-0000-0000-00004B070000}"/>
    <cellStyle name="Currency 11 3 2" xfId="2227" xr:uid="{00000000-0005-0000-0000-00004C070000}"/>
    <cellStyle name="Currency 11 3 3" xfId="37638" xr:uid="{00000000-0005-0000-0000-00004D070000}"/>
    <cellStyle name="Currency 11 4" xfId="2225" xr:uid="{00000000-0005-0000-0000-00004E070000}"/>
    <cellStyle name="Currency 11 5" xfId="37636" xr:uid="{00000000-0005-0000-0000-00004F070000}"/>
    <cellStyle name="Currency 12" xfId="201" xr:uid="{00000000-0005-0000-0000-000050070000}"/>
    <cellStyle name="Currency 12 2" xfId="386" xr:uid="{00000000-0005-0000-0000-000051070000}"/>
    <cellStyle name="Currency 12 2 2" xfId="578" xr:uid="{00000000-0005-0000-0000-000052070000}"/>
    <cellStyle name="Currency 12 2 3" xfId="2229" xr:uid="{00000000-0005-0000-0000-000053070000}"/>
    <cellStyle name="Currency 12 2 4" xfId="37640" xr:uid="{00000000-0005-0000-0000-000054070000}"/>
    <cellStyle name="Currency 12 3" xfId="505" xr:uid="{00000000-0005-0000-0000-000055070000}"/>
    <cellStyle name="Currency 12 3 2" xfId="2230" xr:uid="{00000000-0005-0000-0000-000056070000}"/>
    <cellStyle name="Currency 12 3 3" xfId="37641" xr:uid="{00000000-0005-0000-0000-000057070000}"/>
    <cellStyle name="Currency 12 4" xfId="2228" xr:uid="{00000000-0005-0000-0000-000058070000}"/>
    <cellStyle name="Currency 12 5" xfId="37639" xr:uid="{00000000-0005-0000-0000-000059070000}"/>
    <cellStyle name="Currency 13" xfId="182" xr:uid="{00000000-0005-0000-0000-00005A070000}"/>
    <cellStyle name="Currency 13 2" xfId="292" xr:uid="{00000000-0005-0000-0000-00005B070000}"/>
    <cellStyle name="Currency 14" xfId="289" xr:uid="{00000000-0005-0000-0000-00005C070000}"/>
    <cellStyle name="Currency 15" xfId="293" xr:uid="{00000000-0005-0000-0000-00005D070000}"/>
    <cellStyle name="Currency 16" xfId="295" xr:uid="{00000000-0005-0000-0000-00005E070000}"/>
    <cellStyle name="Currency 17" xfId="296" xr:uid="{00000000-0005-0000-0000-00005F070000}"/>
    <cellStyle name="Currency 18" xfId="297" xr:uid="{00000000-0005-0000-0000-000060070000}"/>
    <cellStyle name="Currency 19" xfId="298" xr:uid="{00000000-0005-0000-0000-000061070000}"/>
    <cellStyle name="Currency 2" xfId="13" xr:uid="{00000000-0005-0000-0000-000062070000}"/>
    <cellStyle name="Currency 2 10" xfId="2232" xr:uid="{00000000-0005-0000-0000-000063070000}"/>
    <cellStyle name="Currency 2 10 2" xfId="2233" xr:uid="{00000000-0005-0000-0000-000064070000}"/>
    <cellStyle name="Currency 2 10 2 2" xfId="2234" xr:uid="{00000000-0005-0000-0000-000065070000}"/>
    <cellStyle name="Currency 2 10 2 2 2" xfId="2235" xr:uid="{00000000-0005-0000-0000-000066070000}"/>
    <cellStyle name="Currency 2 10 2 2 3" xfId="2236" xr:uid="{00000000-0005-0000-0000-000067070000}"/>
    <cellStyle name="Currency 2 10 2 2 4" xfId="2237" xr:uid="{00000000-0005-0000-0000-000068070000}"/>
    <cellStyle name="Currency 2 10 2 3" xfId="2238" xr:uid="{00000000-0005-0000-0000-000069070000}"/>
    <cellStyle name="Currency 2 10 2 4" xfId="2239" xr:uid="{00000000-0005-0000-0000-00006A070000}"/>
    <cellStyle name="Currency 2 10 2 5" xfId="2240" xr:uid="{00000000-0005-0000-0000-00006B070000}"/>
    <cellStyle name="Currency 2 10 3" xfId="2241" xr:uid="{00000000-0005-0000-0000-00006C070000}"/>
    <cellStyle name="Currency 2 10 3 2" xfId="2242" xr:uid="{00000000-0005-0000-0000-00006D070000}"/>
    <cellStyle name="Currency 2 10 3 3" xfId="2243" xr:uid="{00000000-0005-0000-0000-00006E070000}"/>
    <cellStyle name="Currency 2 10 3 4" xfId="2244" xr:uid="{00000000-0005-0000-0000-00006F070000}"/>
    <cellStyle name="Currency 2 10 4" xfId="2245" xr:uid="{00000000-0005-0000-0000-000070070000}"/>
    <cellStyle name="Currency 2 10 5" xfId="2246" xr:uid="{00000000-0005-0000-0000-000071070000}"/>
    <cellStyle name="Currency 2 10 6" xfId="2247" xr:uid="{00000000-0005-0000-0000-000072070000}"/>
    <cellStyle name="Currency 2 11" xfId="2248" xr:uid="{00000000-0005-0000-0000-000073070000}"/>
    <cellStyle name="Currency 2 11 2" xfId="2249" xr:uid="{00000000-0005-0000-0000-000074070000}"/>
    <cellStyle name="Currency 2 11 2 2" xfId="2250" xr:uid="{00000000-0005-0000-0000-000075070000}"/>
    <cellStyle name="Currency 2 11 2 2 2" xfId="2251" xr:uid="{00000000-0005-0000-0000-000076070000}"/>
    <cellStyle name="Currency 2 11 2 2 3" xfId="2252" xr:uid="{00000000-0005-0000-0000-000077070000}"/>
    <cellStyle name="Currency 2 11 2 2 4" xfId="2253" xr:uid="{00000000-0005-0000-0000-000078070000}"/>
    <cellStyle name="Currency 2 11 2 3" xfId="2254" xr:uid="{00000000-0005-0000-0000-000079070000}"/>
    <cellStyle name="Currency 2 11 2 4" xfId="2255" xr:uid="{00000000-0005-0000-0000-00007A070000}"/>
    <cellStyle name="Currency 2 11 2 5" xfId="2256" xr:uid="{00000000-0005-0000-0000-00007B070000}"/>
    <cellStyle name="Currency 2 11 3" xfId="2257" xr:uid="{00000000-0005-0000-0000-00007C070000}"/>
    <cellStyle name="Currency 2 11 3 2" xfId="2258" xr:uid="{00000000-0005-0000-0000-00007D070000}"/>
    <cellStyle name="Currency 2 11 3 3" xfId="2259" xr:uid="{00000000-0005-0000-0000-00007E070000}"/>
    <cellStyle name="Currency 2 11 3 4" xfId="2260" xr:uid="{00000000-0005-0000-0000-00007F070000}"/>
    <cellStyle name="Currency 2 11 4" xfId="2261" xr:uid="{00000000-0005-0000-0000-000080070000}"/>
    <cellStyle name="Currency 2 11 5" xfId="2262" xr:uid="{00000000-0005-0000-0000-000081070000}"/>
    <cellStyle name="Currency 2 11 6" xfId="2263" xr:uid="{00000000-0005-0000-0000-000082070000}"/>
    <cellStyle name="Currency 2 12" xfId="2264" xr:uid="{00000000-0005-0000-0000-000083070000}"/>
    <cellStyle name="Currency 2 12 2" xfId="2265" xr:uid="{00000000-0005-0000-0000-000084070000}"/>
    <cellStyle name="Currency 2 12 2 2" xfId="2266" xr:uid="{00000000-0005-0000-0000-000085070000}"/>
    <cellStyle name="Currency 2 12 2 2 2" xfId="2267" xr:uid="{00000000-0005-0000-0000-000086070000}"/>
    <cellStyle name="Currency 2 12 2 2 3" xfId="2268" xr:uid="{00000000-0005-0000-0000-000087070000}"/>
    <cellStyle name="Currency 2 12 2 2 4" xfId="2269" xr:uid="{00000000-0005-0000-0000-000088070000}"/>
    <cellStyle name="Currency 2 12 2 3" xfId="2270" xr:uid="{00000000-0005-0000-0000-000089070000}"/>
    <cellStyle name="Currency 2 12 2 4" xfId="2271" xr:uid="{00000000-0005-0000-0000-00008A070000}"/>
    <cellStyle name="Currency 2 12 2 5" xfId="2272" xr:uid="{00000000-0005-0000-0000-00008B070000}"/>
    <cellStyle name="Currency 2 12 3" xfId="2273" xr:uid="{00000000-0005-0000-0000-00008C070000}"/>
    <cellStyle name="Currency 2 12 3 2" xfId="2274" xr:uid="{00000000-0005-0000-0000-00008D070000}"/>
    <cellStyle name="Currency 2 12 3 3" xfId="2275" xr:uid="{00000000-0005-0000-0000-00008E070000}"/>
    <cellStyle name="Currency 2 12 3 4" xfId="2276" xr:uid="{00000000-0005-0000-0000-00008F070000}"/>
    <cellStyle name="Currency 2 12 4" xfId="2277" xr:uid="{00000000-0005-0000-0000-000090070000}"/>
    <cellStyle name="Currency 2 12 5" xfId="2278" xr:uid="{00000000-0005-0000-0000-000091070000}"/>
    <cellStyle name="Currency 2 12 6" xfId="2279" xr:uid="{00000000-0005-0000-0000-000092070000}"/>
    <cellStyle name="Currency 2 13" xfId="2280" xr:uid="{00000000-0005-0000-0000-000093070000}"/>
    <cellStyle name="Currency 2 14" xfId="2281" xr:uid="{00000000-0005-0000-0000-000094070000}"/>
    <cellStyle name="Currency 2 15" xfId="2282" xr:uid="{00000000-0005-0000-0000-000095070000}"/>
    <cellStyle name="Currency 2 16" xfId="2283" xr:uid="{00000000-0005-0000-0000-000096070000}"/>
    <cellStyle name="Currency 2 17" xfId="2284" xr:uid="{00000000-0005-0000-0000-000097070000}"/>
    <cellStyle name="Currency 2 18" xfId="2285" xr:uid="{00000000-0005-0000-0000-000098070000}"/>
    <cellStyle name="Currency 2 19" xfId="2286" xr:uid="{00000000-0005-0000-0000-000099070000}"/>
    <cellStyle name="Currency 2 2" xfId="14" xr:uid="{00000000-0005-0000-0000-00009A070000}"/>
    <cellStyle name="Currency 2 2 10" xfId="2287" xr:uid="{00000000-0005-0000-0000-00009B070000}"/>
    <cellStyle name="Currency 2 2 11" xfId="2288" xr:uid="{00000000-0005-0000-0000-00009C070000}"/>
    <cellStyle name="Currency 2 2 12" xfId="2289" xr:uid="{00000000-0005-0000-0000-00009D070000}"/>
    <cellStyle name="Currency 2 2 13" xfId="2290" xr:uid="{00000000-0005-0000-0000-00009E070000}"/>
    <cellStyle name="Currency 2 2 14" xfId="2291" xr:uid="{00000000-0005-0000-0000-00009F070000}"/>
    <cellStyle name="Currency 2 2 15" xfId="2292" xr:uid="{00000000-0005-0000-0000-0000A0070000}"/>
    <cellStyle name="Currency 2 2 16" xfId="2293" xr:uid="{00000000-0005-0000-0000-0000A1070000}"/>
    <cellStyle name="Currency 2 2 17" xfId="2294" xr:uid="{00000000-0005-0000-0000-0000A2070000}"/>
    <cellStyle name="Currency 2 2 18" xfId="2295" xr:uid="{00000000-0005-0000-0000-0000A3070000}"/>
    <cellStyle name="Currency 2 2 19" xfId="2296" xr:uid="{00000000-0005-0000-0000-0000A4070000}"/>
    <cellStyle name="Currency 2 2 2" xfId="206" xr:uid="{00000000-0005-0000-0000-0000A5070000}"/>
    <cellStyle name="Currency 2 2 2 2" xfId="2298" xr:uid="{00000000-0005-0000-0000-0000A6070000}"/>
    <cellStyle name="Currency 2 2 2 3" xfId="2299" xr:uid="{00000000-0005-0000-0000-0000A7070000}"/>
    <cellStyle name="Currency 2 2 2 4" xfId="2300" xr:uid="{00000000-0005-0000-0000-0000A8070000}"/>
    <cellStyle name="Currency 2 2 2 5" xfId="2297" xr:uid="{00000000-0005-0000-0000-0000A9070000}"/>
    <cellStyle name="Currency 2 2 20" xfId="2301" xr:uid="{00000000-0005-0000-0000-0000AA070000}"/>
    <cellStyle name="Currency 2 2 21" xfId="2302" xr:uid="{00000000-0005-0000-0000-0000AB070000}"/>
    <cellStyle name="Currency 2 2 22" xfId="2303" xr:uid="{00000000-0005-0000-0000-0000AC070000}"/>
    <cellStyle name="Currency 2 2 23" xfId="2304" xr:uid="{00000000-0005-0000-0000-0000AD070000}"/>
    <cellStyle name="Currency 2 2 24" xfId="2305" xr:uid="{00000000-0005-0000-0000-0000AE070000}"/>
    <cellStyle name="Currency 2 2 25" xfId="2306" xr:uid="{00000000-0005-0000-0000-0000AF070000}"/>
    <cellStyle name="Currency 2 2 26" xfId="2307" xr:uid="{00000000-0005-0000-0000-0000B0070000}"/>
    <cellStyle name="Currency 2 2 27" xfId="2308" xr:uid="{00000000-0005-0000-0000-0000B1070000}"/>
    <cellStyle name="Currency 2 2 28" xfId="2309" xr:uid="{00000000-0005-0000-0000-0000B2070000}"/>
    <cellStyle name="Currency 2 2 29" xfId="2310" xr:uid="{00000000-0005-0000-0000-0000B3070000}"/>
    <cellStyle name="Currency 2 2 3" xfId="2311" xr:uid="{00000000-0005-0000-0000-0000B4070000}"/>
    <cellStyle name="Currency 2 2 30" xfId="2312" xr:uid="{00000000-0005-0000-0000-0000B5070000}"/>
    <cellStyle name="Currency 2 2 31" xfId="2313" xr:uid="{00000000-0005-0000-0000-0000B6070000}"/>
    <cellStyle name="Currency 2 2 4" xfId="2314" xr:uid="{00000000-0005-0000-0000-0000B7070000}"/>
    <cellStyle name="Currency 2 2 5" xfId="2315" xr:uid="{00000000-0005-0000-0000-0000B8070000}"/>
    <cellStyle name="Currency 2 2 6" xfId="2316" xr:uid="{00000000-0005-0000-0000-0000B9070000}"/>
    <cellStyle name="Currency 2 2 7" xfId="2317" xr:uid="{00000000-0005-0000-0000-0000BA070000}"/>
    <cellStyle name="Currency 2 2 8" xfId="2318" xr:uid="{00000000-0005-0000-0000-0000BB070000}"/>
    <cellStyle name="Currency 2 2 9" xfId="2319" xr:uid="{00000000-0005-0000-0000-0000BC070000}"/>
    <cellStyle name="Currency 2 20" xfId="2320" xr:uid="{00000000-0005-0000-0000-0000BD070000}"/>
    <cellStyle name="Currency 2 21" xfId="2321" xr:uid="{00000000-0005-0000-0000-0000BE070000}"/>
    <cellStyle name="Currency 2 22" xfId="2322" xr:uid="{00000000-0005-0000-0000-0000BF070000}"/>
    <cellStyle name="Currency 2 23" xfId="2323" xr:uid="{00000000-0005-0000-0000-0000C0070000}"/>
    <cellStyle name="Currency 2 24" xfId="2324" xr:uid="{00000000-0005-0000-0000-0000C1070000}"/>
    <cellStyle name="Currency 2 25" xfId="2325" xr:uid="{00000000-0005-0000-0000-0000C2070000}"/>
    <cellStyle name="Currency 2 26" xfId="2326" xr:uid="{00000000-0005-0000-0000-0000C3070000}"/>
    <cellStyle name="Currency 2 27" xfId="2327" xr:uid="{00000000-0005-0000-0000-0000C4070000}"/>
    <cellStyle name="Currency 2 28" xfId="2328" xr:uid="{00000000-0005-0000-0000-0000C5070000}"/>
    <cellStyle name="Currency 2 29" xfId="2329" xr:uid="{00000000-0005-0000-0000-0000C6070000}"/>
    <cellStyle name="Currency 2 3" xfId="284" xr:uid="{00000000-0005-0000-0000-0000C7070000}"/>
    <cellStyle name="Currency 2 3 10" xfId="2331" xr:uid="{00000000-0005-0000-0000-0000C8070000}"/>
    <cellStyle name="Currency 2 3 11" xfId="2332" xr:uid="{00000000-0005-0000-0000-0000C9070000}"/>
    <cellStyle name="Currency 2 3 12" xfId="2333" xr:uid="{00000000-0005-0000-0000-0000CA070000}"/>
    <cellStyle name="Currency 2 3 13" xfId="2334" xr:uid="{00000000-0005-0000-0000-0000CB070000}"/>
    <cellStyle name="Currency 2 3 14" xfId="2335" xr:uid="{00000000-0005-0000-0000-0000CC070000}"/>
    <cellStyle name="Currency 2 3 15" xfId="2336" xr:uid="{00000000-0005-0000-0000-0000CD070000}"/>
    <cellStyle name="Currency 2 3 16" xfId="2337" xr:uid="{00000000-0005-0000-0000-0000CE070000}"/>
    <cellStyle name="Currency 2 3 17" xfId="2338" xr:uid="{00000000-0005-0000-0000-0000CF070000}"/>
    <cellStyle name="Currency 2 3 18" xfId="2339" xr:uid="{00000000-0005-0000-0000-0000D0070000}"/>
    <cellStyle name="Currency 2 3 19" xfId="2340" xr:uid="{00000000-0005-0000-0000-0000D1070000}"/>
    <cellStyle name="Currency 2 3 2" xfId="2341" xr:uid="{00000000-0005-0000-0000-0000D2070000}"/>
    <cellStyle name="Currency 2 3 2 2" xfId="2342" xr:uid="{00000000-0005-0000-0000-0000D3070000}"/>
    <cellStyle name="Currency 2 3 2 3" xfId="2343" xr:uid="{00000000-0005-0000-0000-0000D4070000}"/>
    <cellStyle name="Currency 2 3 2 4" xfId="2344" xr:uid="{00000000-0005-0000-0000-0000D5070000}"/>
    <cellStyle name="Currency 2 3 20" xfId="2345" xr:uid="{00000000-0005-0000-0000-0000D6070000}"/>
    <cellStyle name="Currency 2 3 21" xfId="2346" xr:uid="{00000000-0005-0000-0000-0000D7070000}"/>
    <cellStyle name="Currency 2 3 22" xfId="2347" xr:uid="{00000000-0005-0000-0000-0000D8070000}"/>
    <cellStyle name="Currency 2 3 23" xfId="2348" xr:uid="{00000000-0005-0000-0000-0000D9070000}"/>
    <cellStyle name="Currency 2 3 24" xfId="2349" xr:uid="{00000000-0005-0000-0000-0000DA070000}"/>
    <cellStyle name="Currency 2 3 25" xfId="2350" xr:uid="{00000000-0005-0000-0000-0000DB070000}"/>
    <cellStyle name="Currency 2 3 26" xfId="2351" xr:uid="{00000000-0005-0000-0000-0000DC070000}"/>
    <cellStyle name="Currency 2 3 27" xfId="2352" xr:uid="{00000000-0005-0000-0000-0000DD070000}"/>
    <cellStyle name="Currency 2 3 28" xfId="2353" xr:uid="{00000000-0005-0000-0000-0000DE070000}"/>
    <cellStyle name="Currency 2 3 29" xfId="2354" xr:uid="{00000000-0005-0000-0000-0000DF070000}"/>
    <cellStyle name="Currency 2 3 3" xfId="2355" xr:uid="{00000000-0005-0000-0000-0000E0070000}"/>
    <cellStyle name="Currency 2 3 30" xfId="2356" xr:uid="{00000000-0005-0000-0000-0000E1070000}"/>
    <cellStyle name="Currency 2 3 31" xfId="2357" xr:uid="{00000000-0005-0000-0000-0000E2070000}"/>
    <cellStyle name="Currency 2 3 32" xfId="2330" xr:uid="{00000000-0005-0000-0000-0000E3070000}"/>
    <cellStyle name="Currency 2 3 4" xfId="2358" xr:uid="{00000000-0005-0000-0000-0000E4070000}"/>
    <cellStyle name="Currency 2 3 5" xfId="2359" xr:uid="{00000000-0005-0000-0000-0000E5070000}"/>
    <cellStyle name="Currency 2 3 6" xfId="2360" xr:uid="{00000000-0005-0000-0000-0000E6070000}"/>
    <cellStyle name="Currency 2 3 7" xfId="2361" xr:uid="{00000000-0005-0000-0000-0000E7070000}"/>
    <cellStyle name="Currency 2 3 8" xfId="2362" xr:uid="{00000000-0005-0000-0000-0000E8070000}"/>
    <cellStyle name="Currency 2 3 9" xfId="2363" xr:uid="{00000000-0005-0000-0000-0000E9070000}"/>
    <cellStyle name="Currency 2 30" xfId="2364" xr:uid="{00000000-0005-0000-0000-0000EA070000}"/>
    <cellStyle name="Currency 2 31" xfId="2365" xr:uid="{00000000-0005-0000-0000-0000EB070000}"/>
    <cellStyle name="Currency 2 32" xfId="2366" xr:uid="{00000000-0005-0000-0000-0000EC070000}"/>
    <cellStyle name="Currency 2 33" xfId="2367" xr:uid="{00000000-0005-0000-0000-0000ED070000}"/>
    <cellStyle name="Currency 2 34" xfId="2368" xr:uid="{00000000-0005-0000-0000-0000EE070000}"/>
    <cellStyle name="Currency 2 35" xfId="2369" xr:uid="{00000000-0005-0000-0000-0000EF070000}"/>
    <cellStyle name="Currency 2 36" xfId="2370" xr:uid="{00000000-0005-0000-0000-0000F0070000}"/>
    <cellStyle name="Currency 2 37" xfId="21148" xr:uid="{00000000-0005-0000-0000-0000F1070000}"/>
    <cellStyle name="Currency 2 37 2" xfId="37606" xr:uid="{00000000-0005-0000-0000-0000F2070000}"/>
    <cellStyle name="Currency 2 38" xfId="2231" xr:uid="{00000000-0005-0000-0000-0000F3070000}"/>
    <cellStyle name="Currency 2 4" xfId="381" xr:uid="{00000000-0005-0000-0000-0000F4070000}"/>
    <cellStyle name="Currency 2 4 2" xfId="573" xr:uid="{00000000-0005-0000-0000-0000F5070000}"/>
    <cellStyle name="Currency 2 4 3" xfId="2371" xr:uid="{00000000-0005-0000-0000-0000F6070000}"/>
    <cellStyle name="Currency 2 5" xfId="484" xr:uid="{00000000-0005-0000-0000-0000F7070000}"/>
    <cellStyle name="Currency 2 5 2" xfId="2372" xr:uid="{00000000-0005-0000-0000-0000F8070000}"/>
    <cellStyle name="Currency 2 6" xfId="2373" xr:uid="{00000000-0005-0000-0000-0000F9070000}"/>
    <cellStyle name="Currency 2 7" xfId="2374" xr:uid="{00000000-0005-0000-0000-0000FA070000}"/>
    <cellStyle name="Currency 2 8" xfId="2375" xr:uid="{00000000-0005-0000-0000-0000FB070000}"/>
    <cellStyle name="Currency 2 9" xfId="2376" xr:uid="{00000000-0005-0000-0000-0000FC070000}"/>
    <cellStyle name="Currency 20" xfId="299" xr:uid="{00000000-0005-0000-0000-0000FD070000}"/>
    <cellStyle name="Currency 21" xfId="300" xr:uid="{00000000-0005-0000-0000-0000FE070000}"/>
    <cellStyle name="Currency 22" xfId="301" xr:uid="{00000000-0005-0000-0000-0000FF070000}"/>
    <cellStyle name="Currency 23" xfId="321" xr:uid="{00000000-0005-0000-0000-000000080000}"/>
    <cellStyle name="Currency 23 2" xfId="537" xr:uid="{00000000-0005-0000-0000-000001080000}"/>
    <cellStyle name="Currency 23 2 2" xfId="2378" xr:uid="{00000000-0005-0000-0000-000002080000}"/>
    <cellStyle name="Currency 23 3" xfId="2377" xr:uid="{00000000-0005-0000-0000-000003080000}"/>
    <cellStyle name="Currency 23 4" xfId="347" xr:uid="{00000000-0005-0000-0000-000004080000}"/>
    <cellStyle name="Currency 24" xfId="352" xr:uid="{00000000-0005-0000-0000-000005080000}"/>
    <cellStyle name="Currency 24 2" xfId="542" xr:uid="{00000000-0005-0000-0000-000006080000}"/>
    <cellStyle name="Currency 24 3" xfId="2379" xr:uid="{00000000-0005-0000-0000-000007080000}"/>
    <cellStyle name="Currency 25" xfId="432" xr:uid="{00000000-0005-0000-0000-000008080000}"/>
    <cellStyle name="Currency 25 2" xfId="590" xr:uid="{00000000-0005-0000-0000-000009080000}"/>
    <cellStyle name="Currency 25 3" xfId="2380" xr:uid="{00000000-0005-0000-0000-00000A080000}"/>
    <cellStyle name="Currency 26" xfId="437" xr:uid="{00000000-0005-0000-0000-00000B080000}"/>
    <cellStyle name="Currency 26 2" xfId="595" xr:uid="{00000000-0005-0000-0000-00000C080000}"/>
    <cellStyle name="Currency 26 3" xfId="2381" xr:uid="{00000000-0005-0000-0000-00000D080000}"/>
    <cellStyle name="Currency 27" xfId="662" xr:uid="{00000000-0005-0000-0000-00000E080000}"/>
    <cellStyle name="Currency 27 2" xfId="2382" xr:uid="{00000000-0005-0000-0000-00000F080000}"/>
    <cellStyle name="Currency 28" xfId="668" xr:uid="{00000000-0005-0000-0000-000010080000}"/>
    <cellStyle name="Currency 28 2" xfId="2383" xr:uid="{00000000-0005-0000-0000-000011080000}"/>
    <cellStyle name="Currency 29" xfId="2384" xr:uid="{00000000-0005-0000-0000-000012080000}"/>
    <cellStyle name="Currency 29 2" xfId="37642" xr:uid="{00000000-0005-0000-0000-000013080000}"/>
    <cellStyle name="Currency 3" xfId="15" xr:uid="{00000000-0005-0000-0000-000014080000}"/>
    <cellStyle name="Currency 3 10" xfId="2385" xr:uid="{00000000-0005-0000-0000-000015080000}"/>
    <cellStyle name="Currency 3 11" xfId="2386" xr:uid="{00000000-0005-0000-0000-000016080000}"/>
    <cellStyle name="Currency 3 12" xfId="2387" xr:uid="{00000000-0005-0000-0000-000017080000}"/>
    <cellStyle name="Currency 3 13" xfId="2388" xr:uid="{00000000-0005-0000-0000-000018080000}"/>
    <cellStyle name="Currency 3 14" xfId="2389" xr:uid="{00000000-0005-0000-0000-000019080000}"/>
    <cellStyle name="Currency 3 15" xfId="2390" xr:uid="{00000000-0005-0000-0000-00001A080000}"/>
    <cellStyle name="Currency 3 16" xfId="2391" xr:uid="{00000000-0005-0000-0000-00001B080000}"/>
    <cellStyle name="Currency 3 17" xfId="2392" xr:uid="{00000000-0005-0000-0000-00001C080000}"/>
    <cellStyle name="Currency 3 18" xfId="2393" xr:uid="{00000000-0005-0000-0000-00001D080000}"/>
    <cellStyle name="Currency 3 19" xfId="2394" xr:uid="{00000000-0005-0000-0000-00001E080000}"/>
    <cellStyle name="Currency 3 2" xfId="283" xr:uid="{00000000-0005-0000-0000-00001F080000}"/>
    <cellStyle name="Currency 3 2 2" xfId="2395" xr:uid="{00000000-0005-0000-0000-000020080000}"/>
    <cellStyle name="Currency 3 2 3" xfId="2396" xr:uid="{00000000-0005-0000-0000-000021080000}"/>
    <cellStyle name="Currency 3 2 4" xfId="2397" xr:uid="{00000000-0005-0000-0000-000022080000}"/>
    <cellStyle name="Currency 3 3" xfId="317" xr:uid="{00000000-0005-0000-0000-000023080000}"/>
    <cellStyle name="Currency 3 3 2" xfId="2398" xr:uid="{00000000-0005-0000-0000-000024080000}"/>
    <cellStyle name="Currency 3 4" xfId="2399" xr:uid="{00000000-0005-0000-0000-000025080000}"/>
    <cellStyle name="Currency 3 5" xfId="2400" xr:uid="{00000000-0005-0000-0000-000026080000}"/>
    <cellStyle name="Currency 3 6" xfId="2401" xr:uid="{00000000-0005-0000-0000-000027080000}"/>
    <cellStyle name="Currency 3 7" xfId="2402" xr:uid="{00000000-0005-0000-0000-000028080000}"/>
    <cellStyle name="Currency 3 8" xfId="2403" xr:uid="{00000000-0005-0000-0000-000029080000}"/>
    <cellStyle name="Currency 3 9" xfId="2404" xr:uid="{00000000-0005-0000-0000-00002A080000}"/>
    <cellStyle name="Currency 30" xfId="2405" xr:uid="{00000000-0005-0000-0000-00002B080000}"/>
    <cellStyle name="Currency 30 2" xfId="37643" xr:uid="{00000000-0005-0000-0000-00002C080000}"/>
    <cellStyle name="Currency 31" xfId="2406" xr:uid="{00000000-0005-0000-0000-00002D080000}"/>
    <cellStyle name="Currency 31 2" xfId="37644" xr:uid="{00000000-0005-0000-0000-00002E080000}"/>
    <cellStyle name="Currency 32" xfId="2407" xr:uid="{00000000-0005-0000-0000-00002F080000}"/>
    <cellStyle name="Currency 32 2" xfId="37645" xr:uid="{00000000-0005-0000-0000-000030080000}"/>
    <cellStyle name="Currency 33" xfId="2408" xr:uid="{00000000-0005-0000-0000-000031080000}"/>
    <cellStyle name="Currency 33 2" xfId="37646" xr:uid="{00000000-0005-0000-0000-000032080000}"/>
    <cellStyle name="Currency 34" xfId="2409" xr:uid="{00000000-0005-0000-0000-000033080000}"/>
    <cellStyle name="Currency 34 2" xfId="37647" xr:uid="{00000000-0005-0000-0000-000034080000}"/>
    <cellStyle name="Currency 35" xfId="2410" xr:uid="{00000000-0005-0000-0000-000035080000}"/>
    <cellStyle name="Currency 35 2" xfId="37648" xr:uid="{00000000-0005-0000-0000-000036080000}"/>
    <cellStyle name="Currency 36" xfId="2411" xr:uid="{00000000-0005-0000-0000-000037080000}"/>
    <cellStyle name="Currency 36 2" xfId="37649" xr:uid="{00000000-0005-0000-0000-000038080000}"/>
    <cellStyle name="Currency 37" xfId="672" xr:uid="{00000000-0005-0000-0000-000039080000}"/>
    <cellStyle name="Currency 38" xfId="20741" xr:uid="{00000000-0005-0000-0000-00003A080000}"/>
    <cellStyle name="Currency 39" xfId="37604" xr:uid="{00000000-0005-0000-0000-00003B080000}"/>
    <cellStyle name="Currency 4" xfId="16" xr:uid="{00000000-0005-0000-0000-00003C080000}"/>
    <cellStyle name="Currency 4 2" xfId="208" xr:uid="{00000000-0005-0000-0000-00003D080000}"/>
    <cellStyle name="Currency 4 2 2" xfId="176" xr:uid="{00000000-0005-0000-0000-00003E080000}"/>
    <cellStyle name="Currency 4 3" xfId="285" xr:uid="{00000000-0005-0000-0000-00003F080000}"/>
    <cellStyle name="Currency 4 4" xfId="37650" xr:uid="{00000000-0005-0000-0000-000040080000}"/>
    <cellStyle name="Currency 40" xfId="37695" xr:uid="{00000000-0005-0000-0000-000041080000}"/>
    <cellStyle name="Currency 41" xfId="37696" xr:uid="{00000000-0005-0000-0000-000042080000}"/>
    <cellStyle name="Currency 42" xfId="37694" xr:uid="{00000000-0005-0000-0000-000043080000}"/>
    <cellStyle name="Currency 43" xfId="37596" xr:uid="{00000000-0005-0000-0000-000044080000}"/>
    <cellStyle name="Currency 44" xfId="37693" xr:uid="{00000000-0005-0000-0000-000045080000}"/>
    <cellStyle name="Currency 45" xfId="37595" xr:uid="{00000000-0005-0000-0000-000046080000}"/>
    <cellStyle name="Currency 46" xfId="37692" xr:uid="{00000000-0005-0000-0000-000047080000}"/>
    <cellStyle name="Currency 47" xfId="37600" xr:uid="{00000000-0005-0000-0000-000048080000}"/>
    <cellStyle name="Currency 48" xfId="37691" xr:uid="{00000000-0005-0000-0000-000049080000}"/>
    <cellStyle name="Currency 5" xfId="17" xr:uid="{00000000-0005-0000-0000-00004A080000}"/>
    <cellStyle name="Currency 5 10" xfId="2412" xr:uid="{00000000-0005-0000-0000-00004B080000}"/>
    <cellStyle name="Currency 5 11" xfId="37651" xr:uid="{00000000-0005-0000-0000-00004C080000}"/>
    <cellStyle name="Currency 5 2" xfId="209" xr:uid="{00000000-0005-0000-0000-00004D080000}"/>
    <cellStyle name="Currency 5 2 2" xfId="2414" xr:uid="{00000000-0005-0000-0000-00004E080000}"/>
    <cellStyle name="Currency 5 2 3" xfId="2415" xr:uid="{00000000-0005-0000-0000-00004F080000}"/>
    <cellStyle name="Currency 5 2 4" xfId="2416" xr:uid="{00000000-0005-0000-0000-000050080000}"/>
    <cellStyle name="Currency 5 2 5" xfId="2413" xr:uid="{00000000-0005-0000-0000-000051080000}"/>
    <cellStyle name="Currency 5 3" xfId="2417" xr:uid="{00000000-0005-0000-0000-000052080000}"/>
    <cellStyle name="Currency 5 4" xfId="2418" xr:uid="{00000000-0005-0000-0000-000053080000}"/>
    <cellStyle name="Currency 5 5" xfId="2419" xr:uid="{00000000-0005-0000-0000-000054080000}"/>
    <cellStyle name="Currency 5 6" xfId="2420" xr:uid="{00000000-0005-0000-0000-000055080000}"/>
    <cellStyle name="Currency 5 7" xfId="2421" xr:uid="{00000000-0005-0000-0000-000056080000}"/>
    <cellStyle name="Currency 5 8" xfId="2422" xr:uid="{00000000-0005-0000-0000-000057080000}"/>
    <cellStyle name="Currency 5 9" xfId="2423" xr:uid="{00000000-0005-0000-0000-000058080000}"/>
    <cellStyle name="Currency 6" xfId="18" xr:uid="{00000000-0005-0000-0000-000059080000}"/>
    <cellStyle name="Currency 6 2" xfId="210" xr:uid="{00000000-0005-0000-0000-00005A080000}"/>
    <cellStyle name="Currency 7" xfId="19" xr:uid="{00000000-0005-0000-0000-00005B080000}"/>
    <cellStyle name="Currency 7 2" xfId="211" xr:uid="{00000000-0005-0000-0000-00005C080000}"/>
    <cellStyle name="Currency 8" xfId="20" xr:uid="{00000000-0005-0000-0000-00005D080000}"/>
    <cellStyle name="Currency 8 2" xfId="316" xr:uid="{00000000-0005-0000-0000-00005E080000}"/>
    <cellStyle name="Currency 9" xfId="21" xr:uid="{00000000-0005-0000-0000-00005F080000}"/>
    <cellStyle name="Currency 9 2" xfId="314" xr:uid="{00000000-0005-0000-0000-000060080000}"/>
    <cellStyle name="Data Field" xfId="22" xr:uid="{00000000-0005-0000-0000-000061080000}"/>
    <cellStyle name="Data Field 2" xfId="212" xr:uid="{00000000-0005-0000-0000-000062080000}"/>
    <cellStyle name="Data Name" xfId="23" xr:uid="{00000000-0005-0000-0000-000063080000}"/>
    <cellStyle name="Data Name 2" xfId="213" xr:uid="{00000000-0005-0000-0000-000064080000}"/>
    <cellStyle name="Explanatory Text" xfId="149" builtinId="53" customBuiltin="1"/>
    <cellStyle name="Explanatory Text 10 2" xfId="2424" xr:uid="{00000000-0005-0000-0000-000066080000}"/>
    <cellStyle name="Explanatory Text 10 3" xfId="2425" xr:uid="{00000000-0005-0000-0000-000067080000}"/>
    <cellStyle name="Explanatory Text 11 2" xfId="2426" xr:uid="{00000000-0005-0000-0000-000068080000}"/>
    <cellStyle name="Explanatory Text 11 3" xfId="2427" xr:uid="{00000000-0005-0000-0000-000069080000}"/>
    <cellStyle name="Explanatory Text 12 2" xfId="2428" xr:uid="{00000000-0005-0000-0000-00006A080000}"/>
    <cellStyle name="Explanatory Text 12 3" xfId="2429" xr:uid="{00000000-0005-0000-0000-00006B080000}"/>
    <cellStyle name="Explanatory Text 13 2" xfId="2430" xr:uid="{00000000-0005-0000-0000-00006C080000}"/>
    <cellStyle name="Explanatory Text 13 3" xfId="2431" xr:uid="{00000000-0005-0000-0000-00006D080000}"/>
    <cellStyle name="Explanatory Text 14 2" xfId="2432" xr:uid="{00000000-0005-0000-0000-00006E080000}"/>
    <cellStyle name="Explanatory Text 14 3" xfId="2433" xr:uid="{00000000-0005-0000-0000-00006F080000}"/>
    <cellStyle name="Explanatory Text 15" xfId="2434" xr:uid="{00000000-0005-0000-0000-000070080000}"/>
    <cellStyle name="Explanatory Text 15 2" xfId="2435" xr:uid="{00000000-0005-0000-0000-000071080000}"/>
    <cellStyle name="Explanatory Text 15 3" xfId="2436" xr:uid="{00000000-0005-0000-0000-000072080000}"/>
    <cellStyle name="Explanatory Text 15 4" xfId="2437" xr:uid="{00000000-0005-0000-0000-000073080000}"/>
    <cellStyle name="Explanatory Text 15 5" xfId="2438" xr:uid="{00000000-0005-0000-0000-000074080000}"/>
    <cellStyle name="Explanatory Text 15 6" xfId="2439" xr:uid="{00000000-0005-0000-0000-000075080000}"/>
    <cellStyle name="Explanatory Text 15 7" xfId="2440" xr:uid="{00000000-0005-0000-0000-000076080000}"/>
    <cellStyle name="Explanatory Text 16" xfId="2441" xr:uid="{00000000-0005-0000-0000-000077080000}"/>
    <cellStyle name="Explanatory Text 17" xfId="2442" xr:uid="{00000000-0005-0000-0000-000078080000}"/>
    <cellStyle name="Explanatory Text 18" xfId="2443" xr:uid="{00000000-0005-0000-0000-000079080000}"/>
    <cellStyle name="Explanatory Text 19" xfId="2444" xr:uid="{00000000-0005-0000-0000-00007A080000}"/>
    <cellStyle name="Explanatory Text 2" xfId="404" xr:uid="{00000000-0005-0000-0000-00007B080000}"/>
    <cellStyle name="Explanatory Text 2 2" xfId="603" xr:uid="{00000000-0005-0000-0000-00007C080000}"/>
    <cellStyle name="Explanatory Text 2 2 2" xfId="2445" xr:uid="{00000000-0005-0000-0000-00007D080000}"/>
    <cellStyle name="Explanatory Text 2 3" xfId="2446" xr:uid="{00000000-0005-0000-0000-00007E080000}"/>
    <cellStyle name="Explanatory Text 20" xfId="2447" xr:uid="{00000000-0005-0000-0000-00007F080000}"/>
    <cellStyle name="Explanatory Text 21" xfId="2448" xr:uid="{00000000-0005-0000-0000-000080080000}"/>
    <cellStyle name="Explanatory Text 22" xfId="2449" xr:uid="{00000000-0005-0000-0000-000081080000}"/>
    <cellStyle name="Explanatory Text 3" xfId="645" xr:uid="{00000000-0005-0000-0000-000082080000}"/>
    <cellStyle name="Explanatory Text 3 2" xfId="2450" xr:uid="{00000000-0005-0000-0000-000083080000}"/>
    <cellStyle name="Explanatory Text 3 3" xfId="2451" xr:uid="{00000000-0005-0000-0000-000084080000}"/>
    <cellStyle name="Explanatory Text 4 2" xfId="2452" xr:uid="{00000000-0005-0000-0000-000085080000}"/>
    <cellStyle name="Explanatory Text 4 3" xfId="2453" xr:uid="{00000000-0005-0000-0000-000086080000}"/>
    <cellStyle name="Explanatory Text 5 2" xfId="2454" xr:uid="{00000000-0005-0000-0000-000087080000}"/>
    <cellStyle name="Explanatory Text 5 3" xfId="2455" xr:uid="{00000000-0005-0000-0000-000088080000}"/>
    <cellStyle name="Explanatory Text 6 2" xfId="2456" xr:uid="{00000000-0005-0000-0000-000089080000}"/>
    <cellStyle name="Explanatory Text 6 3" xfId="2457" xr:uid="{00000000-0005-0000-0000-00008A080000}"/>
    <cellStyle name="Explanatory Text 7 2" xfId="2458" xr:uid="{00000000-0005-0000-0000-00008B080000}"/>
    <cellStyle name="Explanatory Text 7 3" xfId="2459" xr:uid="{00000000-0005-0000-0000-00008C080000}"/>
    <cellStyle name="Explanatory Text 8 2" xfId="2460" xr:uid="{00000000-0005-0000-0000-00008D080000}"/>
    <cellStyle name="Explanatory Text 8 3" xfId="2461" xr:uid="{00000000-0005-0000-0000-00008E080000}"/>
    <cellStyle name="Explanatory Text 9 2" xfId="2462" xr:uid="{00000000-0005-0000-0000-00008F080000}"/>
    <cellStyle name="Explanatory Text 9 3" xfId="2463" xr:uid="{00000000-0005-0000-0000-000090080000}"/>
    <cellStyle name="Followed Hyperlink" xfId="291" builtinId="9" customBuiltin="1"/>
    <cellStyle name="Followed Hyperlink 2" xfId="646" xr:uid="{00000000-0005-0000-0000-000092080000}"/>
    <cellStyle name="Good" xfId="142" builtinId="26" customBuiltin="1"/>
    <cellStyle name="Good 10 2" xfId="2464" xr:uid="{00000000-0005-0000-0000-000094080000}"/>
    <cellStyle name="Good 10 3" xfId="2465" xr:uid="{00000000-0005-0000-0000-000095080000}"/>
    <cellStyle name="Good 11 2" xfId="2466" xr:uid="{00000000-0005-0000-0000-000096080000}"/>
    <cellStyle name="Good 11 3" xfId="2467" xr:uid="{00000000-0005-0000-0000-000097080000}"/>
    <cellStyle name="Good 12 2" xfId="2468" xr:uid="{00000000-0005-0000-0000-000098080000}"/>
    <cellStyle name="Good 12 3" xfId="2469" xr:uid="{00000000-0005-0000-0000-000099080000}"/>
    <cellStyle name="Good 13 2" xfId="2470" xr:uid="{00000000-0005-0000-0000-00009A080000}"/>
    <cellStyle name="Good 13 3" xfId="2471" xr:uid="{00000000-0005-0000-0000-00009B080000}"/>
    <cellStyle name="Good 14 2" xfId="2472" xr:uid="{00000000-0005-0000-0000-00009C080000}"/>
    <cellStyle name="Good 14 3" xfId="2473" xr:uid="{00000000-0005-0000-0000-00009D080000}"/>
    <cellStyle name="Good 15" xfId="2474" xr:uid="{00000000-0005-0000-0000-00009E080000}"/>
    <cellStyle name="Good 15 2" xfId="2475" xr:uid="{00000000-0005-0000-0000-00009F080000}"/>
    <cellStyle name="Good 15 3" xfId="2476" xr:uid="{00000000-0005-0000-0000-0000A0080000}"/>
    <cellStyle name="Good 15 4" xfId="2477" xr:uid="{00000000-0005-0000-0000-0000A1080000}"/>
    <cellStyle name="Good 15 5" xfId="2478" xr:uid="{00000000-0005-0000-0000-0000A2080000}"/>
    <cellStyle name="Good 15 6" xfId="2479" xr:uid="{00000000-0005-0000-0000-0000A3080000}"/>
    <cellStyle name="Good 15 7" xfId="2480" xr:uid="{00000000-0005-0000-0000-0000A4080000}"/>
    <cellStyle name="Good 16" xfId="2481" xr:uid="{00000000-0005-0000-0000-0000A5080000}"/>
    <cellStyle name="Good 17" xfId="2482" xr:uid="{00000000-0005-0000-0000-0000A6080000}"/>
    <cellStyle name="Good 18" xfId="2483" xr:uid="{00000000-0005-0000-0000-0000A7080000}"/>
    <cellStyle name="Good 19" xfId="2484" xr:uid="{00000000-0005-0000-0000-0000A8080000}"/>
    <cellStyle name="Good 2" xfId="394" xr:uid="{00000000-0005-0000-0000-0000A9080000}"/>
    <cellStyle name="Good 2 2" xfId="517" xr:uid="{00000000-0005-0000-0000-0000AA080000}"/>
    <cellStyle name="Good 2 2 2" xfId="2485" xr:uid="{00000000-0005-0000-0000-0000AB080000}"/>
    <cellStyle name="Good 2 3" xfId="2486" xr:uid="{00000000-0005-0000-0000-0000AC080000}"/>
    <cellStyle name="Good 20" xfId="2487" xr:uid="{00000000-0005-0000-0000-0000AD080000}"/>
    <cellStyle name="Good 21" xfId="2488" xr:uid="{00000000-0005-0000-0000-0000AE080000}"/>
    <cellStyle name="Good 22" xfId="2489" xr:uid="{00000000-0005-0000-0000-0000AF080000}"/>
    <cellStyle name="Good 3" xfId="647" xr:uid="{00000000-0005-0000-0000-0000B0080000}"/>
    <cellStyle name="Good 3 2" xfId="2490" xr:uid="{00000000-0005-0000-0000-0000B1080000}"/>
    <cellStyle name="Good 3 3" xfId="2491" xr:uid="{00000000-0005-0000-0000-0000B2080000}"/>
    <cellStyle name="Good 4 2" xfId="2492" xr:uid="{00000000-0005-0000-0000-0000B3080000}"/>
    <cellStyle name="Good 4 3" xfId="2493" xr:uid="{00000000-0005-0000-0000-0000B4080000}"/>
    <cellStyle name="Good 5 2" xfId="2494" xr:uid="{00000000-0005-0000-0000-0000B5080000}"/>
    <cellStyle name="Good 5 3" xfId="2495" xr:uid="{00000000-0005-0000-0000-0000B6080000}"/>
    <cellStyle name="Good 6 2" xfId="2496" xr:uid="{00000000-0005-0000-0000-0000B7080000}"/>
    <cellStyle name="Good 6 3" xfId="2497" xr:uid="{00000000-0005-0000-0000-0000B8080000}"/>
    <cellStyle name="Good 7 2" xfId="2498" xr:uid="{00000000-0005-0000-0000-0000B9080000}"/>
    <cellStyle name="Good 7 3" xfId="2499" xr:uid="{00000000-0005-0000-0000-0000BA080000}"/>
    <cellStyle name="Good 8 2" xfId="2500" xr:uid="{00000000-0005-0000-0000-0000BB080000}"/>
    <cellStyle name="Good 8 3" xfId="2501" xr:uid="{00000000-0005-0000-0000-0000BC080000}"/>
    <cellStyle name="Good 9 2" xfId="2502" xr:uid="{00000000-0005-0000-0000-0000BD080000}"/>
    <cellStyle name="Good 9 3" xfId="2503" xr:uid="{00000000-0005-0000-0000-0000BE080000}"/>
    <cellStyle name="Heading 1" xfId="138" builtinId="16" customBuiltin="1"/>
    <cellStyle name="Heading 1 10 2" xfId="2504" xr:uid="{00000000-0005-0000-0000-0000C0080000}"/>
    <cellStyle name="Heading 1 10 3" xfId="2505" xr:uid="{00000000-0005-0000-0000-0000C1080000}"/>
    <cellStyle name="Heading 1 11 2" xfId="2506" xr:uid="{00000000-0005-0000-0000-0000C2080000}"/>
    <cellStyle name="Heading 1 11 3" xfId="2507" xr:uid="{00000000-0005-0000-0000-0000C3080000}"/>
    <cellStyle name="Heading 1 12 2" xfId="2508" xr:uid="{00000000-0005-0000-0000-0000C4080000}"/>
    <cellStyle name="Heading 1 12 3" xfId="2509" xr:uid="{00000000-0005-0000-0000-0000C5080000}"/>
    <cellStyle name="Heading 1 13 2" xfId="2510" xr:uid="{00000000-0005-0000-0000-0000C6080000}"/>
    <cellStyle name="Heading 1 13 3" xfId="2511" xr:uid="{00000000-0005-0000-0000-0000C7080000}"/>
    <cellStyle name="Heading 1 14 2" xfId="2512" xr:uid="{00000000-0005-0000-0000-0000C8080000}"/>
    <cellStyle name="Heading 1 14 3" xfId="2513" xr:uid="{00000000-0005-0000-0000-0000C9080000}"/>
    <cellStyle name="Heading 1 15" xfId="2514" xr:uid="{00000000-0005-0000-0000-0000CA080000}"/>
    <cellStyle name="Heading 1 15 2" xfId="2515" xr:uid="{00000000-0005-0000-0000-0000CB080000}"/>
    <cellStyle name="Heading 1 15 3" xfId="2516" xr:uid="{00000000-0005-0000-0000-0000CC080000}"/>
    <cellStyle name="Heading 1 15 4" xfId="2517" xr:uid="{00000000-0005-0000-0000-0000CD080000}"/>
    <cellStyle name="Heading 1 15 5" xfId="2518" xr:uid="{00000000-0005-0000-0000-0000CE080000}"/>
    <cellStyle name="Heading 1 15 6" xfId="2519" xr:uid="{00000000-0005-0000-0000-0000CF080000}"/>
    <cellStyle name="Heading 1 15 7" xfId="2520" xr:uid="{00000000-0005-0000-0000-0000D0080000}"/>
    <cellStyle name="Heading 1 16" xfId="2521" xr:uid="{00000000-0005-0000-0000-0000D1080000}"/>
    <cellStyle name="Heading 1 17" xfId="2522" xr:uid="{00000000-0005-0000-0000-0000D2080000}"/>
    <cellStyle name="Heading 1 18" xfId="2523" xr:uid="{00000000-0005-0000-0000-0000D3080000}"/>
    <cellStyle name="Heading 1 19" xfId="2524" xr:uid="{00000000-0005-0000-0000-0000D4080000}"/>
    <cellStyle name="Heading 1 2" xfId="390" xr:uid="{00000000-0005-0000-0000-0000D5080000}"/>
    <cellStyle name="Heading 1 2 2" xfId="494" xr:uid="{00000000-0005-0000-0000-0000D6080000}"/>
    <cellStyle name="Heading 1 2 2 2" xfId="2525" xr:uid="{00000000-0005-0000-0000-0000D7080000}"/>
    <cellStyle name="Heading 1 2 3" xfId="2526" xr:uid="{00000000-0005-0000-0000-0000D8080000}"/>
    <cellStyle name="Heading 1 20" xfId="2527" xr:uid="{00000000-0005-0000-0000-0000D9080000}"/>
    <cellStyle name="Heading 1 21" xfId="2528" xr:uid="{00000000-0005-0000-0000-0000DA080000}"/>
    <cellStyle name="Heading 1 22" xfId="2529" xr:uid="{00000000-0005-0000-0000-0000DB080000}"/>
    <cellStyle name="Heading 1 3" xfId="648" xr:uid="{00000000-0005-0000-0000-0000DC080000}"/>
    <cellStyle name="Heading 1 3 2" xfId="2530" xr:uid="{00000000-0005-0000-0000-0000DD080000}"/>
    <cellStyle name="Heading 1 3 3" xfId="2531" xr:uid="{00000000-0005-0000-0000-0000DE080000}"/>
    <cellStyle name="Heading 1 4 2" xfId="2532" xr:uid="{00000000-0005-0000-0000-0000DF080000}"/>
    <cellStyle name="Heading 1 4 3" xfId="2533" xr:uid="{00000000-0005-0000-0000-0000E0080000}"/>
    <cellStyle name="Heading 1 5 2" xfId="2534" xr:uid="{00000000-0005-0000-0000-0000E1080000}"/>
    <cellStyle name="Heading 1 5 3" xfId="2535" xr:uid="{00000000-0005-0000-0000-0000E2080000}"/>
    <cellStyle name="Heading 1 6 2" xfId="2536" xr:uid="{00000000-0005-0000-0000-0000E3080000}"/>
    <cellStyle name="Heading 1 6 3" xfId="2537" xr:uid="{00000000-0005-0000-0000-0000E4080000}"/>
    <cellStyle name="Heading 1 7 2" xfId="2538" xr:uid="{00000000-0005-0000-0000-0000E5080000}"/>
    <cellStyle name="Heading 1 7 3" xfId="2539" xr:uid="{00000000-0005-0000-0000-0000E6080000}"/>
    <cellStyle name="Heading 1 8 2" xfId="2540" xr:uid="{00000000-0005-0000-0000-0000E7080000}"/>
    <cellStyle name="Heading 1 8 3" xfId="2541" xr:uid="{00000000-0005-0000-0000-0000E8080000}"/>
    <cellStyle name="Heading 1 9 2" xfId="2542" xr:uid="{00000000-0005-0000-0000-0000E9080000}"/>
    <cellStyle name="Heading 1 9 3" xfId="2543" xr:uid="{00000000-0005-0000-0000-0000EA080000}"/>
    <cellStyle name="Heading 2" xfId="139" builtinId="17" customBuiltin="1"/>
    <cellStyle name="Heading 2 10 2" xfId="2544" xr:uid="{00000000-0005-0000-0000-0000EC080000}"/>
    <cellStyle name="Heading 2 10 3" xfId="2545" xr:uid="{00000000-0005-0000-0000-0000ED080000}"/>
    <cellStyle name="Heading 2 11 2" xfId="2546" xr:uid="{00000000-0005-0000-0000-0000EE080000}"/>
    <cellStyle name="Heading 2 11 3" xfId="2547" xr:uid="{00000000-0005-0000-0000-0000EF080000}"/>
    <cellStyle name="Heading 2 12 2" xfId="2548" xr:uid="{00000000-0005-0000-0000-0000F0080000}"/>
    <cellStyle name="Heading 2 12 3" xfId="2549" xr:uid="{00000000-0005-0000-0000-0000F1080000}"/>
    <cellStyle name="Heading 2 13 2" xfId="2550" xr:uid="{00000000-0005-0000-0000-0000F2080000}"/>
    <cellStyle name="Heading 2 13 3" xfId="2551" xr:uid="{00000000-0005-0000-0000-0000F3080000}"/>
    <cellStyle name="Heading 2 14 2" xfId="2552" xr:uid="{00000000-0005-0000-0000-0000F4080000}"/>
    <cellStyle name="Heading 2 14 3" xfId="2553" xr:uid="{00000000-0005-0000-0000-0000F5080000}"/>
    <cellStyle name="Heading 2 15" xfId="2554" xr:uid="{00000000-0005-0000-0000-0000F6080000}"/>
    <cellStyle name="Heading 2 15 2" xfId="2555" xr:uid="{00000000-0005-0000-0000-0000F7080000}"/>
    <cellStyle name="Heading 2 15 3" xfId="2556" xr:uid="{00000000-0005-0000-0000-0000F8080000}"/>
    <cellStyle name="Heading 2 15 4" xfId="2557" xr:uid="{00000000-0005-0000-0000-0000F9080000}"/>
    <cellStyle name="Heading 2 15 5" xfId="2558" xr:uid="{00000000-0005-0000-0000-0000FA080000}"/>
    <cellStyle name="Heading 2 15 6" xfId="2559" xr:uid="{00000000-0005-0000-0000-0000FB080000}"/>
    <cellStyle name="Heading 2 15 7" xfId="2560" xr:uid="{00000000-0005-0000-0000-0000FC080000}"/>
    <cellStyle name="Heading 2 16" xfId="2561" xr:uid="{00000000-0005-0000-0000-0000FD080000}"/>
    <cellStyle name="Heading 2 17" xfId="2562" xr:uid="{00000000-0005-0000-0000-0000FE080000}"/>
    <cellStyle name="Heading 2 18" xfId="2563" xr:uid="{00000000-0005-0000-0000-0000FF080000}"/>
    <cellStyle name="Heading 2 19" xfId="2564" xr:uid="{00000000-0005-0000-0000-000000090000}"/>
    <cellStyle name="Heading 2 2" xfId="391" xr:uid="{00000000-0005-0000-0000-000001090000}"/>
    <cellStyle name="Heading 2 2 10" xfId="2565" xr:uid="{00000000-0005-0000-0000-000002090000}"/>
    <cellStyle name="Heading 2 2 2" xfId="497" xr:uid="{00000000-0005-0000-0000-000003090000}"/>
    <cellStyle name="Heading 2 2 2 2" xfId="2566" xr:uid="{00000000-0005-0000-0000-000004090000}"/>
    <cellStyle name="Heading 2 2 3" xfId="2567" xr:uid="{00000000-0005-0000-0000-000005090000}"/>
    <cellStyle name="Heading 2 2 4" xfId="2568" xr:uid="{00000000-0005-0000-0000-000006090000}"/>
    <cellStyle name="Heading 2 2 5" xfId="2569" xr:uid="{00000000-0005-0000-0000-000007090000}"/>
    <cellStyle name="Heading 2 2 6" xfId="2570" xr:uid="{00000000-0005-0000-0000-000008090000}"/>
    <cellStyle name="Heading 2 2 7" xfId="2571" xr:uid="{00000000-0005-0000-0000-000009090000}"/>
    <cellStyle name="Heading 2 2 8" xfId="2572" xr:uid="{00000000-0005-0000-0000-00000A090000}"/>
    <cellStyle name="Heading 2 2 9" xfId="2573" xr:uid="{00000000-0005-0000-0000-00000B090000}"/>
    <cellStyle name="Heading 2 20" xfId="2574" xr:uid="{00000000-0005-0000-0000-00000C090000}"/>
    <cellStyle name="Heading 2 21" xfId="2575" xr:uid="{00000000-0005-0000-0000-00000D090000}"/>
    <cellStyle name="Heading 2 22" xfId="2576" xr:uid="{00000000-0005-0000-0000-00000E090000}"/>
    <cellStyle name="Heading 2 3" xfId="649" xr:uid="{00000000-0005-0000-0000-00000F090000}"/>
    <cellStyle name="Heading 2 3 2" xfId="2577" xr:uid="{00000000-0005-0000-0000-000010090000}"/>
    <cellStyle name="Heading 2 3 3" xfId="2578" xr:uid="{00000000-0005-0000-0000-000011090000}"/>
    <cellStyle name="Heading 2 4 2" xfId="2579" xr:uid="{00000000-0005-0000-0000-000012090000}"/>
    <cellStyle name="Heading 2 4 3" xfId="2580" xr:uid="{00000000-0005-0000-0000-000013090000}"/>
    <cellStyle name="Heading 2 5 2" xfId="2581" xr:uid="{00000000-0005-0000-0000-000014090000}"/>
    <cellStyle name="Heading 2 5 3" xfId="2582" xr:uid="{00000000-0005-0000-0000-000015090000}"/>
    <cellStyle name="Heading 2 6 2" xfId="2583" xr:uid="{00000000-0005-0000-0000-000016090000}"/>
    <cellStyle name="Heading 2 6 3" xfId="2584" xr:uid="{00000000-0005-0000-0000-000017090000}"/>
    <cellStyle name="Heading 2 7 2" xfId="2585" xr:uid="{00000000-0005-0000-0000-000018090000}"/>
    <cellStyle name="Heading 2 7 3" xfId="2586" xr:uid="{00000000-0005-0000-0000-000019090000}"/>
    <cellStyle name="Heading 2 8 2" xfId="2587" xr:uid="{00000000-0005-0000-0000-00001A090000}"/>
    <cellStyle name="Heading 2 8 3" xfId="2588" xr:uid="{00000000-0005-0000-0000-00001B090000}"/>
    <cellStyle name="Heading 2 9 2" xfId="2589" xr:uid="{00000000-0005-0000-0000-00001C090000}"/>
    <cellStyle name="Heading 2 9 3" xfId="2590" xr:uid="{00000000-0005-0000-0000-00001D090000}"/>
    <cellStyle name="Heading 3" xfId="140" builtinId="18" customBuiltin="1"/>
    <cellStyle name="Heading 3 10 2" xfId="2591" xr:uid="{00000000-0005-0000-0000-00001F090000}"/>
    <cellStyle name="Heading 3 10 3" xfId="2592" xr:uid="{00000000-0005-0000-0000-000020090000}"/>
    <cellStyle name="Heading 3 11 2" xfId="2593" xr:uid="{00000000-0005-0000-0000-000021090000}"/>
    <cellStyle name="Heading 3 11 3" xfId="2594" xr:uid="{00000000-0005-0000-0000-000022090000}"/>
    <cellStyle name="Heading 3 12 2" xfId="2595" xr:uid="{00000000-0005-0000-0000-000023090000}"/>
    <cellStyle name="Heading 3 12 3" xfId="2596" xr:uid="{00000000-0005-0000-0000-000024090000}"/>
    <cellStyle name="Heading 3 13 2" xfId="2597" xr:uid="{00000000-0005-0000-0000-000025090000}"/>
    <cellStyle name="Heading 3 13 3" xfId="2598" xr:uid="{00000000-0005-0000-0000-000026090000}"/>
    <cellStyle name="Heading 3 14 2" xfId="2599" xr:uid="{00000000-0005-0000-0000-000027090000}"/>
    <cellStyle name="Heading 3 14 3" xfId="2600" xr:uid="{00000000-0005-0000-0000-000028090000}"/>
    <cellStyle name="Heading 3 15" xfId="2601" xr:uid="{00000000-0005-0000-0000-000029090000}"/>
    <cellStyle name="Heading 3 15 2" xfId="2602" xr:uid="{00000000-0005-0000-0000-00002A090000}"/>
    <cellStyle name="Heading 3 15 3" xfId="2603" xr:uid="{00000000-0005-0000-0000-00002B090000}"/>
    <cellStyle name="Heading 3 15 4" xfId="2604" xr:uid="{00000000-0005-0000-0000-00002C090000}"/>
    <cellStyle name="Heading 3 15 5" xfId="2605" xr:uid="{00000000-0005-0000-0000-00002D090000}"/>
    <cellStyle name="Heading 3 15 6" xfId="2606" xr:uid="{00000000-0005-0000-0000-00002E090000}"/>
    <cellStyle name="Heading 3 15 7" xfId="2607" xr:uid="{00000000-0005-0000-0000-00002F090000}"/>
    <cellStyle name="Heading 3 16" xfId="2608" xr:uid="{00000000-0005-0000-0000-000030090000}"/>
    <cellStyle name="Heading 3 17" xfId="2609" xr:uid="{00000000-0005-0000-0000-000031090000}"/>
    <cellStyle name="Heading 3 18" xfId="2610" xr:uid="{00000000-0005-0000-0000-000032090000}"/>
    <cellStyle name="Heading 3 19" xfId="2611" xr:uid="{00000000-0005-0000-0000-000033090000}"/>
    <cellStyle name="Heading 3 2" xfId="392" xr:uid="{00000000-0005-0000-0000-000034090000}"/>
    <cellStyle name="Heading 3 2 2" xfId="448" xr:uid="{00000000-0005-0000-0000-000035090000}"/>
    <cellStyle name="Heading 3 2 2 2" xfId="2612" xr:uid="{00000000-0005-0000-0000-000036090000}"/>
    <cellStyle name="Heading 3 2 3" xfId="2613" xr:uid="{00000000-0005-0000-0000-000037090000}"/>
    <cellStyle name="Heading 3 20" xfId="2614" xr:uid="{00000000-0005-0000-0000-000038090000}"/>
    <cellStyle name="Heading 3 21" xfId="2615" xr:uid="{00000000-0005-0000-0000-000039090000}"/>
    <cellStyle name="Heading 3 22" xfId="2616" xr:uid="{00000000-0005-0000-0000-00003A090000}"/>
    <cellStyle name="Heading 3 3" xfId="650" xr:uid="{00000000-0005-0000-0000-00003B090000}"/>
    <cellStyle name="Heading 3 3 2" xfId="2617" xr:uid="{00000000-0005-0000-0000-00003C090000}"/>
    <cellStyle name="Heading 3 3 3" xfId="2618" xr:uid="{00000000-0005-0000-0000-00003D090000}"/>
    <cellStyle name="Heading 3 4 2" xfId="2619" xr:uid="{00000000-0005-0000-0000-00003E090000}"/>
    <cellStyle name="Heading 3 4 3" xfId="2620" xr:uid="{00000000-0005-0000-0000-00003F090000}"/>
    <cellStyle name="Heading 3 5 2" xfId="2621" xr:uid="{00000000-0005-0000-0000-000040090000}"/>
    <cellStyle name="Heading 3 5 3" xfId="2622" xr:uid="{00000000-0005-0000-0000-000041090000}"/>
    <cellStyle name="Heading 3 6 2" xfId="2623" xr:uid="{00000000-0005-0000-0000-000042090000}"/>
    <cellStyle name="Heading 3 6 3" xfId="2624" xr:uid="{00000000-0005-0000-0000-000043090000}"/>
    <cellStyle name="Heading 3 7 2" xfId="2625" xr:uid="{00000000-0005-0000-0000-000044090000}"/>
    <cellStyle name="Heading 3 7 3" xfId="2626" xr:uid="{00000000-0005-0000-0000-000045090000}"/>
    <cellStyle name="Heading 3 8 2" xfId="2627" xr:uid="{00000000-0005-0000-0000-000046090000}"/>
    <cellStyle name="Heading 3 8 3" xfId="2628" xr:uid="{00000000-0005-0000-0000-000047090000}"/>
    <cellStyle name="Heading 3 9 2" xfId="2629" xr:uid="{00000000-0005-0000-0000-000048090000}"/>
    <cellStyle name="Heading 3 9 3" xfId="2630" xr:uid="{00000000-0005-0000-0000-000049090000}"/>
    <cellStyle name="Heading 4" xfId="141" builtinId="19" customBuiltin="1"/>
    <cellStyle name="Heading 4 10 2" xfId="2631" xr:uid="{00000000-0005-0000-0000-00004B090000}"/>
    <cellStyle name="Heading 4 10 3" xfId="2632" xr:uid="{00000000-0005-0000-0000-00004C090000}"/>
    <cellStyle name="Heading 4 11 2" xfId="2633" xr:uid="{00000000-0005-0000-0000-00004D090000}"/>
    <cellStyle name="Heading 4 11 3" xfId="2634" xr:uid="{00000000-0005-0000-0000-00004E090000}"/>
    <cellStyle name="Heading 4 12 2" xfId="2635" xr:uid="{00000000-0005-0000-0000-00004F090000}"/>
    <cellStyle name="Heading 4 12 3" xfId="2636" xr:uid="{00000000-0005-0000-0000-000050090000}"/>
    <cellStyle name="Heading 4 13 2" xfId="2637" xr:uid="{00000000-0005-0000-0000-000051090000}"/>
    <cellStyle name="Heading 4 13 3" xfId="2638" xr:uid="{00000000-0005-0000-0000-000052090000}"/>
    <cellStyle name="Heading 4 14 2" xfId="2639" xr:uid="{00000000-0005-0000-0000-000053090000}"/>
    <cellStyle name="Heading 4 14 3" xfId="2640" xr:uid="{00000000-0005-0000-0000-000054090000}"/>
    <cellStyle name="Heading 4 15" xfId="2641" xr:uid="{00000000-0005-0000-0000-000055090000}"/>
    <cellStyle name="Heading 4 15 2" xfId="2642" xr:uid="{00000000-0005-0000-0000-000056090000}"/>
    <cellStyle name="Heading 4 15 3" xfId="2643" xr:uid="{00000000-0005-0000-0000-000057090000}"/>
    <cellStyle name="Heading 4 15 4" xfId="2644" xr:uid="{00000000-0005-0000-0000-000058090000}"/>
    <cellStyle name="Heading 4 15 5" xfId="2645" xr:uid="{00000000-0005-0000-0000-000059090000}"/>
    <cellStyle name="Heading 4 15 6" xfId="2646" xr:uid="{00000000-0005-0000-0000-00005A090000}"/>
    <cellStyle name="Heading 4 15 7" xfId="2647" xr:uid="{00000000-0005-0000-0000-00005B090000}"/>
    <cellStyle name="Heading 4 16" xfId="2648" xr:uid="{00000000-0005-0000-0000-00005C090000}"/>
    <cellStyle name="Heading 4 17" xfId="2649" xr:uid="{00000000-0005-0000-0000-00005D090000}"/>
    <cellStyle name="Heading 4 18" xfId="2650" xr:uid="{00000000-0005-0000-0000-00005E090000}"/>
    <cellStyle name="Heading 4 19" xfId="2651" xr:uid="{00000000-0005-0000-0000-00005F090000}"/>
    <cellStyle name="Heading 4 2" xfId="393" xr:uid="{00000000-0005-0000-0000-000060090000}"/>
    <cellStyle name="Heading 4 2 2" xfId="604" xr:uid="{00000000-0005-0000-0000-000061090000}"/>
    <cellStyle name="Heading 4 2 2 2" xfId="2652" xr:uid="{00000000-0005-0000-0000-000062090000}"/>
    <cellStyle name="Heading 4 2 3" xfId="2653" xr:uid="{00000000-0005-0000-0000-000063090000}"/>
    <cellStyle name="Heading 4 20" xfId="2654" xr:uid="{00000000-0005-0000-0000-000064090000}"/>
    <cellStyle name="Heading 4 21" xfId="2655" xr:uid="{00000000-0005-0000-0000-000065090000}"/>
    <cellStyle name="Heading 4 22" xfId="2656" xr:uid="{00000000-0005-0000-0000-000066090000}"/>
    <cellStyle name="Heading 4 3" xfId="651" xr:uid="{00000000-0005-0000-0000-000067090000}"/>
    <cellStyle name="Heading 4 3 2" xfId="2657" xr:uid="{00000000-0005-0000-0000-000068090000}"/>
    <cellStyle name="Heading 4 3 3" xfId="2658" xr:uid="{00000000-0005-0000-0000-000069090000}"/>
    <cellStyle name="Heading 4 4 2" xfId="2659" xr:uid="{00000000-0005-0000-0000-00006A090000}"/>
    <cellStyle name="Heading 4 4 3" xfId="2660" xr:uid="{00000000-0005-0000-0000-00006B090000}"/>
    <cellStyle name="Heading 4 5 2" xfId="2661" xr:uid="{00000000-0005-0000-0000-00006C090000}"/>
    <cellStyle name="Heading 4 5 3" xfId="2662" xr:uid="{00000000-0005-0000-0000-00006D090000}"/>
    <cellStyle name="Heading 4 6 2" xfId="2663" xr:uid="{00000000-0005-0000-0000-00006E090000}"/>
    <cellStyle name="Heading 4 6 3" xfId="2664" xr:uid="{00000000-0005-0000-0000-00006F090000}"/>
    <cellStyle name="Heading 4 7 2" xfId="2665" xr:uid="{00000000-0005-0000-0000-000070090000}"/>
    <cellStyle name="Heading 4 7 3" xfId="2666" xr:uid="{00000000-0005-0000-0000-000071090000}"/>
    <cellStyle name="Heading 4 8 2" xfId="2667" xr:uid="{00000000-0005-0000-0000-000072090000}"/>
    <cellStyle name="Heading 4 8 3" xfId="2668" xr:uid="{00000000-0005-0000-0000-000073090000}"/>
    <cellStyle name="Heading 4 9 2" xfId="2669" xr:uid="{00000000-0005-0000-0000-000074090000}"/>
    <cellStyle name="Heading 4 9 3" xfId="2670" xr:uid="{00000000-0005-0000-0000-000075090000}"/>
    <cellStyle name="Hyperlink" xfId="290" builtinId="8" customBuiltin="1"/>
    <cellStyle name="Hyperlink 2" xfId="24" xr:uid="{00000000-0005-0000-0000-000077090000}"/>
    <cellStyle name="Hyperlink 3" xfId="25" xr:uid="{00000000-0005-0000-0000-000078090000}"/>
    <cellStyle name="Hyperlink 4" xfId="304" xr:uid="{00000000-0005-0000-0000-000079090000}"/>
    <cellStyle name="Hyperlink 5" xfId="302" xr:uid="{00000000-0005-0000-0000-00007A090000}"/>
    <cellStyle name="Hyperlink 6" xfId="652" xr:uid="{00000000-0005-0000-0000-00007B090000}"/>
    <cellStyle name="Hyperlink 6 2" xfId="2671" xr:uid="{00000000-0005-0000-0000-00007C090000}"/>
    <cellStyle name="Input" xfId="1" builtinId="20" customBuiltin="1"/>
    <cellStyle name="Input 10 2" xfId="2672" xr:uid="{00000000-0005-0000-0000-00007E090000}"/>
    <cellStyle name="Input 10 3" xfId="2673" xr:uid="{00000000-0005-0000-0000-00007F090000}"/>
    <cellStyle name="Input 11 2" xfId="2674" xr:uid="{00000000-0005-0000-0000-000080090000}"/>
    <cellStyle name="Input 11 3" xfId="2675" xr:uid="{00000000-0005-0000-0000-000081090000}"/>
    <cellStyle name="Input 12 2" xfId="2676" xr:uid="{00000000-0005-0000-0000-000082090000}"/>
    <cellStyle name="Input 12 3" xfId="2677" xr:uid="{00000000-0005-0000-0000-000083090000}"/>
    <cellStyle name="Input 13 2" xfId="2678" xr:uid="{00000000-0005-0000-0000-000084090000}"/>
    <cellStyle name="Input 13 3" xfId="2679" xr:uid="{00000000-0005-0000-0000-000085090000}"/>
    <cellStyle name="Input 14 2" xfId="2680" xr:uid="{00000000-0005-0000-0000-000086090000}"/>
    <cellStyle name="Input 14 3" xfId="2681" xr:uid="{00000000-0005-0000-0000-000087090000}"/>
    <cellStyle name="Input 15" xfId="2682" xr:uid="{00000000-0005-0000-0000-000088090000}"/>
    <cellStyle name="Input 15 2" xfId="2683" xr:uid="{00000000-0005-0000-0000-000089090000}"/>
    <cellStyle name="Input 15 3" xfId="2684" xr:uid="{00000000-0005-0000-0000-00008A090000}"/>
    <cellStyle name="Input 15 4" xfId="2685" xr:uid="{00000000-0005-0000-0000-00008B090000}"/>
    <cellStyle name="Input 15 5" xfId="2686" xr:uid="{00000000-0005-0000-0000-00008C090000}"/>
    <cellStyle name="Input 15 6" xfId="2687" xr:uid="{00000000-0005-0000-0000-00008D090000}"/>
    <cellStyle name="Input 15 7" xfId="2688" xr:uid="{00000000-0005-0000-0000-00008E090000}"/>
    <cellStyle name="Input 16" xfId="2689" xr:uid="{00000000-0005-0000-0000-00008F090000}"/>
    <cellStyle name="Input 17" xfId="2690" xr:uid="{00000000-0005-0000-0000-000090090000}"/>
    <cellStyle name="Input 18" xfId="2691" xr:uid="{00000000-0005-0000-0000-000091090000}"/>
    <cellStyle name="Input 19" xfId="2692" xr:uid="{00000000-0005-0000-0000-000092090000}"/>
    <cellStyle name="Input 2" xfId="397" xr:uid="{00000000-0005-0000-0000-000093090000}"/>
    <cellStyle name="Input 2 2" xfId="600" xr:uid="{00000000-0005-0000-0000-000094090000}"/>
    <cellStyle name="Input 2 2 2" xfId="2693" xr:uid="{00000000-0005-0000-0000-000095090000}"/>
    <cellStyle name="Input 2 3" xfId="2694" xr:uid="{00000000-0005-0000-0000-000096090000}"/>
    <cellStyle name="Input 20" xfId="2695" xr:uid="{00000000-0005-0000-0000-000097090000}"/>
    <cellStyle name="Input 21" xfId="2696" xr:uid="{00000000-0005-0000-0000-000098090000}"/>
    <cellStyle name="Input 22" xfId="2697" xr:uid="{00000000-0005-0000-0000-000099090000}"/>
    <cellStyle name="Input 3" xfId="653" xr:uid="{00000000-0005-0000-0000-00009A090000}"/>
    <cellStyle name="Input 3 2" xfId="2698" xr:uid="{00000000-0005-0000-0000-00009B090000}"/>
    <cellStyle name="Input 3 3" xfId="2699" xr:uid="{00000000-0005-0000-0000-00009C090000}"/>
    <cellStyle name="Input 4 2" xfId="2700" xr:uid="{00000000-0005-0000-0000-00009D090000}"/>
    <cellStyle name="Input 4 3" xfId="2701" xr:uid="{00000000-0005-0000-0000-00009E090000}"/>
    <cellStyle name="Input 5 2" xfId="2702" xr:uid="{00000000-0005-0000-0000-00009F090000}"/>
    <cellStyle name="Input 5 3" xfId="2703" xr:uid="{00000000-0005-0000-0000-0000A0090000}"/>
    <cellStyle name="Input 6 2" xfId="2704" xr:uid="{00000000-0005-0000-0000-0000A1090000}"/>
    <cellStyle name="Input 6 3" xfId="2705" xr:uid="{00000000-0005-0000-0000-0000A2090000}"/>
    <cellStyle name="Input 7 2" xfId="2706" xr:uid="{00000000-0005-0000-0000-0000A3090000}"/>
    <cellStyle name="Input 7 3" xfId="2707" xr:uid="{00000000-0005-0000-0000-0000A4090000}"/>
    <cellStyle name="Input 8 2" xfId="2708" xr:uid="{00000000-0005-0000-0000-0000A5090000}"/>
    <cellStyle name="Input 8 3" xfId="2709" xr:uid="{00000000-0005-0000-0000-0000A6090000}"/>
    <cellStyle name="Input 9 2" xfId="2710" xr:uid="{00000000-0005-0000-0000-0000A7090000}"/>
    <cellStyle name="Input 9 3" xfId="2711" xr:uid="{00000000-0005-0000-0000-0000A8090000}"/>
    <cellStyle name="Linked Cell" xfId="146" builtinId="24" customBuiltin="1"/>
    <cellStyle name="Linked Cell 10 2" xfId="2712" xr:uid="{00000000-0005-0000-0000-0000AA090000}"/>
    <cellStyle name="Linked Cell 10 3" xfId="2713" xr:uid="{00000000-0005-0000-0000-0000AB090000}"/>
    <cellStyle name="Linked Cell 11 2" xfId="2714" xr:uid="{00000000-0005-0000-0000-0000AC090000}"/>
    <cellStyle name="Linked Cell 11 3" xfId="2715" xr:uid="{00000000-0005-0000-0000-0000AD090000}"/>
    <cellStyle name="Linked Cell 12 2" xfId="2716" xr:uid="{00000000-0005-0000-0000-0000AE090000}"/>
    <cellStyle name="Linked Cell 12 3" xfId="2717" xr:uid="{00000000-0005-0000-0000-0000AF090000}"/>
    <cellStyle name="Linked Cell 13 2" xfId="2718" xr:uid="{00000000-0005-0000-0000-0000B0090000}"/>
    <cellStyle name="Linked Cell 13 3" xfId="2719" xr:uid="{00000000-0005-0000-0000-0000B1090000}"/>
    <cellStyle name="Linked Cell 14 2" xfId="2720" xr:uid="{00000000-0005-0000-0000-0000B2090000}"/>
    <cellStyle name="Linked Cell 14 3" xfId="2721" xr:uid="{00000000-0005-0000-0000-0000B3090000}"/>
    <cellStyle name="Linked Cell 15" xfId="2722" xr:uid="{00000000-0005-0000-0000-0000B4090000}"/>
    <cellStyle name="Linked Cell 15 2" xfId="2723" xr:uid="{00000000-0005-0000-0000-0000B5090000}"/>
    <cellStyle name="Linked Cell 15 3" xfId="2724" xr:uid="{00000000-0005-0000-0000-0000B6090000}"/>
    <cellStyle name="Linked Cell 15 4" xfId="2725" xr:uid="{00000000-0005-0000-0000-0000B7090000}"/>
    <cellStyle name="Linked Cell 15 5" xfId="2726" xr:uid="{00000000-0005-0000-0000-0000B8090000}"/>
    <cellStyle name="Linked Cell 15 6" xfId="2727" xr:uid="{00000000-0005-0000-0000-0000B9090000}"/>
    <cellStyle name="Linked Cell 15 7" xfId="2728" xr:uid="{00000000-0005-0000-0000-0000BA090000}"/>
    <cellStyle name="Linked Cell 16" xfId="2729" xr:uid="{00000000-0005-0000-0000-0000BB090000}"/>
    <cellStyle name="Linked Cell 17" xfId="2730" xr:uid="{00000000-0005-0000-0000-0000BC090000}"/>
    <cellStyle name="Linked Cell 18" xfId="2731" xr:uid="{00000000-0005-0000-0000-0000BD090000}"/>
    <cellStyle name="Linked Cell 19" xfId="2732" xr:uid="{00000000-0005-0000-0000-0000BE090000}"/>
    <cellStyle name="Linked Cell 2" xfId="400" xr:uid="{00000000-0005-0000-0000-0000BF090000}"/>
    <cellStyle name="Linked Cell 2 2" xfId="495" xr:uid="{00000000-0005-0000-0000-0000C0090000}"/>
    <cellStyle name="Linked Cell 2 2 2" xfId="2733" xr:uid="{00000000-0005-0000-0000-0000C1090000}"/>
    <cellStyle name="Linked Cell 2 3" xfId="2734" xr:uid="{00000000-0005-0000-0000-0000C2090000}"/>
    <cellStyle name="Linked Cell 20" xfId="2735" xr:uid="{00000000-0005-0000-0000-0000C3090000}"/>
    <cellStyle name="Linked Cell 21" xfId="2736" xr:uid="{00000000-0005-0000-0000-0000C4090000}"/>
    <cellStyle name="Linked Cell 22" xfId="2737" xr:uid="{00000000-0005-0000-0000-0000C5090000}"/>
    <cellStyle name="Linked Cell 3" xfId="654" xr:uid="{00000000-0005-0000-0000-0000C6090000}"/>
    <cellStyle name="Linked Cell 3 2" xfId="2738" xr:uid="{00000000-0005-0000-0000-0000C7090000}"/>
    <cellStyle name="Linked Cell 3 3" xfId="2739" xr:uid="{00000000-0005-0000-0000-0000C8090000}"/>
    <cellStyle name="Linked Cell 4 2" xfId="2740" xr:uid="{00000000-0005-0000-0000-0000C9090000}"/>
    <cellStyle name="Linked Cell 4 3" xfId="2741" xr:uid="{00000000-0005-0000-0000-0000CA090000}"/>
    <cellStyle name="Linked Cell 5 2" xfId="2742" xr:uid="{00000000-0005-0000-0000-0000CB090000}"/>
    <cellStyle name="Linked Cell 5 3" xfId="2743" xr:uid="{00000000-0005-0000-0000-0000CC090000}"/>
    <cellStyle name="Linked Cell 6 2" xfId="2744" xr:uid="{00000000-0005-0000-0000-0000CD090000}"/>
    <cellStyle name="Linked Cell 6 3" xfId="2745" xr:uid="{00000000-0005-0000-0000-0000CE090000}"/>
    <cellStyle name="Linked Cell 7 2" xfId="2746" xr:uid="{00000000-0005-0000-0000-0000CF090000}"/>
    <cellStyle name="Linked Cell 7 3" xfId="2747" xr:uid="{00000000-0005-0000-0000-0000D0090000}"/>
    <cellStyle name="Linked Cell 8 2" xfId="2748" xr:uid="{00000000-0005-0000-0000-0000D1090000}"/>
    <cellStyle name="Linked Cell 8 3" xfId="2749" xr:uid="{00000000-0005-0000-0000-0000D2090000}"/>
    <cellStyle name="Linked Cell 9 2" xfId="2750" xr:uid="{00000000-0005-0000-0000-0000D3090000}"/>
    <cellStyle name="Linked Cell 9 3" xfId="2751" xr:uid="{00000000-0005-0000-0000-0000D4090000}"/>
    <cellStyle name="Neutral" xfId="144" builtinId="28" customBuiltin="1"/>
    <cellStyle name="Neutral 10 2" xfId="2752" xr:uid="{00000000-0005-0000-0000-0000D6090000}"/>
    <cellStyle name="Neutral 10 3" xfId="2753" xr:uid="{00000000-0005-0000-0000-0000D7090000}"/>
    <cellStyle name="Neutral 11 2" xfId="2754" xr:uid="{00000000-0005-0000-0000-0000D8090000}"/>
    <cellStyle name="Neutral 11 3" xfId="2755" xr:uid="{00000000-0005-0000-0000-0000D9090000}"/>
    <cellStyle name="Neutral 12 2" xfId="2756" xr:uid="{00000000-0005-0000-0000-0000DA090000}"/>
    <cellStyle name="Neutral 12 3" xfId="2757" xr:uid="{00000000-0005-0000-0000-0000DB090000}"/>
    <cellStyle name="Neutral 13 2" xfId="2758" xr:uid="{00000000-0005-0000-0000-0000DC090000}"/>
    <cellStyle name="Neutral 13 3" xfId="2759" xr:uid="{00000000-0005-0000-0000-0000DD090000}"/>
    <cellStyle name="Neutral 14 2" xfId="2760" xr:uid="{00000000-0005-0000-0000-0000DE090000}"/>
    <cellStyle name="Neutral 14 3" xfId="2761" xr:uid="{00000000-0005-0000-0000-0000DF090000}"/>
    <cellStyle name="Neutral 15" xfId="2762" xr:uid="{00000000-0005-0000-0000-0000E0090000}"/>
    <cellStyle name="Neutral 15 2" xfId="2763" xr:uid="{00000000-0005-0000-0000-0000E1090000}"/>
    <cellStyle name="Neutral 15 3" xfId="2764" xr:uid="{00000000-0005-0000-0000-0000E2090000}"/>
    <cellStyle name="Neutral 15 4" xfId="2765" xr:uid="{00000000-0005-0000-0000-0000E3090000}"/>
    <cellStyle name="Neutral 15 5" xfId="2766" xr:uid="{00000000-0005-0000-0000-0000E4090000}"/>
    <cellStyle name="Neutral 15 6" xfId="2767" xr:uid="{00000000-0005-0000-0000-0000E5090000}"/>
    <cellStyle name="Neutral 15 7" xfId="2768" xr:uid="{00000000-0005-0000-0000-0000E6090000}"/>
    <cellStyle name="Neutral 16" xfId="2769" xr:uid="{00000000-0005-0000-0000-0000E7090000}"/>
    <cellStyle name="Neutral 17" xfId="2770" xr:uid="{00000000-0005-0000-0000-0000E8090000}"/>
    <cellStyle name="Neutral 18" xfId="2771" xr:uid="{00000000-0005-0000-0000-0000E9090000}"/>
    <cellStyle name="Neutral 19" xfId="2772" xr:uid="{00000000-0005-0000-0000-0000EA090000}"/>
    <cellStyle name="Neutral 2" xfId="396" xr:uid="{00000000-0005-0000-0000-0000EB090000}"/>
    <cellStyle name="Neutral 2 2" xfId="519" xr:uid="{00000000-0005-0000-0000-0000EC090000}"/>
    <cellStyle name="Neutral 2 2 2" xfId="2773" xr:uid="{00000000-0005-0000-0000-0000ED090000}"/>
    <cellStyle name="Neutral 2 3" xfId="2774" xr:uid="{00000000-0005-0000-0000-0000EE090000}"/>
    <cellStyle name="Neutral 20" xfId="2775" xr:uid="{00000000-0005-0000-0000-0000EF090000}"/>
    <cellStyle name="Neutral 21" xfId="2776" xr:uid="{00000000-0005-0000-0000-0000F0090000}"/>
    <cellStyle name="Neutral 22" xfId="2777" xr:uid="{00000000-0005-0000-0000-0000F1090000}"/>
    <cellStyle name="Neutral 3" xfId="655" xr:uid="{00000000-0005-0000-0000-0000F2090000}"/>
    <cellStyle name="Neutral 3 2" xfId="2778" xr:uid="{00000000-0005-0000-0000-0000F3090000}"/>
    <cellStyle name="Neutral 3 3" xfId="2779" xr:uid="{00000000-0005-0000-0000-0000F4090000}"/>
    <cellStyle name="Neutral 4 2" xfId="2780" xr:uid="{00000000-0005-0000-0000-0000F5090000}"/>
    <cellStyle name="Neutral 4 3" xfId="2781" xr:uid="{00000000-0005-0000-0000-0000F6090000}"/>
    <cellStyle name="Neutral 5 2" xfId="2782" xr:uid="{00000000-0005-0000-0000-0000F7090000}"/>
    <cellStyle name="Neutral 5 3" xfId="2783" xr:uid="{00000000-0005-0000-0000-0000F8090000}"/>
    <cellStyle name="Neutral 6 2" xfId="2784" xr:uid="{00000000-0005-0000-0000-0000F9090000}"/>
    <cellStyle name="Neutral 6 3" xfId="2785" xr:uid="{00000000-0005-0000-0000-0000FA090000}"/>
    <cellStyle name="Neutral 7 2" xfId="2786" xr:uid="{00000000-0005-0000-0000-0000FB090000}"/>
    <cellStyle name="Neutral 7 3" xfId="2787" xr:uid="{00000000-0005-0000-0000-0000FC090000}"/>
    <cellStyle name="Neutral 8 2" xfId="2788" xr:uid="{00000000-0005-0000-0000-0000FD090000}"/>
    <cellStyle name="Neutral 8 3" xfId="2789" xr:uid="{00000000-0005-0000-0000-0000FE090000}"/>
    <cellStyle name="Neutral 9 2" xfId="2790" xr:uid="{00000000-0005-0000-0000-0000FF090000}"/>
    <cellStyle name="Neutral 9 3" xfId="2791" xr:uid="{00000000-0005-0000-0000-0000000A0000}"/>
    <cellStyle name="Normal" xfId="0" builtinId="0"/>
    <cellStyle name="Normal 10" xfId="26" xr:uid="{00000000-0005-0000-0000-0000020A0000}"/>
    <cellStyle name="Normal 10 10" xfId="2792" xr:uid="{00000000-0005-0000-0000-0000030A0000}"/>
    <cellStyle name="Normal 10 11" xfId="2793" xr:uid="{00000000-0005-0000-0000-0000040A0000}"/>
    <cellStyle name="Normal 10 12" xfId="2794" xr:uid="{00000000-0005-0000-0000-0000050A0000}"/>
    <cellStyle name="Normal 10 2" xfId="27" xr:uid="{00000000-0005-0000-0000-0000060A0000}"/>
    <cellStyle name="Normal 10 2 2" xfId="215" xr:uid="{00000000-0005-0000-0000-0000070A0000}"/>
    <cellStyle name="Normal 10 2 3" xfId="37652" xr:uid="{00000000-0005-0000-0000-0000080A0000}"/>
    <cellStyle name="Normal 10 2 4" xfId="21186" xr:uid="{00000000-0005-0000-0000-0000090A0000}"/>
    <cellStyle name="Normal 10 3" xfId="214" xr:uid="{00000000-0005-0000-0000-00000A0A0000}"/>
    <cellStyle name="Normal 10 3 2" xfId="2795" xr:uid="{00000000-0005-0000-0000-00000B0A0000}"/>
    <cellStyle name="Normal 10 4" xfId="2796" xr:uid="{00000000-0005-0000-0000-00000C0A0000}"/>
    <cellStyle name="Normal 10 5" xfId="2797" xr:uid="{00000000-0005-0000-0000-00000D0A0000}"/>
    <cellStyle name="Normal 10 6" xfId="2798" xr:uid="{00000000-0005-0000-0000-00000E0A0000}"/>
    <cellStyle name="Normal 10 7" xfId="2799" xr:uid="{00000000-0005-0000-0000-00000F0A0000}"/>
    <cellStyle name="Normal 10 8" xfId="2800" xr:uid="{00000000-0005-0000-0000-0000100A0000}"/>
    <cellStyle name="Normal 10 9" xfId="2801" xr:uid="{00000000-0005-0000-0000-0000110A0000}"/>
    <cellStyle name="Normal 100" xfId="2802" xr:uid="{00000000-0005-0000-0000-0000120A0000}"/>
    <cellStyle name="Normal 101" xfId="327" xr:uid="{00000000-0005-0000-0000-0000130A0000}"/>
    <cellStyle name="Normal 101 2" xfId="21153" xr:uid="{00000000-0005-0000-0000-0000140A0000}"/>
    <cellStyle name="Normal 102" xfId="2803" xr:uid="{00000000-0005-0000-0000-0000150A0000}"/>
    <cellStyle name="Normal 103" xfId="2804" xr:uid="{00000000-0005-0000-0000-0000160A0000}"/>
    <cellStyle name="Normal 104" xfId="37698" xr:uid="{00000000-0005-0000-0000-0000170A0000}"/>
    <cellStyle name="Normal 11" xfId="28" xr:uid="{00000000-0005-0000-0000-0000180A0000}"/>
    <cellStyle name="Normal 11 2" xfId="216" xr:uid="{00000000-0005-0000-0000-0000190A0000}"/>
    <cellStyle name="Normal 11 2 2" xfId="2805" xr:uid="{00000000-0005-0000-0000-00001A0A0000}"/>
    <cellStyle name="Normal 11 3" xfId="2806" xr:uid="{00000000-0005-0000-0000-00001B0A0000}"/>
    <cellStyle name="Normal 11 4" xfId="2807" xr:uid="{00000000-0005-0000-0000-00001C0A0000}"/>
    <cellStyle name="Normal 11 5" xfId="2808" xr:uid="{00000000-0005-0000-0000-00001D0A0000}"/>
    <cellStyle name="Normal 11 6" xfId="2809" xr:uid="{00000000-0005-0000-0000-00001E0A0000}"/>
    <cellStyle name="Normal 11 7" xfId="2810" xr:uid="{00000000-0005-0000-0000-00001F0A0000}"/>
    <cellStyle name="Normal 11 8" xfId="2811" xr:uid="{00000000-0005-0000-0000-0000200A0000}"/>
    <cellStyle name="Normal 11 9" xfId="2812" xr:uid="{00000000-0005-0000-0000-0000210A0000}"/>
    <cellStyle name="Normal 12" xfId="29" xr:uid="{00000000-0005-0000-0000-0000220A0000}"/>
    <cellStyle name="Normal 12 2" xfId="217" xr:uid="{00000000-0005-0000-0000-0000230A0000}"/>
    <cellStyle name="Normal 12 2 2" xfId="2813" xr:uid="{00000000-0005-0000-0000-0000240A0000}"/>
    <cellStyle name="Normal 12 3" xfId="2814" xr:uid="{00000000-0005-0000-0000-0000250A0000}"/>
    <cellStyle name="Normal 12 4" xfId="2815" xr:uid="{00000000-0005-0000-0000-0000260A0000}"/>
    <cellStyle name="Normal 12 5" xfId="2816" xr:uid="{00000000-0005-0000-0000-0000270A0000}"/>
    <cellStyle name="Normal 12 6" xfId="2817" xr:uid="{00000000-0005-0000-0000-0000280A0000}"/>
    <cellStyle name="Normal 12 7" xfId="2818" xr:uid="{00000000-0005-0000-0000-0000290A0000}"/>
    <cellStyle name="Normal 12 8" xfId="37653" xr:uid="{00000000-0005-0000-0000-00002A0A0000}"/>
    <cellStyle name="Normal 13" xfId="30" xr:uid="{00000000-0005-0000-0000-00002B0A0000}"/>
    <cellStyle name="Normal 13 2" xfId="218" xr:uid="{00000000-0005-0000-0000-00002C0A0000}"/>
    <cellStyle name="Normal 13 2 2" xfId="2819" xr:uid="{00000000-0005-0000-0000-00002D0A0000}"/>
    <cellStyle name="Normal 13 3" xfId="2820" xr:uid="{00000000-0005-0000-0000-00002E0A0000}"/>
    <cellStyle name="Normal 13 4" xfId="2821" xr:uid="{00000000-0005-0000-0000-00002F0A0000}"/>
    <cellStyle name="Normal 13 5" xfId="2822" xr:uid="{00000000-0005-0000-0000-0000300A0000}"/>
    <cellStyle name="Normal 13 6" xfId="2823" xr:uid="{00000000-0005-0000-0000-0000310A0000}"/>
    <cellStyle name="Normal 13 7" xfId="2824" xr:uid="{00000000-0005-0000-0000-0000320A0000}"/>
    <cellStyle name="Normal 13 8" xfId="2825" xr:uid="{00000000-0005-0000-0000-0000330A0000}"/>
    <cellStyle name="Normal 13 9" xfId="2826" xr:uid="{00000000-0005-0000-0000-0000340A0000}"/>
    <cellStyle name="Normal 14" xfId="31" xr:uid="{00000000-0005-0000-0000-0000350A0000}"/>
    <cellStyle name="Normal 14 2" xfId="219" xr:uid="{00000000-0005-0000-0000-0000360A0000}"/>
    <cellStyle name="Normal 14 2 2" xfId="2827" xr:uid="{00000000-0005-0000-0000-0000370A0000}"/>
    <cellStyle name="Normal 14 3" xfId="2828" xr:uid="{00000000-0005-0000-0000-0000380A0000}"/>
    <cellStyle name="Normal 14 4" xfId="2829" xr:uid="{00000000-0005-0000-0000-0000390A0000}"/>
    <cellStyle name="Normal 14 5" xfId="2830" xr:uid="{00000000-0005-0000-0000-00003A0A0000}"/>
    <cellStyle name="Normal 14 6" xfId="2831" xr:uid="{00000000-0005-0000-0000-00003B0A0000}"/>
    <cellStyle name="Normal 14 7" xfId="2832" xr:uid="{00000000-0005-0000-0000-00003C0A0000}"/>
    <cellStyle name="Normal 14 8" xfId="2833" xr:uid="{00000000-0005-0000-0000-00003D0A0000}"/>
    <cellStyle name="Normal 14 9" xfId="2834" xr:uid="{00000000-0005-0000-0000-00003E0A0000}"/>
    <cellStyle name="Normal 15" xfId="32" xr:uid="{00000000-0005-0000-0000-00003F0A0000}"/>
    <cellStyle name="Normal 15 2" xfId="2835" xr:uid="{00000000-0005-0000-0000-0000400A0000}"/>
    <cellStyle name="Normal 15 3" xfId="2836" xr:uid="{00000000-0005-0000-0000-0000410A0000}"/>
    <cellStyle name="Normal 15 4" xfId="2837" xr:uid="{00000000-0005-0000-0000-0000420A0000}"/>
    <cellStyle name="Normal 15 5" xfId="2838" xr:uid="{00000000-0005-0000-0000-0000430A0000}"/>
    <cellStyle name="Normal 15 6" xfId="2839" xr:uid="{00000000-0005-0000-0000-0000440A0000}"/>
    <cellStyle name="Normal 15 7" xfId="2840" xr:uid="{00000000-0005-0000-0000-0000450A0000}"/>
    <cellStyle name="Normal 15 8" xfId="37654" xr:uid="{00000000-0005-0000-0000-0000460A0000}"/>
    <cellStyle name="Normal 16" xfId="33" xr:uid="{00000000-0005-0000-0000-0000470A0000}"/>
    <cellStyle name="Normal 16 2" xfId="220" xr:uid="{00000000-0005-0000-0000-0000480A0000}"/>
    <cellStyle name="Normal 16 3" xfId="2841" xr:uid="{00000000-0005-0000-0000-0000490A0000}"/>
    <cellStyle name="Normal 16 4" xfId="21187" xr:uid="{00000000-0005-0000-0000-00004A0A0000}"/>
    <cellStyle name="Normal 17" xfId="180" xr:uid="{00000000-0005-0000-0000-00004B0A0000}"/>
    <cellStyle name="Normal 17 2" xfId="2843" xr:uid="{00000000-0005-0000-0000-00004C0A0000}"/>
    <cellStyle name="Normal 17 3" xfId="2844" xr:uid="{00000000-0005-0000-0000-00004D0A0000}"/>
    <cellStyle name="Normal 17 4" xfId="2842" xr:uid="{00000000-0005-0000-0000-00004E0A0000}"/>
    <cellStyle name="Normal 18" xfId="34" xr:uid="{00000000-0005-0000-0000-00004F0A0000}"/>
    <cellStyle name="Normal 18 2" xfId="221" xr:uid="{00000000-0005-0000-0000-0000500A0000}"/>
    <cellStyle name="Normal 18 2 2" xfId="2845" xr:uid="{00000000-0005-0000-0000-0000510A0000}"/>
    <cellStyle name="Normal 18 3" xfId="2846" xr:uid="{00000000-0005-0000-0000-0000520A0000}"/>
    <cellStyle name="Normal 18 4" xfId="2847" xr:uid="{00000000-0005-0000-0000-0000530A0000}"/>
    <cellStyle name="Normal 18 5" xfId="2848" xr:uid="{00000000-0005-0000-0000-0000540A0000}"/>
    <cellStyle name="Normal 18 6" xfId="2849" xr:uid="{00000000-0005-0000-0000-0000550A0000}"/>
    <cellStyle name="Normal 18 7" xfId="2850" xr:uid="{00000000-0005-0000-0000-0000560A0000}"/>
    <cellStyle name="Normal 18 8" xfId="2851" xr:uid="{00000000-0005-0000-0000-0000570A0000}"/>
    <cellStyle name="Normal 18 9" xfId="2852" xr:uid="{00000000-0005-0000-0000-0000580A0000}"/>
    <cellStyle name="Normal 19" xfId="35" xr:uid="{00000000-0005-0000-0000-0000590A0000}"/>
    <cellStyle name="Normal 19 2" xfId="222" xr:uid="{00000000-0005-0000-0000-00005A0A0000}"/>
    <cellStyle name="Normal 19 3" xfId="2853" xr:uid="{00000000-0005-0000-0000-00005B0A0000}"/>
    <cellStyle name="Normal 19 4" xfId="21188" xr:uid="{00000000-0005-0000-0000-00005C0A0000}"/>
    <cellStyle name="Normal 2" xfId="7" xr:uid="{00000000-0005-0000-0000-00005D0A0000}"/>
    <cellStyle name="Normal 2 10" xfId="2854" xr:uid="{00000000-0005-0000-0000-00005E0A0000}"/>
    <cellStyle name="Normal 2 10 2" xfId="2855" xr:uid="{00000000-0005-0000-0000-00005F0A0000}"/>
    <cellStyle name="Normal 2 10 2 2" xfId="2856" xr:uid="{00000000-0005-0000-0000-0000600A0000}"/>
    <cellStyle name="Normal 2 10 3" xfId="2857" xr:uid="{00000000-0005-0000-0000-0000610A0000}"/>
    <cellStyle name="Normal 2 10 3 2" xfId="2858" xr:uid="{00000000-0005-0000-0000-0000620A0000}"/>
    <cellStyle name="Normal 2 10 4" xfId="2859" xr:uid="{00000000-0005-0000-0000-0000630A0000}"/>
    <cellStyle name="Normal 2 10 4 2" xfId="2860" xr:uid="{00000000-0005-0000-0000-0000640A0000}"/>
    <cellStyle name="Normal 2 10 5" xfId="2861" xr:uid="{00000000-0005-0000-0000-0000650A0000}"/>
    <cellStyle name="Normal 2 10 5 2" xfId="2862" xr:uid="{00000000-0005-0000-0000-0000660A0000}"/>
    <cellStyle name="Normal 2 10 6" xfId="2863" xr:uid="{00000000-0005-0000-0000-0000670A0000}"/>
    <cellStyle name="Normal 2 10 6 2" xfId="2864" xr:uid="{00000000-0005-0000-0000-0000680A0000}"/>
    <cellStyle name="Normal 2 10 7" xfId="2865" xr:uid="{00000000-0005-0000-0000-0000690A0000}"/>
    <cellStyle name="Normal 2 10 7 2" xfId="2866" xr:uid="{00000000-0005-0000-0000-00006A0A0000}"/>
    <cellStyle name="Normal 2 10 8" xfId="2867" xr:uid="{00000000-0005-0000-0000-00006B0A0000}"/>
    <cellStyle name="Normal 2 11" xfId="2868" xr:uid="{00000000-0005-0000-0000-00006C0A0000}"/>
    <cellStyle name="Normal 2 11 2" xfId="2869" xr:uid="{00000000-0005-0000-0000-00006D0A0000}"/>
    <cellStyle name="Normal 2 11 2 2" xfId="2870" xr:uid="{00000000-0005-0000-0000-00006E0A0000}"/>
    <cellStyle name="Normal 2 11 3" xfId="2871" xr:uid="{00000000-0005-0000-0000-00006F0A0000}"/>
    <cellStyle name="Normal 2 11 3 2" xfId="2872" xr:uid="{00000000-0005-0000-0000-0000700A0000}"/>
    <cellStyle name="Normal 2 11 4" xfId="2873" xr:uid="{00000000-0005-0000-0000-0000710A0000}"/>
    <cellStyle name="Normal 2 11 4 2" xfId="2874" xr:uid="{00000000-0005-0000-0000-0000720A0000}"/>
    <cellStyle name="Normal 2 11 5" xfId="2875" xr:uid="{00000000-0005-0000-0000-0000730A0000}"/>
    <cellStyle name="Normal 2 11 5 2" xfId="2876" xr:uid="{00000000-0005-0000-0000-0000740A0000}"/>
    <cellStyle name="Normal 2 11 6" xfId="2877" xr:uid="{00000000-0005-0000-0000-0000750A0000}"/>
    <cellStyle name="Normal 2 11 6 2" xfId="2878" xr:uid="{00000000-0005-0000-0000-0000760A0000}"/>
    <cellStyle name="Normal 2 11 7" xfId="2879" xr:uid="{00000000-0005-0000-0000-0000770A0000}"/>
    <cellStyle name="Normal 2 11 7 2" xfId="2880" xr:uid="{00000000-0005-0000-0000-0000780A0000}"/>
    <cellStyle name="Normal 2 11 8" xfId="2881" xr:uid="{00000000-0005-0000-0000-0000790A0000}"/>
    <cellStyle name="Normal 2 12" xfId="2882" xr:uid="{00000000-0005-0000-0000-00007A0A0000}"/>
    <cellStyle name="Normal 2 12 2" xfId="2883" xr:uid="{00000000-0005-0000-0000-00007B0A0000}"/>
    <cellStyle name="Normal 2 12 2 2" xfId="2884" xr:uid="{00000000-0005-0000-0000-00007C0A0000}"/>
    <cellStyle name="Normal 2 12 3" xfId="2885" xr:uid="{00000000-0005-0000-0000-00007D0A0000}"/>
    <cellStyle name="Normal 2 12 3 2" xfId="2886" xr:uid="{00000000-0005-0000-0000-00007E0A0000}"/>
    <cellStyle name="Normal 2 12 4" xfId="2887" xr:uid="{00000000-0005-0000-0000-00007F0A0000}"/>
    <cellStyle name="Normal 2 12 4 2" xfId="2888" xr:uid="{00000000-0005-0000-0000-0000800A0000}"/>
    <cellStyle name="Normal 2 12 5" xfId="2889" xr:uid="{00000000-0005-0000-0000-0000810A0000}"/>
    <cellStyle name="Normal 2 12 5 2" xfId="2890" xr:uid="{00000000-0005-0000-0000-0000820A0000}"/>
    <cellStyle name="Normal 2 12 6" xfId="2891" xr:uid="{00000000-0005-0000-0000-0000830A0000}"/>
    <cellStyle name="Normal 2 12 6 2" xfId="2892" xr:uid="{00000000-0005-0000-0000-0000840A0000}"/>
    <cellStyle name="Normal 2 12 7" xfId="2893" xr:uid="{00000000-0005-0000-0000-0000850A0000}"/>
    <cellStyle name="Normal 2 12 7 2" xfId="2894" xr:uid="{00000000-0005-0000-0000-0000860A0000}"/>
    <cellStyle name="Normal 2 12 8" xfId="2895" xr:uid="{00000000-0005-0000-0000-0000870A0000}"/>
    <cellStyle name="Normal 2 13" xfId="2896" xr:uid="{00000000-0005-0000-0000-0000880A0000}"/>
    <cellStyle name="Normal 2 13 2" xfId="2897" xr:uid="{00000000-0005-0000-0000-0000890A0000}"/>
    <cellStyle name="Normal 2 13 2 2" xfId="2898" xr:uid="{00000000-0005-0000-0000-00008A0A0000}"/>
    <cellStyle name="Normal 2 13 3" xfId="2899" xr:uid="{00000000-0005-0000-0000-00008B0A0000}"/>
    <cellStyle name="Normal 2 13 3 2" xfId="2900" xr:uid="{00000000-0005-0000-0000-00008C0A0000}"/>
    <cellStyle name="Normal 2 13 4" xfId="2901" xr:uid="{00000000-0005-0000-0000-00008D0A0000}"/>
    <cellStyle name="Normal 2 13 4 2" xfId="2902" xr:uid="{00000000-0005-0000-0000-00008E0A0000}"/>
    <cellStyle name="Normal 2 13 5" xfId="2903" xr:uid="{00000000-0005-0000-0000-00008F0A0000}"/>
    <cellStyle name="Normal 2 13 5 2" xfId="2904" xr:uid="{00000000-0005-0000-0000-0000900A0000}"/>
    <cellStyle name="Normal 2 13 6" xfId="2905" xr:uid="{00000000-0005-0000-0000-0000910A0000}"/>
    <cellStyle name="Normal 2 13 6 2" xfId="2906" xr:uid="{00000000-0005-0000-0000-0000920A0000}"/>
    <cellStyle name="Normal 2 13 7" xfId="2907" xr:uid="{00000000-0005-0000-0000-0000930A0000}"/>
    <cellStyle name="Normal 2 13 7 2" xfId="2908" xr:uid="{00000000-0005-0000-0000-0000940A0000}"/>
    <cellStyle name="Normal 2 13 8" xfId="2909" xr:uid="{00000000-0005-0000-0000-0000950A0000}"/>
    <cellStyle name="Normal 2 14" xfId="2910" xr:uid="{00000000-0005-0000-0000-0000960A0000}"/>
    <cellStyle name="Normal 2 14 2" xfId="2911" xr:uid="{00000000-0005-0000-0000-0000970A0000}"/>
    <cellStyle name="Normal 2 15" xfId="2912" xr:uid="{00000000-0005-0000-0000-0000980A0000}"/>
    <cellStyle name="Normal 2 15 2" xfId="2913" xr:uid="{00000000-0005-0000-0000-0000990A0000}"/>
    <cellStyle name="Normal 2 16" xfId="2914" xr:uid="{00000000-0005-0000-0000-00009A0A0000}"/>
    <cellStyle name="Normal 2 16 2" xfId="2915" xr:uid="{00000000-0005-0000-0000-00009B0A0000}"/>
    <cellStyle name="Normal 2 17" xfId="2916" xr:uid="{00000000-0005-0000-0000-00009C0A0000}"/>
    <cellStyle name="Normal 2 17 2" xfId="2917" xr:uid="{00000000-0005-0000-0000-00009D0A0000}"/>
    <cellStyle name="Normal 2 18" xfId="2918" xr:uid="{00000000-0005-0000-0000-00009E0A0000}"/>
    <cellStyle name="Normal 2 18 2" xfId="2919" xr:uid="{00000000-0005-0000-0000-00009F0A0000}"/>
    <cellStyle name="Normal 2 18 2 2" xfId="2920" xr:uid="{00000000-0005-0000-0000-0000A00A0000}"/>
    <cellStyle name="Normal 2 18 2 3" xfId="2921" xr:uid="{00000000-0005-0000-0000-0000A10A0000}"/>
    <cellStyle name="Normal 2 18 2 4" xfId="2922" xr:uid="{00000000-0005-0000-0000-0000A20A0000}"/>
    <cellStyle name="Normal 2 18 3" xfId="2923" xr:uid="{00000000-0005-0000-0000-0000A30A0000}"/>
    <cellStyle name="Normal 2 18 4" xfId="2924" xr:uid="{00000000-0005-0000-0000-0000A40A0000}"/>
    <cellStyle name="Normal 2 18 5" xfId="2925" xr:uid="{00000000-0005-0000-0000-0000A50A0000}"/>
    <cellStyle name="Normal 2 18 6" xfId="2926" xr:uid="{00000000-0005-0000-0000-0000A60A0000}"/>
    <cellStyle name="Normal 2 18 7" xfId="2927" xr:uid="{00000000-0005-0000-0000-0000A70A0000}"/>
    <cellStyle name="Normal 2 18 8" xfId="2928" xr:uid="{00000000-0005-0000-0000-0000A80A0000}"/>
    <cellStyle name="Normal 2 18 9" xfId="2929" xr:uid="{00000000-0005-0000-0000-0000A90A0000}"/>
    <cellStyle name="Normal 2 19" xfId="2930" xr:uid="{00000000-0005-0000-0000-0000AA0A0000}"/>
    <cellStyle name="Normal 2 19 2" xfId="2931" xr:uid="{00000000-0005-0000-0000-0000AB0A0000}"/>
    <cellStyle name="Normal 2 19 2 2" xfId="2932" xr:uid="{00000000-0005-0000-0000-0000AC0A0000}"/>
    <cellStyle name="Normal 2 19 2 3" xfId="2933" xr:uid="{00000000-0005-0000-0000-0000AD0A0000}"/>
    <cellStyle name="Normal 2 19 2 4" xfId="2934" xr:uid="{00000000-0005-0000-0000-0000AE0A0000}"/>
    <cellStyle name="Normal 2 19 3" xfId="2935" xr:uid="{00000000-0005-0000-0000-0000AF0A0000}"/>
    <cellStyle name="Normal 2 19 4" xfId="2936" xr:uid="{00000000-0005-0000-0000-0000B00A0000}"/>
    <cellStyle name="Normal 2 19 5" xfId="2937" xr:uid="{00000000-0005-0000-0000-0000B10A0000}"/>
    <cellStyle name="Normal 2 19 6" xfId="2938" xr:uid="{00000000-0005-0000-0000-0000B20A0000}"/>
    <cellStyle name="Normal 2 19 7" xfId="2939" xr:uid="{00000000-0005-0000-0000-0000B30A0000}"/>
    <cellStyle name="Normal 2 19 8" xfId="2940" xr:uid="{00000000-0005-0000-0000-0000B40A0000}"/>
    <cellStyle name="Normal 2 19 9" xfId="2941" xr:uid="{00000000-0005-0000-0000-0000B50A0000}"/>
    <cellStyle name="Normal 2 2" xfId="36" xr:uid="{00000000-0005-0000-0000-0000B60A0000}"/>
    <cellStyle name="Normal 2 2 10" xfId="318" xr:uid="{00000000-0005-0000-0000-0000B70A0000}"/>
    <cellStyle name="Normal 2 2 11" xfId="2942" xr:uid="{00000000-0005-0000-0000-0000B80A0000}"/>
    <cellStyle name="Normal 2 2 12" xfId="2943" xr:uid="{00000000-0005-0000-0000-0000B90A0000}"/>
    <cellStyle name="Normal 2 2 13" xfId="2944" xr:uid="{00000000-0005-0000-0000-0000BA0A0000}"/>
    <cellStyle name="Normal 2 2 14" xfId="2945" xr:uid="{00000000-0005-0000-0000-0000BB0A0000}"/>
    <cellStyle name="Normal 2 2 15" xfId="2946" xr:uid="{00000000-0005-0000-0000-0000BC0A0000}"/>
    <cellStyle name="Normal 2 2 16" xfId="2947" xr:uid="{00000000-0005-0000-0000-0000BD0A0000}"/>
    <cellStyle name="Normal 2 2 17" xfId="2948" xr:uid="{00000000-0005-0000-0000-0000BE0A0000}"/>
    <cellStyle name="Normal 2 2 18" xfId="2949" xr:uid="{00000000-0005-0000-0000-0000BF0A0000}"/>
    <cellStyle name="Normal 2 2 19" xfId="2950" xr:uid="{00000000-0005-0000-0000-0000C00A0000}"/>
    <cellStyle name="Normal 2 2 2" xfId="37" xr:uid="{00000000-0005-0000-0000-0000C10A0000}"/>
    <cellStyle name="Normal 2 2 2 10" xfId="2951" xr:uid="{00000000-0005-0000-0000-0000C20A0000}"/>
    <cellStyle name="Normal 2 2 2 11" xfId="2952" xr:uid="{00000000-0005-0000-0000-0000C30A0000}"/>
    <cellStyle name="Normal 2 2 2 12" xfId="2953" xr:uid="{00000000-0005-0000-0000-0000C40A0000}"/>
    <cellStyle name="Normal 2 2 2 13" xfId="2954" xr:uid="{00000000-0005-0000-0000-0000C50A0000}"/>
    <cellStyle name="Normal 2 2 2 14" xfId="2955" xr:uid="{00000000-0005-0000-0000-0000C60A0000}"/>
    <cellStyle name="Normal 2 2 2 15" xfId="2956" xr:uid="{00000000-0005-0000-0000-0000C70A0000}"/>
    <cellStyle name="Normal 2 2 2 16" xfId="2957" xr:uid="{00000000-0005-0000-0000-0000C80A0000}"/>
    <cellStyle name="Normal 2 2 2 17" xfId="2958" xr:uid="{00000000-0005-0000-0000-0000C90A0000}"/>
    <cellStyle name="Normal 2 2 2 18" xfId="2959" xr:uid="{00000000-0005-0000-0000-0000CA0A0000}"/>
    <cellStyle name="Normal 2 2 2 19" xfId="2960" xr:uid="{00000000-0005-0000-0000-0000CB0A0000}"/>
    <cellStyle name="Normal 2 2 2 2" xfId="460" xr:uid="{00000000-0005-0000-0000-0000CC0A0000}"/>
    <cellStyle name="Normal 2 2 2 2 10" xfId="2961" xr:uid="{00000000-0005-0000-0000-0000CD0A0000}"/>
    <cellStyle name="Normal 2 2 2 2 11" xfId="2962" xr:uid="{00000000-0005-0000-0000-0000CE0A0000}"/>
    <cellStyle name="Normal 2 2 2 2 12" xfId="2963" xr:uid="{00000000-0005-0000-0000-0000CF0A0000}"/>
    <cellStyle name="Normal 2 2 2 2 13" xfId="2964" xr:uid="{00000000-0005-0000-0000-0000D00A0000}"/>
    <cellStyle name="Normal 2 2 2 2 14" xfId="2965" xr:uid="{00000000-0005-0000-0000-0000D10A0000}"/>
    <cellStyle name="Normal 2 2 2 2 15" xfId="2966" xr:uid="{00000000-0005-0000-0000-0000D20A0000}"/>
    <cellStyle name="Normal 2 2 2 2 15 2" xfId="2967" xr:uid="{00000000-0005-0000-0000-0000D30A0000}"/>
    <cellStyle name="Normal 2 2 2 2 15 3" xfId="2968" xr:uid="{00000000-0005-0000-0000-0000D40A0000}"/>
    <cellStyle name="Normal 2 2 2 2 16" xfId="2969" xr:uid="{00000000-0005-0000-0000-0000D50A0000}"/>
    <cellStyle name="Normal 2 2 2 2 17" xfId="2970" xr:uid="{00000000-0005-0000-0000-0000D60A0000}"/>
    <cellStyle name="Normal 2 2 2 2 18" xfId="2971" xr:uid="{00000000-0005-0000-0000-0000D70A0000}"/>
    <cellStyle name="Normal 2 2 2 2 18 2" xfId="2972" xr:uid="{00000000-0005-0000-0000-0000D80A0000}"/>
    <cellStyle name="Normal 2 2 2 2 18 3" xfId="2973" xr:uid="{00000000-0005-0000-0000-0000D90A0000}"/>
    <cellStyle name="Normal 2 2 2 2 19" xfId="2974" xr:uid="{00000000-0005-0000-0000-0000DA0A0000}"/>
    <cellStyle name="Normal 2 2 2 2 19 2" xfId="2975" xr:uid="{00000000-0005-0000-0000-0000DB0A0000}"/>
    <cellStyle name="Normal 2 2 2 2 19 3" xfId="2976" xr:uid="{00000000-0005-0000-0000-0000DC0A0000}"/>
    <cellStyle name="Normal 2 2 2 2 2" xfId="2977" xr:uid="{00000000-0005-0000-0000-0000DD0A0000}"/>
    <cellStyle name="Normal 2 2 2 2 2 10" xfId="2978" xr:uid="{00000000-0005-0000-0000-0000DE0A0000}"/>
    <cellStyle name="Normal 2 2 2 2 2 11" xfId="2979" xr:uid="{00000000-0005-0000-0000-0000DF0A0000}"/>
    <cellStyle name="Normal 2 2 2 2 2 12" xfId="2980" xr:uid="{00000000-0005-0000-0000-0000E00A0000}"/>
    <cellStyle name="Normal 2 2 2 2 2 13" xfId="2981" xr:uid="{00000000-0005-0000-0000-0000E10A0000}"/>
    <cellStyle name="Normal 2 2 2 2 2 14" xfId="2982" xr:uid="{00000000-0005-0000-0000-0000E20A0000}"/>
    <cellStyle name="Normal 2 2 2 2 2 15" xfId="2983" xr:uid="{00000000-0005-0000-0000-0000E30A0000}"/>
    <cellStyle name="Normal 2 2 2 2 2 16" xfId="2984" xr:uid="{00000000-0005-0000-0000-0000E40A0000}"/>
    <cellStyle name="Normal 2 2 2 2 2 17" xfId="2985" xr:uid="{00000000-0005-0000-0000-0000E50A0000}"/>
    <cellStyle name="Normal 2 2 2 2 2 18" xfId="2986" xr:uid="{00000000-0005-0000-0000-0000E60A0000}"/>
    <cellStyle name="Normal 2 2 2 2 2 19" xfId="2987" xr:uid="{00000000-0005-0000-0000-0000E70A0000}"/>
    <cellStyle name="Normal 2 2 2 2 2 2" xfId="2988" xr:uid="{00000000-0005-0000-0000-0000E80A0000}"/>
    <cellStyle name="Normal 2 2 2 2 2 2 10" xfId="2989" xr:uid="{00000000-0005-0000-0000-0000E90A0000}"/>
    <cellStyle name="Normal 2 2 2 2 2 2 11" xfId="2990" xr:uid="{00000000-0005-0000-0000-0000EA0A0000}"/>
    <cellStyle name="Normal 2 2 2 2 2 2 12" xfId="2991" xr:uid="{00000000-0005-0000-0000-0000EB0A0000}"/>
    <cellStyle name="Normal 2 2 2 2 2 2 13" xfId="2992" xr:uid="{00000000-0005-0000-0000-0000EC0A0000}"/>
    <cellStyle name="Normal 2 2 2 2 2 2 14" xfId="2993" xr:uid="{00000000-0005-0000-0000-0000ED0A0000}"/>
    <cellStyle name="Normal 2 2 2 2 2 2 15" xfId="2994" xr:uid="{00000000-0005-0000-0000-0000EE0A0000}"/>
    <cellStyle name="Normal 2 2 2 2 2 2 16" xfId="2995" xr:uid="{00000000-0005-0000-0000-0000EF0A0000}"/>
    <cellStyle name="Normal 2 2 2 2 2 2 17" xfId="2996" xr:uid="{00000000-0005-0000-0000-0000F00A0000}"/>
    <cellStyle name="Normal 2 2 2 2 2 2 2" xfId="2997" xr:uid="{00000000-0005-0000-0000-0000F10A0000}"/>
    <cellStyle name="Normal 2 2 2 2 2 2 2 10" xfId="2998" xr:uid="{00000000-0005-0000-0000-0000F20A0000}"/>
    <cellStyle name="Normal 2 2 2 2 2 2 2 2" xfId="2999" xr:uid="{00000000-0005-0000-0000-0000F30A0000}"/>
    <cellStyle name="Normal 2 2 2 2 2 2 2 2 2" xfId="3000" xr:uid="{00000000-0005-0000-0000-0000F40A0000}"/>
    <cellStyle name="Normal 2 2 2 2 2 2 2 2 2 10" xfId="3001" xr:uid="{00000000-0005-0000-0000-0000F50A0000}"/>
    <cellStyle name="Normal 2 2 2 2 2 2 2 2 2 10 2" xfId="21190" xr:uid="{00000000-0005-0000-0000-0000F60A0000}"/>
    <cellStyle name="Normal 2 2 2 2 2 2 2 2 2 11" xfId="3002" xr:uid="{00000000-0005-0000-0000-0000F70A0000}"/>
    <cellStyle name="Normal 2 2 2 2 2 2 2 2 2 11 2" xfId="21191" xr:uid="{00000000-0005-0000-0000-0000F80A0000}"/>
    <cellStyle name="Normal 2 2 2 2 2 2 2 2 2 12" xfId="3003" xr:uid="{00000000-0005-0000-0000-0000F90A0000}"/>
    <cellStyle name="Normal 2 2 2 2 2 2 2 2 2 12 2" xfId="21192" xr:uid="{00000000-0005-0000-0000-0000FA0A0000}"/>
    <cellStyle name="Normal 2 2 2 2 2 2 2 2 2 13" xfId="3004" xr:uid="{00000000-0005-0000-0000-0000FB0A0000}"/>
    <cellStyle name="Normal 2 2 2 2 2 2 2 2 2 13 2" xfId="21193" xr:uid="{00000000-0005-0000-0000-0000FC0A0000}"/>
    <cellStyle name="Normal 2 2 2 2 2 2 2 2 2 14" xfId="3005" xr:uid="{00000000-0005-0000-0000-0000FD0A0000}"/>
    <cellStyle name="Normal 2 2 2 2 2 2 2 2 2 14 2" xfId="21194" xr:uid="{00000000-0005-0000-0000-0000FE0A0000}"/>
    <cellStyle name="Normal 2 2 2 2 2 2 2 2 2 15" xfId="21189" xr:uid="{00000000-0005-0000-0000-0000FF0A0000}"/>
    <cellStyle name="Normal 2 2 2 2 2 2 2 2 2 2" xfId="3006" xr:uid="{00000000-0005-0000-0000-0000000B0000}"/>
    <cellStyle name="Normal 2 2 2 2 2 2 2 2 2 2 2" xfId="21195" xr:uid="{00000000-0005-0000-0000-0000010B0000}"/>
    <cellStyle name="Normal 2 2 2 2 2 2 2 2 2 3" xfId="3007" xr:uid="{00000000-0005-0000-0000-0000020B0000}"/>
    <cellStyle name="Normal 2 2 2 2 2 2 2 2 2 3 2" xfId="21196" xr:uid="{00000000-0005-0000-0000-0000030B0000}"/>
    <cellStyle name="Normal 2 2 2 2 2 2 2 2 2 4" xfId="3008" xr:uid="{00000000-0005-0000-0000-0000040B0000}"/>
    <cellStyle name="Normal 2 2 2 2 2 2 2 2 2 4 2" xfId="21197" xr:uid="{00000000-0005-0000-0000-0000050B0000}"/>
    <cellStyle name="Normal 2 2 2 2 2 2 2 2 2 5" xfId="3009" xr:uid="{00000000-0005-0000-0000-0000060B0000}"/>
    <cellStyle name="Normal 2 2 2 2 2 2 2 2 2 5 2" xfId="21198" xr:uid="{00000000-0005-0000-0000-0000070B0000}"/>
    <cellStyle name="Normal 2 2 2 2 2 2 2 2 2 6" xfId="3010" xr:uid="{00000000-0005-0000-0000-0000080B0000}"/>
    <cellStyle name="Normal 2 2 2 2 2 2 2 2 2 6 2" xfId="21199" xr:uid="{00000000-0005-0000-0000-0000090B0000}"/>
    <cellStyle name="Normal 2 2 2 2 2 2 2 2 2 7" xfId="3011" xr:uid="{00000000-0005-0000-0000-00000A0B0000}"/>
    <cellStyle name="Normal 2 2 2 2 2 2 2 2 2 7 2" xfId="21200" xr:uid="{00000000-0005-0000-0000-00000B0B0000}"/>
    <cellStyle name="Normal 2 2 2 2 2 2 2 2 2 8" xfId="3012" xr:uid="{00000000-0005-0000-0000-00000C0B0000}"/>
    <cellStyle name="Normal 2 2 2 2 2 2 2 2 2 8 2" xfId="21201" xr:uid="{00000000-0005-0000-0000-00000D0B0000}"/>
    <cellStyle name="Normal 2 2 2 2 2 2 2 2 2 9" xfId="3013" xr:uid="{00000000-0005-0000-0000-00000E0B0000}"/>
    <cellStyle name="Normal 2 2 2 2 2 2 2 2 2 9 2" xfId="21202" xr:uid="{00000000-0005-0000-0000-00000F0B0000}"/>
    <cellStyle name="Normal 2 2 2 2 2 2 2 3" xfId="3014" xr:uid="{00000000-0005-0000-0000-0000100B0000}"/>
    <cellStyle name="Normal 2 2 2 2 2 2 2 4" xfId="3015" xr:uid="{00000000-0005-0000-0000-0000110B0000}"/>
    <cellStyle name="Normal 2 2 2 2 2 2 2 5" xfId="3016" xr:uid="{00000000-0005-0000-0000-0000120B0000}"/>
    <cellStyle name="Normal 2 2 2 2 2 2 2 6" xfId="3017" xr:uid="{00000000-0005-0000-0000-0000130B0000}"/>
    <cellStyle name="Normal 2 2 2 2 2 2 2 7" xfId="3018" xr:uid="{00000000-0005-0000-0000-0000140B0000}"/>
    <cellStyle name="Normal 2 2 2 2 2 2 2 8" xfId="3019" xr:uid="{00000000-0005-0000-0000-0000150B0000}"/>
    <cellStyle name="Normal 2 2 2 2 2 2 2 9" xfId="3020" xr:uid="{00000000-0005-0000-0000-0000160B0000}"/>
    <cellStyle name="Normal 2 2 2 2 2 2 3" xfId="3021" xr:uid="{00000000-0005-0000-0000-0000170B0000}"/>
    <cellStyle name="Normal 2 2 2 2 2 2 4" xfId="3022" xr:uid="{00000000-0005-0000-0000-0000180B0000}"/>
    <cellStyle name="Normal 2 2 2 2 2 2 5" xfId="3023" xr:uid="{00000000-0005-0000-0000-0000190B0000}"/>
    <cellStyle name="Normal 2 2 2 2 2 2 6" xfId="3024" xr:uid="{00000000-0005-0000-0000-00001A0B0000}"/>
    <cellStyle name="Normal 2 2 2 2 2 2 7" xfId="3025" xr:uid="{00000000-0005-0000-0000-00001B0B0000}"/>
    <cellStyle name="Normal 2 2 2 2 2 2 8" xfId="3026" xr:uid="{00000000-0005-0000-0000-00001C0B0000}"/>
    <cellStyle name="Normal 2 2 2 2 2 2 9" xfId="3027" xr:uid="{00000000-0005-0000-0000-00001D0B0000}"/>
    <cellStyle name="Normal 2 2 2 2 2 3" xfId="3028" xr:uid="{00000000-0005-0000-0000-00001E0B0000}"/>
    <cellStyle name="Normal 2 2 2 2 2 4" xfId="3029" xr:uid="{00000000-0005-0000-0000-00001F0B0000}"/>
    <cellStyle name="Normal 2 2 2 2 2 5" xfId="3030" xr:uid="{00000000-0005-0000-0000-0000200B0000}"/>
    <cellStyle name="Normal 2 2 2 2 2 5 2" xfId="3031" xr:uid="{00000000-0005-0000-0000-0000210B0000}"/>
    <cellStyle name="Normal 2 2 2 2 2 5 3" xfId="3032" xr:uid="{00000000-0005-0000-0000-0000220B0000}"/>
    <cellStyle name="Normal 2 2 2 2 2 6" xfId="3033" xr:uid="{00000000-0005-0000-0000-0000230B0000}"/>
    <cellStyle name="Normal 2 2 2 2 2 6 2" xfId="3034" xr:uid="{00000000-0005-0000-0000-0000240B0000}"/>
    <cellStyle name="Normal 2 2 2 2 2 6 3" xfId="3035" xr:uid="{00000000-0005-0000-0000-0000250B0000}"/>
    <cellStyle name="Normal 2 2 2 2 2 7" xfId="3036" xr:uid="{00000000-0005-0000-0000-0000260B0000}"/>
    <cellStyle name="Normal 2 2 2 2 2 7 2" xfId="3037" xr:uid="{00000000-0005-0000-0000-0000270B0000}"/>
    <cellStyle name="Normal 2 2 2 2 2 7 3" xfId="3038" xr:uid="{00000000-0005-0000-0000-0000280B0000}"/>
    <cellStyle name="Normal 2 2 2 2 2 8" xfId="3039" xr:uid="{00000000-0005-0000-0000-0000290B0000}"/>
    <cellStyle name="Normal 2 2 2 2 2 8 2" xfId="3040" xr:uid="{00000000-0005-0000-0000-00002A0B0000}"/>
    <cellStyle name="Normal 2 2 2 2 2 8 3" xfId="3041" xr:uid="{00000000-0005-0000-0000-00002B0B0000}"/>
    <cellStyle name="Normal 2 2 2 2 2 9" xfId="3042" xr:uid="{00000000-0005-0000-0000-00002C0B0000}"/>
    <cellStyle name="Normal 2 2 2 2 2 9 2" xfId="3043" xr:uid="{00000000-0005-0000-0000-00002D0B0000}"/>
    <cellStyle name="Normal 2 2 2 2 2 9 3" xfId="3044" xr:uid="{00000000-0005-0000-0000-00002E0B0000}"/>
    <cellStyle name="Normal 2 2 2 2 20" xfId="3045" xr:uid="{00000000-0005-0000-0000-00002F0B0000}"/>
    <cellStyle name="Normal 2 2 2 2 20 2" xfId="3046" xr:uid="{00000000-0005-0000-0000-0000300B0000}"/>
    <cellStyle name="Normal 2 2 2 2 20 3" xfId="3047" xr:uid="{00000000-0005-0000-0000-0000310B0000}"/>
    <cellStyle name="Normal 2 2 2 2 21" xfId="3048" xr:uid="{00000000-0005-0000-0000-0000320B0000}"/>
    <cellStyle name="Normal 2 2 2 2 21 2" xfId="3049" xr:uid="{00000000-0005-0000-0000-0000330B0000}"/>
    <cellStyle name="Normal 2 2 2 2 21 3" xfId="3050" xr:uid="{00000000-0005-0000-0000-0000340B0000}"/>
    <cellStyle name="Normal 2 2 2 2 22" xfId="3051" xr:uid="{00000000-0005-0000-0000-0000350B0000}"/>
    <cellStyle name="Normal 2 2 2 2 23" xfId="3052" xr:uid="{00000000-0005-0000-0000-0000360B0000}"/>
    <cellStyle name="Normal 2 2 2 2 24" xfId="3053" xr:uid="{00000000-0005-0000-0000-0000370B0000}"/>
    <cellStyle name="Normal 2 2 2 2 25" xfId="3054" xr:uid="{00000000-0005-0000-0000-0000380B0000}"/>
    <cellStyle name="Normal 2 2 2 2 26" xfId="3055" xr:uid="{00000000-0005-0000-0000-0000390B0000}"/>
    <cellStyle name="Normal 2 2 2 2 27" xfId="3056" xr:uid="{00000000-0005-0000-0000-00003A0B0000}"/>
    <cellStyle name="Normal 2 2 2 2 28" xfId="3057" xr:uid="{00000000-0005-0000-0000-00003B0B0000}"/>
    <cellStyle name="Normal 2 2 2 2 29" xfId="3058" xr:uid="{00000000-0005-0000-0000-00003C0B0000}"/>
    <cellStyle name="Normal 2 2 2 2 3" xfId="3059" xr:uid="{00000000-0005-0000-0000-00003D0B0000}"/>
    <cellStyle name="Normal 2 2 2 2 30" xfId="3060" xr:uid="{00000000-0005-0000-0000-00003E0B0000}"/>
    <cellStyle name="Normal 2 2 2 2 31" xfId="3061" xr:uid="{00000000-0005-0000-0000-00003F0B0000}"/>
    <cellStyle name="Normal 2 2 2 2 32" xfId="3062" xr:uid="{00000000-0005-0000-0000-0000400B0000}"/>
    <cellStyle name="Normal 2 2 2 2 4" xfId="3063" xr:uid="{00000000-0005-0000-0000-0000410B0000}"/>
    <cellStyle name="Normal 2 2 2 2 5" xfId="3064" xr:uid="{00000000-0005-0000-0000-0000420B0000}"/>
    <cellStyle name="Normal 2 2 2 2 6" xfId="3065" xr:uid="{00000000-0005-0000-0000-0000430B0000}"/>
    <cellStyle name="Normal 2 2 2 2 7" xfId="3066" xr:uid="{00000000-0005-0000-0000-0000440B0000}"/>
    <cellStyle name="Normal 2 2 2 2 8" xfId="3067" xr:uid="{00000000-0005-0000-0000-0000450B0000}"/>
    <cellStyle name="Normal 2 2 2 2 9" xfId="3068" xr:uid="{00000000-0005-0000-0000-0000460B0000}"/>
    <cellStyle name="Normal 2 2 2 20" xfId="3069" xr:uid="{00000000-0005-0000-0000-0000470B0000}"/>
    <cellStyle name="Normal 2 2 2 20 2" xfId="3070" xr:uid="{00000000-0005-0000-0000-0000480B0000}"/>
    <cellStyle name="Normal 2 2 2 20 3" xfId="3071" xr:uid="{00000000-0005-0000-0000-0000490B0000}"/>
    <cellStyle name="Normal 2 2 2 21" xfId="3072" xr:uid="{00000000-0005-0000-0000-00004A0B0000}"/>
    <cellStyle name="Normal 2 2 2 22" xfId="3073" xr:uid="{00000000-0005-0000-0000-00004B0B0000}"/>
    <cellStyle name="Normal 2 2 2 23" xfId="3074" xr:uid="{00000000-0005-0000-0000-00004C0B0000}"/>
    <cellStyle name="Normal 2 2 2 23 2" xfId="3075" xr:uid="{00000000-0005-0000-0000-00004D0B0000}"/>
    <cellStyle name="Normal 2 2 2 23 3" xfId="3076" xr:uid="{00000000-0005-0000-0000-00004E0B0000}"/>
    <cellStyle name="Normal 2 2 2 24" xfId="3077" xr:uid="{00000000-0005-0000-0000-00004F0B0000}"/>
    <cellStyle name="Normal 2 2 2 24 2" xfId="3078" xr:uid="{00000000-0005-0000-0000-0000500B0000}"/>
    <cellStyle name="Normal 2 2 2 24 3" xfId="3079" xr:uid="{00000000-0005-0000-0000-0000510B0000}"/>
    <cellStyle name="Normal 2 2 2 25" xfId="3080" xr:uid="{00000000-0005-0000-0000-0000520B0000}"/>
    <cellStyle name="Normal 2 2 2 25 2" xfId="3081" xr:uid="{00000000-0005-0000-0000-0000530B0000}"/>
    <cellStyle name="Normal 2 2 2 25 3" xfId="3082" xr:uid="{00000000-0005-0000-0000-0000540B0000}"/>
    <cellStyle name="Normal 2 2 2 26" xfId="3083" xr:uid="{00000000-0005-0000-0000-0000550B0000}"/>
    <cellStyle name="Normal 2 2 2 26 2" xfId="3084" xr:uid="{00000000-0005-0000-0000-0000560B0000}"/>
    <cellStyle name="Normal 2 2 2 26 3" xfId="3085" xr:uid="{00000000-0005-0000-0000-0000570B0000}"/>
    <cellStyle name="Normal 2 2 2 27" xfId="3086" xr:uid="{00000000-0005-0000-0000-0000580B0000}"/>
    <cellStyle name="Normal 2 2 2 28" xfId="3087" xr:uid="{00000000-0005-0000-0000-0000590B0000}"/>
    <cellStyle name="Normal 2 2 2 29" xfId="3088" xr:uid="{00000000-0005-0000-0000-00005A0B0000}"/>
    <cellStyle name="Normal 2 2 2 3" xfId="601" xr:uid="{00000000-0005-0000-0000-00005B0B0000}"/>
    <cellStyle name="Normal 2 2 2 3 2" xfId="3089" xr:uid="{00000000-0005-0000-0000-00005C0B0000}"/>
    <cellStyle name="Normal 2 2 2 30" xfId="3090" xr:uid="{00000000-0005-0000-0000-00005D0B0000}"/>
    <cellStyle name="Normal 2 2 2 31" xfId="3091" xr:uid="{00000000-0005-0000-0000-00005E0B0000}"/>
    <cellStyle name="Normal 2 2 2 32" xfId="3092" xr:uid="{00000000-0005-0000-0000-00005F0B0000}"/>
    <cellStyle name="Normal 2 2 2 33" xfId="3093" xr:uid="{00000000-0005-0000-0000-0000600B0000}"/>
    <cellStyle name="Normal 2 2 2 34" xfId="3094" xr:uid="{00000000-0005-0000-0000-0000610B0000}"/>
    <cellStyle name="Normal 2 2 2 35" xfId="3095" xr:uid="{00000000-0005-0000-0000-0000620B0000}"/>
    <cellStyle name="Normal 2 2 2 36" xfId="3096" xr:uid="{00000000-0005-0000-0000-0000630B0000}"/>
    <cellStyle name="Normal 2 2 2 37" xfId="3097" xr:uid="{00000000-0005-0000-0000-0000640B0000}"/>
    <cellStyle name="Normal 2 2 2 38" xfId="37655" xr:uid="{00000000-0005-0000-0000-0000650B0000}"/>
    <cellStyle name="Normal 2 2 2 4" xfId="3098" xr:uid="{00000000-0005-0000-0000-0000660B0000}"/>
    <cellStyle name="Normal 2 2 2 4 2" xfId="3099" xr:uid="{00000000-0005-0000-0000-0000670B0000}"/>
    <cellStyle name="Normal 2 2 2 5" xfId="3100" xr:uid="{00000000-0005-0000-0000-0000680B0000}"/>
    <cellStyle name="Normal 2 2 2 5 2" xfId="3101" xr:uid="{00000000-0005-0000-0000-0000690B0000}"/>
    <cellStyle name="Normal 2 2 2 6" xfId="3102" xr:uid="{00000000-0005-0000-0000-00006A0B0000}"/>
    <cellStyle name="Normal 2 2 2 6 2" xfId="3103" xr:uid="{00000000-0005-0000-0000-00006B0B0000}"/>
    <cellStyle name="Normal 2 2 2 7" xfId="3104" xr:uid="{00000000-0005-0000-0000-00006C0B0000}"/>
    <cellStyle name="Normal 2 2 2 7 2" xfId="3105" xr:uid="{00000000-0005-0000-0000-00006D0B0000}"/>
    <cellStyle name="Normal 2 2 2 8" xfId="3106" xr:uid="{00000000-0005-0000-0000-00006E0B0000}"/>
    <cellStyle name="Normal 2 2 2 8 10" xfId="3107" xr:uid="{00000000-0005-0000-0000-00006F0B0000}"/>
    <cellStyle name="Normal 2 2 2 8 11" xfId="3108" xr:uid="{00000000-0005-0000-0000-0000700B0000}"/>
    <cellStyle name="Normal 2 2 2 8 2" xfId="3109" xr:uid="{00000000-0005-0000-0000-0000710B0000}"/>
    <cellStyle name="Normal 2 2 2 8 2 2" xfId="3110" xr:uid="{00000000-0005-0000-0000-0000720B0000}"/>
    <cellStyle name="Normal 2 2 2 8 2 3" xfId="3111" xr:uid="{00000000-0005-0000-0000-0000730B0000}"/>
    <cellStyle name="Normal 2 2 2 8 2 4" xfId="3112" xr:uid="{00000000-0005-0000-0000-0000740B0000}"/>
    <cellStyle name="Normal 2 2 2 8 2 5" xfId="3113" xr:uid="{00000000-0005-0000-0000-0000750B0000}"/>
    <cellStyle name="Normal 2 2 2 8 2 6" xfId="3114" xr:uid="{00000000-0005-0000-0000-0000760B0000}"/>
    <cellStyle name="Normal 2 2 2 8 2 7" xfId="3115" xr:uid="{00000000-0005-0000-0000-0000770B0000}"/>
    <cellStyle name="Normal 2 2 2 8 2 8" xfId="3116" xr:uid="{00000000-0005-0000-0000-0000780B0000}"/>
    <cellStyle name="Normal 2 2 2 8 2 9" xfId="3117" xr:uid="{00000000-0005-0000-0000-0000790B0000}"/>
    <cellStyle name="Normal 2 2 2 8 3" xfId="3118" xr:uid="{00000000-0005-0000-0000-00007A0B0000}"/>
    <cellStyle name="Normal 2 2 2 8 4" xfId="3119" xr:uid="{00000000-0005-0000-0000-00007B0B0000}"/>
    <cellStyle name="Normal 2 2 2 8 5" xfId="3120" xr:uid="{00000000-0005-0000-0000-00007C0B0000}"/>
    <cellStyle name="Normal 2 2 2 8 5 2" xfId="3121" xr:uid="{00000000-0005-0000-0000-00007D0B0000}"/>
    <cellStyle name="Normal 2 2 2 8 5 3" xfId="3122" xr:uid="{00000000-0005-0000-0000-00007E0B0000}"/>
    <cellStyle name="Normal 2 2 2 8 6" xfId="3123" xr:uid="{00000000-0005-0000-0000-00007F0B0000}"/>
    <cellStyle name="Normal 2 2 2 8 6 2" xfId="3124" xr:uid="{00000000-0005-0000-0000-0000800B0000}"/>
    <cellStyle name="Normal 2 2 2 8 6 3" xfId="3125" xr:uid="{00000000-0005-0000-0000-0000810B0000}"/>
    <cellStyle name="Normal 2 2 2 8 7" xfId="3126" xr:uid="{00000000-0005-0000-0000-0000820B0000}"/>
    <cellStyle name="Normal 2 2 2 8 7 2" xfId="3127" xr:uid="{00000000-0005-0000-0000-0000830B0000}"/>
    <cellStyle name="Normal 2 2 2 8 7 3" xfId="3128" xr:uid="{00000000-0005-0000-0000-0000840B0000}"/>
    <cellStyle name="Normal 2 2 2 8 8" xfId="3129" xr:uid="{00000000-0005-0000-0000-0000850B0000}"/>
    <cellStyle name="Normal 2 2 2 8 8 2" xfId="3130" xr:uid="{00000000-0005-0000-0000-0000860B0000}"/>
    <cellStyle name="Normal 2 2 2 8 8 3" xfId="3131" xr:uid="{00000000-0005-0000-0000-0000870B0000}"/>
    <cellStyle name="Normal 2 2 2 8 9" xfId="3132" xr:uid="{00000000-0005-0000-0000-0000880B0000}"/>
    <cellStyle name="Normal 2 2 2 8 9 2" xfId="3133" xr:uid="{00000000-0005-0000-0000-0000890B0000}"/>
    <cellStyle name="Normal 2 2 2 8 9 3" xfId="3134" xr:uid="{00000000-0005-0000-0000-00008A0B0000}"/>
    <cellStyle name="Normal 2 2 2 9" xfId="3135" xr:uid="{00000000-0005-0000-0000-00008B0B0000}"/>
    <cellStyle name="Normal 2 2 20" xfId="3136" xr:uid="{00000000-0005-0000-0000-00008C0B0000}"/>
    <cellStyle name="Normal 2 2 20 2" xfId="3137" xr:uid="{00000000-0005-0000-0000-00008D0B0000}"/>
    <cellStyle name="Normal 2 2 20 3" xfId="3138" xr:uid="{00000000-0005-0000-0000-00008E0B0000}"/>
    <cellStyle name="Normal 2 2 21" xfId="3139" xr:uid="{00000000-0005-0000-0000-00008F0B0000}"/>
    <cellStyle name="Normal 2 2 22" xfId="3140" xr:uid="{00000000-0005-0000-0000-0000900B0000}"/>
    <cellStyle name="Normal 2 2 23" xfId="3141" xr:uid="{00000000-0005-0000-0000-0000910B0000}"/>
    <cellStyle name="Normal 2 2 23 2" xfId="3142" xr:uid="{00000000-0005-0000-0000-0000920B0000}"/>
    <cellStyle name="Normal 2 2 23 3" xfId="3143" xr:uid="{00000000-0005-0000-0000-0000930B0000}"/>
    <cellStyle name="Normal 2 2 24" xfId="3144" xr:uid="{00000000-0005-0000-0000-0000940B0000}"/>
    <cellStyle name="Normal 2 2 24 2" xfId="3145" xr:uid="{00000000-0005-0000-0000-0000950B0000}"/>
    <cellStyle name="Normal 2 2 24 3" xfId="3146" xr:uid="{00000000-0005-0000-0000-0000960B0000}"/>
    <cellStyle name="Normal 2 2 25" xfId="3147" xr:uid="{00000000-0005-0000-0000-0000970B0000}"/>
    <cellStyle name="Normal 2 2 25 2" xfId="3148" xr:uid="{00000000-0005-0000-0000-0000980B0000}"/>
    <cellStyle name="Normal 2 2 25 3" xfId="3149" xr:uid="{00000000-0005-0000-0000-0000990B0000}"/>
    <cellStyle name="Normal 2 2 26" xfId="3150" xr:uid="{00000000-0005-0000-0000-00009A0B0000}"/>
    <cellStyle name="Normal 2 2 26 2" xfId="3151" xr:uid="{00000000-0005-0000-0000-00009B0B0000}"/>
    <cellStyle name="Normal 2 2 26 3" xfId="3152" xr:uid="{00000000-0005-0000-0000-00009C0B0000}"/>
    <cellStyle name="Normal 2 2 27" xfId="3153" xr:uid="{00000000-0005-0000-0000-00009D0B0000}"/>
    <cellStyle name="Normal 2 2 28" xfId="3154" xr:uid="{00000000-0005-0000-0000-00009E0B0000}"/>
    <cellStyle name="Normal 2 2 29" xfId="3155" xr:uid="{00000000-0005-0000-0000-00009F0B0000}"/>
    <cellStyle name="Normal 2 2 3" xfId="38" xr:uid="{00000000-0005-0000-0000-0000A00B0000}"/>
    <cellStyle name="Normal 2 2 3 2" xfId="37656" xr:uid="{00000000-0005-0000-0000-0000A10B0000}"/>
    <cellStyle name="Normal 2 2 3 3" xfId="21203" xr:uid="{00000000-0005-0000-0000-0000A20B0000}"/>
    <cellStyle name="Normal 2 2 30" xfId="3156" xr:uid="{00000000-0005-0000-0000-0000A30B0000}"/>
    <cellStyle name="Normal 2 2 31" xfId="3157" xr:uid="{00000000-0005-0000-0000-0000A40B0000}"/>
    <cellStyle name="Normal 2 2 32" xfId="3158" xr:uid="{00000000-0005-0000-0000-0000A50B0000}"/>
    <cellStyle name="Normal 2 2 33" xfId="3159" xr:uid="{00000000-0005-0000-0000-0000A60B0000}"/>
    <cellStyle name="Normal 2 2 34" xfId="3160" xr:uid="{00000000-0005-0000-0000-0000A70B0000}"/>
    <cellStyle name="Normal 2 2 35" xfId="3161" xr:uid="{00000000-0005-0000-0000-0000A80B0000}"/>
    <cellStyle name="Normal 2 2 36" xfId="3162" xr:uid="{00000000-0005-0000-0000-0000A90B0000}"/>
    <cellStyle name="Normal 2 2 37" xfId="3163" xr:uid="{00000000-0005-0000-0000-0000AA0B0000}"/>
    <cellStyle name="Normal 2 2 38" xfId="21146" xr:uid="{00000000-0005-0000-0000-0000AB0B0000}"/>
    <cellStyle name="Normal 2 2 4" xfId="39" xr:uid="{00000000-0005-0000-0000-0000AC0B0000}"/>
    <cellStyle name="Normal 2 2 4 2" xfId="37657" xr:uid="{00000000-0005-0000-0000-0000AD0B0000}"/>
    <cellStyle name="Normal 2 2 4 3" xfId="21204" xr:uid="{00000000-0005-0000-0000-0000AE0B0000}"/>
    <cellStyle name="Normal 2 2 5" xfId="40" xr:uid="{00000000-0005-0000-0000-0000AF0B0000}"/>
    <cellStyle name="Normal 2 2 5 2" xfId="37658" xr:uid="{00000000-0005-0000-0000-0000B00B0000}"/>
    <cellStyle name="Normal 2 2 5 3" xfId="21205" xr:uid="{00000000-0005-0000-0000-0000B10B0000}"/>
    <cellStyle name="Normal 2 2 6" xfId="41" xr:uid="{00000000-0005-0000-0000-0000B20B0000}"/>
    <cellStyle name="Normal 2 2 6 2" xfId="37659" xr:uid="{00000000-0005-0000-0000-0000B30B0000}"/>
    <cellStyle name="Normal 2 2 6 3" xfId="21206" xr:uid="{00000000-0005-0000-0000-0000B40B0000}"/>
    <cellStyle name="Normal 2 2 7" xfId="42" xr:uid="{00000000-0005-0000-0000-0000B50B0000}"/>
    <cellStyle name="Normal 2 2 7 2" xfId="37660" xr:uid="{00000000-0005-0000-0000-0000B60B0000}"/>
    <cellStyle name="Normal 2 2 7 3" xfId="21207" xr:uid="{00000000-0005-0000-0000-0000B70B0000}"/>
    <cellStyle name="Normal 2 2 8" xfId="43" xr:uid="{00000000-0005-0000-0000-0000B80B0000}"/>
    <cellStyle name="Normal 2 2 8 10" xfId="3164" xr:uid="{00000000-0005-0000-0000-0000B90B0000}"/>
    <cellStyle name="Normal 2 2 8 11" xfId="3165" xr:uid="{00000000-0005-0000-0000-0000BA0B0000}"/>
    <cellStyle name="Normal 2 2 8 12" xfId="37661" xr:uid="{00000000-0005-0000-0000-0000BB0B0000}"/>
    <cellStyle name="Normal 2 2 8 2" xfId="3166" xr:uid="{00000000-0005-0000-0000-0000BC0B0000}"/>
    <cellStyle name="Normal 2 2 8 2 2" xfId="3167" xr:uid="{00000000-0005-0000-0000-0000BD0B0000}"/>
    <cellStyle name="Normal 2 2 8 2 3" xfId="3168" xr:uid="{00000000-0005-0000-0000-0000BE0B0000}"/>
    <cellStyle name="Normal 2 2 8 2 4" xfId="3169" xr:uid="{00000000-0005-0000-0000-0000BF0B0000}"/>
    <cellStyle name="Normal 2 2 8 2 5" xfId="3170" xr:uid="{00000000-0005-0000-0000-0000C00B0000}"/>
    <cellStyle name="Normal 2 2 8 2 6" xfId="3171" xr:uid="{00000000-0005-0000-0000-0000C10B0000}"/>
    <cellStyle name="Normal 2 2 8 2 7" xfId="3172" xr:uid="{00000000-0005-0000-0000-0000C20B0000}"/>
    <cellStyle name="Normal 2 2 8 2 8" xfId="3173" xr:uid="{00000000-0005-0000-0000-0000C30B0000}"/>
    <cellStyle name="Normal 2 2 8 2 9" xfId="3174" xr:uid="{00000000-0005-0000-0000-0000C40B0000}"/>
    <cellStyle name="Normal 2 2 8 3" xfId="3175" xr:uid="{00000000-0005-0000-0000-0000C50B0000}"/>
    <cellStyle name="Normal 2 2 8 4" xfId="3176" xr:uid="{00000000-0005-0000-0000-0000C60B0000}"/>
    <cellStyle name="Normal 2 2 8 5" xfId="3177" xr:uid="{00000000-0005-0000-0000-0000C70B0000}"/>
    <cellStyle name="Normal 2 2 8 5 2" xfId="3178" xr:uid="{00000000-0005-0000-0000-0000C80B0000}"/>
    <cellStyle name="Normal 2 2 8 5 3" xfId="3179" xr:uid="{00000000-0005-0000-0000-0000C90B0000}"/>
    <cellStyle name="Normal 2 2 8 6" xfId="3180" xr:uid="{00000000-0005-0000-0000-0000CA0B0000}"/>
    <cellStyle name="Normal 2 2 8 6 2" xfId="3181" xr:uid="{00000000-0005-0000-0000-0000CB0B0000}"/>
    <cellStyle name="Normal 2 2 8 6 3" xfId="3182" xr:uid="{00000000-0005-0000-0000-0000CC0B0000}"/>
    <cellStyle name="Normal 2 2 8 7" xfId="3183" xr:uid="{00000000-0005-0000-0000-0000CD0B0000}"/>
    <cellStyle name="Normal 2 2 8 7 2" xfId="3184" xr:uid="{00000000-0005-0000-0000-0000CE0B0000}"/>
    <cellStyle name="Normal 2 2 8 7 3" xfId="3185" xr:uid="{00000000-0005-0000-0000-0000CF0B0000}"/>
    <cellStyle name="Normal 2 2 8 8" xfId="3186" xr:uid="{00000000-0005-0000-0000-0000D00B0000}"/>
    <cellStyle name="Normal 2 2 8 8 2" xfId="3187" xr:uid="{00000000-0005-0000-0000-0000D10B0000}"/>
    <cellStyle name="Normal 2 2 8 8 3" xfId="3188" xr:uid="{00000000-0005-0000-0000-0000D20B0000}"/>
    <cellStyle name="Normal 2 2 8 9" xfId="3189" xr:uid="{00000000-0005-0000-0000-0000D30B0000}"/>
    <cellStyle name="Normal 2 2 8 9 2" xfId="3190" xr:uid="{00000000-0005-0000-0000-0000D40B0000}"/>
    <cellStyle name="Normal 2 2 8 9 3" xfId="3191" xr:uid="{00000000-0005-0000-0000-0000D50B0000}"/>
    <cellStyle name="Normal 2 2 9" xfId="44" xr:uid="{00000000-0005-0000-0000-0000D60B0000}"/>
    <cellStyle name="Normal 2 2 9 2" xfId="37662" xr:uid="{00000000-0005-0000-0000-0000D70B0000}"/>
    <cellStyle name="Normal 2 2 9 3" xfId="21208" xr:uid="{00000000-0005-0000-0000-0000D80B0000}"/>
    <cellStyle name="Normal 2 2_Residential Inputs Inland" xfId="3192" xr:uid="{00000000-0005-0000-0000-0000D90B0000}"/>
    <cellStyle name="Normal 2 20" xfId="3193" xr:uid="{00000000-0005-0000-0000-0000DA0B0000}"/>
    <cellStyle name="Normal 2 20 2" xfId="3194" xr:uid="{00000000-0005-0000-0000-0000DB0B0000}"/>
    <cellStyle name="Normal 2 20 2 2" xfId="3195" xr:uid="{00000000-0005-0000-0000-0000DC0B0000}"/>
    <cellStyle name="Normal 2 20 2 3" xfId="3196" xr:uid="{00000000-0005-0000-0000-0000DD0B0000}"/>
    <cellStyle name="Normal 2 20 2 4" xfId="3197" xr:uid="{00000000-0005-0000-0000-0000DE0B0000}"/>
    <cellStyle name="Normal 2 20 3" xfId="3198" xr:uid="{00000000-0005-0000-0000-0000DF0B0000}"/>
    <cellStyle name="Normal 2 20 4" xfId="3199" xr:uid="{00000000-0005-0000-0000-0000E00B0000}"/>
    <cellStyle name="Normal 2 20 5" xfId="3200" xr:uid="{00000000-0005-0000-0000-0000E10B0000}"/>
    <cellStyle name="Normal 2 20 6" xfId="3201" xr:uid="{00000000-0005-0000-0000-0000E20B0000}"/>
    <cellStyle name="Normal 2 20 7" xfId="3202" xr:uid="{00000000-0005-0000-0000-0000E30B0000}"/>
    <cellStyle name="Normal 2 20 8" xfId="3203" xr:uid="{00000000-0005-0000-0000-0000E40B0000}"/>
    <cellStyle name="Normal 2 20 9" xfId="3204" xr:uid="{00000000-0005-0000-0000-0000E50B0000}"/>
    <cellStyle name="Normal 2 21" xfId="3205" xr:uid="{00000000-0005-0000-0000-0000E60B0000}"/>
    <cellStyle name="Normal 2 21 2" xfId="3206" xr:uid="{00000000-0005-0000-0000-0000E70B0000}"/>
    <cellStyle name="Normal 2 21 2 2" xfId="3207" xr:uid="{00000000-0005-0000-0000-0000E80B0000}"/>
    <cellStyle name="Normal 2 21 2 3" xfId="3208" xr:uid="{00000000-0005-0000-0000-0000E90B0000}"/>
    <cellStyle name="Normal 2 21 2 4" xfId="3209" xr:uid="{00000000-0005-0000-0000-0000EA0B0000}"/>
    <cellStyle name="Normal 2 21 3" xfId="3210" xr:uid="{00000000-0005-0000-0000-0000EB0B0000}"/>
    <cellStyle name="Normal 2 21 4" xfId="3211" xr:uid="{00000000-0005-0000-0000-0000EC0B0000}"/>
    <cellStyle name="Normal 2 21 5" xfId="3212" xr:uid="{00000000-0005-0000-0000-0000ED0B0000}"/>
    <cellStyle name="Normal 2 21 6" xfId="3213" xr:uid="{00000000-0005-0000-0000-0000EE0B0000}"/>
    <cellStyle name="Normal 2 21 7" xfId="3214" xr:uid="{00000000-0005-0000-0000-0000EF0B0000}"/>
    <cellStyle name="Normal 2 21 8" xfId="3215" xr:uid="{00000000-0005-0000-0000-0000F00B0000}"/>
    <cellStyle name="Normal 2 21 9" xfId="3216" xr:uid="{00000000-0005-0000-0000-0000F10B0000}"/>
    <cellStyle name="Normal 2 22" xfId="3217" xr:uid="{00000000-0005-0000-0000-0000F20B0000}"/>
    <cellStyle name="Normal 2 22 2" xfId="3218" xr:uid="{00000000-0005-0000-0000-0000F30B0000}"/>
    <cellStyle name="Normal 2 22 2 2" xfId="3219" xr:uid="{00000000-0005-0000-0000-0000F40B0000}"/>
    <cellStyle name="Normal 2 22 2 3" xfId="3220" xr:uid="{00000000-0005-0000-0000-0000F50B0000}"/>
    <cellStyle name="Normal 2 22 2 4" xfId="3221" xr:uid="{00000000-0005-0000-0000-0000F60B0000}"/>
    <cellStyle name="Normal 2 22 3" xfId="3222" xr:uid="{00000000-0005-0000-0000-0000F70B0000}"/>
    <cellStyle name="Normal 2 22 4" xfId="3223" xr:uid="{00000000-0005-0000-0000-0000F80B0000}"/>
    <cellStyle name="Normal 2 22 5" xfId="3224" xr:uid="{00000000-0005-0000-0000-0000F90B0000}"/>
    <cellStyle name="Normal 2 22 6" xfId="3225" xr:uid="{00000000-0005-0000-0000-0000FA0B0000}"/>
    <cellStyle name="Normal 2 22 7" xfId="3226" xr:uid="{00000000-0005-0000-0000-0000FB0B0000}"/>
    <cellStyle name="Normal 2 22 8" xfId="3227" xr:uid="{00000000-0005-0000-0000-0000FC0B0000}"/>
    <cellStyle name="Normal 2 22 9" xfId="3228" xr:uid="{00000000-0005-0000-0000-0000FD0B0000}"/>
    <cellStyle name="Normal 2 23" xfId="3229" xr:uid="{00000000-0005-0000-0000-0000FE0B0000}"/>
    <cellStyle name="Normal 2 23 2" xfId="3230" xr:uid="{00000000-0005-0000-0000-0000FF0B0000}"/>
    <cellStyle name="Normal 2 23 2 2" xfId="3231" xr:uid="{00000000-0005-0000-0000-0000000C0000}"/>
    <cellStyle name="Normal 2 23 2 3" xfId="3232" xr:uid="{00000000-0005-0000-0000-0000010C0000}"/>
    <cellStyle name="Normal 2 23 2 4" xfId="3233" xr:uid="{00000000-0005-0000-0000-0000020C0000}"/>
    <cellStyle name="Normal 2 23 3" xfId="3234" xr:uid="{00000000-0005-0000-0000-0000030C0000}"/>
    <cellStyle name="Normal 2 23 4" xfId="3235" xr:uid="{00000000-0005-0000-0000-0000040C0000}"/>
    <cellStyle name="Normal 2 23 5" xfId="3236" xr:uid="{00000000-0005-0000-0000-0000050C0000}"/>
    <cellStyle name="Normal 2 23 6" xfId="3237" xr:uid="{00000000-0005-0000-0000-0000060C0000}"/>
    <cellStyle name="Normal 2 23 7" xfId="3238" xr:uid="{00000000-0005-0000-0000-0000070C0000}"/>
    <cellStyle name="Normal 2 23 8" xfId="3239" xr:uid="{00000000-0005-0000-0000-0000080C0000}"/>
    <cellStyle name="Normal 2 23 9" xfId="3240" xr:uid="{00000000-0005-0000-0000-0000090C0000}"/>
    <cellStyle name="Normal 2 24" xfId="3241" xr:uid="{00000000-0005-0000-0000-00000A0C0000}"/>
    <cellStyle name="Normal 2 24 2" xfId="3242" xr:uid="{00000000-0005-0000-0000-00000B0C0000}"/>
    <cellStyle name="Normal 2 24 2 2" xfId="3243" xr:uid="{00000000-0005-0000-0000-00000C0C0000}"/>
    <cellStyle name="Normal 2 24 2 3" xfId="3244" xr:uid="{00000000-0005-0000-0000-00000D0C0000}"/>
    <cellStyle name="Normal 2 24 2 4" xfId="3245" xr:uid="{00000000-0005-0000-0000-00000E0C0000}"/>
    <cellStyle name="Normal 2 24 3" xfId="3246" xr:uid="{00000000-0005-0000-0000-00000F0C0000}"/>
    <cellStyle name="Normal 2 24 4" xfId="3247" xr:uid="{00000000-0005-0000-0000-0000100C0000}"/>
    <cellStyle name="Normal 2 24 5" xfId="3248" xr:uid="{00000000-0005-0000-0000-0000110C0000}"/>
    <cellStyle name="Normal 2 24 6" xfId="3249" xr:uid="{00000000-0005-0000-0000-0000120C0000}"/>
    <cellStyle name="Normal 2 24 7" xfId="3250" xr:uid="{00000000-0005-0000-0000-0000130C0000}"/>
    <cellStyle name="Normal 2 24 8" xfId="3251" xr:uid="{00000000-0005-0000-0000-0000140C0000}"/>
    <cellStyle name="Normal 2 24 9" xfId="3252" xr:uid="{00000000-0005-0000-0000-0000150C0000}"/>
    <cellStyle name="Normal 2 25" xfId="3253" xr:uid="{00000000-0005-0000-0000-0000160C0000}"/>
    <cellStyle name="Normal 2 25 2" xfId="3254" xr:uid="{00000000-0005-0000-0000-0000170C0000}"/>
    <cellStyle name="Normal 2 25 2 2" xfId="3255" xr:uid="{00000000-0005-0000-0000-0000180C0000}"/>
    <cellStyle name="Normal 2 25 2 3" xfId="3256" xr:uid="{00000000-0005-0000-0000-0000190C0000}"/>
    <cellStyle name="Normal 2 25 2 4" xfId="3257" xr:uid="{00000000-0005-0000-0000-00001A0C0000}"/>
    <cellStyle name="Normal 2 25 3" xfId="3258" xr:uid="{00000000-0005-0000-0000-00001B0C0000}"/>
    <cellStyle name="Normal 2 25 4" xfId="3259" xr:uid="{00000000-0005-0000-0000-00001C0C0000}"/>
    <cellStyle name="Normal 2 25 5" xfId="3260" xr:uid="{00000000-0005-0000-0000-00001D0C0000}"/>
    <cellStyle name="Normal 2 25 6" xfId="3261" xr:uid="{00000000-0005-0000-0000-00001E0C0000}"/>
    <cellStyle name="Normal 2 25 7" xfId="3262" xr:uid="{00000000-0005-0000-0000-00001F0C0000}"/>
    <cellStyle name="Normal 2 25 8" xfId="3263" xr:uid="{00000000-0005-0000-0000-0000200C0000}"/>
    <cellStyle name="Normal 2 25 9" xfId="3264" xr:uid="{00000000-0005-0000-0000-0000210C0000}"/>
    <cellStyle name="Normal 2 26" xfId="3265" xr:uid="{00000000-0005-0000-0000-0000220C0000}"/>
    <cellStyle name="Normal 2 26 2" xfId="3266" xr:uid="{00000000-0005-0000-0000-0000230C0000}"/>
    <cellStyle name="Normal 2 26 2 2" xfId="3267" xr:uid="{00000000-0005-0000-0000-0000240C0000}"/>
    <cellStyle name="Normal 2 26 2 3" xfId="3268" xr:uid="{00000000-0005-0000-0000-0000250C0000}"/>
    <cellStyle name="Normal 2 26 2 4" xfId="3269" xr:uid="{00000000-0005-0000-0000-0000260C0000}"/>
    <cellStyle name="Normal 2 26 3" xfId="3270" xr:uid="{00000000-0005-0000-0000-0000270C0000}"/>
    <cellStyle name="Normal 2 26 4" xfId="3271" xr:uid="{00000000-0005-0000-0000-0000280C0000}"/>
    <cellStyle name="Normal 2 26 5" xfId="3272" xr:uid="{00000000-0005-0000-0000-0000290C0000}"/>
    <cellStyle name="Normal 2 26 6" xfId="3273" xr:uid="{00000000-0005-0000-0000-00002A0C0000}"/>
    <cellStyle name="Normal 2 26 7" xfId="3274" xr:uid="{00000000-0005-0000-0000-00002B0C0000}"/>
    <cellStyle name="Normal 2 26 8" xfId="3275" xr:uid="{00000000-0005-0000-0000-00002C0C0000}"/>
    <cellStyle name="Normal 2 26 9" xfId="3276" xr:uid="{00000000-0005-0000-0000-00002D0C0000}"/>
    <cellStyle name="Normal 2 27" xfId="3277" xr:uid="{00000000-0005-0000-0000-00002E0C0000}"/>
    <cellStyle name="Normal 2 28" xfId="3278" xr:uid="{00000000-0005-0000-0000-00002F0C0000}"/>
    <cellStyle name="Normal 2 29" xfId="3279" xr:uid="{00000000-0005-0000-0000-0000300C0000}"/>
    <cellStyle name="Normal 2 3" xfId="45" xr:uid="{00000000-0005-0000-0000-0000310C0000}"/>
    <cellStyle name="Normal 2 3 2" xfId="325" xr:uid="{00000000-0005-0000-0000-0000320C0000}"/>
    <cellStyle name="Normal 2 3 2 2" xfId="3281" xr:uid="{00000000-0005-0000-0000-0000330C0000}"/>
    <cellStyle name="Normal 2 3 2 2 2" xfId="3282" xr:uid="{00000000-0005-0000-0000-0000340C0000}"/>
    <cellStyle name="Normal 2 3 2 3" xfId="3283" xr:uid="{00000000-0005-0000-0000-0000350C0000}"/>
    <cellStyle name="Normal 2 3 2 3 2" xfId="3284" xr:uid="{00000000-0005-0000-0000-0000360C0000}"/>
    <cellStyle name="Normal 2 3 2 4" xfId="3285" xr:uid="{00000000-0005-0000-0000-0000370C0000}"/>
    <cellStyle name="Normal 2 3 2 4 2" xfId="3286" xr:uid="{00000000-0005-0000-0000-0000380C0000}"/>
    <cellStyle name="Normal 2 3 2 5" xfId="3287" xr:uid="{00000000-0005-0000-0000-0000390C0000}"/>
    <cellStyle name="Normal 2 3 2 5 2" xfId="3288" xr:uid="{00000000-0005-0000-0000-00003A0C0000}"/>
    <cellStyle name="Normal 2 3 2 6" xfId="3289" xr:uid="{00000000-0005-0000-0000-00003B0C0000}"/>
    <cellStyle name="Normal 2 3 2 6 2" xfId="3290" xr:uid="{00000000-0005-0000-0000-00003C0C0000}"/>
    <cellStyle name="Normal 2 3 2 7" xfId="3291" xr:uid="{00000000-0005-0000-0000-00003D0C0000}"/>
    <cellStyle name="Normal 2 3 2 7 2" xfId="3292" xr:uid="{00000000-0005-0000-0000-00003E0C0000}"/>
    <cellStyle name="Normal 2 3 2 8" xfId="3280" xr:uid="{00000000-0005-0000-0000-00003F0C0000}"/>
    <cellStyle name="Normal 2 3 3" xfId="3293" xr:uid="{00000000-0005-0000-0000-0000400C0000}"/>
    <cellStyle name="Normal 2 3 4" xfId="3294" xr:uid="{00000000-0005-0000-0000-0000410C0000}"/>
    <cellStyle name="Normal 2 3 5" xfId="3295" xr:uid="{00000000-0005-0000-0000-0000420C0000}"/>
    <cellStyle name="Normal 2 3 6" xfId="3296" xr:uid="{00000000-0005-0000-0000-0000430C0000}"/>
    <cellStyle name="Normal 2 3 7" xfId="3297" xr:uid="{00000000-0005-0000-0000-0000440C0000}"/>
    <cellStyle name="Normal 2 3 8" xfId="3298" xr:uid="{00000000-0005-0000-0000-0000450C0000}"/>
    <cellStyle name="Normal 2 3 9" xfId="37663" xr:uid="{00000000-0005-0000-0000-0000460C0000}"/>
    <cellStyle name="Normal 2 30" xfId="3299" xr:uid="{00000000-0005-0000-0000-0000470C0000}"/>
    <cellStyle name="Normal 2 30 2" xfId="3300" xr:uid="{00000000-0005-0000-0000-0000480C0000}"/>
    <cellStyle name="Normal 2 30 3" xfId="3301" xr:uid="{00000000-0005-0000-0000-0000490C0000}"/>
    <cellStyle name="Normal 2 31" xfId="3302" xr:uid="{00000000-0005-0000-0000-00004A0C0000}"/>
    <cellStyle name="Normal 2 32" xfId="3303" xr:uid="{00000000-0005-0000-0000-00004B0C0000}"/>
    <cellStyle name="Normal 2 33" xfId="3304" xr:uid="{00000000-0005-0000-0000-00004C0C0000}"/>
    <cellStyle name="Normal 2 34" xfId="3305" xr:uid="{00000000-0005-0000-0000-00004D0C0000}"/>
    <cellStyle name="Normal 2 35" xfId="3306" xr:uid="{00000000-0005-0000-0000-00004E0C0000}"/>
    <cellStyle name="Normal 2 36" xfId="3307" xr:uid="{00000000-0005-0000-0000-00004F0C0000}"/>
    <cellStyle name="Normal 2 37" xfId="3308" xr:uid="{00000000-0005-0000-0000-0000500C0000}"/>
    <cellStyle name="Normal 2 38" xfId="3309" xr:uid="{00000000-0005-0000-0000-0000510C0000}"/>
    <cellStyle name="Normal 2 39" xfId="3310" xr:uid="{00000000-0005-0000-0000-0000520C0000}"/>
    <cellStyle name="Normal 2 4" xfId="46" xr:uid="{00000000-0005-0000-0000-0000530C0000}"/>
    <cellStyle name="Normal 2 4 10" xfId="3311" xr:uid="{00000000-0005-0000-0000-0000540C0000}"/>
    <cellStyle name="Normal 2 4 11" xfId="3312" xr:uid="{00000000-0005-0000-0000-0000550C0000}"/>
    <cellStyle name="Normal 2 4 12" xfId="3313" xr:uid="{00000000-0005-0000-0000-0000560C0000}"/>
    <cellStyle name="Normal 2 4 13" xfId="3314" xr:uid="{00000000-0005-0000-0000-0000570C0000}"/>
    <cellStyle name="Normal 2 4 14" xfId="3315" xr:uid="{00000000-0005-0000-0000-0000580C0000}"/>
    <cellStyle name="Normal 2 4 15" xfId="3316" xr:uid="{00000000-0005-0000-0000-0000590C0000}"/>
    <cellStyle name="Normal 2 4 16" xfId="3317" xr:uid="{00000000-0005-0000-0000-00005A0C0000}"/>
    <cellStyle name="Normal 2 4 17" xfId="3318" xr:uid="{00000000-0005-0000-0000-00005B0C0000}"/>
    <cellStyle name="Normal 2 4 17 10" xfId="3319" xr:uid="{00000000-0005-0000-0000-00005C0C0000}"/>
    <cellStyle name="Normal 2 4 17 10 10" xfId="3320" xr:uid="{00000000-0005-0000-0000-00005D0C0000}"/>
    <cellStyle name="Normal 2 4 17 10 10 2" xfId="21211" xr:uid="{00000000-0005-0000-0000-00005E0C0000}"/>
    <cellStyle name="Normal 2 4 17 10 11" xfId="3321" xr:uid="{00000000-0005-0000-0000-00005F0C0000}"/>
    <cellStyle name="Normal 2 4 17 10 11 2" xfId="21212" xr:uid="{00000000-0005-0000-0000-0000600C0000}"/>
    <cellStyle name="Normal 2 4 17 10 12" xfId="3322" xr:uid="{00000000-0005-0000-0000-0000610C0000}"/>
    <cellStyle name="Normal 2 4 17 10 12 2" xfId="21213" xr:uid="{00000000-0005-0000-0000-0000620C0000}"/>
    <cellStyle name="Normal 2 4 17 10 13" xfId="3323" xr:uid="{00000000-0005-0000-0000-0000630C0000}"/>
    <cellStyle name="Normal 2 4 17 10 13 2" xfId="21214" xr:uid="{00000000-0005-0000-0000-0000640C0000}"/>
    <cellStyle name="Normal 2 4 17 10 14" xfId="3324" xr:uid="{00000000-0005-0000-0000-0000650C0000}"/>
    <cellStyle name="Normal 2 4 17 10 14 2" xfId="21215" xr:uid="{00000000-0005-0000-0000-0000660C0000}"/>
    <cellStyle name="Normal 2 4 17 10 15" xfId="21210" xr:uid="{00000000-0005-0000-0000-0000670C0000}"/>
    <cellStyle name="Normal 2 4 17 10 2" xfId="3325" xr:uid="{00000000-0005-0000-0000-0000680C0000}"/>
    <cellStyle name="Normal 2 4 17 10 2 2" xfId="21216" xr:uid="{00000000-0005-0000-0000-0000690C0000}"/>
    <cellStyle name="Normal 2 4 17 10 3" xfId="3326" xr:uid="{00000000-0005-0000-0000-00006A0C0000}"/>
    <cellStyle name="Normal 2 4 17 10 3 2" xfId="21217" xr:uid="{00000000-0005-0000-0000-00006B0C0000}"/>
    <cellStyle name="Normal 2 4 17 10 4" xfId="3327" xr:uid="{00000000-0005-0000-0000-00006C0C0000}"/>
    <cellStyle name="Normal 2 4 17 10 4 2" xfId="21218" xr:uid="{00000000-0005-0000-0000-00006D0C0000}"/>
    <cellStyle name="Normal 2 4 17 10 5" xfId="3328" xr:uid="{00000000-0005-0000-0000-00006E0C0000}"/>
    <cellStyle name="Normal 2 4 17 10 5 2" xfId="21219" xr:uid="{00000000-0005-0000-0000-00006F0C0000}"/>
    <cellStyle name="Normal 2 4 17 10 6" xfId="3329" xr:uid="{00000000-0005-0000-0000-0000700C0000}"/>
    <cellStyle name="Normal 2 4 17 10 6 2" xfId="21220" xr:uid="{00000000-0005-0000-0000-0000710C0000}"/>
    <cellStyle name="Normal 2 4 17 10 7" xfId="3330" xr:uid="{00000000-0005-0000-0000-0000720C0000}"/>
    <cellStyle name="Normal 2 4 17 10 7 2" xfId="21221" xr:uid="{00000000-0005-0000-0000-0000730C0000}"/>
    <cellStyle name="Normal 2 4 17 10 8" xfId="3331" xr:uid="{00000000-0005-0000-0000-0000740C0000}"/>
    <cellStyle name="Normal 2 4 17 10 8 2" xfId="21222" xr:uid="{00000000-0005-0000-0000-0000750C0000}"/>
    <cellStyle name="Normal 2 4 17 10 9" xfId="3332" xr:uid="{00000000-0005-0000-0000-0000760C0000}"/>
    <cellStyle name="Normal 2 4 17 10 9 2" xfId="21223" xr:uid="{00000000-0005-0000-0000-0000770C0000}"/>
    <cellStyle name="Normal 2 4 17 11" xfId="3333" xr:uid="{00000000-0005-0000-0000-0000780C0000}"/>
    <cellStyle name="Normal 2 4 17 11 2" xfId="21224" xr:uid="{00000000-0005-0000-0000-0000790C0000}"/>
    <cellStyle name="Normal 2 4 17 12" xfId="3334" xr:uid="{00000000-0005-0000-0000-00007A0C0000}"/>
    <cellStyle name="Normal 2 4 17 12 2" xfId="21225" xr:uid="{00000000-0005-0000-0000-00007B0C0000}"/>
    <cellStyle name="Normal 2 4 17 13" xfId="3335" xr:uid="{00000000-0005-0000-0000-00007C0C0000}"/>
    <cellStyle name="Normal 2 4 17 13 2" xfId="21226" xr:uid="{00000000-0005-0000-0000-00007D0C0000}"/>
    <cellStyle name="Normal 2 4 17 14" xfId="3336" xr:uid="{00000000-0005-0000-0000-00007E0C0000}"/>
    <cellStyle name="Normal 2 4 17 14 2" xfId="21227" xr:uid="{00000000-0005-0000-0000-00007F0C0000}"/>
    <cellStyle name="Normal 2 4 17 15" xfId="3337" xr:uid="{00000000-0005-0000-0000-0000800C0000}"/>
    <cellStyle name="Normal 2 4 17 15 2" xfId="21228" xr:uid="{00000000-0005-0000-0000-0000810C0000}"/>
    <cellStyle name="Normal 2 4 17 16" xfId="3338" xr:uid="{00000000-0005-0000-0000-0000820C0000}"/>
    <cellStyle name="Normal 2 4 17 16 2" xfId="21229" xr:uid="{00000000-0005-0000-0000-0000830C0000}"/>
    <cellStyle name="Normal 2 4 17 17" xfId="3339" xr:uid="{00000000-0005-0000-0000-0000840C0000}"/>
    <cellStyle name="Normal 2 4 17 17 2" xfId="21230" xr:uid="{00000000-0005-0000-0000-0000850C0000}"/>
    <cellStyle name="Normal 2 4 17 18" xfId="3340" xr:uid="{00000000-0005-0000-0000-0000860C0000}"/>
    <cellStyle name="Normal 2 4 17 18 2" xfId="21231" xr:uid="{00000000-0005-0000-0000-0000870C0000}"/>
    <cellStyle name="Normal 2 4 17 19" xfId="3341" xr:uid="{00000000-0005-0000-0000-0000880C0000}"/>
    <cellStyle name="Normal 2 4 17 19 2" xfId="21232" xr:uid="{00000000-0005-0000-0000-0000890C0000}"/>
    <cellStyle name="Normal 2 4 17 2" xfId="3342" xr:uid="{00000000-0005-0000-0000-00008A0C0000}"/>
    <cellStyle name="Normal 2 4 17 2 10" xfId="3343" xr:uid="{00000000-0005-0000-0000-00008B0C0000}"/>
    <cellStyle name="Normal 2 4 17 2 10 2" xfId="21234" xr:uid="{00000000-0005-0000-0000-00008C0C0000}"/>
    <cellStyle name="Normal 2 4 17 2 11" xfId="3344" xr:uid="{00000000-0005-0000-0000-00008D0C0000}"/>
    <cellStyle name="Normal 2 4 17 2 11 2" xfId="21235" xr:uid="{00000000-0005-0000-0000-00008E0C0000}"/>
    <cellStyle name="Normal 2 4 17 2 12" xfId="3345" xr:uid="{00000000-0005-0000-0000-00008F0C0000}"/>
    <cellStyle name="Normal 2 4 17 2 12 2" xfId="21236" xr:uid="{00000000-0005-0000-0000-0000900C0000}"/>
    <cellStyle name="Normal 2 4 17 2 13" xfId="3346" xr:uid="{00000000-0005-0000-0000-0000910C0000}"/>
    <cellStyle name="Normal 2 4 17 2 13 2" xfId="21237" xr:uid="{00000000-0005-0000-0000-0000920C0000}"/>
    <cellStyle name="Normal 2 4 17 2 14" xfId="3347" xr:uid="{00000000-0005-0000-0000-0000930C0000}"/>
    <cellStyle name="Normal 2 4 17 2 14 2" xfId="21238" xr:uid="{00000000-0005-0000-0000-0000940C0000}"/>
    <cellStyle name="Normal 2 4 17 2 15" xfId="3348" xr:uid="{00000000-0005-0000-0000-0000950C0000}"/>
    <cellStyle name="Normal 2 4 17 2 15 2" xfId="21239" xr:uid="{00000000-0005-0000-0000-0000960C0000}"/>
    <cellStyle name="Normal 2 4 17 2 16" xfId="21233" xr:uid="{00000000-0005-0000-0000-0000970C0000}"/>
    <cellStyle name="Normal 2 4 17 2 2" xfId="3349" xr:uid="{00000000-0005-0000-0000-0000980C0000}"/>
    <cellStyle name="Normal 2 4 17 2 2 10" xfId="3350" xr:uid="{00000000-0005-0000-0000-0000990C0000}"/>
    <cellStyle name="Normal 2 4 17 2 2 10 2" xfId="21241" xr:uid="{00000000-0005-0000-0000-00009A0C0000}"/>
    <cellStyle name="Normal 2 4 17 2 2 11" xfId="3351" xr:uid="{00000000-0005-0000-0000-00009B0C0000}"/>
    <cellStyle name="Normal 2 4 17 2 2 11 2" xfId="21242" xr:uid="{00000000-0005-0000-0000-00009C0C0000}"/>
    <cellStyle name="Normal 2 4 17 2 2 12" xfId="3352" xr:uid="{00000000-0005-0000-0000-00009D0C0000}"/>
    <cellStyle name="Normal 2 4 17 2 2 12 2" xfId="21243" xr:uid="{00000000-0005-0000-0000-00009E0C0000}"/>
    <cellStyle name="Normal 2 4 17 2 2 13" xfId="3353" xr:uid="{00000000-0005-0000-0000-00009F0C0000}"/>
    <cellStyle name="Normal 2 4 17 2 2 13 2" xfId="21244" xr:uid="{00000000-0005-0000-0000-0000A00C0000}"/>
    <cellStyle name="Normal 2 4 17 2 2 14" xfId="3354" xr:uid="{00000000-0005-0000-0000-0000A10C0000}"/>
    <cellStyle name="Normal 2 4 17 2 2 14 2" xfId="21245" xr:uid="{00000000-0005-0000-0000-0000A20C0000}"/>
    <cellStyle name="Normal 2 4 17 2 2 15" xfId="21240" xr:uid="{00000000-0005-0000-0000-0000A30C0000}"/>
    <cellStyle name="Normal 2 4 17 2 2 2" xfId="3355" xr:uid="{00000000-0005-0000-0000-0000A40C0000}"/>
    <cellStyle name="Normal 2 4 17 2 2 2 2" xfId="21246" xr:uid="{00000000-0005-0000-0000-0000A50C0000}"/>
    <cellStyle name="Normal 2 4 17 2 2 3" xfId="3356" xr:uid="{00000000-0005-0000-0000-0000A60C0000}"/>
    <cellStyle name="Normal 2 4 17 2 2 3 2" xfId="21247" xr:uid="{00000000-0005-0000-0000-0000A70C0000}"/>
    <cellStyle name="Normal 2 4 17 2 2 4" xfId="3357" xr:uid="{00000000-0005-0000-0000-0000A80C0000}"/>
    <cellStyle name="Normal 2 4 17 2 2 4 2" xfId="21248" xr:uid="{00000000-0005-0000-0000-0000A90C0000}"/>
    <cellStyle name="Normal 2 4 17 2 2 5" xfId="3358" xr:uid="{00000000-0005-0000-0000-0000AA0C0000}"/>
    <cellStyle name="Normal 2 4 17 2 2 5 2" xfId="21249" xr:uid="{00000000-0005-0000-0000-0000AB0C0000}"/>
    <cellStyle name="Normal 2 4 17 2 2 6" xfId="3359" xr:uid="{00000000-0005-0000-0000-0000AC0C0000}"/>
    <cellStyle name="Normal 2 4 17 2 2 6 2" xfId="21250" xr:uid="{00000000-0005-0000-0000-0000AD0C0000}"/>
    <cellStyle name="Normal 2 4 17 2 2 7" xfId="3360" xr:uid="{00000000-0005-0000-0000-0000AE0C0000}"/>
    <cellStyle name="Normal 2 4 17 2 2 7 2" xfId="21251" xr:uid="{00000000-0005-0000-0000-0000AF0C0000}"/>
    <cellStyle name="Normal 2 4 17 2 2 8" xfId="3361" xr:uid="{00000000-0005-0000-0000-0000B00C0000}"/>
    <cellStyle name="Normal 2 4 17 2 2 8 2" xfId="21252" xr:uid="{00000000-0005-0000-0000-0000B10C0000}"/>
    <cellStyle name="Normal 2 4 17 2 2 9" xfId="3362" xr:uid="{00000000-0005-0000-0000-0000B20C0000}"/>
    <cellStyle name="Normal 2 4 17 2 2 9 2" xfId="21253" xr:uid="{00000000-0005-0000-0000-0000B30C0000}"/>
    <cellStyle name="Normal 2 4 17 2 3" xfId="3363" xr:uid="{00000000-0005-0000-0000-0000B40C0000}"/>
    <cellStyle name="Normal 2 4 17 2 3 2" xfId="21254" xr:uid="{00000000-0005-0000-0000-0000B50C0000}"/>
    <cellStyle name="Normal 2 4 17 2 4" xfId="3364" xr:uid="{00000000-0005-0000-0000-0000B60C0000}"/>
    <cellStyle name="Normal 2 4 17 2 4 2" xfId="21255" xr:uid="{00000000-0005-0000-0000-0000B70C0000}"/>
    <cellStyle name="Normal 2 4 17 2 5" xfId="3365" xr:uid="{00000000-0005-0000-0000-0000B80C0000}"/>
    <cellStyle name="Normal 2 4 17 2 5 2" xfId="21256" xr:uid="{00000000-0005-0000-0000-0000B90C0000}"/>
    <cellStyle name="Normal 2 4 17 2 6" xfId="3366" xr:uid="{00000000-0005-0000-0000-0000BA0C0000}"/>
    <cellStyle name="Normal 2 4 17 2 6 2" xfId="21257" xr:uid="{00000000-0005-0000-0000-0000BB0C0000}"/>
    <cellStyle name="Normal 2 4 17 2 7" xfId="3367" xr:uid="{00000000-0005-0000-0000-0000BC0C0000}"/>
    <cellStyle name="Normal 2 4 17 2 7 2" xfId="21258" xr:uid="{00000000-0005-0000-0000-0000BD0C0000}"/>
    <cellStyle name="Normal 2 4 17 2 8" xfId="3368" xr:uid="{00000000-0005-0000-0000-0000BE0C0000}"/>
    <cellStyle name="Normal 2 4 17 2 8 2" xfId="21259" xr:uid="{00000000-0005-0000-0000-0000BF0C0000}"/>
    <cellStyle name="Normal 2 4 17 2 9" xfId="3369" xr:uid="{00000000-0005-0000-0000-0000C00C0000}"/>
    <cellStyle name="Normal 2 4 17 2 9 2" xfId="21260" xr:uid="{00000000-0005-0000-0000-0000C10C0000}"/>
    <cellStyle name="Normal 2 4 17 20" xfId="3370" xr:uid="{00000000-0005-0000-0000-0000C20C0000}"/>
    <cellStyle name="Normal 2 4 17 20 2" xfId="21261" xr:uid="{00000000-0005-0000-0000-0000C30C0000}"/>
    <cellStyle name="Normal 2 4 17 21" xfId="3371" xr:uid="{00000000-0005-0000-0000-0000C40C0000}"/>
    <cellStyle name="Normal 2 4 17 21 2" xfId="21262" xr:uid="{00000000-0005-0000-0000-0000C50C0000}"/>
    <cellStyle name="Normal 2 4 17 22" xfId="3372" xr:uid="{00000000-0005-0000-0000-0000C60C0000}"/>
    <cellStyle name="Normal 2 4 17 22 2" xfId="21263" xr:uid="{00000000-0005-0000-0000-0000C70C0000}"/>
    <cellStyle name="Normal 2 4 17 23" xfId="3373" xr:uid="{00000000-0005-0000-0000-0000C80C0000}"/>
    <cellStyle name="Normal 2 4 17 23 2" xfId="21264" xr:uid="{00000000-0005-0000-0000-0000C90C0000}"/>
    <cellStyle name="Normal 2 4 17 24" xfId="21209" xr:uid="{00000000-0005-0000-0000-0000CA0C0000}"/>
    <cellStyle name="Normal 2 4 17 3" xfId="3374" xr:uid="{00000000-0005-0000-0000-0000CB0C0000}"/>
    <cellStyle name="Normal 2 4 17 3 10" xfId="3375" xr:uid="{00000000-0005-0000-0000-0000CC0C0000}"/>
    <cellStyle name="Normal 2 4 17 3 10 2" xfId="21266" xr:uid="{00000000-0005-0000-0000-0000CD0C0000}"/>
    <cellStyle name="Normal 2 4 17 3 11" xfId="3376" xr:uid="{00000000-0005-0000-0000-0000CE0C0000}"/>
    <cellStyle name="Normal 2 4 17 3 11 2" xfId="21267" xr:uid="{00000000-0005-0000-0000-0000CF0C0000}"/>
    <cellStyle name="Normal 2 4 17 3 12" xfId="3377" xr:uid="{00000000-0005-0000-0000-0000D00C0000}"/>
    <cellStyle name="Normal 2 4 17 3 12 2" xfId="21268" xr:uid="{00000000-0005-0000-0000-0000D10C0000}"/>
    <cellStyle name="Normal 2 4 17 3 13" xfId="3378" xr:uid="{00000000-0005-0000-0000-0000D20C0000}"/>
    <cellStyle name="Normal 2 4 17 3 13 2" xfId="21269" xr:uid="{00000000-0005-0000-0000-0000D30C0000}"/>
    <cellStyle name="Normal 2 4 17 3 14" xfId="3379" xr:uid="{00000000-0005-0000-0000-0000D40C0000}"/>
    <cellStyle name="Normal 2 4 17 3 14 2" xfId="21270" xr:uid="{00000000-0005-0000-0000-0000D50C0000}"/>
    <cellStyle name="Normal 2 4 17 3 15" xfId="3380" xr:uid="{00000000-0005-0000-0000-0000D60C0000}"/>
    <cellStyle name="Normal 2 4 17 3 15 2" xfId="21271" xr:uid="{00000000-0005-0000-0000-0000D70C0000}"/>
    <cellStyle name="Normal 2 4 17 3 16" xfId="21265" xr:uid="{00000000-0005-0000-0000-0000D80C0000}"/>
    <cellStyle name="Normal 2 4 17 3 2" xfId="3381" xr:uid="{00000000-0005-0000-0000-0000D90C0000}"/>
    <cellStyle name="Normal 2 4 17 3 2 10" xfId="3382" xr:uid="{00000000-0005-0000-0000-0000DA0C0000}"/>
    <cellStyle name="Normal 2 4 17 3 2 10 2" xfId="21273" xr:uid="{00000000-0005-0000-0000-0000DB0C0000}"/>
    <cellStyle name="Normal 2 4 17 3 2 11" xfId="3383" xr:uid="{00000000-0005-0000-0000-0000DC0C0000}"/>
    <cellStyle name="Normal 2 4 17 3 2 11 2" xfId="21274" xr:uid="{00000000-0005-0000-0000-0000DD0C0000}"/>
    <cellStyle name="Normal 2 4 17 3 2 12" xfId="3384" xr:uid="{00000000-0005-0000-0000-0000DE0C0000}"/>
    <cellStyle name="Normal 2 4 17 3 2 12 2" xfId="21275" xr:uid="{00000000-0005-0000-0000-0000DF0C0000}"/>
    <cellStyle name="Normal 2 4 17 3 2 13" xfId="3385" xr:uid="{00000000-0005-0000-0000-0000E00C0000}"/>
    <cellStyle name="Normal 2 4 17 3 2 13 2" xfId="21276" xr:uid="{00000000-0005-0000-0000-0000E10C0000}"/>
    <cellStyle name="Normal 2 4 17 3 2 14" xfId="3386" xr:uid="{00000000-0005-0000-0000-0000E20C0000}"/>
    <cellStyle name="Normal 2 4 17 3 2 14 2" xfId="21277" xr:uid="{00000000-0005-0000-0000-0000E30C0000}"/>
    <cellStyle name="Normal 2 4 17 3 2 15" xfId="21272" xr:uid="{00000000-0005-0000-0000-0000E40C0000}"/>
    <cellStyle name="Normal 2 4 17 3 2 2" xfId="3387" xr:uid="{00000000-0005-0000-0000-0000E50C0000}"/>
    <cellStyle name="Normal 2 4 17 3 2 2 2" xfId="21278" xr:uid="{00000000-0005-0000-0000-0000E60C0000}"/>
    <cellStyle name="Normal 2 4 17 3 2 3" xfId="3388" xr:uid="{00000000-0005-0000-0000-0000E70C0000}"/>
    <cellStyle name="Normal 2 4 17 3 2 3 2" xfId="21279" xr:uid="{00000000-0005-0000-0000-0000E80C0000}"/>
    <cellStyle name="Normal 2 4 17 3 2 4" xfId="3389" xr:uid="{00000000-0005-0000-0000-0000E90C0000}"/>
    <cellStyle name="Normal 2 4 17 3 2 4 2" xfId="21280" xr:uid="{00000000-0005-0000-0000-0000EA0C0000}"/>
    <cellStyle name="Normal 2 4 17 3 2 5" xfId="3390" xr:uid="{00000000-0005-0000-0000-0000EB0C0000}"/>
    <cellStyle name="Normal 2 4 17 3 2 5 2" xfId="21281" xr:uid="{00000000-0005-0000-0000-0000EC0C0000}"/>
    <cellStyle name="Normal 2 4 17 3 2 6" xfId="3391" xr:uid="{00000000-0005-0000-0000-0000ED0C0000}"/>
    <cellStyle name="Normal 2 4 17 3 2 6 2" xfId="21282" xr:uid="{00000000-0005-0000-0000-0000EE0C0000}"/>
    <cellStyle name="Normal 2 4 17 3 2 7" xfId="3392" xr:uid="{00000000-0005-0000-0000-0000EF0C0000}"/>
    <cellStyle name="Normal 2 4 17 3 2 7 2" xfId="21283" xr:uid="{00000000-0005-0000-0000-0000F00C0000}"/>
    <cellStyle name="Normal 2 4 17 3 2 8" xfId="3393" xr:uid="{00000000-0005-0000-0000-0000F10C0000}"/>
    <cellStyle name="Normal 2 4 17 3 2 8 2" xfId="21284" xr:uid="{00000000-0005-0000-0000-0000F20C0000}"/>
    <cellStyle name="Normal 2 4 17 3 2 9" xfId="3394" xr:uid="{00000000-0005-0000-0000-0000F30C0000}"/>
    <cellStyle name="Normal 2 4 17 3 2 9 2" xfId="21285" xr:uid="{00000000-0005-0000-0000-0000F40C0000}"/>
    <cellStyle name="Normal 2 4 17 3 3" xfId="3395" xr:uid="{00000000-0005-0000-0000-0000F50C0000}"/>
    <cellStyle name="Normal 2 4 17 3 3 2" xfId="21286" xr:uid="{00000000-0005-0000-0000-0000F60C0000}"/>
    <cellStyle name="Normal 2 4 17 3 4" xfId="3396" xr:uid="{00000000-0005-0000-0000-0000F70C0000}"/>
    <cellStyle name="Normal 2 4 17 3 4 2" xfId="21287" xr:uid="{00000000-0005-0000-0000-0000F80C0000}"/>
    <cellStyle name="Normal 2 4 17 3 5" xfId="3397" xr:uid="{00000000-0005-0000-0000-0000F90C0000}"/>
    <cellStyle name="Normal 2 4 17 3 5 2" xfId="21288" xr:uid="{00000000-0005-0000-0000-0000FA0C0000}"/>
    <cellStyle name="Normal 2 4 17 3 6" xfId="3398" xr:uid="{00000000-0005-0000-0000-0000FB0C0000}"/>
    <cellStyle name="Normal 2 4 17 3 6 2" xfId="21289" xr:uid="{00000000-0005-0000-0000-0000FC0C0000}"/>
    <cellStyle name="Normal 2 4 17 3 7" xfId="3399" xr:uid="{00000000-0005-0000-0000-0000FD0C0000}"/>
    <cellStyle name="Normal 2 4 17 3 7 2" xfId="21290" xr:uid="{00000000-0005-0000-0000-0000FE0C0000}"/>
    <cellStyle name="Normal 2 4 17 3 8" xfId="3400" xr:uid="{00000000-0005-0000-0000-0000FF0C0000}"/>
    <cellStyle name="Normal 2 4 17 3 8 2" xfId="21291" xr:uid="{00000000-0005-0000-0000-0000000D0000}"/>
    <cellStyle name="Normal 2 4 17 3 9" xfId="3401" xr:uid="{00000000-0005-0000-0000-0000010D0000}"/>
    <cellStyle name="Normal 2 4 17 3 9 2" xfId="21292" xr:uid="{00000000-0005-0000-0000-0000020D0000}"/>
    <cellStyle name="Normal 2 4 17 4" xfId="3402" xr:uid="{00000000-0005-0000-0000-0000030D0000}"/>
    <cellStyle name="Normal 2 4 17 4 10" xfId="3403" xr:uid="{00000000-0005-0000-0000-0000040D0000}"/>
    <cellStyle name="Normal 2 4 17 4 10 2" xfId="21294" xr:uid="{00000000-0005-0000-0000-0000050D0000}"/>
    <cellStyle name="Normal 2 4 17 4 11" xfId="3404" xr:uid="{00000000-0005-0000-0000-0000060D0000}"/>
    <cellStyle name="Normal 2 4 17 4 11 2" xfId="21295" xr:uid="{00000000-0005-0000-0000-0000070D0000}"/>
    <cellStyle name="Normal 2 4 17 4 12" xfId="3405" xr:uid="{00000000-0005-0000-0000-0000080D0000}"/>
    <cellStyle name="Normal 2 4 17 4 12 2" xfId="21296" xr:uid="{00000000-0005-0000-0000-0000090D0000}"/>
    <cellStyle name="Normal 2 4 17 4 13" xfId="3406" xr:uid="{00000000-0005-0000-0000-00000A0D0000}"/>
    <cellStyle name="Normal 2 4 17 4 13 2" xfId="21297" xr:uid="{00000000-0005-0000-0000-00000B0D0000}"/>
    <cellStyle name="Normal 2 4 17 4 14" xfId="3407" xr:uid="{00000000-0005-0000-0000-00000C0D0000}"/>
    <cellStyle name="Normal 2 4 17 4 14 2" xfId="21298" xr:uid="{00000000-0005-0000-0000-00000D0D0000}"/>
    <cellStyle name="Normal 2 4 17 4 15" xfId="3408" xr:uid="{00000000-0005-0000-0000-00000E0D0000}"/>
    <cellStyle name="Normal 2 4 17 4 15 2" xfId="21299" xr:uid="{00000000-0005-0000-0000-00000F0D0000}"/>
    <cellStyle name="Normal 2 4 17 4 16" xfId="21293" xr:uid="{00000000-0005-0000-0000-0000100D0000}"/>
    <cellStyle name="Normal 2 4 17 4 2" xfId="3409" xr:uid="{00000000-0005-0000-0000-0000110D0000}"/>
    <cellStyle name="Normal 2 4 17 4 2 10" xfId="3410" xr:uid="{00000000-0005-0000-0000-0000120D0000}"/>
    <cellStyle name="Normal 2 4 17 4 2 10 2" xfId="21301" xr:uid="{00000000-0005-0000-0000-0000130D0000}"/>
    <cellStyle name="Normal 2 4 17 4 2 11" xfId="3411" xr:uid="{00000000-0005-0000-0000-0000140D0000}"/>
    <cellStyle name="Normal 2 4 17 4 2 11 2" xfId="21302" xr:uid="{00000000-0005-0000-0000-0000150D0000}"/>
    <cellStyle name="Normal 2 4 17 4 2 12" xfId="3412" xr:uid="{00000000-0005-0000-0000-0000160D0000}"/>
    <cellStyle name="Normal 2 4 17 4 2 12 2" xfId="21303" xr:uid="{00000000-0005-0000-0000-0000170D0000}"/>
    <cellStyle name="Normal 2 4 17 4 2 13" xfId="3413" xr:uid="{00000000-0005-0000-0000-0000180D0000}"/>
    <cellStyle name="Normal 2 4 17 4 2 13 2" xfId="21304" xr:uid="{00000000-0005-0000-0000-0000190D0000}"/>
    <cellStyle name="Normal 2 4 17 4 2 14" xfId="3414" xr:uid="{00000000-0005-0000-0000-00001A0D0000}"/>
    <cellStyle name="Normal 2 4 17 4 2 14 2" xfId="21305" xr:uid="{00000000-0005-0000-0000-00001B0D0000}"/>
    <cellStyle name="Normal 2 4 17 4 2 15" xfId="21300" xr:uid="{00000000-0005-0000-0000-00001C0D0000}"/>
    <cellStyle name="Normal 2 4 17 4 2 2" xfId="3415" xr:uid="{00000000-0005-0000-0000-00001D0D0000}"/>
    <cellStyle name="Normal 2 4 17 4 2 2 2" xfId="21306" xr:uid="{00000000-0005-0000-0000-00001E0D0000}"/>
    <cellStyle name="Normal 2 4 17 4 2 3" xfId="3416" xr:uid="{00000000-0005-0000-0000-00001F0D0000}"/>
    <cellStyle name="Normal 2 4 17 4 2 3 2" xfId="21307" xr:uid="{00000000-0005-0000-0000-0000200D0000}"/>
    <cellStyle name="Normal 2 4 17 4 2 4" xfId="3417" xr:uid="{00000000-0005-0000-0000-0000210D0000}"/>
    <cellStyle name="Normal 2 4 17 4 2 4 2" xfId="21308" xr:uid="{00000000-0005-0000-0000-0000220D0000}"/>
    <cellStyle name="Normal 2 4 17 4 2 5" xfId="3418" xr:uid="{00000000-0005-0000-0000-0000230D0000}"/>
    <cellStyle name="Normal 2 4 17 4 2 5 2" xfId="21309" xr:uid="{00000000-0005-0000-0000-0000240D0000}"/>
    <cellStyle name="Normal 2 4 17 4 2 6" xfId="3419" xr:uid="{00000000-0005-0000-0000-0000250D0000}"/>
    <cellStyle name="Normal 2 4 17 4 2 6 2" xfId="21310" xr:uid="{00000000-0005-0000-0000-0000260D0000}"/>
    <cellStyle name="Normal 2 4 17 4 2 7" xfId="3420" xr:uid="{00000000-0005-0000-0000-0000270D0000}"/>
    <cellStyle name="Normal 2 4 17 4 2 7 2" xfId="21311" xr:uid="{00000000-0005-0000-0000-0000280D0000}"/>
    <cellStyle name="Normal 2 4 17 4 2 8" xfId="3421" xr:uid="{00000000-0005-0000-0000-0000290D0000}"/>
    <cellStyle name="Normal 2 4 17 4 2 8 2" xfId="21312" xr:uid="{00000000-0005-0000-0000-00002A0D0000}"/>
    <cellStyle name="Normal 2 4 17 4 2 9" xfId="3422" xr:uid="{00000000-0005-0000-0000-00002B0D0000}"/>
    <cellStyle name="Normal 2 4 17 4 2 9 2" xfId="21313" xr:uid="{00000000-0005-0000-0000-00002C0D0000}"/>
    <cellStyle name="Normal 2 4 17 4 3" xfId="3423" xr:uid="{00000000-0005-0000-0000-00002D0D0000}"/>
    <cellStyle name="Normal 2 4 17 4 3 2" xfId="21314" xr:uid="{00000000-0005-0000-0000-00002E0D0000}"/>
    <cellStyle name="Normal 2 4 17 4 4" xfId="3424" xr:uid="{00000000-0005-0000-0000-00002F0D0000}"/>
    <cellStyle name="Normal 2 4 17 4 4 2" xfId="21315" xr:uid="{00000000-0005-0000-0000-0000300D0000}"/>
    <cellStyle name="Normal 2 4 17 4 5" xfId="3425" xr:uid="{00000000-0005-0000-0000-0000310D0000}"/>
    <cellStyle name="Normal 2 4 17 4 5 2" xfId="21316" xr:uid="{00000000-0005-0000-0000-0000320D0000}"/>
    <cellStyle name="Normal 2 4 17 4 6" xfId="3426" xr:uid="{00000000-0005-0000-0000-0000330D0000}"/>
    <cellStyle name="Normal 2 4 17 4 6 2" xfId="21317" xr:uid="{00000000-0005-0000-0000-0000340D0000}"/>
    <cellStyle name="Normal 2 4 17 4 7" xfId="3427" xr:uid="{00000000-0005-0000-0000-0000350D0000}"/>
    <cellStyle name="Normal 2 4 17 4 7 2" xfId="21318" xr:uid="{00000000-0005-0000-0000-0000360D0000}"/>
    <cellStyle name="Normal 2 4 17 4 8" xfId="3428" xr:uid="{00000000-0005-0000-0000-0000370D0000}"/>
    <cellStyle name="Normal 2 4 17 4 8 2" xfId="21319" xr:uid="{00000000-0005-0000-0000-0000380D0000}"/>
    <cellStyle name="Normal 2 4 17 4 9" xfId="3429" xr:uid="{00000000-0005-0000-0000-0000390D0000}"/>
    <cellStyle name="Normal 2 4 17 4 9 2" xfId="21320" xr:uid="{00000000-0005-0000-0000-00003A0D0000}"/>
    <cellStyle name="Normal 2 4 17 5" xfId="3430" xr:uid="{00000000-0005-0000-0000-00003B0D0000}"/>
    <cellStyle name="Normal 2 4 17 5 10" xfId="3431" xr:uid="{00000000-0005-0000-0000-00003C0D0000}"/>
    <cellStyle name="Normal 2 4 17 5 10 2" xfId="21322" xr:uid="{00000000-0005-0000-0000-00003D0D0000}"/>
    <cellStyle name="Normal 2 4 17 5 11" xfId="3432" xr:uid="{00000000-0005-0000-0000-00003E0D0000}"/>
    <cellStyle name="Normal 2 4 17 5 11 2" xfId="21323" xr:uid="{00000000-0005-0000-0000-00003F0D0000}"/>
    <cellStyle name="Normal 2 4 17 5 12" xfId="3433" xr:uid="{00000000-0005-0000-0000-0000400D0000}"/>
    <cellStyle name="Normal 2 4 17 5 12 2" xfId="21324" xr:uid="{00000000-0005-0000-0000-0000410D0000}"/>
    <cellStyle name="Normal 2 4 17 5 13" xfId="3434" xr:uid="{00000000-0005-0000-0000-0000420D0000}"/>
    <cellStyle name="Normal 2 4 17 5 13 2" xfId="21325" xr:uid="{00000000-0005-0000-0000-0000430D0000}"/>
    <cellStyle name="Normal 2 4 17 5 14" xfId="3435" xr:uid="{00000000-0005-0000-0000-0000440D0000}"/>
    <cellStyle name="Normal 2 4 17 5 14 2" xfId="21326" xr:uid="{00000000-0005-0000-0000-0000450D0000}"/>
    <cellStyle name="Normal 2 4 17 5 15" xfId="21321" xr:uid="{00000000-0005-0000-0000-0000460D0000}"/>
    <cellStyle name="Normal 2 4 17 5 2" xfId="3436" xr:uid="{00000000-0005-0000-0000-0000470D0000}"/>
    <cellStyle name="Normal 2 4 17 5 2 2" xfId="21327" xr:uid="{00000000-0005-0000-0000-0000480D0000}"/>
    <cellStyle name="Normal 2 4 17 5 3" xfId="3437" xr:uid="{00000000-0005-0000-0000-0000490D0000}"/>
    <cellStyle name="Normal 2 4 17 5 3 2" xfId="21328" xr:uid="{00000000-0005-0000-0000-00004A0D0000}"/>
    <cellStyle name="Normal 2 4 17 5 4" xfId="3438" xr:uid="{00000000-0005-0000-0000-00004B0D0000}"/>
    <cellStyle name="Normal 2 4 17 5 4 2" xfId="21329" xr:uid="{00000000-0005-0000-0000-00004C0D0000}"/>
    <cellStyle name="Normal 2 4 17 5 5" xfId="3439" xr:uid="{00000000-0005-0000-0000-00004D0D0000}"/>
    <cellStyle name="Normal 2 4 17 5 5 2" xfId="21330" xr:uid="{00000000-0005-0000-0000-00004E0D0000}"/>
    <cellStyle name="Normal 2 4 17 5 6" xfId="3440" xr:uid="{00000000-0005-0000-0000-00004F0D0000}"/>
    <cellStyle name="Normal 2 4 17 5 6 2" xfId="21331" xr:uid="{00000000-0005-0000-0000-0000500D0000}"/>
    <cellStyle name="Normal 2 4 17 5 7" xfId="3441" xr:uid="{00000000-0005-0000-0000-0000510D0000}"/>
    <cellStyle name="Normal 2 4 17 5 7 2" xfId="21332" xr:uid="{00000000-0005-0000-0000-0000520D0000}"/>
    <cellStyle name="Normal 2 4 17 5 8" xfId="3442" xr:uid="{00000000-0005-0000-0000-0000530D0000}"/>
    <cellStyle name="Normal 2 4 17 5 8 2" xfId="21333" xr:uid="{00000000-0005-0000-0000-0000540D0000}"/>
    <cellStyle name="Normal 2 4 17 5 9" xfId="3443" xr:uid="{00000000-0005-0000-0000-0000550D0000}"/>
    <cellStyle name="Normal 2 4 17 5 9 2" xfId="21334" xr:uid="{00000000-0005-0000-0000-0000560D0000}"/>
    <cellStyle name="Normal 2 4 17 6" xfId="3444" xr:uid="{00000000-0005-0000-0000-0000570D0000}"/>
    <cellStyle name="Normal 2 4 17 6 10" xfId="3445" xr:uid="{00000000-0005-0000-0000-0000580D0000}"/>
    <cellStyle name="Normal 2 4 17 6 10 2" xfId="21336" xr:uid="{00000000-0005-0000-0000-0000590D0000}"/>
    <cellStyle name="Normal 2 4 17 6 11" xfId="3446" xr:uid="{00000000-0005-0000-0000-00005A0D0000}"/>
    <cellStyle name="Normal 2 4 17 6 11 2" xfId="21337" xr:uid="{00000000-0005-0000-0000-00005B0D0000}"/>
    <cellStyle name="Normal 2 4 17 6 12" xfId="3447" xr:uid="{00000000-0005-0000-0000-00005C0D0000}"/>
    <cellStyle name="Normal 2 4 17 6 12 2" xfId="21338" xr:uid="{00000000-0005-0000-0000-00005D0D0000}"/>
    <cellStyle name="Normal 2 4 17 6 13" xfId="3448" xr:uid="{00000000-0005-0000-0000-00005E0D0000}"/>
    <cellStyle name="Normal 2 4 17 6 13 2" xfId="21339" xr:uid="{00000000-0005-0000-0000-00005F0D0000}"/>
    <cellStyle name="Normal 2 4 17 6 14" xfId="3449" xr:uid="{00000000-0005-0000-0000-0000600D0000}"/>
    <cellStyle name="Normal 2 4 17 6 14 2" xfId="21340" xr:uid="{00000000-0005-0000-0000-0000610D0000}"/>
    <cellStyle name="Normal 2 4 17 6 15" xfId="21335" xr:uid="{00000000-0005-0000-0000-0000620D0000}"/>
    <cellStyle name="Normal 2 4 17 6 2" xfId="3450" xr:uid="{00000000-0005-0000-0000-0000630D0000}"/>
    <cellStyle name="Normal 2 4 17 6 2 2" xfId="21341" xr:uid="{00000000-0005-0000-0000-0000640D0000}"/>
    <cellStyle name="Normal 2 4 17 6 3" xfId="3451" xr:uid="{00000000-0005-0000-0000-0000650D0000}"/>
    <cellStyle name="Normal 2 4 17 6 3 2" xfId="21342" xr:uid="{00000000-0005-0000-0000-0000660D0000}"/>
    <cellStyle name="Normal 2 4 17 6 4" xfId="3452" xr:uid="{00000000-0005-0000-0000-0000670D0000}"/>
    <cellStyle name="Normal 2 4 17 6 4 2" xfId="21343" xr:uid="{00000000-0005-0000-0000-0000680D0000}"/>
    <cellStyle name="Normal 2 4 17 6 5" xfId="3453" xr:uid="{00000000-0005-0000-0000-0000690D0000}"/>
    <cellStyle name="Normal 2 4 17 6 5 2" xfId="21344" xr:uid="{00000000-0005-0000-0000-00006A0D0000}"/>
    <cellStyle name="Normal 2 4 17 6 6" xfId="3454" xr:uid="{00000000-0005-0000-0000-00006B0D0000}"/>
    <cellStyle name="Normal 2 4 17 6 6 2" xfId="21345" xr:uid="{00000000-0005-0000-0000-00006C0D0000}"/>
    <cellStyle name="Normal 2 4 17 6 7" xfId="3455" xr:uid="{00000000-0005-0000-0000-00006D0D0000}"/>
    <cellStyle name="Normal 2 4 17 6 7 2" xfId="21346" xr:uid="{00000000-0005-0000-0000-00006E0D0000}"/>
    <cellStyle name="Normal 2 4 17 6 8" xfId="3456" xr:uid="{00000000-0005-0000-0000-00006F0D0000}"/>
    <cellStyle name="Normal 2 4 17 6 8 2" xfId="21347" xr:uid="{00000000-0005-0000-0000-0000700D0000}"/>
    <cellStyle name="Normal 2 4 17 6 9" xfId="3457" xr:uid="{00000000-0005-0000-0000-0000710D0000}"/>
    <cellStyle name="Normal 2 4 17 6 9 2" xfId="21348" xr:uid="{00000000-0005-0000-0000-0000720D0000}"/>
    <cellStyle name="Normal 2 4 17 7" xfId="3458" xr:uid="{00000000-0005-0000-0000-0000730D0000}"/>
    <cellStyle name="Normal 2 4 17 7 10" xfId="3459" xr:uid="{00000000-0005-0000-0000-0000740D0000}"/>
    <cellStyle name="Normal 2 4 17 7 10 2" xfId="21350" xr:uid="{00000000-0005-0000-0000-0000750D0000}"/>
    <cellStyle name="Normal 2 4 17 7 11" xfId="3460" xr:uid="{00000000-0005-0000-0000-0000760D0000}"/>
    <cellStyle name="Normal 2 4 17 7 11 2" xfId="21351" xr:uid="{00000000-0005-0000-0000-0000770D0000}"/>
    <cellStyle name="Normal 2 4 17 7 12" xfId="3461" xr:uid="{00000000-0005-0000-0000-0000780D0000}"/>
    <cellStyle name="Normal 2 4 17 7 12 2" xfId="21352" xr:uid="{00000000-0005-0000-0000-0000790D0000}"/>
    <cellStyle name="Normal 2 4 17 7 13" xfId="3462" xr:uid="{00000000-0005-0000-0000-00007A0D0000}"/>
    <cellStyle name="Normal 2 4 17 7 13 2" xfId="21353" xr:uid="{00000000-0005-0000-0000-00007B0D0000}"/>
    <cellStyle name="Normal 2 4 17 7 14" xfId="3463" xr:uid="{00000000-0005-0000-0000-00007C0D0000}"/>
    <cellStyle name="Normal 2 4 17 7 14 2" xfId="21354" xr:uid="{00000000-0005-0000-0000-00007D0D0000}"/>
    <cellStyle name="Normal 2 4 17 7 15" xfId="21349" xr:uid="{00000000-0005-0000-0000-00007E0D0000}"/>
    <cellStyle name="Normal 2 4 17 7 2" xfId="3464" xr:uid="{00000000-0005-0000-0000-00007F0D0000}"/>
    <cellStyle name="Normal 2 4 17 7 2 2" xfId="21355" xr:uid="{00000000-0005-0000-0000-0000800D0000}"/>
    <cellStyle name="Normal 2 4 17 7 3" xfId="3465" xr:uid="{00000000-0005-0000-0000-0000810D0000}"/>
    <cellStyle name="Normal 2 4 17 7 3 2" xfId="21356" xr:uid="{00000000-0005-0000-0000-0000820D0000}"/>
    <cellStyle name="Normal 2 4 17 7 4" xfId="3466" xr:uid="{00000000-0005-0000-0000-0000830D0000}"/>
    <cellStyle name="Normal 2 4 17 7 4 2" xfId="21357" xr:uid="{00000000-0005-0000-0000-0000840D0000}"/>
    <cellStyle name="Normal 2 4 17 7 5" xfId="3467" xr:uid="{00000000-0005-0000-0000-0000850D0000}"/>
    <cellStyle name="Normal 2 4 17 7 5 2" xfId="21358" xr:uid="{00000000-0005-0000-0000-0000860D0000}"/>
    <cellStyle name="Normal 2 4 17 7 6" xfId="3468" xr:uid="{00000000-0005-0000-0000-0000870D0000}"/>
    <cellStyle name="Normal 2 4 17 7 6 2" xfId="21359" xr:uid="{00000000-0005-0000-0000-0000880D0000}"/>
    <cellStyle name="Normal 2 4 17 7 7" xfId="3469" xr:uid="{00000000-0005-0000-0000-0000890D0000}"/>
    <cellStyle name="Normal 2 4 17 7 7 2" xfId="21360" xr:uid="{00000000-0005-0000-0000-00008A0D0000}"/>
    <cellStyle name="Normal 2 4 17 7 8" xfId="3470" xr:uid="{00000000-0005-0000-0000-00008B0D0000}"/>
    <cellStyle name="Normal 2 4 17 7 8 2" xfId="21361" xr:uid="{00000000-0005-0000-0000-00008C0D0000}"/>
    <cellStyle name="Normal 2 4 17 7 9" xfId="3471" xr:uid="{00000000-0005-0000-0000-00008D0D0000}"/>
    <cellStyle name="Normal 2 4 17 7 9 2" xfId="21362" xr:uid="{00000000-0005-0000-0000-00008E0D0000}"/>
    <cellStyle name="Normal 2 4 17 8" xfId="3472" xr:uid="{00000000-0005-0000-0000-00008F0D0000}"/>
    <cellStyle name="Normal 2 4 17 8 10" xfId="3473" xr:uid="{00000000-0005-0000-0000-0000900D0000}"/>
    <cellStyle name="Normal 2 4 17 8 10 2" xfId="21364" xr:uid="{00000000-0005-0000-0000-0000910D0000}"/>
    <cellStyle name="Normal 2 4 17 8 11" xfId="3474" xr:uid="{00000000-0005-0000-0000-0000920D0000}"/>
    <cellStyle name="Normal 2 4 17 8 11 2" xfId="21365" xr:uid="{00000000-0005-0000-0000-0000930D0000}"/>
    <cellStyle name="Normal 2 4 17 8 12" xfId="3475" xr:uid="{00000000-0005-0000-0000-0000940D0000}"/>
    <cellStyle name="Normal 2 4 17 8 12 2" xfId="21366" xr:uid="{00000000-0005-0000-0000-0000950D0000}"/>
    <cellStyle name="Normal 2 4 17 8 13" xfId="3476" xr:uid="{00000000-0005-0000-0000-0000960D0000}"/>
    <cellStyle name="Normal 2 4 17 8 13 2" xfId="21367" xr:uid="{00000000-0005-0000-0000-0000970D0000}"/>
    <cellStyle name="Normal 2 4 17 8 14" xfId="3477" xr:uid="{00000000-0005-0000-0000-0000980D0000}"/>
    <cellStyle name="Normal 2 4 17 8 14 2" xfId="21368" xr:uid="{00000000-0005-0000-0000-0000990D0000}"/>
    <cellStyle name="Normal 2 4 17 8 15" xfId="21363" xr:uid="{00000000-0005-0000-0000-00009A0D0000}"/>
    <cellStyle name="Normal 2 4 17 8 2" xfId="3478" xr:uid="{00000000-0005-0000-0000-00009B0D0000}"/>
    <cellStyle name="Normal 2 4 17 8 2 2" xfId="21369" xr:uid="{00000000-0005-0000-0000-00009C0D0000}"/>
    <cellStyle name="Normal 2 4 17 8 3" xfId="3479" xr:uid="{00000000-0005-0000-0000-00009D0D0000}"/>
    <cellStyle name="Normal 2 4 17 8 3 2" xfId="21370" xr:uid="{00000000-0005-0000-0000-00009E0D0000}"/>
    <cellStyle name="Normal 2 4 17 8 4" xfId="3480" xr:uid="{00000000-0005-0000-0000-00009F0D0000}"/>
    <cellStyle name="Normal 2 4 17 8 4 2" xfId="21371" xr:uid="{00000000-0005-0000-0000-0000A00D0000}"/>
    <cellStyle name="Normal 2 4 17 8 5" xfId="3481" xr:uid="{00000000-0005-0000-0000-0000A10D0000}"/>
    <cellStyle name="Normal 2 4 17 8 5 2" xfId="21372" xr:uid="{00000000-0005-0000-0000-0000A20D0000}"/>
    <cellStyle name="Normal 2 4 17 8 6" xfId="3482" xr:uid="{00000000-0005-0000-0000-0000A30D0000}"/>
    <cellStyle name="Normal 2 4 17 8 6 2" xfId="21373" xr:uid="{00000000-0005-0000-0000-0000A40D0000}"/>
    <cellStyle name="Normal 2 4 17 8 7" xfId="3483" xr:uid="{00000000-0005-0000-0000-0000A50D0000}"/>
    <cellStyle name="Normal 2 4 17 8 7 2" xfId="21374" xr:uid="{00000000-0005-0000-0000-0000A60D0000}"/>
    <cellStyle name="Normal 2 4 17 8 8" xfId="3484" xr:uid="{00000000-0005-0000-0000-0000A70D0000}"/>
    <cellStyle name="Normal 2 4 17 8 8 2" xfId="21375" xr:uid="{00000000-0005-0000-0000-0000A80D0000}"/>
    <cellStyle name="Normal 2 4 17 8 9" xfId="3485" xr:uid="{00000000-0005-0000-0000-0000A90D0000}"/>
    <cellStyle name="Normal 2 4 17 8 9 2" xfId="21376" xr:uid="{00000000-0005-0000-0000-0000AA0D0000}"/>
    <cellStyle name="Normal 2 4 17 9" xfId="3486" xr:uid="{00000000-0005-0000-0000-0000AB0D0000}"/>
    <cellStyle name="Normal 2 4 17 9 10" xfId="3487" xr:uid="{00000000-0005-0000-0000-0000AC0D0000}"/>
    <cellStyle name="Normal 2 4 17 9 10 2" xfId="21378" xr:uid="{00000000-0005-0000-0000-0000AD0D0000}"/>
    <cellStyle name="Normal 2 4 17 9 11" xfId="3488" xr:uid="{00000000-0005-0000-0000-0000AE0D0000}"/>
    <cellStyle name="Normal 2 4 17 9 11 2" xfId="21379" xr:uid="{00000000-0005-0000-0000-0000AF0D0000}"/>
    <cellStyle name="Normal 2 4 17 9 12" xfId="3489" xr:uid="{00000000-0005-0000-0000-0000B00D0000}"/>
    <cellStyle name="Normal 2 4 17 9 12 2" xfId="21380" xr:uid="{00000000-0005-0000-0000-0000B10D0000}"/>
    <cellStyle name="Normal 2 4 17 9 13" xfId="3490" xr:uid="{00000000-0005-0000-0000-0000B20D0000}"/>
    <cellStyle name="Normal 2 4 17 9 13 2" xfId="21381" xr:uid="{00000000-0005-0000-0000-0000B30D0000}"/>
    <cellStyle name="Normal 2 4 17 9 14" xfId="3491" xr:uid="{00000000-0005-0000-0000-0000B40D0000}"/>
    <cellStyle name="Normal 2 4 17 9 14 2" xfId="21382" xr:uid="{00000000-0005-0000-0000-0000B50D0000}"/>
    <cellStyle name="Normal 2 4 17 9 15" xfId="21377" xr:uid="{00000000-0005-0000-0000-0000B60D0000}"/>
    <cellStyle name="Normal 2 4 17 9 2" xfId="3492" xr:uid="{00000000-0005-0000-0000-0000B70D0000}"/>
    <cellStyle name="Normal 2 4 17 9 2 2" xfId="21383" xr:uid="{00000000-0005-0000-0000-0000B80D0000}"/>
    <cellStyle name="Normal 2 4 17 9 3" xfId="3493" xr:uid="{00000000-0005-0000-0000-0000B90D0000}"/>
    <cellStyle name="Normal 2 4 17 9 3 2" xfId="21384" xr:uid="{00000000-0005-0000-0000-0000BA0D0000}"/>
    <cellStyle name="Normal 2 4 17 9 4" xfId="3494" xr:uid="{00000000-0005-0000-0000-0000BB0D0000}"/>
    <cellStyle name="Normal 2 4 17 9 4 2" xfId="21385" xr:uid="{00000000-0005-0000-0000-0000BC0D0000}"/>
    <cellStyle name="Normal 2 4 17 9 5" xfId="3495" xr:uid="{00000000-0005-0000-0000-0000BD0D0000}"/>
    <cellStyle name="Normal 2 4 17 9 5 2" xfId="21386" xr:uid="{00000000-0005-0000-0000-0000BE0D0000}"/>
    <cellStyle name="Normal 2 4 17 9 6" xfId="3496" xr:uid="{00000000-0005-0000-0000-0000BF0D0000}"/>
    <cellStyle name="Normal 2 4 17 9 6 2" xfId="21387" xr:uid="{00000000-0005-0000-0000-0000C00D0000}"/>
    <cellStyle name="Normal 2 4 17 9 7" xfId="3497" xr:uid="{00000000-0005-0000-0000-0000C10D0000}"/>
    <cellStyle name="Normal 2 4 17 9 7 2" xfId="21388" xr:uid="{00000000-0005-0000-0000-0000C20D0000}"/>
    <cellStyle name="Normal 2 4 17 9 8" xfId="3498" xr:uid="{00000000-0005-0000-0000-0000C30D0000}"/>
    <cellStyle name="Normal 2 4 17 9 8 2" xfId="21389" xr:uid="{00000000-0005-0000-0000-0000C40D0000}"/>
    <cellStyle name="Normal 2 4 17 9 9" xfId="3499" xr:uid="{00000000-0005-0000-0000-0000C50D0000}"/>
    <cellStyle name="Normal 2 4 17 9 9 2" xfId="21390" xr:uid="{00000000-0005-0000-0000-0000C60D0000}"/>
    <cellStyle name="Normal 2 4 18" xfId="3500" xr:uid="{00000000-0005-0000-0000-0000C70D0000}"/>
    <cellStyle name="Normal 2 4 18 10" xfId="3501" xr:uid="{00000000-0005-0000-0000-0000C80D0000}"/>
    <cellStyle name="Normal 2 4 18 10 10" xfId="3502" xr:uid="{00000000-0005-0000-0000-0000C90D0000}"/>
    <cellStyle name="Normal 2 4 18 10 10 2" xfId="21393" xr:uid="{00000000-0005-0000-0000-0000CA0D0000}"/>
    <cellStyle name="Normal 2 4 18 10 11" xfId="3503" xr:uid="{00000000-0005-0000-0000-0000CB0D0000}"/>
    <cellStyle name="Normal 2 4 18 10 11 2" xfId="21394" xr:uid="{00000000-0005-0000-0000-0000CC0D0000}"/>
    <cellStyle name="Normal 2 4 18 10 12" xfId="3504" xr:uid="{00000000-0005-0000-0000-0000CD0D0000}"/>
    <cellStyle name="Normal 2 4 18 10 12 2" xfId="21395" xr:uid="{00000000-0005-0000-0000-0000CE0D0000}"/>
    <cellStyle name="Normal 2 4 18 10 13" xfId="3505" xr:uid="{00000000-0005-0000-0000-0000CF0D0000}"/>
    <cellStyle name="Normal 2 4 18 10 13 2" xfId="21396" xr:uid="{00000000-0005-0000-0000-0000D00D0000}"/>
    <cellStyle name="Normal 2 4 18 10 14" xfId="3506" xr:uid="{00000000-0005-0000-0000-0000D10D0000}"/>
    <cellStyle name="Normal 2 4 18 10 14 2" xfId="21397" xr:uid="{00000000-0005-0000-0000-0000D20D0000}"/>
    <cellStyle name="Normal 2 4 18 10 15" xfId="21392" xr:uid="{00000000-0005-0000-0000-0000D30D0000}"/>
    <cellStyle name="Normal 2 4 18 10 2" xfId="3507" xr:uid="{00000000-0005-0000-0000-0000D40D0000}"/>
    <cellStyle name="Normal 2 4 18 10 2 2" xfId="21398" xr:uid="{00000000-0005-0000-0000-0000D50D0000}"/>
    <cellStyle name="Normal 2 4 18 10 3" xfId="3508" xr:uid="{00000000-0005-0000-0000-0000D60D0000}"/>
    <cellStyle name="Normal 2 4 18 10 3 2" xfId="21399" xr:uid="{00000000-0005-0000-0000-0000D70D0000}"/>
    <cellStyle name="Normal 2 4 18 10 4" xfId="3509" xr:uid="{00000000-0005-0000-0000-0000D80D0000}"/>
    <cellStyle name="Normal 2 4 18 10 4 2" xfId="21400" xr:uid="{00000000-0005-0000-0000-0000D90D0000}"/>
    <cellStyle name="Normal 2 4 18 10 5" xfId="3510" xr:uid="{00000000-0005-0000-0000-0000DA0D0000}"/>
    <cellStyle name="Normal 2 4 18 10 5 2" xfId="21401" xr:uid="{00000000-0005-0000-0000-0000DB0D0000}"/>
    <cellStyle name="Normal 2 4 18 10 6" xfId="3511" xr:uid="{00000000-0005-0000-0000-0000DC0D0000}"/>
    <cellStyle name="Normal 2 4 18 10 6 2" xfId="21402" xr:uid="{00000000-0005-0000-0000-0000DD0D0000}"/>
    <cellStyle name="Normal 2 4 18 10 7" xfId="3512" xr:uid="{00000000-0005-0000-0000-0000DE0D0000}"/>
    <cellStyle name="Normal 2 4 18 10 7 2" xfId="21403" xr:uid="{00000000-0005-0000-0000-0000DF0D0000}"/>
    <cellStyle name="Normal 2 4 18 10 8" xfId="3513" xr:uid="{00000000-0005-0000-0000-0000E00D0000}"/>
    <cellStyle name="Normal 2 4 18 10 8 2" xfId="21404" xr:uid="{00000000-0005-0000-0000-0000E10D0000}"/>
    <cellStyle name="Normal 2 4 18 10 9" xfId="3514" xr:uid="{00000000-0005-0000-0000-0000E20D0000}"/>
    <cellStyle name="Normal 2 4 18 10 9 2" xfId="21405" xr:uid="{00000000-0005-0000-0000-0000E30D0000}"/>
    <cellStyle name="Normal 2 4 18 11" xfId="3515" xr:uid="{00000000-0005-0000-0000-0000E40D0000}"/>
    <cellStyle name="Normal 2 4 18 11 2" xfId="21406" xr:uid="{00000000-0005-0000-0000-0000E50D0000}"/>
    <cellStyle name="Normal 2 4 18 12" xfId="3516" xr:uid="{00000000-0005-0000-0000-0000E60D0000}"/>
    <cellStyle name="Normal 2 4 18 12 2" xfId="21407" xr:uid="{00000000-0005-0000-0000-0000E70D0000}"/>
    <cellStyle name="Normal 2 4 18 13" xfId="3517" xr:uid="{00000000-0005-0000-0000-0000E80D0000}"/>
    <cellStyle name="Normal 2 4 18 13 2" xfId="21408" xr:uid="{00000000-0005-0000-0000-0000E90D0000}"/>
    <cellStyle name="Normal 2 4 18 14" xfId="3518" xr:uid="{00000000-0005-0000-0000-0000EA0D0000}"/>
    <cellStyle name="Normal 2 4 18 14 2" xfId="21409" xr:uid="{00000000-0005-0000-0000-0000EB0D0000}"/>
    <cellStyle name="Normal 2 4 18 15" xfId="3519" xr:uid="{00000000-0005-0000-0000-0000EC0D0000}"/>
    <cellStyle name="Normal 2 4 18 15 2" xfId="21410" xr:uid="{00000000-0005-0000-0000-0000ED0D0000}"/>
    <cellStyle name="Normal 2 4 18 16" xfId="3520" xr:uid="{00000000-0005-0000-0000-0000EE0D0000}"/>
    <cellStyle name="Normal 2 4 18 16 2" xfId="21411" xr:uid="{00000000-0005-0000-0000-0000EF0D0000}"/>
    <cellStyle name="Normal 2 4 18 17" xfId="3521" xr:uid="{00000000-0005-0000-0000-0000F00D0000}"/>
    <cellStyle name="Normal 2 4 18 17 2" xfId="21412" xr:uid="{00000000-0005-0000-0000-0000F10D0000}"/>
    <cellStyle name="Normal 2 4 18 18" xfId="3522" xr:uid="{00000000-0005-0000-0000-0000F20D0000}"/>
    <cellStyle name="Normal 2 4 18 18 2" xfId="21413" xr:uid="{00000000-0005-0000-0000-0000F30D0000}"/>
    <cellStyle name="Normal 2 4 18 19" xfId="3523" xr:uid="{00000000-0005-0000-0000-0000F40D0000}"/>
    <cellStyle name="Normal 2 4 18 19 2" xfId="21414" xr:uid="{00000000-0005-0000-0000-0000F50D0000}"/>
    <cellStyle name="Normal 2 4 18 2" xfId="3524" xr:uid="{00000000-0005-0000-0000-0000F60D0000}"/>
    <cellStyle name="Normal 2 4 18 2 10" xfId="3525" xr:uid="{00000000-0005-0000-0000-0000F70D0000}"/>
    <cellStyle name="Normal 2 4 18 2 10 2" xfId="21416" xr:uid="{00000000-0005-0000-0000-0000F80D0000}"/>
    <cellStyle name="Normal 2 4 18 2 11" xfId="3526" xr:uid="{00000000-0005-0000-0000-0000F90D0000}"/>
    <cellStyle name="Normal 2 4 18 2 11 2" xfId="21417" xr:uid="{00000000-0005-0000-0000-0000FA0D0000}"/>
    <cellStyle name="Normal 2 4 18 2 12" xfId="3527" xr:uid="{00000000-0005-0000-0000-0000FB0D0000}"/>
    <cellStyle name="Normal 2 4 18 2 12 2" xfId="21418" xr:uid="{00000000-0005-0000-0000-0000FC0D0000}"/>
    <cellStyle name="Normal 2 4 18 2 13" xfId="3528" xr:uid="{00000000-0005-0000-0000-0000FD0D0000}"/>
    <cellStyle name="Normal 2 4 18 2 13 2" xfId="21419" xr:uid="{00000000-0005-0000-0000-0000FE0D0000}"/>
    <cellStyle name="Normal 2 4 18 2 14" xfId="3529" xr:uid="{00000000-0005-0000-0000-0000FF0D0000}"/>
    <cellStyle name="Normal 2 4 18 2 14 2" xfId="21420" xr:uid="{00000000-0005-0000-0000-0000000E0000}"/>
    <cellStyle name="Normal 2 4 18 2 15" xfId="3530" xr:uid="{00000000-0005-0000-0000-0000010E0000}"/>
    <cellStyle name="Normal 2 4 18 2 15 2" xfId="21421" xr:uid="{00000000-0005-0000-0000-0000020E0000}"/>
    <cellStyle name="Normal 2 4 18 2 16" xfId="21415" xr:uid="{00000000-0005-0000-0000-0000030E0000}"/>
    <cellStyle name="Normal 2 4 18 2 2" xfId="3531" xr:uid="{00000000-0005-0000-0000-0000040E0000}"/>
    <cellStyle name="Normal 2 4 18 2 2 10" xfId="3532" xr:uid="{00000000-0005-0000-0000-0000050E0000}"/>
    <cellStyle name="Normal 2 4 18 2 2 10 2" xfId="21423" xr:uid="{00000000-0005-0000-0000-0000060E0000}"/>
    <cellStyle name="Normal 2 4 18 2 2 11" xfId="3533" xr:uid="{00000000-0005-0000-0000-0000070E0000}"/>
    <cellStyle name="Normal 2 4 18 2 2 11 2" xfId="21424" xr:uid="{00000000-0005-0000-0000-0000080E0000}"/>
    <cellStyle name="Normal 2 4 18 2 2 12" xfId="3534" xr:uid="{00000000-0005-0000-0000-0000090E0000}"/>
    <cellStyle name="Normal 2 4 18 2 2 12 2" xfId="21425" xr:uid="{00000000-0005-0000-0000-00000A0E0000}"/>
    <cellStyle name="Normal 2 4 18 2 2 13" xfId="3535" xr:uid="{00000000-0005-0000-0000-00000B0E0000}"/>
    <cellStyle name="Normal 2 4 18 2 2 13 2" xfId="21426" xr:uid="{00000000-0005-0000-0000-00000C0E0000}"/>
    <cellStyle name="Normal 2 4 18 2 2 14" xfId="3536" xr:uid="{00000000-0005-0000-0000-00000D0E0000}"/>
    <cellStyle name="Normal 2 4 18 2 2 14 2" xfId="21427" xr:uid="{00000000-0005-0000-0000-00000E0E0000}"/>
    <cellStyle name="Normal 2 4 18 2 2 15" xfId="21422" xr:uid="{00000000-0005-0000-0000-00000F0E0000}"/>
    <cellStyle name="Normal 2 4 18 2 2 2" xfId="3537" xr:uid="{00000000-0005-0000-0000-0000100E0000}"/>
    <cellStyle name="Normal 2 4 18 2 2 2 2" xfId="21428" xr:uid="{00000000-0005-0000-0000-0000110E0000}"/>
    <cellStyle name="Normal 2 4 18 2 2 3" xfId="3538" xr:uid="{00000000-0005-0000-0000-0000120E0000}"/>
    <cellStyle name="Normal 2 4 18 2 2 3 2" xfId="21429" xr:uid="{00000000-0005-0000-0000-0000130E0000}"/>
    <cellStyle name="Normal 2 4 18 2 2 4" xfId="3539" xr:uid="{00000000-0005-0000-0000-0000140E0000}"/>
    <cellStyle name="Normal 2 4 18 2 2 4 2" xfId="21430" xr:uid="{00000000-0005-0000-0000-0000150E0000}"/>
    <cellStyle name="Normal 2 4 18 2 2 5" xfId="3540" xr:uid="{00000000-0005-0000-0000-0000160E0000}"/>
    <cellStyle name="Normal 2 4 18 2 2 5 2" xfId="21431" xr:uid="{00000000-0005-0000-0000-0000170E0000}"/>
    <cellStyle name="Normal 2 4 18 2 2 6" xfId="3541" xr:uid="{00000000-0005-0000-0000-0000180E0000}"/>
    <cellStyle name="Normal 2 4 18 2 2 6 2" xfId="21432" xr:uid="{00000000-0005-0000-0000-0000190E0000}"/>
    <cellStyle name="Normal 2 4 18 2 2 7" xfId="3542" xr:uid="{00000000-0005-0000-0000-00001A0E0000}"/>
    <cellStyle name="Normal 2 4 18 2 2 7 2" xfId="21433" xr:uid="{00000000-0005-0000-0000-00001B0E0000}"/>
    <cellStyle name="Normal 2 4 18 2 2 8" xfId="3543" xr:uid="{00000000-0005-0000-0000-00001C0E0000}"/>
    <cellStyle name="Normal 2 4 18 2 2 8 2" xfId="21434" xr:uid="{00000000-0005-0000-0000-00001D0E0000}"/>
    <cellStyle name="Normal 2 4 18 2 2 9" xfId="3544" xr:uid="{00000000-0005-0000-0000-00001E0E0000}"/>
    <cellStyle name="Normal 2 4 18 2 2 9 2" xfId="21435" xr:uid="{00000000-0005-0000-0000-00001F0E0000}"/>
    <cellStyle name="Normal 2 4 18 2 3" xfId="3545" xr:uid="{00000000-0005-0000-0000-0000200E0000}"/>
    <cellStyle name="Normal 2 4 18 2 3 2" xfId="21436" xr:uid="{00000000-0005-0000-0000-0000210E0000}"/>
    <cellStyle name="Normal 2 4 18 2 4" xfId="3546" xr:uid="{00000000-0005-0000-0000-0000220E0000}"/>
    <cellStyle name="Normal 2 4 18 2 4 2" xfId="21437" xr:uid="{00000000-0005-0000-0000-0000230E0000}"/>
    <cellStyle name="Normal 2 4 18 2 5" xfId="3547" xr:uid="{00000000-0005-0000-0000-0000240E0000}"/>
    <cellStyle name="Normal 2 4 18 2 5 2" xfId="21438" xr:uid="{00000000-0005-0000-0000-0000250E0000}"/>
    <cellStyle name="Normal 2 4 18 2 6" xfId="3548" xr:uid="{00000000-0005-0000-0000-0000260E0000}"/>
    <cellStyle name="Normal 2 4 18 2 6 2" xfId="21439" xr:uid="{00000000-0005-0000-0000-0000270E0000}"/>
    <cellStyle name="Normal 2 4 18 2 7" xfId="3549" xr:uid="{00000000-0005-0000-0000-0000280E0000}"/>
    <cellStyle name="Normal 2 4 18 2 7 2" xfId="21440" xr:uid="{00000000-0005-0000-0000-0000290E0000}"/>
    <cellStyle name="Normal 2 4 18 2 8" xfId="3550" xr:uid="{00000000-0005-0000-0000-00002A0E0000}"/>
    <cellStyle name="Normal 2 4 18 2 8 2" xfId="21441" xr:uid="{00000000-0005-0000-0000-00002B0E0000}"/>
    <cellStyle name="Normal 2 4 18 2 9" xfId="3551" xr:uid="{00000000-0005-0000-0000-00002C0E0000}"/>
    <cellStyle name="Normal 2 4 18 2 9 2" xfId="21442" xr:uid="{00000000-0005-0000-0000-00002D0E0000}"/>
    <cellStyle name="Normal 2 4 18 20" xfId="3552" xr:uid="{00000000-0005-0000-0000-00002E0E0000}"/>
    <cellStyle name="Normal 2 4 18 20 2" xfId="21443" xr:uid="{00000000-0005-0000-0000-00002F0E0000}"/>
    <cellStyle name="Normal 2 4 18 21" xfId="3553" xr:uid="{00000000-0005-0000-0000-0000300E0000}"/>
    <cellStyle name="Normal 2 4 18 21 2" xfId="21444" xr:uid="{00000000-0005-0000-0000-0000310E0000}"/>
    <cellStyle name="Normal 2 4 18 22" xfId="3554" xr:uid="{00000000-0005-0000-0000-0000320E0000}"/>
    <cellStyle name="Normal 2 4 18 22 2" xfId="21445" xr:uid="{00000000-0005-0000-0000-0000330E0000}"/>
    <cellStyle name="Normal 2 4 18 23" xfId="3555" xr:uid="{00000000-0005-0000-0000-0000340E0000}"/>
    <cellStyle name="Normal 2 4 18 23 2" xfId="21446" xr:uid="{00000000-0005-0000-0000-0000350E0000}"/>
    <cellStyle name="Normal 2 4 18 24" xfId="21391" xr:uid="{00000000-0005-0000-0000-0000360E0000}"/>
    <cellStyle name="Normal 2 4 18 3" xfId="3556" xr:uid="{00000000-0005-0000-0000-0000370E0000}"/>
    <cellStyle name="Normal 2 4 18 3 10" xfId="3557" xr:uid="{00000000-0005-0000-0000-0000380E0000}"/>
    <cellStyle name="Normal 2 4 18 3 10 2" xfId="21448" xr:uid="{00000000-0005-0000-0000-0000390E0000}"/>
    <cellStyle name="Normal 2 4 18 3 11" xfId="3558" xr:uid="{00000000-0005-0000-0000-00003A0E0000}"/>
    <cellStyle name="Normal 2 4 18 3 11 2" xfId="21449" xr:uid="{00000000-0005-0000-0000-00003B0E0000}"/>
    <cellStyle name="Normal 2 4 18 3 12" xfId="3559" xr:uid="{00000000-0005-0000-0000-00003C0E0000}"/>
    <cellStyle name="Normal 2 4 18 3 12 2" xfId="21450" xr:uid="{00000000-0005-0000-0000-00003D0E0000}"/>
    <cellStyle name="Normal 2 4 18 3 13" xfId="3560" xr:uid="{00000000-0005-0000-0000-00003E0E0000}"/>
    <cellStyle name="Normal 2 4 18 3 13 2" xfId="21451" xr:uid="{00000000-0005-0000-0000-00003F0E0000}"/>
    <cellStyle name="Normal 2 4 18 3 14" xfId="3561" xr:uid="{00000000-0005-0000-0000-0000400E0000}"/>
    <cellStyle name="Normal 2 4 18 3 14 2" xfId="21452" xr:uid="{00000000-0005-0000-0000-0000410E0000}"/>
    <cellStyle name="Normal 2 4 18 3 15" xfId="3562" xr:uid="{00000000-0005-0000-0000-0000420E0000}"/>
    <cellStyle name="Normal 2 4 18 3 15 2" xfId="21453" xr:uid="{00000000-0005-0000-0000-0000430E0000}"/>
    <cellStyle name="Normal 2 4 18 3 16" xfId="21447" xr:uid="{00000000-0005-0000-0000-0000440E0000}"/>
    <cellStyle name="Normal 2 4 18 3 2" xfId="3563" xr:uid="{00000000-0005-0000-0000-0000450E0000}"/>
    <cellStyle name="Normal 2 4 18 3 2 10" xfId="3564" xr:uid="{00000000-0005-0000-0000-0000460E0000}"/>
    <cellStyle name="Normal 2 4 18 3 2 10 2" xfId="21455" xr:uid="{00000000-0005-0000-0000-0000470E0000}"/>
    <cellStyle name="Normal 2 4 18 3 2 11" xfId="3565" xr:uid="{00000000-0005-0000-0000-0000480E0000}"/>
    <cellStyle name="Normal 2 4 18 3 2 11 2" xfId="21456" xr:uid="{00000000-0005-0000-0000-0000490E0000}"/>
    <cellStyle name="Normal 2 4 18 3 2 12" xfId="3566" xr:uid="{00000000-0005-0000-0000-00004A0E0000}"/>
    <cellStyle name="Normal 2 4 18 3 2 12 2" xfId="21457" xr:uid="{00000000-0005-0000-0000-00004B0E0000}"/>
    <cellStyle name="Normal 2 4 18 3 2 13" xfId="3567" xr:uid="{00000000-0005-0000-0000-00004C0E0000}"/>
    <cellStyle name="Normal 2 4 18 3 2 13 2" xfId="21458" xr:uid="{00000000-0005-0000-0000-00004D0E0000}"/>
    <cellStyle name="Normal 2 4 18 3 2 14" xfId="3568" xr:uid="{00000000-0005-0000-0000-00004E0E0000}"/>
    <cellStyle name="Normal 2 4 18 3 2 14 2" xfId="21459" xr:uid="{00000000-0005-0000-0000-00004F0E0000}"/>
    <cellStyle name="Normal 2 4 18 3 2 15" xfId="21454" xr:uid="{00000000-0005-0000-0000-0000500E0000}"/>
    <cellStyle name="Normal 2 4 18 3 2 2" xfId="3569" xr:uid="{00000000-0005-0000-0000-0000510E0000}"/>
    <cellStyle name="Normal 2 4 18 3 2 2 2" xfId="21460" xr:uid="{00000000-0005-0000-0000-0000520E0000}"/>
    <cellStyle name="Normal 2 4 18 3 2 3" xfId="3570" xr:uid="{00000000-0005-0000-0000-0000530E0000}"/>
    <cellStyle name="Normal 2 4 18 3 2 3 2" xfId="21461" xr:uid="{00000000-0005-0000-0000-0000540E0000}"/>
    <cellStyle name="Normal 2 4 18 3 2 4" xfId="3571" xr:uid="{00000000-0005-0000-0000-0000550E0000}"/>
    <cellStyle name="Normal 2 4 18 3 2 4 2" xfId="21462" xr:uid="{00000000-0005-0000-0000-0000560E0000}"/>
    <cellStyle name="Normal 2 4 18 3 2 5" xfId="3572" xr:uid="{00000000-0005-0000-0000-0000570E0000}"/>
    <cellStyle name="Normal 2 4 18 3 2 5 2" xfId="21463" xr:uid="{00000000-0005-0000-0000-0000580E0000}"/>
    <cellStyle name="Normal 2 4 18 3 2 6" xfId="3573" xr:uid="{00000000-0005-0000-0000-0000590E0000}"/>
    <cellStyle name="Normal 2 4 18 3 2 6 2" xfId="21464" xr:uid="{00000000-0005-0000-0000-00005A0E0000}"/>
    <cellStyle name="Normal 2 4 18 3 2 7" xfId="3574" xr:uid="{00000000-0005-0000-0000-00005B0E0000}"/>
    <cellStyle name="Normal 2 4 18 3 2 7 2" xfId="21465" xr:uid="{00000000-0005-0000-0000-00005C0E0000}"/>
    <cellStyle name="Normal 2 4 18 3 2 8" xfId="3575" xr:uid="{00000000-0005-0000-0000-00005D0E0000}"/>
    <cellStyle name="Normal 2 4 18 3 2 8 2" xfId="21466" xr:uid="{00000000-0005-0000-0000-00005E0E0000}"/>
    <cellStyle name="Normal 2 4 18 3 2 9" xfId="3576" xr:uid="{00000000-0005-0000-0000-00005F0E0000}"/>
    <cellStyle name="Normal 2 4 18 3 2 9 2" xfId="21467" xr:uid="{00000000-0005-0000-0000-0000600E0000}"/>
    <cellStyle name="Normal 2 4 18 3 3" xfId="3577" xr:uid="{00000000-0005-0000-0000-0000610E0000}"/>
    <cellStyle name="Normal 2 4 18 3 3 2" xfId="21468" xr:uid="{00000000-0005-0000-0000-0000620E0000}"/>
    <cellStyle name="Normal 2 4 18 3 4" xfId="3578" xr:uid="{00000000-0005-0000-0000-0000630E0000}"/>
    <cellStyle name="Normal 2 4 18 3 4 2" xfId="21469" xr:uid="{00000000-0005-0000-0000-0000640E0000}"/>
    <cellStyle name="Normal 2 4 18 3 5" xfId="3579" xr:uid="{00000000-0005-0000-0000-0000650E0000}"/>
    <cellStyle name="Normal 2 4 18 3 5 2" xfId="21470" xr:uid="{00000000-0005-0000-0000-0000660E0000}"/>
    <cellStyle name="Normal 2 4 18 3 6" xfId="3580" xr:uid="{00000000-0005-0000-0000-0000670E0000}"/>
    <cellStyle name="Normal 2 4 18 3 6 2" xfId="21471" xr:uid="{00000000-0005-0000-0000-0000680E0000}"/>
    <cellStyle name="Normal 2 4 18 3 7" xfId="3581" xr:uid="{00000000-0005-0000-0000-0000690E0000}"/>
    <cellStyle name="Normal 2 4 18 3 7 2" xfId="21472" xr:uid="{00000000-0005-0000-0000-00006A0E0000}"/>
    <cellStyle name="Normal 2 4 18 3 8" xfId="3582" xr:uid="{00000000-0005-0000-0000-00006B0E0000}"/>
    <cellStyle name="Normal 2 4 18 3 8 2" xfId="21473" xr:uid="{00000000-0005-0000-0000-00006C0E0000}"/>
    <cellStyle name="Normal 2 4 18 3 9" xfId="3583" xr:uid="{00000000-0005-0000-0000-00006D0E0000}"/>
    <cellStyle name="Normal 2 4 18 3 9 2" xfId="21474" xr:uid="{00000000-0005-0000-0000-00006E0E0000}"/>
    <cellStyle name="Normal 2 4 18 4" xfId="3584" xr:uid="{00000000-0005-0000-0000-00006F0E0000}"/>
    <cellStyle name="Normal 2 4 18 4 10" xfId="3585" xr:uid="{00000000-0005-0000-0000-0000700E0000}"/>
    <cellStyle name="Normal 2 4 18 4 10 2" xfId="21476" xr:uid="{00000000-0005-0000-0000-0000710E0000}"/>
    <cellStyle name="Normal 2 4 18 4 11" xfId="3586" xr:uid="{00000000-0005-0000-0000-0000720E0000}"/>
    <cellStyle name="Normal 2 4 18 4 11 2" xfId="21477" xr:uid="{00000000-0005-0000-0000-0000730E0000}"/>
    <cellStyle name="Normal 2 4 18 4 12" xfId="3587" xr:uid="{00000000-0005-0000-0000-0000740E0000}"/>
    <cellStyle name="Normal 2 4 18 4 12 2" xfId="21478" xr:uid="{00000000-0005-0000-0000-0000750E0000}"/>
    <cellStyle name="Normal 2 4 18 4 13" xfId="3588" xr:uid="{00000000-0005-0000-0000-0000760E0000}"/>
    <cellStyle name="Normal 2 4 18 4 13 2" xfId="21479" xr:uid="{00000000-0005-0000-0000-0000770E0000}"/>
    <cellStyle name="Normal 2 4 18 4 14" xfId="3589" xr:uid="{00000000-0005-0000-0000-0000780E0000}"/>
    <cellStyle name="Normal 2 4 18 4 14 2" xfId="21480" xr:uid="{00000000-0005-0000-0000-0000790E0000}"/>
    <cellStyle name="Normal 2 4 18 4 15" xfId="3590" xr:uid="{00000000-0005-0000-0000-00007A0E0000}"/>
    <cellStyle name="Normal 2 4 18 4 15 2" xfId="21481" xr:uid="{00000000-0005-0000-0000-00007B0E0000}"/>
    <cellStyle name="Normal 2 4 18 4 16" xfId="21475" xr:uid="{00000000-0005-0000-0000-00007C0E0000}"/>
    <cellStyle name="Normal 2 4 18 4 2" xfId="3591" xr:uid="{00000000-0005-0000-0000-00007D0E0000}"/>
    <cellStyle name="Normal 2 4 18 4 2 10" xfId="3592" xr:uid="{00000000-0005-0000-0000-00007E0E0000}"/>
    <cellStyle name="Normal 2 4 18 4 2 10 2" xfId="21483" xr:uid="{00000000-0005-0000-0000-00007F0E0000}"/>
    <cellStyle name="Normal 2 4 18 4 2 11" xfId="3593" xr:uid="{00000000-0005-0000-0000-0000800E0000}"/>
    <cellStyle name="Normal 2 4 18 4 2 11 2" xfId="21484" xr:uid="{00000000-0005-0000-0000-0000810E0000}"/>
    <cellStyle name="Normal 2 4 18 4 2 12" xfId="3594" xr:uid="{00000000-0005-0000-0000-0000820E0000}"/>
    <cellStyle name="Normal 2 4 18 4 2 12 2" xfId="21485" xr:uid="{00000000-0005-0000-0000-0000830E0000}"/>
    <cellStyle name="Normal 2 4 18 4 2 13" xfId="3595" xr:uid="{00000000-0005-0000-0000-0000840E0000}"/>
    <cellStyle name="Normal 2 4 18 4 2 13 2" xfId="21486" xr:uid="{00000000-0005-0000-0000-0000850E0000}"/>
    <cellStyle name="Normal 2 4 18 4 2 14" xfId="3596" xr:uid="{00000000-0005-0000-0000-0000860E0000}"/>
    <cellStyle name="Normal 2 4 18 4 2 14 2" xfId="21487" xr:uid="{00000000-0005-0000-0000-0000870E0000}"/>
    <cellStyle name="Normal 2 4 18 4 2 15" xfId="21482" xr:uid="{00000000-0005-0000-0000-0000880E0000}"/>
    <cellStyle name="Normal 2 4 18 4 2 2" xfId="3597" xr:uid="{00000000-0005-0000-0000-0000890E0000}"/>
    <cellStyle name="Normal 2 4 18 4 2 2 2" xfId="21488" xr:uid="{00000000-0005-0000-0000-00008A0E0000}"/>
    <cellStyle name="Normal 2 4 18 4 2 3" xfId="3598" xr:uid="{00000000-0005-0000-0000-00008B0E0000}"/>
    <cellStyle name="Normal 2 4 18 4 2 3 2" xfId="21489" xr:uid="{00000000-0005-0000-0000-00008C0E0000}"/>
    <cellStyle name="Normal 2 4 18 4 2 4" xfId="3599" xr:uid="{00000000-0005-0000-0000-00008D0E0000}"/>
    <cellStyle name="Normal 2 4 18 4 2 4 2" xfId="21490" xr:uid="{00000000-0005-0000-0000-00008E0E0000}"/>
    <cellStyle name="Normal 2 4 18 4 2 5" xfId="3600" xr:uid="{00000000-0005-0000-0000-00008F0E0000}"/>
    <cellStyle name="Normal 2 4 18 4 2 5 2" xfId="21491" xr:uid="{00000000-0005-0000-0000-0000900E0000}"/>
    <cellStyle name="Normal 2 4 18 4 2 6" xfId="3601" xr:uid="{00000000-0005-0000-0000-0000910E0000}"/>
    <cellStyle name="Normal 2 4 18 4 2 6 2" xfId="21492" xr:uid="{00000000-0005-0000-0000-0000920E0000}"/>
    <cellStyle name="Normal 2 4 18 4 2 7" xfId="3602" xr:uid="{00000000-0005-0000-0000-0000930E0000}"/>
    <cellStyle name="Normal 2 4 18 4 2 7 2" xfId="21493" xr:uid="{00000000-0005-0000-0000-0000940E0000}"/>
    <cellStyle name="Normal 2 4 18 4 2 8" xfId="3603" xr:uid="{00000000-0005-0000-0000-0000950E0000}"/>
    <cellStyle name="Normal 2 4 18 4 2 8 2" xfId="21494" xr:uid="{00000000-0005-0000-0000-0000960E0000}"/>
    <cellStyle name="Normal 2 4 18 4 2 9" xfId="3604" xr:uid="{00000000-0005-0000-0000-0000970E0000}"/>
    <cellStyle name="Normal 2 4 18 4 2 9 2" xfId="21495" xr:uid="{00000000-0005-0000-0000-0000980E0000}"/>
    <cellStyle name="Normal 2 4 18 4 3" xfId="3605" xr:uid="{00000000-0005-0000-0000-0000990E0000}"/>
    <cellStyle name="Normal 2 4 18 4 3 2" xfId="21496" xr:uid="{00000000-0005-0000-0000-00009A0E0000}"/>
    <cellStyle name="Normal 2 4 18 4 4" xfId="3606" xr:uid="{00000000-0005-0000-0000-00009B0E0000}"/>
    <cellStyle name="Normal 2 4 18 4 4 2" xfId="21497" xr:uid="{00000000-0005-0000-0000-00009C0E0000}"/>
    <cellStyle name="Normal 2 4 18 4 5" xfId="3607" xr:uid="{00000000-0005-0000-0000-00009D0E0000}"/>
    <cellStyle name="Normal 2 4 18 4 5 2" xfId="21498" xr:uid="{00000000-0005-0000-0000-00009E0E0000}"/>
    <cellStyle name="Normal 2 4 18 4 6" xfId="3608" xr:uid="{00000000-0005-0000-0000-00009F0E0000}"/>
    <cellStyle name="Normal 2 4 18 4 6 2" xfId="21499" xr:uid="{00000000-0005-0000-0000-0000A00E0000}"/>
    <cellStyle name="Normal 2 4 18 4 7" xfId="3609" xr:uid="{00000000-0005-0000-0000-0000A10E0000}"/>
    <cellStyle name="Normal 2 4 18 4 7 2" xfId="21500" xr:uid="{00000000-0005-0000-0000-0000A20E0000}"/>
    <cellStyle name="Normal 2 4 18 4 8" xfId="3610" xr:uid="{00000000-0005-0000-0000-0000A30E0000}"/>
    <cellStyle name="Normal 2 4 18 4 8 2" xfId="21501" xr:uid="{00000000-0005-0000-0000-0000A40E0000}"/>
    <cellStyle name="Normal 2 4 18 4 9" xfId="3611" xr:uid="{00000000-0005-0000-0000-0000A50E0000}"/>
    <cellStyle name="Normal 2 4 18 4 9 2" xfId="21502" xr:uid="{00000000-0005-0000-0000-0000A60E0000}"/>
    <cellStyle name="Normal 2 4 18 5" xfId="3612" xr:uid="{00000000-0005-0000-0000-0000A70E0000}"/>
    <cellStyle name="Normal 2 4 18 5 10" xfId="3613" xr:uid="{00000000-0005-0000-0000-0000A80E0000}"/>
    <cellStyle name="Normal 2 4 18 5 10 2" xfId="21504" xr:uid="{00000000-0005-0000-0000-0000A90E0000}"/>
    <cellStyle name="Normal 2 4 18 5 11" xfId="3614" xr:uid="{00000000-0005-0000-0000-0000AA0E0000}"/>
    <cellStyle name="Normal 2 4 18 5 11 2" xfId="21505" xr:uid="{00000000-0005-0000-0000-0000AB0E0000}"/>
    <cellStyle name="Normal 2 4 18 5 12" xfId="3615" xr:uid="{00000000-0005-0000-0000-0000AC0E0000}"/>
    <cellStyle name="Normal 2 4 18 5 12 2" xfId="21506" xr:uid="{00000000-0005-0000-0000-0000AD0E0000}"/>
    <cellStyle name="Normal 2 4 18 5 13" xfId="3616" xr:uid="{00000000-0005-0000-0000-0000AE0E0000}"/>
    <cellStyle name="Normal 2 4 18 5 13 2" xfId="21507" xr:uid="{00000000-0005-0000-0000-0000AF0E0000}"/>
    <cellStyle name="Normal 2 4 18 5 14" xfId="3617" xr:uid="{00000000-0005-0000-0000-0000B00E0000}"/>
    <cellStyle name="Normal 2 4 18 5 14 2" xfId="21508" xr:uid="{00000000-0005-0000-0000-0000B10E0000}"/>
    <cellStyle name="Normal 2 4 18 5 15" xfId="21503" xr:uid="{00000000-0005-0000-0000-0000B20E0000}"/>
    <cellStyle name="Normal 2 4 18 5 2" xfId="3618" xr:uid="{00000000-0005-0000-0000-0000B30E0000}"/>
    <cellStyle name="Normal 2 4 18 5 2 2" xfId="21509" xr:uid="{00000000-0005-0000-0000-0000B40E0000}"/>
    <cellStyle name="Normal 2 4 18 5 3" xfId="3619" xr:uid="{00000000-0005-0000-0000-0000B50E0000}"/>
    <cellStyle name="Normal 2 4 18 5 3 2" xfId="21510" xr:uid="{00000000-0005-0000-0000-0000B60E0000}"/>
    <cellStyle name="Normal 2 4 18 5 4" xfId="3620" xr:uid="{00000000-0005-0000-0000-0000B70E0000}"/>
    <cellStyle name="Normal 2 4 18 5 4 2" xfId="21511" xr:uid="{00000000-0005-0000-0000-0000B80E0000}"/>
    <cellStyle name="Normal 2 4 18 5 5" xfId="3621" xr:uid="{00000000-0005-0000-0000-0000B90E0000}"/>
    <cellStyle name="Normal 2 4 18 5 5 2" xfId="21512" xr:uid="{00000000-0005-0000-0000-0000BA0E0000}"/>
    <cellStyle name="Normal 2 4 18 5 6" xfId="3622" xr:uid="{00000000-0005-0000-0000-0000BB0E0000}"/>
    <cellStyle name="Normal 2 4 18 5 6 2" xfId="21513" xr:uid="{00000000-0005-0000-0000-0000BC0E0000}"/>
    <cellStyle name="Normal 2 4 18 5 7" xfId="3623" xr:uid="{00000000-0005-0000-0000-0000BD0E0000}"/>
    <cellStyle name="Normal 2 4 18 5 7 2" xfId="21514" xr:uid="{00000000-0005-0000-0000-0000BE0E0000}"/>
    <cellStyle name="Normal 2 4 18 5 8" xfId="3624" xr:uid="{00000000-0005-0000-0000-0000BF0E0000}"/>
    <cellStyle name="Normal 2 4 18 5 8 2" xfId="21515" xr:uid="{00000000-0005-0000-0000-0000C00E0000}"/>
    <cellStyle name="Normal 2 4 18 5 9" xfId="3625" xr:uid="{00000000-0005-0000-0000-0000C10E0000}"/>
    <cellStyle name="Normal 2 4 18 5 9 2" xfId="21516" xr:uid="{00000000-0005-0000-0000-0000C20E0000}"/>
    <cellStyle name="Normal 2 4 18 6" xfId="3626" xr:uid="{00000000-0005-0000-0000-0000C30E0000}"/>
    <cellStyle name="Normal 2 4 18 6 10" xfId="3627" xr:uid="{00000000-0005-0000-0000-0000C40E0000}"/>
    <cellStyle name="Normal 2 4 18 6 10 2" xfId="21518" xr:uid="{00000000-0005-0000-0000-0000C50E0000}"/>
    <cellStyle name="Normal 2 4 18 6 11" xfId="3628" xr:uid="{00000000-0005-0000-0000-0000C60E0000}"/>
    <cellStyle name="Normal 2 4 18 6 11 2" xfId="21519" xr:uid="{00000000-0005-0000-0000-0000C70E0000}"/>
    <cellStyle name="Normal 2 4 18 6 12" xfId="3629" xr:uid="{00000000-0005-0000-0000-0000C80E0000}"/>
    <cellStyle name="Normal 2 4 18 6 12 2" xfId="21520" xr:uid="{00000000-0005-0000-0000-0000C90E0000}"/>
    <cellStyle name="Normal 2 4 18 6 13" xfId="3630" xr:uid="{00000000-0005-0000-0000-0000CA0E0000}"/>
    <cellStyle name="Normal 2 4 18 6 13 2" xfId="21521" xr:uid="{00000000-0005-0000-0000-0000CB0E0000}"/>
    <cellStyle name="Normal 2 4 18 6 14" xfId="3631" xr:uid="{00000000-0005-0000-0000-0000CC0E0000}"/>
    <cellStyle name="Normal 2 4 18 6 14 2" xfId="21522" xr:uid="{00000000-0005-0000-0000-0000CD0E0000}"/>
    <cellStyle name="Normal 2 4 18 6 15" xfId="21517" xr:uid="{00000000-0005-0000-0000-0000CE0E0000}"/>
    <cellStyle name="Normal 2 4 18 6 2" xfId="3632" xr:uid="{00000000-0005-0000-0000-0000CF0E0000}"/>
    <cellStyle name="Normal 2 4 18 6 2 2" xfId="21523" xr:uid="{00000000-0005-0000-0000-0000D00E0000}"/>
    <cellStyle name="Normal 2 4 18 6 3" xfId="3633" xr:uid="{00000000-0005-0000-0000-0000D10E0000}"/>
    <cellStyle name="Normal 2 4 18 6 3 2" xfId="21524" xr:uid="{00000000-0005-0000-0000-0000D20E0000}"/>
    <cellStyle name="Normal 2 4 18 6 4" xfId="3634" xr:uid="{00000000-0005-0000-0000-0000D30E0000}"/>
    <cellStyle name="Normal 2 4 18 6 4 2" xfId="21525" xr:uid="{00000000-0005-0000-0000-0000D40E0000}"/>
    <cellStyle name="Normal 2 4 18 6 5" xfId="3635" xr:uid="{00000000-0005-0000-0000-0000D50E0000}"/>
    <cellStyle name="Normal 2 4 18 6 5 2" xfId="21526" xr:uid="{00000000-0005-0000-0000-0000D60E0000}"/>
    <cellStyle name="Normal 2 4 18 6 6" xfId="3636" xr:uid="{00000000-0005-0000-0000-0000D70E0000}"/>
    <cellStyle name="Normal 2 4 18 6 6 2" xfId="21527" xr:uid="{00000000-0005-0000-0000-0000D80E0000}"/>
    <cellStyle name="Normal 2 4 18 6 7" xfId="3637" xr:uid="{00000000-0005-0000-0000-0000D90E0000}"/>
    <cellStyle name="Normal 2 4 18 6 7 2" xfId="21528" xr:uid="{00000000-0005-0000-0000-0000DA0E0000}"/>
    <cellStyle name="Normal 2 4 18 6 8" xfId="3638" xr:uid="{00000000-0005-0000-0000-0000DB0E0000}"/>
    <cellStyle name="Normal 2 4 18 6 8 2" xfId="21529" xr:uid="{00000000-0005-0000-0000-0000DC0E0000}"/>
    <cellStyle name="Normal 2 4 18 6 9" xfId="3639" xr:uid="{00000000-0005-0000-0000-0000DD0E0000}"/>
    <cellStyle name="Normal 2 4 18 6 9 2" xfId="21530" xr:uid="{00000000-0005-0000-0000-0000DE0E0000}"/>
    <cellStyle name="Normal 2 4 18 7" xfId="3640" xr:uid="{00000000-0005-0000-0000-0000DF0E0000}"/>
    <cellStyle name="Normal 2 4 18 7 10" xfId="3641" xr:uid="{00000000-0005-0000-0000-0000E00E0000}"/>
    <cellStyle name="Normal 2 4 18 7 10 2" xfId="21532" xr:uid="{00000000-0005-0000-0000-0000E10E0000}"/>
    <cellStyle name="Normal 2 4 18 7 11" xfId="3642" xr:uid="{00000000-0005-0000-0000-0000E20E0000}"/>
    <cellStyle name="Normal 2 4 18 7 11 2" xfId="21533" xr:uid="{00000000-0005-0000-0000-0000E30E0000}"/>
    <cellStyle name="Normal 2 4 18 7 12" xfId="3643" xr:uid="{00000000-0005-0000-0000-0000E40E0000}"/>
    <cellStyle name="Normal 2 4 18 7 12 2" xfId="21534" xr:uid="{00000000-0005-0000-0000-0000E50E0000}"/>
    <cellStyle name="Normal 2 4 18 7 13" xfId="3644" xr:uid="{00000000-0005-0000-0000-0000E60E0000}"/>
    <cellStyle name="Normal 2 4 18 7 13 2" xfId="21535" xr:uid="{00000000-0005-0000-0000-0000E70E0000}"/>
    <cellStyle name="Normal 2 4 18 7 14" xfId="3645" xr:uid="{00000000-0005-0000-0000-0000E80E0000}"/>
    <cellStyle name="Normal 2 4 18 7 14 2" xfId="21536" xr:uid="{00000000-0005-0000-0000-0000E90E0000}"/>
    <cellStyle name="Normal 2 4 18 7 15" xfId="21531" xr:uid="{00000000-0005-0000-0000-0000EA0E0000}"/>
    <cellStyle name="Normal 2 4 18 7 2" xfId="3646" xr:uid="{00000000-0005-0000-0000-0000EB0E0000}"/>
    <cellStyle name="Normal 2 4 18 7 2 2" xfId="21537" xr:uid="{00000000-0005-0000-0000-0000EC0E0000}"/>
    <cellStyle name="Normal 2 4 18 7 3" xfId="3647" xr:uid="{00000000-0005-0000-0000-0000ED0E0000}"/>
    <cellStyle name="Normal 2 4 18 7 3 2" xfId="21538" xr:uid="{00000000-0005-0000-0000-0000EE0E0000}"/>
    <cellStyle name="Normal 2 4 18 7 4" xfId="3648" xr:uid="{00000000-0005-0000-0000-0000EF0E0000}"/>
    <cellStyle name="Normal 2 4 18 7 4 2" xfId="21539" xr:uid="{00000000-0005-0000-0000-0000F00E0000}"/>
    <cellStyle name="Normal 2 4 18 7 5" xfId="3649" xr:uid="{00000000-0005-0000-0000-0000F10E0000}"/>
    <cellStyle name="Normal 2 4 18 7 5 2" xfId="21540" xr:uid="{00000000-0005-0000-0000-0000F20E0000}"/>
    <cellStyle name="Normal 2 4 18 7 6" xfId="3650" xr:uid="{00000000-0005-0000-0000-0000F30E0000}"/>
    <cellStyle name="Normal 2 4 18 7 6 2" xfId="21541" xr:uid="{00000000-0005-0000-0000-0000F40E0000}"/>
    <cellStyle name="Normal 2 4 18 7 7" xfId="3651" xr:uid="{00000000-0005-0000-0000-0000F50E0000}"/>
    <cellStyle name="Normal 2 4 18 7 7 2" xfId="21542" xr:uid="{00000000-0005-0000-0000-0000F60E0000}"/>
    <cellStyle name="Normal 2 4 18 7 8" xfId="3652" xr:uid="{00000000-0005-0000-0000-0000F70E0000}"/>
    <cellStyle name="Normal 2 4 18 7 8 2" xfId="21543" xr:uid="{00000000-0005-0000-0000-0000F80E0000}"/>
    <cellStyle name="Normal 2 4 18 7 9" xfId="3653" xr:uid="{00000000-0005-0000-0000-0000F90E0000}"/>
    <cellStyle name="Normal 2 4 18 7 9 2" xfId="21544" xr:uid="{00000000-0005-0000-0000-0000FA0E0000}"/>
    <cellStyle name="Normal 2 4 18 8" xfId="3654" xr:uid="{00000000-0005-0000-0000-0000FB0E0000}"/>
    <cellStyle name="Normal 2 4 18 8 10" xfId="3655" xr:uid="{00000000-0005-0000-0000-0000FC0E0000}"/>
    <cellStyle name="Normal 2 4 18 8 10 2" xfId="21546" xr:uid="{00000000-0005-0000-0000-0000FD0E0000}"/>
    <cellStyle name="Normal 2 4 18 8 11" xfId="3656" xr:uid="{00000000-0005-0000-0000-0000FE0E0000}"/>
    <cellStyle name="Normal 2 4 18 8 11 2" xfId="21547" xr:uid="{00000000-0005-0000-0000-0000FF0E0000}"/>
    <cellStyle name="Normal 2 4 18 8 12" xfId="3657" xr:uid="{00000000-0005-0000-0000-0000000F0000}"/>
    <cellStyle name="Normal 2 4 18 8 12 2" xfId="21548" xr:uid="{00000000-0005-0000-0000-0000010F0000}"/>
    <cellStyle name="Normal 2 4 18 8 13" xfId="3658" xr:uid="{00000000-0005-0000-0000-0000020F0000}"/>
    <cellStyle name="Normal 2 4 18 8 13 2" xfId="21549" xr:uid="{00000000-0005-0000-0000-0000030F0000}"/>
    <cellStyle name="Normal 2 4 18 8 14" xfId="3659" xr:uid="{00000000-0005-0000-0000-0000040F0000}"/>
    <cellStyle name="Normal 2 4 18 8 14 2" xfId="21550" xr:uid="{00000000-0005-0000-0000-0000050F0000}"/>
    <cellStyle name="Normal 2 4 18 8 15" xfId="21545" xr:uid="{00000000-0005-0000-0000-0000060F0000}"/>
    <cellStyle name="Normal 2 4 18 8 2" xfId="3660" xr:uid="{00000000-0005-0000-0000-0000070F0000}"/>
    <cellStyle name="Normal 2 4 18 8 2 2" xfId="21551" xr:uid="{00000000-0005-0000-0000-0000080F0000}"/>
    <cellStyle name="Normal 2 4 18 8 3" xfId="3661" xr:uid="{00000000-0005-0000-0000-0000090F0000}"/>
    <cellStyle name="Normal 2 4 18 8 3 2" xfId="21552" xr:uid="{00000000-0005-0000-0000-00000A0F0000}"/>
    <cellStyle name="Normal 2 4 18 8 4" xfId="3662" xr:uid="{00000000-0005-0000-0000-00000B0F0000}"/>
    <cellStyle name="Normal 2 4 18 8 4 2" xfId="21553" xr:uid="{00000000-0005-0000-0000-00000C0F0000}"/>
    <cellStyle name="Normal 2 4 18 8 5" xfId="3663" xr:uid="{00000000-0005-0000-0000-00000D0F0000}"/>
    <cellStyle name="Normal 2 4 18 8 5 2" xfId="21554" xr:uid="{00000000-0005-0000-0000-00000E0F0000}"/>
    <cellStyle name="Normal 2 4 18 8 6" xfId="3664" xr:uid="{00000000-0005-0000-0000-00000F0F0000}"/>
    <cellStyle name="Normal 2 4 18 8 6 2" xfId="21555" xr:uid="{00000000-0005-0000-0000-0000100F0000}"/>
    <cellStyle name="Normal 2 4 18 8 7" xfId="3665" xr:uid="{00000000-0005-0000-0000-0000110F0000}"/>
    <cellStyle name="Normal 2 4 18 8 7 2" xfId="21556" xr:uid="{00000000-0005-0000-0000-0000120F0000}"/>
    <cellStyle name="Normal 2 4 18 8 8" xfId="3666" xr:uid="{00000000-0005-0000-0000-0000130F0000}"/>
    <cellStyle name="Normal 2 4 18 8 8 2" xfId="21557" xr:uid="{00000000-0005-0000-0000-0000140F0000}"/>
    <cellStyle name="Normal 2 4 18 8 9" xfId="3667" xr:uid="{00000000-0005-0000-0000-0000150F0000}"/>
    <cellStyle name="Normal 2 4 18 8 9 2" xfId="21558" xr:uid="{00000000-0005-0000-0000-0000160F0000}"/>
    <cellStyle name="Normal 2 4 18 9" xfId="3668" xr:uid="{00000000-0005-0000-0000-0000170F0000}"/>
    <cellStyle name="Normal 2 4 18 9 10" xfId="3669" xr:uid="{00000000-0005-0000-0000-0000180F0000}"/>
    <cellStyle name="Normal 2 4 18 9 10 2" xfId="21560" xr:uid="{00000000-0005-0000-0000-0000190F0000}"/>
    <cellStyle name="Normal 2 4 18 9 11" xfId="3670" xr:uid="{00000000-0005-0000-0000-00001A0F0000}"/>
    <cellStyle name="Normal 2 4 18 9 11 2" xfId="21561" xr:uid="{00000000-0005-0000-0000-00001B0F0000}"/>
    <cellStyle name="Normal 2 4 18 9 12" xfId="3671" xr:uid="{00000000-0005-0000-0000-00001C0F0000}"/>
    <cellStyle name="Normal 2 4 18 9 12 2" xfId="21562" xr:uid="{00000000-0005-0000-0000-00001D0F0000}"/>
    <cellStyle name="Normal 2 4 18 9 13" xfId="3672" xr:uid="{00000000-0005-0000-0000-00001E0F0000}"/>
    <cellStyle name="Normal 2 4 18 9 13 2" xfId="21563" xr:uid="{00000000-0005-0000-0000-00001F0F0000}"/>
    <cellStyle name="Normal 2 4 18 9 14" xfId="3673" xr:uid="{00000000-0005-0000-0000-0000200F0000}"/>
    <cellStyle name="Normal 2 4 18 9 14 2" xfId="21564" xr:uid="{00000000-0005-0000-0000-0000210F0000}"/>
    <cellStyle name="Normal 2 4 18 9 15" xfId="21559" xr:uid="{00000000-0005-0000-0000-0000220F0000}"/>
    <cellStyle name="Normal 2 4 18 9 2" xfId="3674" xr:uid="{00000000-0005-0000-0000-0000230F0000}"/>
    <cellStyle name="Normal 2 4 18 9 2 2" xfId="21565" xr:uid="{00000000-0005-0000-0000-0000240F0000}"/>
    <cellStyle name="Normal 2 4 18 9 3" xfId="3675" xr:uid="{00000000-0005-0000-0000-0000250F0000}"/>
    <cellStyle name="Normal 2 4 18 9 3 2" xfId="21566" xr:uid="{00000000-0005-0000-0000-0000260F0000}"/>
    <cellStyle name="Normal 2 4 18 9 4" xfId="3676" xr:uid="{00000000-0005-0000-0000-0000270F0000}"/>
    <cellStyle name="Normal 2 4 18 9 4 2" xfId="21567" xr:uid="{00000000-0005-0000-0000-0000280F0000}"/>
    <cellStyle name="Normal 2 4 18 9 5" xfId="3677" xr:uid="{00000000-0005-0000-0000-0000290F0000}"/>
    <cellStyle name="Normal 2 4 18 9 5 2" xfId="21568" xr:uid="{00000000-0005-0000-0000-00002A0F0000}"/>
    <cellStyle name="Normal 2 4 18 9 6" xfId="3678" xr:uid="{00000000-0005-0000-0000-00002B0F0000}"/>
    <cellStyle name="Normal 2 4 18 9 6 2" xfId="21569" xr:uid="{00000000-0005-0000-0000-00002C0F0000}"/>
    <cellStyle name="Normal 2 4 18 9 7" xfId="3679" xr:uid="{00000000-0005-0000-0000-00002D0F0000}"/>
    <cellStyle name="Normal 2 4 18 9 7 2" xfId="21570" xr:uid="{00000000-0005-0000-0000-00002E0F0000}"/>
    <cellStyle name="Normal 2 4 18 9 8" xfId="3680" xr:uid="{00000000-0005-0000-0000-00002F0F0000}"/>
    <cellStyle name="Normal 2 4 18 9 8 2" xfId="21571" xr:uid="{00000000-0005-0000-0000-0000300F0000}"/>
    <cellStyle name="Normal 2 4 18 9 9" xfId="3681" xr:uid="{00000000-0005-0000-0000-0000310F0000}"/>
    <cellStyle name="Normal 2 4 18 9 9 2" xfId="21572" xr:uid="{00000000-0005-0000-0000-0000320F0000}"/>
    <cellStyle name="Normal 2 4 19" xfId="3682" xr:uid="{00000000-0005-0000-0000-0000330F0000}"/>
    <cellStyle name="Normal 2 4 19 10" xfId="3683" xr:uid="{00000000-0005-0000-0000-0000340F0000}"/>
    <cellStyle name="Normal 2 4 19 10 10" xfId="3684" xr:uid="{00000000-0005-0000-0000-0000350F0000}"/>
    <cellStyle name="Normal 2 4 19 10 10 2" xfId="21575" xr:uid="{00000000-0005-0000-0000-0000360F0000}"/>
    <cellStyle name="Normal 2 4 19 10 11" xfId="3685" xr:uid="{00000000-0005-0000-0000-0000370F0000}"/>
    <cellStyle name="Normal 2 4 19 10 11 2" xfId="21576" xr:uid="{00000000-0005-0000-0000-0000380F0000}"/>
    <cellStyle name="Normal 2 4 19 10 12" xfId="3686" xr:uid="{00000000-0005-0000-0000-0000390F0000}"/>
    <cellStyle name="Normal 2 4 19 10 12 2" xfId="21577" xr:uid="{00000000-0005-0000-0000-00003A0F0000}"/>
    <cellStyle name="Normal 2 4 19 10 13" xfId="3687" xr:uid="{00000000-0005-0000-0000-00003B0F0000}"/>
    <cellStyle name="Normal 2 4 19 10 13 2" xfId="21578" xr:uid="{00000000-0005-0000-0000-00003C0F0000}"/>
    <cellStyle name="Normal 2 4 19 10 14" xfId="3688" xr:uid="{00000000-0005-0000-0000-00003D0F0000}"/>
    <cellStyle name="Normal 2 4 19 10 14 2" xfId="21579" xr:uid="{00000000-0005-0000-0000-00003E0F0000}"/>
    <cellStyle name="Normal 2 4 19 10 15" xfId="21574" xr:uid="{00000000-0005-0000-0000-00003F0F0000}"/>
    <cellStyle name="Normal 2 4 19 10 2" xfId="3689" xr:uid="{00000000-0005-0000-0000-0000400F0000}"/>
    <cellStyle name="Normal 2 4 19 10 2 2" xfId="21580" xr:uid="{00000000-0005-0000-0000-0000410F0000}"/>
    <cellStyle name="Normal 2 4 19 10 3" xfId="3690" xr:uid="{00000000-0005-0000-0000-0000420F0000}"/>
    <cellStyle name="Normal 2 4 19 10 3 2" xfId="21581" xr:uid="{00000000-0005-0000-0000-0000430F0000}"/>
    <cellStyle name="Normal 2 4 19 10 4" xfId="3691" xr:uid="{00000000-0005-0000-0000-0000440F0000}"/>
    <cellStyle name="Normal 2 4 19 10 4 2" xfId="21582" xr:uid="{00000000-0005-0000-0000-0000450F0000}"/>
    <cellStyle name="Normal 2 4 19 10 5" xfId="3692" xr:uid="{00000000-0005-0000-0000-0000460F0000}"/>
    <cellStyle name="Normal 2 4 19 10 5 2" xfId="21583" xr:uid="{00000000-0005-0000-0000-0000470F0000}"/>
    <cellStyle name="Normal 2 4 19 10 6" xfId="3693" xr:uid="{00000000-0005-0000-0000-0000480F0000}"/>
    <cellStyle name="Normal 2 4 19 10 6 2" xfId="21584" xr:uid="{00000000-0005-0000-0000-0000490F0000}"/>
    <cellStyle name="Normal 2 4 19 10 7" xfId="3694" xr:uid="{00000000-0005-0000-0000-00004A0F0000}"/>
    <cellStyle name="Normal 2 4 19 10 7 2" xfId="21585" xr:uid="{00000000-0005-0000-0000-00004B0F0000}"/>
    <cellStyle name="Normal 2 4 19 10 8" xfId="3695" xr:uid="{00000000-0005-0000-0000-00004C0F0000}"/>
    <cellStyle name="Normal 2 4 19 10 8 2" xfId="21586" xr:uid="{00000000-0005-0000-0000-00004D0F0000}"/>
    <cellStyle name="Normal 2 4 19 10 9" xfId="3696" xr:uid="{00000000-0005-0000-0000-00004E0F0000}"/>
    <cellStyle name="Normal 2 4 19 10 9 2" xfId="21587" xr:uid="{00000000-0005-0000-0000-00004F0F0000}"/>
    <cellStyle name="Normal 2 4 19 11" xfId="3697" xr:uid="{00000000-0005-0000-0000-0000500F0000}"/>
    <cellStyle name="Normal 2 4 19 11 2" xfId="21588" xr:uid="{00000000-0005-0000-0000-0000510F0000}"/>
    <cellStyle name="Normal 2 4 19 12" xfId="3698" xr:uid="{00000000-0005-0000-0000-0000520F0000}"/>
    <cellStyle name="Normal 2 4 19 12 2" xfId="21589" xr:uid="{00000000-0005-0000-0000-0000530F0000}"/>
    <cellStyle name="Normal 2 4 19 13" xfId="3699" xr:uid="{00000000-0005-0000-0000-0000540F0000}"/>
    <cellStyle name="Normal 2 4 19 13 2" xfId="21590" xr:uid="{00000000-0005-0000-0000-0000550F0000}"/>
    <cellStyle name="Normal 2 4 19 14" xfId="3700" xr:uid="{00000000-0005-0000-0000-0000560F0000}"/>
    <cellStyle name="Normal 2 4 19 14 2" xfId="21591" xr:uid="{00000000-0005-0000-0000-0000570F0000}"/>
    <cellStyle name="Normal 2 4 19 15" xfId="3701" xr:uid="{00000000-0005-0000-0000-0000580F0000}"/>
    <cellStyle name="Normal 2 4 19 15 2" xfId="21592" xr:uid="{00000000-0005-0000-0000-0000590F0000}"/>
    <cellStyle name="Normal 2 4 19 16" xfId="3702" xr:uid="{00000000-0005-0000-0000-00005A0F0000}"/>
    <cellStyle name="Normal 2 4 19 16 2" xfId="21593" xr:uid="{00000000-0005-0000-0000-00005B0F0000}"/>
    <cellStyle name="Normal 2 4 19 17" xfId="3703" xr:uid="{00000000-0005-0000-0000-00005C0F0000}"/>
    <cellStyle name="Normal 2 4 19 17 2" xfId="21594" xr:uid="{00000000-0005-0000-0000-00005D0F0000}"/>
    <cellStyle name="Normal 2 4 19 18" xfId="3704" xr:uid="{00000000-0005-0000-0000-00005E0F0000}"/>
    <cellStyle name="Normal 2 4 19 18 2" xfId="21595" xr:uid="{00000000-0005-0000-0000-00005F0F0000}"/>
    <cellStyle name="Normal 2 4 19 19" xfId="3705" xr:uid="{00000000-0005-0000-0000-0000600F0000}"/>
    <cellStyle name="Normal 2 4 19 19 2" xfId="21596" xr:uid="{00000000-0005-0000-0000-0000610F0000}"/>
    <cellStyle name="Normal 2 4 19 2" xfId="3706" xr:uid="{00000000-0005-0000-0000-0000620F0000}"/>
    <cellStyle name="Normal 2 4 19 2 10" xfId="3707" xr:uid="{00000000-0005-0000-0000-0000630F0000}"/>
    <cellStyle name="Normal 2 4 19 2 10 2" xfId="21598" xr:uid="{00000000-0005-0000-0000-0000640F0000}"/>
    <cellStyle name="Normal 2 4 19 2 11" xfId="3708" xr:uid="{00000000-0005-0000-0000-0000650F0000}"/>
    <cellStyle name="Normal 2 4 19 2 11 2" xfId="21599" xr:uid="{00000000-0005-0000-0000-0000660F0000}"/>
    <cellStyle name="Normal 2 4 19 2 12" xfId="3709" xr:uid="{00000000-0005-0000-0000-0000670F0000}"/>
    <cellStyle name="Normal 2 4 19 2 12 2" xfId="21600" xr:uid="{00000000-0005-0000-0000-0000680F0000}"/>
    <cellStyle name="Normal 2 4 19 2 13" xfId="3710" xr:uid="{00000000-0005-0000-0000-0000690F0000}"/>
    <cellStyle name="Normal 2 4 19 2 13 2" xfId="21601" xr:uid="{00000000-0005-0000-0000-00006A0F0000}"/>
    <cellStyle name="Normal 2 4 19 2 14" xfId="3711" xr:uid="{00000000-0005-0000-0000-00006B0F0000}"/>
    <cellStyle name="Normal 2 4 19 2 14 2" xfId="21602" xr:uid="{00000000-0005-0000-0000-00006C0F0000}"/>
    <cellStyle name="Normal 2 4 19 2 15" xfId="3712" xr:uid="{00000000-0005-0000-0000-00006D0F0000}"/>
    <cellStyle name="Normal 2 4 19 2 15 2" xfId="21603" xr:uid="{00000000-0005-0000-0000-00006E0F0000}"/>
    <cellStyle name="Normal 2 4 19 2 16" xfId="21597" xr:uid="{00000000-0005-0000-0000-00006F0F0000}"/>
    <cellStyle name="Normal 2 4 19 2 2" xfId="3713" xr:uid="{00000000-0005-0000-0000-0000700F0000}"/>
    <cellStyle name="Normal 2 4 19 2 2 10" xfId="3714" xr:uid="{00000000-0005-0000-0000-0000710F0000}"/>
    <cellStyle name="Normal 2 4 19 2 2 10 2" xfId="21605" xr:uid="{00000000-0005-0000-0000-0000720F0000}"/>
    <cellStyle name="Normal 2 4 19 2 2 11" xfId="3715" xr:uid="{00000000-0005-0000-0000-0000730F0000}"/>
    <cellStyle name="Normal 2 4 19 2 2 11 2" xfId="21606" xr:uid="{00000000-0005-0000-0000-0000740F0000}"/>
    <cellStyle name="Normal 2 4 19 2 2 12" xfId="3716" xr:uid="{00000000-0005-0000-0000-0000750F0000}"/>
    <cellStyle name="Normal 2 4 19 2 2 12 2" xfId="21607" xr:uid="{00000000-0005-0000-0000-0000760F0000}"/>
    <cellStyle name="Normal 2 4 19 2 2 13" xfId="3717" xr:uid="{00000000-0005-0000-0000-0000770F0000}"/>
    <cellStyle name="Normal 2 4 19 2 2 13 2" xfId="21608" xr:uid="{00000000-0005-0000-0000-0000780F0000}"/>
    <cellStyle name="Normal 2 4 19 2 2 14" xfId="3718" xr:uid="{00000000-0005-0000-0000-0000790F0000}"/>
    <cellStyle name="Normal 2 4 19 2 2 14 2" xfId="21609" xr:uid="{00000000-0005-0000-0000-00007A0F0000}"/>
    <cellStyle name="Normal 2 4 19 2 2 15" xfId="21604" xr:uid="{00000000-0005-0000-0000-00007B0F0000}"/>
    <cellStyle name="Normal 2 4 19 2 2 2" xfId="3719" xr:uid="{00000000-0005-0000-0000-00007C0F0000}"/>
    <cellStyle name="Normal 2 4 19 2 2 2 2" xfId="21610" xr:uid="{00000000-0005-0000-0000-00007D0F0000}"/>
    <cellStyle name="Normal 2 4 19 2 2 3" xfId="3720" xr:uid="{00000000-0005-0000-0000-00007E0F0000}"/>
    <cellStyle name="Normal 2 4 19 2 2 3 2" xfId="21611" xr:uid="{00000000-0005-0000-0000-00007F0F0000}"/>
    <cellStyle name="Normal 2 4 19 2 2 4" xfId="3721" xr:uid="{00000000-0005-0000-0000-0000800F0000}"/>
    <cellStyle name="Normal 2 4 19 2 2 4 2" xfId="21612" xr:uid="{00000000-0005-0000-0000-0000810F0000}"/>
    <cellStyle name="Normal 2 4 19 2 2 5" xfId="3722" xr:uid="{00000000-0005-0000-0000-0000820F0000}"/>
    <cellStyle name="Normal 2 4 19 2 2 5 2" xfId="21613" xr:uid="{00000000-0005-0000-0000-0000830F0000}"/>
    <cellStyle name="Normal 2 4 19 2 2 6" xfId="3723" xr:uid="{00000000-0005-0000-0000-0000840F0000}"/>
    <cellStyle name="Normal 2 4 19 2 2 6 2" xfId="21614" xr:uid="{00000000-0005-0000-0000-0000850F0000}"/>
    <cellStyle name="Normal 2 4 19 2 2 7" xfId="3724" xr:uid="{00000000-0005-0000-0000-0000860F0000}"/>
    <cellStyle name="Normal 2 4 19 2 2 7 2" xfId="21615" xr:uid="{00000000-0005-0000-0000-0000870F0000}"/>
    <cellStyle name="Normal 2 4 19 2 2 8" xfId="3725" xr:uid="{00000000-0005-0000-0000-0000880F0000}"/>
    <cellStyle name="Normal 2 4 19 2 2 8 2" xfId="21616" xr:uid="{00000000-0005-0000-0000-0000890F0000}"/>
    <cellStyle name="Normal 2 4 19 2 2 9" xfId="3726" xr:uid="{00000000-0005-0000-0000-00008A0F0000}"/>
    <cellStyle name="Normal 2 4 19 2 2 9 2" xfId="21617" xr:uid="{00000000-0005-0000-0000-00008B0F0000}"/>
    <cellStyle name="Normal 2 4 19 2 3" xfId="3727" xr:uid="{00000000-0005-0000-0000-00008C0F0000}"/>
    <cellStyle name="Normal 2 4 19 2 3 2" xfId="21618" xr:uid="{00000000-0005-0000-0000-00008D0F0000}"/>
    <cellStyle name="Normal 2 4 19 2 4" xfId="3728" xr:uid="{00000000-0005-0000-0000-00008E0F0000}"/>
    <cellStyle name="Normal 2 4 19 2 4 2" xfId="21619" xr:uid="{00000000-0005-0000-0000-00008F0F0000}"/>
    <cellStyle name="Normal 2 4 19 2 5" xfId="3729" xr:uid="{00000000-0005-0000-0000-0000900F0000}"/>
    <cellStyle name="Normal 2 4 19 2 5 2" xfId="21620" xr:uid="{00000000-0005-0000-0000-0000910F0000}"/>
    <cellStyle name="Normal 2 4 19 2 6" xfId="3730" xr:uid="{00000000-0005-0000-0000-0000920F0000}"/>
    <cellStyle name="Normal 2 4 19 2 6 2" xfId="21621" xr:uid="{00000000-0005-0000-0000-0000930F0000}"/>
    <cellStyle name="Normal 2 4 19 2 7" xfId="3731" xr:uid="{00000000-0005-0000-0000-0000940F0000}"/>
    <cellStyle name="Normal 2 4 19 2 7 2" xfId="21622" xr:uid="{00000000-0005-0000-0000-0000950F0000}"/>
    <cellStyle name="Normal 2 4 19 2 8" xfId="3732" xr:uid="{00000000-0005-0000-0000-0000960F0000}"/>
    <cellStyle name="Normal 2 4 19 2 8 2" xfId="21623" xr:uid="{00000000-0005-0000-0000-0000970F0000}"/>
    <cellStyle name="Normal 2 4 19 2 9" xfId="3733" xr:uid="{00000000-0005-0000-0000-0000980F0000}"/>
    <cellStyle name="Normal 2 4 19 2 9 2" xfId="21624" xr:uid="{00000000-0005-0000-0000-0000990F0000}"/>
    <cellStyle name="Normal 2 4 19 20" xfId="3734" xr:uid="{00000000-0005-0000-0000-00009A0F0000}"/>
    <cellStyle name="Normal 2 4 19 20 2" xfId="21625" xr:uid="{00000000-0005-0000-0000-00009B0F0000}"/>
    <cellStyle name="Normal 2 4 19 21" xfId="3735" xr:uid="{00000000-0005-0000-0000-00009C0F0000}"/>
    <cellStyle name="Normal 2 4 19 21 2" xfId="21626" xr:uid="{00000000-0005-0000-0000-00009D0F0000}"/>
    <cellStyle name="Normal 2 4 19 22" xfId="3736" xr:uid="{00000000-0005-0000-0000-00009E0F0000}"/>
    <cellStyle name="Normal 2 4 19 22 2" xfId="21627" xr:uid="{00000000-0005-0000-0000-00009F0F0000}"/>
    <cellStyle name="Normal 2 4 19 23" xfId="3737" xr:uid="{00000000-0005-0000-0000-0000A00F0000}"/>
    <cellStyle name="Normal 2 4 19 23 2" xfId="21628" xr:uid="{00000000-0005-0000-0000-0000A10F0000}"/>
    <cellStyle name="Normal 2 4 19 24" xfId="21573" xr:uid="{00000000-0005-0000-0000-0000A20F0000}"/>
    <cellStyle name="Normal 2 4 19 3" xfId="3738" xr:uid="{00000000-0005-0000-0000-0000A30F0000}"/>
    <cellStyle name="Normal 2 4 19 3 10" xfId="3739" xr:uid="{00000000-0005-0000-0000-0000A40F0000}"/>
    <cellStyle name="Normal 2 4 19 3 10 2" xfId="21630" xr:uid="{00000000-0005-0000-0000-0000A50F0000}"/>
    <cellStyle name="Normal 2 4 19 3 11" xfId="3740" xr:uid="{00000000-0005-0000-0000-0000A60F0000}"/>
    <cellStyle name="Normal 2 4 19 3 11 2" xfId="21631" xr:uid="{00000000-0005-0000-0000-0000A70F0000}"/>
    <cellStyle name="Normal 2 4 19 3 12" xfId="3741" xr:uid="{00000000-0005-0000-0000-0000A80F0000}"/>
    <cellStyle name="Normal 2 4 19 3 12 2" xfId="21632" xr:uid="{00000000-0005-0000-0000-0000A90F0000}"/>
    <cellStyle name="Normal 2 4 19 3 13" xfId="3742" xr:uid="{00000000-0005-0000-0000-0000AA0F0000}"/>
    <cellStyle name="Normal 2 4 19 3 13 2" xfId="21633" xr:uid="{00000000-0005-0000-0000-0000AB0F0000}"/>
    <cellStyle name="Normal 2 4 19 3 14" xfId="3743" xr:uid="{00000000-0005-0000-0000-0000AC0F0000}"/>
    <cellStyle name="Normal 2 4 19 3 14 2" xfId="21634" xr:uid="{00000000-0005-0000-0000-0000AD0F0000}"/>
    <cellStyle name="Normal 2 4 19 3 15" xfId="3744" xr:uid="{00000000-0005-0000-0000-0000AE0F0000}"/>
    <cellStyle name="Normal 2 4 19 3 15 2" xfId="21635" xr:uid="{00000000-0005-0000-0000-0000AF0F0000}"/>
    <cellStyle name="Normal 2 4 19 3 16" xfId="21629" xr:uid="{00000000-0005-0000-0000-0000B00F0000}"/>
    <cellStyle name="Normal 2 4 19 3 2" xfId="3745" xr:uid="{00000000-0005-0000-0000-0000B10F0000}"/>
    <cellStyle name="Normal 2 4 19 3 2 10" xfId="3746" xr:uid="{00000000-0005-0000-0000-0000B20F0000}"/>
    <cellStyle name="Normal 2 4 19 3 2 10 2" xfId="21637" xr:uid="{00000000-0005-0000-0000-0000B30F0000}"/>
    <cellStyle name="Normal 2 4 19 3 2 11" xfId="3747" xr:uid="{00000000-0005-0000-0000-0000B40F0000}"/>
    <cellStyle name="Normal 2 4 19 3 2 11 2" xfId="21638" xr:uid="{00000000-0005-0000-0000-0000B50F0000}"/>
    <cellStyle name="Normal 2 4 19 3 2 12" xfId="3748" xr:uid="{00000000-0005-0000-0000-0000B60F0000}"/>
    <cellStyle name="Normal 2 4 19 3 2 12 2" xfId="21639" xr:uid="{00000000-0005-0000-0000-0000B70F0000}"/>
    <cellStyle name="Normal 2 4 19 3 2 13" xfId="3749" xr:uid="{00000000-0005-0000-0000-0000B80F0000}"/>
    <cellStyle name="Normal 2 4 19 3 2 13 2" xfId="21640" xr:uid="{00000000-0005-0000-0000-0000B90F0000}"/>
    <cellStyle name="Normal 2 4 19 3 2 14" xfId="3750" xr:uid="{00000000-0005-0000-0000-0000BA0F0000}"/>
    <cellStyle name="Normal 2 4 19 3 2 14 2" xfId="21641" xr:uid="{00000000-0005-0000-0000-0000BB0F0000}"/>
    <cellStyle name="Normal 2 4 19 3 2 15" xfId="21636" xr:uid="{00000000-0005-0000-0000-0000BC0F0000}"/>
    <cellStyle name="Normal 2 4 19 3 2 2" xfId="3751" xr:uid="{00000000-0005-0000-0000-0000BD0F0000}"/>
    <cellStyle name="Normal 2 4 19 3 2 2 2" xfId="21642" xr:uid="{00000000-0005-0000-0000-0000BE0F0000}"/>
    <cellStyle name="Normal 2 4 19 3 2 3" xfId="3752" xr:uid="{00000000-0005-0000-0000-0000BF0F0000}"/>
    <cellStyle name="Normal 2 4 19 3 2 3 2" xfId="21643" xr:uid="{00000000-0005-0000-0000-0000C00F0000}"/>
    <cellStyle name="Normal 2 4 19 3 2 4" xfId="3753" xr:uid="{00000000-0005-0000-0000-0000C10F0000}"/>
    <cellStyle name="Normal 2 4 19 3 2 4 2" xfId="21644" xr:uid="{00000000-0005-0000-0000-0000C20F0000}"/>
    <cellStyle name="Normal 2 4 19 3 2 5" xfId="3754" xr:uid="{00000000-0005-0000-0000-0000C30F0000}"/>
    <cellStyle name="Normal 2 4 19 3 2 5 2" xfId="21645" xr:uid="{00000000-0005-0000-0000-0000C40F0000}"/>
    <cellStyle name="Normal 2 4 19 3 2 6" xfId="3755" xr:uid="{00000000-0005-0000-0000-0000C50F0000}"/>
    <cellStyle name="Normal 2 4 19 3 2 6 2" xfId="21646" xr:uid="{00000000-0005-0000-0000-0000C60F0000}"/>
    <cellStyle name="Normal 2 4 19 3 2 7" xfId="3756" xr:uid="{00000000-0005-0000-0000-0000C70F0000}"/>
    <cellStyle name="Normal 2 4 19 3 2 7 2" xfId="21647" xr:uid="{00000000-0005-0000-0000-0000C80F0000}"/>
    <cellStyle name="Normal 2 4 19 3 2 8" xfId="3757" xr:uid="{00000000-0005-0000-0000-0000C90F0000}"/>
    <cellStyle name="Normal 2 4 19 3 2 8 2" xfId="21648" xr:uid="{00000000-0005-0000-0000-0000CA0F0000}"/>
    <cellStyle name="Normal 2 4 19 3 2 9" xfId="3758" xr:uid="{00000000-0005-0000-0000-0000CB0F0000}"/>
    <cellStyle name="Normal 2 4 19 3 2 9 2" xfId="21649" xr:uid="{00000000-0005-0000-0000-0000CC0F0000}"/>
    <cellStyle name="Normal 2 4 19 3 3" xfId="3759" xr:uid="{00000000-0005-0000-0000-0000CD0F0000}"/>
    <cellStyle name="Normal 2 4 19 3 3 2" xfId="21650" xr:uid="{00000000-0005-0000-0000-0000CE0F0000}"/>
    <cellStyle name="Normal 2 4 19 3 4" xfId="3760" xr:uid="{00000000-0005-0000-0000-0000CF0F0000}"/>
    <cellStyle name="Normal 2 4 19 3 4 2" xfId="21651" xr:uid="{00000000-0005-0000-0000-0000D00F0000}"/>
    <cellStyle name="Normal 2 4 19 3 5" xfId="3761" xr:uid="{00000000-0005-0000-0000-0000D10F0000}"/>
    <cellStyle name="Normal 2 4 19 3 5 2" xfId="21652" xr:uid="{00000000-0005-0000-0000-0000D20F0000}"/>
    <cellStyle name="Normal 2 4 19 3 6" xfId="3762" xr:uid="{00000000-0005-0000-0000-0000D30F0000}"/>
    <cellStyle name="Normal 2 4 19 3 6 2" xfId="21653" xr:uid="{00000000-0005-0000-0000-0000D40F0000}"/>
    <cellStyle name="Normal 2 4 19 3 7" xfId="3763" xr:uid="{00000000-0005-0000-0000-0000D50F0000}"/>
    <cellStyle name="Normal 2 4 19 3 7 2" xfId="21654" xr:uid="{00000000-0005-0000-0000-0000D60F0000}"/>
    <cellStyle name="Normal 2 4 19 3 8" xfId="3764" xr:uid="{00000000-0005-0000-0000-0000D70F0000}"/>
    <cellStyle name="Normal 2 4 19 3 8 2" xfId="21655" xr:uid="{00000000-0005-0000-0000-0000D80F0000}"/>
    <cellStyle name="Normal 2 4 19 3 9" xfId="3765" xr:uid="{00000000-0005-0000-0000-0000D90F0000}"/>
    <cellStyle name="Normal 2 4 19 3 9 2" xfId="21656" xr:uid="{00000000-0005-0000-0000-0000DA0F0000}"/>
    <cellStyle name="Normal 2 4 19 4" xfId="3766" xr:uid="{00000000-0005-0000-0000-0000DB0F0000}"/>
    <cellStyle name="Normal 2 4 19 4 10" xfId="3767" xr:uid="{00000000-0005-0000-0000-0000DC0F0000}"/>
    <cellStyle name="Normal 2 4 19 4 10 2" xfId="21658" xr:uid="{00000000-0005-0000-0000-0000DD0F0000}"/>
    <cellStyle name="Normal 2 4 19 4 11" xfId="3768" xr:uid="{00000000-0005-0000-0000-0000DE0F0000}"/>
    <cellStyle name="Normal 2 4 19 4 11 2" xfId="21659" xr:uid="{00000000-0005-0000-0000-0000DF0F0000}"/>
    <cellStyle name="Normal 2 4 19 4 12" xfId="3769" xr:uid="{00000000-0005-0000-0000-0000E00F0000}"/>
    <cellStyle name="Normal 2 4 19 4 12 2" xfId="21660" xr:uid="{00000000-0005-0000-0000-0000E10F0000}"/>
    <cellStyle name="Normal 2 4 19 4 13" xfId="3770" xr:uid="{00000000-0005-0000-0000-0000E20F0000}"/>
    <cellStyle name="Normal 2 4 19 4 13 2" xfId="21661" xr:uid="{00000000-0005-0000-0000-0000E30F0000}"/>
    <cellStyle name="Normal 2 4 19 4 14" xfId="3771" xr:uid="{00000000-0005-0000-0000-0000E40F0000}"/>
    <cellStyle name="Normal 2 4 19 4 14 2" xfId="21662" xr:uid="{00000000-0005-0000-0000-0000E50F0000}"/>
    <cellStyle name="Normal 2 4 19 4 15" xfId="3772" xr:uid="{00000000-0005-0000-0000-0000E60F0000}"/>
    <cellStyle name="Normal 2 4 19 4 15 2" xfId="21663" xr:uid="{00000000-0005-0000-0000-0000E70F0000}"/>
    <cellStyle name="Normal 2 4 19 4 16" xfId="21657" xr:uid="{00000000-0005-0000-0000-0000E80F0000}"/>
    <cellStyle name="Normal 2 4 19 4 2" xfId="3773" xr:uid="{00000000-0005-0000-0000-0000E90F0000}"/>
    <cellStyle name="Normal 2 4 19 4 2 10" xfId="3774" xr:uid="{00000000-0005-0000-0000-0000EA0F0000}"/>
    <cellStyle name="Normal 2 4 19 4 2 10 2" xfId="21665" xr:uid="{00000000-0005-0000-0000-0000EB0F0000}"/>
    <cellStyle name="Normal 2 4 19 4 2 11" xfId="3775" xr:uid="{00000000-0005-0000-0000-0000EC0F0000}"/>
    <cellStyle name="Normal 2 4 19 4 2 11 2" xfId="21666" xr:uid="{00000000-0005-0000-0000-0000ED0F0000}"/>
    <cellStyle name="Normal 2 4 19 4 2 12" xfId="3776" xr:uid="{00000000-0005-0000-0000-0000EE0F0000}"/>
    <cellStyle name="Normal 2 4 19 4 2 12 2" xfId="21667" xr:uid="{00000000-0005-0000-0000-0000EF0F0000}"/>
    <cellStyle name="Normal 2 4 19 4 2 13" xfId="3777" xr:uid="{00000000-0005-0000-0000-0000F00F0000}"/>
    <cellStyle name="Normal 2 4 19 4 2 13 2" xfId="21668" xr:uid="{00000000-0005-0000-0000-0000F10F0000}"/>
    <cellStyle name="Normal 2 4 19 4 2 14" xfId="3778" xr:uid="{00000000-0005-0000-0000-0000F20F0000}"/>
    <cellStyle name="Normal 2 4 19 4 2 14 2" xfId="21669" xr:uid="{00000000-0005-0000-0000-0000F30F0000}"/>
    <cellStyle name="Normal 2 4 19 4 2 15" xfId="21664" xr:uid="{00000000-0005-0000-0000-0000F40F0000}"/>
    <cellStyle name="Normal 2 4 19 4 2 2" xfId="3779" xr:uid="{00000000-0005-0000-0000-0000F50F0000}"/>
    <cellStyle name="Normal 2 4 19 4 2 2 2" xfId="21670" xr:uid="{00000000-0005-0000-0000-0000F60F0000}"/>
    <cellStyle name="Normal 2 4 19 4 2 3" xfId="3780" xr:uid="{00000000-0005-0000-0000-0000F70F0000}"/>
    <cellStyle name="Normal 2 4 19 4 2 3 2" xfId="21671" xr:uid="{00000000-0005-0000-0000-0000F80F0000}"/>
    <cellStyle name="Normal 2 4 19 4 2 4" xfId="3781" xr:uid="{00000000-0005-0000-0000-0000F90F0000}"/>
    <cellStyle name="Normal 2 4 19 4 2 4 2" xfId="21672" xr:uid="{00000000-0005-0000-0000-0000FA0F0000}"/>
    <cellStyle name="Normal 2 4 19 4 2 5" xfId="3782" xr:uid="{00000000-0005-0000-0000-0000FB0F0000}"/>
    <cellStyle name="Normal 2 4 19 4 2 5 2" xfId="21673" xr:uid="{00000000-0005-0000-0000-0000FC0F0000}"/>
    <cellStyle name="Normal 2 4 19 4 2 6" xfId="3783" xr:uid="{00000000-0005-0000-0000-0000FD0F0000}"/>
    <cellStyle name="Normal 2 4 19 4 2 6 2" xfId="21674" xr:uid="{00000000-0005-0000-0000-0000FE0F0000}"/>
    <cellStyle name="Normal 2 4 19 4 2 7" xfId="3784" xr:uid="{00000000-0005-0000-0000-0000FF0F0000}"/>
    <cellStyle name="Normal 2 4 19 4 2 7 2" xfId="21675" xr:uid="{00000000-0005-0000-0000-000000100000}"/>
    <cellStyle name="Normal 2 4 19 4 2 8" xfId="3785" xr:uid="{00000000-0005-0000-0000-000001100000}"/>
    <cellStyle name="Normal 2 4 19 4 2 8 2" xfId="21676" xr:uid="{00000000-0005-0000-0000-000002100000}"/>
    <cellStyle name="Normal 2 4 19 4 2 9" xfId="3786" xr:uid="{00000000-0005-0000-0000-000003100000}"/>
    <cellStyle name="Normal 2 4 19 4 2 9 2" xfId="21677" xr:uid="{00000000-0005-0000-0000-000004100000}"/>
    <cellStyle name="Normal 2 4 19 4 3" xfId="3787" xr:uid="{00000000-0005-0000-0000-000005100000}"/>
    <cellStyle name="Normal 2 4 19 4 3 2" xfId="21678" xr:uid="{00000000-0005-0000-0000-000006100000}"/>
    <cellStyle name="Normal 2 4 19 4 4" xfId="3788" xr:uid="{00000000-0005-0000-0000-000007100000}"/>
    <cellStyle name="Normal 2 4 19 4 4 2" xfId="21679" xr:uid="{00000000-0005-0000-0000-000008100000}"/>
    <cellStyle name="Normal 2 4 19 4 5" xfId="3789" xr:uid="{00000000-0005-0000-0000-000009100000}"/>
    <cellStyle name="Normal 2 4 19 4 5 2" xfId="21680" xr:uid="{00000000-0005-0000-0000-00000A100000}"/>
    <cellStyle name="Normal 2 4 19 4 6" xfId="3790" xr:uid="{00000000-0005-0000-0000-00000B100000}"/>
    <cellStyle name="Normal 2 4 19 4 6 2" xfId="21681" xr:uid="{00000000-0005-0000-0000-00000C100000}"/>
    <cellStyle name="Normal 2 4 19 4 7" xfId="3791" xr:uid="{00000000-0005-0000-0000-00000D100000}"/>
    <cellStyle name="Normal 2 4 19 4 7 2" xfId="21682" xr:uid="{00000000-0005-0000-0000-00000E100000}"/>
    <cellStyle name="Normal 2 4 19 4 8" xfId="3792" xr:uid="{00000000-0005-0000-0000-00000F100000}"/>
    <cellStyle name="Normal 2 4 19 4 8 2" xfId="21683" xr:uid="{00000000-0005-0000-0000-000010100000}"/>
    <cellStyle name="Normal 2 4 19 4 9" xfId="3793" xr:uid="{00000000-0005-0000-0000-000011100000}"/>
    <cellStyle name="Normal 2 4 19 4 9 2" xfId="21684" xr:uid="{00000000-0005-0000-0000-000012100000}"/>
    <cellStyle name="Normal 2 4 19 5" xfId="3794" xr:uid="{00000000-0005-0000-0000-000013100000}"/>
    <cellStyle name="Normal 2 4 19 5 10" xfId="3795" xr:uid="{00000000-0005-0000-0000-000014100000}"/>
    <cellStyle name="Normal 2 4 19 5 10 2" xfId="21686" xr:uid="{00000000-0005-0000-0000-000015100000}"/>
    <cellStyle name="Normal 2 4 19 5 11" xfId="3796" xr:uid="{00000000-0005-0000-0000-000016100000}"/>
    <cellStyle name="Normal 2 4 19 5 11 2" xfId="21687" xr:uid="{00000000-0005-0000-0000-000017100000}"/>
    <cellStyle name="Normal 2 4 19 5 12" xfId="3797" xr:uid="{00000000-0005-0000-0000-000018100000}"/>
    <cellStyle name="Normal 2 4 19 5 12 2" xfId="21688" xr:uid="{00000000-0005-0000-0000-000019100000}"/>
    <cellStyle name="Normal 2 4 19 5 13" xfId="3798" xr:uid="{00000000-0005-0000-0000-00001A100000}"/>
    <cellStyle name="Normal 2 4 19 5 13 2" xfId="21689" xr:uid="{00000000-0005-0000-0000-00001B100000}"/>
    <cellStyle name="Normal 2 4 19 5 14" xfId="3799" xr:uid="{00000000-0005-0000-0000-00001C100000}"/>
    <cellStyle name="Normal 2 4 19 5 14 2" xfId="21690" xr:uid="{00000000-0005-0000-0000-00001D100000}"/>
    <cellStyle name="Normal 2 4 19 5 15" xfId="21685" xr:uid="{00000000-0005-0000-0000-00001E100000}"/>
    <cellStyle name="Normal 2 4 19 5 2" xfId="3800" xr:uid="{00000000-0005-0000-0000-00001F100000}"/>
    <cellStyle name="Normal 2 4 19 5 2 2" xfId="21691" xr:uid="{00000000-0005-0000-0000-000020100000}"/>
    <cellStyle name="Normal 2 4 19 5 3" xfId="3801" xr:uid="{00000000-0005-0000-0000-000021100000}"/>
    <cellStyle name="Normal 2 4 19 5 3 2" xfId="21692" xr:uid="{00000000-0005-0000-0000-000022100000}"/>
    <cellStyle name="Normal 2 4 19 5 4" xfId="3802" xr:uid="{00000000-0005-0000-0000-000023100000}"/>
    <cellStyle name="Normal 2 4 19 5 4 2" xfId="21693" xr:uid="{00000000-0005-0000-0000-000024100000}"/>
    <cellStyle name="Normal 2 4 19 5 5" xfId="3803" xr:uid="{00000000-0005-0000-0000-000025100000}"/>
    <cellStyle name="Normal 2 4 19 5 5 2" xfId="21694" xr:uid="{00000000-0005-0000-0000-000026100000}"/>
    <cellStyle name="Normal 2 4 19 5 6" xfId="3804" xr:uid="{00000000-0005-0000-0000-000027100000}"/>
    <cellStyle name="Normal 2 4 19 5 6 2" xfId="21695" xr:uid="{00000000-0005-0000-0000-000028100000}"/>
    <cellStyle name="Normal 2 4 19 5 7" xfId="3805" xr:uid="{00000000-0005-0000-0000-000029100000}"/>
    <cellStyle name="Normal 2 4 19 5 7 2" xfId="21696" xr:uid="{00000000-0005-0000-0000-00002A100000}"/>
    <cellStyle name="Normal 2 4 19 5 8" xfId="3806" xr:uid="{00000000-0005-0000-0000-00002B100000}"/>
    <cellStyle name="Normal 2 4 19 5 8 2" xfId="21697" xr:uid="{00000000-0005-0000-0000-00002C100000}"/>
    <cellStyle name="Normal 2 4 19 5 9" xfId="3807" xr:uid="{00000000-0005-0000-0000-00002D100000}"/>
    <cellStyle name="Normal 2 4 19 5 9 2" xfId="21698" xr:uid="{00000000-0005-0000-0000-00002E100000}"/>
    <cellStyle name="Normal 2 4 19 6" xfId="3808" xr:uid="{00000000-0005-0000-0000-00002F100000}"/>
    <cellStyle name="Normal 2 4 19 6 10" xfId="3809" xr:uid="{00000000-0005-0000-0000-000030100000}"/>
    <cellStyle name="Normal 2 4 19 6 10 2" xfId="21700" xr:uid="{00000000-0005-0000-0000-000031100000}"/>
    <cellStyle name="Normal 2 4 19 6 11" xfId="3810" xr:uid="{00000000-0005-0000-0000-000032100000}"/>
    <cellStyle name="Normal 2 4 19 6 11 2" xfId="21701" xr:uid="{00000000-0005-0000-0000-000033100000}"/>
    <cellStyle name="Normal 2 4 19 6 12" xfId="3811" xr:uid="{00000000-0005-0000-0000-000034100000}"/>
    <cellStyle name="Normal 2 4 19 6 12 2" xfId="21702" xr:uid="{00000000-0005-0000-0000-000035100000}"/>
    <cellStyle name="Normal 2 4 19 6 13" xfId="3812" xr:uid="{00000000-0005-0000-0000-000036100000}"/>
    <cellStyle name="Normal 2 4 19 6 13 2" xfId="21703" xr:uid="{00000000-0005-0000-0000-000037100000}"/>
    <cellStyle name="Normal 2 4 19 6 14" xfId="3813" xr:uid="{00000000-0005-0000-0000-000038100000}"/>
    <cellStyle name="Normal 2 4 19 6 14 2" xfId="21704" xr:uid="{00000000-0005-0000-0000-000039100000}"/>
    <cellStyle name="Normal 2 4 19 6 15" xfId="21699" xr:uid="{00000000-0005-0000-0000-00003A100000}"/>
    <cellStyle name="Normal 2 4 19 6 2" xfId="3814" xr:uid="{00000000-0005-0000-0000-00003B100000}"/>
    <cellStyle name="Normal 2 4 19 6 2 2" xfId="21705" xr:uid="{00000000-0005-0000-0000-00003C100000}"/>
    <cellStyle name="Normal 2 4 19 6 3" xfId="3815" xr:uid="{00000000-0005-0000-0000-00003D100000}"/>
    <cellStyle name="Normal 2 4 19 6 3 2" xfId="21706" xr:uid="{00000000-0005-0000-0000-00003E100000}"/>
    <cellStyle name="Normal 2 4 19 6 4" xfId="3816" xr:uid="{00000000-0005-0000-0000-00003F100000}"/>
    <cellStyle name="Normal 2 4 19 6 4 2" xfId="21707" xr:uid="{00000000-0005-0000-0000-000040100000}"/>
    <cellStyle name="Normal 2 4 19 6 5" xfId="3817" xr:uid="{00000000-0005-0000-0000-000041100000}"/>
    <cellStyle name="Normal 2 4 19 6 5 2" xfId="21708" xr:uid="{00000000-0005-0000-0000-000042100000}"/>
    <cellStyle name="Normal 2 4 19 6 6" xfId="3818" xr:uid="{00000000-0005-0000-0000-000043100000}"/>
    <cellStyle name="Normal 2 4 19 6 6 2" xfId="21709" xr:uid="{00000000-0005-0000-0000-000044100000}"/>
    <cellStyle name="Normal 2 4 19 6 7" xfId="3819" xr:uid="{00000000-0005-0000-0000-000045100000}"/>
    <cellStyle name="Normal 2 4 19 6 7 2" xfId="21710" xr:uid="{00000000-0005-0000-0000-000046100000}"/>
    <cellStyle name="Normal 2 4 19 6 8" xfId="3820" xr:uid="{00000000-0005-0000-0000-000047100000}"/>
    <cellStyle name="Normal 2 4 19 6 8 2" xfId="21711" xr:uid="{00000000-0005-0000-0000-000048100000}"/>
    <cellStyle name="Normal 2 4 19 6 9" xfId="3821" xr:uid="{00000000-0005-0000-0000-000049100000}"/>
    <cellStyle name="Normal 2 4 19 6 9 2" xfId="21712" xr:uid="{00000000-0005-0000-0000-00004A100000}"/>
    <cellStyle name="Normal 2 4 19 7" xfId="3822" xr:uid="{00000000-0005-0000-0000-00004B100000}"/>
    <cellStyle name="Normal 2 4 19 7 10" xfId="3823" xr:uid="{00000000-0005-0000-0000-00004C100000}"/>
    <cellStyle name="Normal 2 4 19 7 10 2" xfId="21714" xr:uid="{00000000-0005-0000-0000-00004D100000}"/>
    <cellStyle name="Normal 2 4 19 7 11" xfId="3824" xr:uid="{00000000-0005-0000-0000-00004E100000}"/>
    <cellStyle name="Normal 2 4 19 7 11 2" xfId="21715" xr:uid="{00000000-0005-0000-0000-00004F100000}"/>
    <cellStyle name="Normal 2 4 19 7 12" xfId="3825" xr:uid="{00000000-0005-0000-0000-000050100000}"/>
    <cellStyle name="Normal 2 4 19 7 12 2" xfId="21716" xr:uid="{00000000-0005-0000-0000-000051100000}"/>
    <cellStyle name="Normal 2 4 19 7 13" xfId="3826" xr:uid="{00000000-0005-0000-0000-000052100000}"/>
    <cellStyle name="Normal 2 4 19 7 13 2" xfId="21717" xr:uid="{00000000-0005-0000-0000-000053100000}"/>
    <cellStyle name="Normal 2 4 19 7 14" xfId="3827" xr:uid="{00000000-0005-0000-0000-000054100000}"/>
    <cellStyle name="Normal 2 4 19 7 14 2" xfId="21718" xr:uid="{00000000-0005-0000-0000-000055100000}"/>
    <cellStyle name="Normal 2 4 19 7 15" xfId="21713" xr:uid="{00000000-0005-0000-0000-000056100000}"/>
    <cellStyle name="Normal 2 4 19 7 2" xfId="3828" xr:uid="{00000000-0005-0000-0000-000057100000}"/>
    <cellStyle name="Normal 2 4 19 7 2 2" xfId="21719" xr:uid="{00000000-0005-0000-0000-000058100000}"/>
    <cellStyle name="Normal 2 4 19 7 3" xfId="3829" xr:uid="{00000000-0005-0000-0000-000059100000}"/>
    <cellStyle name="Normal 2 4 19 7 3 2" xfId="21720" xr:uid="{00000000-0005-0000-0000-00005A100000}"/>
    <cellStyle name="Normal 2 4 19 7 4" xfId="3830" xr:uid="{00000000-0005-0000-0000-00005B100000}"/>
    <cellStyle name="Normal 2 4 19 7 4 2" xfId="21721" xr:uid="{00000000-0005-0000-0000-00005C100000}"/>
    <cellStyle name="Normal 2 4 19 7 5" xfId="3831" xr:uid="{00000000-0005-0000-0000-00005D100000}"/>
    <cellStyle name="Normal 2 4 19 7 5 2" xfId="21722" xr:uid="{00000000-0005-0000-0000-00005E100000}"/>
    <cellStyle name="Normal 2 4 19 7 6" xfId="3832" xr:uid="{00000000-0005-0000-0000-00005F100000}"/>
    <cellStyle name="Normal 2 4 19 7 6 2" xfId="21723" xr:uid="{00000000-0005-0000-0000-000060100000}"/>
    <cellStyle name="Normal 2 4 19 7 7" xfId="3833" xr:uid="{00000000-0005-0000-0000-000061100000}"/>
    <cellStyle name="Normal 2 4 19 7 7 2" xfId="21724" xr:uid="{00000000-0005-0000-0000-000062100000}"/>
    <cellStyle name="Normal 2 4 19 7 8" xfId="3834" xr:uid="{00000000-0005-0000-0000-000063100000}"/>
    <cellStyle name="Normal 2 4 19 7 8 2" xfId="21725" xr:uid="{00000000-0005-0000-0000-000064100000}"/>
    <cellStyle name="Normal 2 4 19 7 9" xfId="3835" xr:uid="{00000000-0005-0000-0000-000065100000}"/>
    <cellStyle name="Normal 2 4 19 7 9 2" xfId="21726" xr:uid="{00000000-0005-0000-0000-000066100000}"/>
    <cellStyle name="Normal 2 4 19 8" xfId="3836" xr:uid="{00000000-0005-0000-0000-000067100000}"/>
    <cellStyle name="Normal 2 4 19 8 10" xfId="3837" xr:uid="{00000000-0005-0000-0000-000068100000}"/>
    <cellStyle name="Normal 2 4 19 8 10 2" xfId="21728" xr:uid="{00000000-0005-0000-0000-000069100000}"/>
    <cellStyle name="Normal 2 4 19 8 11" xfId="3838" xr:uid="{00000000-0005-0000-0000-00006A100000}"/>
    <cellStyle name="Normal 2 4 19 8 11 2" xfId="21729" xr:uid="{00000000-0005-0000-0000-00006B100000}"/>
    <cellStyle name="Normal 2 4 19 8 12" xfId="3839" xr:uid="{00000000-0005-0000-0000-00006C100000}"/>
    <cellStyle name="Normal 2 4 19 8 12 2" xfId="21730" xr:uid="{00000000-0005-0000-0000-00006D100000}"/>
    <cellStyle name="Normal 2 4 19 8 13" xfId="3840" xr:uid="{00000000-0005-0000-0000-00006E100000}"/>
    <cellStyle name="Normal 2 4 19 8 13 2" xfId="21731" xr:uid="{00000000-0005-0000-0000-00006F100000}"/>
    <cellStyle name="Normal 2 4 19 8 14" xfId="3841" xr:uid="{00000000-0005-0000-0000-000070100000}"/>
    <cellStyle name="Normal 2 4 19 8 14 2" xfId="21732" xr:uid="{00000000-0005-0000-0000-000071100000}"/>
    <cellStyle name="Normal 2 4 19 8 15" xfId="21727" xr:uid="{00000000-0005-0000-0000-000072100000}"/>
    <cellStyle name="Normal 2 4 19 8 2" xfId="3842" xr:uid="{00000000-0005-0000-0000-000073100000}"/>
    <cellStyle name="Normal 2 4 19 8 2 2" xfId="21733" xr:uid="{00000000-0005-0000-0000-000074100000}"/>
    <cellStyle name="Normal 2 4 19 8 3" xfId="3843" xr:uid="{00000000-0005-0000-0000-000075100000}"/>
    <cellStyle name="Normal 2 4 19 8 3 2" xfId="21734" xr:uid="{00000000-0005-0000-0000-000076100000}"/>
    <cellStyle name="Normal 2 4 19 8 4" xfId="3844" xr:uid="{00000000-0005-0000-0000-000077100000}"/>
    <cellStyle name="Normal 2 4 19 8 4 2" xfId="21735" xr:uid="{00000000-0005-0000-0000-000078100000}"/>
    <cellStyle name="Normal 2 4 19 8 5" xfId="3845" xr:uid="{00000000-0005-0000-0000-000079100000}"/>
    <cellStyle name="Normal 2 4 19 8 5 2" xfId="21736" xr:uid="{00000000-0005-0000-0000-00007A100000}"/>
    <cellStyle name="Normal 2 4 19 8 6" xfId="3846" xr:uid="{00000000-0005-0000-0000-00007B100000}"/>
    <cellStyle name="Normal 2 4 19 8 6 2" xfId="21737" xr:uid="{00000000-0005-0000-0000-00007C100000}"/>
    <cellStyle name="Normal 2 4 19 8 7" xfId="3847" xr:uid="{00000000-0005-0000-0000-00007D100000}"/>
    <cellStyle name="Normal 2 4 19 8 7 2" xfId="21738" xr:uid="{00000000-0005-0000-0000-00007E100000}"/>
    <cellStyle name="Normal 2 4 19 8 8" xfId="3848" xr:uid="{00000000-0005-0000-0000-00007F100000}"/>
    <cellStyle name="Normal 2 4 19 8 8 2" xfId="21739" xr:uid="{00000000-0005-0000-0000-000080100000}"/>
    <cellStyle name="Normal 2 4 19 8 9" xfId="3849" xr:uid="{00000000-0005-0000-0000-000081100000}"/>
    <cellStyle name="Normal 2 4 19 8 9 2" xfId="21740" xr:uid="{00000000-0005-0000-0000-000082100000}"/>
    <cellStyle name="Normal 2 4 19 9" xfId="3850" xr:uid="{00000000-0005-0000-0000-000083100000}"/>
    <cellStyle name="Normal 2 4 19 9 10" xfId="3851" xr:uid="{00000000-0005-0000-0000-000084100000}"/>
    <cellStyle name="Normal 2 4 19 9 10 2" xfId="21742" xr:uid="{00000000-0005-0000-0000-000085100000}"/>
    <cellStyle name="Normal 2 4 19 9 11" xfId="3852" xr:uid="{00000000-0005-0000-0000-000086100000}"/>
    <cellStyle name="Normal 2 4 19 9 11 2" xfId="21743" xr:uid="{00000000-0005-0000-0000-000087100000}"/>
    <cellStyle name="Normal 2 4 19 9 12" xfId="3853" xr:uid="{00000000-0005-0000-0000-000088100000}"/>
    <cellStyle name="Normal 2 4 19 9 12 2" xfId="21744" xr:uid="{00000000-0005-0000-0000-000089100000}"/>
    <cellStyle name="Normal 2 4 19 9 13" xfId="3854" xr:uid="{00000000-0005-0000-0000-00008A100000}"/>
    <cellStyle name="Normal 2 4 19 9 13 2" xfId="21745" xr:uid="{00000000-0005-0000-0000-00008B100000}"/>
    <cellStyle name="Normal 2 4 19 9 14" xfId="3855" xr:uid="{00000000-0005-0000-0000-00008C100000}"/>
    <cellStyle name="Normal 2 4 19 9 14 2" xfId="21746" xr:uid="{00000000-0005-0000-0000-00008D100000}"/>
    <cellStyle name="Normal 2 4 19 9 15" xfId="21741" xr:uid="{00000000-0005-0000-0000-00008E100000}"/>
    <cellStyle name="Normal 2 4 19 9 2" xfId="3856" xr:uid="{00000000-0005-0000-0000-00008F100000}"/>
    <cellStyle name="Normal 2 4 19 9 2 2" xfId="21747" xr:uid="{00000000-0005-0000-0000-000090100000}"/>
    <cellStyle name="Normal 2 4 19 9 3" xfId="3857" xr:uid="{00000000-0005-0000-0000-000091100000}"/>
    <cellStyle name="Normal 2 4 19 9 3 2" xfId="21748" xr:uid="{00000000-0005-0000-0000-000092100000}"/>
    <cellStyle name="Normal 2 4 19 9 4" xfId="3858" xr:uid="{00000000-0005-0000-0000-000093100000}"/>
    <cellStyle name="Normal 2 4 19 9 4 2" xfId="21749" xr:uid="{00000000-0005-0000-0000-000094100000}"/>
    <cellStyle name="Normal 2 4 19 9 5" xfId="3859" xr:uid="{00000000-0005-0000-0000-000095100000}"/>
    <cellStyle name="Normal 2 4 19 9 5 2" xfId="21750" xr:uid="{00000000-0005-0000-0000-000096100000}"/>
    <cellStyle name="Normal 2 4 19 9 6" xfId="3860" xr:uid="{00000000-0005-0000-0000-000097100000}"/>
    <cellStyle name="Normal 2 4 19 9 6 2" xfId="21751" xr:uid="{00000000-0005-0000-0000-000098100000}"/>
    <cellStyle name="Normal 2 4 19 9 7" xfId="3861" xr:uid="{00000000-0005-0000-0000-000099100000}"/>
    <cellStyle name="Normal 2 4 19 9 7 2" xfId="21752" xr:uid="{00000000-0005-0000-0000-00009A100000}"/>
    <cellStyle name="Normal 2 4 19 9 8" xfId="3862" xr:uid="{00000000-0005-0000-0000-00009B100000}"/>
    <cellStyle name="Normal 2 4 19 9 8 2" xfId="21753" xr:uid="{00000000-0005-0000-0000-00009C100000}"/>
    <cellStyle name="Normal 2 4 19 9 9" xfId="3863" xr:uid="{00000000-0005-0000-0000-00009D100000}"/>
    <cellStyle name="Normal 2 4 19 9 9 2" xfId="21754" xr:uid="{00000000-0005-0000-0000-00009E100000}"/>
    <cellStyle name="Normal 2 4 2" xfId="47" xr:uid="{00000000-0005-0000-0000-00009F100000}"/>
    <cellStyle name="Normal 2 4 2 10" xfId="3864" xr:uid="{00000000-0005-0000-0000-0000A0100000}"/>
    <cellStyle name="Normal 2 4 2 11" xfId="3865" xr:uid="{00000000-0005-0000-0000-0000A1100000}"/>
    <cellStyle name="Normal 2 4 2 12" xfId="3866" xr:uid="{00000000-0005-0000-0000-0000A2100000}"/>
    <cellStyle name="Normal 2 4 2 13" xfId="3867" xr:uid="{00000000-0005-0000-0000-0000A3100000}"/>
    <cellStyle name="Normal 2 4 2 14" xfId="3868" xr:uid="{00000000-0005-0000-0000-0000A4100000}"/>
    <cellStyle name="Normal 2 4 2 15" xfId="3869" xr:uid="{00000000-0005-0000-0000-0000A5100000}"/>
    <cellStyle name="Normal 2 4 2 16" xfId="3870" xr:uid="{00000000-0005-0000-0000-0000A6100000}"/>
    <cellStyle name="Normal 2 4 2 16 10" xfId="3871" xr:uid="{00000000-0005-0000-0000-0000A7100000}"/>
    <cellStyle name="Normal 2 4 2 16 10 2" xfId="21757" xr:uid="{00000000-0005-0000-0000-0000A8100000}"/>
    <cellStyle name="Normal 2 4 2 16 11" xfId="3872" xr:uid="{00000000-0005-0000-0000-0000A9100000}"/>
    <cellStyle name="Normal 2 4 2 16 11 2" xfId="21758" xr:uid="{00000000-0005-0000-0000-0000AA100000}"/>
    <cellStyle name="Normal 2 4 2 16 12" xfId="3873" xr:uid="{00000000-0005-0000-0000-0000AB100000}"/>
    <cellStyle name="Normal 2 4 2 16 12 2" xfId="21759" xr:uid="{00000000-0005-0000-0000-0000AC100000}"/>
    <cellStyle name="Normal 2 4 2 16 13" xfId="3874" xr:uid="{00000000-0005-0000-0000-0000AD100000}"/>
    <cellStyle name="Normal 2 4 2 16 13 2" xfId="21760" xr:uid="{00000000-0005-0000-0000-0000AE100000}"/>
    <cellStyle name="Normal 2 4 2 16 14" xfId="3875" xr:uid="{00000000-0005-0000-0000-0000AF100000}"/>
    <cellStyle name="Normal 2 4 2 16 14 2" xfId="21761" xr:uid="{00000000-0005-0000-0000-0000B0100000}"/>
    <cellStyle name="Normal 2 4 2 16 15" xfId="3876" xr:uid="{00000000-0005-0000-0000-0000B1100000}"/>
    <cellStyle name="Normal 2 4 2 16 15 2" xfId="21762" xr:uid="{00000000-0005-0000-0000-0000B2100000}"/>
    <cellStyle name="Normal 2 4 2 16 16" xfId="3877" xr:uid="{00000000-0005-0000-0000-0000B3100000}"/>
    <cellStyle name="Normal 2 4 2 16 16 2" xfId="21763" xr:uid="{00000000-0005-0000-0000-0000B4100000}"/>
    <cellStyle name="Normal 2 4 2 16 17" xfId="3878" xr:uid="{00000000-0005-0000-0000-0000B5100000}"/>
    <cellStyle name="Normal 2 4 2 16 17 2" xfId="21764" xr:uid="{00000000-0005-0000-0000-0000B6100000}"/>
    <cellStyle name="Normal 2 4 2 16 18" xfId="21756" xr:uid="{00000000-0005-0000-0000-0000B7100000}"/>
    <cellStyle name="Normal 2 4 2 16 2" xfId="3879" xr:uid="{00000000-0005-0000-0000-0000B8100000}"/>
    <cellStyle name="Normal 2 4 2 16 3" xfId="3880" xr:uid="{00000000-0005-0000-0000-0000B9100000}"/>
    <cellStyle name="Normal 2 4 2 16 4" xfId="3881" xr:uid="{00000000-0005-0000-0000-0000BA100000}"/>
    <cellStyle name="Normal 2 4 2 16 5" xfId="3882" xr:uid="{00000000-0005-0000-0000-0000BB100000}"/>
    <cellStyle name="Normal 2 4 2 16 5 2" xfId="21765" xr:uid="{00000000-0005-0000-0000-0000BC100000}"/>
    <cellStyle name="Normal 2 4 2 16 6" xfId="3883" xr:uid="{00000000-0005-0000-0000-0000BD100000}"/>
    <cellStyle name="Normal 2 4 2 16 6 2" xfId="21766" xr:uid="{00000000-0005-0000-0000-0000BE100000}"/>
    <cellStyle name="Normal 2 4 2 16 7" xfId="3884" xr:uid="{00000000-0005-0000-0000-0000BF100000}"/>
    <cellStyle name="Normal 2 4 2 16 7 2" xfId="21767" xr:uid="{00000000-0005-0000-0000-0000C0100000}"/>
    <cellStyle name="Normal 2 4 2 16 8" xfId="3885" xr:uid="{00000000-0005-0000-0000-0000C1100000}"/>
    <cellStyle name="Normal 2 4 2 16 8 2" xfId="21768" xr:uid="{00000000-0005-0000-0000-0000C2100000}"/>
    <cellStyle name="Normal 2 4 2 16 9" xfId="3886" xr:uid="{00000000-0005-0000-0000-0000C3100000}"/>
    <cellStyle name="Normal 2 4 2 16 9 2" xfId="21769" xr:uid="{00000000-0005-0000-0000-0000C4100000}"/>
    <cellStyle name="Normal 2 4 2 17" xfId="3887" xr:uid="{00000000-0005-0000-0000-0000C5100000}"/>
    <cellStyle name="Normal 2 4 2 18" xfId="3888" xr:uid="{00000000-0005-0000-0000-0000C6100000}"/>
    <cellStyle name="Normal 2 4 2 19" xfId="3889" xr:uid="{00000000-0005-0000-0000-0000C7100000}"/>
    <cellStyle name="Normal 2 4 2 19 10" xfId="3890" xr:uid="{00000000-0005-0000-0000-0000C8100000}"/>
    <cellStyle name="Normal 2 4 2 19 10 2" xfId="21771" xr:uid="{00000000-0005-0000-0000-0000C9100000}"/>
    <cellStyle name="Normal 2 4 2 19 11" xfId="3891" xr:uid="{00000000-0005-0000-0000-0000CA100000}"/>
    <cellStyle name="Normal 2 4 2 19 11 2" xfId="21772" xr:uid="{00000000-0005-0000-0000-0000CB100000}"/>
    <cellStyle name="Normal 2 4 2 19 12" xfId="3892" xr:uid="{00000000-0005-0000-0000-0000CC100000}"/>
    <cellStyle name="Normal 2 4 2 19 12 2" xfId="21773" xr:uid="{00000000-0005-0000-0000-0000CD100000}"/>
    <cellStyle name="Normal 2 4 2 19 13" xfId="3893" xr:uid="{00000000-0005-0000-0000-0000CE100000}"/>
    <cellStyle name="Normal 2 4 2 19 13 2" xfId="21774" xr:uid="{00000000-0005-0000-0000-0000CF100000}"/>
    <cellStyle name="Normal 2 4 2 19 14" xfId="3894" xr:uid="{00000000-0005-0000-0000-0000D0100000}"/>
    <cellStyle name="Normal 2 4 2 19 14 2" xfId="21775" xr:uid="{00000000-0005-0000-0000-0000D1100000}"/>
    <cellStyle name="Normal 2 4 2 19 15" xfId="3895" xr:uid="{00000000-0005-0000-0000-0000D2100000}"/>
    <cellStyle name="Normal 2 4 2 19 15 2" xfId="21776" xr:uid="{00000000-0005-0000-0000-0000D3100000}"/>
    <cellStyle name="Normal 2 4 2 19 16" xfId="21770" xr:uid="{00000000-0005-0000-0000-0000D4100000}"/>
    <cellStyle name="Normal 2 4 2 19 2" xfId="3896" xr:uid="{00000000-0005-0000-0000-0000D5100000}"/>
    <cellStyle name="Normal 2 4 2 19 2 10" xfId="3897" xr:uid="{00000000-0005-0000-0000-0000D6100000}"/>
    <cellStyle name="Normal 2 4 2 19 2 10 2" xfId="21778" xr:uid="{00000000-0005-0000-0000-0000D7100000}"/>
    <cellStyle name="Normal 2 4 2 19 2 11" xfId="3898" xr:uid="{00000000-0005-0000-0000-0000D8100000}"/>
    <cellStyle name="Normal 2 4 2 19 2 11 2" xfId="21779" xr:uid="{00000000-0005-0000-0000-0000D9100000}"/>
    <cellStyle name="Normal 2 4 2 19 2 12" xfId="3899" xr:uid="{00000000-0005-0000-0000-0000DA100000}"/>
    <cellStyle name="Normal 2 4 2 19 2 12 2" xfId="21780" xr:uid="{00000000-0005-0000-0000-0000DB100000}"/>
    <cellStyle name="Normal 2 4 2 19 2 13" xfId="3900" xr:uid="{00000000-0005-0000-0000-0000DC100000}"/>
    <cellStyle name="Normal 2 4 2 19 2 13 2" xfId="21781" xr:uid="{00000000-0005-0000-0000-0000DD100000}"/>
    <cellStyle name="Normal 2 4 2 19 2 14" xfId="3901" xr:uid="{00000000-0005-0000-0000-0000DE100000}"/>
    <cellStyle name="Normal 2 4 2 19 2 14 2" xfId="21782" xr:uid="{00000000-0005-0000-0000-0000DF100000}"/>
    <cellStyle name="Normal 2 4 2 19 2 15" xfId="21777" xr:uid="{00000000-0005-0000-0000-0000E0100000}"/>
    <cellStyle name="Normal 2 4 2 19 2 2" xfId="3902" xr:uid="{00000000-0005-0000-0000-0000E1100000}"/>
    <cellStyle name="Normal 2 4 2 19 2 2 2" xfId="21783" xr:uid="{00000000-0005-0000-0000-0000E2100000}"/>
    <cellStyle name="Normal 2 4 2 19 2 3" xfId="3903" xr:uid="{00000000-0005-0000-0000-0000E3100000}"/>
    <cellStyle name="Normal 2 4 2 19 2 3 2" xfId="21784" xr:uid="{00000000-0005-0000-0000-0000E4100000}"/>
    <cellStyle name="Normal 2 4 2 19 2 4" xfId="3904" xr:uid="{00000000-0005-0000-0000-0000E5100000}"/>
    <cellStyle name="Normal 2 4 2 19 2 4 2" xfId="21785" xr:uid="{00000000-0005-0000-0000-0000E6100000}"/>
    <cellStyle name="Normal 2 4 2 19 2 5" xfId="3905" xr:uid="{00000000-0005-0000-0000-0000E7100000}"/>
    <cellStyle name="Normal 2 4 2 19 2 5 2" xfId="21786" xr:uid="{00000000-0005-0000-0000-0000E8100000}"/>
    <cellStyle name="Normal 2 4 2 19 2 6" xfId="3906" xr:uid="{00000000-0005-0000-0000-0000E9100000}"/>
    <cellStyle name="Normal 2 4 2 19 2 6 2" xfId="21787" xr:uid="{00000000-0005-0000-0000-0000EA100000}"/>
    <cellStyle name="Normal 2 4 2 19 2 7" xfId="3907" xr:uid="{00000000-0005-0000-0000-0000EB100000}"/>
    <cellStyle name="Normal 2 4 2 19 2 7 2" xfId="21788" xr:uid="{00000000-0005-0000-0000-0000EC100000}"/>
    <cellStyle name="Normal 2 4 2 19 2 8" xfId="3908" xr:uid="{00000000-0005-0000-0000-0000ED100000}"/>
    <cellStyle name="Normal 2 4 2 19 2 8 2" xfId="21789" xr:uid="{00000000-0005-0000-0000-0000EE100000}"/>
    <cellStyle name="Normal 2 4 2 19 2 9" xfId="3909" xr:uid="{00000000-0005-0000-0000-0000EF100000}"/>
    <cellStyle name="Normal 2 4 2 19 2 9 2" xfId="21790" xr:uid="{00000000-0005-0000-0000-0000F0100000}"/>
    <cellStyle name="Normal 2 4 2 19 3" xfId="3910" xr:uid="{00000000-0005-0000-0000-0000F1100000}"/>
    <cellStyle name="Normal 2 4 2 19 3 2" xfId="21791" xr:uid="{00000000-0005-0000-0000-0000F2100000}"/>
    <cellStyle name="Normal 2 4 2 19 4" xfId="3911" xr:uid="{00000000-0005-0000-0000-0000F3100000}"/>
    <cellStyle name="Normal 2 4 2 19 4 2" xfId="21792" xr:uid="{00000000-0005-0000-0000-0000F4100000}"/>
    <cellStyle name="Normal 2 4 2 19 5" xfId="3912" xr:uid="{00000000-0005-0000-0000-0000F5100000}"/>
    <cellStyle name="Normal 2 4 2 19 5 2" xfId="21793" xr:uid="{00000000-0005-0000-0000-0000F6100000}"/>
    <cellStyle name="Normal 2 4 2 19 6" xfId="3913" xr:uid="{00000000-0005-0000-0000-0000F7100000}"/>
    <cellStyle name="Normal 2 4 2 19 6 2" xfId="21794" xr:uid="{00000000-0005-0000-0000-0000F8100000}"/>
    <cellStyle name="Normal 2 4 2 19 7" xfId="3914" xr:uid="{00000000-0005-0000-0000-0000F9100000}"/>
    <cellStyle name="Normal 2 4 2 19 7 2" xfId="21795" xr:uid="{00000000-0005-0000-0000-0000FA100000}"/>
    <cellStyle name="Normal 2 4 2 19 8" xfId="3915" xr:uid="{00000000-0005-0000-0000-0000FB100000}"/>
    <cellStyle name="Normal 2 4 2 19 8 2" xfId="21796" xr:uid="{00000000-0005-0000-0000-0000FC100000}"/>
    <cellStyle name="Normal 2 4 2 19 9" xfId="3916" xr:uid="{00000000-0005-0000-0000-0000FD100000}"/>
    <cellStyle name="Normal 2 4 2 19 9 2" xfId="21797" xr:uid="{00000000-0005-0000-0000-0000FE100000}"/>
    <cellStyle name="Normal 2 4 2 2" xfId="3917" xr:uid="{00000000-0005-0000-0000-0000FF100000}"/>
    <cellStyle name="Normal 2 4 2 2 10" xfId="3918" xr:uid="{00000000-0005-0000-0000-000000110000}"/>
    <cellStyle name="Normal 2 4 2 2 11" xfId="3919" xr:uid="{00000000-0005-0000-0000-000001110000}"/>
    <cellStyle name="Normal 2 4 2 2 12" xfId="3920" xr:uid="{00000000-0005-0000-0000-000002110000}"/>
    <cellStyle name="Normal 2 4 2 2 13" xfId="3921" xr:uid="{00000000-0005-0000-0000-000003110000}"/>
    <cellStyle name="Normal 2 4 2 2 14" xfId="3922" xr:uid="{00000000-0005-0000-0000-000004110000}"/>
    <cellStyle name="Normal 2 4 2 2 2" xfId="3923" xr:uid="{00000000-0005-0000-0000-000005110000}"/>
    <cellStyle name="Normal 2 4 2 2 2 2" xfId="3924" xr:uid="{00000000-0005-0000-0000-000006110000}"/>
    <cellStyle name="Normal 2 4 2 2 2 3" xfId="3925" xr:uid="{00000000-0005-0000-0000-000007110000}"/>
    <cellStyle name="Normal 2 4 2 2 2 4" xfId="3926" xr:uid="{00000000-0005-0000-0000-000008110000}"/>
    <cellStyle name="Normal 2 4 2 2 2 5" xfId="3927" xr:uid="{00000000-0005-0000-0000-000009110000}"/>
    <cellStyle name="Normal 2 4 2 2 2 6" xfId="3928" xr:uid="{00000000-0005-0000-0000-00000A110000}"/>
    <cellStyle name="Normal 2 4 2 2 3" xfId="3929" xr:uid="{00000000-0005-0000-0000-00000B110000}"/>
    <cellStyle name="Normal 2 4 2 2 4" xfId="3930" xr:uid="{00000000-0005-0000-0000-00000C110000}"/>
    <cellStyle name="Normal 2 4 2 2 5" xfId="3931" xr:uid="{00000000-0005-0000-0000-00000D110000}"/>
    <cellStyle name="Normal 2 4 2 2 6" xfId="3932" xr:uid="{00000000-0005-0000-0000-00000E110000}"/>
    <cellStyle name="Normal 2 4 2 2 7" xfId="3933" xr:uid="{00000000-0005-0000-0000-00000F110000}"/>
    <cellStyle name="Normal 2 4 2 2 8" xfId="3934" xr:uid="{00000000-0005-0000-0000-000010110000}"/>
    <cellStyle name="Normal 2 4 2 2 9" xfId="3935" xr:uid="{00000000-0005-0000-0000-000011110000}"/>
    <cellStyle name="Normal 2 4 2 20" xfId="3936" xr:uid="{00000000-0005-0000-0000-000012110000}"/>
    <cellStyle name="Normal 2 4 2 20 10" xfId="3937" xr:uid="{00000000-0005-0000-0000-000013110000}"/>
    <cellStyle name="Normal 2 4 2 20 10 2" xfId="21799" xr:uid="{00000000-0005-0000-0000-000014110000}"/>
    <cellStyle name="Normal 2 4 2 20 11" xfId="3938" xr:uid="{00000000-0005-0000-0000-000015110000}"/>
    <cellStyle name="Normal 2 4 2 20 11 2" xfId="21800" xr:uid="{00000000-0005-0000-0000-000016110000}"/>
    <cellStyle name="Normal 2 4 2 20 12" xfId="3939" xr:uid="{00000000-0005-0000-0000-000017110000}"/>
    <cellStyle name="Normal 2 4 2 20 12 2" xfId="21801" xr:uid="{00000000-0005-0000-0000-000018110000}"/>
    <cellStyle name="Normal 2 4 2 20 13" xfId="3940" xr:uid="{00000000-0005-0000-0000-000019110000}"/>
    <cellStyle name="Normal 2 4 2 20 13 2" xfId="21802" xr:uid="{00000000-0005-0000-0000-00001A110000}"/>
    <cellStyle name="Normal 2 4 2 20 14" xfId="3941" xr:uid="{00000000-0005-0000-0000-00001B110000}"/>
    <cellStyle name="Normal 2 4 2 20 14 2" xfId="21803" xr:uid="{00000000-0005-0000-0000-00001C110000}"/>
    <cellStyle name="Normal 2 4 2 20 15" xfId="3942" xr:uid="{00000000-0005-0000-0000-00001D110000}"/>
    <cellStyle name="Normal 2 4 2 20 15 2" xfId="21804" xr:uid="{00000000-0005-0000-0000-00001E110000}"/>
    <cellStyle name="Normal 2 4 2 20 16" xfId="21798" xr:uid="{00000000-0005-0000-0000-00001F110000}"/>
    <cellStyle name="Normal 2 4 2 20 2" xfId="3943" xr:uid="{00000000-0005-0000-0000-000020110000}"/>
    <cellStyle name="Normal 2 4 2 20 2 10" xfId="3944" xr:uid="{00000000-0005-0000-0000-000021110000}"/>
    <cellStyle name="Normal 2 4 2 20 2 10 2" xfId="21806" xr:uid="{00000000-0005-0000-0000-000022110000}"/>
    <cellStyle name="Normal 2 4 2 20 2 11" xfId="3945" xr:uid="{00000000-0005-0000-0000-000023110000}"/>
    <cellStyle name="Normal 2 4 2 20 2 11 2" xfId="21807" xr:uid="{00000000-0005-0000-0000-000024110000}"/>
    <cellStyle name="Normal 2 4 2 20 2 12" xfId="3946" xr:uid="{00000000-0005-0000-0000-000025110000}"/>
    <cellStyle name="Normal 2 4 2 20 2 12 2" xfId="21808" xr:uid="{00000000-0005-0000-0000-000026110000}"/>
    <cellStyle name="Normal 2 4 2 20 2 13" xfId="3947" xr:uid="{00000000-0005-0000-0000-000027110000}"/>
    <cellStyle name="Normal 2 4 2 20 2 13 2" xfId="21809" xr:uid="{00000000-0005-0000-0000-000028110000}"/>
    <cellStyle name="Normal 2 4 2 20 2 14" xfId="3948" xr:uid="{00000000-0005-0000-0000-000029110000}"/>
    <cellStyle name="Normal 2 4 2 20 2 14 2" xfId="21810" xr:uid="{00000000-0005-0000-0000-00002A110000}"/>
    <cellStyle name="Normal 2 4 2 20 2 15" xfId="21805" xr:uid="{00000000-0005-0000-0000-00002B110000}"/>
    <cellStyle name="Normal 2 4 2 20 2 2" xfId="3949" xr:uid="{00000000-0005-0000-0000-00002C110000}"/>
    <cellStyle name="Normal 2 4 2 20 2 2 2" xfId="21811" xr:uid="{00000000-0005-0000-0000-00002D110000}"/>
    <cellStyle name="Normal 2 4 2 20 2 3" xfId="3950" xr:uid="{00000000-0005-0000-0000-00002E110000}"/>
    <cellStyle name="Normal 2 4 2 20 2 3 2" xfId="21812" xr:uid="{00000000-0005-0000-0000-00002F110000}"/>
    <cellStyle name="Normal 2 4 2 20 2 4" xfId="3951" xr:uid="{00000000-0005-0000-0000-000030110000}"/>
    <cellStyle name="Normal 2 4 2 20 2 4 2" xfId="21813" xr:uid="{00000000-0005-0000-0000-000031110000}"/>
    <cellStyle name="Normal 2 4 2 20 2 5" xfId="3952" xr:uid="{00000000-0005-0000-0000-000032110000}"/>
    <cellStyle name="Normal 2 4 2 20 2 5 2" xfId="21814" xr:uid="{00000000-0005-0000-0000-000033110000}"/>
    <cellStyle name="Normal 2 4 2 20 2 6" xfId="3953" xr:uid="{00000000-0005-0000-0000-000034110000}"/>
    <cellStyle name="Normal 2 4 2 20 2 6 2" xfId="21815" xr:uid="{00000000-0005-0000-0000-000035110000}"/>
    <cellStyle name="Normal 2 4 2 20 2 7" xfId="3954" xr:uid="{00000000-0005-0000-0000-000036110000}"/>
    <cellStyle name="Normal 2 4 2 20 2 7 2" xfId="21816" xr:uid="{00000000-0005-0000-0000-000037110000}"/>
    <cellStyle name="Normal 2 4 2 20 2 8" xfId="3955" xr:uid="{00000000-0005-0000-0000-000038110000}"/>
    <cellStyle name="Normal 2 4 2 20 2 8 2" xfId="21817" xr:uid="{00000000-0005-0000-0000-000039110000}"/>
    <cellStyle name="Normal 2 4 2 20 2 9" xfId="3956" xr:uid="{00000000-0005-0000-0000-00003A110000}"/>
    <cellStyle name="Normal 2 4 2 20 2 9 2" xfId="21818" xr:uid="{00000000-0005-0000-0000-00003B110000}"/>
    <cellStyle name="Normal 2 4 2 20 3" xfId="3957" xr:uid="{00000000-0005-0000-0000-00003C110000}"/>
    <cellStyle name="Normal 2 4 2 20 3 2" xfId="21819" xr:uid="{00000000-0005-0000-0000-00003D110000}"/>
    <cellStyle name="Normal 2 4 2 20 4" xfId="3958" xr:uid="{00000000-0005-0000-0000-00003E110000}"/>
    <cellStyle name="Normal 2 4 2 20 4 2" xfId="21820" xr:uid="{00000000-0005-0000-0000-00003F110000}"/>
    <cellStyle name="Normal 2 4 2 20 5" xfId="3959" xr:uid="{00000000-0005-0000-0000-000040110000}"/>
    <cellStyle name="Normal 2 4 2 20 5 2" xfId="21821" xr:uid="{00000000-0005-0000-0000-000041110000}"/>
    <cellStyle name="Normal 2 4 2 20 6" xfId="3960" xr:uid="{00000000-0005-0000-0000-000042110000}"/>
    <cellStyle name="Normal 2 4 2 20 6 2" xfId="21822" xr:uid="{00000000-0005-0000-0000-000043110000}"/>
    <cellStyle name="Normal 2 4 2 20 7" xfId="3961" xr:uid="{00000000-0005-0000-0000-000044110000}"/>
    <cellStyle name="Normal 2 4 2 20 7 2" xfId="21823" xr:uid="{00000000-0005-0000-0000-000045110000}"/>
    <cellStyle name="Normal 2 4 2 20 8" xfId="3962" xr:uid="{00000000-0005-0000-0000-000046110000}"/>
    <cellStyle name="Normal 2 4 2 20 8 2" xfId="21824" xr:uid="{00000000-0005-0000-0000-000047110000}"/>
    <cellStyle name="Normal 2 4 2 20 9" xfId="3963" xr:uid="{00000000-0005-0000-0000-000048110000}"/>
    <cellStyle name="Normal 2 4 2 20 9 2" xfId="21825" xr:uid="{00000000-0005-0000-0000-000049110000}"/>
    <cellStyle name="Normal 2 4 2 21" xfId="3964" xr:uid="{00000000-0005-0000-0000-00004A110000}"/>
    <cellStyle name="Normal 2 4 2 21 10" xfId="3965" xr:uid="{00000000-0005-0000-0000-00004B110000}"/>
    <cellStyle name="Normal 2 4 2 21 10 2" xfId="21827" xr:uid="{00000000-0005-0000-0000-00004C110000}"/>
    <cellStyle name="Normal 2 4 2 21 11" xfId="3966" xr:uid="{00000000-0005-0000-0000-00004D110000}"/>
    <cellStyle name="Normal 2 4 2 21 11 2" xfId="21828" xr:uid="{00000000-0005-0000-0000-00004E110000}"/>
    <cellStyle name="Normal 2 4 2 21 12" xfId="3967" xr:uid="{00000000-0005-0000-0000-00004F110000}"/>
    <cellStyle name="Normal 2 4 2 21 12 2" xfId="21829" xr:uid="{00000000-0005-0000-0000-000050110000}"/>
    <cellStyle name="Normal 2 4 2 21 13" xfId="3968" xr:uid="{00000000-0005-0000-0000-000051110000}"/>
    <cellStyle name="Normal 2 4 2 21 13 2" xfId="21830" xr:uid="{00000000-0005-0000-0000-000052110000}"/>
    <cellStyle name="Normal 2 4 2 21 14" xfId="3969" xr:uid="{00000000-0005-0000-0000-000053110000}"/>
    <cellStyle name="Normal 2 4 2 21 14 2" xfId="21831" xr:uid="{00000000-0005-0000-0000-000054110000}"/>
    <cellStyle name="Normal 2 4 2 21 15" xfId="3970" xr:uid="{00000000-0005-0000-0000-000055110000}"/>
    <cellStyle name="Normal 2 4 2 21 15 2" xfId="21832" xr:uid="{00000000-0005-0000-0000-000056110000}"/>
    <cellStyle name="Normal 2 4 2 21 16" xfId="21826" xr:uid="{00000000-0005-0000-0000-000057110000}"/>
    <cellStyle name="Normal 2 4 2 21 2" xfId="3971" xr:uid="{00000000-0005-0000-0000-000058110000}"/>
    <cellStyle name="Normal 2 4 2 21 2 10" xfId="3972" xr:uid="{00000000-0005-0000-0000-000059110000}"/>
    <cellStyle name="Normal 2 4 2 21 2 10 2" xfId="21834" xr:uid="{00000000-0005-0000-0000-00005A110000}"/>
    <cellStyle name="Normal 2 4 2 21 2 11" xfId="3973" xr:uid="{00000000-0005-0000-0000-00005B110000}"/>
    <cellStyle name="Normal 2 4 2 21 2 11 2" xfId="21835" xr:uid="{00000000-0005-0000-0000-00005C110000}"/>
    <cellStyle name="Normal 2 4 2 21 2 12" xfId="3974" xr:uid="{00000000-0005-0000-0000-00005D110000}"/>
    <cellStyle name="Normal 2 4 2 21 2 12 2" xfId="21836" xr:uid="{00000000-0005-0000-0000-00005E110000}"/>
    <cellStyle name="Normal 2 4 2 21 2 13" xfId="3975" xr:uid="{00000000-0005-0000-0000-00005F110000}"/>
    <cellStyle name="Normal 2 4 2 21 2 13 2" xfId="21837" xr:uid="{00000000-0005-0000-0000-000060110000}"/>
    <cellStyle name="Normal 2 4 2 21 2 14" xfId="3976" xr:uid="{00000000-0005-0000-0000-000061110000}"/>
    <cellStyle name="Normal 2 4 2 21 2 14 2" xfId="21838" xr:uid="{00000000-0005-0000-0000-000062110000}"/>
    <cellStyle name="Normal 2 4 2 21 2 15" xfId="21833" xr:uid="{00000000-0005-0000-0000-000063110000}"/>
    <cellStyle name="Normal 2 4 2 21 2 2" xfId="3977" xr:uid="{00000000-0005-0000-0000-000064110000}"/>
    <cellStyle name="Normal 2 4 2 21 2 2 2" xfId="21839" xr:uid="{00000000-0005-0000-0000-000065110000}"/>
    <cellStyle name="Normal 2 4 2 21 2 3" xfId="3978" xr:uid="{00000000-0005-0000-0000-000066110000}"/>
    <cellStyle name="Normal 2 4 2 21 2 3 2" xfId="21840" xr:uid="{00000000-0005-0000-0000-000067110000}"/>
    <cellStyle name="Normal 2 4 2 21 2 4" xfId="3979" xr:uid="{00000000-0005-0000-0000-000068110000}"/>
    <cellStyle name="Normal 2 4 2 21 2 4 2" xfId="21841" xr:uid="{00000000-0005-0000-0000-000069110000}"/>
    <cellStyle name="Normal 2 4 2 21 2 5" xfId="3980" xr:uid="{00000000-0005-0000-0000-00006A110000}"/>
    <cellStyle name="Normal 2 4 2 21 2 5 2" xfId="21842" xr:uid="{00000000-0005-0000-0000-00006B110000}"/>
    <cellStyle name="Normal 2 4 2 21 2 6" xfId="3981" xr:uid="{00000000-0005-0000-0000-00006C110000}"/>
    <cellStyle name="Normal 2 4 2 21 2 6 2" xfId="21843" xr:uid="{00000000-0005-0000-0000-00006D110000}"/>
    <cellStyle name="Normal 2 4 2 21 2 7" xfId="3982" xr:uid="{00000000-0005-0000-0000-00006E110000}"/>
    <cellStyle name="Normal 2 4 2 21 2 7 2" xfId="21844" xr:uid="{00000000-0005-0000-0000-00006F110000}"/>
    <cellStyle name="Normal 2 4 2 21 2 8" xfId="3983" xr:uid="{00000000-0005-0000-0000-000070110000}"/>
    <cellStyle name="Normal 2 4 2 21 2 8 2" xfId="21845" xr:uid="{00000000-0005-0000-0000-000071110000}"/>
    <cellStyle name="Normal 2 4 2 21 2 9" xfId="3984" xr:uid="{00000000-0005-0000-0000-000072110000}"/>
    <cellStyle name="Normal 2 4 2 21 2 9 2" xfId="21846" xr:uid="{00000000-0005-0000-0000-000073110000}"/>
    <cellStyle name="Normal 2 4 2 21 3" xfId="3985" xr:uid="{00000000-0005-0000-0000-000074110000}"/>
    <cellStyle name="Normal 2 4 2 21 3 2" xfId="21847" xr:uid="{00000000-0005-0000-0000-000075110000}"/>
    <cellStyle name="Normal 2 4 2 21 4" xfId="3986" xr:uid="{00000000-0005-0000-0000-000076110000}"/>
    <cellStyle name="Normal 2 4 2 21 4 2" xfId="21848" xr:uid="{00000000-0005-0000-0000-000077110000}"/>
    <cellStyle name="Normal 2 4 2 21 5" xfId="3987" xr:uid="{00000000-0005-0000-0000-000078110000}"/>
    <cellStyle name="Normal 2 4 2 21 5 2" xfId="21849" xr:uid="{00000000-0005-0000-0000-000079110000}"/>
    <cellStyle name="Normal 2 4 2 21 6" xfId="3988" xr:uid="{00000000-0005-0000-0000-00007A110000}"/>
    <cellStyle name="Normal 2 4 2 21 6 2" xfId="21850" xr:uid="{00000000-0005-0000-0000-00007B110000}"/>
    <cellStyle name="Normal 2 4 2 21 7" xfId="3989" xr:uid="{00000000-0005-0000-0000-00007C110000}"/>
    <cellStyle name="Normal 2 4 2 21 7 2" xfId="21851" xr:uid="{00000000-0005-0000-0000-00007D110000}"/>
    <cellStyle name="Normal 2 4 2 21 8" xfId="3990" xr:uid="{00000000-0005-0000-0000-00007E110000}"/>
    <cellStyle name="Normal 2 4 2 21 8 2" xfId="21852" xr:uid="{00000000-0005-0000-0000-00007F110000}"/>
    <cellStyle name="Normal 2 4 2 21 9" xfId="3991" xr:uid="{00000000-0005-0000-0000-000080110000}"/>
    <cellStyle name="Normal 2 4 2 21 9 2" xfId="21853" xr:uid="{00000000-0005-0000-0000-000081110000}"/>
    <cellStyle name="Normal 2 4 2 22" xfId="3992" xr:uid="{00000000-0005-0000-0000-000082110000}"/>
    <cellStyle name="Normal 2 4 2 22 10" xfId="3993" xr:uid="{00000000-0005-0000-0000-000083110000}"/>
    <cellStyle name="Normal 2 4 2 22 10 2" xfId="21855" xr:uid="{00000000-0005-0000-0000-000084110000}"/>
    <cellStyle name="Normal 2 4 2 22 11" xfId="3994" xr:uid="{00000000-0005-0000-0000-000085110000}"/>
    <cellStyle name="Normal 2 4 2 22 11 2" xfId="21856" xr:uid="{00000000-0005-0000-0000-000086110000}"/>
    <cellStyle name="Normal 2 4 2 22 12" xfId="3995" xr:uid="{00000000-0005-0000-0000-000087110000}"/>
    <cellStyle name="Normal 2 4 2 22 12 2" xfId="21857" xr:uid="{00000000-0005-0000-0000-000088110000}"/>
    <cellStyle name="Normal 2 4 2 22 13" xfId="3996" xr:uid="{00000000-0005-0000-0000-000089110000}"/>
    <cellStyle name="Normal 2 4 2 22 13 2" xfId="21858" xr:uid="{00000000-0005-0000-0000-00008A110000}"/>
    <cellStyle name="Normal 2 4 2 22 14" xfId="3997" xr:uid="{00000000-0005-0000-0000-00008B110000}"/>
    <cellStyle name="Normal 2 4 2 22 14 2" xfId="21859" xr:uid="{00000000-0005-0000-0000-00008C110000}"/>
    <cellStyle name="Normal 2 4 2 22 15" xfId="21854" xr:uid="{00000000-0005-0000-0000-00008D110000}"/>
    <cellStyle name="Normal 2 4 2 22 2" xfId="3998" xr:uid="{00000000-0005-0000-0000-00008E110000}"/>
    <cellStyle name="Normal 2 4 2 22 2 2" xfId="21860" xr:uid="{00000000-0005-0000-0000-00008F110000}"/>
    <cellStyle name="Normal 2 4 2 22 3" xfId="3999" xr:uid="{00000000-0005-0000-0000-000090110000}"/>
    <cellStyle name="Normal 2 4 2 22 3 2" xfId="21861" xr:uid="{00000000-0005-0000-0000-000091110000}"/>
    <cellStyle name="Normal 2 4 2 22 4" xfId="4000" xr:uid="{00000000-0005-0000-0000-000092110000}"/>
    <cellStyle name="Normal 2 4 2 22 4 2" xfId="21862" xr:uid="{00000000-0005-0000-0000-000093110000}"/>
    <cellStyle name="Normal 2 4 2 22 5" xfId="4001" xr:uid="{00000000-0005-0000-0000-000094110000}"/>
    <cellStyle name="Normal 2 4 2 22 5 2" xfId="21863" xr:uid="{00000000-0005-0000-0000-000095110000}"/>
    <cellStyle name="Normal 2 4 2 22 6" xfId="4002" xr:uid="{00000000-0005-0000-0000-000096110000}"/>
    <cellStyle name="Normal 2 4 2 22 6 2" xfId="21864" xr:uid="{00000000-0005-0000-0000-000097110000}"/>
    <cellStyle name="Normal 2 4 2 22 7" xfId="4003" xr:uid="{00000000-0005-0000-0000-000098110000}"/>
    <cellStyle name="Normal 2 4 2 22 7 2" xfId="21865" xr:uid="{00000000-0005-0000-0000-000099110000}"/>
    <cellStyle name="Normal 2 4 2 22 8" xfId="4004" xr:uid="{00000000-0005-0000-0000-00009A110000}"/>
    <cellStyle name="Normal 2 4 2 22 8 2" xfId="21866" xr:uid="{00000000-0005-0000-0000-00009B110000}"/>
    <cellStyle name="Normal 2 4 2 22 9" xfId="4005" xr:uid="{00000000-0005-0000-0000-00009C110000}"/>
    <cellStyle name="Normal 2 4 2 22 9 2" xfId="21867" xr:uid="{00000000-0005-0000-0000-00009D110000}"/>
    <cellStyle name="Normal 2 4 2 23" xfId="4006" xr:uid="{00000000-0005-0000-0000-00009E110000}"/>
    <cellStyle name="Normal 2 4 2 23 10" xfId="4007" xr:uid="{00000000-0005-0000-0000-00009F110000}"/>
    <cellStyle name="Normal 2 4 2 23 10 2" xfId="21869" xr:uid="{00000000-0005-0000-0000-0000A0110000}"/>
    <cellStyle name="Normal 2 4 2 23 11" xfId="4008" xr:uid="{00000000-0005-0000-0000-0000A1110000}"/>
    <cellStyle name="Normal 2 4 2 23 11 2" xfId="21870" xr:uid="{00000000-0005-0000-0000-0000A2110000}"/>
    <cellStyle name="Normal 2 4 2 23 12" xfId="4009" xr:uid="{00000000-0005-0000-0000-0000A3110000}"/>
    <cellStyle name="Normal 2 4 2 23 12 2" xfId="21871" xr:uid="{00000000-0005-0000-0000-0000A4110000}"/>
    <cellStyle name="Normal 2 4 2 23 13" xfId="4010" xr:uid="{00000000-0005-0000-0000-0000A5110000}"/>
    <cellStyle name="Normal 2 4 2 23 13 2" xfId="21872" xr:uid="{00000000-0005-0000-0000-0000A6110000}"/>
    <cellStyle name="Normal 2 4 2 23 14" xfId="4011" xr:uid="{00000000-0005-0000-0000-0000A7110000}"/>
    <cellStyle name="Normal 2 4 2 23 14 2" xfId="21873" xr:uid="{00000000-0005-0000-0000-0000A8110000}"/>
    <cellStyle name="Normal 2 4 2 23 15" xfId="21868" xr:uid="{00000000-0005-0000-0000-0000A9110000}"/>
    <cellStyle name="Normal 2 4 2 23 2" xfId="4012" xr:uid="{00000000-0005-0000-0000-0000AA110000}"/>
    <cellStyle name="Normal 2 4 2 23 2 2" xfId="21874" xr:uid="{00000000-0005-0000-0000-0000AB110000}"/>
    <cellStyle name="Normal 2 4 2 23 3" xfId="4013" xr:uid="{00000000-0005-0000-0000-0000AC110000}"/>
    <cellStyle name="Normal 2 4 2 23 3 2" xfId="21875" xr:uid="{00000000-0005-0000-0000-0000AD110000}"/>
    <cellStyle name="Normal 2 4 2 23 4" xfId="4014" xr:uid="{00000000-0005-0000-0000-0000AE110000}"/>
    <cellStyle name="Normal 2 4 2 23 4 2" xfId="21876" xr:uid="{00000000-0005-0000-0000-0000AF110000}"/>
    <cellStyle name="Normal 2 4 2 23 5" xfId="4015" xr:uid="{00000000-0005-0000-0000-0000B0110000}"/>
    <cellStyle name="Normal 2 4 2 23 5 2" xfId="21877" xr:uid="{00000000-0005-0000-0000-0000B1110000}"/>
    <cellStyle name="Normal 2 4 2 23 6" xfId="4016" xr:uid="{00000000-0005-0000-0000-0000B2110000}"/>
    <cellStyle name="Normal 2 4 2 23 6 2" xfId="21878" xr:uid="{00000000-0005-0000-0000-0000B3110000}"/>
    <cellStyle name="Normal 2 4 2 23 7" xfId="4017" xr:uid="{00000000-0005-0000-0000-0000B4110000}"/>
    <cellStyle name="Normal 2 4 2 23 7 2" xfId="21879" xr:uid="{00000000-0005-0000-0000-0000B5110000}"/>
    <cellStyle name="Normal 2 4 2 23 8" xfId="4018" xr:uid="{00000000-0005-0000-0000-0000B6110000}"/>
    <cellStyle name="Normal 2 4 2 23 8 2" xfId="21880" xr:uid="{00000000-0005-0000-0000-0000B7110000}"/>
    <cellStyle name="Normal 2 4 2 23 9" xfId="4019" xr:uid="{00000000-0005-0000-0000-0000B8110000}"/>
    <cellStyle name="Normal 2 4 2 23 9 2" xfId="21881" xr:uid="{00000000-0005-0000-0000-0000B9110000}"/>
    <cellStyle name="Normal 2 4 2 24" xfId="4020" xr:uid="{00000000-0005-0000-0000-0000BA110000}"/>
    <cellStyle name="Normal 2 4 2 24 10" xfId="4021" xr:uid="{00000000-0005-0000-0000-0000BB110000}"/>
    <cellStyle name="Normal 2 4 2 24 10 2" xfId="21883" xr:uid="{00000000-0005-0000-0000-0000BC110000}"/>
    <cellStyle name="Normal 2 4 2 24 11" xfId="4022" xr:uid="{00000000-0005-0000-0000-0000BD110000}"/>
    <cellStyle name="Normal 2 4 2 24 11 2" xfId="21884" xr:uid="{00000000-0005-0000-0000-0000BE110000}"/>
    <cellStyle name="Normal 2 4 2 24 12" xfId="4023" xr:uid="{00000000-0005-0000-0000-0000BF110000}"/>
    <cellStyle name="Normal 2 4 2 24 12 2" xfId="21885" xr:uid="{00000000-0005-0000-0000-0000C0110000}"/>
    <cellStyle name="Normal 2 4 2 24 13" xfId="4024" xr:uid="{00000000-0005-0000-0000-0000C1110000}"/>
    <cellStyle name="Normal 2 4 2 24 13 2" xfId="21886" xr:uid="{00000000-0005-0000-0000-0000C2110000}"/>
    <cellStyle name="Normal 2 4 2 24 14" xfId="4025" xr:uid="{00000000-0005-0000-0000-0000C3110000}"/>
    <cellStyle name="Normal 2 4 2 24 14 2" xfId="21887" xr:uid="{00000000-0005-0000-0000-0000C4110000}"/>
    <cellStyle name="Normal 2 4 2 24 15" xfId="21882" xr:uid="{00000000-0005-0000-0000-0000C5110000}"/>
    <cellStyle name="Normal 2 4 2 24 2" xfId="4026" xr:uid="{00000000-0005-0000-0000-0000C6110000}"/>
    <cellStyle name="Normal 2 4 2 24 2 2" xfId="21888" xr:uid="{00000000-0005-0000-0000-0000C7110000}"/>
    <cellStyle name="Normal 2 4 2 24 3" xfId="4027" xr:uid="{00000000-0005-0000-0000-0000C8110000}"/>
    <cellStyle name="Normal 2 4 2 24 3 2" xfId="21889" xr:uid="{00000000-0005-0000-0000-0000C9110000}"/>
    <cellStyle name="Normal 2 4 2 24 4" xfId="4028" xr:uid="{00000000-0005-0000-0000-0000CA110000}"/>
    <cellStyle name="Normal 2 4 2 24 4 2" xfId="21890" xr:uid="{00000000-0005-0000-0000-0000CB110000}"/>
    <cellStyle name="Normal 2 4 2 24 5" xfId="4029" xr:uid="{00000000-0005-0000-0000-0000CC110000}"/>
    <cellStyle name="Normal 2 4 2 24 5 2" xfId="21891" xr:uid="{00000000-0005-0000-0000-0000CD110000}"/>
    <cellStyle name="Normal 2 4 2 24 6" xfId="4030" xr:uid="{00000000-0005-0000-0000-0000CE110000}"/>
    <cellStyle name="Normal 2 4 2 24 6 2" xfId="21892" xr:uid="{00000000-0005-0000-0000-0000CF110000}"/>
    <cellStyle name="Normal 2 4 2 24 7" xfId="4031" xr:uid="{00000000-0005-0000-0000-0000D0110000}"/>
    <cellStyle name="Normal 2 4 2 24 7 2" xfId="21893" xr:uid="{00000000-0005-0000-0000-0000D1110000}"/>
    <cellStyle name="Normal 2 4 2 24 8" xfId="4032" xr:uid="{00000000-0005-0000-0000-0000D2110000}"/>
    <cellStyle name="Normal 2 4 2 24 8 2" xfId="21894" xr:uid="{00000000-0005-0000-0000-0000D3110000}"/>
    <cellStyle name="Normal 2 4 2 24 9" xfId="4033" xr:uid="{00000000-0005-0000-0000-0000D4110000}"/>
    <cellStyle name="Normal 2 4 2 24 9 2" xfId="21895" xr:uid="{00000000-0005-0000-0000-0000D5110000}"/>
    <cellStyle name="Normal 2 4 2 25" xfId="4034" xr:uid="{00000000-0005-0000-0000-0000D6110000}"/>
    <cellStyle name="Normal 2 4 2 25 10" xfId="4035" xr:uid="{00000000-0005-0000-0000-0000D7110000}"/>
    <cellStyle name="Normal 2 4 2 25 10 2" xfId="21897" xr:uid="{00000000-0005-0000-0000-0000D8110000}"/>
    <cellStyle name="Normal 2 4 2 25 11" xfId="4036" xr:uid="{00000000-0005-0000-0000-0000D9110000}"/>
    <cellStyle name="Normal 2 4 2 25 11 2" xfId="21898" xr:uid="{00000000-0005-0000-0000-0000DA110000}"/>
    <cellStyle name="Normal 2 4 2 25 12" xfId="4037" xr:uid="{00000000-0005-0000-0000-0000DB110000}"/>
    <cellStyle name="Normal 2 4 2 25 12 2" xfId="21899" xr:uid="{00000000-0005-0000-0000-0000DC110000}"/>
    <cellStyle name="Normal 2 4 2 25 13" xfId="4038" xr:uid="{00000000-0005-0000-0000-0000DD110000}"/>
    <cellStyle name="Normal 2 4 2 25 13 2" xfId="21900" xr:uid="{00000000-0005-0000-0000-0000DE110000}"/>
    <cellStyle name="Normal 2 4 2 25 14" xfId="4039" xr:uid="{00000000-0005-0000-0000-0000DF110000}"/>
    <cellStyle name="Normal 2 4 2 25 14 2" xfId="21901" xr:uid="{00000000-0005-0000-0000-0000E0110000}"/>
    <cellStyle name="Normal 2 4 2 25 15" xfId="21896" xr:uid="{00000000-0005-0000-0000-0000E1110000}"/>
    <cellStyle name="Normal 2 4 2 25 2" xfId="4040" xr:uid="{00000000-0005-0000-0000-0000E2110000}"/>
    <cellStyle name="Normal 2 4 2 25 2 2" xfId="21902" xr:uid="{00000000-0005-0000-0000-0000E3110000}"/>
    <cellStyle name="Normal 2 4 2 25 3" xfId="4041" xr:uid="{00000000-0005-0000-0000-0000E4110000}"/>
    <cellStyle name="Normal 2 4 2 25 3 2" xfId="21903" xr:uid="{00000000-0005-0000-0000-0000E5110000}"/>
    <cellStyle name="Normal 2 4 2 25 4" xfId="4042" xr:uid="{00000000-0005-0000-0000-0000E6110000}"/>
    <cellStyle name="Normal 2 4 2 25 4 2" xfId="21904" xr:uid="{00000000-0005-0000-0000-0000E7110000}"/>
    <cellStyle name="Normal 2 4 2 25 5" xfId="4043" xr:uid="{00000000-0005-0000-0000-0000E8110000}"/>
    <cellStyle name="Normal 2 4 2 25 5 2" xfId="21905" xr:uid="{00000000-0005-0000-0000-0000E9110000}"/>
    <cellStyle name="Normal 2 4 2 25 6" xfId="4044" xr:uid="{00000000-0005-0000-0000-0000EA110000}"/>
    <cellStyle name="Normal 2 4 2 25 6 2" xfId="21906" xr:uid="{00000000-0005-0000-0000-0000EB110000}"/>
    <cellStyle name="Normal 2 4 2 25 7" xfId="4045" xr:uid="{00000000-0005-0000-0000-0000EC110000}"/>
    <cellStyle name="Normal 2 4 2 25 7 2" xfId="21907" xr:uid="{00000000-0005-0000-0000-0000ED110000}"/>
    <cellStyle name="Normal 2 4 2 25 8" xfId="4046" xr:uid="{00000000-0005-0000-0000-0000EE110000}"/>
    <cellStyle name="Normal 2 4 2 25 8 2" xfId="21908" xr:uid="{00000000-0005-0000-0000-0000EF110000}"/>
    <cellStyle name="Normal 2 4 2 25 9" xfId="4047" xr:uid="{00000000-0005-0000-0000-0000F0110000}"/>
    <cellStyle name="Normal 2 4 2 25 9 2" xfId="21909" xr:uid="{00000000-0005-0000-0000-0000F1110000}"/>
    <cellStyle name="Normal 2 4 2 26" xfId="4048" xr:uid="{00000000-0005-0000-0000-0000F2110000}"/>
    <cellStyle name="Normal 2 4 2 26 10" xfId="4049" xr:uid="{00000000-0005-0000-0000-0000F3110000}"/>
    <cellStyle name="Normal 2 4 2 26 10 2" xfId="21911" xr:uid="{00000000-0005-0000-0000-0000F4110000}"/>
    <cellStyle name="Normal 2 4 2 26 11" xfId="4050" xr:uid="{00000000-0005-0000-0000-0000F5110000}"/>
    <cellStyle name="Normal 2 4 2 26 11 2" xfId="21912" xr:uid="{00000000-0005-0000-0000-0000F6110000}"/>
    <cellStyle name="Normal 2 4 2 26 12" xfId="4051" xr:uid="{00000000-0005-0000-0000-0000F7110000}"/>
    <cellStyle name="Normal 2 4 2 26 12 2" xfId="21913" xr:uid="{00000000-0005-0000-0000-0000F8110000}"/>
    <cellStyle name="Normal 2 4 2 26 13" xfId="4052" xr:uid="{00000000-0005-0000-0000-0000F9110000}"/>
    <cellStyle name="Normal 2 4 2 26 13 2" xfId="21914" xr:uid="{00000000-0005-0000-0000-0000FA110000}"/>
    <cellStyle name="Normal 2 4 2 26 14" xfId="4053" xr:uid="{00000000-0005-0000-0000-0000FB110000}"/>
    <cellStyle name="Normal 2 4 2 26 14 2" xfId="21915" xr:uid="{00000000-0005-0000-0000-0000FC110000}"/>
    <cellStyle name="Normal 2 4 2 26 15" xfId="21910" xr:uid="{00000000-0005-0000-0000-0000FD110000}"/>
    <cellStyle name="Normal 2 4 2 26 2" xfId="4054" xr:uid="{00000000-0005-0000-0000-0000FE110000}"/>
    <cellStyle name="Normal 2 4 2 26 2 2" xfId="21916" xr:uid="{00000000-0005-0000-0000-0000FF110000}"/>
    <cellStyle name="Normal 2 4 2 26 3" xfId="4055" xr:uid="{00000000-0005-0000-0000-000000120000}"/>
    <cellStyle name="Normal 2 4 2 26 3 2" xfId="21917" xr:uid="{00000000-0005-0000-0000-000001120000}"/>
    <cellStyle name="Normal 2 4 2 26 4" xfId="4056" xr:uid="{00000000-0005-0000-0000-000002120000}"/>
    <cellStyle name="Normal 2 4 2 26 4 2" xfId="21918" xr:uid="{00000000-0005-0000-0000-000003120000}"/>
    <cellStyle name="Normal 2 4 2 26 5" xfId="4057" xr:uid="{00000000-0005-0000-0000-000004120000}"/>
    <cellStyle name="Normal 2 4 2 26 5 2" xfId="21919" xr:uid="{00000000-0005-0000-0000-000005120000}"/>
    <cellStyle name="Normal 2 4 2 26 6" xfId="4058" xr:uid="{00000000-0005-0000-0000-000006120000}"/>
    <cellStyle name="Normal 2 4 2 26 6 2" xfId="21920" xr:uid="{00000000-0005-0000-0000-000007120000}"/>
    <cellStyle name="Normal 2 4 2 26 7" xfId="4059" xr:uid="{00000000-0005-0000-0000-000008120000}"/>
    <cellStyle name="Normal 2 4 2 26 7 2" xfId="21921" xr:uid="{00000000-0005-0000-0000-000009120000}"/>
    <cellStyle name="Normal 2 4 2 26 8" xfId="4060" xr:uid="{00000000-0005-0000-0000-00000A120000}"/>
    <cellStyle name="Normal 2 4 2 26 8 2" xfId="21922" xr:uid="{00000000-0005-0000-0000-00000B120000}"/>
    <cellStyle name="Normal 2 4 2 26 9" xfId="4061" xr:uid="{00000000-0005-0000-0000-00000C120000}"/>
    <cellStyle name="Normal 2 4 2 26 9 2" xfId="21923" xr:uid="{00000000-0005-0000-0000-00000D120000}"/>
    <cellStyle name="Normal 2 4 2 27" xfId="4062" xr:uid="{00000000-0005-0000-0000-00000E120000}"/>
    <cellStyle name="Normal 2 4 2 27 10" xfId="4063" xr:uid="{00000000-0005-0000-0000-00000F120000}"/>
    <cellStyle name="Normal 2 4 2 27 10 2" xfId="21925" xr:uid="{00000000-0005-0000-0000-000010120000}"/>
    <cellStyle name="Normal 2 4 2 27 11" xfId="4064" xr:uid="{00000000-0005-0000-0000-000011120000}"/>
    <cellStyle name="Normal 2 4 2 27 11 2" xfId="21926" xr:uid="{00000000-0005-0000-0000-000012120000}"/>
    <cellStyle name="Normal 2 4 2 27 12" xfId="4065" xr:uid="{00000000-0005-0000-0000-000013120000}"/>
    <cellStyle name="Normal 2 4 2 27 12 2" xfId="21927" xr:uid="{00000000-0005-0000-0000-000014120000}"/>
    <cellStyle name="Normal 2 4 2 27 13" xfId="4066" xr:uid="{00000000-0005-0000-0000-000015120000}"/>
    <cellStyle name="Normal 2 4 2 27 13 2" xfId="21928" xr:uid="{00000000-0005-0000-0000-000016120000}"/>
    <cellStyle name="Normal 2 4 2 27 14" xfId="4067" xr:uid="{00000000-0005-0000-0000-000017120000}"/>
    <cellStyle name="Normal 2 4 2 27 14 2" xfId="21929" xr:uid="{00000000-0005-0000-0000-000018120000}"/>
    <cellStyle name="Normal 2 4 2 27 15" xfId="21924" xr:uid="{00000000-0005-0000-0000-000019120000}"/>
    <cellStyle name="Normal 2 4 2 27 2" xfId="4068" xr:uid="{00000000-0005-0000-0000-00001A120000}"/>
    <cellStyle name="Normal 2 4 2 27 2 2" xfId="21930" xr:uid="{00000000-0005-0000-0000-00001B120000}"/>
    <cellStyle name="Normal 2 4 2 27 3" xfId="4069" xr:uid="{00000000-0005-0000-0000-00001C120000}"/>
    <cellStyle name="Normal 2 4 2 27 3 2" xfId="21931" xr:uid="{00000000-0005-0000-0000-00001D120000}"/>
    <cellStyle name="Normal 2 4 2 27 4" xfId="4070" xr:uid="{00000000-0005-0000-0000-00001E120000}"/>
    <cellStyle name="Normal 2 4 2 27 4 2" xfId="21932" xr:uid="{00000000-0005-0000-0000-00001F120000}"/>
    <cellStyle name="Normal 2 4 2 27 5" xfId="4071" xr:uid="{00000000-0005-0000-0000-000020120000}"/>
    <cellStyle name="Normal 2 4 2 27 5 2" xfId="21933" xr:uid="{00000000-0005-0000-0000-000021120000}"/>
    <cellStyle name="Normal 2 4 2 27 6" xfId="4072" xr:uid="{00000000-0005-0000-0000-000022120000}"/>
    <cellStyle name="Normal 2 4 2 27 6 2" xfId="21934" xr:uid="{00000000-0005-0000-0000-000023120000}"/>
    <cellStyle name="Normal 2 4 2 27 7" xfId="4073" xr:uid="{00000000-0005-0000-0000-000024120000}"/>
    <cellStyle name="Normal 2 4 2 27 7 2" xfId="21935" xr:uid="{00000000-0005-0000-0000-000025120000}"/>
    <cellStyle name="Normal 2 4 2 27 8" xfId="4074" xr:uid="{00000000-0005-0000-0000-000026120000}"/>
    <cellStyle name="Normal 2 4 2 27 8 2" xfId="21936" xr:uid="{00000000-0005-0000-0000-000027120000}"/>
    <cellStyle name="Normal 2 4 2 27 9" xfId="4075" xr:uid="{00000000-0005-0000-0000-000028120000}"/>
    <cellStyle name="Normal 2 4 2 27 9 2" xfId="21937" xr:uid="{00000000-0005-0000-0000-000029120000}"/>
    <cellStyle name="Normal 2 4 2 28" xfId="4076" xr:uid="{00000000-0005-0000-0000-00002A120000}"/>
    <cellStyle name="Normal 2 4 2 28 10" xfId="4077" xr:uid="{00000000-0005-0000-0000-00002B120000}"/>
    <cellStyle name="Normal 2 4 2 28 10 2" xfId="21939" xr:uid="{00000000-0005-0000-0000-00002C120000}"/>
    <cellStyle name="Normal 2 4 2 28 11" xfId="4078" xr:uid="{00000000-0005-0000-0000-00002D120000}"/>
    <cellStyle name="Normal 2 4 2 28 11 2" xfId="21940" xr:uid="{00000000-0005-0000-0000-00002E120000}"/>
    <cellStyle name="Normal 2 4 2 28 12" xfId="4079" xr:uid="{00000000-0005-0000-0000-00002F120000}"/>
    <cellStyle name="Normal 2 4 2 28 12 2" xfId="21941" xr:uid="{00000000-0005-0000-0000-000030120000}"/>
    <cellStyle name="Normal 2 4 2 28 13" xfId="4080" xr:uid="{00000000-0005-0000-0000-000031120000}"/>
    <cellStyle name="Normal 2 4 2 28 13 2" xfId="21942" xr:uid="{00000000-0005-0000-0000-000032120000}"/>
    <cellStyle name="Normal 2 4 2 28 14" xfId="4081" xr:uid="{00000000-0005-0000-0000-000033120000}"/>
    <cellStyle name="Normal 2 4 2 28 14 2" xfId="21943" xr:uid="{00000000-0005-0000-0000-000034120000}"/>
    <cellStyle name="Normal 2 4 2 28 15" xfId="21938" xr:uid="{00000000-0005-0000-0000-000035120000}"/>
    <cellStyle name="Normal 2 4 2 28 2" xfId="4082" xr:uid="{00000000-0005-0000-0000-000036120000}"/>
    <cellStyle name="Normal 2 4 2 28 2 2" xfId="21944" xr:uid="{00000000-0005-0000-0000-000037120000}"/>
    <cellStyle name="Normal 2 4 2 28 3" xfId="4083" xr:uid="{00000000-0005-0000-0000-000038120000}"/>
    <cellStyle name="Normal 2 4 2 28 3 2" xfId="21945" xr:uid="{00000000-0005-0000-0000-000039120000}"/>
    <cellStyle name="Normal 2 4 2 28 4" xfId="4084" xr:uid="{00000000-0005-0000-0000-00003A120000}"/>
    <cellStyle name="Normal 2 4 2 28 4 2" xfId="21946" xr:uid="{00000000-0005-0000-0000-00003B120000}"/>
    <cellStyle name="Normal 2 4 2 28 5" xfId="4085" xr:uid="{00000000-0005-0000-0000-00003C120000}"/>
    <cellStyle name="Normal 2 4 2 28 5 2" xfId="21947" xr:uid="{00000000-0005-0000-0000-00003D120000}"/>
    <cellStyle name="Normal 2 4 2 28 6" xfId="4086" xr:uid="{00000000-0005-0000-0000-00003E120000}"/>
    <cellStyle name="Normal 2 4 2 28 6 2" xfId="21948" xr:uid="{00000000-0005-0000-0000-00003F120000}"/>
    <cellStyle name="Normal 2 4 2 28 7" xfId="4087" xr:uid="{00000000-0005-0000-0000-000040120000}"/>
    <cellStyle name="Normal 2 4 2 28 7 2" xfId="21949" xr:uid="{00000000-0005-0000-0000-000041120000}"/>
    <cellStyle name="Normal 2 4 2 28 8" xfId="4088" xr:uid="{00000000-0005-0000-0000-000042120000}"/>
    <cellStyle name="Normal 2 4 2 28 8 2" xfId="21950" xr:uid="{00000000-0005-0000-0000-000043120000}"/>
    <cellStyle name="Normal 2 4 2 28 9" xfId="4089" xr:uid="{00000000-0005-0000-0000-000044120000}"/>
    <cellStyle name="Normal 2 4 2 28 9 2" xfId="21951" xr:uid="{00000000-0005-0000-0000-000045120000}"/>
    <cellStyle name="Normal 2 4 2 29" xfId="4090" xr:uid="{00000000-0005-0000-0000-000046120000}"/>
    <cellStyle name="Normal 2 4 2 29 10" xfId="4091" xr:uid="{00000000-0005-0000-0000-000047120000}"/>
    <cellStyle name="Normal 2 4 2 29 10 2" xfId="21953" xr:uid="{00000000-0005-0000-0000-000048120000}"/>
    <cellStyle name="Normal 2 4 2 29 11" xfId="4092" xr:uid="{00000000-0005-0000-0000-000049120000}"/>
    <cellStyle name="Normal 2 4 2 29 11 2" xfId="21954" xr:uid="{00000000-0005-0000-0000-00004A120000}"/>
    <cellStyle name="Normal 2 4 2 29 12" xfId="4093" xr:uid="{00000000-0005-0000-0000-00004B120000}"/>
    <cellStyle name="Normal 2 4 2 29 12 2" xfId="21955" xr:uid="{00000000-0005-0000-0000-00004C120000}"/>
    <cellStyle name="Normal 2 4 2 29 13" xfId="4094" xr:uid="{00000000-0005-0000-0000-00004D120000}"/>
    <cellStyle name="Normal 2 4 2 29 13 2" xfId="21956" xr:uid="{00000000-0005-0000-0000-00004E120000}"/>
    <cellStyle name="Normal 2 4 2 29 14" xfId="4095" xr:uid="{00000000-0005-0000-0000-00004F120000}"/>
    <cellStyle name="Normal 2 4 2 29 14 2" xfId="21957" xr:uid="{00000000-0005-0000-0000-000050120000}"/>
    <cellStyle name="Normal 2 4 2 29 15" xfId="21952" xr:uid="{00000000-0005-0000-0000-000051120000}"/>
    <cellStyle name="Normal 2 4 2 29 2" xfId="4096" xr:uid="{00000000-0005-0000-0000-000052120000}"/>
    <cellStyle name="Normal 2 4 2 29 2 2" xfId="21958" xr:uid="{00000000-0005-0000-0000-000053120000}"/>
    <cellStyle name="Normal 2 4 2 29 3" xfId="4097" xr:uid="{00000000-0005-0000-0000-000054120000}"/>
    <cellStyle name="Normal 2 4 2 29 3 2" xfId="21959" xr:uid="{00000000-0005-0000-0000-000055120000}"/>
    <cellStyle name="Normal 2 4 2 29 4" xfId="4098" xr:uid="{00000000-0005-0000-0000-000056120000}"/>
    <cellStyle name="Normal 2 4 2 29 4 2" xfId="21960" xr:uid="{00000000-0005-0000-0000-000057120000}"/>
    <cellStyle name="Normal 2 4 2 29 5" xfId="4099" xr:uid="{00000000-0005-0000-0000-000058120000}"/>
    <cellStyle name="Normal 2 4 2 29 5 2" xfId="21961" xr:uid="{00000000-0005-0000-0000-000059120000}"/>
    <cellStyle name="Normal 2 4 2 29 6" xfId="4100" xr:uid="{00000000-0005-0000-0000-00005A120000}"/>
    <cellStyle name="Normal 2 4 2 29 6 2" xfId="21962" xr:uid="{00000000-0005-0000-0000-00005B120000}"/>
    <cellStyle name="Normal 2 4 2 29 7" xfId="4101" xr:uid="{00000000-0005-0000-0000-00005C120000}"/>
    <cellStyle name="Normal 2 4 2 29 7 2" xfId="21963" xr:uid="{00000000-0005-0000-0000-00005D120000}"/>
    <cellStyle name="Normal 2 4 2 29 8" xfId="4102" xr:uid="{00000000-0005-0000-0000-00005E120000}"/>
    <cellStyle name="Normal 2 4 2 29 8 2" xfId="21964" xr:uid="{00000000-0005-0000-0000-00005F120000}"/>
    <cellStyle name="Normal 2 4 2 29 9" xfId="4103" xr:uid="{00000000-0005-0000-0000-000060120000}"/>
    <cellStyle name="Normal 2 4 2 29 9 2" xfId="21965" xr:uid="{00000000-0005-0000-0000-000061120000}"/>
    <cellStyle name="Normal 2 4 2 3" xfId="4104" xr:uid="{00000000-0005-0000-0000-000062120000}"/>
    <cellStyle name="Normal 2 4 2 3 2" xfId="4105" xr:uid="{00000000-0005-0000-0000-000063120000}"/>
    <cellStyle name="Normal 2 4 2 30" xfId="4106" xr:uid="{00000000-0005-0000-0000-000064120000}"/>
    <cellStyle name="Normal 2 4 2 30 10" xfId="4107" xr:uid="{00000000-0005-0000-0000-000065120000}"/>
    <cellStyle name="Normal 2 4 2 30 10 2" xfId="21967" xr:uid="{00000000-0005-0000-0000-000066120000}"/>
    <cellStyle name="Normal 2 4 2 30 11" xfId="4108" xr:uid="{00000000-0005-0000-0000-000067120000}"/>
    <cellStyle name="Normal 2 4 2 30 11 2" xfId="21968" xr:uid="{00000000-0005-0000-0000-000068120000}"/>
    <cellStyle name="Normal 2 4 2 30 12" xfId="4109" xr:uid="{00000000-0005-0000-0000-000069120000}"/>
    <cellStyle name="Normal 2 4 2 30 12 2" xfId="21969" xr:uid="{00000000-0005-0000-0000-00006A120000}"/>
    <cellStyle name="Normal 2 4 2 30 13" xfId="4110" xr:uid="{00000000-0005-0000-0000-00006B120000}"/>
    <cellStyle name="Normal 2 4 2 30 13 2" xfId="21970" xr:uid="{00000000-0005-0000-0000-00006C120000}"/>
    <cellStyle name="Normal 2 4 2 30 14" xfId="4111" xr:uid="{00000000-0005-0000-0000-00006D120000}"/>
    <cellStyle name="Normal 2 4 2 30 14 2" xfId="21971" xr:uid="{00000000-0005-0000-0000-00006E120000}"/>
    <cellStyle name="Normal 2 4 2 30 15" xfId="21966" xr:uid="{00000000-0005-0000-0000-00006F120000}"/>
    <cellStyle name="Normal 2 4 2 30 2" xfId="4112" xr:uid="{00000000-0005-0000-0000-000070120000}"/>
    <cellStyle name="Normal 2 4 2 30 2 2" xfId="21972" xr:uid="{00000000-0005-0000-0000-000071120000}"/>
    <cellStyle name="Normal 2 4 2 30 3" xfId="4113" xr:uid="{00000000-0005-0000-0000-000072120000}"/>
    <cellStyle name="Normal 2 4 2 30 3 2" xfId="21973" xr:uid="{00000000-0005-0000-0000-000073120000}"/>
    <cellStyle name="Normal 2 4 2 30 4" xfId="4114" xr:uid="{00000000-0005-0000-0000-000074120000}"/>
    <cellStyle name="Normal 2 4 2 30 4 2" xfId="21974" xr:uid="{00000000-0005-0000-0000-000075120000}"/>
    <cellStyle name="Normal 2 4 2 30 5" xfId="4115" xr:uid="{00000000-0005-0000-0000-000076120000}"/>
    <cellStyle name="Normal 2 4 2 30 5 2" xfId="21975" xr:uid="{00000000-0005-0000-0000-000077120000}"/>
    <cellStyle name="Normal 2 4 2 30 6" xfId="4116" xr:uid="{00000000-0005-0000-0000-000078120000}"/>
    <cellStyle name="Normal 2 4 2 30 6 2" xfId="21976" xr:uid="{00000000-0005-0000-0000-000079120000}"/>
    <cellStyle name="Normal 2 4 2 30 7" xfId="4117" xr:uid="{00000000-0005-0000-0000-00007A120000}"/>
    <cellStyle name="Normal 2 4 2 30 7 2" xfId="21977" xr:uid="{00000000-0005-0000-0000-00007B120000}"/>
    <cellStyle name="Normal 2 4 2 30 8" xfId="4118" xr:uid="{00000000-0005-0000-0000-00007C120000}"/>
    <cellStyle name="Normal 2 4 2 30 8 2" xfId="21978" xr:uid="{00000000-0005-0000-0000-00007D120000}"/>
    <cellStyle name="Normal 2 4 2 30 9" xfId="4119" xr:uid="{00000000-0005-0000-0000-00007E120000}"/>
    <cellStyle name="Normal 2 4 2 30 9 2" xfId="21979" xr:uid="{00000000-0005-0000-0000-00007F120000}"/>
    <cellStyle name="Normal 2 4 2 31" xfId="4120" xr:uid="{00000000-0005-0000-0000-000080120000}"/>
    <cellStyle name="Normal 2 4 2 31 10" xfId="4121" xr:uid="{00000000-0005-0000-0000-000081120000}"/>
    <cellStyle name="Normal 2 4 2 31 10 2" xfId="21981" xr:uid="{00000000-0005-0000-0000-000082120000}"/>
    <cellStyle name="Normal 2 4 2 31 11" xfId="4122" xr:uid="{00000000-0005-0000-0000-000083120000}"/>
    <cellStyle name="Normal 2 4 2 31 11 2" xfId="21982" xr:uid="{00000000-0005-0000-0000-000084120000}"/>
    <cellStyle name="Normal 2 4 2 31 12" xfId="4123" xr:uid="{00000000-0005-0000-0000-000085120000}"/>
    <cellStyle name="Normal 2 4 2 31 12 2" xfId="21983" xr:uid="{00000000-0005-0000-0000-000086120000}"/>
    <cellStyle name="Normal 2 4 2 31 13" xfId="4124" xr:uid="{00000000-0005-0000-0000-000087120000}"/>
    <cellStyle name="Normal 2 4 2 31 13 2" xfId="21984" xr:uid="{00000000-0005-0000-0000-000088120000}"/>
    <cellStyle name="Normal 2 4 2 31 14" xfId="4125" xr:uid="{00000000-0005-0000-0000-000089120000}"/>
    <cellStyle name="Normal 2 4 2 31 14 2" xfId="21985" xr:uid="{00000000-0005-0000-0000-00008A120000}"/>
    <cellStyle name="Normal 2 4 2 31 15" xfId="21980" xr:uid="{00000000-0005-0000-0000-00008B120000}"/>
    <cellStyle name="Normal 2 4 2 31 2" xfId="4126" xr:uid="{00000000-0005-0000-0000-00008C120000}"/>
    <cellStyle name="Normal 2 4 2 31 2 2" xfId="21986" xr:uid="{00000000-0005-0000-0000-00008D120000}"/>
    <cellStyle name="Normal 2 4 2 31 3" xfId="4127" xr:uid="{00000000-0005-0000-0000-00008E120000}"/>
    <cellStyle name="Normal 2 4 2 31 3 2" xfId="21987" xr:uid="{00000000-0005-0000-0000-00008F120000}"/>
    <cellStyle name="Normal 2 4 2 31 4" xfId="4128" xr:uid="{00000000-0005-0000-0000-000090120000}"/>
    <cellStyle name="Normal 2 4 2 31 4 2" xfId="21988" xr:uid="{00000000-0005-0000-0000-000091120000}"/>
    <cellStyle name="Normal 2 4 2 31 5" xfId="4129" xr:uid="{00000000-0005-0000-0000-000092120000}"/>
    <cellStyle name="Normal 2 4 2 31 5 2" xfId="21989" xr:uid="{00000000-0005-0000-0000-000093120000}"/>
    <cellStyle name="Normal 2 4 2 31 6" xfId="4130" xr:uid="{00000000-0005-0000-0000-000094120000}"/>
    <cellStyle name="Normal 2 4 2 31 6 2" xfId="21990" xr:uid="{00000000-0005-0000-0000-000095120000}"/>
    <cellStyle name="Normal 2 4 2 31 7" xfId="4131" xr:uid="{00000000-0005-0000-0000-000096120000}"/>
    <cellStyle name="Normal 2 4 2 31 7 2" xfId="21991" xr:uid="{00000000-0005-0000-0000-000097120000}"/>
    <cellStyle name="Normal 2 4 2 31 8" xfId="4132" xr:uid="{00000000-0005-0000-0000-000098120000}"/>
    <cellStyle name="Normal 2 4 2 31 8 2" xfId="21992" xr:uid="{00000000-0005-0000-0000-000099120000}"/>
    <cellStyle name="Normal 2 4 2 31 9" xfId="4133" xr:uid="{00000000-0005-0000-0000-00009A120000}"/>
    <cellStyle name="Normal 2 4 2 31 9 2" xfId="21993" xr:uid="{00000000-0005-0000-0000-00009B120000}"/>
    <cellStyle name="Normal 2 4 2 32" xfId="4134" xr:uid="{00000000-0005-0000-0000-00009C120000}"/>
    <cellStyle name="Normal 2 4 2 33" xfId="4135" xr:uid="{00000000-0005-0000-0000-00009D120000}"/>
    <cellStyle name="Normal 2 4 2 33 2" xfId="21994" xr:uid="{00000000-0005-0000-0000-00009E120000}"/>
    <cellStyle name="Normal 2 4 2 34" xfId="4136" xr:uid="{00000000-0005-0000-0000-00009F120000}"/>
    <cellStyle name="Normal 2 4 2 34 2" xfId="21995" xr:uid="{00000000-0005-0000-0000-0000A0120000}"/>
    <cellStyle name="Normal 2 4 2 35" xfId="4137" xr:uid="{00000000-0005-0000-0000-0000A1120000}"/>
    <cellStyle name="Normal 2 4 2 35 2" xfId="21996" xr:uid="{00000000-0005-0000-0000-0000A2120000}"/>
    <cellStyle name="Normal 2 4 2 36" xfId="4138" xr:uid="{00000000-0005-0000-0000-0000A3120000}"/>
    <cellStyle name="Normal 2 4 2 36 2" xfId="21997" xr:uid="{00000000-0005-0000-0000-0000A4120000}"/>
    <cellStyle name="Normal 2 4 2 37" xfId="4139" xr:uid="{00000000-0005-0000-0000-0000A5120000}"/>
    <cellStyle name="Normal 2 4 2 37 2" xfId="21998" xr:uid="{00000000-0005-0000-0000-0000A6120000}"/>
    <cellStyle name="Normal 2 4 2 38" xfId="4140" xr:uid="{00000000-0005-0000-0000-0000A7120000}"/>
    <cellStyle name="Normal 2 4 2 38 2" xfId="21999" xr:uid="{00000000-0005-0000-0000-0000A8120000}"/>
    <cellStyle name="Normal 2 4 2 39" xfId="4141" xr:uid="{00000000-0005-0000-0000-0000A9120000}"/>
    <cellStyle name="Normal 2 4 2 39 2" xfId="22000" xr:uid="{00000000-0005-0000-0000-0000AA120000}"/>
    <cellStyle name="Normal 2 4 2 4" xfId="4142" xr:uid="{00000000-0005-0000-0000-0000AB120000}"/>
    <cellStyle name="Normal 2 4 2 4 2" xfId="4143" xr:uid="{00000000-0005-0000-0000-0000AC120000}"/>
    <cellStyle name="Normal 2 4 2 40" xfId="4144" xr:uid="{00000000-0005-0000-0000-0000AD120000}"/>
    <cellStyle name="Normal 2 4 2 40 2" xfId="22001" xr:uid="{00000000-0005-0000-0000-0000AE120000}"/>
    <cellStyle name="Normal 2 4 2 41" xfId="4145" xr:uid="{00000000-0005-0000-0000-0000AF120000}"/>
    <cellStyle name="Normal 2 4 2 41 2" xfId="22002" xr:uid="{00000000-0005-0000-0000-0000B0120000}"/>
    <cellStyle name="Normal 2 4 2 42" xfId="4146" xr:uid="{00000000-0005-0000-0000-0000B1120000}"/>
    <cellStyle name="Normal 2 4 2 42 2" xfId="22003" xr:uid="{00000000-0005-0000-0000-0000B2120000}"/>
    <cellStyle name="Normal 2 4 2 43" xfId="4147" xr:uid="{00000000-0005-0000-0000-0000B3120000}"/>
    <cellStyle name="Normal 2 4 2 43 2" xfId="22004" xr:uid="{00000000-0005-0000-0000-0000B4120000}"/>
    <cellStyle name="Normal 2 4 2 44" xfId="4148" xr:uid="{00000000-0005-0000-0000-0000B5120000}"/>
    <cellStyle name="Normal 2 4 2 44 2" xfId="22005" xr:uid="{00000000-0005-0000-0000-0000B6120000}"/>
    <cellStyle name="Normal 2 4 2 45" xfId="4149" xr:uid="{00000000-0005-0000-0000-0000B7120000}"/>
    <cellStyle name="Normal 2 4 2 45 2" xfId="22006" xr:uid="{00000000-0005-0000-0000-0000B8120000}"/>
    <cellStyle name="Normal 2 4 2 46" xfId="37665" xr:uid="{00000000-0005-0000-0000-0000B9120000}"/>
    <cellStyle name="Normal 2 4 2 47" xfId="21755" xr:uid="{00000000-0005-0000-0000-0000BA120000}"/>
    <cellStyle name="Normal 2 4 2 5" xfId="4150" xr:uid="{00000000-0005-0000-0000-0000BB120000}"/>
    <cellStyle name="Normal 2 4 2 5 2" xfId="4151" xr:uid="{00000000-0005-0000-0000-0000BC120000}"/>
    <cellStyle name="Normal 2 4 2 6" xfId="4152" xr:uid="{00000000-0005-0000-0000-0000BD120000}"/>
    <cellStyle name="Normal 2 4 2 6 2" xfId="4153" xr:uid="{00000000-0005-0000-0000-0000BE120000}"/>
    <cellStyle name="Normal 2 4 2 7" xfId="4154" xr:uid="{00000000-0005-0000-0000-0000BF120000}"/>
    <cellStyle name="Normal 2 4 2 7 2" xfId="4155" xr:uid="{00000000-0005-0000-0000-0000C0120000}"/>
    <cellStyle name="Normal 2 4 2 8" xfId="4156" xr:uid="{00000000-0005-0000-0000-0000C1120000}"/>
    <cellStyle name="Normal 2 4 2 9" xfId="4157" xr:uid="{00000000-0005-0000-0000-0000C2120000}"/>
    <cellStyle name="Normal 2 4 20" xfId="4158" xr:uid="{00000000-0005-0000-0000-0000C3120000}"/>
    <cellStyle name="Normal 2 4 20 10" xfId="4159" xr:uid="{00000000-0005-0000-0000-0000C4120000}"/>
    <cellStyle name="Normal 2 4 20 10 2" xfId="22008" xr:uid="{00000000-0005-0000-0000-0000C5120000}"/>
    <cellStyle name="Normal 2 4 20 11" xfId="4160" xr:uid="{00000000-0005-0000-0000-0000C6120000}"/>
    <cellStyle name="Normal 2 4 20 11 2" xfId="22009" xr:uid="{00000000-0005-0000-0000-0000C7120000}"/>
    <cellStyle name="Normal 2 4 20 12" xfId="4161" xr:uid="{00000000-0005-0000-0000-0000C8120000}"/>
    <cellStyle name="Normal 2 4 20 12 2" xfId="22010" xr:uid="{00000000-0005-0000-0000-0000C9120000}"/>
    <cellStyle name="Normal 2 4 20 13" xfId="4162" xr:uid="{00000000-0005-0000-0000-0000CA120000}"/>
    <cellStyle name="Normal 2 4 20 13 2" xfId="22011" xr:uid="{00000000-0005-0000-0000-0000CB120000}"/>
    <cellStyle name="Normal 2 4 20 14" xfId="4163" xr:uid="{00000000-0005-0000-0000-0000CC120000}"/>
    <cellStyle name="Normal 2 4 20 14 2" xfId="22012" xr:uid="{00000000-0005-0000-0000-0000CD120000}"/>
    <cellStyle name="Normal 2 4 20 15" xfId="22007" xr:uid="{00000000-0005-0000-0000-0000CE120000}"/>
    <cellStyle name="Normal 2 4 20 2" xfId="4164" xr:uid="{00000000-0005-0000-0000-0000CF120000}"/>
    <cellStyle name="Normal 2 4 20 2 2" xfId="22013" xr:uid="{00000000-0005-0000-0000-0000D0120000}"/>
    <cellStyle name="Normal 2 4 20 3" xfId="4165" xr:uid="{00000000-0005-0000-0000-0000D1120000}"/>
    <cellStyle name="Normal 2 4 20 3 2" xfId="22014" xr:uid="{00000000-0005-0000-0000-0000D2120000}"/>
    <cellStyle name="Normal 2 4 20 4" xfId="4166" xr:uid="{00000000-0005-0000-0000-0000D3120000}"/>
    <cellStyle name="Normal 2 4 20 4 2" xfId="22015" xr:uid="{00000000-0005-0000-0000-0000D4120000}"/>
    <cellStyle name="Normal 2 4 20 5" xfId="4167" xr:uid="{00000000-0005-0000-0000-0000D5120000}"/>
    <cellStyle name="Normal 2 4 20 5 2" xfId="22016" xr:uid="{00000000-0005-0000-0000-0000D6120000}"/>
    <cellStyle name="Normal 2 4 20 6" xfId="4168" xr:uid="{00000000-0005-0000-0000-0000D7120000}"/>
    <cellStyle name="Normal 2 4 20 6 2" xfId="22017" xr:uid="{00000000-0005-0000-0000-0000D8120000}"/>
    <cellStyle name="Normal 2 4 20 7" xfId="4169" xr:uid="{00000000-0005-0000-0000-0000D9120000}"/>
    <cellStyle name="Normal 2 4 20 7 2" xfId="22018" xr:uid="{00000000-0005-0000-0000-0000DA120000}"/>
    <cellStyle name="Normal 2 4 20 8" xfId="4170" xr:uid="{00000000-0005-0000-0000-0000DB120000}"/>
    <cellStyle name="Normal 2 4 20 8 2" xfId="22019" xr:uid="{00000000-0005-0000-0000-0000DC120000}"/>
    <cellStyle name="Normal 2 4 20 9" xfId="4171" xr:uid="{00000000-0005-0000-0000-0000DD120000}"/>
    <cellStyle name="Normal 2 4 20 9 2" xfId="22020" xr:uid="{00000000-0005-0000-0000-0000DE120000}"/>
    <cellStyle name="Normal 2 4 21" xfId="37664" xr:uid="{00000000-0005-0000-0000-0000DF120000}"/>
    <cellStyle name="Normal 2 4 3" xfId="4172" xr:uid="{00000000-0005-0000-0000-0000E0120000}"/>
    <cellStyle name="Normal 2 4 3 10" xfId="4173" xr:uid="{00000000-0005-0000-0000-0000E1120000}"/>
    <cellStyle name="Normal 2 4 3 11" xfId="4174" xr:uid="{00000000-0005-0000-0000-0000E2120000}"/>
    <cellStyle name="Normal 2 4 3 11 2" xfId="4175" xr:uid="{00000000-0005-0000-0000-0000E3120000}"/>
    <cellStyle name="Normal 2 4 3 11 2 10" xfId="4176" xr:uid="{00000000-0005-0000-0000-0000E4120000}"/>
    <cellStyle name="Normal 2 4 3 11 2 10 2" xfId="22023" xr:uid="{00000000-0005-0000-0000-0000E5120000}"/>
    <cellStyle name="Normal 2 4 3 11 2 11" xfId="4177" xr:uid="{00000000-0005-0000-0000-0000E6120000}"/>
    <cellStyle name="Normal 2 4 3 11 2 11 2" xfId="22024" xr:uid="{00000000-0005-0000-0000-0000E7120000}"/>
    <cellStyle name="Normal 2 4 3 11 2 12" xfId="4178" xr:uid="{00000000-0005-0000-0000-0000E8120000}"/>
    <cellStyle name="Normal 2 4 3 11 2 12 2" xfId="22025" xr:uid="{00000000-0005-0000-0000-0000E9120000}"/>
    <cellStyle name="Normal 2 4 3 11 2 13" xfId="4179" xr:uid="{00000000-0005-0000-0000-0000EA120000}"/>
    <cellStyle name="Normal 2 4 3 11 2 13 2" xfId="22026" xr:uid="{00000000-0005-0000-0000-0000EB120000}"/>
    <cellStyle name="Normal 2 4 3 11 2 14" xfId="4180" xr:uid="{00000000-0005-0000-0000-0000EC120000}"/>
    <cellStyle name="Normal 2 4 3 11 2 14 2" xfId="22027" xr:uid="{00000000-0005-0000-0000-0000ED120000}"/>
    <cellStyle name="Normal 2 4 3 11 2 15" xfId="22022" xr:uid="{00000000-0005-0000-0000-0000EE120000}"/>
    <cellStyle name="Normal 2 4 3 11 2 2" xfId="4181" xr:uid="{00000000-0005-0000-0000-0000EF120000}"/>
    <cellStyle name="Normal 2 4 3 11 2 2 2" xfId="22028" xr:uid="{00000000-0005-0000-0000-0000F0120000}"/>
    <cellStyle name="Normal 2 4 3 11 2 3" xfId="4182" xr:uid="{00000000-0005-0000-0000-0000F1120000}"/>
    <cellStyle name="Normal 2 4 3 11 2 3 2" xfId="22029" xr:uid="{00000000-0005-0000-0000-0000F2120000}"/>
    <cellStyle name="Normal 2 4 3 11 2 4" xfId="4183" xr:uid="{00000000-0005-0000-0000-0000F3120000}"/>
    <cellStyle name="Normal 2 4 3 11 2 4 2" xfId="22030" xr:uid="{00000000-0005-0000-0000-0000F4120000}"/>
    <cellStyle name="Normal 2 4 3 11 2 5" xfId="4184" xr:uid="{00000000-0005-0000-0000-0000F5120000}"/>
    <cellStyle name="Normal 2 4 3 11 2 5 2" xfId="22031" xr:uid="{00000000-0005-0000-0000-0000F6120000}"/>
    <cellStyle name="Normal 2 4 3 11 2 6" xfId="4185" xr:uid="{00000000-0005-0000-0000-0000F7120000}"/>
    <cellStyle name="Normal 2 4 3 11 2 6 2" xfId="22032" xr:uid="{00000000-0005-0000-0000-0000F8120000}"/>
    <cellStyle name="Normal 2 4 3 11 2 7" xfId="4186" xr:uid="{00000000-0005-0000-0000-0000F9120000}"/>
    <cellStyle name="Normal 2 4 3 11 2 7 2" xfId="22033" xr:uid="{00000000-0005-0000-0000-0000FA120000}"/>
    <cellStyle name="Normal 2 4 3 11 2 8" xfId="4187" xr:uid="{00000000-0005-0000-0000-0000FB120000}"/>
    <cellStyle name="Normal 2 4 3 11 2 8 2" xfId="22034" xr:uid="{00000000-0005-0000-0000-0000FC120000}"/>
    <cellStyle name="Normal 2 4 3 11 2 9" xfId="4188" xr:uid="{00000000-0005-0000-0000-0000FD120000}"/>
    <cellStyle name="Normal 2 4 3 11 2 9 2" xfId="22035" xr:uid="{00000000-0005-0000-0000-0000FE120000}"/>
    <cellStyle name="Normal 2 4 3 11 3" xfId="4189" xr:uid="{00000000-0005-0000-0000-0000FF120000}"/>
    <cellStyle name="Normal 2 4 3 11 3 10" xfId="4190" xr:uid="{00000000-0005-0000-0000-000000130000}"/>
    <cellStyle name="Normal 2 4 3 11 3 10 2" xfId="22037" xr:uid="{00000000-0005-0000-0000-000001130000}"/>
    <cellStyle name="Normal 2 4 3 11 3 11" xfId="4191" xr:uid="{00000000-0005-0000-0000-000002130000}"/>
    <cellStyle name="Normal 2 4 3 11 3 11 2" xfId="22038" xr:uid="{00000000-0005-0000-0000-000003130000}"/>
    <cellStyle name="Normal 2 4 3 11 3 12" xfId="4192" xr:uid="{00000000-0005-0000-0000-000004130000}"/>
    <cellStyle name="Normal 2 4 3 11 3 12 2" xfId="22039" xr:uid="{00000000-0005-0000-0000-000005130000}"/>
    <cellStyle name="Normal 2 4 3 11 3 13" xfId="4193" xr:uid="{00000000-0005-0000-0000-000006130000}"/>
    <cellStyle name="Normal 2 4 3 11 3 13 2" xfId="22040" xr:uid="{00000000-0005-0000-0000-000007130000}"/>
    <cellStyle name="Normal 2 4 3 11 3 14" xfId="4194" xr:uid="{00000000-0005-0000-0000-000008130000}"/>
    <cellStyle name="Normal 2 4 3 11 3 14 2" xfId="22041" xr:uid="{00000000-0005-0000-0000-000009130000}"/>
    <cellStyle name="Normal 2 4 3 11 3 15" xfId="22036" xr:uid="{00000000-0005-0000-0000-00000A130000}"/>
    <cellStyle name="Normal 2 4 3 11 3 2" xfId="4195" xr:uid="{00000000-0005-0000-0000-00000B130000}"/>
    <cellStyle name="Normal 2 4 3 11 3 2 2" xfId="22042" xr:uid="{00000000-0005-0000-0000-00000C130000}"/>
    <cellStyle name="Normal 2 4 3 11 3 3" xfId="4196" xr:uid="{00000000-0005-0000-0000-00000D130000}"/>
    <cellStyle name="Normal 2 4 3 11 3 3 2" xfId="22043" xr:uid="{00000000-0005-0000-0000-00000E130000}"/>
    <cellStyle name="Normal 2 4 3 11 3 4" xfId="4197" xr:uid="{00000000-0005-0000-0000-00000F130000}"/>
    <cellStyle name="Normal 2 4 3 11 3 4 2" xfId="22044" xr:uid="{00000000-0005-0000-0000-000010130000}"/>
    <cellStyle name="Normal 2 4 3 11 3 5" xfId="4198" xr:uid="{00000000-0005-0000-0000-000011130000}"/>
    <cellStyle name="Normal 2 4 3 11 3 5 2" xfId="22045" xr:uid="{00000000-0005-0000-0000-000012130000}"/>
    <cellStyle name="Normal 2 4 3 11 3 6" xfId="4199" xr:uid="{00000000-0005-0000-0000-000013130000}"/>
    <cellStyle name="Normal 2 4 3 11 3 6 2" xfId="22046" xr:uid="{00000000-0005-0000-0000-000014130000}"/>
    <cellStyle name="Normal 2 4 3 11 3 7" xfId="4200" xr:uid="{00000000-0005-0000-0000-000015130000}"/>
    <cellStyle name="Normal 2 4 3 11 3 7 2" xfId="22047" xr:uid="{00000000-0005-0000-0000-000016130000}"/>
    <cellStyle name="Normal 2 4 3 11 3 8" xfId="4201" xr:uid="{00000000-0005-0000-0000-000017130000}"/>
    <cellStyle name="Normal 2 4 3 11 3 8 2" xfId="22048" xr:uid="{00000000-0005-0000-0000-000018130000}"/>
    <cellStyle name="Normal 2 4 3 11 3 9" xfId="4202" xr:uid="{00000000-0005-0000-0000-000019130000}"/>
    <cellStyle name="Normal 2 4 3 11 3 9 2" xfId="22049" xr:uid="{00000000-0005-0000-0000-00001A130000}"/>
    <cellStyle name="Normal 2 4 3 11 4" xfId="4203" xr:uid="{00000000-0005-0000-0000-00001B130000}"/>
    <cellStyle name="Normal 2 4 3 11 4 10" xfId="4204" xr:uid="{00000000-0005-0000-0000-00001C130000}"/>
    <cellStyle name="Normal 2 4 3 11 4 10 2" xfId="22051" xr:uid="{00000000-0005-0000-0000-00001D130000}"/>
    <cellStyle name="Normal 2 4 3 11 4 11" xfId="4205" xr:uid="{00000000-0005-0000-0000-00001E130000}"/>
    <cellStyle name="Normal 2 4 3 11 4 11 2" xfId="22052" xr:uid="{00000000-0005-0000-0000-00001F130000}"/>
    <cellStyle name="Normal 2 4 3 11 4 12" xfId="4206" xr:uid="{00000000-0005-0000-0000-000020130000}"/>
    <cellStyle name="Normal 2 4 3 11 4 12 2" xfId="22053" xr:uid="{00000000-0005-0000-0000-000021130000}"/>
    <cellStyle name="Normal 2 4 3 11 4 13" xfId="4207" xr:uid="{00000000-0005-0000-0000-000022130000}"/>
    <cellStyle name="Normal 2 4 3 11 4 13 2" xfId="22054" xr:uid="{00000000-0005-0000-0000-000023130000}"/>
    <cellStyle name="Normal 2 4 3 11 4 14" xfId="4208" xr:uid="{00000000-0005-0000-0000-000024130000}"/>
    <cellStyle name="Normal 2 4 3 11 4 14 2" xfId="22055" xr:uid="{00000000-0005-0000-0000-000025130000}"/>
    <cellStyle name="Normal 2 4 3 11 4 15" xfId="22050" xr:uid="{00000000-0005-0000-0000-000026130000}"/>
    <cellStyle name="Normal 2 4 3 11 4 2" xfId="4209" xr:uid="{00000000-0005-0000-0000-000027130000}"/>
    <cellStyle name="Normal 2 4 3 11 4 2 2" xfId="22056" xr:uid="{00000000-0005-0000-0000-000028130000}"/>
    <cellStyle name="Normal 2 4 3 11 4 3" xfId="4210" xr:uid="{00000000-0005-0000-0000-000029130000}"/>
    <cellStyle name="Normal 2 4 3 11 4 3 2" xfId="22057" xr:uid="{00000000-0005-0000-0000-00002A130000}"/>
    <cellStyle name="Normal 2 4 3 11 4 4" xfId="4211" xr:uid="{00000000-0005-0000-0000-00002B130000}"/>
    <cellStyle name="Normal 2 4 3 11 4 4 2" xfId="22058" xr:uid="{00000000-0005-0000-0000-00002C130000}"/>
    <cellStyle name="Normal 2 4 3 11 4 5" xfId="4212" xr:uid="{00000000-0005-0000-0000-00002D130000}"/>
    <cellStyle name="Normal 2 4 3 11 4 5 2" xfId="22059" xr:uid="{00000000-0005-0000-0000-00002E130000}"/>
    <cellStyle name="Normal 2 4 3 11 4 6" xfId="4213" xr:uid="{00000000-0005-0000-0000-00002F130000}"/>
    <cellStyle name="Normal 2 4 3 11 4 6 2" xfId="22060" xr:uid="{00000000-0005-0000-0000-000030130000}"/>
    <cellStyle name="Normal 2 4 3 11 4 7" xfId="4214" xr:uid="{00000000-0005-0000-0000-000031130000}"/>
    <cellStyle name="Normal 2 4 3 11 4 7 2" xfId="22061" xr:uid="{00000000-0005-0000-0000-000032130000}"/>
    <cellStyle name="Normal 2 4 3 11 4 8" xfId="4215" xr:uid="{00000000-0005-0000-0000-000033130000}"/>
    <cellStyle name="Normal 2 4 3 11 4 8 2" xfId="22062" xr:uid="{00000000-0005-0000-0000-000034130000}"/>
    <cellStyle name="Normal 2 4 3 11 4 9" xfId="4216" xr:uid="{00000000-0005-0000-0000-000035130000}"/>
    <cellStyle name="Normal 2 4 3 11 4 9 2" xfId="22063" xr:uid="{00000000-0005-0000-0000-000036130000}"/>
    <cellStyle name="Normal 2 4 3 12" xfId="4217" xr:uid="{00000000-0005-0000-0000-000037130000}"/>
    <cellStyle name="Normal 2 4 3 12 10" xfId="4218" xr:uid="{00000000-0005-0000-0000-000038130000}"/>
    <cellStyle name="Normal 2 4 3 12 10 2" xfId="22065" xr:uid="{00000000-0005-0000-0000-000039130000}"/>
    <cellStyle name="Normal 2 4 3 12 11" xfId="4219" xr:uid="{00000000-0005-0000-0000-00003A130000}"/>
    <cellStyle name="Normal 2 4 3 12 11 2" xfId="22066" xr:uid="{00000000-0005-0000-0000-00003B130000}"/>
    <cellStyle name="Normal 2 4 3 12 12" xfId="4220" xr:uid="{00000000-0005-0000-0000-00003C130000}"/>
    <cellStyle name="Normal 2 4 3 12 12 2" xfId="22067" xr:uid="{00000000-0005-0000-0000-00003D130000}"/>
    <cellStyle name="Normal 2 4 3 12 13" xfId="4221" xr:uid="{00000000-0005-0000-0000-00003E130000}"/>
    <cellStyle name="Normal 2 4 3 12 13 2" xfId="22068" xr:uid="{00000000-0005-0000-0000-00003F130000}"/>
    <cellStyle name="Normal 2 4 3 12 14" xfId="4222" xr:uid="{00000000-0005-0000-0000-000040130000}"/>
    <cellStyle name="Normal 2 4 3 12 14 2" xfId="22069" xr:uid="{00000000-0005-0000-0000-000041130000}"/>
    <cellStyle name="Normal 2 4 3 12 15" xfId="22064" xr:uid="{00000000-0005-0000-0000-000042130000}"/>
    <cellStyle name="Normal 2 4 3 12 2" xfId="4223" xr:uid="{00000000-0005-0000-0000-000043130000}"/>
    <cellStyle name="Normal 2 4 3 12 2 2" xfId="22070" xr:uid="{00000000-0005-0000-0000-000044130000}"/>
    <cellStyle name="Normal 2 4 3 12 3" xfId="4224" xr:uid="{00000000-0005-0000-0000-000045130000}"/>
    <cellStyle name="Normal 2 4 3 12 3 2" xfId="22071" xr:uid="{00000000-0005-0000-0000-000046130000}"/>
    <cellStyle name="Normal 2 4 3 12 4" xfId="4225" xr:uid="{00000000-0005-0000-0000-000047130000}"/>
    <cellStyle name="Normal 2 4 3 12 4 2" xfId="22072" xr:uid="{00000000-0005-0000-0000-000048130000}"/>
    <cellStyle name="Normal 2 4 3 12 5" xfId="4226" xr:uid="{00000000-0005-0000-0000-000049130000}"/>
    <cellStyle name="Normal 2 4 3 12 5 2" xfId="22073" xr:uid="{00000000-0005-0000-0000-00004A130000}"/>
    <cellStyle name="Normal 2 4 3 12 6" xfId="4227" xr:uid="{00000000-0005-0000-0000-00004B130000}"/>
    <cellStyle name="Normal 2 4 3 12 6 2" xfId="22074" xr:uid="{00000000-0005-0000-0000-00004C130000}"/>
    <cellStyle name="Normal 2 4 3 12 7" xfId="4228" xr:uid="{00000000-0005-0000-0000-00004D130000}"/>
    <cellStyle name="Normal 2 4 3 12 7 2" xfId="22075" xr:uid="{00000000-0005-0000-0000-00004E130000}"/>
    <cellStyle name="Normal 2 4 3 12 8" xfId="4229" xr:uid="{00000000-0005-0000-0000-00004F130000}"/>
    <cellStyle name="Normal 2 4 3 12 8 2" xfId="22076" xr:uid="{00000000-0005-0000-0000-000050130000}"/>
    <cellStyle name="Normal 2 4 3 12 9" xfId="4230" xr:uid="{00000000-0005-0000-0000-000051130000}"/>
    <cellStyle name="Normal 2 4 3 12 9 2" xfId="22077" xr:uid="{00000000-0005-0000-0000-000052130000}"/>
    <cellStyle name="Normal 2 4 3 13" xfId="4231" xr:uid="{00000000-0005-0000-0000-000053130000}"/>
    <cellStyle name="Normal 2 4 3 14" xfId="4232" xr:uid="{00000000-0005-0000-0000-000054130000}"/>
    <cellStyle name="Normal 2 4 3 15" xfId="4233" xr:uid="{00000000-0005-0000-0000-000055130000}"/>
    <cellStyle name="Normal 2 4 3 16" xfId="4234" xr:uid="{00000000-0005-0000-0000-000056130000}"/>
    <cellStyle name="Normal 2 4 3 16 2" xfId="22078" xr:uid="{00000000-0005-0000-0000-000057130000}"/>
    <cellStyle name="Normal 2 4 3 17" xfId="4235" xr:uid="{00000000-0005-0000-0000-000058130000}"/>
    <cellStyle name="Normal 2 4 3 17 2" xfId="22079" xr:uid="{00000000-0005-0000-0000-000059130000}"/>
    <cellStyle name="Normal 2 4 3 18" xfId="4236" xr:uid="{00000000-0005-0000-0000-00005A130000}"/>
    <cellStyle name="Normal 2 4 3 18 2" xfId="22080" xr:uid="{00000000-0005-0000-0000-00005B130000}"/>
    <cellStyle name="Normal 2 4 3 19" xfId="4237" xr:uid="{00000000-0005-0000-0000-00005C130000}"/>
    <cellStyle name="Normal 2 4 3 19 2" xfId="22081" xr:uid="{00000000-0005-0000-0000-00005D130000}"/>
    <cellStyle name="Normal 2 4 3 2" xfId="4238" xr:uid="{00000000-0005-0000-0000-00005E130000}"/>
    <cellStyle name="Normal 2 4 3 2 2" xfId="4239" xr:uid="{00000000-0005-0000-0000-00005F130000}"/>
    <cellStyle name="Normal 2 4 3 2 2 2" xfId="4240" xr:uid="{00000000-0005-0000-0000-000060130000}"/>
    <cellStyle name="Normal 2 4 3 2 2 2 2" xfId="4241" xr:uid="{00000000-0005-0000-0000-000061130000}"/>
    <cellStyle name="Normal 2 4 3 2 2 2 3" xfId="4242" xr:uid="{00000000-0005-0000-0000-000062130000}"/>
    <cellStyle name="Normal 2 4 3 2 2 2 4" xfId="4243" xr:uid="{00000000-0005-0000-0000-000063130000}"/>
    <cellStyle name="Normal 2 4 3 2 2 3" xfId="4244" xr:uid="{00000000-0005-0000-0000-000064130000}"/>
    <cellStyle name="Normal 2 4 3 2 2 4" xfId="4245" xr:uid="{00000000-0005-0000-0000-000065130000}"/>
    <cellStyle name="Normal 2 4 3 2 2 5" xfId="4246" xr:uid="{00000000-0005-0000-0000-000066130000}"/>
    <cellStyle name="Normal 2 4 3 2 3" xfId="4247" xr:uid="{00000000-0005-0000-0000-000067130000}"/>
    <cellStyle name="Normal 2 4 3 2 3 2" xfId="4248" xr:uid="{00000000-0005-0000-0000-000068130000}"/>
    <cellStyle name="Normal 2 4 3 2 3 3" xfId="4249" xr:uid="{00000000-0005-0000-0000-000069130000}"/>
    <cellStyle name="Normal 2 4 3 2 3 4" xfId="4250" xr:uid="{00000000-0005-0000-0000-00006A130000}"/>
    <cellStyle name="Normal 2 4 3 2 4" xfId="4251" xr:uid="{00000000-0005-0000-0000-00006B130000}"/>
    <cellStyle name="Normal 2 4 3 2 5" xfId="4252" xr:uid="{00000000-0005-0000-0000-00006C130000}"/>
    <cellStyle name="Normal 2 4 3 2 6" xfId="4253" xr:uid="{00000000-0005-0000-0000-00006D130000}"/>
    <cellStyle name="Normal 2 4 3 20" xfId="4254" xr:uid="{00000000-0005-0000-0000-00006E130000}"/>
    <cellStyle name="Normal 2 4 3 20 2" xfId="22082" xr:uid="{00000000-0005-0000-0000-00006F130000}"/>
    <cellStyle name="Normal 2 4 3 21" xfId="4255" xr:uid="{00000000-0005-0000-0000-000070130000}"/>
    <cellStyle name="Normal 2 4 3 21 2" xfId="22083" xr:uid="{00000000-0005-0000-0000-000071130000}"/>
    <cellStyle name="Normal 2 4 3 22" xfId="4256" xr:uid="{00000000-0005-0000-0000-000072130000}"/>
    <cellStyle name="Normal 2 4 3 22 2" xfId="22084" xr:uid="{00000000-0005-0000-0000-000073130000}"/>
    <cellStyle name="Normal 2 4 3 23" xfId="4257" xr:uid="{00000000-0005-0000-0000-000074130000}"/>
    <cellStyle name="Normal 2 4 3 23 2" xfId="22085" xr:uid="{00000000-0005-0000-0000-000075130000}"/>
    <cellStyle name="Normal 2 4 3 24" xfId="4258" xr:uid="{00000000-0005-0000-0000-000076130000}"/>
    <cellStyle name="Normal 2 4 3 24 2" xfId="22086" xr:uid="{00000000-0005-0000-0000-000077130000}"/>
    <cellStyle name="Normal 2 4 3 25" xfId="4259" xr:uid="{00000000-0005-0000-0000-000078130000}"/>
    <cellStyle name="Normal 2 4 3 25 2" xfId="22087" xr:uid="{00000000-0005-0000-0000-000079130000}"/>
    <cellStyle name="Normal 2 4 3 26" xfId="4260" xr:uid="{00000000-0005-0000-0000-00007A130000}"/>
    <cellStyle name="Normal 2 4 3 26 2" xfId="22088" xr:uid="{00000000-0005-0000-0000-00007B130000}"/>
    <cellStyle name="Normal 2 4 3 27" xfId="4261" xr:uid="{00000000-0005-0000-0000-00007C130000}"/>
    <cellStyle name="Normal 2 4 3 27 2" xfId="22089" xr:uid="{00000000-0005-0000-0000-00007D130000}"/>
    <cellStyle name="Normal 2 4 3 28" xfId="4262" xr:uid="{00000000-0005-0000-0000-00007E130000}"/>
    <cellStyle name="Normal 2 4 3 28 2" xfId="22090" xr:uid="{00000000-0005-0000-0000-00007F130000}"/>
    <cellStyle name="Normal 2 4 3 29" xfId="22021" xr:uid="{00000000-0005-0000-0000-000080130000}"/>
    <cellStyle name="Normal 2 4 3 3" xfId="4263" xr:uid="{00000000-0005-0000-0000-000081130000}"/>
    <cellStyle name="Normal 2 4 3 4" xfId="4264" xr:uid="{00000000-0005-0000-0000-000082130000}"/>
    <cellStyle name="Normal 2 4 3 5" xfId="4265" xr:uid="{00000000-0005-0000-0000-000083130000}"/>
    <cellStyle name="Normal 2 4 3 6" xfId="4266" xr:uid="{00000000-0005-0000-0000-000084130000}"/>
    <cellStyle name="Normal 2 4 3 7" xfId="4267" xr:uid="{00000000-0005-0000-0000-000085130000}"/>
    <cellStyle name="Normal 2 4 3 8" xfId="4268" xr:uid="{00000000-0005-0000-0000-000086130000}"/>
    <cellStyle name="Normal 2 4 3 9" xfId="4269" xr:uid="{00000000-0005-0000-0000-000087130000}"/>
    <cellStyle name="Normal 2 4 4" xfId="4270" xr:uid="{00000000-0005-0000-0000-000088130000}"/>
    <cellStyle name="Normal 2 4 4 10" xfId="4271" xr:uid="{00000000-0005-0000-0000-000089130000}"/>
    <cellStyle name="Normal 2 4 4 10 2" xfId="22092" xr:uid="{00000000-0005-0000-0000-00008A130000}"/>
    <cellStyle name="Normal 2 4 4 11" xfId="4272" xr:uid="{00000000-0005-0000-0000-00008B130000}"/>
    <cellStyle name="Normal 2 4 4 11 2" xfId="22093" xr:uid="{00000000-0005-0000-0000-00008C130000}"/>
    <cellStyle name="Normal 2 4 4 12" xfId="4273" xr:uid="{00000000-0005-0000-0000-00008D130000}"/>
    <cellStyle name="Normal 2 4 4 12 2" xfId="22094" xr:uid="{00000000-0005-0000-0000-00008E130000}"/>
    <cellStyle name="Normal 2 4 4 13" xfId="4274" xr:uid="{00000000-0005-0000-0000-00008F130000}"/>
    <cellStyle name="Normal 2 4 4 13 2" xfId="22095" xr:uid="{00000000-0005-0000-0000-000090130000}"/>
    <cellStyle name="Normal 2 4 4 14" xfId="4275" xr:uid="{00000000-0005-0000-0000-000091130000}"/>
    <cellStyle name="Normal 2 4 4 14 2" xfId="22096" xr:uid="{00000000-0005-0000-0000-000092130000}"/>
    <cellStyle name="Normal 2 4 4 15" xfId="4276" xr:uid="{00000000-0005-0000-0000-000093130000}"/>
    <cellStyle name="Normal 2 4 4 15 2" xfId="22097" xr:uid="{00000000-0005-0000-0000-000094130000}"/>
    <cellStyle name="Normal 2 4 4 16" xfId="4277" xr:uid="{00000000-0005-0000-0000-000095130000}"/>
    <cellStyle name="Normal 2 4 4 16 2" xfId="22098" xr:uid="{00000000-0005-0000-0000-000096130000}"/>
    <cellStyle name="Normal 2 4 4 17" xfId="4278" xr:uid="{00000000-0005-0000-0000-000097130000}"/>
    <cellStyle name="Normal 2 4 4 17 2" xfId="22099" xr:uid="{00000000-0005-0000-0000-000098130000}"/>
    <cellStyle name="Normal 2 4 4 18" xfId="4279" xr:uid="{00000000-0005-0000-0000-000099130000}"/>
    <cellStyle name="Normal 2 4 4 18 2" xfId="22100" xr:uid="{00000000-0005-0000-0000-00009A130000}"/>
    <cellStyle name="Normal 2 4 4 19" xfId="4280" xr:uid="{00000000-0005-0000-0000-00009B130000}"/>
    <cellStyle name="Normal 2 4 4 19 2" xfId="22101" xr:uid="{00000000-0005-0000-0000-00009C130000}"/>
    <cellStyle name="Normal 2 4 4 2" xfId="4281" xr:uid="{00000000-0005-0000-0000-00009D130000}"/>
    <cellStyle name="Normal 2 4 4 2 2" xfId="4282" xr:uid="{00000000-0005-0000-0000-00009E130000}"/>
    <cellStyle name="Normal 2 4 4 2 2 10" xfId="4283" xr:uid="{00000000-0005-0000-0000-00009F130000}"/>
    <cellStyle name="Normal 2 4 4 2 2 10 2" xfId="22103" xr:uid="{00000000-0005-0000-0000-0000A0130000}"/>
    <cellStyle name="Normal 2 4 4 2 2 11" xfId="4284" xr:uid="{00000000-0005-0000-0000-0000A1130000}"/>
    <cellStyle name="Normal 2 4 4 2 2 11 2" xfId="22104" xr:uid="{00000000-0005-0000-0000-0000A2130000}"/>
    <cellStyle name="Normal 2 4 4 2 2 12" xfId="4285" xr:uid="{00000000-0005-0000-0000-0000A3130000}"/>
    <cellStyle name="Normal 2 4 4 2 2 12 2" xfId="22105" xr:uid="{00000000-0005-0000-0000-0000A4130000}"/>
    <cellStyle name="Normal 2 4 4 2 2 13" xfId="4286" xr:uid="{00000000-0005-0000-0000-0000A5130000}"/>
    <cellStyle name="Normal 2 4 4 2 2 13 2" xfId="22106" xr:uid="{00000000-0005-0000-0000-0000A6130000}"/>
    <cellStyle name="Normal 2 4 4 2 2 14" xfId="4287" xr:uid="{00000000-0005-0000-0000-0000A7130000}"/>
    <cellStyle name="Normal 2 4 4 2 2 14 2" xfId="22107" xr:uid="{00000000-0005-0000-0000-0000A8130000}"/>
    <cellStyle name="Normal 2 4 4 2 2 15" xfId="4288" xr:uid="{00000000-0005-0000-0000-0000A9130000}"/>
    <cellStyle name="Normal 2 4 4 2 2 15 2" xfId="22108" xr:uid="{00000000-0005-0000-0000-0000AA130000}"/>
    <cellStyle name="Normal 2 4 4 2 2 16" xfId="4289" xr:uid="{00000000-0005-0000-0000-0000AB130000}"/>
    <cellStyle name="Normal 2 4 4 2 2 16 2" xfId="22109" xr:uid="{00000000-0005-0000-0000-0000AC130000}"/>
    <cellStyle name="Normal 2 4 4 2 2 17" xfId="4290" xr:uid="{00000000-0005-0000-0000-0000AD130000}"/>
    <cellStyle name="Normal 2 4 4 2 2 17 2" xfId="22110" xr:uid="{00000000-0005-0000-0000-0000AE130000}"/>
    <cellStyle name="Normal 2 4 4 2 2 18" xfId="22102" xr:uid="{00000000-0005-0000-0000-0000AF130000}"/>
    <cellStyle name="Normal 2 4 4 2 2 2" xfId="4291" xr:uid="{00000000-0005-0000-0000-0000B0130000}"/>
    <cellStyle name="Normal 2 4 4 2 2 3" xfId="4292" xr:uid="{00000000-0005-0000-0000-0000B1130000}"/>
    <cellStyle name="Normal 2 4 4 2 2 4" xfId="4293" xr:uid="{00000000-0005-0000-0000-0000B2130000}"/>
    <cellStyle name="Normal 2 4 4 2 2 5" xfId="4294" xr:uid="{00000000-0005-0000-0000-0000B3130000}"/>
    <cellStyle name="Normal 2 4 4 2 2 5 2" xfId="22111" xr:uid="{00000000-0005-0000-0000-0000B4130000}"/>
    <cellStyle name="Normal 2 4 4 2 2 6" xfId="4295" xr:uid="{00000000-0005-0000-0000-0000B5130000}"/>
    <cellStyle name="Normal 2 4 4 2 2 6 2" xfId="22112" xr:uid="{00000000-0005-0000-0000-0000B6130000}"/>
    <cellStyle name="Normal 2 4 4 2 2 7" xfId="4296" xr:uid="{00000000-0005-0000-0000-0000B7130000}"/>
    <cellStyle name="Normal 2 4 4 2 2 7 2" xfId="22113" xr:uid="{00000000-0005-0000-0000-0000B8130000}"/>
    <cellStyle name="Normal 2 4 4 2 2 8" xfId="4297" xr:uid="{00000000-0005-0000-0000-0000B9130000}"/>
    <cellStyle name="Normal 2 4 4 2 2 8 2" xfId="22114" xr:uid="{00000000-0005-0000-0000-0000BA130000}"/>
    <cellStyle name="Normal 2 4 4 2 2 9" xfId="4298" xr:uid="{00000000-0005-0000-0000-0000BB130000}"/>
    <cellStyle name="Normal 2 4 4 2 2 9 2" xfId="22115" xr:uid="{00000000-0005-0000-0000-0000BC130000}"/>
    <cellStyle name="Normal 2 4 4 2 3" xfId="4299" xr:uid="{00000000-0005-0000-0000-0000BD130000}"/>
    <cellStyle name="Normal 2 4 4 2 4" xfId="4300" xr:uid="{00000000-0005-0000-0000-0000BE130000}"/>
    <cellStyle name="Normal 2 4 4 2 4 10" xfId="4301" xr:uid="{00000000-0005-0000-0000-0000BF130000}"/>
    <cellStyle name="Normal 2 4 4 2 4 10 2" xfId="22117" xr:uid="{00000000-0005-0000-0000-0000C0130000}"/>
    <cellStyle name="Normal 2 4 4 2 4 11" xfId="4302" xr:uid="{00000000-0005-0000-0000-0000C1130000}"/>
    <cellStyle name="Normal 2 4 4 2 4 11 2" xfId="22118" xr:uid="{00000000-0005-0000-0000-0000C2130000}"/>
    <cellStyle name="Normal 2 4 4 2 4 12" xfId="4303" xr:uid="{00000000-0005-0000-0000-0000C3130000}"/>
    <cellStyle name="Normal 2 4 4 2 4 12 2" xfId="22119" xr:uid="{00000000-0005-0000-0000-0000C4130000}"/>
    <cellStyle name="Normal 2 4 4 2 4 13" xfId="4304" xr:uid="{00000000-0005-0000-0000-0000C5130000}"/>
    <cellStyle name="Normal 2 4 4 2 4 13 2" xfId="22120" xr:uid="{00000000-0005-0000-0000-0000C6130000}"/>
    <cellStyle name="Normal 2 4 4 2 4 14" xfId="4305" xr:uid="{00000000-0005-0000-0000-0000C7130000}"/>
    <cellStyle name="Normal 2 4 4 2 4 14 2" xfId="22121" xr:uid="{00000000-0005-0000-0000-0000C8130000}"/>
    <cellStyle name="Normal 2 4 4 2 4 15" xfId="22116" xr:uid="{00000000-0005-0000-0000-0000C9130000}"/>
    <cellStyle name="Normal 2 4 4 2 4 2" xfId="4306" xr:uid="{00000000-0005-0000-0000-0000CA130000}"/>
    <cellStyle name="Normal 2 4 4 2 4 2 2" xfId="22122" xr:uid="{00000000-0005-0000-0000-0000CB130000}"/>
    <cellStyle name="Normal 2 4 4 2 4 3" xfId="4307" xr:uid="{00000000-0005-0000-0000-0000CC130000}"/>
    <cellStyle name="Normal 2 4 4 2 4 3 2" xfId="22123" xr:uid="{00000000-0005-0000-0000-0000CD130000}"/>
    <cellStyle name="Normal 2 4 4 2 4 4" xfId="4308" xr:uid="{00000000-0005-0000-0000-0000CE130000}"/>
    <cellStyle name="Normal 2 4 4 2 4 4 2" xfId="22124" xr:uid="{00000000-0005-0000-0000-0000CF130000}"/>
    <cellStyle name="Normal 2 4 4 2 4 5" xfId="4309" xr:uid="{00000000-0005-0000-0000-0000D0130000}"/>
    <cellStyle name="Normal 2 4 4 2 4 5 2" xfId="22125" xr:uid="{00000000-0005-0000-0000-0000D1130000}"/>
    <cellStyle name="Normal 2 4 4 2 4 6" xfId="4310" xr:uid="{00000000-0005-0000-0000-0000D2130000}"/>
    <cellStyle name="Normal 2 4 4 2 4 6 2" xfId="22126" xr:uid="{00000000-0005-0000-0000-0000D3130000}"/>
    <cellStyle name="Normal 2 4 4 2 4 7" xfId="4311" xr:uid="{00000000-0005-0000-0000-0000D4130000}"/>
    <cellStyle name="Normal 2 4 4 2 4 7 2" xfId="22127" xr:uid="{00000000-0005-0000-0000-0000D5130000}"/>
    <cellStyle name="Normal 2 4 4 2 4 8" xfId="4312" xr:uid="{00000000-0005-0000-0000-0000D6130000}"/>
    <cellStyle name="Normal 2 4 4 2 4 8 2" xfId="22128" xr:uid="{00000000-0005-0000-0000-0000D7130000}"/>
    <cellStyle name="Normal 2 4 4 2 4 9" xfId="4313" xr:uid="{00000000-0005-0000-0000-0000D8130000}"/>
    <cellStyle name="Normal 2 4 4 2 4 9 2" xfId="22129" xr:uid="{00000000-0005-0000-0000-0000D9130000}"/>
    <cellStyle name="Normal 2 4 4 2 5" xfId="4314" xr:uid="{00000000-0005-0000-0000-0000DA130000}"/>
    <cellStyle name="Normal 2 4 4 2 5 10" xfId="4315" xr:uid="{00000000-0005-0000-0000-0000DB130000}"/>
    <cellStyle name="Normal 2 4 4 2 5 10 2" xfId="22131" xr:uid="{00000000-0005-0000-0000-0000DC130000}"/>
    <cellStyle name="Normal 2 4 4 2 5 11" xfId="4316" xr:uid="{00000000-0005-0000-0000-0000DD130000}"/>
    <cellStyle name="Normal 2 4 4 2 5 11 2" xfId="22132" xr:uid="{00000000-0005-0000-0000-0000DE130000}"/>
    <cellStyle name="Normal 2 4 4 2 5 12" xfId="4317" xr:uid="{00000000-0005-0000-0000-0000DF130000}"/>
    <cellStyle name="Normal 2 4 4 2 5 12 2" xfId="22133" xr:uid="{00000000-0005-0000-0000-0000E0130000}"/>
    <cellStyle name="Normal 2 4 4 2 5 13" xfId="4318" xr:uid="{00000000-0005-0000-0000-0000E1130000}"/>
    <cellStyle name="Normal 2 4 4 2 5 13 2" xfId="22134" xr:uid="{00000000-0005-0000-0000-0000E2130000}"/>
    <cellStyle name="Normal 2 4 4 2 5 14" xfId="4319" xr:uid="{00000000-0005-0000-0000-0000E3130000}"/>
    <cellStyle name="Normal 2 4 4 2 5 14 2" xfId="22135" xr:uid="{00000000-0005-0000-0000-0000E4130000}"/>
    <cellStyle name="Normal 2 4 4 2 5 15" xfId="22130" xr:uid="{00000000-0005-0000-0000-0000E5130000}"/>
    <cellStyle name="Normal 2 4 4 2 5 2" xfId="4320" xr:uid="{00000000-0005-0000-0000-0000E6130000}"/>
    <cellStyle name="Normal 2 4 4 2 5 2 2" xfId="22136" xr:uid="{00000000-0005-0000-0000-0000E7130000}"/>
    <cellStyle name="Normal 2 4 4 2 5 3" xfId="4321" xr:uid="{00000000-0005-0000-0000-0000E8130000}"/>
    <cellStyle name="Normal 2 4 4 2 5 3 2" xfId="22137" xr:uid="{00000000-0005-0000-0000-0000E9130000}"/>
    <cellStyle name="Normal 2 4 4 2 5 4" xfId="4322" xr:uid="{00000000-0005-0000-0000-0000EA130000}"/>
    <cellStyle name="Normal 2 4 4 2 5 4 2" xfId="22138" xr:uid="{00000000-0005-0000-0000-0000EB130000}"/>
    <cellStyle name="Normal 2 4 4 2 5 5" xfId="4323" xr:uid="{00000000-0005-0000-0000-0000EC130000}"/>
    <cellStyle name="Normal 2 4 4 2 5 5 2" xfId="22139" xr:uid="{00000000-0005-0000-0000-0000ED130000}"/>
    <cellStyle name="Normal 2 4 4 2 5 6" xfId="4324" xr:uid="{00000000-0005-0000-0000-0000EE130000}"/>
    <cellStyle name="Normal 2 4 4 2 5 6 2" xfId="22140" xr:uid="{00000000-0005-0000-0000-0000EF130000}"/>
    <cellStyle name="Normal 2 4 4 2 5 7" xfId="4325" xr:uid="{00000000-0005-0000-0000-0000F0130000}"/>
    <cellStyle name="Normal 2 4 4 2 5 7 2" xfId="22141" xr:uid="{00000000-0005-0000-0000-0000F1130000}"/>
    <cellStyle name="Normal 2 4 4 2 5 8" xfId="4326" xr:uid="{00000000-0005-0000-0000-0000F2130000}"/>
    <cellStyle name="Normal 2 4 4 2 5 8 2" xfId="22142" xr:uid="{00000000-0005-0000-0000-0000F3130000}"/>
    <cellStyle name="Normal 2 4 4 2 5 9" xfId="4327" xr:uid="{00000000-0005-0000-0000-0000F4130000}"/>
    <cellStyle name="Normal 2 4 4 2 5 9 2" xfId="22143" xr:uid="{00000000-0005-0000-0000-0000F5130000}"/>
    <cellStyle name="Normal 2 4 4 20" xfId="22091" xr:uid="{00000000-0005-0000-0000-0000F6130000}"/>
    <cellStyle name="Normal 2 4 4 3" xfId="4328" xr:uid="{00000000-0005-0000-0000-0000F7130000}"/>
    <cellStyle name="Normal 2 4 4 3 2" xfId="4329" xr:uid="{00000000-0005-0000-0000-0000F8130000}"/>
    <cellStyle name="Normal 2 4 4 3 2 10" xfId="4330" xr:uid="{00000000-0005-0000-0000-0000F9130000}"/>
    <cellStyle name="Normal 2 4 4 3 2 10 2" xfId="22145" xr:uid="{00000000-0005-0000-0000-0000FA130000}"/>
    <cellStyle name="Normal 2 4 4 3 2 11" xfId="4331" xr:uid="{00000000-0005-0000-0000-0000FB130000}"/>
    <cellStyle name="Normal 2 4 4 3 2 11 2" xfId="22146" xr:uid="{00000000-0005-0000-0000-0000FC130000}"/>
    <cellStyle name="Normal 2 4 4 3 2 12" xfId="4332" xr:uid="{00000000-0005-0000-0000-0000FD130000}"/>
    <cellStyle name="Normal 2 4 4 3 2 12 2" xfId="22147" xr:uid="{00000000-0005-0000-0000-0000FE130000}"/>
    <cellStyle name="Normal 2 4 4 3 2 13" xfId="4333" xr:uid="{00000000-0005-0000-0000-0000FF130000}"/>
    <cellStyle name="Normal 2 4 4 3 2 13 2" xfId="22148" xr:uid="{00000000-0005-0000-0000-000000140000}"/>
    <cellStyle name="Normal 2 4 4 3 2 14" xfId="4334" xr:uid="{00000000-0005-0000-0000-000001140000}"/>
    <cellStyle name="Normal 2 4 4 3 2 14 2" xfId="22149" xr:uid="{00000000-0005-0000-0000-000002140000}"/>
    <cellStyle name="Normal 2 4 4 3 2 15" xfId="22144" xr:uid="{00000000-0005-0000-0000-000003140000}"/>
    <cellStyle name="Normal 2 4 4 3 2 2" xfId="4335" xr:uid="{00000000-0005-0000-0000-000004140000}"/>
    <cellStyle name="Normal 2 4 4 3 2 2 2" xfId="22150" xr:uid="{00000000-0005-0000-0000-000005140000}"/>
    <cellStyle name="Normal 2 4 4 3 2 3" xfId="4336" xr:uid="{00000000-0005-0000-0000-000006140000}"/>
    <cellStyle name="Normal 2 4 4 3 2 3 2" xfId="22151" xr:uid="{00000000-0005-0000-0000-000007140000}"/>
    <cellStyle name="Normal 2 4 4 3 2 4" xfId="4337" xr:uid="{00000000-0005-0000-0000-000008140000}"/>
    <cellStyle name="Normal 2 4 4 3 2 4 2" xfId="22152" xr:uid="{00000000-0005-0000-0000-000009140000}"/>
    <cellStyle name="Normal 2 4 4 3 2 5" xfId="4338" xr:uid="{00000000-0005-0000-0000-00000A140000}"/>
    <cellStyle name="Normal 2 4 4 3 2 5 2" xfId="22153" xr:uid="{00000000-0005-0000-0000-00000B140000}"/>
    <cellStyle name="Normal 2 4 4 3 2 6" xfId="4339" xr:uid="{00000000-0005-0000-0000-00000C140000}"/>
    <cellStyle name="Normal 2 4 4 3 2 6 2" xfId="22154" xr:uid="{00000000-0005-0000-0000-00000D140000}"/>
    <cellStyle name="Normal 2 4 4 3 2 7" xfId="4340" xr:uid="{00000000-0005-0000-0000-00000E140000}"/>
    <cellStyle name="Normal 2 4 4 3 2 7 2" xfId="22155" xr:uid="{00000000-0005-0000-0000-00000F140000}"/>
    <cellStyle name="Normal 2 4 4 3 2 8" xfId="4341" xr:uid="{00000000-0005-0000-0000-000010140000}"/>
    <cellStyle name="Normal 2 4 4 3 2 8 2" xfId="22156" xr:uid="{00000000-0005-0000-0000-000011140000}"/>
    <cellStyle name="Normal 2 4 4 3 2 9" xfId="4342" xr:uid="{00000000-0005-0000-0000-000012140000}"/>
    <cellStyle name="Normal 2 4 4 3 2 9 2" xfId="22157" xr:uid="{00000000-0005-0000-0000-000013140000}"/>
    <cellStyle name="Normal 2 4 4 3 3" xfId="4343" xr:uid="{00000000-0005-0000-0000-000014140000}"/>
    <cellStyle name="Normal 2 4 4 3 3 10" xfId="4344" xr:uid="{00000000-0005-0000-0000-000015140000}"/>
    <cellStyle name="Normal 2 4 4 3 3 10 2" xfId="22159" xr:uid="{00000000-0005-0000-0000-000016140000}"/>
    <cellStyle name="Normal 2 4 4 3 3 11" xfId="4345" xr:uid="{00000000-0005-0000-0000-000017140000}"/>
    <cellStyle name="Normal 2 4 4 3 3 11 2" xfId="22160" xr:uid="{00000000-0005-0000-0000-000018140000}"/>
    <cellStyle name="Normal 2 4 4 3 3 12" xfId="4346" xr:uid="{00000000-0005-0000-0000-000019140000}"/>
    <cellStyle name="Normal 2 4 4 3 3 12 2" xfId="22161" xr:uid="{00000000-0005-0000-0000-00001A140000}"/>
    <cellStyle name="Normal 2 4 4 3 3 13" xfId="4347" xr:uid="{00000000-0005-0000-0000-00001B140000}"/>
    <cellStyle name="Normal 2 4 4 3 3 13 2" xfId="22162" xr:uid="{00000000-0005-0000-0000-00001C140000}"/>
    <cellStyle name="Normal 2 4 4 3 3 14" xfId="4348" xr:uid="{00000000-0005-0000-0000-00001D140000}"/>
    <cellStyle name="Normal 2 4 4 3 3 14 2" xfId="22163" xr:uid="{00000000-0005-0000-0000-00001E140000}"/>
    <cellStyle name="Normal 2 4 4 3 3 15" xfId="22158" xr:uid="{00000000-0005-0000-0000-00001F140000}"/>
    <cellStyle name="Normal 2 4 4 3 3 2" xfId="4349" xr:uid="{00000000-0005-0000-0000-000020140000}"/>
    <cellStyle name="Normal 2 4 4 3 3 2 2" xfId="22164" xr:uid="{00000000-0005-0000-0000-000021140000}"/>
    <cellStyle name="Normal 2 4 4 3 3 3" xfId="4350" xr:uid="{00000000-0005-0000-0000-000022140000}"/>
    <cellStyle name="Normal 2 4 4 3 3 3 2" xfId="22165" xr:uid="{00000000-0005-0000-0000-000023140000}"/>
    <cellStyle name="Normal 2 4 4 3 3 4" xfId="4351" xr:uid="{00000000-0005-0000-0000-000024140000}"/>
    <cellStyle name="Normal 2 4 4 3 3 4 2" xfId="22166" xr:uid="{00000000-0005-0000-0000-000025140000}"/>
    <cellStyle name="Normal 2 4 4 3 3 5" xfId="4352" xr:uid="{00000000-0005-0000-0000-000026140000}"/>
    <cellStyle name="Normal 2 4 4 3 3 5 2" xfId="22167" xr:uid="{00000000-0005-0000-0000-000027140000}"/>
    <cellStyle name="Normal 2 4 4 3 3 6" xfId="4353" xr:uid="{00000000-0005-0000-0000-000028140000}"/>
    <cellStyle name="Normal 2 4 4 3 3 6 2" xfId="22168" xr:uid="{00000000-0005-0000-0000-000029140000}"/>
    <cellStyle name="Normal 2 4 4 3 3 7" xfId="4354" xr:uid="{00000000-0005-0000-0000-00002A140000}"/>
    <cellStyle name="Normal 2 4 4 3 3 7 2" xfId="22169" xr:uid="{00000000-0005-0000-0000-00002B140000}"/>
    <cellStyle name="Normal 2 4 4 3 3 8" xfId="4355" xr:uid="{00000000-0005-0000-0000-00002C140000}"/>
    <cellStyle name="Normal 2 4 4 3 3 8 2" xfId="22170" xr:uid="{00000000-0005-0000-0000-00002D140000}"/>
    <cellStyle name="Normal 2 4 4 3 3 9" xfId="4356" xr:uid="{00000000-0005-0000-0000-00002E140000}"/>
    <cellStyle name="Normal 2 4 4 3 3 9 2" xfId="22171" xr:uid="{00000000-0005-0000-0000-00002F140000}"/>
    <cellStyle name="Normal 2 4 4 3 4" xfId="4357" xr:uid="{00000000-0005-0000-0000-000030140000}"/>
    <cellStyle name="Normal 2 4 4 3 4 10" xfId="4358" xr:uid="{00000000-0005-0000-0000-000031140000}"/>
    <cellStyle name="Normal 2 4 4 3 4 10 2" xfId="22173" xr:uid="{00000000-0005-0000-0000-000032140000}"/>
    <cellStyle name="Normal 2 4 4 3 4 11" xfId="4359" xr:uid="{00000000-0005-0000-0000-000033140000}"/>
    <cellStyle name="Normal 2 4 4 3 4 11 2" xfId="22174" xr:uid="{00000000-0005-0000-0000-000034140000}"/>
    <cellStyle name="Normal 2 4 4 3 4 12" xfId="4360" xr:uid="{00000000-0005-0000-0000-000035140000}"/>
    <cellStyle name="Normal 2 4 4 3 4 12 2" xfId="22175" xr:uid="{00000000-0005-0000-0000-000036140000}"/>
    <cellStyle name="Normal 2 4 4 3 4 13" xfId="4361" xr:uid="{00000000-0005-0000-0000-000037140000}"/>
    <cellStyle name="Normal 2 4 4 3 4 13 2" xfId="22176" xr:uid="{00000000-0005-0000-0000-000038140000}"/>
    <cellStyle name="Normal 2 4 4 3 4 14" xfId="4362" xr:uid="{00000000-0005-0000-0000-000039140000}"/>
    <cellStyle name="Normal 2 4 4 3 4 14 2" xfId="22177" xr:uid="{00000000-0005-0000-0000-00003A140000}"/>
    <cellStyle name="Normal 2 4 4 3 4 15" xfId="22172" xr:uid="{00000000-0005-0000-0000-00003B140000}"/>
    <cellStyle name="Normal 2 4 4 3 4 2" xfId="4363" xr:uid="{00000000-0005-0000-0000-00003C140000}"/>
    <cellStyle name="Normal 2 4 4 3 4 2 2" xfId="22178" xr:uid="{00000000-0005-0000-0000-00003D140000}"/>
    <cellStyle name="Normal 2 4 4 3 4 3" xfId="4364" xr:uid="{00000000-0005-0000-0000-00003E140000}"/>
    <cellStyle name="Normal 2 4 4 3 4 3 2" xfId="22179" xr:uid="{00000000-0005-0000-0000-00003F140000}"/>
    <cellStyle name="Normal 2 4 4 3 4 4" xfId="4365" xr:uid="{00000000-0005-0000-0000-000040140000}"/>
    <cellStyle name="Normal 2 4 4 3 4 4 2" xfId="22180" xr:uid="{00000000-0005-0000-0000-000041140000}"/>
    <cellStyle name="Normal 2 4 4 3 4 5" xfId="4366" xr:uid="{00000000-0005-0000-0000-000042140000}"/>
    <cellStyle name="Normal 2 4 4 3 4 5 2" xfId="22181" xr:uid="{00000000-0005-0000-0000-000043140000}"/>
    <cellStyle name="Normal 2 4 4 3 4 6" xfId="4367" xr:uid="{00000000-0005-0000-0000-000044140000}"/>
    <cellStyle name="Normal 2 4 4 3 4 6 2" xfId="22182" xr:uid="{00000000-0005-0000-0000-000045140000}"/>
    <cellStyle name="Normal 2 4 4 3 4 7" xfId="4368" xr:uid="{00000000-0005-0000-0000-000046140000}"/>
    <cellStyle name="Normal 2 4 4 3 4 7 2" xfId="22183" xr:uid="{00000000-0005-0000-0000-000047140000}"/>
    <cellStyle name="Normal 2 4 4 3 4 8" xfId="4369" xr:uid="{00000000-0005-0000-0000-000048140000}"/>
    <cellStyle name="Normal 2 4 4 3 4 8 2" xfId="22184" xr:uid="{00000000-0005-0000-0000-000049140000}"/>
    <cellStyle name="Normal 2 4 4 3 4 9" xfId="4370" xr:uid="{00000000-0005-0000-0000-00004A140000}"/>
    <cellStyle name="Normal 2 4 4 3 4 9 2" xfId="22185" xr:uid="{00000000-0005-0000-0000-00004B140000}"/>
    <cellStyle name="Normal 2 4 4 4" xfId="4371" xr:uid="{00000000-0005-0000-0000-00004C140000}"/>
    <cellStyle name="Normal 2 4 4 5" xfId="4372" xr:uid="{00000000-0005-0000-0000-00004D140000}"/>
    <cellStyle name="Normal 2 4 4 6" xfId="4373" xr:uid="{00000000-0005-0000-0000-00004E140000}"/>
    <cellStyle name="Normal 2 4 4 7" xfId="4374" xr:uid="{00000000-0005-0000-0000-00004F140000}"/>
    <cellStyle name="Normal 2 4 4 7 2" xfId="22186" xr:uid="{00000000-0005-0000-0000-000050140000}"/>
    <cellStyle name="Normal 2 4 4 8" xfId="4375" xr:uid="{00000000-0005-0000-0000-000051140000}"/>
    <cellStyle name="Normal 2 4 4 8 2" xfId="22187" xr:uid="{00000000-0005-0000-0000-000052140000}"/>
    <cellStyle name="Normal 2 4 4 9" xfId="4376" xr:uid="{00000000-0005-0000-0000-000053140000}"/>
    <cellStyle name="Normal 2 4 4 9 2" xfId="22188" xr:uid="{00000000-0005-0000-0000-000054140000}"/>
    <cellStyle name="Normal 2 4 5" xfId="4377" xr:uid="{00000000-0005-0000-0000-000055140000}"/>
    <cellStyle name="Normal 2 4 5 10" xfId="4378" xr:uid="{00000000-0005-0000-0000-000056140000}"/>
    <cellStyle name="Normal 2 4 5 10 2" xfId="22190" xr:uid="{00000000-0005-0000-0000-000057140000}"/>
    <cellStyle name="Normal 2 4 5 11" xfId="4379" xr:uid="{00000000-0005-0000-0000-000058140000}"/>
    <cellStyle name="Normal 2 4 5 11 2" xfId="22191" xr:uid="{00000000-0005-0000-0000-000059140000}"/>
    <cellStyle name="Normal 2 4 5 12" xfId="4380" xr:uid="{00000000-0005-0000-0000-00005A140000}"/>
    <cellStyle name="Normal 2 4 5 12 2" xfId="22192" xr:uid="{00000000-0005-0000-0000-00005B140000}"/>
    <cellStyle name="Normal 2 4 5 13" xfId="4381" xr:uid="{00000000-0005-0000-0000-00005C140000}"/>
    <cellStyle name="Normal 2 4 5 13 2" xfId="22193" xr:uid="{00000000-0005-0000-0000-00005D140000}"/>
    <cellStyle name="Normal 2 4 5 14" xfId="4382" xr:uid="{00000000-0005-0000-0000-00005E140000}"/>
    <cellStyle name="Normal 2 4 5 14 2" xfId="22194" xr:uid="{00000000-0005-0000-0000-00005F140000}"/>
    <cellStyle name="Normal 2 4 5 15" xfId="4383" xr:uid="{00000000-0005-0000-0000-000060140000}"/>
    <cellStyle name="Normal 2 4 5 15 2" xfId="22195" xr:uid="{00000000-0005-0000-0000-000061140000}"/>
    <cellStyle name="Normal 2 4 5 16" xfId="4384" xr:uid="{00000000-0005-0000-0000-000062140000}"/>
    <cellStyle name="Normal 2 4 5 16 2" xfId="22196" xr:uid="{00000000-0005-0000-0000-000063140000}"/>
    <cellStyle name="Normal 2 4 5 17" xfId="4385" xr:uid="{00000000-0005-0000-0000-000064140000}"/>
    <cellStyle name="Normal 2 4 5 17 2" xfId="22197" xr:uid="{00000000-0005-0000-0000-000065140000}"/>
    <cellStyle name="Normal 2 4 5 18" xfId="4386" xr:uid="{00000000-0005-0000-0000-000066140000}"/>
    <cellStyle name="Normal 2 4 5 18 2" xfId="22198" xr:uid="{00000000-0005-0000-0000-000067140000}"/>
    <cellStyle name="Normal 2 4 5 19" xfId="4387" xr:uid="{00000000-0005-0000-0000-000068140000}"/>
    <cellStyle name="Normal 2 4 5 19 2" xfId="22199" xr:uid="{00000000-0005-0000-0000-000069140000}"/>
    <cellStyle name="Normal 2 4 5 2" xfId="4388" xr:uid="{00000000-0005-0000-0000-00006A140000}"/>
    <cellStyle name="Normal 2 4 5 2 2" xfId="4389" xr:uid="{00000000-0005-0000-0000-00006B140000}"/>
    <cellStyle name="Normal 2 4 5 2 2 10" xfId="4390" xr:uid="{00000000-0005-0000-0000-00006C140000}"/>
    <cellStyle name="Normal 2 4 5 2 2 10 2" xfId="22201" xr:uid="{00000000-0005-0000-0000-00006D140000}"/>
    <cellStyle name="Normal 2 4 5 2 2 11" xfId="4391" xr:uid="{00000000-0005-0000-0000-00006E140000}"/>
    <cellStyle name="Normal 2 4 5 2 2 11 2" xfId="22202" xr:uid="{00000000-0005-0000-0000-00006F140000}"/>
    <cellStyle name="Normal 2 4 5 2 2 12" xfId="4392" xr:uid="{00000000-0005-0000-0000-000070140000}"/>
    <cellStyle name="Normal 2 4 5 2 2 12 2" xfId="22203" xr:uid="{00000000-0005-0000-0000-000071140000}"/>
    <cellStyle name="Normal 2 4 5 2 2 13" xfId="4393" xr:uid="{00000000-0005-0000-0000-000072140000}"/>
    <cellStyle name="Normal 2 4 5 2 2 13 2" xfId="22204" xr:uid="{00000000-0005-0000-0000-000073140000}"/>
    <cellStyle name="Normal 2 4 5 2 2 14" xfId="4394" xr:uid="{00000000-0005-0000-0000-000074140000}"/>
    <cellStyle name="Normal 2 4 5 2 2 14 2" xfId="22205" xr:uid="{00000000-0005-0000-0000-000075140000}"/>
    <cellStyle name="Normal 2 4 5 2 2 15" xfId="4395" xr:uid="{00000000-0005-0000-0000-000076140000}"/>
    <cellStyle name="Normal 2 4 5 2 2 15 2" xfId="22206" xr:uid="{00000000-0005-0000-0000-000077140000}"/>
    <cellStyle name="Normal 2 4 5 2 2 16" xfId="4396" xr:uid="{00000000-0005-0000-0000-000078140000}"/>
    <cellStyle name="Normal 2 4 5 2 2 16 2" xfId="22207" xr:uid="{00000000-0005-0000-0000-000079140000}"/>
    <cellStyle name="Normal 2 4 5 2 2 17" xfId="4397" xr:uid="{00000000-0005-0000-0000-00007A140000}"/>
    <cellStyle name="Normal 2 4 5 2 2 17 2" xfId="22208" xr:uid="{00000000-0005-0000-0000-00007B140000}"/>
    <cellStyle name="Normal 2 4 5 2 2 18" xfId="22200" xr:uid="{00000000-0005-0000-0000-00007C140000}"/>
    <cellStyle name="Normal 2 4 5 2 2 2" xfId="4398" xr:uid="{00000000-0005-0000-0000-00007D140000}"/>
    <cellStyle name="Normal 2 4 5 2 2 3" xfId="4399" xr:uid="{00000000-0005-0000-0000-00007E140000}"/>
    <cellStyle name="Normal 2 4 5 2 2 4" xfId="4400" xr:uid="{00000000-0005-0000-0000-00007F140000}"/>
    <cellStyle name="Normal 2 4 5 2 2 5" xfId="4401" xr:uid="{00000000-0005-0000-0000-000080140000}"/>
    <cellStyle name="Normal 2 4 5 2 2 5 2" xfId="22209" xr:uid="{00000000-0005-0000-0000-000081140000}"/>
    <cellStyle name="Normal 2 4 5 2 2 6" xfId="4402" xr:uid="{00000000-0005-0000-0000-000082140000}"/>
    <cellStyle name="Normal 2 4 5 2 2 6 2" xfId="22210" xr:uid="{00000000-0005-0000-0000-000083140000}"/>
    <cellStyle name="Normal 2 4 5 2 2 7" xfId="4403" xr:uid="{00000000-0005-0000-0000-000084140000}"/>
    <cellStyle name="Normal 2 4 5 2 2 7 2" xfId="22211" xr:uid="{00000000-0005-0000-0000-000085140000}"/>
    <cellStyle name="Normal 2 4 5 2 2 8" xfId="4404" xr:uid="{00000000-0005-0000-0000-000086140000}"/>
    <cellStyle name="Normal 2 4 5 2 2 8 2" xfId="22212" xr:uid="{00000000-0005-0000-0000-000087140000}"/>
    <cellStyle name="Normal 2 4 5 2 2 9" xfId="4405" xr:uid="{00000000-0005-0000-0000-000088140000}"/>
    <cellStyle name="Normal 2 4 5 2 2 9 2" xfId="22213" xr:uid="{00000000-0005-0000-0000-000089140000}"/>
    <cellStyle name="Normal 2 4 5 2 3" xfId="4406" xr:uid="{00000000-0005-0000-0000-00008A140000}"/>
    <cellStyle name="Normal 2 4 5 2 4" xfId="4407" xr:uid="{00000000-0005-0000-0000-00008B140000}"/>
    <cellStyle name="Normal 2 4 5 2 4 10" xfId="4408" xr:uid="{00000000-0005-0000-0000-00008C140000}"/>
    <cellStyle name="Normal 2 4 5 2 4 10 2" xfId="22215" xr:uid="{00000000-0005-0000-0000-00008D140000}"/>
    <cellStyle name="Normal 2 4 5 2 4 11" xfId="4409" xr:uid="{00000000-0005-0000-0000-00008E140000}"/>
    <cellStyle name="Normal 2 4 5 2 4 11 2" xfId="22216" xr:uid="{00000000-0005-0000-0000-00008F140000}"/>
    <cellStyle name="Normal 2 4 5 2 4 12" xfId="4410" xr:uid="{00000000-0005-0000-0000-000090140000}"/>
    <cellStyle name="Normal 2 4 5 2 4 12 2" xfId="22217" xr:uid="{00000000-0005-0000-0000-000091140000}"/>
    <cellStyle name="Normal 2 4 5 2 4 13" xfId="4411" xr:uid="{00000000-0005-0000-0000-000092140000}"/>
    <cellStyle name="Normal 2 4 5 2 4 13 2" xfId="22218" xr:uid="{00000000-0005-0000-0000-000093140000}"/>
    <cellStyle name="Normal 2 4 5 2 4 14" xfId="4412" xr:uid="{00000000-0005-0000-0000-000094140000}"/>
    <cellStyle name="Normal 2 4 5 2 4 14 2" xfId="22219" xr:uid="{00000000-0005-0000-0000-000095140000}"/>
    <cellStyle name="Normal 2 4 5 2 4 15" xfId="22214" xr:uid="{00000000-0005-0000-0000-000096140000}"/>
    <cellStyle name="Normal 2 4 5 2 4 2" xfId="4413" xr:uid="{00000000-0005-0000-0000-000097140000}"/>
    <cellStyle name="Normal 2 4 5 2 4 2 2" xfId="22220" xr:uid="{00000000-0005-0000-0000-000098140000}"/>
    <cellStyle name="Normal 2 4 5 2 4 3" xfId="4414" xr:uid="{00000000-0005-0000-0000-000099140000}"/>
    <cellStyle name="Normal 2 4 5 2 4 3 2" xfId="22221" xr:uid="{00000000-0005-0000-0000-00009A140000}"/>
    <cellStyle name="Normal 2 4 5 2 4 4" xfId="4415" xr:uid="{00000000-0005-0000-0000-00009B140000}"/>
    <cellStyle name="Normal 2 4 5 2 4 4 2" xfId="22222" xr:uid="{00000000-0005-0000-0000-00009C140000}"/>
    <cellStyle name="Normal 2 4 5 2 4 5" xfId="4416" xr:uid="{00000000-0005-0000-0000-00009D140000}"/>
    <cellStyle name="Normal 2 4 5 2 4 5 2" xfId="22223" xr:uid="{00000000-0005-0000-0000-00009E140000}"/>
    <cellStyle name="Normal 2 4 5 2 4 6" xfId="4417" xr:uid="{00000000-0005-0000-0000-00009F140000}"/>
    <cellStyle name="Normal 2 4 5 2 4 6 2" xfId="22224" xr:uid="{00000000-0005-0000-0000-0000A0140000}"/>
    <cellStyle name="Normal 2 4 5 2 4 7" xfId="4418" xr:uid="{00000000-0005-0000-0000-0000A1140000}"/>
    <cellStyle name="Normal 2 4 5 2 4 7 2" xfId="22225" xr:uid="{00000000-0005-0000-0000-0000A2140000}"/>
    <cellStyle name="Normal 2 4 5 2 4 8" xfId="4419" xr:uid="{00000000-0005-0000-0000-0000A3140000}"/>
    <cellStyle name="Normal 2 4 5 2 4 8 2" xfId="22226" xr:uid="{00000000-0005-0000-0000-0000A4140000}"/>
    <cellStyle name="Normal 2 4 5 2 4 9" xfId="4420" xr:uid="{00000000-0005-0000-0000-0000A5140000}"/>
    <cellStyle name="Normal 2 4 5 2 4 9 2" xfId="22227" xr:uid="{00000000-0005-0000-0000-0000A6140000}"/>
    <cellStyle name="Normal 2 4 5 2 5" xfId="4421" xr:uid="{00000000-0005-0000-0000-0000A7140000}"/>
    <cellStyle name="Normal 2 4 5 2 5 10" xfId="4422" xr:uid="{00000000-0005-0000-0000-0000A8140000}"/>
    <cellStyle name="Normal 2 4 5 2 5 10 2" xfId="22229" xr:uid="{00000000-0005-0000-0000-0000A9140000}"/>
    <cellStyle name="Normal 2 4 5 2 5 11" xfId="4423" xr:uid="{00000000-0005-0000-0000-0000AA140000}"/>
    <cellStyle name="Normal 2 4 5 2 5 11 2" xfId="22230" xr:uid="{00000000-0005-0000-0000-0000AB140000}"/>
    <cellStyle name="Normal 2 4 5 2 5 12" xfId="4424" xr:uid="{00000000-0005-0000-0000-0000AC140000}"/>
    <cellStyle name="Normal 2 4 5 2 5 12 2" xfId="22231" xr:uid="{00000000-0005-0000-0000-0000AD140000}"/>
    <cellStyle name="Normal 2 4 5 2 5 13" xfId="4425" xr:uid="{00000000-0005-0000-0000-0000AE140000}"/>
    <cellStyle name="Normal 2 4 5 2 5 13 2" xfId="22232" xr:uid="{00000000-0005-0000-0000-0000AF140000}"/>
    <cellStyle name="Normal 2 4 5 2 5 14" xfId="4426" xr:uid="{00000000-0005-0000-0000-0000B0140000}"/>
    <cellStyle name="Normal 2 4 5 2 5 14 2" xfId="22233" xr:uid="{00000000-0005-0000-0000-0000B1140000}"/>
    <cellStyle name="Normal 2 4 5 2 5 15" xfId="22228" xr:uid="{00000000-0005-0000-0000-0000B2140000}"/>
    <cellStyle name="Normal 2 4 5 2 5 2" xfId="4427" xr:uid="{00000000-0005-0000-0000-0000B3140000}"/>
    <cellStyle name="Normal 2 4 5 2 5 2 2" xfId="22234" xr:uid="{00000000-0005-0000-0000-0000B4140000}"/>
    <cellStyle name="Normal 2 4 5 2 5 3" xfId="4428" xr:uid="{00000000-0005-0000-0000-0000B5140000}"/>
    <cellStyle name="Normal 2 4 5 2 5 3 2" xfId="22235" xr:uid="{00000000-0005-0000-0000-0000B6140000}"/>
    <cellStyle name="Normal 2 4 5 2 5 4" xfId="4429" xr:uid="{00000000-0005-0000-0000-0000B7140000}"/>
    <cellStyle name="Normal 2 4 5 2 5 4 2" xfId="22236" xr:uid="{00000000-0005-0000-0000-0000B8140000}"/>
    <cellStyle name="Normal 2 4 5 2 5 5" xfId="4430" xr:uid="{00000000-0005-0000-0000-0000B9140000}"/>
    <cellStyle name="Normal 2 4 5 2 5 5 2" xfId="22237" xr:uid="{00000000-0005-0000-0000-0000BA140000}"/>
    <cellStyle name="Normal 2 4 5 2 5 6" xfId="4431" xr:uid="{00000000-0005-0000-0000-0000BB140000}"/>
    <cellStyle name="Normal 2 4 5 2 5 6 2" xfId="22238" xr:uid="{00000000-0005-0000-0000-0000BC140000}"/>
    <cellStyle name="Normal 2 4 5 2 5 7" xfId="4432" xr:uid="{00000000-0005-0000-0000-0000BD140000}"/>
    <cellStyle name="Normal 2 4 5 2 5 7 2" xfId="22239" xr:uid="{00000000-0005-0000-0000-0000BE140000}"/>
    <cellStyle name="Normal 2 4 5 2 5 8" xfId="4433" xr:uid="{00000000-0005-0000-0000-0000BF140000}"/>
    <cellStyle name="Normal 2 4 5 2 5 8 2" xfId="22240" xr:uid="{00000000-0005-0000-0000-0000C0140000}"/>
    <cellStyle name="Normal 2 4 5 2 5 9" xfId="4434" xr:uid="{00000000-0005-0000-0000-0000C1140000}"/>
    <cellStyle name="Normal 2 4 5 2 5 9 2" xfId="22241" xr:uid="{00000000-0005-0000-0000-0000C2140000}"/>
    <cellStyle name="Normal 2 4 5 20" xfId="22189" xr:uid="{00000000-0005-0000-0000-0000C3140000}"/>
    <cellStyle name="Normal 2 4 5 3" xfId="4435" xr:uid="{00000000-0005-0000-0000-0000C4140000}"/>
    <cellStyle name="Normal 2 4 5 3 2" xfId="4436" xr:uid="{00000000-0005-0000-0000-0000C5140000}"/>
    <cellStyle name="Normal 2 4 5 3 2 10" xfId="4437" xr:uid="{00000000-0005-0000-0000-0000C6140000}"/>
    <cellStyle name="Normal 2 4 5 3 2 10 2" xfId="22243" xr:uid="{00000000-0005-0000-0000-0000C7140000}"/>
    <cellStyle name="Normal 2 4 5 3 2 11" xfId="4438" xr:uid="{00000000-0005-0000-0000-0000C8140000}"/>
    <cellStyle name="Normal 2 4 5 3 2 11 2" xfId="22244" xr:uid="{00000000-0005-0000-0000-0000C9140000}"/>
    <cellStyle name="Normal 2 4 5 3 2 12" xfId="4439" xr:uid="{00000000-0005-0000-0000-0000CA140000}"/>
    <cellStyle name="Normal 2 4 5 3 2 12 2" xfId="22245" xr:uid="{00000000-0005-0000-0000-0000CB140000}"/>
    <cellStyle name="Normal 2 4 5 3 2 13" xfId="4440" xr:uid="{00000000-0005-0000-0000-0000CC140000}"/>
    <cellStyle name="Normal 2 4 5 3 2 13 2" xfId="22246" xr:uid="{00000000-0005-0000-0000-0000CD140000}"/>
    <cellStyle name="Normal 2 4 5 3 2 14" xfId="4441" xr:uid="{00000000-0005-0000-0000-0000CE140000}"/>
    <cellStyle name="Normal 2 4 5 3 2 14 2" xfId="22247" xr:uid="{00000000-0005-0000-0000-0000CF140000}"/>
    <cellStyle name="Normal 2 4 5 3 2 15" xfId="22242" xr:uid="{00000000-0005-0000-0000-0000D0140000}"/>
    <cellStyle name="Normal 2 4 5 3 2 2" xfId="4442" xr:uid="{00000000-0005-0000-0000-0000D1140000}"/>
    <cellStyle name="Normal 2 4 5 3 2 2 2" xfId="22248" xr:uid="{00000000-0005-0000-0000-0000D2140000}"/>
    <cellStyle name="Normal 2 4 5 3 2 3" xfId="4443" xr:uid="{00000000-0005-0000-0000-0000D3140000}"/>
    <cellStyle name="Normal 2 4 5 3 2 3 2" xfId="22249" xr:uid="{00000000-0005-0000-0000-0000D4140000}"/>
    <cellStyle name="Normal 2 4 5 3 2 4" xfId="4444" xr:uid="{00000000-0005-0000-0000-0000D5140000}"/>
    <cellStyle name="Normal 2 4 5 3 2 4 2" xfId="22250" xr:uid="{00000000-0005-0000-0000-0000D6140000}"/>
    <cellStyle name="Normal 2 4 5 3 2 5" xfId="4445" xr:uid="{00000000-0005-0000-0000-0000D7140000}"/>
    <cellStyle name="Normal 2 4 5 3 2 5 2" xfId="22251" xr:uid="{00000000-0005-0000-0000-0000D8140000}"/>
    <cellStyle name="Normal 2 4 5 3 2 6" xfId="4446" xr:uid="{00000000-0005-0000-0000-0000D9140000}"/>
    <cellStyle name="Normal 2 4 5 3 2 6 2" xfId="22252" xr:uid="{00000000-0005-0000-0000-0000DA140000}"/>
    <cellStyle name="Normal 2 4 5 3 2 7" xfId="4447" xr:uid="{00000000-0005-0000-0000-0000DB140000}"/>
    <cellStyle name="Normal 2 4 5 3 2 7 2" xfId="22253" xr:uid="{00000000-0005-0000-0000-0000DC140000}"/>
    <cellStyle name="Normal 2 4 5 3 2 8" xfId="4448" xr:uid="{00000000-0005-0000-0000-0000DD140000}"/>
    <cellStyle name="Normal 2 4 5 3 2 8 2" xfId="22254" xr:uid="{00000000-0005-0000-0000-0000DE140000}"/>
    <cellStyle name="Normal 2 4 5 3 2 9" xfId="4449" xr:uid="{00000000-0005-0000-0000-0000DF140000}"/>
    <cellStyle name="Normal 2 4 5 3 2 9 2" xfId="22255" xr:uid="{00000000-0005-0000-0000-0000E0140000}"/>
    <cellStyle name="Normal 2 4 5 3 3" xfId="4450" xr:uid="{00000000-0005-0000-0000-0000E1140000}"/>
    <cellStyle name="Normal 2 4 5 3 3 10" xfId="4451" xr:uid="{00000000-0005-0000-0000-0000E2140000}"/>
    <cellStyle name="Normal 2 4 5 3 3 10 2" xfId="22257" xr:uid="{00000000-0005-0000-0000-0000E3140000}"/>
    <cellStyle name="Normal 2 4 5 3 3 11" xfId="4452" xr:uid="{00000000-0005-0000-0000-0000E4140000}"/>
    <cellStyle name="Normal 2 4 5 3 3 11 2" xfId="22258" xr:uid="{00000000-0005-0000-0000-0000E5140000}"/>
    <cellStyle name="Normal 2 4 5 3 3 12" xfId="4453" xr:uid="{00000000-0005-0000-0000-0000E6140000}"/>
    <cellStyle name="Normal 2 4 5 3 3 12 2" xfId="22259" xr:uid="{00000000-0005-0000-0000-0000E7140000}"/>
    <cellStyle name="Normal 2 4 5 3 3 13" xfId="4454" xr:uid="{00000000-0005-0000-0000-0000E8140000}"/>
    <cellStyle name="Normal 2 4 5 3 3 13 2" xfId="22260" xr:uid="{00000000-0005-0000-0000-0000E9140000}"/>
    <cellStyle name="Normal 2 4 5 3 3 14" xfId="4455" xr:uid="{00000000-0005-0000-0000-0000EA140000}"/>
    <cellStyle name="Normal 2 4 5 3 3 14 2" xfId="22261" xr:uid="{00000000-0005-0000-0000-0000EB140000}"/>
    <cellStyle name="Normal 2 4 5 3 3 15" xfId="22256" xr:uid="{00000000-0005-0000-0000-0000EC140000}"/>
    <cellStyle name="Normal 2 4 5 3 3 2" xfId="4456" xr:uid="{00000000-0005-0000-0000-0000ED140000}"/>
    <cellStyle name="Normal 2 4 5 3 3 2 2" xfId="22262" xr:uid="{00000000-0005-0000-0000-0000EE140000}"/>
    <cellStyle name="Normal 2 4 5 3 3 3" xfId="4457" xr:uid="{00000000-0005-0000-0000-0000EF140000}"/>
    <cellStyle name="Normal 2 4 5 3 3 3 2" xfId="22263" xr:uid="{00000000-0005-0000-0000-0000F0140000}"/>
    <cellStyle name="Normal 2 4 5 3 3 4" xfId="4458" xr:uid="{00000000-0005-0000-0000-0000F1140000}"/>
    <cellStyle name="Normal 2 4 5 3 3 4 2" xfId="22264" xr:uid="{00000000-0005-0000-0000-0000F2140000}"/>
    <cellStyle name="Normal 2 4 5 3 3 5" xfId="4459" xr:uid="{00000000-0005-0000-0000-0000F3140000}"/>
    <cellStyle name="Normal 2 4 5 3 3 5 2" xfId="22265" xr:uid="{00000000-0005-0000-0000-0000F4140000}"/>
    <cellStyle name="Normal 2 4 5 3 3 6" xfId="4460" xr:uid="{00000000-0005-0000-0000-0000F5140000}"/>
    <cellStyle name="Normal 2 4 5 3 3 6 2" xfId="22266" xr:uid="{00000000-0005-0000-0000-0000F6140000}"/>
    <cellStyle name="Normal 2 4 5 3 3 7" xfId="4461" xr:uid="{00000000-0005-0000-0000-0000F7140000}"/>
    <cellStyle name="Normal 2 4 5 3 3 7 2" xfId="22267" xr:uid="{00000000-0005-0000-0000-0000F8140000}"/>
    <cellStyle name="Normal 2 4 5 3 3 8" xfId="4462" xr:uid="{00000000-0005-0000-0000-0000F9140000}"/>
    <cellStyle name="Normal 2 4 5 3 3 8 2" xfId="22268" xr:uid="{00000000-0005-0000-0000-0000FA140000}"/>
    <cellStyle name="Normal 2 4 5 3 3 9" xfId="4463" xr:uid="{00000000-0005-0000-0000-0000FB140000}"/>
    <cellStyle name="Normal 2 4 5 3 3 9 2" xfId="22269" xr:uid="{00000000-0005-0000-0000-0000FC140000}"/>
    <cellStyle name="Normal 2 4 5 3 4" xfId="4464" xr:uid="{00000000-0005-0000-0000-0000FD140000}"/>
    <cellStyle name="Normal 2 4 5 3 4 10" xfId="4465" xr:uid="{00000000-0005-0000-0000-0000FE140000}"/>
    <cellStyle name="Normal 2 4 5 3 4 10 2" xfId="22271" xr:uid="{00000000-0005-0000-0000-0000FF140000}"/>
    <cellStyle name="Normal 2 4 5 3 4 11" xfId="4466" xr:uid="{00000000-0005-0000-0000-000000150000}"/>
    <cellStyle name="Normal 2 4 5 3 4 11 2" xfId="22272" xr:uid="{00000000-0005-0000-0000-000001150000}"/>
    <cellStyle name="Normal 2 4 5 3 4 12" xfId="4467" xr:uid="{00000000-0005-0000-0000-000002150000}"/>
    <cellStyle name="Normal 2 4 5 3 4 12 2" xfId="22273" xr:uid="{00000000-0005-0000-0000-000003150000}"/>
    <cellStyle name="Normal 2 4 5 3 4 13" xfId="4468" xr:uid="{00000000-0005-0000-0000-000004150000}"/>
    <cellStyle name="Normal 2 4 5 3 4 13 2" xfId="22274" xr:uid="{00000000-0005-0000-0000-000005150000}"/>
    <cellStyle name="Normal 2 4 5 3 4 14" xfId="4469" xr:uid="{00000000-0005-0000-0000-000006150000}"/>
    <cellStyle name="Normal 2 4 5 3 4 14 2" xfId="22275" xr:uid="{00000000-0005-0000-0000-000007150000}"/>
    <cellStyle name="Normal 2 4 5 3 4 15" xfId="22270" xr:uid="{00000000-0005-0000-0000-000008150000}"/>
    <cellStyle name="Normal 2 4 5 3 4 2" xfId="4470" xr:uid="{00000000-0005-0000-0000-000009150000}"/>
    <cellStyle name="Normal 2 4 5 3 4 2 2" xfId="22276" xr:uid="{00000000-0005-0000-0000-00000A150000}"/>
    <cellStyle name="Normal 2 4 5 3 4 3" xfId="4471" xr:uid="{00000000-0005-0000-0000-00000B150000}"/>
    <cellStyle name="Normal 2 4 5 3 4 3 2" xfId="22277" xr:uid="{00000000-0005-0000-0000-00000C150000}"/>
    <cellStyle name="Normal 2 4 5 3 4 4" xfId="4472" xr:uid="{00000000-0005-0000-0000-00000D150000}"/>
    <cellStyle name="Normal 2 4 5 3 4 4 2" xfId="22278" xr:uid="{00000000-0005-0000-0000-00000E150000}"/>
    <cellStyle name="Normal 2 4 5 3 4 5" xfId="4473" xr:uid="{00000000-0005-0000-0000-00000F150000}"/>
    <cellStyle name="Normal 2 4 5 3 4 5 2" xfId="22279" xr:uid="{00000000-0005-0000-0000-000010150000}"/>
    <cellStyle name="Normal 2 4 5 3 4 6" xfId="4474" xr:uid="{00000000-0005-0000-0000-000011150000}"/>
    <cellStyle name="Normal 2 4 5 3 4 6 2" xfId="22280" xr:uid="{00000000-0005-0000-0000-000012150000}"/>
    <cellStyle name="Normal 2 4 5 3 4 7" xfId="4475" xr:uid="{00000000-0005-0000-0000-000013150000}"/>
    <cellStyle name="Normal 2 4 5 3 4 7 2" xfId="22281" xr:uid="{00000000-0005-0000-0000-000014150000}"/>
    <cellStyle name="Normal 2 4 5 3 4 8" xfId="4476" xr:uid="{00000000-0005-0000-0000-000015150000}"/>
    <cellStyle name="Normal 2 4 5 3 4 8 2" xfId="22282" xr:uid="{00000000-0005-0000-0000-000016150000}"/>
    <cellStyle name="Normal 2 4 5 3 4 9" xfId="4477" xr:uid="{00000000-0005-0000-0000-000017150000}"/>
    <cellStyle name="Normal 2 4 5 3 4 9 2" xfId="22283" xr:uid="{00000000-0005-0000-0000-000018150000}"/>
    <cellStyle name="Normal 2 4 5 4" xfId="4478" xr:uid="{00000000-0005-0000-0000-000019150000}"/>
    <cellStyle name="Normal 2 4 5 5" xfId="4479" xr:uid="{00000000-0005-0000-0000-00001A150000}"/>
    <cellStyle name="Normal 2 4 5 6" xfId="4480" xr:uid="{00000000-0005-0000-0000-00001B150000}"/>
    <cellStyle name="Normal 2 4 5 7" xfId="4481" xr:uid="{00000000-0005-0000-0000-00001C150000}"/>
    <cellStyle name="Normal 2 4 5 7 2" xfId="22284" xr:uid="{00000000-0005-0000-0000-00001D150000}"/>
    <cellStyle name="Normal 2 4 5 8" xfId="4482" xr:uid="{00000000-0005-0000-0000-00001E150000}"/>
    <cellStyle name="Normal 2 4 5 8 2" xfId="22285" xr:uid="{00000000-0005-0000-0000-00001F150000}"/>
    <cellStyle name="Normal 2 4 5 9" xfId="4483" xr:uid="{00000000-0005-0000-0000-000020150000}"/>
    <cellStyle name="Normal 2 4 5 9 2" xfId="22286" xr:uid="{00000000-0005-0000-0000-000021150000}"/>
    <cellStyle name="Normal 2 4 6" xfId="4484" xr:uid="{00000000-0005-0000-0000-000022150000}"/>
    <cellStyle name="Normal 2 4 7" xfId="4485" xr:uid="{00000000-0005-0000-0000-000023150000}"/>
    <cellStyle name="Normal 2 4 8" xfId="4486" xr:uid="{00000000-0005-0000-0000-000024150000}"/>
    <cellStyle name="Normal 2 4 9" xfId="4487" xr:uid="{00000000-0005-0000-0000-000025150000}"/>
    <cellStyle name="Normal 2 40" xfId="4488" xr:uid="{00000000-0005-0000-0000-000026150000}"/>
    <cellStyle name="Normal 2 41" xfId="4489" xr:uid="{00000000-0005-0000-0000-000027150000}"/>
    <cellStyle name="Normal 2 42" xfId="4490" xr:uid="{00000000-0005-0000-0000-000028150000}"/>
    <cellStyle name="Normal 2 43" xfId="4491" xr:uid="{00000000-0005-0000-0000-000029150000}"/>
    <cellStyle name="Normal 2 44" xfId="4492" xr:uid="{00000000-0005-0000-0000-00002A150000}"/>
    <cellStyle name="Normal 2 45" xfId="4493" xr:uid="{00000000-0005-0000-0000-00002B150000}"/>
    <cellStyle name="Normal 2 46" xfId="4494" xr:uid="{00000000-0005-0000-0000-00002C150000}"/>
    <cellStyle name="Normal 2 47" xfId="4495" xr:uid="{00000000-0005-0000-0000-00002D150000}"/>
    <cellStyle name="Normal 2 48" xfId="4496" xr:uid="{00000000-0005-0000-0000-00002E150000}"/>
    <cellStyle name="Normal 2 49" xfId="4497" xr:uid="{00000000-0005-0000-0000-00002F150000}"/>
    <cellStyle name="Normal 2 49 10" xfId="4498" xr:uid="{00000000-0005-0000-0000-000030150000}"/>
    <cellStyle name="Normal 2 49 10 10" xfId="4499" xr:uid="{00000000-0005-0000-0000-000031150000}"/>
    <cellStyle name="Normal 2 49 10 10 2" xfId="22289" xr:uid="{00000000-0005-0000-0000-000032150000}"/>
    <cellStyle name="Normal 2 49 10 11" xfId="4500" xr:uid="{00000000-0005-0000-0000-000033150000}"/>
    <cellStyle name="Normal 2 49 10 11 2" xfId="22290" xr:uid="{00000000-0005-0000-0000-000034150000}"/>
    <cellStyle name="Normal 2 49 10 12" xfId="4501" xr:uid="{00000000-0005-0000-0000-000035150000}"/>
    <cellStyle name="Normal 2 49 10 12 2" xfId="22291" xr:uid="{00000000-0005-0000-0000-000036150000}"/>
    <cellStyle name="Normal 2 49 10 13" xfId="4502" xr:uid="{00000000-0005-0000-0000-000037150000}"/>
    <cellStyle name="Normal 2 49 10 13 2" xfId="22292" xr:uid="{00000000-0005-0000-0000-000038150000}"/>
    <cellStyle name="Normal 2 49 10 14" xfId="4503" xr:uid="{00000000-0005-0000-0000-000039150000}"/>
    <cellStyle name="Normal 2 49 10 14 2" xfId="22293" xr:uid="{00000000-0005-0000-0000-00003A150000}"/>
    <cellStyle name="Normal 2 49 10 15" xfId="22288" xr:uid="{00000000-0005-0000-0000-00003B150000}"/>
    <cellStyle name="Normal 2 49 10 2" xfId="4504" xr:uid="{00000000-0005-0000-0000-00003C150000}"/>
    <cellStyle name="Normal 2 49 10 2 2" xfId="22294" xr:uid="{00000000-0005-0000-0000-00003D150000}"/>
    <cellStyle name="Normal 2 49 10 3" xfId="4505" xr:uid="{00000000-0005-0000-0000-00003E150000}"/>
    <cellStyle name="Normal 2 49 10 3 2" xfId="22295" xr:uid="{00000000-0005-0000-0000-00003F150000}"/>
    <cellStyle name="Normal 2 49 10 4" xfId="4506" xr:uid="{00000000-0005-0000-0000-000040150000}"/>
    <cellStyle name="Normal 2 49 10 4 2" xfId="22296" xr:uid="{00000000-0005-0000-0000-000041150000}"/>
    <cellStyle name="Normal 2 49 10 5" xfId="4507" xr:uid="{00000000-0005-0000-0000-000042150000}"/>
    <cellStyle name="Normal 2 49 10 5 2" xfId="22297" xr:uid="{00000000-0005-0000-0000-000043150000}"/>
    <cellStyle name="Normal 2 49 10 6" xfId="4508" xr:uid="{00000000-0005-0000-0000-000044150000}"/>
    <cellStyle name="Normal 2 49 10 6 2" xfId="22298" xr:uid="{00000000-0005-0000-0000-000045150000}"/>
    <cellStyle name="Normal 2 49 10 7" xfId="4509" xr:uid="{00000000-0005-0000-0000-000046150000}"/>
    <cellStyle name="Normal 2 49 10 7 2" xfId="22299" xr:uid="{00000000-0005-0000-0000-000047150000}"/>
    <cellStyle name="Normal 2 49 10 8" xfId="4510" xr:uid="{00000000-0005-0000-0000-000048150000}"/>
    <cellStyle name="Normal 2 49 10 8 2" xfId="22300" xr:uid="{00000000-0005-0000-0000-000049150000}"/>
    <cellStyle name="Normal 2 49 10 9" xfId="4511" xr:uid="{00000000-0005-0000-0000-00004A150000}"/>
    <cellStyle name="Normal 2 49 10 9 2" xfId="22301" xr:uid="{00000000-0005-0000-0000-00004B150000}"/>
    <cellStyle name="Normal 2 49 11" xfId="4512" xr:uid="{00000000-0005-0000-0000-00004C150000}"/>
    <cellStyle name="Normal 2 49 11 2" xfId="22302" xr:uid="{00000000-0005-0000-0000-00004D150000}"/>
    <cellStyle name="Normal 2 49 12" xfId="4513" xr:uid="{00000000-0005-0000-0000-00004E150000}"/>
    <cellStyle name="Normal 2 49 12 2" xfId="22303" xr:uid="{00000000-0005-0000-0000-00004F150000}"/>
    <cellStyle name="Normal 2 49 13" xfId="4514" xr:uid="{00000000-0005-0000-0000-000050150000}"/>
    <cellStyle name="Normal 2 49 13 2" xfId="22304" xr:uid="{00000000-0005-0000-0000-000051150000}"/>
    <cellStyle name="Normal 2 49 14" xfId="4515" xr:uid="{00000000-0005-0000-0000-000052150000}"/>
    <cellStyle name="Normal 2 49 14 2" xfId="22305" xr:uid="{00000000-0005-0000-0000-000053150000}"/>
    <cellStyle name="Normal 2 49 15" xfId="4516" xr:uid="{00000000-0005-0000-0000-000054150000}"/>
    <cellStyle name="Normal 2 49 15 2" xfId="22306" xr:uid="{00000000-0005-0000-0000-000055150000}"/>
    <cellStyle name="Normal 2 49 16" xfId="4517" xr:uid="{00000000-0005-0000-0000-000056150000}"/>
    <cellStyle name="Normal 2 49 16 2" xfId="22307" xr:uid="{00000000-0005-0000-0000-000057150000}"/>
    <cellStyle name="Normal 2 49 17" xfId="4518" xr:uid="{00000000-0005-0000-0000-000058150000}"/>
    <cellStyle name="Normal 2 49 17 2" xfId="22308" xr:uid="{00000000-0005-0000-0000-000059150000}"/>
    <cellStyle name="Normal 2 49 18" xfId="4519" xr:uid="{00000000-0005-0000-0000-00005A150000}"/>
    <cellStyle name="Normal 2 49 18 2" xfId="22309" xr:uid="{00000000-0005-0000-0000-00005B150000}"/>
    <cellStyle name="Normal 2 49 19" xfId="4520" xr:uid="{00000000-0005-0000-0000-00005C150000}"/>
    <cellStyle name="Normal 2 49 19 2" xfId="22310" xr:uid="{00000000-0005-0000-0000-00005D150000}"/>
    <cellStyle name="Normal 2 49 2" xfId="4521" xr:uid="{00000000-0005-0000-0000-00005E150000}"/>
    <cellStyle name="Normal 2 49 2 10" xfId="4522" xr:uid="{00000000-0005-0000-0000-00005F150000}"/>
    <cellStyle name="Normal 2 49 2 10 2" xfId="22312" xr:uid="{00000000-0005-0000-0000-000060150000}"/>
    <cellStyle name="Normal 2 49 2 11" xfId="4523" xr:uid="{00000000-0005-0000-0000-000061150000}"/>
    <cellStyle name="Normal 2 49 2 11 2" xfId="22313" xr:uid="{00000000-0005-0000-0000-000062150000}"/>
    <cellStyle name="Normal 2 49 2 12" xfId="4524" xr:uid="{00000000-0005-0000-0000-000063150000}"/>
    <cellStyle name="Normal 2 49 2 12 2" xfId="22314" xr:uid="{00000000-0005-0000-0000-000064150000}"/>
    <cellStyle name="Normal 2 49 2 13" xfId="4525" xr:uid="{00000000-0005-0000-0000-000065150000}"/>
    <cellStyle name="Normal 2 49 2 13 2" xfId="22315" xr:uid="{00000000-0005-0000-0000-000066150000}"/>
    <cellStyle name="Normal 2 49 2 14" xfId="4526" xr:uid="{00000000-0005-0000-0000-000067150000}"/>
    <cellStyle name="Normal 2 49 2 14 2" xfId="22316" xr:uid="{00000000-0005-0000-0000-000068150000}"/>
    <cellStyle name="Normal 2 49 2 15" xfId="4527" xr:uid="{00000000-0005-0000-0000-000069150000}"/>
    <cellStyle name="Normal 2 49 2 15 2" xfId="22317" xr:uid="{00000000-0005-0000-0000-00006A150000}"/>
    <cellStyle name="Normal 2 49 2 16" xfId="22311" xr:uid="{00000000-0005-0000-0000-00006B150000}"/>
    <cellStyle name="Normal 2 49 2 2" xfId="4528" xr:uid="{00000000-0005-0000-0000-00006C150000}"/>
    <cellStyle name="Normal 2 49 2 2 10" xfId="4529" xr:uid="{00000000-0005-0000-0000-00006D150000}"/>
    <cellStyle name="Normal 2 49 2 2 10 2" xfId="22319" xr:uid="{00000000-0005-0000-0000-00006E150000}"/>
    <cellStyle name="Normal 2 49 2 2 11" xfId="4530" xr:uid="{00000000-0005-0000-0000-00006F150000}"/>
    <cellStyle name="Normal 2 49 2 2 11 2" xfId="22320" xr:uid="{00000000-0005-0000-0000-000070150000}"/>
    <cellStyle name="Normal 2 49 2 2 12" xfId="4531" xr:uid="{00000000-0005-0000-0000-000071150000}"/>
    <cellStyle name="Normal 2 49 2 2 12 2" xfId="22321" xr:uid="{00000000-0005-0000-0000-000072150000}"/>
    <cellStyle name="Normal 2 49 2 2 13" xfId="4532" xr:uid="{00000000-0005-0000-0000-000073150000}"/>
    <cellStyle name="Normal 2 49 2 2 13 2" xfId="22322" xr:uid="{00000000-0005-0000-0000-000074150000}"/>
    <cellStyle name="Normal 2 49 2 2 14" xfId="4533" xr:uid="{00000000-0005-0000-0000-000075150000}"/>
    <cellStyle name="Normal 2 49 2 2 14 2" xfId="22323" xr:uid="{00000000-0005-0000-0000-000076150000}"/>
    <cellStyle name="Normal 2 49 2 2 15" xfId="22318" xr:uid="{00000000-0005-0000-0000-000077150000}"/>
    <cellStyle name="Normal 2 49 2 2 2" xfId="4534" xr:uid="{00000000-0005-0000-0000-000078150000}"/>
    <cellStyle name="Normal 2 49 2 2 2 2" xfId="22324" xr:uid="{00000000-0005-0000-0000-000079150000}"/>
    <cellStyle name="Normal 2 49 2 2 3" xfId="4535" xr:uid="{00000000-0005-0000-0000-00007A150000}"/>
    <cellStyle name="Normal 2 49 2 2 3 2" xfId="22325" xr:uid="{00000000-0005-0000-0000-00007B150000}"/>
    <cellStyle name="Normal 2 49 2 2 4" xfId="4536" xr:uid="{00000000-0005-0000-0000-00007C150000}"/>
    <cellStyle name="Normal 2 49 2 2 4 2" xfId="22326" xr:uid="{00000000-0005-0000-0000-00007D150000}"/>
    <cellStyle name="Normal 2 49 2 2 5" xfId="4537" xr:uid="{00000000-0005-0000-0000-00007E150000}"/>
    <cellStyle name="Normal 2 49 2 2 5 2" xfId="22327" xr:uid="{00000000-0005-0000-0000-00007F150000}"/>
    <cellStyle name="Normal 2 49 2 2 6" xfId="4538" xr:uid="{00000000-0005-0000-0000-000080150000}"/>
    <cellStyle name="Normal 2 49 2 2 6 2" xfId="22328" xr:uid="{00000000-0005-0000-0000-000081150000}"/>
    <cellStyle name="Normal 2 49 2 2 7" xfId="4539" xr:uid="{00000000-0005-0000-0000-000082150000}"/>
    <cellStyle name="Normal 2 49 2 2 7 2" xfId="22329" xr:uid="{00000000-0005-0000-0000-000083150000}"/>
    <cellStyle name="Normal 2 49 2 2 8" xfId="4540" xr:uid="{00000000-0005-0000-0000-000084150000}"/>
    <cellStyle name="Normal 2 49 2 2 8 2" xfId="22330" xr:uid="{00000000-0005-0000-0000-000085150000}"/>
    <cellStyle name="Normal 2 49 2 2 9" xfId="4541" xr:uid="{00000000-0005-0000-0000-000086150000}"/>
    <cellStyle name="Normal 2 49 2 2 9 2" xfId="22331" xr:uid="{00000000-0005-0000-0000-000087150000}"/>
    <cellStyle name="Normal 2 49 2 3" xfId="4542" xr:uid="{00000000-0005-0000-0000-000088150000}"/>
    <cellStyle name="Normal 2 49 2 3 2" xfId="22332" xr:uid="{00000000-0005-0000-0000-000089150000}"/>
    <cellStyle name="Normal 2 49 2 4" xfId="4543" xr:uid="{00000000-0005-0000-0000-00008A150000}"/>
    <cellStyle name="Normal 2 49 2 4 2" xfId="22333" xr:uid="{00000000-0005-0000-0000-00008B150000}"/>
    <cellStyle name="Normal 2 49 2 5" xfId="4544" xr:uid="{00000000-0005-0000-0000-00008C150000}"/>
    <cellStyle name="Normal 2 49 2 5 2" xfId="22334" xr:uid="{00000000-0005-0000-0000-00008D150000}"/>
    <cellStyle name="Normal 2 49 2 6" xfId="4545" xr:uid="{00000000-0005-0000-0000-00008E150000}"/>
    <cellStyle name="Normal 2 49 2 6 2" xfId="22335" xr:uid="{00000000-0005-0000-0000-00008F150000}"/>
    <cellStyle name="Normal 2 49 2 7" xfId="4546" xr:uid="{00000000-0005-0000-0000-000090150000}"/>
    <cellStyle name="Normal 2 49 2 7 2" xfId="22336" xr:uid="{00000000-0005-0000-0000-000091150000}"/>
    <cellStyle name="Normal 2 49 2 8" xfId="4547" xr:uid="{00000000-0005-0000-0000-000092150000}"/>
    <cellStyle name="Normal 2 49 2 8 2" xfId="22337" xr:uid="{00000000-0005-0000-0000-000093150000}"/>
    <cellStyle name="Normal 2 49 2 9" xfId="4548" xr:uid="{00000000-0005-0000-0000-000094150000}"/>
    <cellStyle name="Normal 2 49 2 9 2" xfId="22338" xr:uid="{00000000-0005-0000-0000-000095150000}"/>
    <cellStyle name="Normal 2 49 20" xfId="4549" xr:uid="{00000000-0005-0000-0000-000096150000}"/>
    <cellStyle name="Normal 2 49 20 2" xfId="22339" xr:uid="{00000000-0005-0000-0000-000097150000}"/>
    <cellStyle name="Normal 2 49 21" xfId="4550" xr:uid="{00000000-0005-0000-0000-000098150000}"/>
    <cellStyle name="Normal 2 49 21 2" xfId="22340" xr:uid="{00000000-0005-0000-0000-000099150000}"/>
    <cellStyle name="Normal 2 49 22" xfId="4551" xr:uid="{00000000-0005-0000-0000-00009A150000}"/>
    <cellStyle name="Normal 2 49 22 2" xfId="22341" xr:uid="{00000000-0005-0000-0000-00009B150000}"/>
    <cellStyle name="Normal 2 49 23" xfId="4552" xr:uid="{00000000-0005-0000-0000-00009C150000}"/>
    <cellStyle name="Normal 2 49 23 2" xfId="22342" xr:uid="{00000000-0005-0000-0000-00009D150000}"/>
    <cellStyle name="Normal 2 49 24" xfId="22287" xr:uid="{00000000-0005-0000-0000-00009E150000}"/>
    <cellStyle name="Normal 2 49 3" xfId="4553" xr:uid="{00000000-0005-0000-0000-00009F150000}"/>
    <cellStyle name="Normal 2 49 3 10" xfId="4554" xr:uid="{00000000-0005-0000-0000-0000A0150000}"/>
    <cellStyle name="Normal 2 49 3 10 2" xfId="22344" xr:uid="{00000000-0005-0000-0000-0000A1150000}"/>
    <cellStyle name="Normal 2 49 3 11" xfId="4555" xr:uid="{00000000-0005-0000-0000-0000A2150000}"/>
    <cellStyle name="Normal 2 49 3 11 2" xfId="22345" xr:uid="{00000000-0005-0000-0000-0000A3150000}"/>
    <cellStyle name="Normal 2 49 3 12" xfId="4556" xr:uid="{00000000-0005-0000-0000-0000A4150000}"/>
    <cellStyle name="Normal 2 49 3 12 2" xfId="22346" xr:uid="{00000000-0005-0000-0000-0000A5150000}"/>
    <cellStyle name="Normal 2 49 3 13" xfId="4557" xr:uid="{00000000-0005-0000-0000-0000A6150000}"/>
    <cellStyle name="Normal 2 49 3 13 2" xfId="22347" xr:uid="{00000000-0005-0000-0000-0000A7150000}"/>
    <cellStyle name="Normal 2 49 3 14" xfId="4558" xr:uid="{00000000-0005-0000-0000-0000A8150000}"/>
    <cellStyle name="Normal 2 49 3 14 2" xfId="22348" xr:uid="{00000000-0005-0000-0000-0000A9150000}"/>
    <cellStyle name="Normal 2 49 3 15" xfId="4559" xr:uid="{00000000-0005-0000-0000-0000AA150000}"/>
    <cellStyle name="Normal 2 49 3 15 2" xfId="22349" xr:uid="{00000000-0005-0000-0000-0000AB150000}"/>
    <cellStyle name="Normal 2 49 3 16" xfId="22343" xr:uid="{00000000-0005-0000-0000-0000AC150000}"/>
    <cellStyle name="Normal 2 49 3 2" xfId="4560" xr:uid="{00000000-0005-0000-0000-0000AD150000}"/>
    <cellStyle name="Normal 2 49 3 2 10" xfId="4561" xr:uid="{00000000-0005-0000-0000-0000AE150000}"/>
    <cellStyle name="Normal 2 49 3 2 10 2" xfId="22351" xr:uid="{00000000-0005-0000-0000-0000AF150000}"/>
    <cellStyle name="Normal 2 49 3 2 11" xfId="4562" xr:uid="{00000000-0005-0000-0000-0000B0150000}"/>
    <cellStyle name="Normal 2 49 3 2 11 2" xfId="22352" xr:uid="{00000000-0005-0000-0000-0000B1150000}"/>
    <cellStyle name="Normal 2 49 3 2 12" xfId="4563" xr:uid="{00000000-0005-0000-0000-0000B2150000}"/>
    <cellStyle name="Normal 2 49 3 2 12 2" xfId="22353" xr:uid="{00000000-0005-0000-0000-0000B3150000}"/>
    <cellStyle name="Normal 2 49 3 2 13" xfId="4564" xr:uid="{00000000-0005-0000-0000-0000B4150000}"/>
    <cellStyle name="Normal 2 49 3 2 13 2" xfId="22354" xr:uid="{00000000-0005-0000-0000-0000B5150000}"/>
    <cellStyle name="Normal 2 49 3 2 14" xfId="4565" xr:uid="{00000000-0005-0000-0000-0000B6150000}"/>
    <cellStyle name="Normal 2 49 3 2 14 2" xfId="22355" xr:uid="{00000000-0005-0000-0000-0000B7150000}"/>
    <cellStyle name="Normal 2 49 3 2 15" xfId="22350" xr:uid="{00000000-0005-0000-0000-0000B8150000}"/>
    <cellStyle name="Normal 2 49 3 2 2" xfId="4566" xr:uid="{00000000-0005-0000-0000-0000B9150000}"/>
    <cellStyle name="Normal 2 49 3 2 2 2" xfId="22356" xr:uid="{00000000-0005-0000-0000-0000BA150000}"/>
    <cellStyle name="Normal 2 49 3 2 3" xfId="4567" xr:uid="{00000000-0005-0000-0000-0000BB150000}"/>
    <cellStyle name="Normal 2 49 3 2 3 2" xfId="22357" xr:uid="{00000000-0005-0000-0000-0000BC150000}"/>
    <cellStyle name="Normal 2 49 3 2 4" xfId="4568" xr:uid="{00000000-0005-0000-0000-0000BD150000}"/>
    <cellStyle name="Normal 2 49 3 2 4 2" xfId="22358" xr:uid="{00000000-0005-0000-0000-0000BE150000}"/>
    <cellStyle name="Normal 2 49 3 2 5" xfId="4569" xr:uid="{00000000-0005-0000-0000-0000BF150000}"/>
    <cellStyle name="Normal 2 49 3 2 5 2" xfId="22359" xr:uid="{00000000-0005-0000-0000-0000C0150000}"/>
    <cellStyle name="Normal 2 49 3 2 6" xfId="4570" xr:uid="{00000000-0005-0000-0000-0000C1150000}"/>
    <cellStyle name="Normal 2 49 3 2 6 2" xfId="22360" xr:uid="{00000000-0005-0000-0000-0000C2150000}"/>
    <cellStyle name="Normal 2 49 3 2 7" xfId="4571" xr:uid="{00000000-0005-0000-0000-0000C3150000}"/>
    <cellStyle name="Normal 2 49 3 2 7 2" xfId="22361" xr:uid="{00000000-0005-0000-0000-0000C4150000}"/>
    <cellStyle name="Normal 2 49 3 2 8" xfId="4572" xr:uid="{00000000-0005-0000-0000-0000C5150000}"/>
    <cellStyle name="Normal 2 49 3 2 8 2" xfId="22362" xr:uid="{00000000-0005-0000-0000-0000C6150000}"/>
    <cellStyle name="Normal 2 49 3 2 9" xfId="4573" xr:uid="{00000000-0005-0000-0000-0000C7150000}"/>
    <cellStyle name="Normal 2 49 3 2 9 2" xfId="22363" xr:uid="{00000000-0005-0000-0000-0000C8150000}"/>
    <cellStyle name="Normal 2 49 3 3" xfId="4574" xr:uid="{00000000-0005-0000-0000-0000C9150000}"/>
    <cellStyle name="Normal 2 49 3 3 2" xfId="22364" xr:uid="{00000000-0005-0000-0000-0000CA150000}"/>
    <cellStyle name="Normal 2 49 3 4" xfId="4575" xr:uid="{00000000-0005-0000-0000-0000CB150000}"/>
    <cellStyle name="Normal 2 49 3 4 2" xfId="22365" xr:uid="{00000000-0005-0000-0000-0000CC150000}"/>
    <cellStyle name="Normal 2 49 3 5" xfId="4576" xr:uid="{00000000-0005-0000-0000-0000CD150000}"/>
    <cellStyle name="Normal 2 49 3 5 2" xfId="22366" xr:uid="{00000000-0005-0000-0000-0000CE150000}"/>
    <cellStyle name="Normal 2 49 3 6" xfId="4577" xr:uid="{00000000-0005-0000-0000-0000CF150000}"/>
    <cellStyle name="Normal 2 49 3 6 2" xfId="22367" xr:uid="{00000000-0005-0000-0000-0000D0150000}"/>
    <cellStyle name="Normal 2 49 3 7" xfId="4578" xr:uid="{00000000-0005-0000-0000-0000D1150000}"/>
    <cellStyle name="Normal 2 49 3 7 2" xfId="22368" xr:uid="{00000000-0005-0000-0000-0000D2150000}"/>
    <cellStyle name="Normal 2 49 3 8" xfId="4579" xr:uid="{00000000-0005-0000-0000-0000D3150000}"/>
    <cellStyle name="Normal 2 49 3 8 2" xfId="22369" xr:uid="{00000000-0005-0000-0000-0000D4150000}"/>
    <cellStyle name="Normal 2 49 3 9" xfId="4580" xr:uid="{00000000-0005-0000-0000-0000D5150000}"/>
    <cellStyle name="Normal 2 49 3 9 2" xfId="22370" xr:uid="{00000000-0005-0000-0000-0000D6150000}"/>
    <cellStyle name="Normal 2 49 4" xfId="4581" xr:uid="{00000000-0005-0000-0000-0000D7150000}"/>
    <cellStyle name="Normal 2 49 4 10" xfId="4582" xr:uid="{00000000-0005-0000-0000-0000D8150000}"/>
    <cellStyle name="Normal 2 49 4 10 2" xfId="22372" xr:uid="{00000000-0005-0000-0000-0000D9150000}"/>
    <cellStyle name="Normal 2 49 4 11" xfId="4583" xr:uid="{00000000-0005-0000-0000-0000DA150000}"/>
    <cellStyle name="Normal 2 49 4 11 2" xfId="22373" xr:uid="{00000000-0005-0000-0000-0000DB150000}"/>
    <cellStyle name="Normal 2 49 4 12" xfId="4584" xr:uid="{00000000-0005-0000-0000-0000DC150000}"/>
    <cellStyle name="Normal 2 49 4 12 2" xfId="22374" xr:uid="{00000000-0005-0000-0000-0000DD150000}"/>
    <cellStyle name="Normal 2 49 4 13" xfId="4585" xr:uid="{00000000-0005-0000-0000-0000DE150000}"/>
    <cellStyle name="Normal 2 49 4 13 2" xfId="22375" xr:uid="{00000000-0005-0000-0000-0000DF150000}"/>
    <cellStyle name="Normal 2 49 4 14" xfId="4586" xr:uid="{00000000-0005-0000-0000-0000E0150000}"/>
    <cellStyle name="Normal 2 49 4 14 2" xfId="22376" xr:uid="{00000000-0005-0000-0000-0000E1150000}"/>
    <cellStyle name="Normal 2 49 4 15" xfId="4587" xr:uid="{00000000-0005-0000-0000-0000E2150000}"/>
    <cellStyle name="Normal 2 49 4 15 2" xfId="22377" xr:uid="{00000000-0005-0000-0000-0000E3150000}"/>
    <cellStyle name="Normal 2 49 4 16" xfId="22371" xr:uid="{00000000-0005-0000-0000-0000E4150000}"/>
    <cellStyle name="Normal 2 49 4 2" xfId="4588" xr:uid="{00000000-0005-0000-0000-0000E5150000}"/>
    <cellStyle name="Normal 2 49 4 2 10" xfId="4589" xr:uid="{00000000-0005-0000-0000-0000E6150000}"/>
    <cellStyle name="Normal 2 49 4 2 10 2" xfId="22379" xr:uid="{00000000-0005-0000-0000-0000E7150000}"/>
    <cellStyle name="Normal 2 49 4 2 11" xfId="4590" xr:uid="{00000000-0005-0000-0000-0000E8150000}"/>
    <cellStyle name="Normal 2 49 4 2 11 2" xfId="22380" xr:uid="{00000000-0005-0000-0000-0000E9150000}"/>
    <cellStyle name="Normal 2 49 4 2 12" xfId="4591" xr:uid="{00000000-0005-0000-0000-0000EA150000}"/>
    <cellStyle name="Normal 2 49 4 2 12 2" xfId="22381" xr:uid="{00000000-0005-0000-0000-0000EB150000}"/>
    <cellStyle name="Normal 2 49 4 2 13" xfId="4592" xr:uid="{00000000-0005-0000-0000-0000EC150000}"/>
    <cellStyle name="Normal 2 49 4 2 13 2" xfId="22382" xr:uid="{00000000-0005-0000-0000-0000ED150000}"/>
    <cellStyle name="Normal 2 49 4 2 14" xfId="4593" xr:uid="{00000000-0005-0000-0000-0000EE150000}"/>
    <cellStyle name="Normal 2 49 4 2 14 2" xfId="22383" xr:uid="{00000000-0005-0000-0000-0000EF150000}"/>
    <cellStyle name="Normal 2 49 4 2 15" xfId="22378" xr:uid="{00000000-0005-0000-0000-0000F0150000}"/>
    <cellStyle name="Normal 2 49 4 2 2" xfId="4594" xr:uid="{00000000-0005-0000-0000-0000F1150000}"/>
    <cellStyle name="Normal 2 49 4 2 2 2" xfId="22384" xr:uid="{00000000-0005-0000-0000-0000F2150000}"/>
    <cellStyle name="Normal 2 49 4 2 3" xfId="4595" xr:uid="{00000000-0005-0000-0000-0000F3150000}"/>
    <cellStyle name="Normal 2 49 4 2 3 2" xfId="22385" xr:uid="{00000000-0005-0000-0000-0000F4150000}"/>
    <cellStyle name="Normal 2 49 4 2 4" xfId="4596" xr:uid="{00000000-0005-0000-0000-0000F5150000}"/>
    <cellStyle name="Normal 2 49 4 2 4 2" xfId="22386" xr:uid="{00000000-0005-0000-0000-0000F6150000}"/>
    <cellStyle name="Normal 2 49 4 2 5" xfId="4597" xr:uid="{00000000-0005-0000-0000-0000F7150000}"/>
    <cellStyle name="Normal 2 49 4 2 5 2" xfId="22387" xr:uid="{00000000-0005-0000-0000-0000F8150000}"/>
    <cellStyle name="Normal 2 49 4 2 6" xfId="4598" xr:uid="{00000000-0005-0000-0000-0000F9150000}"/>
    <cellStyle name="Normal 2 49 4 2 6 2" xfId="22388" xr:uid="{00000000-0005-0000-0000-0000FA150000}"/>
    <cellStyle name="Normal 2 49 4 2 7" xfId="4599" xr:uid="{00000000-0005-0000-0000-0000FB150000}"/>
    <cellStyle name="Normal 2 49 4 2 7 2" xfId="22389" xr:uid="{00000000-0005-0000-0000-0000FC150000}"/>
    <cellStyle name="Normal 2 49 4 2 8" xfId="4600" xr:uid="{00000000-0005-0000-0000-0000FD150000}"/>
    <cellStyle name="Normal 2 49 4 2 8 2" xfId="22390" xr:uid="{00000000-0005-0000-0000-0000FE150000}"/>
    <cellStyle name="Normal 2 49 4 2 9" xfId="4601" xr:uid="{00000000-0005-0000-0000-0000FF150000}"/>
    <cellStyle name="Normal 2 49 4 2 9 2" xfId="22391" xr:uid="{00000000-0005-0000-0000-000000160000}"/>
    <cellStyle name="Normal 2 49 4 3" xfId="4602" xr:uid="{00000000-0005-0000-0000-000001160000}"/>
    <cellStyle name="Normal 2 49 4 3 2" xfId="22392" xr:uid="{00000000-0005-0000-0000-000002160000}"/>
    <cellStyle name="Normal 2 49 4 4" xfId="4603" xr:uid="{00000000-0005-0000-0000-000003160000}"/>
    <cellStyle name="Normal 2 49 4 4 2" xfId="22393" xr:uid="{00000000-0005-0000-0000-000004160000}"/>
    <cellStyle name="Normal 2 49 4 5" xfId="4604" xr:uid="{00000000-0005-0000-0000-000005160000}"/>
    <cellStyle name="Normal 2 49 4 5 2" xfId="22394" xr:uid="{00000000-0005-0000-0000-000006160000}"/>
    <cellStyle name="Normal 2 49 4 6" xfId="4605" xr:uid="{00000000-0005-0000-0000-000007160000}"/>
    <cellStyle name="Normal 2 49 4 6 2" xfId="22395" xr:uid="{00000000-0005-0000-0000-000008160000}"/>
    <cellStyle name="Normal 2 49 4 7" xfId="4606" xr:uid="{00000000-0005-0000-0000-000009160000}"/>
    <cellStyle name="Normal 2 49 4 7 2" xfId="22396" xr:uid="{00000000-0005-0000-0000-00000A160000}"/>
    <cellStyle name="Normal 2 49 4 8" xfId="4607" xr:uid="{00000000-0005-0000-0000-00000B160000}"/>
    <cellStyle name="Normal 2 49 4 8 2" xfId="22397" xr:uid="{00000000-0005-0000-0000-00000C160000}"/>
    <cellStyle name="Normal 2 49 4 9" xfId="4608" xr:uid="{00000000-0005-0000-0000-00000D160000}"/>
    <cellStyle name="Normal 2 49 4 9 2" xfId="22398" xr:uid="{00000000-0005-0000-0000-00000E160000}"/>
    <cellStyle name="Normal 2 49 5" xfId="4609" xr:uid="{00000000-0005-0000-0000-00000F160000}"/>
    <cellStyle name="Normal 2 49 5 10" xfId="4610" xr:uid="{00000000-0005-0000-0000-000010160000}"/>
    <cellStyle name="Normal 2 49 5 10 2" xfId="22400" xr:uid="{00000000-0005-0000-0000-000011160000}"/>
    <cellStyle name="Normal 2 49 5 11" xfId="4611" xr:uid="{00000000-0005-0000-0000-000012160000}"/>
    <cellStyle name="Normal 2 49 5 11 2" xfId="22401" xr:uid="{00000000-0005-0000-0000-000013160000}"/>
    <cellStyle name="Normal 2 49 5 12" xfId="4612" xr:uid="{00000000-0005-0000-0000-000014160000}"/>
    <cellStyle name="Normal 2 49 5 12 2" xfId="22402" xr:uid="{00000000-0005-0000-0000-000015160000}"/>
    <cellStyle name="Normal 2 49 5 13" xfId="4613" xr:uid="{00000000-0005-0000-0000-000016160000}"/>
    <cellStyle name="Normal 2 49 5 13 2" xfId="22403" xr:uid="{00000000-0005-0000-0000-000017160000}"/>
    <cellStyle name="Normal 2 49 5 14" xfId="4614" xr:uid="{00000000-0005-0000-0000-000018160000}"/>
    <cellStyle name="Normal 2 49 5 14 2" xfId="22404" xr:uid="{00000000-0005-0000-0000-000019160000}"/>
    <cellStyle name="Normal 2 49 5 15" xfId="22399" xr:uid="{00000000-0005-0000-0000-00001A160000}"/>
    <cellStyle name="Normal 2 49 5 2" xfId="4615" xr:uid="{00000000-0005-0000-0000-00001B160000}"/>
    <cellStyle name="Normal 2 49 5 2 2" xfId="22405" xr:uid="{00000000-0005-0000-0000-00001C160000}"/>
    <cellStyle name="Normal 2 49 5 3" xfId="4616" xr:uid="{00000000-0005-0000-0000-00001D160000}"/>
    <cellStyle name="Normal 2 49 5 3 2" xfId="22406" xr:uid="{00000000-0005-0000-0000-00001E160000}"/>
    <cellStyle name="Normal 2 49 5 4" xfId="4617" xr:uid="{00000000-0005-0000-0000-00001F160000}"/>
    <cellStyle name="Normal 2 49 5 4 2" xfId="22407" xr:uid="{00000000-0005-0000-0000-000020160000}"/>
    <cellStyle name="Normal 2 49 5 5" xfId="4618" xr:uid="{00000000-0005-0000-0000-000021160000}"/>
    <cellStyle name="Normal 2 49 5 5 2" xfId="22408" xr:uid="{00000000-0005-0000-0000-000022160000}"/>
    <cellStyle name="Normal 2 49 5 6" xfId="4619" xr:uid="{00000000-0005-0000-0000-000023160000}"/>
    <cellStyle name="Normal 2 49 5 6 2" xfId="22409" xr:uid="{00000000-0005-0000-0000-000024160000}"/>
    <cellStyle name="Normal 2 49 5 7" xfId="4620" xr:uid="{00000000-0005-0000-0000-000025160000}"/>
    <cellStyle name="Normal 2 49 5 7 2" xfId="22410" xr:uid="{00000000-0005-0000-0000-000026160000}"/>
    <cellStyle name="Normal 2 49 5 8" xfId="4621" xr:uid="{00000000-0005-0000-0000-000027160000}"/>
    <cellStyle name="Normal 2 49 5 8 2" xfId="22411" xr:uid="{00000000-0005-0000-0000-000028160000}"/>
    <cellStyle name="Normal 2 49 5 9" xfId="4622" xr:uid="{00000000-0005-0000-0000-000029160000}"/>
    <cellStyle name="Normal 2 49 5 9 2" xfId="22412" xr:uid="{00000000-0005-0000-0000-00002A160000}"/>
    <cellStyle name="Normal 2 49 6" xfId="4623" xr:uid="{00000000-0005-0000-0000-00002B160000}"/>
    <cellStyle name="Normal 2 49 6 10" xfId="4624" xr:uid="{00000000-0005-0000-0000-00002C160000}"/>
    <cellStyle name="Normal 2 49 6 10 2" xfId="22414" xr:uid="{00000000-0005-0000-0000-00002D160000}"/>
    <cellStyle name="Normal 2 49 6 11" xfId="4625" xr:uid="{00000000-0005-0000-0000-00002E160000}"/>
    <cellStyle name="Normal 2 49 6 11 2" xfId="22415" xr:uid="{00000000-0005-0000-0000-00002F160000}"/>
    <cellStyle name="Normal 2 49 6 12" xfId="4626" xr:uid="{00000000-0005-0000-0000-000030160000}"/>
    <cellStyle name="Normal 2 49 6 12 2" xfId="22416" xr:uid="{00000000-0005-0000-0000-000031160000}"/>
    <cellStyle name="Normal 2 49 6 13" xfId="4627" xr:uid="{00000000-0005-0000-0000-000032160000}"/>
    <cellStyle name="Normal 2 49 6 13 2" xfId="22417" xr:uid="{00000000-0005-0000-0000-000033160000}"/>
    <cellStyle name="Normal 2 49 6 14" xfId="4628" xr:uid="{00000000-0005-0000-0000-000034160000}"/>
    <cellStyle name="Normal 2 49 6 14 2" xfId="22418" xr:uid="{00000000-0005-0000-0000-000035160000}"/>
    <cellStyle name="Normal 2 49 6 15" xfId="22413" xr:uid="{00000000-0005-0000-0000-000036160000}"/>
    <cellStyle name="Normal 2 49 6 2" xfId="4629" xr:uid="{00000000-0005-0000-0000-000037160000}"/>
    <cellStyle name="Normal 2 49 6 2 2" xfId="22419" xr:uid="{00000000-0005-0000-0000-000038160000}"/>
    <cellStyle name="Normal 2 49 6 3" xfId="4630" xr:uid="{00000000-0005-0000-0000-000039160000}"/>
    <cellStyle name="Normal 2 49 6 3 2" xfId="22420" xr:uid="{00000000-0005-0000-0000-00003A160000}"/>
    <cellStyle name="Normal 2 49 6 4" xfId="4631" xr:uid="{00000000-0005-0000-0000-00003B160000}"/>
    <cellStyle name="Normal 2 49 6 4 2" xfId="22421" xr:uid="{00000000-0005-0000-0000-00003C160000}"/>
    <cellStyle name="Normal 2 49 6 5" xfId="4632" xr:uid="{00000000-0005-0000-0000-00003D160000}"/>
    <cellStyle name="Normal 2 49 6 5 2" xfId="22422" xr:uid="{00000000-0005-0000-0000-00003E160000}"/>
    <cellStyle name="Normal 2 49 6 6" xfId="4633" xr:uid="{00000000-0005-0000-0000-00003F160000}"/>
    <cellStyle name="Normal 2 49 6 6 2" xfId="22423" xr:uid="{00000000-0005-0000-0000-000040160000}"/>
    <cellStyle name="Normal 2 49 6 7" xfId="4634" xr:uid="{00000000-0005-0000-0000-000041160000}"/>
    <cellStyle name="Normal 2 49 6 7 2" xfId="22424" xr:uid="{00000000-0005-0000-0000-000042160000}"/>
    <cellStyle name="Normal 2 49 6 8" xfId="4635" xr:uid="{00000000-0005-0000-0000-000043160000}"/>
    <cellStyle name="Normal 2 49 6 8 2" xfId="22425" xr:uid="{00000000-0005-0000-0000-000044160000}"/>
    <cellStyle name="Normal 2 49 6 9" xfId="4636" xr:uid="{00000000-0005-0000-0000-000045160000}"/>
    <cellStyle name="Normal 2 49 6 9 2" xfId="22426" xr:uid="{00000000-0005-0000-0000-000046160000}"/>
    <cellStyle name="Normal 2 49 7" xfId="4637" xr:uid="{00000000-0005-0000-0000-000047160000}"/>
    <cellStyle name="Normal 2 49 7 10" xfId="4638" xr:uid="{00000000-0005-0000-0000-000048160000}"/>
    <cellStyle name="Normal 2 49 7 10 2" xfId="22428" xr:uid="{00000000-0005-0000-0000-000049160000}"/>
    <cellStyle name="Normal 2 49 7 11" xfId="4639" xr:uid="{00000000-0005-0000-0000-00004A160000}"/>
    <cellStyle name="Normal 2 49 7 11 2" xfId="22429" xr:uid="{00000000-0005-0000-0000-00004B160000}"/>
    <cellStyle name="Normal 2 49 7 12" xfId="4640" xr:uid="{00000000-0005-0000-0000-00004C160000}"/>
    <cellStyle name="Normal 2 49 7 12 2" xfId="22430" xr:uid="{00000000-0005-0000-0000-00004D160000}"/>
    <cellStyle name="Normal 2 49 7 13" xfId="4641" xr:uid="{00000000-0005-0000-0000-00004E160000}"/>
    <cellStyle name="Normal 2 49 7 13 2" xfId="22431" xr:uid="{00000000-0005-0000-0000-00004F160000}"/>
    <cellStyle name="Normal 2 49 7 14" xfId="4642" xr:uid="{00000000-0005-0000-0000-000050160000}"/>
    <cellStyle name="Normal 2 49 7 14 2" xfId="22432" xr:uid="{00000000-0005-0000-0000-000051160000}"/>
    <cellStyle name="Normal 2 49 7 15" xfId="22427" xr:uid="{00000000-0005-0000-0000-000052160000}"/>
    <cellStyle name="Normal 2 49 7 2" xfId="4643" xr:uid="{00000000-0005-0000-0000-000053160000}"/>
    <cellStyle name="Normal 2 49 7 2 2" xfId="22433" xr:uid="{00000000-0005-0000-0000-000054160000}"/>
    <cellStyle name="Normal 2 49 7 3" xfId="4644" xr:uid="{00000000-0005-0000-0000-000055160000}"/>
    <cellStyle name="Normal 2 49 7 3 2" xfId="22434" xr:uid="{00000000-0005-0000-0000-000056160000}"/>
    <cellStyle name="Normal 2 49 7 4" xfId="4645" xr:uid="{00000000-0005-0000-0000-000057160000}"/>
    <cellStyle name="Normal 2 49 7 4 2" xfId="22435" xr:uid="{00000000-0005-0000-0000-000058160000}"/>
    <cellStyle name="Normal 2 49 7 5" xfId="4646" xr:uid="{00000000-0005-0000-0000-000059160000}"/>
    <cellStyle name="Normal 2 49 7 5 2" xfId="22436" xr:uid="{00000000-0005-0000-0000-00005A160000}"/>
    <cellStyle name="Normal 2 49 7 6" xfId="4647" xr:uid="{00000000-0005-0000-0000-00005B160000}"/>
    <cellStyle name="Normal 2 49 7 6 2" xfId="22437" xr:uid="{00000000-0005-0000-0000-00005C160000}"/>
    <cellStyle name="Normal 2 49 7 7" xfId="4648" xr:uid="{00000000-0005-0000-0000-00005D160000}"/>
    <cellStyle name="Normal 2 49 7 7 2" xfId="22438" xr:uid="{00000000-0005-0000-0000-00005E160000}"/>
    <cellStyle name="Normal 2 49 7 8" xfId="4649" xr:uid="{00000000-0005-0000-0000-00005F160000}"/>
    <cellStyle name="Normal 2 49 7 8 2" xfId="22439" xr:uid="{00000000-0005-0000-0000-000060160000}"/>
    <cellStyle name="Normal 2 49 7 9" xfId="4650" xr:uid="{00000000-0005-0000-0000-000061160000}"/>
    <cellStyle name="Normal 2 49 7 9 2" xfId="22440" xr:uid="{00000000-0005-0000-0000-000062160000}"/>
    <cellStyle name="Normal 2 49 8" xfId="4651" xr:uid="{00000000-0005-0000-0000-000063160000}"/>
    <cellStyle name="Normal 2 49 8 10" xfId="4652" xr:uid="{00000000-0005-0000-0000-000064160000}"/>
    <cellStyle name="Normal 2 49 8 10 2" xfId="22442" xr:uid="{00000000-0005-0000-0000-000065160000}"/>
    <cellStyle name="Normal 2 49 8 11" xfId="4653" xr:uid="{00000000-0005-0000-0000-000066160000}"/>
    <cellStyle name="Normal 2 49 8 11 2" xfId="22443" xr:uid="{00000000-0005-0000-0000-000067160000}"/>
    <cellStyle name="Normal 2 49 8 12" xfId="4654" xr:uid="{00000000-0005-0000-0000-000068160000}"/>
    <cellStyle name="Normal 2 49 8 12 2" xfId="22444" xr:uid="{00000000-0005-0000-0000-000069160000}"/>
    <cellStyle name="Normal 2 49 8 13" xfId="4655" xr:uid="{00000000-0005-0000-0000-00006A160000}"/>
    <cellStyle name="Normal 2 49 8 13 2" xfId="22445" xr:uid="{00000000-0005-0000-0000-00006B160000}"/>
    <cellStyle name="Normal 2 49 8 14" xfId="4656" xr:uid="{00000000-0005-0000-0000-00006C160000}"/>
    <cellStyle name="Normal 2 49 8 14 2" xfId="22446" xr:uid="{00000000-0005-0000-0000-00006D160000}"/>
    <cellStyle name="Normal 2 49 8 15" xfId="22441" xr:uid="{00000000-0005-0000-0000-00006E160000}"/>
    <cellStyle name="Normal 2 49 8 2" xfId="4657" xr:uid="{00000000-0005-0000-0000-00006F160000}"/>
    <cellStyle name="Normal 2 49 8 2 2" xfId="22447" xr:uid="{00000000-0005-0000-0000-000070160000}"/>
    <cellStyle name="Normal 2 49 8 3" xfId="4658" xr:uid="{00000000-0005-0000-0000-000071160000}"/>
    <cellStyle name="Normal 2 49 8 3 2" xfId="22448" xr:uid="{00000000-0005-0000-0000-000072160000}"/>
    <cellStyle name="Normal 2 49 8 4" xfId="4659" xr:uid="{00000000-0005-0000-0000-000073160000}"/>
    <cellStyle name="Normal 2 49 8 4 2" xfId="22449" xr:uid="{00000000-0005-0000-0000-000074160000}"/>
    <cellStyle name="Normal 2 49 8 5" xfId="4660" xr:uid="{00000000-0005-0000-0000-000075160000}"/>
    <cellStyle name="Normal 2 49 8 5 2" xfId="22450" xr:uid="{00000000-0005-0000-0000-000076160000}"/>
    <cellStyle name="Normal 2 49 8 6" xfId="4661" xr:uid="{00000000-0005-0000-0000-000077160000}"/>
    <cellStyle name="Normal 2 49 8 6 2" xfId="22451" xr:uid="{00000000-0005-0000-0000-000078160000}"/>
    <cellStyle name="Normal 2 49 8 7" xfId="4662" xr:uid="{00000000-0005-0000-0000-000079160000}"/>
    <cellStyle name="Normal 2 49 8 7 2" xfId="22452" xr:uid="{00000000-0005-0000-0000-00007A160000}"/>
    <cellStyle name="Normal 2 49 8 8" xfId="4663" xr:uid="{00000000-0005-0000-0000-00007B160000}"/>
    <cellStyle name="Normal 2 49 8 8 2" xfId="22453" xr:uid="{00000000-0005-0000-0000-00007C160000}"/>
    <cellStyle name="Normal 2 49 8 9" xfId="4664" xr:uid="{00000000-0005-0000-0000-00007D160000}"/>
    <cellStyle name="Normal 2 49 8 9 2" xfId="22454" xr:uid="{00000000-0005-0000-0000-00007E160000}"/>
    <cellStyle name="Normal 2 49 9" xfId="4665" xr:uid="{00000000-0005-0000-0000-00007F160000}"/>
    <cellStyle name="Normal 2 49 9 10" xfId="4666" xr:uid="{00000000-0005-0000-0000-000080160000}"/>
    <cellStyle name="Normal 2 49 9 10 2" xfId="22456" xr:uid="{00000000-0005-0000-0000-000081160000}"/>
    <cellStyle name="Normal 2 49 9 11" xfId="4667" xr:uid="{00000000-0005-0000-0000-000082160000}"/>
    <cellStyle name="Normal 2 49 9 11 2" xfId="22457" xr:uid="{00000000-0005-0000-0000-000083160000}"/>
    <cellStyle name="Normal 2 49 9 12" xfId="4668" xr:uid="{00000000-0005-0000-0000-000084160000}"/>
    <cellStyle name="Normal 2 49 9 12 2" xfId="22458" xr:uid="{00000000-0005-0000-0000-000085160000}"/>
    <cellStyle name="Normal 2 49 9 13" xfId="4669" xr:uid="{00000000-0005-0000-0000-000086160000}"/>
    <cellStyle name="Normal 2 49 9 13 2" xfId="22459" xr:uid="{00000000-0005-0000-0000-000087160000}"/>
    <cellStyle name="Normal 2 49 9 14" xfId="4670" xr:uid="{00000000-0005-0000-0000-000088160000}"/>
    <cellStyle name="Normal 2 49 9 14 2" xfId="22460" xr:uid="{00000000-0005-0000-0000-000089160000}"/>
    <cellStyle name="Normal 2 49 9 15" xfId="22455" xr:uid="{00000000-0005-0000-0000-00008A160000}"/>
    <cellStyle name="Normal 2 49 9 2" xfId="4671" xr:uid="{00000000-0005-0000-0000-00008B160000}"/>
    <cellStyle name="Normal 2 49 9 2 2" xfId="22461" xr:uid="{00000000-0005-0000-0000-00008C160000}"/>
    <cellStyle name="Normal 2 49 9 3" xfId="4672" xr:uid="{00000000-0005-0000-0000-00008D160000}"/>
    <cellStyle name="Normal 2 49 9 3 2" xfId="22462" xr:uid="{00000000-0005-0000-0000-00008E160000}"/>
    <cellStyle name="Normal 2 49 9 4" xfId="4673" xr:uid="{00000000-0005-0000-0000-00008F160000}"/>
    <cellStyle name="Normal 2 49 9 4 2" xfId="22463" xr:uid="{00000000-0005-0000-0000-000090160000}"/>
    <cellStyle name="Normal 2 49 9 5" xfId="4674" xr:uid="{00000000-0005-0000-0000-000091160000}"/>
    <cellStyle name="Normal 2 49 9 5 2" xfId="22464" xr:uid="{00000000-0005-0000-0000-000092160000}"/>
    <cellStyle name="Normal 2 49 9 6" xfId="4675" xr:uid="{00000000-0005-0000-0000-000093160000}"/>
    <cellStyle name="Normal 2 49 9 6 2" xfId="22465" xr:uid="{00000000-0005-0000-0000-000094160000}"/>
    <cellStyle name="Normal 2 49 9 7" xfId="4676" xr:uid="{00000000-0005-0000-0000-000095160000}"/>
    <cellStyle name="Normal 2 49 9 7 2" xfId="22466" xr:uid="{00000000-0005-0000-0000-000096160000}"/>
    <cellStyle name="Normal 2 49 9 8" xfId="4677" xr:uid="{00000000-0005-0000-0000-000097160000}"/>
    <cellStyle name="Normal 2 49 9 8 2" xfId="22467" xr:uid="{00000000-0005-0000-0000-000098160000}"/>
    <cellStyle name="Normal 2 49 9 9" xfId="4678" xr:uid="{00000000-0005-0000-0000-000099160000}"/>
    <cellStyle name="Normal 2 49 9 9 2" xfId="22468" xr:uid="{00000000-0005-0000-0000-00009A160000}"/>
    <cellStyle name="Normal 2 5" xfId="48" xr:uid="{00000000-0005-0000-0000-00009B160000}"/>
    <cellStyle name="Normal 2 5 2" xfId="205" xr:uid="{00000000-0005-0000-0000-00009C160000}"/>
    <cellStyle name="Normal 2 5 2 2" xfId="4680" xr:uid="{00000000-0005-0000-0000-00009D160000}"/>
    <cellStyle name="Normal 2 5 2 2 2" xfId="4681" xr:uid="{00000000-0005-0000-0000-00009E160000}"/>
    <cellStyle name="Normal 2 5 2 3" xfId="4682" xr:uid="{00000000-0005-0000-0000-00009F160000}"/>
    <cellStyle name="Normal 2 5 2 3 2" xfId="4683" xr:uid="{00000000-0005-0000-0000-0000A0160000}"/>
    <cellStyle name="Normal 2 5 2 4" xfId="4684" xr:uid="{00000000-0005-0000-0000-0000A1160000}"/>
    <cellStyle name="Normal 2 5 2 4 2" xfId="4685" xr:uid="{00000000-0005-0000-0000-0000A2160000}"/>
    <cellStyle name="Normal 2 5 2 5" xfId="4686" xr:uid="{00000000-0005-0000-0000-0000A3160000}"/>
    <cellStyle name="Normal 2 5 2 5 2" xfId="4687" xr:uid="{00000000-0005-0000-0000-0000A4160000}"/>
    <cellStyle name="Normal 2 5 2 6" xfId="4688" xr:uid="{00000000-0005-0000-0000-0000A5160000}"/>
    <cellStyle name="Normal 2 5 2 6 2" xfId="4689" xr:uid="{00000000-0005-0000-0000-0000A6160000}"/>
    <cellStyle name="Normal 2 5 2 7" xfId="4690" xr:uid="{00000000-0005-0000-0000-0000A7160000}"/>
    <cellStyle name="Normal 2 5 2 7 2" xfId="4691" xr:uid="{00000000-0005-0000-0000-0000A8160000}"/>
    <cellStyle name="Normal 2 5 2 8" xfId="4679" xr:uid="{00000000-0005-0000-0000-0000A9160000}"/>
    <cellStyle name="Normal 2 5 3" xfId="4692" xr:uid="{00000000-0005-0000-0000-0000AA160000}"/>
    <cellStyle name="Normal 2 5 4" xfId="4693" xr:uid="{00000000-0005-0000-0000-0000AB160000}"/>
    <cellStyle name="Normal 2 5 5" xfId="4694" xr:uid="{00000000-0005-0000-0000-0000AC160000}"/>
    <cellStyle name="Normal 2 5 6" xfId="4695" xr:uid="{00000000-0005-0000-0000-0000AD160000}"/>
    <cellStyle name="Normal 2 5 7" xfId="4696" xr:uid="{00000000-0005-0000-0000-0000AE160000}"/>
    <cellStyle name="Normal 2 5 8" xfId="4697" xr:uid="{00000000-0005-0000-0000-0000AF160000}"/>
    <cellStyle name="Normal 2 50" xfId="4698" xr:uid="{00000000-0005-0000-0000-0000B0160000}"/>
    <cellStyle name="Normal 2 50 10" xfId="4699" xr:uid="{00000000-0005-0000-0000-0000B1160000}"/>
    <cellStyle name="Normal 2 50 10 10" xfId="4700" xr:uid="{00000000-0005-0000-0000-0000B2160000}"/>
    <cellStyle name="Normal 2 50 10 10 2" xfId="22471" xr:uid="{00000000-0005-0000-0000-0000B3160000}"/>
    <cellStyle name="Normal 2 50 10 11" xfId="4701" xr:uid="{00000000-0005-0000-0000-0000B4160000}"/>
    <cellStyle name="Normal 2 50 10 11 2" xfId="22472" xr:uid="{00000000-0005-0000-0000-0000B5160000}"/>
    <cellStyle name="Normal 2 50 10 12" xfId="4702" xr:uid="{00000000-0005-0000-0000-0000B6160000}"/>
    <cellStyle name="Normal 2 50 10 12 2" xfId="22473" xr:uid="{00000000-0005-0000-0000-0000B7160000}"/>
    <cellStyle name="Normal 2 50 10 13" xfId="4703" xr:uid="{00000000-0005-0000-0000-0000B8160000}"/>
    <cellStyle name="Normal 2 50 10 13 2" xfId="22474" xr:uid="{00000000-0005-0000-0000-0000B9160000}"/>
    <cellStyle name="Normal 2 50 10 14" xfId="4704" xr:uid="{00000000-0005-0000-0000-0000BA160000}"/>
    <cellStyle name="Normal 2 50 10 14 2" xfId="22475" xr:uid="{00000000-0005-0000-0000-0000BB160000}"/>
    <cellStyle name="Normal 2 50 10 15" xfId="22470" xr:uid="{00000000-0005-0000-0000-0000BC160000}"/>
    <cellStyle name="Normal 2 50 10 2" xfId="4705" xr:uid="{00000000-0005-0000-0000-0000BD160000}"/>
    <cellStyle name="Normal 2 50 10 2 2" xfId="22476" xr:uid="{00000000-0005-0000-0000-0000BE160000}"/>
    <cellStyle name="Normal 2 50 10 3" xfId="4706" xr:uid="{00000000-0005-0000-0000-0000BF160000}"/>
    <cellStyle name="Normal 2 50 10 3 2" xfId="22477" xr:uid="{00000000-0005-0000-0000-0000C0160000}"/>
    <cellStyle name="Normal 2 50 10 4" xfId="4707" xr:uid="{00000000-0005-0000-0000-0000C1160000}"/>
    <cellStyle name="Normal 2 50 10 4 2" xfId="22478" xr:uid="{00000000-0005-0000-0000-0000C2160000}"/>
    <cellStyle name="Normal 2 50 10 5" xfId="4708" xr:uid="{00000000-0005-0000-0000-0000C3160000}"/>
    <cellStyle name="Normal 2 50 10 5 2" xfId="22479" xr:uid="{00000000-0005-0000-0000-0000C4160000}"/>
    <cellStyle name="Normal 2 50 10 6" xfId="4709" xr:uid="{00000000-0005-0000-0000-0000C5160000}"/>
    <cellStyle name="Normal 2 50 10 6 2" xfId="22480" xr:uid="{00000000-0005-0000-0000-0000C6160000}"/>
    <cellStyle name="Normal 2 50 10 7" xfId="4710" xr:uid="{00000000-0005-0000-0000-0000C7160000}"/>
    <cellStyle name="Normal 2 50 10 7 2" xfId="22481" xr:uid="{00000000-0005-0000-0000-0000C8160000}"/>
    <cellStyle name="Normal 2 50 10 8" xfId="4711" xr:uid="{00000000-0005-0000-0000-0000C9160000}"/>
    <cellStyle name="Normal 2 50 10 8 2" xfId="22482" xr:uid="{00000000-0005-0000-0000-0000CA160000}"/>
    <cellStyle name="Normal 2 50 10 9" xfId="4712" xr:uid="{00000000-0005-0000-0000-0000CB160000}"/>
    <cellStyle name="Normal 2 50 10 9 2" xfId="22483" xr:uid="{00000000-0005-0000-0000-0000CC160000}"/>
    <cellStyle name="Normal 2 50 11" xfId="4713" xr:uid="{00000000-0005-0000-0000-0000CD160000}"/>
    <cellStyle name="Normal 2 50 11 2" xfId="22484" xr:uid="{00000000-0005-0000-0000-0000CE160000}"/>
    <cellStyle name="Normal 2 50 12" xfId="4714" xr:uid="{00000000-0005-0000-0000-0000CF160000}"/>
    <cellStyle name="Normal 2 50 12 2" xfId="22485" xr:uid="{00000000-0005-0000-0000-0000D0160000}"/>
    <cellStyle name="Normal 2 50 13" xfId="4715" xr:uid="{00000000-0005-0000-0000-0000D1160000}"/>
    <cellStyle name="Normal 2 50 13 2" xfId="22486" xr:uid="{00000000-0005-0000-0000-0000D2160000}"/>
    <cellStyle name="Normal 2 50 14" xfId="4716" xr:uid="{00000000-0005-0000-0000-0000D3160000}"/>
    <cellStyle name="Normal 2 50 14 2" xfId="22487" xr:uid="{00000000-0005-0000-0000-0000D4160000}"/>
    <cellStyle name="Normal 2 50 15" xfId="4717" xr:uid="{00000000-0005-0000-0000-0000D5160000}"/>
    <cellStyle name="Normal 2 50 15 2" xfId="22488" xr:uid="{00000000-0005-0000-0000-0000D6160000}"/>
    <cellStyle name="Normal 2 50 16" xfId="4718" xr:uid="{00000000-0005-0000-0000-0000D7160000}"/>
    <cellStyle name="Normal 2 50 16 2" xfId="22489" xr:uid="{00000000-0005-0000-0000-0000D8160000}"/>
    <cellStyle name="Normal 2 50 17" xfId="4719" xr:uid="{00000000-0005-0000-0000-0000D9160000}"/>
    <cellStyle name="Normal 2 50 17 2" xfId="22490" xr:uid="{00000000-0005-0000-0000-0000DA160000}"/>
    <cellStyle name="Normal 2 50 18" xfId="4720" xr:uid="{00000000-0005-0000-0000-0000DB160000}"/>
    <cellStyle name="Normal 2 50 18 2" xfId="22491" xr:uid="{00000000-0005-0000-0000-0000DC160000}"/>
    <cellStyle name="Normal 2 50 19" xfId="4721" xr:uid="{00000000-0005-0000-0000-0000DD160000}"/>
    <cellStyle name="Normal 2 50 19 2" xfId="22492" xr:uid="{00000000-0005-0000-0000-0000DE160000}"/>
    <cellStyle name="Normal 2 50 2" xfId="4722" xr:uid="{00000000-0005-0000-0000-0000DF160000}"/>
    <cellStyle name="Normal 2 50 2 10" xfId="4723" xr:uid="{00000000-0005-0000-0000-0000E0160000}"/>
    <cellStyle name="Normal 2 50 2 10 2" xfId="22494" xr:uid="{00000000-0005-0000-0000-0000E1160000}"/>
    <cellStyle name="Normal 2 50 2 11" xfId="4724" xr:uid="{00000000-0005-0000-0000-0000E2160000}"/>
    <cellStyle name="Normal 2 50 2 11 2" xfId="22495" xr:uid="{00000000-0005-0000-0000-0000E3160000}"/>
    <cellStyle name="Normal 2 50 2 12" xfId="4725" xr:uid="{00000000-0005-0000-0000-0000E4160000}"/>
    <cellStyle name="Normal 2 50 2 12 2" xfId="22496" xr:uid="{00000000-0005-0000-0000-0000E5160000}"/>
    <cellStyle name="Normal 2 50 2 13" xfId="4726" xr:uid="{00000000-0005-0000-0000-0000E6160000}"/>
    <cellStyle name="Normal 2 50 2 13 2" xfId="22497" xr:uid="{00000000-0005-0000-0000-0000E7160000}"/>
    <cellStyle name="Normal 2 50 2 14" xfId="4727" xr:uid="{00000000-0005-0000-0000-0000E8160000}"/>
    <cellStyle name="Normal 2 50 2 14 2" xfId="22498" xr:uid="{00000000-0005-0000-0000-0000E9160000}"/>
    <cellStyle name="Normal 2 50 2 15" xfId="4728" xr:uid="{00000000-0005-0000-0000-0000EA160000}"/>
    <cellStyle name="Normal 2 50 2 15 2" xfId="22499" xr:uid="{00000000-0005-0000-0000-0000EB160000}"/>
    <cellStyle name="Normal 2 50 2 16" xfId="22493" xr:uid="{00000000-0005-0000-0000-0000EC160000}"/>
    <cellStyle name="Normal 2 50 2 2" xfId="4729" xr:uid="{00000000-0005-0000-0000-0000ED160000}"/>
    <cellStyle name="Normal 2 50 2 2 10" xfId="4730" xr:uid="{00000000-0005-0000-0000-0000EE160000}"/>
    <cellStyle name="Normal 2 50 2 2 10 2" xfId="22501" xr:uid="{00000000-0005-0000-0000-0000EF160000}"/>
    <cellStyle name="Normal 2 50 2 2 11" xfId="4731" xr:uid="{00000000-0005-0000-0000-0000F0160000}"/>
    <cellStyle name="Normal 2 50 2 2 11 2" xfId="22502" xr:uid="{00000000-0005-0000-0000-0000F1160000}"/>
    <cellStyle name="Normal 2 50 2 2 12" xfId="4732" xr:uid="{00000000-0005-0000-0000-0000F2160000}"/>
    <cellStyle name="Normal 2 50 2 2 12 2" xfId="22503" xr:uid="{00000000-0005-0000-0000-0000F3160000}"/>
    <cellStyle name="Normal 2 50 2 2 13" xfId="4733" xr:uid="{00000000-0005-0000-0000-0000F4160000}"/>
    <cellStyle name="Normal 2 50 2 2 13 2" xfId="22504" xr:uid="{00000000-0005-0000-0000-0000F5160000}"/>
    <cellStyle name="Normal 2 50 2 2 14" xfId="4734" xr:uid="{00000000-0005-0000-0000-0000F6160000}"/>
    <cellStyle name="Normal 2 50 2 2 14 2" xfId="22505" xr:uid="{00000000-0005-0000-0000-0000F7160000}"/>
    <cellStyle name="Normal 2 50 2 2 15" xfId="22500" xr:uid="{00000000-0005-0000-0000-0000F8160000}"/>
    <cellStyle name="Normal 2 50 2 2 2" xfId="4735" xr:uid="{00000000-0005-0000-0000-0000F9160000}"/>
    <cellStyle name="Normal 2 50 2 2 2 2" xfId="22506" xr:uid="{00000000-0005-0000-0000-0000FA160000}"/>
    <cellStyle name="Normal 2 50 2 2 3" xfId="4736" xr:uid="{00000000-0005-0000-0000-0000FB160000}"/>
    <cellStyle name="Normal 2 50 2 2 3 2" xfId="22507" xr:uid="{00000000-0005-0000-0000-0000FC160000}"/>
    <cellStyle name="Normal 2 50 2 2 4" xfId="4737" xr:uid="{00000000-0005-0000-0000-0000FD160000}"/>
    <cellStyle name="Normal 2 50 2 2 4 2" xfId="22508" xr:uid="{00000000-0005-0000-0000-0000FE160000}"/>
    <cellStyle name="Normal 2 50 2 2 5" xfId="4738" xr:uid="{00000000-0005-0000-0000-0000FF160000}"/>
    <cellStyle name="Normal 2 50 2 2 5 2" xfId="22509" xr:uid="{00000000-0005-0000-0000-000000170000}"/>
    <cellStyle name="Normal 2 50 2 2 6" xfId="4739" xr:uid="{00000000-0005-0000-0000-000001170000}"/>
    <cellStyle name="Normal 2 50 2 2 6 2" xfId="22510" xr:uid="{00000000-0005-0000-0000-000002170000}"/>
    <cellStyle name="Normal 2 50 2 2 7" xfId="4740" xr:uid="{00000000-0005-0000-0000-000003170000}"/>
    <cellStyle name="Normal 2 50 2 2 7 2" xfId="22511" xr:uid="{00000000-0005-0000-0000-000004170000}"/>
    <cellStyle name="Normal 2 50 2 2 8" xfId="4741" xr:uid="{00000000-0005-0000-0000-000005170000}"/>
    <cellStyle name="Normal 2 50 2 2 8 2" xfId="22512" xr:uid="{00000000-0005-0000-0000-000006170000}"/>
    <cellStyle name="Normal 2 50 2 2 9" xfId="4742" xr:uid="{00000000-0005-0000-0000-000007170000}"/>
    <cellStyle name="Normal 2 50 2 2 9 2" xfId="22513" xr:uid="{00000000-0005-0000-0000-000008170000}"/>
    <cellStyle name="Normal 2 50 2 3" xfId="4743" xr:uid="{00000000-0005-0000-0000-000009170000}"/>
    <cellStyle name="Normal 2 50 2 3 2" xfId="22514" xr:uid="{00000000-0005-0000-0000-00000A170000}"/>
    <cellStyle name="Normal 2 50 2 4" xfId="4744" xr:uid="{00000000-0005-0000-0000-00000B170000}"/>
    <cellStyle name="Normal 2 50 2 4 2" xfId="22515" xr:uid="{00000000-0005-0000-0000-00000C170000}"/>
    <cellStyle name="Normal 2 50 2 5" xfId="4745" xr:uid="{00000000-0005-0000-0000-00000D170000}"/>
    <cellStyle name="Normal 2 50 2 5 2" xfId="22516" xr:uid="{00000000-0005-0000-0000-00000E170000}"/>
    <cellStyle name="Normal 2 50 2 6" xfId="4746" xr:uid="{00000000-0005-0000-0000-00000F170000}"/>
    <cellStyle name="Normal 2 50 2 6 2" xfId="22517" xr:uid="{00000000-0005-0000-0000-000010170000}"/>
    <cellStyle name="Normal 2 50 2 7" xfId="4747" xr:uid="{00000000-0005-0000-0000-000011170000}"/>
    <cellStyle name="Normal 2 50 2 7 2" xfId="22518" xr:uid="{00000000-0005-0000-0000-000012170000}"/>
    <cellStyle name="Normal 2 50 2 8" xfId="4748" xr:uid="{00000000-0005-0000-0000-000013170000}"/>
    <cellStyle name="Normal 2 50 2 8 2" xfId="22519" xr:uid="{00000000-0005-0000-0000-000014170000}"/>
    <cellStyle name="Normal 2 50 2 9" xfId="4749" xr:uid="{00000000-0005-0000-0000-000015170000}"/>
    <cellStyle name="Normal 2 50 2 9 2" xfId="22520" xr:uid="{00000000-0005-0000-0000-000016170000}"/>
    <cellStyle name="Normal 2 50 20" xfId="4750" xr:uid="{00000000-0005-0000-0000-000017170000}"/>
    <cellStyle name="Normal 2 50 20 2" xfId="22521" xr:uid="{00000000-0005-0000-0000-000018170000}"/>
    <cellStyle name="Normal 2 50 21" xfId="4751" xr:uid="{00000000-0005-0000-0000-000019170000}"/>
    <cellStyle name="Normal 2 50 21 2" xfId="22522" xr:uid="{00000000-0005-0000-0000-00001A170000}"/>
    <cellStyle name="Normal 2 50 22" xfId="4752" xr:uid="{00000000-0005-0000-0000-00001B170000}"/>
    <cellStyle name="Normal 2 50 22 2" xfId="22523" xr:uid="{00000000-0005-0000-0000-00001C170000}"/>
    <cellStyle name="Normal 2 50 23" xfId="4753" xr:uid="{00000000-0005-0000-0000-00001D170000}"/>
    <cellStyle name="Normal 2 50 23 2" xfId="22524" xr:uid="{00000000-0005-0000-0000-00001E170000}"/>
    <cellStyle name="Normal 2 50 24" xfId="22469" xr:uid="{00000000-0005-0000-0000-00001F170000}"/>
    <cellStyle name="Normal 2 50 3" xfId="4754" xr:uid="{00000000-0005-0000-0000-000020170000}"/>
    <cellStyle name="Normal 2 50 3 10" xfId="4755" xr:uid="{00000000-0005-0000-0000-000021170000}"/>
    <cellStyle name="Normal 2 50 3 10 2" xfId="22526" xr:uid="{00000000-0005-0000-0000-000022170000}"/>
    <cellStyle name="Normal 2 50 3 11" xfId="4756" xr:uid="{00000000-0005-0000-0000-000023170000}"/>
    <cellStyle name="Normal 2 50 3 11 2" xfId="22527" xr:uid="{00000000-0005-0000-0000-000024170000}"/>
    <cellStyle name="Normal 2 50 3 12" xfId="4757" xr:uid="{00000000-0005-0000-0000-000025170000}"/>
    <cellStyle name="Normal 2 50 3 12 2" xfId="22528" xr:uid="{00000000-0005-0000-0000-000026170000}"/>
    <cellStyle name="Normal 2 50 3 13" xfId="4758" xr:uid="{00000000-0005-0000-0000-000027170000}"/>
    <cellStyle name="Normal 2 50 3 13 2" xfId="22529" xr:uid="{00000000-0005-0000-0000-000028170000}"/>
    <cellStyle name="Normal 2 50 3 14" xfId="4759" xr:uid="{00000000-0005-0000-0000-000029170000}"/>
    <cellStyle name="Normal 2 50 3 14 2" xfId="22530" xr:uid="{00000000-0005-0000-0000-00002A170000}"/>
    <cellStyle name="Normal 2 50 3 15" xfId="4760" xr:uid="{00000000-0005-0000-0000-00002B170000}"/>
    <cellStyle name="Normal 2 50 3 15 2" xfId="22531" xr:uid="{00000000-0005-0000-0000-00002C170000}"/>
    <cellStyle name="Normal 2 50 3 16" xfId="22525" xr:uid="{00000000-0005-0000-0000-00002D170000}"/>
    <cellStyle name="Normal 2 50 3 2" xfId="4761" xr:uid="{00000000-0005-0000-0000-00002E170000}"/>
    <cellStyle name="Normal 2 50 3 2 10" xfId="4762" xr:uid="{00000000-0005-0000-0000-00002F170000}"/>
    <cellStyle name="Normal 2 50 3 2 10 2" xfId="22533" xr:uid="{00000000-0005-0000-0000-000030170000}"/>
    <cellStyle name="Normal 2 50 3 2 11" xfId="4763" xr:uid="{00000000-0005-0000-0000-000031170000}"/>
    <cellStyle name="Normal 2 50 3 2 11 2" xfId="22534" xr:uid="{00000000-0005-0000-0000-000032170000}"/>
    <cellStyle name="Normal 2 50 3 2 12" xfId="4764" xr:uid="{00000000-0005-0000-0000-000033170000}"/>
    <cellStyle name="Normal 2 50 3 2 12 2" xfId="22535" xr:uid="{00000000-0005-0000-0000-000034170000}"/>
    <cellStyle name="Normal 2 50 3 2 13" xfId="4765" xr:uid="{00000000-0005-0000-0000-000035170000}"/>
    <cellStyle name="Normal 2 50 3 2 13 2" xfId="22536" xr:uid="{00000000-0005-0000-0000-000036170000}"/>
    <cellStyle name="Normal 2 50 3 2 14" xfId="4766" xr:uid="{00000000-0005-0000-0000-000037170000}"/>
    <cellStyle name="Normal 2 50 3 2 14 2" xfId="22537" xr:uid="{00000000-0005-0000-0000-000038170000}"/>
    <cellStyle name="Normal 2 50 3 2 15" xfId="22532" xr:uid="{00000000-0005-0000-0000-000039170000}"/>
    <cellStyle name="Normal 2 50 3 2 2" xfId="4767" xr:uid="{00000000-0005-0000-0000-00003A170000}"/>
    <cellStyle name="Normal 2 50 3 2 2 2" xfId="22538" xr:uid="{00000000-0005-0000-0000-00003B170000}"/>
    <cellStyle name="Normal 2 50 3 2 3" xfId="4768" xr:uid="{00000000-0005-0000-0000-00003C170000}"/>
    <cellStyle name="Normal 2 50 3 2 3 2" xfId="22539" xr:uid="{00000000-0005-0000-0000-00003D170000}"/>
    <cellStyle name="Normal 2 50 3 2 4" xfId="4769" xr:uid="{00000000-0005-0000-0000-00003E170000}"/>
    <cellStyle name="Normal 2 50 3 2 4 2" xfId="22540" xr:uid="{00000000-0005-0000-0000-00003F170000}"/>
    <cellStyle name="Normal 2 50 3 2 5" xfId="4770" xr:uid="{00000000-0005-0000-0000-000040170000}"/>
    <cellStyle name="Normal 2 50 3 2 5 2" xfId="22541" xr:uid="{00000000-0005-0000-0000-000041170000}"/>
    <cellStyle name="Normal 2 50 3 2 6" xfId="4771" xr:uid="{00000000-0005-0000-0000-000042170000}"/>
    <cellStyle name="Normal 2 50 3 2 6 2" xfId="22542" xr:uid="{00000000-0005-0000-0000-000043170000}"/>
    <cellStyle name="Normal 2 50 3 2 7" xfId="4772" xr:uid="{00000000-0005-0000-0000-000044170000}"/>
    <cellStyle name="Normal 2 50 3 2 7 2" xfId="22543" xr:uid="{00000000-0005-0000-0000-000045170000}"/>
    <cellStyle name="Normal 2 50 3 2 8" xfId="4773" xr:uid="{00000000-0005-0000-0000-000046170000}"/>
    <cellStyle name="Normal 2 50 3 2 8 2" xfId="22544" xr:uid="{00000000-0005-0000-0000-000047170000}"/>
    <cellStyle name="Normal 2 50 3 2 9" xfId="4774" xr:uid="{00000000-0005-0000-0000-000048170000}"/>
    <cellStyle name="Normal 2 50 3 2 9 2" xfId="22545" xr:uid="{00000000-0005-0000-0000-000049170000}"/>
    <cellStyle name="Normal 2 50 3 3" xfId="4775" xr:uid="{00000000-0005-0000-0000-00004A170000}"/>
    <cellStyle name="Normal 2 50 3 3 2" xfId="22546" xr:uid="{00000000-0005-0000-0000-00004B170000}"/>
    <cellStyle name="Normal 2 50 3 4" xfId="4776" xr:uid="{00000000-0005-0000-0000-00004C170000}"/>
    <cellStyle name="Normal 2 50 3 4 2" xfId="22547" xr:uid="{00000000-0005-0000-0000-00004D170000}"/>
    <cellStyle name="Normal 2 50 3 5" xfId="4777" xr:uid="{00000000-0005-0000-0000-00004E170000}"/>
    <cellStyle name="Normal 2 50 3 5 2" xfId="22548" xr:uid="{00000000-0005-0000-0000-00004F170000}"/>
    <cellStyle name="Normal 2 50 3 6" xfId="4778" xr:uid="{00000000-0005-0000-0000-000050170000}"/>
    <cellStyle name="Normal 2 50 3 6 2" xfId="22549" xr:uid="{00000000-0005-0000-0000-000051170000}"/>
    <cellStyle name="Normal 2 50 3 7" xfId="4779" xr:uid="{00000000-0005-0000-0000-000052170000}"/>
    <cellStyle name="Normal 2 50 3 7 2" xfId="22550" xr:uid="{00000000-0005-0000-0000-000053170000}"/>
    <cellStyle name="Normal 2 50 3 8" xfId="4780" xr:uid="{00000000-0005-0000-0000-000054170000}"/>
    <cellStyle name="Normal 2 50 3 8 2" xfId="22551" xr:uid="{00000000-0005-0000-0000-000055170000}"/>
    <cellStyle name="Normal 2 50 3 9" xfId="4781" xr:uid="{00000000-0005-0000-0000-000056170000}"/>
    <cellStyle name="Normal 2 50 3 9 2" xfId="22552" xr:uid="{00000000-0005-0000-0000-000057170000}"/>
    <cellStyle name="Normal 2 50 4" xfId="4782" xr:uid="{00000000-0005-0000-0000-000058170000}"/>
    <cellStyle name="Normal 2 50 4 10" xfId="4783" xr:uid="{00000000-0005-0000-0000-000059170000}"/>
    <cellStyle name="Normal 2 50 4 10 2" xfId="22554" xr:uid="{00000000-0005-0000-0000-00005A170000}"/>
    <cellStyle name="Normal 2 50 4 11" xfId="4784" xr:uid="{00000000-0005-0000-0000-00005B170000}"/>
    <cellStyle name="Normal 2 50 4 11 2" xfId="22555" xr:uid="{00000000-0005-0000-0000-00005C170000}"/>
    <cellStyle name="Normal 2 50 4 12" xfId="4785" xr:uid="{00000000-0005-0000-0000-00005D170000}"/>
    <cellStyle name="Normal 2 50 4 12 2" xfId="22556" xr:uid="{00000000-0005-0000-0000-00005E170000}"/>
    <cellStyle name="Normal 2 50 4 13" xfId="4786" xr:uid="{00000000-0005-0000-0000-00005F170000}"/>
    <cellStyle name="Normal 2 50 4 13 2" xfId="22557" xr:uid="{00000000-0005-0000-0000-000060170000}"/>
    <cellStyle name="Normal 2 50 4 14" xfId="4787" xr:uid="{00000000-0005-0000-0000-000061170000}"/>
    <cellStyle name="Normal 2 50 4 14 2" xfId="22558" xr:uid="{00000000-0005-0000-0000-000062170000}"/>
    <cellStyle name="Normal 2 50 4 15" xfId="4788" xr:uid="{00000000-0005-0000-0000-000063170000}"/>
    <cellStyle name="Normal 2 50 4 15 2" xfId="22559" xr:uid="{00000000-0005-0000-0000-000064170000}"/>
    <cellStyle name="Normal 2 50 4 16" xfId="22553" xr:uid="{00000000-0005-0000-0000-000065170000}"/>
    <cellStyle name="Normal 2 50 4 2" xfId="4789" xr:uid="{00000000-0005-0000-0000-000066170000}"/>
    <cellStyle name="Normal 2 50 4 2 10" xfId="4790" xr:uid="{00000000-0005-0000-0000-000067170000}"/>
    <cellStyle name="Normal 2 50 4 2 10 2" xfId="22561" xr:uid="{00000000-0005-0000-0000-000068170000}"/>
    <cellStyle name="Normal 2 50 4 2 11" xfId="4791" xr:uid="{00000000-0005-0000-0000-000069170000}"/>
    <cellStyle name="Normal 2 50 4 2 11 2" xfId="22562" xr:uid="{00000000-0005-0000-0000-00006A170000}"/>
    <cellStyle name="Normal 2 50 4 2 12" xfId="4792" xr:uid="{00000000-0005-0000-0000-00006B170000}"/>
    <cellStyle name="Normal 2 50 4 2 12 2" xfId="22563" xr:uid="{00000000-0005-0000-0000-00006C170000}"/>
    <cellStyle name="Normal 2 50 4 2 13" xfId="4793" xr:uid="{00000000-0005-0000-0000-00006D170000}"/>
    <cellStyle name="Normal 2 50 4 2 13 2" xfId="22564" xr:uid="{00000000-0005-0000-0000-00006E170000}"/>
    <cellStyle name="Normal 2 50 4 2 14" xfId="4794" xr:uid="{00000000-0005-0000-0000-00006F170000}"/>
    <cellStyle name="Normal 2 50 4 2 14 2" xfId="22565" xr:uid="{00000000-0005-0000-0000-000070170000}"/>
    <cellStyle name="Normal 2 50 4 2 15" xfId="22560" xr:uid="{00000000-0005-0000-0000-000071170000}"/>
    <cellStyle name="Normal 2 50 4 2 2" xfId="4795" xr:uid="{00000000-0005-0000-0000-000072170000}"/>
    <cellStyle name="Normal 2 50 4 2 2 2" xfId="22566" xr:uid="{00000000-0005-0000-0000-000073170000}"/>
    <cellStyle name="Normal 2 50 4 2 3" xfId="4796" xr:uid="{00000000-0005-0000-0000-000074170000}"/>
    <cellStyle name="Normal 2 50 4 2 3 2" xfId="22567" xr:uid="{00000000-0005-0000-0000-000075170000}"/>
    <cellStyle name="Normal 2 50 4 2 4" xfId="4797" xr:uid="{00000000-0005-0000-0000-000076170000}"/>
    <cellStyle name="Normal 2 50 4 2 4 2" xfId="22568" xr:uid="{00000000-0005-0000-0000-000077170000}"/>
    <cellStyle name="Normal 2 50 4 2 5" xfId="4798" xr:uid="{00000000-0005-0000-0000-000078170000}"/>
    <cellStyle name="Normal 2 50 4 2 5 2" xfId="22569" xr:uid="{00000000-0005-0000-0000-000079170000}"/>
    <cellStyle name="Normal 2 50 4 2 6" xfId="4799" xr:uid="{00000000-0005-0000-0000-00007A170000}"/>
    <cellStyle name="Normal 2 50 4 2 6 2" xfId="22570" xr:uid="{00000000-0005-0000-0000-00007B170000}"/>
    <cellStyle name="Normal 2 50 4 2 7" xfId="4800" xr:uid="{00000000-0005-0000-0000-00007C170000}"/>
    <cellStyle name="Normal 2 50 4 2 7 2" xfId="22571" xr:uid="{00000000-0005-0000-0000-00007D170000}"/>
    <cellStyle name="Normal 2 50 4 2 8" xfId="4801" xr:uid="{00000000-0005-0000-0000-00007E170000}"/>
    <cellStyle name="Normal 2 50 4 2 8 2" xfId="22572" xr:uid="{00000000-0005-0000-0000-00007F170000}"/>
    <cellStyle name="Normal 2 50 4 2 9" xfId="4802" xr:uid="{00000000-0005-0000-0000-000080170000}"/>
    <cellStyle name="Normal 2 50 4 2 9 2" xfId="22573" xr:uid="{00000000-0005-0000-0000-000081170000}"/>
    <cellStyle name="Normal 2 50 4 3" xfId="4803" xr:uid="{00000000-0005-0000-0000-000082170000}"/>
    <cellStyle name="Normal 2 50 4 3 2" xfId="22574" xr:uid="{00000000-0005-0000-0000-000083170000}"/>
    <cellStyle name="Normal 2 50 4 4" xfId="4804" xr:uid="{00000000-0005-0000-0000-000084170000}"/>
    <cellStyle name="Normal 2 50 4 4 2" xfId="22575" xr:uid="{00000000-0005-0000-0000-000085170000}"/>
    <cellStyle name="Normal 2 50 4 5" xfId="4805" xr:uid="{00000000-0005-0000-0000-000086170000}"/>
    <cellStyle name="Normal 2 50 4 5 2" xfId="22576" xr:uid="{00000000-0005-0000-0000-000087170000}"/>
    <cellStyle name="Normal 2 50 4 6" xfId="4806" xr:uid="{00000000-0005-0000-0000-000088170000}"/>
    <cellStyle name="Normal 2 50 4 6 2" xfId="22577" xr:uid="{00000000-0005-0000-0000-000089170000}"/>
    <cellStyle name="Normal 2 50 4 7" xfId="4807" xr:uid="{00000000-0005-0000-0000-00008A170000}"/>
    <cellStyle name="Normal 2 50 4 7 2" xfId="22578" xr:uid="{00000000-0005-0000-0000-00008B170000}"/>
    <cellStyle name="Normal 2 50 4 8" xfId="4808" xr:uid="{00000000-0005-0000-0000-00008C170000}"/>
    <cellStyle name="Normal 2 50 4 8 2" xfId="22579" xr:uid="{00000000-0005-0000-0000-00008D170000}"/>
    <cellStyle name="Normal 2 50 4 9" xfId="4809" xr:uid="{00000000-0005-0000-0000-00008E170000}"/>
    <cellStyle name="Normal 2 50 4 9 2" xfId="22580" xr:uid="{00000000-0005-0000-0000-00008F170000}"/>
    <cellStyle name="Normal 2 50 5" xfId="4810" xr:uid="{00000000-0005-0000-0000-000090170000}"/>
    <cellStyle name="Normal 2 50 5 10" xfId="4811" xr:uid="{00000000-0005-0000-0000-000091170000}"/>
    <cellStyle name="Normal 2 50 5 10 2" xfId="22582" xr:uid="{00000000-0005-0000-0000-000092170000}"/>
    <cellStyle name="Normal 2 50 5 11" xfId="4812" xr:uid="{00000000-0005-0000-0000-000093170000}"/>
    <cellStyle name="Normal 2 50 5 11 2" xfId="22583" xr:uid="{00000000-0005-0000-0000-000094170000}"/>
    <cellStyle name="Normal 2 50 5 12" xfId="4813" xr:uid="{00000000-0005-0000-0000-000095170000}"/>
    <cellStyle name="Normal 2 50 5 12 2" xfId="22584" xr:uid="{00000000-0005-0000-0000-000096170000}"/>
    <cellStyle name="Normal 2 50 5 13" xfId="4814" xr:uid="{00000000-0005-0000-0000-000097170000}"/>
    <cellStyle name="Normal 2 50 5 13 2" xfId="22585" xr:uid="{00000000-0005-0000-0000-000098170000}"/>
    <cellStyle name="Normal 2 50 5 14" xfId="4815" xr:uid="{00000000-0005-0000-0000-000099170000}"/>
    <cellStyle name="Normal 2 50 5 14 2" xfId="22586" xr:uid="{00000000-0005-0000-0000-00009A170000}"/>
    <cellStyle name="Normal 2 50 5 15" xfId="22581" xr:uid="{00000000-0005-0000-0000-00009B170000}"/>
    <cellStyle name="Normal 2 50 5 2" xfId="4816" xr:uid="{00000000-0005-0000-0000-00009C170000}"/>
    <cellStyle name="Normal 2 50 5 2 2" xfId="22587" xr:uid="{00000000-0005-0000-0000-00009D170000}"/>
    <cellStyle name="Normal 2 50 5 3" xfId="4817" xr:uid="{00000000-0005-0000-0000-00009E170000}"/>
    <cellStyle name="Normal 2 50 5 3 2" xfId="22588" xr:uid="{00000000-0005-0000-0000-00009F170000}"/>
    <cellStyle name="Normal 2 50 5 4" xfId="4818" xr:uid="{00000000-0005-0000-0000-0000A0170000}"/>
    <cellStyle name="Normal 2 50 5 4 2" xfId="22589" xr:uid="{00000000-0005-0000-0000-0000A1170000}"/>
    <cellStyle name="Normal 2 50 5 5" xfId="4819" xr:uid="{00000000-0005-0000-0000-0000A2170000}"/>
    <cellStyle name="Normal 2 50 5 5 2" xfId="22590" xr:uid="{00000000-0005-0000-0000-0000A3170000}"/>
    <cellStyle name="Normal 2 50 5 6" xfId="4820" xr:uid="{00000000-0005-0000-0000-0000A4170000}"/>
    <cellStyle name="Normal 2 50 5 6 2" xfId="22591" xr:uid="{00000000-0005-0000-0000-0000A5170000}"/>
    <cellStyle name="Normal 2 50 5 7" xfId="4821" xr:uid="{00000000-0005-0000-0000-0000A6170000}"/>
    <cellStyle name="Normal 2 50 5 7 2" xfId="22592" xr:uid="{00000000-0005-0000-0000-0000A7170000}"/>
    <cellStyle name="Normal 2 50 5 8" xfId="4822" xr:uid="{00000000-0005-0000-0000-0000A8170000}"/>
    <cellStyle name="Normal 2 50 5 8 2" xfId="22593" xr:uid="{00000000-0005-0000-0000-0000A9170000}"/>
    <cellStyle name="Normal 2 50 5 9" xfId="4823" xr:uid="{00000000-0005-0000-0000-0000AA170000}"/>
    <cellStyle name="Normal 2 50 5 9 2" xfId="22594" xr:uid="{00000000-0005-0000-0000-0000AB170000}"/>
    <cellStyle name="Normal 2 50 6" xfId="4824" xr:uid="{00000000-0005-0000-0000-0000AC170000}"/>
    <cellStyle name="Normal 2 50 6 10" xfId="4825" xr:uid="{00000000-0005-0000-0000-0000AD170000}"/>
    <cellStyle name="Normal 2 50 6 10 2" xfId="22596" xr:uid="{00000000-0005-0000-0000-0000AE170000}"/>
    <cellStyle name="Normal 2 50 6 11" xfId="4826" xr:uid="{00000000-0005-0000-0000-0000AF170000}"/>
    <cellStyle name="Normal 2 50 6 11 2" xfId="22597" xr:uid="{00000000-0005-0000-0000-0000B0170000}"/>
    <cellStyle name="Normal 2 50 6 12" xfId="4827" xr:uid="{00000000-0005-0000-0000-0000B1170000}"/>
    <cellStyle name="Normal 2 50 6 12 2" xfId="22598" xr:uid="{00000000-0005-0000-0000-0000B2170000}"/>
    <cellStyle name="Normal 2 50 6 13" xfId="4828" xr:uid="{00000000-0005-0000-0000-0000B3170000}"/>
    <cellStyle name="Normal 2 50 6 13 2" xfId="22599" xr:uid="{00000000-0005-0000-0000-0000B4170000}"/>
    <cellStyle name="Normal 2 50 6 14" xfId="4829" xr:uid="{00000000-0005-0000-0000-0000B5170000}"/>
    <cellStyle name="Normal 2 50 6 14 2" xfId="22600" xr:uid="{00000000-0005-0000-0000-0000B6170000}"/>
    <cellStyle name="Normal 2 50 6 15" xfId="22595" xr:uid="{00000000-0005-0000-0000-0000B7170000}"/>
    <cellStyle name="Normal 2 50 6 2" xfId="4830" xr:uid="{00000000-0005-0000-0000-0000B8170000}"/>
    <cellStyle name="Normal 2 50 6 2 2" xfId="22601" xr:uid="{00000000-0005-0000-0000-0000B9170000}"/>
    <cellStyle name="Normal 2 50 6 3" xfId="4831" xr:uid="{00000000-0005-0000-0000-0000BA170000}"/>
    <cellStyle name="Normal 2 50 6 3 2" xfId="22602" xr:uid="{00000000-0005-0000-0000-0000BB170000}"/>
    <cellStyle name="Normal 2 50 6 4" xfId="4832" xr:uid="{00000000-0005-0000-0000-0000BC170000}"/>
    <cellStyle name="Normal 2 50 6 4 2" xfId="22603" xr:uid="{00000000-0005-0000-0000-0000BD170000}"/>
    <cellStyle name="Normal 2 50 6 5" xfId="4833" xr:uid="{00000000-0005-0000-0000-0000BE170000}"/>
    <cellStyle name="Normal 2 50 6 5 2" xfId="22604" xr:uid="{00000000-0005-0000-0000-0000BF170000}"/>
    <cellStyle name="Normal 2 50 6 6" xfId="4834" xr:uid="{00000000-0005-0000-0000-0000C0170000}"/>
    <cellStyle name="Normal 2 50 6 6 2" xfId="22605" xr:uid="{00000000-0005-0000-0000-0000C1170000}"/>
    <cellStyle name="Normal 2 50 6 7" xfId="4835" xr:uid="{00000000-0005-0000-0000-0000C2170000}"/>
    <cellStyle name="Normal 2 50 6 7 2" xfId="22606" xr:uid="{00000000-0005-0000-0000-0000C3170000}"/>
    <cellStyle name="Normal 2 50 6 8" xfId="4836" xr:uid="{00000000-0005-0000-0000-0000C4170000}"/>
    <cellStyle name="Normal 2 50 6 8 2" xfId="22607" xr:uid="{00000000-0005-0000-0000-0000C5170000}"/>
    <cellStyle name="Normal 2 50 6 9" xfId="4837" xr:uid="{00000000-0005-0000-0000-0000C6170000}"/>
    <cellStyle name="Normal 2 50 6 9 2" xfId="22608" xr:uid="{00000000-0005-0000-0000-0000C7170000}"/>
    <cellStyle name="Normal 2 50 7" xfId="4838" xr:uid="{00000000-0005-0000-0000-0000C8170000}"/>
    <cellStyle name="Normal 2 50 7 10" xfId="4839" xr:uid="{00000000-0005-0000-0000-0000C9170000}"/>
    <cellStyle name="Normal 2 50 7 10 2" xfId="22610" xr:uid="{00000000-0005-0000-0000-0000CA170000}"/>
    <cellStyle name="Normal 2 50 7 11" xfId="4840" xr:uid="{00000000-0005-0000-0000-0000CB170000}"/>
    <cellStyle name="Normal 2 50 7 11 2" xfId="22611" xr:uid="{00000000-0005-0000-0000-0000CC170000}"/>
    <cellStyle name="Normal 2 50 7 12" xfId="4841" xr:uid="{00000000-0005-0000-0000-0000CD170000}"/>
    <cellStyle name="Normal 2 50 7 12 2" xfId="22612" xr:uid="{00000000-0005-0000-0000-0000CE170000}"/>
    <cellStyle name="Normal 2 50 7 13" xfId="4842" xr:uid="{00000000-0005-0000-0000-0000CF170000}"/>
    <cellStyle name="Normal 2 50 7 13 2" xfId="22613" xr:uid="{00000000-0005-0000-0000-0000D0170000}"/>
    <cellStyle name="Normal 2 50 7 14" xfId="4843" xr:uid="{00000000-0005-0000-0000-0000D1170000}"/>
    <cellStyle name="Normal 2 50 7 14 2" xfId="22614" xr:uid="{00000000-0005-0000-0000-0000D2170000}"/>
    <cellStyle name="Normal 2 50 7 15" xfId="22609" xr:uid="{00000000-0005-0000-0000-0000D3170000}"/>
    <cellStyle name="Normal 2 50 7 2" xfId="4844" xr:uid="{00000000-0005-0000-0000-0000D4170000}"/>
    <cellStyle name="Normal 2 50 7 2 2" xfId="22615" xr:uid="{00000000-0005-0000-0000-0000D5170000}"/>
    <cellStyle name="Normal 2 50 7 3" xfId="4845" xr:uid="{00000000-0005-0000-0000-0000D6170000}"/>
    <cellStyle name="Normal 2 50 7 3 2" xfId="22616" xr:uid="{00000000-0005-0000-0000-0000D7170000}"/>
    <cellStyle name="Normal 2 50 7 4" xfId="4846" xr:uid="{00000000-0005-0000-0000-0000D8170000}"/>
    <cellStyle name="Normal 2 50 7 4 2" xfId="22617" xr:uid="{00000000-0005-0000-0000-0000D9170000}"/>
    <cellStyle name="Normal 2 50 7 5" xfId="4847" xr:uid="{00000000-0005-0000-0000-0000DA170000}"/>
    <cellStyle name="Normal 2 50 7 5 2" xfId="22618" xr:uid="{00000000-0005-0000-0000-0000DB170000}"/>
    <cellStyle name="Normal 2 50 7 6" xfId="4848" xr:uid="{00000000-0005-0000-0000-0000DC170000}"/>
    <cellStyle name="Normal 2 50 7 6 2" xfId="22619" xr:uid="{00000000-0005-0000-0000-0000DD170000}"/>
    <cellStyle name="Normal 2 50 7 7" xfId="4849" xr:uid="{00000000-0005-0000-0000-0000DE170000}"/>
    <cellStyle name="Normal 2 50 7 7 2" xfId="22620" xr:uid="{00000000-0005-0000-0000-0000DF170000}"/>
    <cellStyle name="Normal 2 50 7 8" xfId="4850" xr:uid="{00000000-0005-0000-0000-0000E0170000}"/>
    <cellStyle name="Normal 2 50 7 8 2" xfId="22621" xr:uid="{00000000-0005-0000-0000-0000E1170000}"/>
    <cellStyle name="Normal 2 50 7 9" xfId="4851" xr:uid="{00000000-0005-0000-0000-0000E2170000}"/>
    <cellStyle name="Normal 2 50 7 9 2" xfId="22622" xr:uid="{00000000-0005-0000-0000-0000E3170000}"/>
    <cellStyle name="Normal 2 50 8" xfId="4852" xr:uid="{00000000-0005-0000-0000-0000E4170000}"/>
    <cellStyle name="Normal 2 50 8 10" xfId="4853" xr:uid="{00000000-0005-0000-0000-0000E5170000}"/>
    <cellStyle name="Normal 2 50 8 10 2" xfId="22624" xr:uid="{00000000-0005-0000-0000-0000E6170000}"/>
    <cellStyle name="Normal 2 50 8 11" xfId="4854" xr:uid="{00000000-0005-0000-0000-0000E7170000}"/>
    <cellStyle name="Normal 2 50 8 11 2" xfId="22625" xr:uid="{00000000-0005-0000-0000-0000E8170000}"/>
    <cellStyle name="Normal 2 50 8 12" xfId="4855" xr:uid="{00000000-0005-0000-0000-0000E9170000}"/>
    <cellStyle name="Normal 2 50 8 12 2" xfId="22626" xr:uid="{00000000-0005-0000-0000-0000EA170000}"/>
    <cellStyle name="Normal 2 50 8 13" xfId="4856" xr:uid="{00000000-0005-0000-0000-0000EB170000}"/>
    <cellStyle name="Normal 2 50 8 13 2" xfId="22627" xr:uid="{00000000-0005-0000-0000-0000EC170000}"/>
    <cellStyle name="Normal 2 50 8 14" xfId="4857" xr:uid="{00000000-0005-0000-0000-0000ED170000}"/>
    <cellStyle name="Normal 2 50 8 14 2" xfId="22628" xr:uid="{00000000-0005-0000-0000-0000EE170000}"/>
    <cellStyle name="Normal 2 50 8 15" xfId="22623" xr:uid="{00000000-0005-0000-0000-0000EF170000}"/>
    <cellStyle name="Normal 2 50 8 2" xfId="4858" xr:uid="{00000000-0005-0000-0000-0000F0170000}"/>
    <cellStyle name="Normal 2 50 8 2 2" xfId="22629" xr:uid="{00000000-0005-0000-0000-0000F1170000}"/>
    <cellStyle name="Normal 2 50 8 3" xfId="4859" xr:uid="{00000000-0005-0000-0000-0000F2170000}"/>
    <cellStyle name="Normal 2 50 8 3 2" xfId="22630" xr:uid="{00000000-0005-0000-0000-0000F3170000}"/>
    <cellStyle name="Normal 2 50 8 4" xfId="4860" xr:uid="{00000000-0005-0000-0000-0000F4170000}"/>
    <cellStyle name="Normal 2 50 8 4 2" xfId="22631" xr:uid="{00000000-0005-0000-0000-0000F5170000}"/>
    <cellStyle name="Normal 2 50 8 5" xfId="4861" xr:uid="{00000000-0005-0000-0000-0000F6170000}"/>
    <cellStyle name="Normal 2 50 8 5 2" xfId="22632" xr:uid="{00000000-0005-0000-0000-0000F7170000}"/>
    <cellStyle name="Normal 2 50 8 6" xfId="4862" xr:uid="{00000000-0005-0000-0000-0000F8170000}"/>
    <cellStyle name="Normal 2 50 8 6 2" xfId="22633" xr:uid="{00000000-0005-0000-0000-0000F9170000}"/>
    <cellStyle name="Normal 2 50 8 7" xfId="4863" xr:uid="{00000000-0005-0000-0000-0000FA170000}"/>
    <cellStyle name="Normal 2 50 8 7 2" xfId="22634" xr:uid="{00000000-0005-0000-0000-0000FB170000}"/>
    <cellStyle name="Normal 2 50 8 8" xfId="4864" xr:uid="{00000000-0005-0000-0000-0000FC170000}"/>
    <cellStyle name="Normal 2 50 8 8 2" xfId="22635" xr:uid="{00000000-0005-0000-0000-0000FD170000}"/>
    <cellStyle name="Normal 2 50 8 9" xfId="4865" xr:uid="{00000000-0005-0000-0000-0000FE170000}"/>
    <cellStyle name="Normal 2 50 8 9 2" xfId="22636" xr:uid="{00000000-0005-0000-0000-0000FF170000}"/>
    <cellStyle name="Normal 2 50 9" xfId="4866" xr:uid="{00000000-0005-0000-0000-000000180000}"/>
    <cellStyle name="Normal 2 50 9 10" xfId="4867" xr:uid="{00000000-0005-0000-0000-000001180000}"/>
    <cellStyle name="Normal 2 50 9 10 2" xfId="22638" xr:uid="{00000000-0005-0000-0000-000002180000}"/>
    <cellStyle name="Normal 2 50 9 11" xfId="4868" xr:uid="{00000000-0005-0000-0000-000003180000}"/>
    <cellStyle name="Normal 2 50 9 11 2" xfId="22639" xr:uid="{00000000-0005-0000-0000-000004180000}"/>
    <cellStyle name="Normal 2 50 9 12" xfId="4869" xr:uid="{00000000-0005-0000-0000-000005180000}"/>
    <cellStyle name="Normal 2 50 9 12 2" xfId="22640" xr:uid="{00000000-0005-0000-0000-000006180000}"/>
    <cellStyle name="Normal 2 50 9 13" xfId="4870" xr:uid="{00000000-0005-0000-0000-000007180000}"/>
    <cellStyle name="Normal 2 50 9 13 2" xfId="22641" xr:uid="{00000000-0005-0000-0000-000008180000}"/>
    <cellStyle name="Normal 2 50 9 14" xfId="4871" xr:uid="{00000000-0005-0000-0000-000009180000}"/>
    <cellStyle name="Normal 2 50 9 14 2" xfId="22642" xr:uid="{00000000-0005-0000-0000-00000A180000}"/>
    <cellStyle name="Normal 2 50 9 15" xfId="22637" xr:uid="{00000000-0005-0000-0000-00000B180000}"/>
    <cellStyle name="Normal 2 50 9 2" xfId="4872" xr:uid="{00000000-0005-0000-0000-00000C180000}"/>
    <cellStyle name="Normal 2 50 9 2 2" xfId="22643" xr:uid="{00000000-0005-0000-0000-00000D180000}"/>
    <cellStyle name="Normal 2 50 9 3" xfId="4873" xr:uid="{00000000-0005-0000-0000-00000E180000}"/>
    <cellStyle name="Normal 2 50 9 3 2" xfId="22644" xr:uid="{00000000-0005-0000-0000-00000F180000}"/>
    <cellStyle name="Normal 2 50 9 4" xfId="4874" xr:uid="{00000000-0005-0000-0000-000010180000}"/>
    <cellStyle name="Normal 2 50 9 4 2" xfId="22645" xr:uid="{00000000-0005-0000-0000-000011180000}"/>
    <cellStyle name="Normal 2 50 9 5" xfId="4875" xr:uid="{00000000-0005-0000-0000-000012180000}"/>
    <cellStyle name="Normal 2 50 9 5 2" xfId="22646" xr:uid="{00000000-0005-0000-0000-000013180000}"/>
    <cellStyle name="Normal 2 50 9 6" xfId="4876" xr:uid="{00000000-0005-0000-0000-000014180000}"/>
    <cellStyle name="Normal 2 50 9 6 2" xfId="22647" xr:uid="{00000000-0005-0000-0000-000015180000}"/>
    <cellStyle name="Normal 2 50 9 7" xfId="4877" xr:uid="{00000000-0005-0000-0000-000016180000}"/>
    <cellStyle name="Normal 2 50 9 7 2" xfId="22648" xr:uid="{00000000-0005-0000-0000-000017180000}"/>
    <cellStyle name="Normal 2 50 9 8" xfId="4878" xr:uid="{00000000-0005-0000-0000-000018180000}"/>
    <cellStyle name="Normal 2 50 9 8 2" xfId="22649" xr:uid="{00000000-0005-0000-0000-000019180000}"/>
    <cellStyle name="Normal 2 50 9 9" xfId="4879" xr:uid="{00000000-0005-0000-0000-00001A180000}"/>
    <cellStyle name="Normal 2 50 9 9 2" xfId="22650" xr:uid="{00000000-0005-0000-0000-00001B180000}"/>
    <cellStyle name="Normal 2 51" xfId="4880" xr:uid="{00000000-0005-0000-0000-00001C180000}"/>
    <cellStyle name="Normal 2 51 10" xfId="4881" xr:uid="{00000000-0005-0000-0000-00001D180000}"/>
    <cellStyle name="Normal 2 51 10 10" xfId="4882" xr:uid="{00000000-0005-0000-0000-00001E180000}"/>
    <cellStyle name="Normal 2 51 10 10 2" xfId="22653" xr:uid="{00000000-0005-0000-0000-00001F180000}"/>
    <cellStyle name="Normal 2 51 10 11" xfId="4883" xr:uid="{00000000-0005-0000-0000-000020180000}"/>
    <cellStyle name="Normal 2 51 10 11 2" xfId="22654" xr:uid="{00000000-0005-0000-0000-000021180000}"/>
    <cellStyle name="Normal 2 51 10 12" xfId="4884" xr:uid="{00000000-0005-0000-0000-000022180000}"/>
    <cellStyle name="Normal 2 51 10 12 2" xfId="22655" xr:uid="{00000000-0005-0000-0000-000023180000}"/>
    <cellStyle name="Normal 2 51 10 13" xfId="4885" xr:uid="{00000000-0005-0000-0000-000024180000}"/>
    <cellStyle name="Normal 2 51 10 13 2" xfId="22656" xr:uid="{00000000-0005-0000-0000-000025180000}"/>
    <cellStyle name="Normal 2 51 10 14" xfId="4886" xr:uid="{00000000-0005-0000-0000-000026180000}"/>
    <cellStyle name="Normal 2 51 10 14 2" xfId="22657" xr:uid="{00000000-0005-0000-0000-000027180000}"/>
    <cellStyle name="Normal 2 51 10 15" xfId="22652" xr:uid="{00000000-0005-0000-0000-000028180000}"/>
    <cellStyle name="Normal 2 51 10 2" xfId="4887" xr:uid="{00000000-0005-0000-0000-000029180000}"/>
    <cellStyle name="Normal 2 51 10 2 2" xfId="22658" xr:uid="{00000000-0005-0000-0000-00002A180000}"/>
    <cellStyle name="Normal 2 51 10 3" xfId="4888" xr:uid="{00000000-0005-0000-0000-00002B180000}"/>
    <cellStyle name="Normal 2 51 10 3 2" xfId="22659" xr:uid="{00000000-0005-0000-0000-00002C180000}"/>
    <cellStyle name="Normal 2 51 10 4" xfId="4889" xr:uid="{00000000-0005-0000-0000-00002D180000}"/>
    <cellStyle name="Normal 2 51 10 4 2" xfId="22660" xr:uid="{00000000-0005-0000-0000-00002E180000}"/>
    <cellStyle name="Normal 2 51 10 5" xfId="4890" xr:uid="{00000000-0005-0000-0000-00002F180000}"/>
    <cellStyle name="Normal 2 51 10 5 2" xfId="22661" xr:uid="{00000000-0005-0000-0000-000030180000}"/>
    <cellStyle name="Normal 2 51 10 6" xfId="4891" xr:uid="{00000000-0005-0000-0000-000031180000}"/>
    <cellStyle name="Normal 2 51 10 6 2" xfId="22662" xr:uid="{00000000-0005-0000-0000-000032180000}"/>
    <cellStyle name="Normal 2 51 10 7" xfId="4892" xr:uid="{00000000-0005-0000-0000-000033180000}"/>
    <cellStyle name="Normal 2 51 10 7 2" xfId="22663" xr:uid="{00000000-0005-0000-0000-000034180000}"/>
    <cellStyle name="Normal 2 51 10 8" xfId="4893" xr:uid="{00000000-0005-0000-0000-000035180000}"/>
    <cellStyle name="Normal 2 51 10 8 2" xfId="22664" xr:uid="{00000000-0005-0000-0000-000036180000}"/>
    <cellStyle name="Normal 2 51 10 9" xfId="4894" xr:uid="{00000000-0005-0000-0000-000037180000}"/>
    <cellStyle name="Normal 2 51 10 9 2" xfId="22665" xr:uid="{00000000-0005-0000-0000-000038180000}"/>
    <cellStyle name="Normal 2 51 11" xfId="4895" xr:uid="{00000000-0005-0000-0000-000039180000}"/>
    <cellStyle name="Normal 2 51 11 2" xfId="22666" xr:uid="{00000000-0005-0000-0000-00003A180000}"/>
    <cellStyle name="Normal 2 51 12" xfId="4896" xr:uid="{00000000-0005-0000-0000-00003B180000}"/>
    <cellStyle name="Normal 2 51 12 2" xfId="22667" xr:uid="{00000000-0005-0000-0000-00003C180000}"/>
    <cellStyle name="Normal 2 51 13" xfId="4897" xr:uid="{00000000-0005-0000-0000-00003D180000}"/>
    <cellStyle name="Normal 2 51 13 2" xfId="22668" xr:uid="{00000000-0005-0000-0000-00003E180000}"/>
    <cellStyle name="Normal 2 51 14" xfId="4898" xr:uid="{00000000-0005-0000-0000-00003F180000}"/>
    <cellStyle name="Normal 2 51 14 2" xfId="22669" xr:uid="{00000000-0005-0000-0000-000040180000}"/>
    <cellStyle name="Normal 2 51 15" xfId="4899" xr:uid="{00000000-0005-0000-0000-000041180000}"/>
    <cellStyle name="Normal 2 51 15 2" xfId="22670" xr:uid="{00000000-0005-0000-0000-000042180000}"/>
    <cellStyle name="Normal 2 51 16" xfId="4900" xr:uid="{00000000-0005-0000-0000-000043180000}"/>
    <cellStyle name="Normal 2 51 16 2" xfId="22671" xr:uid="{00000000-0005-0000-0000-000044180000}"/>
    <cellStyle name="Normal 2 51 17" xfId="4901" xr:uid="{00000000-0005-0000-0000-000045180000}"/>
    <cellStyle name="Normal 2 51 17 2" xfId="22672" xr:uid="{00000000-0005-0000-0000-000046180000}"/>
    <cellStyle name="Normal 2 51 18" xfId="4902" xr:uid="{00000000-0005-0000-0000-000047180000}"/>
    <cellStyle name="Normal 2 51 18 2" xfId="22673" xr:uid="{00000000-0005-0000-0000-000048180000}"/>
    <cellStyle name="Normal 2 51 19" xfId="4903" xr:uid="{00000000-0005-0000-0000-000049180000}"/>
    <cellStyle name="Normal 2 51 19 2" xfId="22674" xr:uid="{00000000-0005-0000-0000-00004A180000}"/>
    <cellStyle name="Normal 2 51 2" xfId="4904" xr:uid="{00000000-0005-0000-0000-00004B180000}"/>
    <cellStyle name="Normal 2 51 2 10" xfId="4905" xr:uid="{00000000-0005-0000-0000-00004C180000}"/>
    <cellStyle name="Normal 2 51 2 10 2" xfId="22676" xr:uid="{00000000-0005-0000-0000-00004D180000}"/>
    <cellStyle name="Normal 2 51 2 11" xfId="4906" xr:uid="{00000000-0005-0000-0000-00004E180000}"/>
    <cellStyle name="Normal 2 51 2 11 2" xfId="22677" xr:uid="{00000000-0005-0000-0000-00004F180000}"/>
    <cellStyle name="Normal 2 51 2 12" xfId="4907" xr:uid="{00000000-0005-0000-0000-000050180000}"/>
    <cellStyle name="Normal 2 51 2 12 2" xfId="22678" xr:uid="{00000000-0005-0000-0000-000051180000}"/>
    <cellStyle name="Normal 2 51 2 13" xfId="4908" xr:uid="{00000000-0005-0000-0000-000052180000}"/>
    <cellStyle name="Normal 2 51 2 13 2" xfId="22679" xr:uid="{00000000-0005-0000-0000-000053180000}"/>
    <cellStyle name="Normal 2 51 2 14" xfId="4909" xr:uid="{00000000-0005-0000-0000-000054180000}"/>
    <cellStyle name="Normal 2 51 2 14 2" xfId="22680" xr:uid="{00000000-0005-0000-0000-000055180000}"/>
    <cellStyle name="Normal 2 51 2 15" xfId="4910" xr:uid="{00000000-0005-0000-0000-000056180000}"/>
    <cellStyle name="Normal 2 51 2 15 2" xfId="22681" xr:uid="{00000000-0005-0000-0000-000057180000}"/>
    <cellStyle name="Normal 2 51 2 16" xfId="22675" xr:uid="{00000000-0005-0000-0000-000058180000}"/>
    <cellStyle name="Normal 2 51 2 2" xfId="4911" xr:uid="{00000000-0005-0000-0000-000059180000}"/>
    <cellStyle name="Normal 2 51 2 2 10" xfId="4912" xr:uid="{00000000-0005-0000-0000-00005A180000}"/>
    <cellStyle name="Normal 2 51 2 2 10 2" xfId="22683" xr:uid="{00000000-0005-0000-0000-00005B180000}"/>
    <cellStyle name="Normal 2 51 2 2 11" xfId="4913" xr:uid="{00000000-0005-0000-0000-00005C180000}"/>
    <cellStyle name="Normal 2 51 2 2 11 2" xfId="22684" xr:uid="{00000000-0005-0000-0000-00005D180000}"/>
    <cellStyle name="Normal 2 51 2 2 12" xfId="4914" xr:uid="{00000000-0005-0000-0000-00005E180000}"/>
    <cellStyle name="Normal 2 51 2 2 12 2" xfId="22685" xr:uid="{00000000-0005-0000-0000-00005F180000}"/>
    <cellStyle name="Normal 2 51 2 2 13" xfId="4915" xr:uid="{00000000-0005-0000-0000-000060180000}"/>
    <cellStyle name="Normal 2 51 2 2 13 2" xfId="22686" xr:uid="{00000000-0005-0000-0000-000061180000}"/>
    <cellStyle name="Normal 2 51 2 2 14" xfId="4916" xr:uid="{00000000-0005-0000-0000-000062180000}"/>
    <cellStyle name="Normal 2 51 2 2 14 2" xfId="22687" xr:uid="{00000000-0005-0000-0000-000063180000}"/>
    <cellStyle name="Normal 2 51 2 2 15" xfId="22682" xr:uid="{00000000-0005-0000-0000-000064180000}"/>
    <cellStyle name="Normal 2 51 2 2 2" xfId="4917" xr:uid="{00000000-0005-0000-0000-000065180000}"/>
    <cellStyle name="Normal 2 51 2 2 2 2" xfId="22688" xr:uid="{00000000-0005-0000-0000-000066180000}"/>
    <cellStyle name="Normal 2 51 2 2 3" xfId="4918" xr:uid="{00000000-0005-0000-0000-000067180000}"/>
    <cellStyle name="Normal 2 51 2 2 3 2" xfId="22689" xr:uid="{00000000-0005-0000-0000-000068180000}"/>
    <cellStyle name="Normal 2 51 2 2 4" xfId="4919" xr:uid="{00000000-0005-0000-0000-000069180000}"/>
    <cellStyle name="Normal 2 51 2 2 4 2" xfId="22690" xr:uid="{00000000-0005-0000-0000-00006A180000}"/>
    <cellStyle name="Normal 2 51 2 2 5" xfId="4920" xr:uid="{00000000-0005-0000-0000-00006B180000}"/>
    <cellStyle name="Normal 2 51 2 2 5 2" xfId="22691" xr:uid="{00000000-0005-0000-0000-00006C180000}"/>
    <cellStyle name="Normal 2 51 2 2 6" xfId="4921" xr:uid="{00000000-0005-0000-0000-00006D180000}"/>
    <cellStyle name="Normal 2 51 2 2 6 2" xfId="22692" xr:uid="{00000000-0005-0000-0000-00006E180000}"/>
    <cellStyle name="Normal 2 51 2 2 7" xfId="4922" xr:uid="{00000000-0005-0000-0000-00006F180000}"/>
    <cellStyle name="Normal 2 51 2 2 7 2" xfId="22693" xr:uid="{00000000-0005-0000-0000-000070180000}"/>
    <cellStyle name="Normal 2 51 2 2 8" xfId="4923" xr:uid="{00000000-0005-0000-0000-000071180000}"/>
    <cellStyle name="Normal 2 51 2 2 8 2" xfId="22694" xr:uid="{00000000-0005-0000-0000-000072180000}"/>
    <cellStyle name="Normal 2 51 2 2 9" xfId="4924" xr:uid="{00000000-0005-0000-0000-000073180000}"/>
    <cellStyle name="Normal 2 51 2 2 9 2" xfId="22695" xr:uid="{00000000-0005-0000-0000-000074180000}"/>
    <cellStyle name="Normal 2 51 2 3" xfId="4925" xr:uid="{00000000-0005-0000-0000-000075180000}"/>
    <cellStyle name="Normal 2 51 2 3 2" xfId="22696" xr:uid="{00000000-0005-0000-0000-000076180000}"/>
    <cellStyle name="Normal 2 51 2 4" xfId="4926" xr:uid="{00000000-0005-0000-0000-000077180000}"/>
    <cellStyle name="Normal 2 51 2 4 2" xfId="22697" xr:uid="{00000000-0005-0000-0000-000078180000}"/>
    <cellStyle name="Normal 2 51 2 5" xfId="4927" xr:uid="{00000000-0005-0000-0000-000079180000}"/>
    <cellStyle name="Normal 2 51 2 5 2" xfId="22698" xr:uid="{00000000-0005-0000-0000-00007A180000}"/>
    <cellStyle name="Normal 2 51 2 6" xfId="4928" xr:uid="{00000000-0005-0000-0000-00007B180000}"/>
    <cellStyle name="Normal 2 51 2 6 2" xfId="22699" xr:uid="{00000000-0005-0000-0000-00007C180000}"/>
    <cellStyle name="Normal 2 51 2 7" xfId="4929" xr:uid="{00000000-0005-0000-0000-00007D180000}"/>
    <cellStyle name="Normal 2 51 2 7 2" xfId="22700" xr:uid="{00000000-0005-0000-0000-00007E180000}"/>
    <cellStyle name="Normal 2 51 2 8" xfId="4930" xr:uid="{00000000-0005-0000-0000-00007F180000}"/>
    <cellStyle name="Normal 2 51 2 8 2" xfId="22701" xr:uid="{00000000-0005-0000-0000-000080180000}"/>
    <cellStyle name="Normal 2 51 2 9" xfId="4931" xr:uid="{00000000-0005-0000-0000-000081180000}"/>
    <cellStyle name="Normal 2 51 2 9 2" xfId="22702" xr:uid="{00000000-0005-0000-0000-000082180000}"/>
    <cellStyle name="Normal 2 51 20" xfId="4932" xr:uid="{00000000-0005-0000-0000-000083180000}"/>
    <cellStyle name="Normal 2 51 20 2" xfId="22703" xr:uid="{00000000-0005-0000-0000-000084180000}"/>
    <cellStyle name="Normal 2 51 21" xfId="4933" xr:uid="{00000000-0005-0000-0000-000085180000}"/>
    <cellStyle name="Normal 2 51 21 2" xfId="22704" xr:uid="{00000000-0005-0000-0000-000086180000}"/>
    <cellStyle name="Normal 2 51 22" xfId="4934" xr:uid="{00000000-0005-0000-0000-000087180000}"/>
    <cellStyle name="Normal 2 51 22 2" xfId="22705" xr:uid="{00000000-0005-0000-0000-000088180000}"/>
    <cellStyle name="Normal 2 51 23" xfId="4935" xr:uid="{00000000-0005-0000-0000-000089180000}"/>
    <cellStyle name="Normal 2 51 23 2" xfId="22706" xr:uid="{00000000-0005-0000-0000-00008A180000}"/>
    <cellStyle name="Normal 2 51 24" xfId="22651" xr:uid="{00000000-0005-0000-0000-00008B180000}"/>
    <cellStyle name="Normal 2 51 3" xfId="4936" xr:uid="{00000000-0005-0000-0000-00008C180000}"/>
    <cellStyle name="Normal 2 51 3 10" xfId="4937" xr:uid="{00000000-0005-0000-0000-00008D180000}"/>
    <cellStyle name="Normal 2 51 3 10 2" xfId="22708" xr:uid="{00000000-0005-0000-0000-00008E180000}"/>
    <cellStyle name="Normal 2 51 3 11" xfId="4938" xr:uid="{00000000-0005-0000-0000-00008F180000}"/>
    <cellStyle name="Normal 2 51 3 11 2" xfId="22709" xr:uid="{00000000-0005-0000-0000-000090180000}"/>
    <cellStyle name="Normal 2 51 3 12" xfId="4939" xr:uid="{00000000-0005-0000-0000-000091180000}"/>
    <cellStyle name="Normal 2 51 3 12 2" xfId="22710" xr:uid="{00000000-0005-0000-0000-000092180000}"/>
    <cellStyle name="Normal 2 51 3 13" xfId="4940" xr:uid="{00000000-0005-0000-0000-000093180000}"/>
    <cellStyle name="Normal 2 51 3 13 2" xfId="22711" xr:uid="{00000000-0005-0000-0000-000094180000}"/>
    <cellStyle name="Normal 2 51 3 14" xfId="4941" xr:uid="{00000000-0005-0000-0000-000095180000}"/>
    <cellStyle name="Normal 2 51 3 14 2" xfId="22712" xr:uid="{00000000-0005-0000-0000-000096180000}"/>
    <cellStyle name="Normal 2 51 3 15" xfId="4942" xr:uid="{00000000-0005-0000-0000-000097180000}"/>
    <cellStyle name="Normal 2 51 3 15 2" xfId="22713" xr:uid="{00000000-0005-0000-0000-000098180000}"/>
    <cellStyle name="Normal 2 51 3 16" xfId="22707" xr:uid="{00000000-0005-0000-0000-000099180000}"/>
    <cellStyle name="Normal 2 51 3 2" xfId="4943" xr:uid="{00000000-0005-0000-0000-00009A180000}"/>
    <cellStyle name="Normal 2 51 3 2 10" xfId="4944" xr:uid="{00000000-0005-0000-0000-00009B180000}"/>
    <cellStyle name="Normal 2 51 3 2 10 2" xfId="22715" xr:uid="{00000000-0005-0000-0000-00009C180000}"/>
    <cellStyle name="Normal 2 51 3 2 11" xfId="4945" xr:uid="{00000000-0005-0000-0000-00009D180000}"/>
    <cellStyle name="Normal 2 51 3 2 11 2" xfId="22716" xr:uid="{00000000-0005-0000-0000-00009E180000}"/>
    <cellStyle name="Normal 2 51 3 2 12" xfId="4946" xr:uid="{00000000-0005-0000-0000-00009F180000}"/>
    <cellStyle name="Normal 2 51 3 2 12 2" xfId="22717" xr:uid="{00000000-0005-0000-0000-0000A0180000}"/>
    <cellStyle name="Normal 2 51 3 2 13" xfId="4947" xr:uid="{00000000-0005-0000-0000-0000A1180000}"/>
    <cellStyle name="Normal 2 51 3 2 13 2" xfId="22718" xr:uid="{00000000-0005-0000-0000-0000A2180000}"/>
    <cellStyle name="Normal 2 51 3 2 14" xfId="4948" xr:uid="{00000000-0005-0000-0000-0000A3180000}"/>
    <cellStyle name="Normal 2 51 3 2 14 2" xfId="22719" xr:uid="{00000000-0005-0000-0000-0000A4180000}"/>
    <cellStyle name="Normal 2 51 3 2 15" xfId="22714" xr:uid="{00000000-0005-0000-0000-0000A5180000}"/>
    <cellStyle name="Normal 2 51 3 2 2" xfId="4949" xr:uid="{00000000-0005-0000-0000-0000A6180000}"/>
    <cellStyle name="Normal 2 51 3 2 2 2" xfId="22720" xr:uid="{00000000-0005-0000-0000-0000A7180000}"/>
    <cellStyle name="Normal 2 51 3 2 3" xfId="4950" xr:uid="{00000000-0005-0000-0000-0000A8180000}"/>
    <cellStyle name="Normal 2 51 3 2 3 2" xfId="22721" xr:uid="{00000000-0005-0000-0000-0000A9180000}"/>
    <cellStyle name="Normal 2 51 3 2 4" xfId="4951" xr:uid="{00000000-0005-0000-0000-0000AA180000}"/>
    <cellStyle name="Normal 2 51 3 2 4 2" xfId="22722" xr:uid="{00000000-0005-0000-0000-0000AB180000}"/>
    <cellStyle name="Normal 2 51 3 2 5" xfId="4952" xr:uid="{00000000-0005-0000-0000-0000AC180000}"/>
    <cellStyle name="Normal 2 51 3 2 5 2" xfId="22723" xr:uid="{00000000-0005-0000-0000-0000AD180000}"/>
    <cellStyle name="Normal 2 51 3 2 6" xfId="4953" xr:uid="{00000000-0005-0000-0000-0000AE180000}"/>
    <cellStyle name="Normal 2 51 3 2 6 2" xfId="22724" xr:uid="{00000000-0005-0000-0000-0000AF180000}"/>
    <cellStyle name="Normal 2 51 3 2 7" xfId="4954" xr:uid="{00000000-0005-0000-0000-0000B0180000}"/>
    <cellStyle name="Normal 2 51 3 2 7 2" xfId="22725" xr:uid="{00000000-0005-0000-0000-0000B1180000}"/>
    <cellStyle name="Normal 2 51 3 2 8" xfId="4955" xr:uid="{00000000-0005-0000-0000-0000B2180000}"/>
    <cellStyle name="Normal 2 51 3 2 8 2" xfId="22726" xr:uid="{00000000-0005-0000-0000-0000B3180000}"/>
    <cellStyle name="Normal 2 51 3 2 9" xfId="4956" xr:uid="{00000000-0005-0000-0000-0000B4180000}"/>
    <cellStyle name="Normal 2 51 3 2 9 2" xfId="22727" xr:uid="{00000000-0005-0000-0000-0000B5180000}"/>
    <cellStyle name="Normal 2 51 3 3" xfId="4957" xr:uid="{00000000-0005-0000-0000-0000B6180000}"/>
    <cellStyle name="Normal 2 51 3 3 2" xfId="22728" xr:uid="{00000000-0005-0000-0000-0000B7180000}"/>
    <cellStyle name="Normal 2 51 3 4" xfId="4958" xr:uid="{00000000-0005-0000-0000-0000B8180000}"/>
    <cellStyle name="Normal 2 51 3 4 2" xfId="22729" xr:uid="{00000000-0005-0000-0000-0000B9180000}"/>
    <cellStyle name="Normal 2 51 3 5" xfId="4959" xr:uid="{00000000-0005-0000-0000-0000BA180000}"/>
    <cellStyle name="Normal 2 51 3 5 2" xfId="22730" xr:uid="{00000000-0005-0000-0000-0000BB180000}"/>
    <cellStyle name="Normal 2 51 3 6" xfId="4960" xr:uid="{00000000-0005-0000-0000-0000BC180000}"/>
    <cellStyle name="Normal 2 51 3 6 2" xfId="22731" xr:uid="{00000000-0005-0000-0000-0000BD180000}"/>
    <cellStyle name="Normal 2 51 3 7" xfId="4961" xr:uid="{00000000-0005-0000-0000-0000BE180000}"/>
    <cellStyle name="Normal 2 51 3 7 2" xfId="22732" xr:uid="{00000000-0005-0000-0000-0000BF180000}"/>
    <cellStyle name="Normal 2 51 3 8" xfId="4962" xr:uid="{00000000-0005-0000-0000-0000C0180000}"/>
    <cellStyle name="Normal 2 51 3 8 2" xfId="22733" xr:uid="{00000000-0005-0000-0000-0000C1180000}"/>
    <cellStyle name="Normal 2 51 3 9" xfId="4963" xr:uid="{00000000-0005-0000-0000-0000C2180000}"/>
    <cellStyle name="Normal 2 51 3 9 2" xfId="22734" xr:uid="{00000000-0005-0000-0000-0000C3180000}"/>
    <cellStyle name="Normal 2 51 4" xfId="4964" xr:uid="{00000000-0005-0000-0000-0000C4180000}"/>
    <cellStyle name="Normal 2 51 4 10" xfId="4965" xr:uid="{00000000-0005-0000-0000-0000C5180000}"/>
    <cellStyle name="Normal 2 51 4 10 2" xfId="22736" xr:uid="{00000000-0005-0000-0000-0000C6180000}"/>
    <cellStyle name="Normal 2 51 4 11" xfId="4966" xr:uid="{00000000-0005-0000-0000-0000C7180000}"/>
    <cellStyle name="Normal 2 51 4 11 2" xfId="22737" xr:uid="{00000000-0005-0000-0000-0000C8180000}"/>
    <cellStyle name="Normal 2 51 4 12" xfId="4967" xr:uid="{00000000-0005-0000-0000-0000C9180000}"/>
    <cellStyle name="Normal 2 51 4 12 2" xfId="22738" xr:uid="{00000000-0005-0000-0000-0000CA180000}"/>
    <cellStyle name="Normal 2 51 4 13" xfId="4968" xr:uid="{00000000-0005-0000-0000-0000CB180000}"/>
    <cellStyle name="Normal 2 51 4 13 2" xfId="22739" xr:uid="{00000000-0005-0000-0000-0000CC180000}"/>
    <cellStyle name="Normal 2 51 4 14" xfId="4969" xr:uid="{00000000-0005-0000-0000-0000CD180000}"/>
    <cellStyle name="Normal 2 51 4 14 2" xfId="22740" xr:uid="{00000000-0005-0000-0000-0000CE180000}"/>
    <cellStyle name="Normal 2 51 4 15" xfId="4970" xr:uid="{00000000-0005-0000-0000-0000CF180000}"/>
    <cellStyle name="Normal 2 51 4 15 2" xfId="22741" xr:uid="{00000000-0005-0000-0000-0000D0180000}"/>
    <cellStyle name="Normal 2 51 4 16" xfId="22735" xr:uid="{00000000-0005-0000-0000-0000D1180000}"/>
    <cellStyle name="Normal 2 51 4 2" xfId="4971" xr:uid="{00000000-0005-0000-0000-0000D2180000}"/>
    <cellStyle name="Normal 2 51 4 2 10" xfId="4972" xr:uid="{00000000-0005-0000-0000-0000D3180000}"/>
    <cellStyle name="Normal 2 51 4 2 10 2" xfId="22743" xr:uid="{00000000-0005-0000-0000-0000D4180000}"/>
    <cellStyle name="Normal 2 51 4 2 11" xfId="4973" xr:uid="{00000000-0005-0000-0000-0000D5180000}"/>
    <cellStyle name="Normal 2 51 4 2 11 2" xfId="22744" xr:uid="{00000000-0005-0000-0000-0000D6180000}"/>
    <cellStyle name="Normal 2 51 4 2 12" xfId="4974" xr:uid="{00000000-0005-0000-0000-0000D7180000}"/>
    <cellStyle name="Normal 2 51 4 2 12 2" xfId="22745" xr:uid="{00000000-0005-0000-0000-0000D8180000}"/>
    <cellStyle name="Normal 2 51 4 2 13" xfId="4975" xr:uid="{00000000-0005-0000-0000-0000D9180000}"/>
    <cellStyle name="Normal 2 51 4 2 13 2" xfId="22746" xr:uid="{00000000-0005-0000-0000-0000DA180000}"/>
    <cellStyle name="Normal 2 51 4 2 14" xfId="4976" xr:uid="{00000000-0005-0000-0000-0000DB180000}"/>
    <cellStyle name="Normal 2 51 4 2 14 2" xfId="22747" xr:uid="{00000000-0005-0000-0000-0000DC180000}"/>
    <cellStyle name="Normal 2 51 4 2 15" xfId="22742" xr:uid="{00000000-0005-0000-0000-0000DD180000}"/>
    <cellStyle name="Normal 2 51 4 2 2" xfId="4977" xr:uid="{00000000-0005-0000-0000-0000DE180000}"/>
    <cellStyle name="Normal 2 51 4 2 2 2" xfId="22748" xr:uid="{00000000-0005-0000-0000-0000DF180000}"/>
    <cellStyle name="Normal 2 51 4 2 3" xfId="4978" xr:uid="{00000000-0005-0000-0000-0000E0180000}"/>
    <cellStyle name="Normal 2 51 4 2 3 2" xfId="22749" xr:uid="{00000000-0005-0000-0000-0000E1180000}"/>
    <cellStyle name="Normal 2 51 4 2 4" xfId="4979" xr:uid="{00000000-0005-0000-0000-0000E2180000}"/>
    <cellStyle name="Normal 2 51 4 2 4 2" xfId="22750" xr:uid="{00000000-0005-0000-0000-0000E3180000}"/>
    <cellStyle name="Normal 2 51 4 2 5" xfId="4980" xr:uid="{00000000-0005-0000-0000-0000E4180000}"/>
    <cellStyle name="Normal 2 51 4 2 5 2" xfId="22751" xr:uid="{00000000-0005-0000-0000-0000E5180000}"/>
    <cellStyle name="Normal 2 51 4 2 6" xfId="4981" xr:uid="{00000000-0005-0000-0000-0000E6180000}"/>
    <cellStyle name="Normal 2 51 4 2 6 2" xfId="22752" xr:uid="{00000000-0005-0000-0000-0000E7180000}"/>
    <cellStyle name="Normal 2 51 4 2 7" xfId="4982" xr:uid="{00000000-0005-0000-0000-0000E8180000}"/>
    <cellStyle name="Normal 2 51 4 2 7 2" xfId="22753" xr:uid="{00000000-0005-0000-0000-0000E9180000}"/>
    <cellStyle name="Normal 2 51 4 2 8" xfId="4983" xr:uid="{00000000-0005-0000-0000-0000EA180000}"/>
    <cellStyle name="Normal 2 51 4 2 8 2" xfId="22754" xr:uid="{00000000-0005-0000-0000-0000EB180000}"/>
    <cellStyle name="Normal 2 51 4 2 9" xfId="4984" xr:uid="{00000000-0005-0000-0000-0000EC180000}"/>
    <cellStyle name="Normal 2 51 4 2 9 2" xfId="22755" xr:uid="{00000000-0005-0000-0000-0000ED180000}"/>
    <cellStyle name="Normal 2 51 4 3" xfId="4985" xr:uid="{00000000-0005-0000-0000-0000EE180000}"/>
    <cellStyle name="Normal 2 51 4 3 2" xfId="22756" xr:uid="{00000000-0005-0000-0000-0000EF180000}"/>
    <cellStyle name="Normal 2 51 4 4" xfId="4986" xr:uid="{00000000-0005-0000-0000-0000F0180000}"/>
    <cellStyle name="Normal 2 51 4 4 2" xfId="22757" xr:uid="{00000000-0005-0000-0000-0000F1180000}"/>
    <cellStyle name="Normal 2 51 4 5" xfId="4987" xr:uid="{00000000-0005-0000-0000-0000F2180000}"/>
    <cellStyle name="Normal 2 51 4 5 2" xfId="22758" xr:uid="{00000000-0005-0000-0000-0000F3180000}"/>
    <cellStyle name="Normal 2 51 4 6" xfId="4988" xr:uid="{00000000-0005-0000-0000-0000F4180000}"/>
    <cellStyle name="Normal 2 51 4 6 2" xfId="22759" xr:uid="{00000000-0005-0000-0000-0000F5180000}"/>
    <cellStyle name="Normal 2 51 4 7" xfId="4989" xr:uid="{00000000-0005-0000-0000-0000F6180000}"/>
    <cellStyle name="Normal 2 51 4 7 2" xfId="22760" xr:uid="{00000000-0005-0000-0000-0000F7180000}"/>
    <cellStyle name="Normal 2 51 4 8" xfId="4990" xr:uid="{00000000-0005-0000-0000-0000F8180000}"/>
    <cellStyle name="Normal 2 51 4 8 2" xfId="22761" xr:uid="{00000000-0005-0000-0000-0000F9180000}"/>
    <cellStyle name="Normal 2 51 4 9" xfId="4991" xr:uid="{00000000-0005-0000-0000-0000FA180000}"/>
    <cellStyle name="Normal 2 51 4 9 2" xfId="22762" xr:uid="{00000000-0005-0000-0000-0000FB180000}"/>
    <cellStyle name="Normal 2 51 5" xfId="4992" xr:uid="{00000000-0005-0000-0000-0000FC180000}"/>
    <cellStyle name="Normal 2 51 5 10" xfId="4993" xr:uid="{00000000-0005-0000-0000-0000FD180000}"/>
    <cellStyle name="Normal 2 51 5 10 2" xfId="22764" xr:uid="{00000000-0005-0000-0000-0000FE180000}"/>
    <cellStyle name="Normal 2 51 5 11" xfId="4994" xr:uid="{00000000-0005-0000-0000-0000FF180000}"/>
    <cellStyle name="Normal 2 51 5 11 2" xfId="22765" xr:uid="{00000000-0005-0000-0000-000000190000}"/>
    <cellStyle name="Normal 2 51 5 12" xfId="4995" xr:uid="{00000000-0005-0000-0000-000001190000}"/>
    <cellStyle name="Normal 2 51 5 12 2" xfId="22766" xr:uid="{00000000-0005-0000-0000-000002190000}"/>
    <cellStyle name="Normal 2 51 5 13" xfId="4996" xr:uid="{00000000-0005-0000-0000-000003190000}"/>
    <cellStyle name="Normal 2 51 5 13 2" xfId="22767" xr:uid="{00000000-0005-0000-0000-000004190000}"/>
    <cellStyle name="Normal 2 51 5 14" xfId="4997" xr:uid="{00000000-0005-0000-0000-000005190000}"/>
    <cellStyle name="Normal 2 51 5 14 2" xfId="22768" xr:uid="{00000000-0005-0000-0000-000006190000}"/>
    <cellStyle name="Normal 2 51 5 15" xfId="22763" xr:uid="{00000000-0005-0000-0000-000007190000}"/>
    <cellStyle name="Normal 2 51 5 2" xfId="4998" xr:uid="{00000000-0005-0000-0000-000008190000}"/>
    <cellStyle name="Normal 2 51 5 2 2" xfId="22769" xr:uid="{00000000-0005-0000-0000-000009190000}"/>
    <cellStyle name="Normal 2 51 5 3" xfId="4999" xr:uid="{00000000-0005-0000-0000-00000A190000}"/>
    <cellStyle name="Normal 2 51 5 3 2" xfId="22770" xr:uid="{00000000-0005-0000-0000-00000B190000}"/>
    <cellStyle name="Normal 2 51 5 4" xfId="5000" xr:uid="{00000000-0005-0000-0000-00000C190000}"/>
    <cellStyle name="Normal 2 51 5 4 2" xfId="22771" xr:uid="{00000000-0005-0000-0000-00000D190000}"/>
    <cellStyle name="Normal 2 51 5 5" xfId="5001" xr:uid="{00000000-0005-0000-0000-00000E190000}"/>
    <cellStyle name="Normal 2 51 5 5 2" xfId="22772" xr:uid="{00000000-0005-0000-0000-00000F190000}"/>
    <cellStyle name="Normal 2 51 5 6" xfId="5002" xr:uid="{00000000-0005-0000-0000-000010190000}"/>
    <cellStyle name="Normal 2 51 5 6 2" xfId="22773" xr:uid="{00000000-0005-0000-0000-000011190000}"/>
    <cellStyle name="Normal 2 51 5 7" xfId="5003" xr:uid="{00000000-0005-0000-0000-000012190000}"/>
    <cellStyle name="Normal 2 51 5 7 2" xfId="22774" xr:uid="{00000000-0005-0000-0000-000013190000}"/>
    <cellStyle name="Normal 2 51 5 8" xfId="5004" xr:uid="{00000000-0005-0000-0000-000014190000}"/>
    <cellStyle name="Normal 2 51 5 8 2" xfId="22775" xr:uid="{00000000-0005-0000-0000-000015190000}"/>
    <cellStyle name="Normal 2 51 5 9" xfId="5005" xr:uid="{00000000-0005-0000-0000-000016190000}"/>
    <cellStyle name="Normal 2 51 5 9 2" xfId="22776" xr:uid="{00000000-0005-0000-0000-000017190000}"/>
    <cellStyle name="Normal 2 51 6" xfId="5006" xr:uid="{00000000-0005-0000-0000-000018190000}"/>
    <cellStyle name="Normal 2 51 6 10" xfId="5007" xr:uid="{00000000-0005-0000-0000-000019190000}"/>
    <cellStyle name="Normal 2 51 6 10 2" xfId="22778" xr:uid="{00000000-0005-0000-0000-00001A190000}"/>
    <cellStyle name="Normal 2 51 6 11" xfId="5008" xr:uid="{00000000-0005-0000-0000-00001B190000}"/>
    <cellStyle name="Normal 2 51 6 11 2" xfId="22779" xr:uid="{00000000-0005-0000-0000-00001C190000}"/>
    <cellStyle name="Normal 2 51 6 12" xfId="5009" xr:uid="{00000000-0005-0000-0000-00001D190000}"/>
    <cellStyle name="Normal 2 51 6 12 2" xfId="22780" xr:uid="{00000000-0005-0000-0000-00001E190000}"/>
    <cellStyle name="Normal 2 51 6 13" xfId="5010" xr:uid="{00000000-0005-0000-0000-00001F190000}"/>
    <cellStyle name="Normal 2 51 6 13 2" xfId="22781" xr:uid="{00000000-0005-0000-0000-000020190000}"/>
    <cellStyle name="Normal 2 51 6 14" xfId="5011" xr:uid="{00000000-0005-0000-0000-000021190000}"/>
    <cellStyle name="Normal 2 51 6 14 2" xfId="22782" xr:uid="{00000000-0005-0000-0000-000022190000}"/>
    <cellStyle name="Normal 2 51 6 15" xfId="22777" xr:uid="{00000000-0005-0000-0000-000023190000}"/>
    <cellStyle name="Normal 2 51 6 2" xfId="5012" xr:uid="{00000000-0005-0000-0000-000024190000}"/>
    <cellStyle name="Normal 2 51 6 2 2" xfId="22783" xr:uid="{00000000-0005-0000-0000-000025190000}"/>
    <cellStyle name="Normal 2 51 6 3" xfId="5013" xr:uid="{00000000-0005-0000-0000-000026190000}"/>
    <cellStyle name="Normal 2 51 6 3 2" xfId="22784" xr:uid="{00000000-0005-0000-0000-000027190000}"/>
    <cellStyle name="Normal 2 51 6 4" xfId="5014" xr:uid="{00000000-0005-0000-0000-000028190000}"/>
    <cellStyle name="Normal 2 51 6 4 2" xfId="22785" xr:uid="{00000000-0005-0000-0000-000029190000}"/>
    <cellStyle name="Normal 2 51 6 5" xfId="5015" xr:uid="{00000000-0005-0000-0000-00002A190000}"/>
    <cellStyle name="Normal 2 51 6 5 2" xfId="22786" xr:uid="{00000000-0005-0000-0000-00002B190000}"/>
    <cellStyle name="Normal 2 51 6 6" xfId="5016" xr:uid="{00000000-0005-0000-0000-00002C190000}"/>
    <cellStyle name="Normal 2 51 6 6 2" xfId="22787" xr:uid="{00000000-0005-0000-0000-00002D190000}"/>
    <cellStyle name="Normal 2 51 6 7" xfId="5017" xr:uid="{00000000-0005-0000-0000-00002E190000}"/>
    <cellStyle name="Normal 2 51 6 7 2" xfId="22788" xr:uid="{00000000-0005-0000-0000-00002F190000}"/>
    <cellStyle name="Normal 2 51 6 8" xfId="5018" xr:uid="{00000000-0005-0000-0000-000030190000}"/>
    <cellStyle name="Normal 2 51 6 8 2" xfId="22789" xr:uid="{00000000-0005-0000-0000-000031190000}"/>
    <cellStyle name="Normal 2 51 6 9" xfId="5019" xr:uid="{00000000-0005-0000-0000-000032190000}"/>
    <cellStyle name="Normal 2 51 6 9 2" xfId="22790" xr:uid="{00000000-0005-0000-0000-000033190000}"/>
    <cellStyle name="Normal 2 51 7" xfId="5020" xr:uid="{00000000-0005-0000-0000-000034190000}"/>
    <cellStyle name="Normal 2 51 7 10" xfId="5021" xr:uid="{00000000-0005-0000-0000-000035190000}"/>
    <cellStyle name="Normal 2 51 7 10 2" xfId="22792" xr:uid="{00000000-0005-0000-0000-000036190000}"/>
    <cellStyle name="Normal 2 51 7 11" xfId="5022" xr:uid="{00000000-0005-0000-0000-000037190000}"/>
    <cellStyle name="Normal 2 51 7 11 2" xfId="22793" xr:uid="{00000000-0005-0000-0000-000038190000}"/>
    <cellStyle name="Normal 2 51 7 12" xfId="5023" xr:uid="{00000000-0005-0000-0000-000039190000}"/>
    <cellStyle name="Normal 2 51 7 12 2" xfId="22794" xr:uid="{00000000-0005-0000-0000-00003A190000}"/>
    <cellStyle name="Normal 2 51 7 13" xfId="5024" xr:uid="{00000000-0005-0000-0000-00003B190000}"/>
    <cellStyle name="Normal 2 51 7 13 2" xfId="22795" xr:uid="{00000000-0005-0000-0000-00003C190000}"/>
    <cellStyle name="Normal 2 51 7 14" xfId="5025" xr:uid="{00000000-0005-0000-0000-00003D190000}"/>
    <cellStyle name="Normal 2 51 7 14 2" xfId="22796" xr:uid="{00000000-0005-0000-0000-00003E190000}"/>
    <cellStyle name="Normal 2 51 7 15" xfId="22791" xr:uid="{00000000-0005-0000-0000-00003F190000}"/>
    <cellStyle name="Normal 2 51 7 2" xfId="5026" xr:uid="{00000000-0005-0000-0000-000040190000}"/>
    <cellStyle name="Normal 2 51 7 2 2" xfId="22797" xr:uid="{00000000-0005-0000-0000-000041190000}"/>
    <cellStyle name="Normal 2 51 7 3" xfId="5027" xr:uid="{00000000-0005-0000-0000-000042190000}"/>
    <cellStyle name="Normal 2 51 7 3 2" xfId="22798" xr:uid="{00000000-0005-0000-0000-000043190000}"/>
    <cellStyle name="Normal 2 51 7 4" xfId="5028" xr:uid="{00000000-0005-0000-0000-000044190000}"/>
    <cellStyle name="Normal 2 51 7 4 2" xfId="22799" xr:uid="{00000000-0005-0000-0000-000045190000}"/>
    <cellStyle name="Normal 2 51 7 5" xfId="5029" xr:uid="{00000000-0005-0000-0000-000046190000}"/>
    <cellStyle name="Normal 2 51 7 5 2" xfId="22800" xr:uid="{00000000-0005-0000-0000-000047190000}"/>
    <cellStyle name="Normal 2 51 7 6" xfId="5030" xr:uid="{00000000-0005-0000-0000-000048190000}"/>
    <cellStyle name="Normal 2 51 7 6 2" xfId="22801" xr:uid="{00000000-0005-0000-0000-000049190000}"/>
    <cellStyle name="Normal 2 51 7 7" xfId="5031" xr:uid="{00000000-0005-0000-0000-00004A190000}"/>
    <cellStyle name="Normal 2 51 7 7 2" xfId="22802" xr:uid="{00000000-0005-0000-0000-00004B190000}"/>
    <cellStyle name="Normal 2 51 7 8" xfId="5032" xr:uid="{00000000-0005-0000-0000-00004C190000}"/>
    <cellStyle name="Normal 2 51 7 8 2" xfId="22803" xr:uid="{00000000-0005-0000-0000-00004D190000}"/>
    <cellStyle name="Normal 2 51 7 9" xfId="5033" xr:uid="{00000000-0005-0000-0000-00004E190000}"/>
    <cellStyle name="Normal 2 51 7 9 2" xfId="22804" xr:uid="{00000000-0005-0000-0000-00004F190000}"/>
    <cellStyle name="Normal 2 51 8" xfId="5034" xr:uid="{00000000-0005-0000-0000-000050190000}"/>
    <cellStyle name="Normal 2 51 8 10" xfId="5035" xr:uid="{00000000-0005-0000-0000-000051190000}"/>
    <cellStyle name="Normal 2 51 8 10 2" xfId="22806" xr:uid="{00000000-0005-0000-0000-000052190000}"/>
    <cellStyle name="Normal 2 51 8 11" xfId="5036" xr:uid="{00000000-0005-0000-0000-000053190000}"/>
    <cellStyle name="Normal 2 51 8 11 2" xfId="22807" xr:uid="{00000000-0005-0000-0000-000054190000}"/>
    <cellStyle name="Normal 2 51 8 12" xfId="5037" xr:uid="{00000000-0005-0000-0000-000055190000}"/>
    <cellStyle name="Normal 2 51 8 12 2" xfId="22808" xr:uid="{00000000-0005-0000-0000-000056190000}"/>
    <cellStyle name="Normal 2 51 8 13" xfId="5038" xr:uid="{00000000-0005-0000-0000-000057190000}"/>
    <cellStyle name="Normal 2 51 8 13 2" xfId="22809" xr:uid="{00000000-0005-0000-0000-000058190000}"/>
    <cellStyle name="Normal 2 51 8 14" xfId="5039" xr:uid="{00000000-0005-0000-0000-000059190000}"/>
    <cellStyle name="Normal 2 51 8 14 2" xfId="22810" xr:uid="{00000000-0005-0000-0000-00005A190000}"/>
    <cellStyle name="Normal 2 51 8 15" xfId="22805" xr:uid="{00000000-0005-0000-0000-00005B190000}"/>
    <cellStyle name="Normal 2 51 8 2" xfId="5040" xr:uid="{00000000-0005-0000-0000-00005C190000}"/>
    <cellStyle name="Normal 2 51 8 2 2" xfId="22811" xr:uid="{00000000-0005-0000-0000-00005D190000}"/>
    <cellStyle name="Normal 2 51 8 3" xfId="5041" xr:uid="{00000000-0005-0000-0000-00005E190000}"/>
    <cellStyle name="Normal 2 51 8 3 2" xfId="22812" xr:uid="{00000000-0005-0000-0000-00005F190000}"/>
    <cellStyle name="Normal 2 51 8 4" xfId="5042" xr:uid="{00000000-0005-0000-0000-000060190000}"/>
    <cellStyle name="Normal 2 51 8 4 2" xfId="22813" xr:uid="{00000000-0005-0000-0000-000061190000}"/>
    <cellStyle name="Normal 2 51 8 5" xfId="5043" xr:uid="{00000000-0005-0000-0000-000062190000}"/>
    <cellStyle name="Normal 2 51 8 5 2" xfId="22814" xr:uid="{00000000-0005-0000-0000-000063190000}"/>
    <cellStyle name="Normal 2 51 8 6" xfId="5044" xr:uid="{00000000-0005-0000-0000-000064190000}"/>
    <cellStyle name="Normal 2 51 8 6 2" xfId="22815" xr:uid="{00000000-0005-0000-0000-000065190000}"/>
    <cellStyle name="Normal 2 51 8 7" xfId="5045" xr:uid="{00000000-0005-0000-0000-000066190000}"/>
    <cellStyle name="Normal 2 51 8 7 2" xfId="22816" xr:uid="{00000000-0005-0000-0000-000067190000}"/>
    <cellStyle name="Normal 2 51 8 8" xfId="5046" xr:uid="{00000000-0005-0000-0000-000068190000}"/>
    <cellStyle name="Normal 2 51 8 8 2" xfId="22817" xr:uid="{00000000-0005-0000-0000-000069190000}"/>
    <cellStyle name="Normal 2 51 8 9" xfId="5047" xr:uid="{00000000-0005-0000-0000-00006A190000}"/>
    <cellStyle name="Normal 2 51 8 9 2" xfId="22818" xr:uid="{00000000-0005-0000-0000-00006B190000}"/>
    <cellStyle name="Normal 2 51 9" xfId="5048" xr:uid="{00000000-0005-0000-0000-00006C190000}"/>
    <cellStyle name="Normal 2 51 9 10" xfId="5049" xr:uid="{00000000-0005-0000-0000-00006D190000}"/>
    <cellStyle name="Normal 2 51 9 10 2" xfId="22820" xr:uid="{00000000-0005-0000-0000-00006E190000}"/>
    <cellStyle name="Normal 2 51 9 11" xfId="5050" xr:uid="{00000000-0005-0000-0000-00006F190000}"/>
    <cellStyle name="Normal 2 51 9 11 2" xfId="22821" xr:uid="{00000000-0005-0000-0000-000070190000}"/>
    <cellStyle name="Normal 2 51 9 12" xfId="5051" xr:uid="{00000000-0005-0000-0000-000071190000}"/>
    <cellStyle name="Normal 2 51 9 12 2" xfId="22822" xr:uid="{00000000-0005-0000-0000-000072190000}"/>
    <cellStyle name="Normal 2 51 9 13" xfId="5052" xr:uid="{00000000-0005-0000-0000-000073190000}"/>
    <cellStyle name="Normal 2 51 9 13 2" xfId="22823" xr:uid="{00000000-0005-0000-0000-000074190000}"/>
    <cellStyle name="Normal 2 51 9 14" xfId="5053" xr:uid="{00000000-0005-0000-0000-000075190000}"/>
    <cellStyle name="Normal 2 51 9 14 2" xfId="22824" xr:uid="{00000000-0005-0000-0000-000076190000}"/>
    <cellStyle name="Normal 2 51 9 15" xfId="22819" xr:uid="{00000000-0005-0000-0000-000077190000}"/>
    <cellStyle name="Normal 2 51 9 2" xfId="5054" xr:uid="{00000000-0005-0000-0000-000078190000}"/>
    <cellStyle name="Normal 2 51 9 2 2" xfId="22825" xr:uid="{00000000-0005-0000-0000-000079190000}"/>
    <cellStyle name="Normal 2 51 9 3" xfId="5055" xr:uid="{00000000-0005-0000-0000-00007A190000}"/>
    <cellStyle name="Normal 2 51 9 3 2" xfId="22826" xr:uid="{00000000-0005-0000-0000-00007B190000}"/>
    <cellStyle name="Normal 2 51 9 4" xfId="5056" xr:uid="{00000000-0005-0000-0000-00007C190000}"/>
    <cellStyle name="Normal 2 51 9 4 2" xfId="22827" xr:uid="{00000000-0005-0000-0000-00007D190000}"/>
    <cellStyle name="Normal 2 51 9 5" xfId="5057" xr:uid="{00000000-0005-0000-0000-00007E190000}"/>
    <cellStyle name="Normal 2 51 9 5 2" xfId="22828" xr:uid="{00000000-0005-0000-0000-00007F190000}"/>
    <cellStyle name="Normal 2 51 9 6" xfId="5058" xr:uid="{00000000-0005-0000-0000-000080190000}"/>
    <cellStyle name="Normal 2 51 9 6 2" xfId="22829" xr:uid="{00000000-0005-0000-0000-000081190000}"/>
    <cellStyle name="Normal 2 51 9 7" xfId="5059" xr:uid="{00000000-0005-0000-0000-000082190000}"/>
    <cellStyle name="Normal 2 51 9 7 2" xfId="22830" xr:uid="{00000000-0005-0000-0000-000083190000}"/>
    <cellStyle name="Normal 2 51 9 8" xfId="5060" xr:uid="{00000000-0005-0000-0000-000084190000}"/>
    <cellStyle name="Normal 2 51 9 8 2" xfId="22831" xr:uid="{00000000-0005-0000-0000-000085190000}"/>
    <cellStyle name="Normal 2 51 9 9" xfId="5061" xr:uid="{00000000-0005-0000-0000-000086190000}"/>
    <cellStyle name="Normal 2 51 9 9 2" xfId="22832" xr:uid="{00000000-0005-0000-0000-000087190000}"/>
    <cellStyle name="Normal 2 52" xfId="5062" xr:uid="{00000000-0005-0000-0000-000088190000}"/>
    <cellStyle name="Normal 2 52 10" xfId="5063" xr:uid="{00000000-0005-0000-0000-000089190000}"/>
    <cellStyle name="Normal 2 52 10 10" xfId="5064" xr:uid="{00000000-0005-0000-0000-00008A190000}"/>
    <cellStyle name="Normal 2 52 10 10 2" xfId="22835" xr:uid="{00000000-0005-0000-0000-00008B190000}"/>
    <cellStyle name="Normal 2 52 10 11" xfId="5065" xr:uid="{00000000-0005-0000-0000-00008C190000}"/>
    <cellStyle name="Normal 2 52 10 11 2" xfId="22836" xr:uid="{00000000-0005-0000-0000-00008D190000}"/>
    <cellStyle name="Normal 2 52 10 12" xfId="5066" xr:uid="{00000000-0005-0000-0000-00008E190000}"/>
    <cellStyle name="Normal 2 52 10 12 2" xfId="22837" xr:uid="{00000000-0005-0000-0000-00008F190000}"/>
    <cellStyle name="Normal 2 52 10 13" xfId="5067" xr:uid="{00000000-0005-0000-0000-000090190000}"/>
    <cellStyle name="Normal 2 52 10 13 2" xfId="22838" xr:uid="{00000000-0005-0000-0000-000091190000}"/>
    <cellStyle name="Normal 2 52 10 14" xfId="5068" xr:uid="{00000000-0005-0000-0000-000092190000}"/>
    <cellStyle name="Normal 2 52 10 14 2" xfId="22839" xr:uid="{00000000-0005-0000-0000-000093190000}"/>
    <cellStyle name="Normal 2 52 10 15" xfId="22834" xr:uid="{00000000-0005-0000-0000-000094190000}"/>
    <cellStyle name="Normal 2 52 10 2" xfId="5069" xr:uid="{00000000-0005-0000-0000-000095190000}"/>
    <cellStyle name="Normal 2 52 10 2 2" xfId="22840" xr:uid="{00000000-0005-0000-0000-000096190000}"/>
    <cellStyle name="Normal 2 52 10 3" xfId="5070" xr:uid="{00000000-0005-0000-0000-000097190000}"/>
    <cellStyle name="Normal 2 52 10 3 2" xfId="22841" xr:uid="{00000000-0005-0000-0000-000098190000}"/>
    <cellStyle name="Normal 2 52 10 4" xfId="5071" xr:uid="{00000000-0005-0000-0000-000099190000}"/>
    <cellStyle name="Normal 2 52 10 4 2" xfId="22842" xr:uid="{00000000-0005-0000-0000-00009A190000}"/>
    <cellStyle name="Normal 2 52 10 5" xfId="5072" xr:uid="{00000000-0005-0000-0000-00009B190000}"/>
    <cellStyle name="Normal 2 52 10 5 2" xfId="22843" xr:uid="{00000000-0005-0000-0000-00009C190000}"/>
    <cellStyle name="Normal 2 52 10 6" xfId="5073" xr:uid="{00000000-0005-0000-0000-00009D190000}"/>
    <cellStyle name="Normal 2 52 10 6 2" xfId="22844" xr:uid="{00000000-0005-0000-0000-00009E190000}"/>
    <cellStyle name="Normal 2 52 10 7" xfId="5074" xr:uid="{00000000-0005-0000-0000-00009F190000}"/>
    <cellStyle name="Normal 2 52 10 7 2" xfId="22845" xr:uid="{00000000-0005-0000-0000-0000A0190000}"/>
    <cellStyle name="Normal 2 52 10 8" xfId="5075" xr:uid="{00000000-0005-0000-0000-0000A1190000}"/>
    <cellStyle name="Normal 2 52 10 8 2" xfId="22846" xr:uid="{00000000-0005-0000-0000-0000A2190000}"/>
    <cellStyle name="Normal 2 52 10 9" xfId="5076" xr:uid="{00000000-0005-0000-0000-0000A3190000}"/>
    <cellStyle name="Normal 2 52 10 9 2" xfId="22847" xr:uid="{00000000-0005-0000-0000-0000A4190000}"/>
    <cellStyle name="Normal 2 52 11" xfId="5077" xr:uid="{00000000-0005-0000-0000-0000A5190000}"/>
    <cellStyle name="Normal 2 52 11 2" xfId="22848" xr:uid="{00000000-0005-0000-0000-0000A6190000}"/>
    <cellStyle name="Normal 2 52 12" xfId="5078" xr:uid="{00000000-0005-0000-0000-0000A7190000}"/>
    <cellStyle name="Normal 2 52 12 2" xfId="22849" xr:uid="{00000000-0005-0000-0000-0000A8190000}"/>
    <cellStyle name="Normal 2 52 13" xfId="5079" xr:uid="{00000000-0005-0000-0000-0000A9190000}"/>
    <cellStyle name="Normal 2 52 13 2" xfId="22850" xr:uid="{00000000-0005-0000-0000-0000AA190000}"/>
    <cellStyle name="Normal 2 52 14" xfId="5080" xr:uid="{00000000-0005-0000-0000-0000AB190000}"/>
    <cellStyle name="Normal 2 52 14 2" xfId="22851" xr:uid="{00000000-0005-0000-0000-0000AC190000}"/>
    <cellStyle name="Normal 2 52 15" xfId="5081" xr:uid="{00000000-0005-0000-0000-0000AD190000}"/>
    <cellStyle name="Normal 2 52 15 2" xfId="22852" xr:uid="{00000000-0005-0000-0000-0000AE190000}"/>
    <cellStyle name="Normal 2 52 16" xfId="5082" xr:uid="{00000000-0005-0000-0000-0000AF190000}"/>
    <cellStyle name="Normal 2 52 16 2" xfId="22853" xr:uid="{00000000-0005-0000-0000-0000B0190000}"/>
    <cellStyle name="Normal 2 52 17" xfId="5083" xr:uid="{00000000-0005-0000-0000-0000B1190000}"/>
    <cellStyle name="Normal 2 52 17 2" xfId="22854" xr:uid="{00000000-0005-0000-0000-0000B2190000}"/>
    <cellStyle name="Normal 2 52 18" xfId="5084" xr:uid="{00000000-0005-0000-0000-0000B3190000}"/>
    <cellStyle name="Normal 2 52 18 2" xfId="22855" xr:uid="{00000000-0005-0000-0000-0000B4190000}"/>
    <cellStyle name="Normal 2 52 19" xfId="5085" xr:uid="{00000000-0005-0000-0000-0000B5190000}"/>
    <cellStyle name="Normal 2 52 19 2" xfId="22856" xr:uid="{00000000-0005-0000-0000-0000B6190000}"/>
    <cellStyle name="Normal 2 52 2" xfId="5086" xr:uid="{00000000-0005-0000-0000-0000B7190000}"/>
    <cellStyle name="Normal 2 52 2 10" xfId="5087" xr:uid="{00000000-0005-0000-0000-0000B8190000}"/>
    <cellStyle name="Normal 2 52 2 10 2" xfId="22858" xr:uid="{00000000-0005-0000-0000-0000B9190000}"/>
    <cellStyle name="Normal 2 52 2 11" xfId="5088" xr:uid="{00000000-0005-0000-0000-0000BA190000}"/>
    <cellStyle name="Normal 2 52 2 11 2" xfId="22859" xr:uid="{00000000-0005-0000-0000-0000BB190000}"/>
    <cellStyle name="Normal 2 52 2 12" xfId="5089" xr:uid="{00000000-0005-0000-0000-0000BC190000}"/>
    <cellStyle name="Normal 2 52 2 12 2" xfId="22860" xr:uid="{00000000-0005-0000-0000-0000BD190000}"/>
    <cellStyle name="Normal 2 52 2 13" xfId="5090" xr:uid="{00000000-0005-0000-0000-0000BE190000}"/>
    <cellStyle name="Normal 2 52 2 13 2" xfId="22861" xr:uid="{00000000-0005-0000-0000-0000BF190000}"/>
    <cellStyle name="Normal 2 52 2 14" xfId="5091" xr:uid="{00000000-0005-0000-0000-0000C0190000}"/>
    <cellStyle name="Normal 2 52 2 14 2" xfId="22862" xr:uid="{00000000-0005-0000-0000-0000C1190000}"/>
    <cellStyle name="Normal 2 52 2 15" xfId="5092" xr:uid="{00000000-0005-0000-0000-0000C2190000}"/>
    <cellStyle name="Normal 2 52 2 15 2" xfId="22863" xr:uid="{00000000-0005-0000-0000-0000C3190000}"/>
    <cellStyle name="Normal 2 52 2 16" xfId="22857" xr:uid="{00000000-0005-0000-0000-0000C4190000}"/>
    <cellStyle name="Normal 2 52 2 2" xfId="5093" xr:uid="{00000000-0005-0000-0000-0000C5190000}"/>
    <cellStyle name="Normal 2 52 2 2 10" xfId="5094" xr:uid="{00000000-0005-0000-0000-0000C6190000}"/>
    <cellStyle name="Normal 2 52 2 2 10 2" xfId="22865" xr:uid="{00000000-0005-0000-0000-0000C7190000}"/>
    <cellStyle name="Normal 2 52 2 2 11" xfId="5095" xr:uid="{00000000-0005-0000-0000-0000C8190000}"/>
    <cellStyle name="Normal 2 52 2 2 11 2" xfId="22866" xr:uid="{00000000-0005-0000-0000-0000C9190000}"/>
    <cellStyle name="Normal 2 52 2 2 12" xfId="5096" xr:uid="{00000000-0005-0000-0000-0000CA190000}"/>
    <cellStyle name="Normal 2 52 2 2 12 2" xfId="22867" xr:uid="{00000000-0005-0000-0000-0000CB190000}"/>
    <cellStyle name="Normal 2 52 2 2 13" xfId="5097" xr:uid="{00000000-0005-0000-0000-0000CC190000}"/>
    <cellStyle name="Normal 2 52 2 2 13 2" xfId="22868" xr:uid="{00000000-0005-0000-0000-0000CD190000}"/>
    <cellStyle name="Normal 2 52 2 2 14" xfId="5098" xr:uid="{00000000-0005-0000-0000-0000CE190000}"/>
    <cellStyle name="Normal 2 52 2 2 14 2" xfId="22869" xr:uid="{00000000-0005-0000-0000-0000CF190000}"/>
    <cellStyle name="Normal 2 52 2 2 15" xfId="22864" xr:uid="{00000000-0005-0000-0000-0000D0190000}"/>
    <cellStyle name="Normal 2 52 2 2 2" xfId="5099" xr:uid="{00000000-0005-0000-0000-0000D1190000}"/>
    <cellStyle name="Normal 2 52 2 2 2 2" xfId="22870" xr:uid="{00000000-0005-0000-0000-0000D2190000}"/>
    <cellStyle name="Normal 2 52 2 2 3" xfId="5100" xr:uid="{00000000-0005-0000-0000-0000D3190000}"/>
    <cellStyle name="Normal 2 52 2 2 3 2" xfId="22871" xr:uid="{00000000-0005-0000-0000-0000D4190000}"/>
    <cellStyle name="Normal 2 52 2 2 4" xfId="5101" xr:uid="{00000000-0005-0000-0000-0000D5190000}"/>
    <cellStyle name="Normal 2 52 2 2 4 2" xfId="22872" xr:uid="{00000000-0005-0000-0000-0000D6190000}"/>
    <cellStyle name="Normal 2 52 2 2 5" xfId="5102" xr:uid="{00000000-0005-0000-0000-0000D7190000}"/>
    <cellStyle name="Normal 2 52 2 2 5 2" xfId="22873" xr:uid="{00000000-0005-0000-0000-0000D8190000}"/>
    <cellStyle name="Normal 2 52 2 2 6" xfId="5103" xr:uid="{00000000-0005-0000-0000-0000D9190000}"/>
    <cellStyle name="Normal 2 52 2 2 6 2" xfId="22874" xr:uid="{00000000-0005-0000-0000-0000DA190000}"/>
    <cellStyle name="Normal 2 52 2 2 7" xfId="5104" xr:uid="{00000000-0005-0000-0000-0000DB190000}"/>
    <cellStyle name="Normal 2 52 2 2 7 2" xfId="22875" xr:uid="{00000000-0005-0000-0000-0000DC190000}"/>
    <cellStyle name="Normal 2 52 2 2 8" xfId="5105" xr:uid="{00000000-0005-0000-0000-0000DD190000}"/>
    <cellStyle name="Normal 2 52 2 2 8 2" xfId="22876" xr:uid="{00000000-0005-0000-0000-0000DE190000}"/>
    <cellStyle name="Normal 2 52 2 2 9" xfId="5106" xr:uid="{00000000-0005-0000-0000-0000DF190000}"/>
    <cellStyle name="Normal 2 52 2 2 9 2" xfId="22877" xr:uid="{00000000-0005-0000-0000-0000E0190000}"/>
    <cellStyle name="Normal 2 52 2 3" xfId="5107" xr:uid="{00000000-0005-0000-0000-0000E1190000}"/>
    <cellStyle name="Normal 2 52 2 3 2" xfId="22878" xr:uid="{00000000-0005-0000-0000-0000E2190000}"/>
    <cellStyle name="Normal 2 52 2 4" xfId="5108" xr:uid="{00000000-0005-0000-0000-0000E3190000}"/>
    <cellStyle name="Normal 2 52 2 4 2" xfId="22879" xr:uid="{00000000-0005-0000-0000-0000E4190000}"/>
    <cellStyle name="Normal 2 52 2 5" xfId="5109" xr:uid="{00000000-0005-0000-0000-0000E5190000}"/>
    <cellStyle name="Normal 2 52 2 5 2" xfId="22880" xr:uid="{00000000-0005-0000-0000-0000E6190000}"/>
    <cellStyle name="Normal 2 52 2 6" xfId="5110" xr:uid="{00000000-0005-0000-0000-0000E7190000}"/>
    <cellStyle name="Normal 2 52 2 6 2" xfId="22881" xr:uid="{00000000-0005-0000-0000-0000E8190000}"/>
    <cellStyle name="Normal 2 52 2 7" xfId="5111" xr:uid="{00000000-0005-0000-0000-0000E9190000}"/>
    <cellStyle name="Normal 2 52 2 7 2" xfId="22882" xr:uid="{00000000-0005-0000-0000-0000EA190000}"/>
    <cellStyle name="Normal 2 52 2 8" xfId="5112" xr:uid="{00000000-0005-0000-0000-0000EB190000}"/>
    <cellStyle name="Normal 2 52 2 8 2" xfId="22883" xr:uid="{00000000-0005-0000-0000-0000EC190000}"/>
    <cellStyle name="Normal 2 52 2 9" xfId="5113" xr:uid="{00000000-0005-0000-0000-0000ED190000}"/>
    <cellStyle name="Normal 2 52 2 9 2" xfId="22884" xr:uid="{00000000-0005-0000-0000-0000EE190000}"/>
    <cellStyle name="Normal 2 52 20" xfId="5114" xr:uid="{00000000-0005-0000-0000-0000EF190000}"/>
    <cellStyle name="Normal 2 52 20 2" xfId="22885" xr:uid="{00000000-0005-0000-0000-0000F0190000}"/>
    <cellStyle name="Normal 2 52 21" xfId="5115" xr:uid="{00000000-0005-0000-0000-0000F1190000}"/>
    <cellStyle name="Normal 2 52 21 2" xfId="22886" xr:uid="{00000000-0005-0000-0000-0000F2190000}"/>
    <cellStyle name="Normal 2 52 22" xfId="5116" xr:uid="{00000000-0005-0000-0000-0000F3190000}"/>
    <cellStyle name="Normal 2 52 22 2" xfId="22887" xr:uid="{00000000-0005-0000-0000-0000F4190000}"/>
    <cellStyle name="Normal 2 52 23" xfId="5117" xr:uid="{00000000-0005-0000-0000-0000F5190000}"/>
    <cellStyle name="Normal 2 52 23 2" xfId="22888" xr:uid="{00000000-0005-0000-0000-0000F6190000}"/>
    <cellStyle name="Normal 2 52 24" xfId="22833" xr:uid="{00000000-0005-0000-0000-0000F7190000}"/>
    <cellStyle name="Normal 2 52 3" xfId="5118" xr:uid="{00000000-0005-0000-0000-0000F8190000}"/>
    <cellStyle name="Normal 2 52 3 10" xfId="5119" xr:uid="{00000000-0005-0000-0000-0000F9190000}"/>
    <cellStyle name="Normal 2 52 3 10 2" xfId="22890" xr:uid="{00000000-0005-0000-0000-0000FA190000}"/>
    <cellStyle name="Normal 2 52 3 11" xfId="5120" xr:uid="{00000000-0005-0000-0000-0000FB190000}"/>
    <cellStyle name="Normal 2 52 3 11 2" xfId="22891" xr:uid="{00000000-0005-0000-0000-0000FC190000}"/>
    <cellStyle name="Normal 2 52 3 12" xfId="5121" xr:uid="{00000000-0005-0000-0000-0000FD190000}"/>
    <cellStyle name="Normal 2 52 3 12 2" xfId="22892" xr:uid="{00000000-0005-0000-0000-0000FE190000}"/>
    <cellStyle name="Normal 2 52 3 13" xfId="5122" xr:uid="{00000000-0005-0000-0000-0000FF190000}"/>
    <cellStyle name="Normal 2 52 3 13 2" xfId="22893" xr:uid="{00000000-0005-0000-0000-0000001A0000}"/>
    <cellStyle name="Normal 2 52 3 14" xfId="5123" xr:uid="{00000000-0005-0000-0000-0000011A0000}"/>
    <cellStyle name="Normal 2 52 3 14 2" xfId="22894" xr:uid="{00000000-0005-0000-0000-0000021A0000}"/>
    <cellStyle name="Normal 2 52 3 15" xfId="5124" xr:uid="{00000000-0005-0000-0000-0000031A0000}"/>
    <cellStyle name="Normal 2 52 3 15 2" xfId="22895" xr:uid="{00000000-0005-0000-0000-0000041A0000}"/>
    <cellStyle name="Normal 2 52 3 16" xfId="22889" xr:uid="{00000000-0005-0000-0000-0000051A0000}"/>
    <cellStyle name="Normal 2 52 3 2" xfId="5125" xr:uid="{00000000-0005-0000-0000-0000061A0000}"/>
    <cellStyle name="Normal 2 52 3 2 10" xfId="5126" xr:uid="{00000000-0005-0000-0000-0000071A0000}"/>
    <cellStyle name="Normal 2 52 3 2 10 2" xfId="22897" xr:uid="{00000000-0005-0000-0000-0000081A0000}"/>
    <cellStyle name="Normal 2 52 3 2 11" xfId="5127" xr:uid="{00000000-0005-0000-0000-0000091A0000}"/>
    <cellStyle name="Normal 2 52 3 2 11 2" xfId="22898" xr:uid="{00000000-0005-0000-0000-00000A1A0000}"/>
    <cellStyle name="Normal 2 52 3 2 12" xfId="5128" xr:uid="{00000000-0005-0000-0000-00000B1A0000}"/>
    <cellStyle name="Normal 2 52 3 2 12 2" xfId="22899" xr:uid="{00000000-0005-0000-0000-00000C1A0000}"/>
    <cellStyle name="Normal 2 52 3 2 13" xfId="5129" xr:uid="{00000000-0005-0000-0000-00000D1A0000}"/>
    <cellStyle name="Normal 2 52 3 2 13 2" xfId="22900" xr:uid="{00000000-0005-0000-0000-00000E1A0000}"/>
    <cellStyle name="Normal 2 52 3 2 14" xfId="5130" xr:uid="{00000000-0005-0000-0000-00000F1A0000}"/>
    <cellStyle name="Normal 2 52 3 2 14 2" xfId="22901" xr:uid="{00000000-0005-0000-0000-0000101A0000}"/>
    <cellStyle name="Normal 2 52 3 2 15" xfId="22896" xr:uid="{00000000-0005-0000-0000-0000111A0000}"/>
    <cellStyle name="Normal 2 52 3 2 2" xfId="5131" xr:uid="{00000000-0005-0000-0000-0000121A0000}"/>
    <cellStyle name="Normal 2 52 3 2 2 2" xfId="22902" xr:uid="{00000000-0005-0000-0000-0000131A0000}"/>
    <cellStyle name="Normal 2 52 3 2 3" xfId="5132" xr:uid="{00000000-0005-0000-0000-0000141A0000}"/>
    <cellStyle name="Normal 2 52 3 2 3 2" xfId="22903" xr:uid="{00000000-0005-0000-0000-0000151A0000}"/>
    <cellStyle name="Normal 2 52 3 2 4" xfId="5133" xr:uid="{00000000-0005-0000-0000-0000161A0000}"/>
    <cellStyle name="Normal 2 52 3 2 4 2" xfId="22904" xr:uid="{00000000-0005-0000-0000-0000171A0000}"/>
    <cellStyle name="Normal 2 52 3 2 5" xfId="5134" xr:uid="{00000000-0005-0000-0000-0000181A0000}"/>
    <cellStyle name="Normal 2 52 3 2 5 2" xfId="22905" xr:uid="{00000000-0005-0000-0000-0000191A0000}"/>
    <cellStyle name="Normal 2 52 3 2 6" xfId="5135" xr:uid="{00000000-0005-0000-0000-00001A1A0000}"/>
    <cellStyle name="Normal 2 52 3 2 6 2" xfId="22906" xr:uid="{00000000-0005-0000-0000-00001B1A0000}"/>
    <cellStyle name="Normal 2 52 3 2 7" xfId="5136" xr:uid="{00000000-0005-0000-0000-00001C1A0000}"/>
    <cellStyle name="Normal 2 52 3 2 7 2" xfId="22907" xr:uid="{00000000-0005-0000-0000-00001D1A0000}"/>
    <cellStyle name="Normal 2 52 3 2 8" xfId="5137" xr:uid="{00000000-0005-0000-0000-00001E1A0000}"/>
    <cellStyle name="Normal 2 52 3 2 8 2" xfId="22908" xr:uid="{00000000-0005-0000-0000-00001F1A0000}"/>
    <cellStyle name="Normal 2 52 3 2 9" xfId="5138" xr:uid="{00000000-0005-0000-0000-0000201A0000}"/>
    <cellStyle name="Normal 2 52 3 2 9 2" xfId="22909" xr:uid="{00000000-0005-0000-0000-0000211A0000}"/>
    <cellStyle name="Normal 2 52 3 3" xfId="5139" xr:uid="{00000000-0005-0000-0000-0000221A0000}"/>
    <cellStyle name="Normal 2 52 3 3 2" xfId="22910" xr:uid="{00000000-0005-0000-0000-0000231A0000}"/>
    <cellStyle name="Normal 2 52 3 4" xfId="5140" xr:uid="{00000000-0005-0000-0000-0000241A0000}"/>
    <cellStyle name="Normal 2 52 3 4 2" xfId="22911" xr:uid="{00000000-0005-0000-0000-0000251A0000}"/>
    <cellStyle name="Normal 2 52 3 5" xfId="5141" xr:uid="{00000000-0005-0000-0000-0000261A0000}"/>
    <cellStyle name="Normal 2 52 3 5 2" xfId="22912" xr:uid="{00000000-0005-0000-0000-0000271A0000}"/>
    <cellStyle name="Normal 2 52 3 6" xfId="5142" xr:uid="{00000000-0005-0000-0000-0000281A0000}"/>
    <cellStyle name="Normal 2 52 3 6 2" xfId="22913" xr:uid="{00000000-0005-0000-0000-0000291A0000}"/>
    <cellStyle name="Normal 2 52 3 7" xfId="5143" xr:uid="{00000000-0005-0000-0000-00002A1A0000}"/>
    <cellStyle name="Normal 2 52 3 7 2" xfId="22914" xr:uid="{00000000-0005-0000-0000-00002B1A0000}"/>
    <cellStyle name="Normal 2 52 3 8" xfId="5144" xr:uid="{00000000-0005-0000-0000-00002C1A0000}"/>
    <cellStyle name="Normal 2 52 3 8 2" xfId="22915" xr:uid="{00000000-0005-0000-0000-00002D1A0000}"/>
    <cellStyle name="Normal 2 52 3 9" xfId="5145" xr:uid="{00000000-0005-0000-0000-00002E1A0000}"/>
    <cellStyle name="Normal 2 52 3 9 2" xfId="22916" xr:uid="{00000000-0005-0000-0000-00002F1A0000}"/>
    <cellStyle name="Normal 2 52 4" xfId="5146" xr:uid="{00000000-0005-0000-0000-0000301A0000}"/>
    <cellStyle name="Normal 2 52 4 10" xfId="5147" xr:uid="{00000000-0005-0000-0000-0000311A0000}"/>
    <cellStyle name="Normal 2 52 4 10 2" xfId="22918" xr:uid="{00000000-0005-0000-0000-0000321A0000}"/>
    <cellStyle name="Normal 2 52 4 11" xfId="5148" xr:uid="{00000000-0005-0000-0000-0000331A0000}"/>
    <cellStyle name="Normal 2 52 4 11 2" xfId="22919" xr:uid="{00000000-0005-0000-0000-0000341A0000}"/>
    <cellStyle name="Normal 2 52 4 12" xfId="5149" xr:uid="{00000000-0005-0000-0000-0000351A0000}"/>
    <cellStyle name="Normal 2 52 4 12 2" xfId="22920" xr:uid="{00000000-0005-0000-0000-0000361A0000}"/>
    <cellStyle name="Normal 2 52 4 13" xfId="5150" xr:uid="{00000000-0005-0000-0000-0000371A0000}"/>
    <cellStyle name="Normal 2 52 4 13 2" xfId="22921" xr:uid="{00000000-0005-0000-0000-0000381A0000}"/>
    <cellStyle name="Normal 2 52 4 14" xfId="5151" xr:uid="{00000000-0005-0000-0000-0000391A0000}"/>
    <cellStyle name="Normal 2 52 4 14 2" xfId="22922" xr:uid="{00000000-0005-0000-0000-00003A1A0000}"/>
    <cellStyle name="Normal 2 52 4 15" xfId="5152" xr:uid="{00000000-0005-0000-0000-00003B1A0000}"/>
    <cellStyle name="Normal 2 52 4 15 2" xfId="22923" xr:uid="{00000000-0005-0000-0000-00003C1A0000}"/>
    <cellStyle name="Normal 2 52 4 16" xfId="22917" xr:uid="{00000000-0005-0000-0000-00003D1A0000}"/>
    <cellStyle name="Normal 2 52 4 2" xfId="5153" xr:uid="{00000000-0005-0000-0000-00003E1A0000}"/>
    <cellStyle name="Normal 2 52 4 2 10" xfId="5154" xr:uid="{00000000-0005-0000-0000-00003F1A0000}"/>
    <cellStyle name="Normal 2 52 4 2 10 2" xfId="22925" xr:uid="{00000000-0005-0000-0000-0000401A0000}"/>
    <cellStyle name="Normal 2 52 4 2 11" xfId="5155" xr:uid="{00000000-0005-0000-0000-0000411A0000}"/>
    <cellStyle name="Normal 2 52 4 2 11 2" xfId="22926" xr:uid="{00000000-0005-0000-0000-0000421A0000}"/>
    <cellStyle name="Normal 2 52 4 2 12" xfId="5156" xr:uid="{00000000-0005-0000-0000-0000431A0000}"/>
    <cellStyle name="Normal 2 52 4 2 12 2" xfId="22927" xr:uid="{00000000-0005-0000-0000-0000441A0000}"/>
    <cellStyle name="Normal 2 52 4 2 13" xfId="5157" xr:uid="{00000000-0005-0000-0000-0000451A0000}"/>
    <cellStyle name="Normal 2 52 4 2 13 2" xfId="22928" xr:uid="{00000000-0005-0000-0000-0000461A0000}"/>
    <cellStyle name="Normal 2 52 4 2 14" xfId="5158" xr:uid="{00000000-0005-0000-0000-0000471A0000}"/>
    <cellStyle name="Normal 2 52 4 2 14 2" xfId="22929" xr:uid="{00000000-0005-0000-0000-0000481A0000}"/>
    <cellStyle name="Normal 2 52 4 2 15" xfId="22924" xr:uid="{00000000-0005-0000-0000-0000491A0000}"/>
    <cellStyle name="Normal 2 52 4 2 2" xfId="5159" xr:uid="{00000000-0005-0000-0000-00004A1A0000}"/>
    <cellStyle name="Normal 2 52 4 2 2 2" xfId="22930" xr:uid="{00000000-0005-0000-0000-00004B1A0000}"/>
    <cellStyle name="Normal 2 52 4 2 3" xfId="5160" xr:uid="{00000000-0005-0000-0000-00004C1A0000}"/>
    <cellStyle name="Normal 2 52 4 2 3 2" xfId="22931" xr:uid="{00000000-0005-0000-0000-00004D1A0000}"/>
    <cellStyle name="Normal 2 52 4 2 4" xfId="5161" xr:uid="{00000000-0005-0000-0000-00004E1A0000}"/>
    <cellStyle name="Normal 2 52 4 2 4 2" xfId="22932" xr:uid="{00000000-0005-0000-0000-00004F1A0000}"/>
    <cellStyle name="Normal 2 52 4 2 5" xfId="5162" xr:uid="{00000000-0005-0000-0000-0000501A0000}"/>
    <cellStyle name="Normal 2 52 4 2 5 2" xfId="22933" xr:uid="{00000000-0005-0000-0000-0000511A0000}"/>
    <cellStyle name="Normal 2 52 4 2 6" xfId="5163" xr:uid="{00000000-0005-0000-0000-0000521A0000}"/>
    <cellStyle name="Normal 2 52 4 2 6 2" xfId="22934" xr:uid="{00000000-0005-0000-0000-0000531A0000}"/>
    <cellStyle name="Normal 2 52 4 2 7" xfId="5164" xr:uid="{00000000-0005-0000-0000-0000541A0000}"/>
    <cellStyle name="Normal 2 52 4 2 7 2" xfId="22935" xr:uid="{00000000-0005-0000-0000-0000551A0000}"/>
    <cellStyle name="Normal 2 52 4 2 8" xfId="5165" xr:uid="{00000000-0005-0000-0000-0000561A0000}"/>
    <cellStyle name="Normal 2 52 4 2 8 2" xfId="22936" xr:uid="{00000000-0005-0000-0000-0000571A0000}"/>
    <cellStyle name="Normal 2 52 4 2 9" xfId="5166" xr:uid="{00000000-0005-0000-0000-0000581A0000}"/>
    <cellStyle name="Normal 2 52 4 2 9 2" xfId="22937" xr:uid="{00000000-0005-0000-0000-0000591A0000}"/>
    <cellStyle name="Normal 2 52 4 3" xfId="5167" xr:uid="{00000000-0005-0000-0000-00005A1A0000}"/>
    <cellStyle name="Normal 2 52 4 3 2" xfId="22938" xr:uid="{00000000-0005-0000-0000-00005B1A0000}"/>
    <cellStyle name="Normal 2 52 4 4" xfId="5168" xr:uid="{00000000-0005-0000-0000-00005C1A0000}"/>
    <cellStyle name="Normal 2 52 4 4 2" xfId="22939" xr:uid="{00000000-0005-0000-0000-00005D1A0000}"/>
    <cellStyle name="Normal 2 52 4 5" xfId="5169" xr:uid="{00000000-0005-0000-0000-00005E1A0000}"/>
    <cellStyle name="Normal 2 52 4 5 2" xfId="22940" xr:uid="{00000000-0005-0000-0000-00005F1A0000}"/>
    <cellStyle name="Normal 2 52 4 6" xfId="5170" xr:uid="{00000000-0005-0000-0000-0000601A0000}"/>
    <cellStyle name="Normal 2 52 4 6 2" xfId="22941" xr:uid="{00000000-0005-0000-0000-0000611A0000}"/>
    <cellStyle name="Normal 2 52 4 7" xfId="5171" xr:uid="{00000000-0005-0000-0000-0000621A0000}"/>
    <cellStyle name="Normal 2 52 4 7 2" xfId="22942" xr:uid="{00000000-0005-0000-0000-0000631A0000}"/>
    <cellStyle name="Normal 2 52 4 8" xfId="5172" xr:uid="{00000000-0005-0000-0000-0000641A0000}"/>
    <cellStyle name="Normal 2 52 4 8 2" xfId="22943" xr:uid="{00000000-0005-0000-0000-0000651A0000}"/>
    <cellStyle name="Normal 2 52 4 9" xfId="5173" xr:uid="{00000000-0005-0000-0000-0000661A0000}"/>
    <cellStyle name="Normal 2 52 4 9 2" xfId="22944" xr:uid="{00000000-0005-0000-0000-0000671A0000}"/>
    <cellStyle name="Normal 2 52 5" xfId="5174" xr:uid="{00000000-0005-0000-0000-0000681A0000}"/>
    <cellStyle name="Normal 2 52 5 10" xfId="5175" xr:uid="{00000000-0005-0000-0000-0000691A0000}"/>
    <cellStyle name="Normal 2 52 5 10 2" xfId="22946" xr:uid="{00000000-0005-0000-0000-00006A1A0000}"/>
    <cellStyle name="Normal 2 52 5 11" xfId="5176" xr:uid="{00000000-0005-0000-0000-00006B1A0000}"/>
    <cellStyle name="Normal 2 52 5 11 2" xfId="22947" xr:uid="{00000000-0005-0000-0000-00006C1A0000}"/>
    <cellStyle name="Normal 2 52 5 12" xfId="5177" xr:uid="{00000000-0005-0000-0000-00006D1A0000}"/>
    <cellStyle name="Normal 2 52 5 12 2" xfId="22948" xr:uid="{00000000-0005-0000-0000-00006E1A0000}"/>
    <cellStyle name="Normal 2 52 5 13" xfId="5178" xr:uid="{00000000-0005-0000-0000-00006F1A0000}"/>
    <cellStyle name="Normal 2 52 5 13 2" xfId="22949" xr:uid="{00000000-0005-0000-0000-0000701A0000}"/>
    <cellStyle name="Normal 2 52 5 14" xfId="5179" xr:uid="{00000000-0005-0000-0000-0000711A0000}"/>
    <cellStyle name="Normal 2 52 5 14 2" xfId="22950" xr:uid="{00000000-0005-0000-0000-0000721A0000}"/>
    <cellStyle name="Normal 2 52 5 15" xfId="22945" xr:uid="{00000000-0005-0000-0000-0000731A0000}"/>
    <cellStyle name="Normal 2 52 5 2" xfId="5180" xr:uid="{00000000-0005-0000-0000-0000741A0000}"/>
    <cellStyle name="Normal 2 52 5 2 2" xfId="22951" xr:uid="{00000000-0005-0000-0000-0000751A0000}"/>
    <cellStyle name="Normal 2 52 5 3" xfId="5181" xr:uid="{00000000-0005-0000-0000-0000761A0000}"/>
    <cellStyle name="Normal 2 52 5 3 2" xfId="22952" xr:uid="{00000000-0005-0000-0000-0000771A0000}"/>
    <cellStyle name="Normal 2 52 5 4" xfId="5182" xr:uid="{00000000-0005-0000-0000-0000781A0000}"/>
    <cellStyle name="Normal 2 52 5 4 2" xfId="22953" xr:uid="{00000000-0005-0000-0000-0000791A0000}"/>
    <cellStyle name="Normal 2 52 5 5" xfId="5183" xr:uid="{00000000-0005-0000-0000-00007A1A0000}"/>
    <cellStyle name="Normal 2 52 5 5 2" xfId="22954" xr:uid="{00000000-0005-0000-0000-00007B1A0000}"/>
    <cellStyle name="Normal 2 52 5 6" xfId="5184" xr:uid="{00000000-0005-0000-0000-00007C1A0000}"/>
    <cellStyle name="Normal 2 52 5 6 2" xfId="22955" xr:uid="{00000000-0005-0000-0000-00007D1A0000}"/>
    <cellStyle name="Normal 2 52 5 7" xfId="5185" xr:uid="{00000000-0005-0000-0000-00007E1A0000}"/>
    <cellStyle name="Normal 2 52 5 7 2" xfId="22956" xr:uid="{00000000-0005-0000-0000-00007F1A0000}"/>
    <cellStyle name="Normal 2 52 5 8" xfId="5186" xr:uid="{00000000-0005-0000-0000-0000801A0000}"/>
    <cellStyle name="Normal 2 52 5 8 2" xfId="22957" xr:uid="{00000000-0005-0000-0000-0000811A0000}"/>
    <cellStyle name="Normal 2 52 5 9" xfId="5187" xr:uid="{00000000-0005-0000-0000-0000821A0000}"/>
    <cellStyle name="Normal 2 52 5 9 2" xfId="22958" xr:uid="{00000000-0005-0000-0000-0000831A0000}"/>
    <cellStyle name="Normal 2 52 6" xfId="5188" xr:uid="{00000000-0005-0000-0000-0000841A0000}"/>
    <cellStyle name="Normal 2 52 6 10" xfId="5189" xr:uid="{00000000-0005-0000-0000-0000851A0000}"/>
    <cellStyle name="Normal 2 52 6 10 2" xfId="22960" xr:uid="{00000000-0005-0000-0000-0000861A0000}"/>
    <cellStyle name="Normal 2 52 6 11" xfId="5190" xr:uid="{00000000-0005-0000-0000-0000871A0000}"/>
    <cellStyle name="Normal 2 52 6 11 2" xfId="22961" xr:uid="{00000000-0005-0000-0000-0000881A0000}"/>
    <cellStyle name="Normal 2 52 6 12" xfId="5191" xr:uid="{00000000-0005-0000-0000-0000891A0000}"/>
    <cellStyle name="Normal 2 52 6 12 2" xfId="22962" xr:uid="{00000000-0005-0000-0000-00008A1A0000}"/>
    <cellStyle name="Normal 2 52 6 13" xfId="5192" xr:uid="{00000000-0005-0000-0000-00008B1A0000}"/>
    <cellStyle name="Normal 2 52 6 13 2" xfId="22963" xr:uid="{00000000-0005-0000-0000-00008C1A0000}"/>
    <cellStyle name="Normal 2 52 6 14" xfId="5193" xr:uid="{00000000-0005-0000-0000-00008D1A0000}"/>
    <cellStyle name="Normal 2 52 6 14 2" xfId="22964" xr:uid="{00000000-0005-0000-0000-00008E1A0000}"/>
    <cellStyle name="Normal 2 52 6 15" xfId="22959" xr:uid="{00000000-0005-0000-0000-00008F1A0000}"/>
    <cellStyle name="Normal 2 52 6 2" xfId="5194" xr:uid="{00000000-0005-0000-0000-0000901A0000}"/>
    <cellStyle name="Normal 2 52 6 2 2" xfId="22965" xr:uid="{00000000-0005-0000-0000-0000911A0000}"/>
    <cellStyle name="Normal 2 52 6 3" xfId="5195" xr:uid="{00000000-0005-0000-0000-0000921A0000}"/>
    <cellStyle name="Normal 2 52 6 3 2" xfId="22966" xr:uid="{00000000-0005-0000-0000-0000931A0000}"/>
    <cellStyle name="Normal 2 52 6 4" xfId="5196" xr:uid="{00000000-0005-0000-0000-0000941A0000}"/>
    <cellStyle name="Normal 2 52 6 4 2" xfId="22967" xr:uid="{00000000-0005-0000-0000-0000951A0000}"/>
    <cellStyle name="Normal 2 52 6 5" xfId="5197" xr:uid="{00000000-0005-0000-0000-0000961A0000}"/>
    <cellStyle name="Normal 2 52 6 5 2" xfId="22968" xr:uid="{00000000-0005-0000-0000-0000971A0000}"/>
    <cellStyle name="Normal 2 52 6 6" xfId="5198" xr:uid="{00000000-0005-0000-0000-0000981A0000}"/>
    <cellStyle name="Normal 2 52 6 6 2" xfId="22969" xr:uid="{00000000-0005-0000-0000-0000991A0000}"/>
    <cellStyle name="Normal 2 52 6 7" xfId="5199" xr:uid="{00000000-0005-0000-0000-00009A1A0000}"/>
    <cellStyle name="Normal 2 52 6 7 2" xfId="22970" xr:uid="{00000000-0005-0000-0000-00009B1A0000}"/>
    <cellStyle name="Normal 2 52 6 8" xfId="5200" xr:uid="{00000000-0005-0000-0000-00009C1A0000}"/>
    <cellStyle name="Normal 2 52 6 8 2" xfId="22971" xr:uid="{00000000-0005-0000-0000-00009D1A0000}"/>
    <cellStyle name="Normal 2 52 6 9" xfId="5201" xr:uid="{00000000-0005-0000-0000-00009E1A0000}"/>
    <cellStyle name="Normal 2 52 6 9 2" xfId="22972" xr:uid="{00000000-0005-0000-0000-00009F1A0000}"/>
    <cellStyle name="Normal 2 52 7" xfId="5202" xr:uid="{00000000-0005-0000-0000-0000A01A0000}"/>
    <cellStyle name="Normal 2 52 7 10" xfId="5203" xr:uid="{00000000-0005-0000-0000-0000A11A0000}"/>
    <cellStyle name="Normal 2 52 7 10 2" xfId="22974" xr:uid="{00000000-0005-0000-0000-0000A21A0000}"/>
    <cellStyle name="Normal 2 52 7 11" xfId="5204" xr:uid="{00000000-0005-0000-0000-0000A31A0000}"/>
    <cellStyle name="Normal 2 52 7 11 2" xfId="22975" xr:uid="{00000000-0005-0000-0000-0000A41A0000}"/>
    <cellStyle name="Normal 2 52 7 12" xfId="5205" xr:uid="{00000000-0005-0000-0000-0000A51A0000}"/>
    <cellStyle name="Normal 2 52 7 12 2" xfId="22976" xr:uid="{00000000-0005-0000-0000-0000A61A0000}"/>
    <cellStyle name="Normal 2 52 7 13" xfId="5206" xr:uid="{00000000-0005-0000-0000-0000A71A0000}"/>
    <cellStyle name="Normal 2 52 7 13 2" xfId="22977" xr:uid="{00000000-0005-0000-0000-0000A81A0000}"/>
    <cellStyle name="Normal 2 52 7 14" xfId="5207" xr:uid="{00000000-0005-0000-0000-0000A91A0000}"/>
    <cellStyle name="Normal 2 52 7 14 2" xfId="22978" xr:uid="{00000000-0005-0000-0000-0000AA1A0000}"/>
    <cellStyle name="Normal 2 52 7 15" xfId="22973" xr:uid="{00000000-0005-0000-0000-0000AB1A0000}"/>
    <cellStyle name="Normal 2 52 7 2" xfId="5208" xr:uid="{00000000-0005-0000-0000-0000AC1A0000}"/>
    <cellStyle name="Normal 2 52 7 2 2" xfId="22979" xr:uid="{00000000-0005-0000-0000-0000AD1A0000}"/>
    <cellStyle name="Normal 2 52 7 3" xfId="5209" xr:uid="{00000000-0005-0000-0000-0000AE1A0000}"/>
    <cellStyle name="Normal 2 52 7 3 2" xfId="22980" xr:uid="{00000000-0005-0000-0000-0000AF1A0000}"/>
    <cellStyle name="Normal 2 52 7 4" xfId="5210" xr:uid="{00000000-0005-0000-0000-0000B01A0000}"/>
    <cellStyle name="Normal 2 52 7 4 2" xfId="22981" xr:uid="{00000000-0005-0000-0000-0000B11A0000}"/>
    <cellStyle name="Normal 2 52 7 5" xfId="5211" xr:uid="{00000000-0005-0000-0000-0000B21A0000}"/>
    <cellStyle name="Normal 2 52 7 5 2" xfId="22982" xr:uid="{00000000-0005-0000-0000-0000B31A0000}"/>
    <cellStyle name="Normal 2 52 7 6" xfId="5212" xr:uid="{00000000-0005-0000-0000-0000B41A0000}"/>
    <cellStyle name="Normal 2 52 7 6 2" xfId="22983" xr:uid="{00000000-0005-0000-0000-0000B51A0000}"/>
    <cellStyle name="Normal 2 52 7 7" xfId="5213" xr:uid="{00000000-0005-0000-0000-0000B61A0000}"/>
    <cellStyle name="Normal 2 52 7 7 2" xfId="22984" xr:uid="{00000000-0005-0000-0000-0000B71A0000}"/>
    <cellStyle name="Normal 2 52 7 8" xfId="5214" xr:uid="{00000000-0005-0000-0000-0000B81A0000}"/>
    <cellStyle name="Normal 2 52 7 8 2" xfId="22985" xr:uid="{00000000-0005-0000-0000-0000B91A0000}"/>
    <cellStyle name="Normal 2 52 7 9" xfId="5215" xr:uid="{00000000-0005-0000-0000-0000BA1A0000}"/>
    <cellStyle name="Normal 2 52 7 9 2" xfId="22986" xr:uid="{00000000-0005-0000-0000-0000BB1A0000}"/>
    <cellStyle name="Normal 2 52 8" xfId="5216" xr:uid="{00000000-0005-0000-0000-0000BC1A0000}"/>
    <cellStyle name="Normal 2 52 8 10" xfId="5217" xr:uid="{00000000-0005-0000-0000-0000BD1A0000}"/>
    <cellStyle name="Normal 2 52 8 10 2" xfId="22988" xr:uid="{00000000-0005-0000-0000-0000BE1A0000}"/>
    <cellStyle name="Normal 2 52 8 11" xfId="5218" xr:uid="{00000000-0005-0000-0000-0000BF1A0000}"/>
    <cellStyle name="Normal 2 52 8 11 2" xfId="22989" xr:uid="{00000000-0005-0000-0000-0000C01A0000}"/>
    <cellStyle name="Normal 2 52 8 12" xfId="5219" xr:uid="{00000000-0005-0000-0000-0000C11A0000}"/>
    <cellStyle name="Normal 2 52 8 12 2" xfId="22990" xr:uid="{00000000-0005-0000-0000-0000C21A0000}"/>
    <cellStyle name="Normal 2 52 8 13" xfId="5220" xr:uid="{00000000-0005-0000-0000-0000C31A0000}"/>
    <cellStyle name="Normal 2 52 8 13 2" xfId="22991" xr:uid="{00000000-0005-0000-0000-0000C41A0000}"/>
    <cellStyle name="Normal 2 52 8 14" xfId="5221" xr:uid="{00000000-0005-0000-0000-0000C51A0000}"/>
    <cellStyle name="Normal 2 52 8 14 2" xfId="22992" xr:uid="{00000000-0005-0000-0000-0000C61A0000}"/>
    <cellStyle name="Normal 2 52 8 15" xfId="22987" xr:uid="{00000000-0005-0000-0000-0000C71A0000}"/>
    <cellStyle name="Normal 2 52 8 2" xfId="5222" xr:uid="{00000000-0005-0000-0000-0000C81A0000}"/>
    <cellStyle name="Normal 2 52 8 2 2" xfId="22993" xr:uid="{00000000-0005-0000-0000-0000C91A0000}"/>
    <cellStyle name="Normal 2 52 8 3" xfId="5223" xr:uid="{00000000-0005-0000-0000-0000CA1A0000}"/>
    <cellStyle name="Normal 2 52 8 3 2" xfId="22994" xr:uid="{00000000-0005-0000-0000-0000CB1A0000}"/>
    <cellStyle name="Normal 2 52 8 4" xfId="5224" xr:uid="{00000000-0005-0000-0000-0000CC1A0000}"/>
    <cellStyle name="Normal 2 52 8 4 2" xfId="22995" xr:uid="{00000000-0005-0000-0000-0000CD1A0000}"/>
    <cellStyle name="Normal 2 52 8 5" xfId="5225" xr:uid="{00000000-0005-0000-0000-0000CE1A0000}"/>
    <cellStyle name="Normal 2 52 8 5 2" xfId="22996" xr:uid="{00000000-0005-0000-0000-0000CF1A0000}"/>
    <cellStyle name="Normal 2 52 8 6" xfId="5226" xr:uid="{00000000-0005-0000-0000-0000D01A0000}"/>
    <cellStyle name="Normal 2 52 8 6 2" xfId="22997" xr:uid="{00000000-0005-0000-0000-0000D11A0000}"/>
    <cellStyle name="Normal 2 52 8 7" xfId="5227" xr:uid="{00000000-0005-0000-0000-0000D21A0000}"/>
    <cellStyle name="Normal 2 52 8 7 2" xfId="22998" xr:uid="{00000000-0005-0000-0000-0000D31A0000}"/>
    <cellStyle name="Normal 2 52 8 8" xfId="5228" xr:uid="{00000000-0005-0000-0000-0000D41A0000}"/>
    <cellStyle name="Normal 2 52 8 8 2" xfId="22999" xr:uid="{00000000-0005-0000-0000-0000D51A0000}"/>
    <cellStyle name="Normal 2 52 8 9" xfId="5229" xr:uid="{00000000-0005-0000-0000-0000D61A0000}"/>
    <cellStyle name="Normal 2 52 8 9 2" xfId="23000" xr:uid="{00000000-0005-0000-0000-0000D71A0000}"/>
    <cellStyle name="Normal 2 52 9" xfId="5230" xr:uid="{00000000-0005-0000-0000-0000D81A0000}"/>
    <cellStyle name="Normal 2 52 9 10" xfId="5231" xr:uid="{00000000-0005-0000-0000-0000D91A0000}"/>
    <cellStyle name="Normal 2 52 9 10 2" xfId="23002" xr:uid="{00000000-0005-0000-0000-0000DA1A0000}"/>
    <cellStyle name="Normal 2 52 9 11" xfId="5232" xr:uid="{00000000-0005-0000-0000-0000DB1A0000}"/>
    <cellStyle name="Normal 2 52 9 11 2" xfId="23003" xr:uid="{00000000-0005-0000-0000-0000DC1A0000}"/>
    <cellStyle name="Normal 2 52 9 12" xfId="5233" xr:uid="{00000000-0005-0000-0000-0000DD1A0000}"/>
    <cellStyle name="Normal 2 52 9 12 2" xfId="23004" xr:uid="{00000000-0005-0000-0000-0000DE1A0000}"/>
    <cellStyle name="Normal 2 52 9 13" xfId="5234" xr:uid="{00000000-0005-0000-0000-0000DF1A0000}"/>
    <cellStyle name="Normal 2 52 9 13 2" xfId="23005" xr:uid="{00000000-0005-0000-0000-0000E01A0000}"/>
    <cellStyle name="Normal 2 52 9 14" xfId="5235" xr:uid="{00000000-0005-0000-0000-0000E11A0000}"/>
    <cellStyle name="Normal 2 52 9 14 2" xfId="23006" xr:uid="{00000000-0005-0000-0000-0000E21A0000}"/>
    <cellStyle name="Normal 2 52 9 15" xfId="23001" xr:uid="{00000000-0005-0000-0000-0000E31A0000}"/>
    <cellStyle name="Normal 2 52 9 2" xfId="5236" xr:uid="{00000000-0005-0000-0000-0000E41A0000}"/>
    <cellStyle name="Normal 2 52 9 2 2" xfId="23007" xr:uid="{00000000-0005-0000-0000-0000E51A0000}"/>
    <cellStyle name="Normal 2 52 9 3" xfId="5237" xr:uid="{00000000-0005-0000-0000-0000E61A0000}"/>
    <cellStyle name="Normal 2 52 9 3 2" xfId="23008" xr:uid="{00000000-0005-0000-0000-0000E71A0000}"/>
    <cellStyle name="Normal 2 52 9 4" xfId="5238" xr:uid="{00000000-0005-0000-0000-0000E81A0000}"/>
    <cellStyle name="Normal 2 52 9 4 2" xfId="23009" xr:uid="{00000000-0005-0000-0000-0000E91A0000}"/>
    <cellStyle name="Normal 2 52 9 5" xfId="5239" xr:uid="{00000000-0005-0000-0000-0000EA1A0000}"/>
    <cellStyle name="Normal 2 52 9 5 2" xfId="23010" xr:uid="{00000000-0005-0000-0000-0000EB1A0000}"/>
    <cellStyle name="Normal 2 52 9 6" xfId="5240" xr:uid="{00000000-0005-0000-0000-0000EC1A0000}"/>
    <cellStyle name="Normal 2 52 9 6 2" xfId="23011" xr:uid="{00000000-0005-0000-0000-0000ED1A0000}"/>
    <cellStyle name="Normal 2 52 9 7" xfId="5241" xr:uid="{00000000-0005-0000-0000-0000EE1A0000}"/>
    <cellStyle name="Normal 2 52 9 7 2" xfId="23012" xr:uid="{00000000-0005-0000-0000-0000EF1A0000}"/>
    <cellStyle name="Normal 2 52 9 8" xfId="5242" xr:uid="{00000000-0005-0000-0000-0000F01A0000}"/>
    <cellStyle name="Normal 2 52 9 8 2" xfId="23013" xr:uid="{00000000-0005-0000-0000-0000F11A0000}"/>
    <cellStyle name="Normal 2 52 9 9" xfId="5243" xr:uid="{00000000-0005-0000-0000-0000F21A0000}"/>
    <cellStyle name="Normal 2 52 9 9 2" xfId="23014" xr:uid="{00000000-0005-0000-0000-0000F31A0000}"/>
    <cellStyle name="Normal 2 53" xfId="5244" xr:uid="{00000000-0005-0000-0000-0000F41A0000}"/>
    <cellStyle name="Normal 2 53 10" xfId="5245" xr:uid="{00000000-0005-0000-0000-0000F51A0000}"/>
    <cellStyle name="Normal 2 53 10 10" xfId="5246" xr:uid="{00000000-0005-0000-0000-0000F61A0000}"/>
    <cellStyle name="Normal 2 53 10 10 2" xfId="23017" xr:uid="{00000000-0005-0000-0000-0000F71A0000}"/>
    <cellStyle name="Normal 2 53 10 11" xfId="5247" xr:uid="{00000000-0005-0000-0000-0000F81A0000}"/>
    <cellStyle name="Normal 2 53 10 11 2" xfId="23018" xr:uid="{00000000-0005-0000-0000-0000F91A0000}"/>
    <cellStyle name="Normal 2 53 10 12" xfId="5248" xr:uid="{00000000-0005-0000-0000-0000FA1A0000}"/>
    <cellStyle name="Normal 2 53 10 12 2" xfId="23019" xr:uid="{00000000-0005-0000-0000-0000FB1A0000}"/>
    <cellStyle name="Normal 2 53 10 13" xfId="5249" xr:uid="{00000000-0005-0000-0000-0000FC1A0000}"/>
    <cellStyle name="Normal 2 53 10 13 2" xfId="23020" xr:uid="{00000000-0005-0000-0000-0000FD1A0000}"/>
    <cellStyle name="Normal 2 53 10 14" xfId="5250" xr:uid="{00000000-0005-0000-0000-0000FE1A0000}"/>
    <cellStyle name="Normal 2 53 10 14 2" xfId="23021" xr:uid="{00000000-0005-0000-0000-0000FF1A0000}"/>
    <cellStyle name="Normal 2 53 10 15" xfId="23016" xr:uid="{00000000-0005-0000-0000-0000001B0000}"/>
    <cellStyle name="Normal 2 53 10 2" xfId="5251" xr:uid="{00000000-0005-0000-0000-0000011B0000}"/>
    <cellStyle name="Normal 2 53 10 2 2" xfId="23022" xr:uid="{00000000-0005-0000-0000-0000021B0000}"/>
    <cellStyle name="Normal 2 53 10 3" xfId="5252" xr:uid="{00000000-0005-0000-0000-0000031B0000}"/>
    <cellStyle name="Normal 2 53 10 3 2" xfId="23023" xr:uid="{00000000-0005-0000-0000-0000041B0000}"/>
    <cellStyle name="Normal 2 53 10 4" xfId="5253" xr:uid="{00000000-0005-0000-0000-0000051B0000}"/>
    <cellStyle name="Normal 2 53 10 4 2" xfId="23024" xr:uid="{00000000-0005-0000-0000-0000061B0000}"/>
    <cellStyle name="Normal 2 53 10 5" xfId="5254" xr:uid="{00000000-0005-0000-0000-0000071B0000}"/>
    <cellStyle name="Normal 2 53 10 5 2" xfId="23025" xr:uid="{00000000-0005-0000-0000-0000081B0000}"/>
    <cellStyle name="Normal 2 53 10 6" xfId="5255" xr:uid="{00000000-0005-0000-0000-0000091B0000}"/>
    <cellStyle name="Normal 2 53 10 6 2" xfId="23026" xr:uid="{00000000-0005-0000-0000-00000A1B0000}"/>
    <cellStyle name="Normal 2 53 10 7" xfId="5256" xr:uid="{00000000-0005-0000-0000-00000B1B0000}"/>
    <cellStyle name="Normal 2 53 10 7 2" xfId="23027" xr:uid="{00000000-0005-0000-0000-00000C1B0000}"/>
    <cellStyle name="Normal 2 53 10 8" xfId="5257" xr:uid="{00000000-0005-0000-0000-00000D1B0000}"/>
    <cellStyle name="Normal 2 53 10 8 2" xfId="23028" xr:uid="{00000000-0005-0000-0000-00000E1B0000}"/>
    <cellStyle name="Normal 2 53 10 9" xfId="5258" xr:uid="{00000000-0005-0000-0000-00000F1B0000}"/>
    <cellStyle name="Normal 2 53 10 9 2" xfId="23029" xr:uid="{00000000-0005-0000-0000-0000101B0000}"/>
    <cellStyle name="Normal 2 53 11" xfId="5259" xr:uid="{00000000-0005-0000-0000-0000111B0000}"/>
    <cellStyle name="Normal 2 53 11 2" xfId="23030" xr:uid="{00000000-0005-0000-0000-0000121B0000}"/>
    <cellStyle name="Normal 2 53 12" xfId="5260" xr:uid="{00000000-0005-0000-0000-0000131B0000}"/>
    <cellStyle name="Normal 2 53 12 2" xfId="23031" xr:uid="{00000000-0005-0000-0000-0000141B0000}"/>
    <cellStyle name="Normal 2 53 13" xfId="5261" xr:uid="{00000000-0005-0000-0000-0000151B0000}"/>
    <cellStyle name="Normal 2 53 13 2" xfId="23032" xr:uid="{00000000-0005-0000-0000-0000161B0000}"/>
    <cellStyle name="Normal 2 53 14" xfId="5262" xr:uid="{00000000-0005-0000-0000-0000171B0000}"/>
    <cellStyle name="Normal 2 53 14 2" xfId="23033" xr:uid="{00000000-0005-0000-0000-0000181B0000}"/>
    <cellStyle name="Normal 2 53 15" xfId="5263" xr:uid="{00000000-0005-0000-0000-0000191B0000}"/>
    <cellStyle name="Normal 2 53 15 2" xfId="23034" xr:uid="{00000000-0005-0000-0000-00001A1B0000}"/>
    <cellStyle name="Normal 2 53 16" xfId="5264" xr:uid="{00000000-0005-0000-0000-00001B1B0000}"/>
    <cellStyle name="Normal 2 53 16 2" xfId="23035" xr:uid="{00000000-0005-0000-0000-00001C1B0000}"/>
    <cellStyle name="Normal 2 53 17" xfId="5265" xr:uid="{00000000-0005-0000-0000-00001D1B0000}"/>
    <cellStyle name="Normal 2 53 17 2" xfId="23036" xr:uid="{00000000-0005-0000-0000-00001E1B0000}"/>
    <cellStyle name="Normal 2 53 18" xfId="5266" xr:uid="{00000000-0005-0000-0000-00001F1B0000}"/>
    <cellStyle name="Normal 2 53 18 2" xfId="23037" xr:uid="{00000000-0005-0000-0000-0000201B0000}"/>
    <cellStyle name="Normal 2 53 19" xfId="5267" xr:uid="{00000000-0005-0000-0000-0000211B0000}"/>
    <cellStyle name="Normal 2 53 19 2" xfId="23038" xr:uid="{00000000-0005-0000-0000-0000221B0000}"/>
    <cellStyle name="Normal 2 53 2" xfId="5268" xr:uid="{00000000-0005-0000-0000-0000231B0000}"/>
    <cellStyle name="Normal 2 53 2 10" xfId="5269" xr:uid="{00000000-0005-0000-0000-0000241B0000}"/>
    <cellStyle name="Normal 2 53 2 10 2" xfId="23040" xr:uid="{00000000-0005-0000-0000-0000251B0000}"/>
    <cellStyle name="Normal 2 53 2 11" xfId="5270" xr:uid="{00000000-0005-0000-0000-0000261B0000}"/>
    <cellStyle name="Normal 2 53 2 11 2" xfId="23041" xr:uid="{00000000-0005-0000-0000-0000271B0000}"/>
    <cellStyle name="Normal 2 53 2 12" xfId="5271" xr:uid="{00000000-0005-0000-0000-0000281B0000}"/>
    <cellStyle name="Normal 2 53 2 12 2" xfId="23042" xr:uid="{00000000-0005-0000-0000-0000291B0000}"/>
    <cellStyle name="Normal 2 53 2 13" xfId="5272" xr:uid="{00000000-0005-0000-0000-00002A1B0000}"/>
    <cellStyle name="Normal 2 53 2 13 2" xfId="23043" xr:uid="{00000000-0005-0000-0000-00002B1B0000}"/>
    <cellStyle name="Normal 2 53 2 14" xfId="5273" xr:uid="{00000000-0005-0000-0000-00002C1B0000}"/>
    <cellStyle name="Normal 2 53 2 14 2" xfId="23044" xr:uid="{00000000-0005-0000-0000-00002D1B0000}"/>
    <cellStyle name="Normal 2 53 2 15" xfId="5274" xr:uid="{00000000-0005-0000-0000-00002E1B0000}"/>
    <cellStyle name="Normal 2 53 2 15 2" xfId="23045" xr:uid="{00000000-0005-0000-0000-00002F1B0000}"/>
    <cellStyle name="Normal 2 53 2 16" xfId="23039" xr:uid="{00000000-0005-0000-0000-0000301B0000}"/>
    <cellStyle name="Normal 2 53 2 2" xfId="5275" xr:uid="{00000000-0005-0000-0000-0000311B0000}"/>
    <cellStyle name="Normal 2 53 2 2 10" xfId="5276" xr:uid="{00000000-0005-0000-0000-0000321B0000}"/>
    <cellStyle name="Normal 2 53 2 2 10 2" xfId="23047" xr:uid="{00000000-0005-0000-0000-0000331B0000}"/>
    <cellStyle name="Normal 2 53 2 2 11" xfId="5277" xr:uid="{00000000-0005-0000-0000-0000341B0000}"/>
    <cellStyle name="Normal 2 53 2 2 11 2" xfId="23048" xr:uid="{00000000-0005-0000-0000-0000351B0000}"/>
    <cellStyle name="Normal 2 53 2 2 12" xfId="5278" xr:uid="{00000000-0005-0000-0000-0000361B0000}"/>
    <cellStyle name="Normal 2 53 2 2 12 2" xfId="23049" xr:uid="{00000000-0005-0000-0000-0000371B0000}"/>
    <cellStyle name="Normal 2 53 2 2 13" xfId="5279" xr:uid="{00000000-0005-0000-0000-0000381B0000}"/>
    <cellStyle name="Normal 2 53 2 2 13 2" xfId="23050" xr:uid="{00000000-0005-0000-0000-0000391B0000}"/>
    <cellStyle name="Normal 2 53 2 2 14" xfId="5280" xr:uid="{00000000-0005-0000-0000-00003A1B0000}"/>
    <cellStyle name="Normal 2 53 2 2 14 2" xfId="23051" xr:uid="{00000000-0005-0000-0000-00003B1B0000}"/>
    <cellStyle name="Normal 2 53 2 2 15" xfId="23046" xr:uid="{00000000-0005-0000-0000-00003C1B0000}"/>
    <cellStyle name="Normal 2 53 2 2 2" xfId="5281" xr:uid="{00000000-0005-0000-0000-00003D1B0000}"/>
    <cellStyle name="Normal 2 53 2 2 2 2" xfId="23052" xr:uid="{00000000-0005-0000-0000-00003E1B0000}"/>
    <cellStyle name="Normal 2 53 2 2 3" xfId="5282" xr:uid="{00000000-0005-0000-0000-00003F1B0000}"/>
    <cellStyle name="Normal 2 53 2 2 3 2" xfId="23053" xr:uid="{00000000-0005-0000-0000-0000401B0000}"/>
    <cellStyle name="Normal 2 53 2 2 4" xfId="5283" xr:uid="{00000000-0005-0000-0000-0000411B0000}"/>
    <cellStyle name="Normal 2 53 2 2 4 2" xfId="23054" xr:uid="{00000000-0005-0000-0000-0000421B0000}"/>
    <cellStyle name="Normal 2 53 2 2 5" xfId="5284" xr:uid="{00000000-0005-0000-0000-0000431B0000}"/>
    <cellStyle name="Normal 2 53 2 2 5 2" xfId="23055" xr:uid="{00000000-0005-0000-0000-0000441B0000}"/>
    <cellStyle name="Normal 2 53 2 2 6" xfId="5285" xr:uid="{00000000-0005-0000-0000-0000451B0000}"/>
    <cellStyle name="Normal 2 53 2 2 6 2" xfId="23056" xr:uid="{00000000-0005-0000-0000-0000461B0000}"/>
    <cellStyle name="Normal 2 53 2 2 7" xfId="5286" xr:uid="{00000000-0005-0000-0000-0000471B0000}"/>
    <cellStyle name="Normal 2 53 2 2 7 2" xfId="23057" xr:uid="{00000000-0005-0000-0000-0000481B0000}"/>
    <cellStyle name="Normal 2 53 2 2 8" xfId="5287" xr:uid="{00000000-0005-0000-0000-0000491B0000}"/>
    <cellStyle name="Normal 2 53 2 2 8 2" xfId="23058" xr:uid="{00000000-0005-0000-0000-00004A1B0000}"/>
    <cellStyle name="Normal 2 53 2 2 9" xfId="5288" xr:uid="{00000000-0005-0000-0000-00004B1B0000}"/>
    <cellStyle name="Normal 2 53 2 2 9 2" xfId="23059" xr:uid="{00000000-0005-0000-0000-00004C1B0000}"/>
    <cellStyle name="Normal 2 53 2 3" xfId="5289" xr:uid="{00000000-0005-0000-0000-00004D1B0000}"/>
    <cellStyle name="Normal 2 53 2 3 2" xfId="23060" xr:uid="{00000000-0005-0000-0000-00004E1B0000}"/>
    <cellStyle name="Normal 2 53 2 4" xfId="5290" xr:uid="{00000000-0005-0000-0000-00004F1B0000}"/>
    <cellStyle name="Normal 2 53 2 4 2" xfId="23061" xr:uid="{00000000-0005-0000-0000-0000501B0000}"/>
    <cellStyle name="Normal 2 53 2 5" xfId="5291" xr:uid="{00000000-0005-0000-0000-0000511B0000}"/>
    <cellStyle name="Normal 2 53 2 5 2" xfId="23062" xr:uid="{00000000-0005-0000-0000-0000521B0000}"/>
    <cellStyle name="Normal 2 53 2 6" xfId="5292" xr:uid="{00000000-0005-0000-0000-0000531B0000}"/>
    <cellStyle name="Normal 2 53 2 6 2" xfId="23063" xr:uid="{00000000-0005-0000-0000-0000541B0000}"/>
    <cellStyle name="Normal 2 53 2 7" xfId="5293" xr:uid="{00000000-0005-0000-0000-0000551B0000}"/>
    <cellStyle name="Normal 2 53 2 7 2" xfId="23064" xr:uid="{00000000-0005-0000-0000-0000561B0000}"/>
    <cellStyle name="Normal 2 53 2 8" xfId="5294" xr:uid="{00000000-0005-0000-0000-0000571B0000}"/>
    <cellStyle name="Normal 2 53 2 8 2" xfId="23065" xr:uid="{00000000-0005-0000-0000-0000581B0000}"/>
    <cellStyle name="Normal 2 53 2 9" xfId="5295" xr:uid="{00000000-0005-0000-0000-0000591B0000}"/>
    <cellStyle name="Normal 2 53 2 9 2" xfId="23066" xr:uid="{00000000-0005-0000-0000-00005A1B0000}"/>
    <cellStyle name="Normal 2 53 20" xfId="5296" xr:uid="{00000000-0005-0000-0000-00005B1B0000}"/>
    <cellStyle name="Normal 2 53 20 2" xfId="23067" xr:uid="{00000000-0005-0000-0000-00005C1B0000}"/>
    <cellStyle name="Normal 2 53 21" xfId="5297" xr:uid="{00000000-0005-0000-0000-00005D1B0000}"/>
    <cellStyle name="Normal 2 53 21 2" xfId="23068" xr:uid="{00000000-0005-0000-0000-00005E1B0000}"/>
    <cellStyle name="Normal 2 53 22" xfId="5298" xr:uid="{00000000-0005-0000-0000-00005F1B0000}"/>
    <cellStyle name="Normal 2 53 22 2" xfId="23069" xr:uid="{00000000-0005-0000-0000-0000601B0000}"/>
    <cellStyle name="Normal 2 53 23" xfId="5299" xr:uid="{00000000-0005-0000-0000-0000611B0000}"/>
    <cellStyle name="Normal 2 53 23 2" xfId="23070" xr:uid="{00000000-0005-0000-0000-0000621B0000}"/>
    <cellStyle name="Normal 2 53 24" xfId="23015" xr:uid="{00000000-0005-0000-0000-0000631B0000}"/>
    <cellStyle name="Normal 2 53 3" xfId="5300" xr:uid="{00000000-0005-0000-0000-0000641B0000}"/>
    <cellStyle name="Normal 2 53 3 10" xfId="5301" xr:uid="{00000000-0005-0000-0000-0000651B0000}"/>
    <cellStyle name="Normal 2 53 3 10 2" xfId="23072" xr:uid="{00000000-0005-0000-0000-0000661B0000}"/>
    <cellStyle name="Normal 2 53 3 11" xfId="5302" xr:uid="{00000000-0005-0000-0000-0000671B0000}"/>
    <cellStyle name="Normal 2 53 3 11 2" xfId="23073" xr:uid="{00000000-0005-0000-0000-0000681B0000}"/>
    <cellStyle name="Normal 2 53 3 12" xfId="5303" xr:uid="{00000000-0005-0000-0000-0000691B0000}"/>
    <cellStyle name="Normal 2 53 3 12 2" xfId="23074" xr:uid="{00000000-0005-0000-0000-00006A1B0000}"/>
    <cellStyle name="Normal 2 53 3 13" xfId="5304" xr:uid="{00000000-0005-0000-0000-00006B1B0000}"/>
    <cellStyle name="Normal 2 53 3 13 2" xfId="23075" xr:uid="{00000000-0005-0000-0000-00006C1B0000}"/>
    <cellStyle name="Normal 2 53 3 14" xfId="5305" xr:uid="{00000000-0005-0000-0000-00006D1B0000}"/>
    <cellStyle name="Normal 2 53 3 14 2" xfId="23076" xr:uid="{00000000-0005-0000-0000-00006E1B0000}"/>
    <cellStyle name="Normal 2 53 3 15" xfId="5306" xr:uid="{00000000-0005-0000-0000-00006F1B0000}"/>
    <cellStyle name="Normal 2 53 3 15 2" xfId="23077" xr:uid="{00000000-0005-0000-0000-0000701B0000}"/>
    <cellStyle name="Normal 2 53 3 16" xfId="23071" xr:uid="{00000000-0005-0000-0000-0000711B0000}"/>
    <cellStyle name="Normal 2 53 3 2" xfId="5307" xr:uid="{00000000-0005-0000-0000-0000721B0000}"/>
    <cellStyle name="Normal 2 53 3 2 10" xfId="5308" xr:uid="{00000000-0005-0000-0000-0000731B0000}"/>
    <cellStyle name="Normal 2 53 3 2 10 2" xfId="23079" xr:uid="{00000000-0005-0000-0000-0000741B0000}"/>
    <cellStyle name="Normal 2 53 3 2 11" xfId="5309" xr:uid="{00000000-0005-0000-0000-0000751B0000}"/>
    <cellStyle name="Normal 2 53 3 2 11 2" xfId="23080" xr:uid="{00000000-0005-0000-0000-0000761B0000}"/>
    <cellStyle name="Normal 2 53 3 2 12" xfId="5310" xr:uid="{00000000-0005-0000-0000-0000771B0000}"/>
    <cellStyle name="Normal 2 53 3 2 12 2" xfId="23081" xr:uid="{00000000-0005-0000-0000-0000781B0000}"/>
    <cellStyle name="Normal 2 53 3 2 13" xfId="5311" xr:uid="{00000000-0005-0000-0000-0000791B0000}"/>
    <cellStyle name="Normal 2 53 3 2 13 2" xfId="23082" xr:uid="{00000000-0005-0000-0000-00007A1B0000}"/>
    <cellStyle name="Normal 2 53 3 2 14" xfId="5312" xr:uid="{00000000-0005-0000-0000-00007B1B0000}"/>
    <cellStyle name="Normal 2 53 3 2 14 2" xfId="23083" xr:uid="{00000000-0005-0000-0000-00007C1B0000}"/>
    <cellStyle name="Normal 2 53 3 2 15" xfId="23078" xr:uid="{00000000-0005-0000-0000-00007D1B0000}"/>
    <cellStyle name="Normal 2 53 3 2 2" xfId="5313" xr:uid="{00000000-0005-0000-0000-00007E1B0000}"/>
    <cellStyle name="Normal 2 53 3 2 2 2" xfId="23084" xr:uid="{00000000-0005-0000-0000-00007F1B0000}"/>
    <cellStyle name="Normal 2 53 3 2 3" xfId="5314" xr:uid="{00000000-0005-0000-0000-0000801B0000}"/>
    <cellStyle name="Normal 2 53 3 2 3 2" xfId="23085" xr:uid="{00000000-0005-0000-0000-0000811B0000}"/>
    <cellStyle name="Normal 2 53 3 2 4" xfId="5315" xr:uid="{00000000-0005-0000-0000-0000821B0000}"/>
    <cellStyle name="Normal 2 53 3 2 4 2" xfId="23086" xr:uid="{00000000-0005-0000-0000-0000831B0000}"/>
    <cellStyle name="Normal 2 53 3 2 5" xfId="5316" xr:uid="{00000000-0005-0000-0000-0000841B0000}"/>
    <cellStyle name="Normal 2 53 3 2 5 2" xfId="23087" xr:uid="{00000000-0005-0000-0000-0000851B0000}"/>
    <cellStyle name="Normal 2 53 3 2 6" xfId="5317" xr:uid="{00000000-0005-0000-0000-0000861B0000}"/>
    <cellStyle name="Normal 2 53 3 2 6 2" xfId="23088" xr:uid="{00000000-0005-0000-0000-0000871B0000}"/>
    <cellStyle name="Normal 2 53 3 2 7" xfId="5318" xr:uid="{00000000-0005-0000-0000-0000881B0000}"/>
    <cellStyle name="Normal 2 53 3 2 7 2" xfId="23089" xr:uid="{00000000-0005-0000-0000-0000891B0000}"/>
    <cellStyle name="Normal 2 53 3 2 8" xfId="5319" xr:uid="{00000000-0005-0000-0000-00008A1B0000}"/>
    <cellStyle name="Normal 2 53 3 2 8 2" xfId="23090" xr:uid="{00000000-0005-0000-0000-00008B1B0000}"/>
    <cellStyle name="Normal 2 53 3 2 9" xfId="5320" xr:uid="{00000000-0005-0000-0000-00008C1B0000}"/>
    <cellStyle name="Normal 2 53 3 2 9 2" xfId="23091" xr:uid="{00000000-0005-0000-0000-00008D1B0000}"/>
    <cellStyle name="Normal 2 53 3 3" xfId="5321" xr:uid="{00000000-0005-0000-0000-00008E1B0000}"/>
    <cellStyle name="Normal 2 53 3 3 2" xfId="23092" xr:uid="{00000000-0005-0000-0000-00008F1B0000}"/>
    <cellStyle name="Normal 2 53 3 4" xfId="5322" xr:uid="{00000000-0005-0000-0000-0000901B0000}"/>
    <cellStyle name="Normal 2 53 3 4 2" xfId="23093" xr:uid="{00000000-0005-0000-0000-0000911B0000}"/>
    <cellStyle name="Normal 2 53 3 5" xfId="5323" xr:uid="{00000000-0005-0000-0000-0000921B0000}"/>
    <cellStyle name="Normal 2 53 3 5 2" xfId="23094" xr:uid="{00000000-0005-0000-0000-0000931B0000}"/>
    <cellStyle name="Normal 2 53 3 6" xfId="5324" xr:uid="{00000000-0005-0000-0000-0000941B0000}"/>
    <cellStyle name="Normal 2 53 3 6 2" xfId="23095" xr:uid="{00000000-0005-0000-0000-0000951B0000}"/>
    <cellStyle name="Normal 2 53 3 7" xfId="5325" xr:uid="{00000000-0005-0000-0000-0000961B0000}"/>
    <cellStyle name="Normal 2 53 3 7 2" xfId="23096" xr:uid="{00000000-0005-0000-0000-0000971B0000}"/>
    <cellStyle name="Normal 2 53 3 8" xfId="5326" xr:uid="{00000000-0005-0000-0000-0000981B0000}"/>
    <cellStyle name="Normal 2 53 3 8 2" xfId="23097" xr:uid="{00000000-0005-0000-0000-0000991B0000}"/>
    <cellStyle name="Normal 2 53 3 9" xfId="5327" xr:uid="{00000000-0005-0000-0000-00009A1B0000}"/>
    <cellStyle name="Normal 2 53 3 9 2" xfId="23098" xr:uid="{00000000-0005-0000-0000-00009B1B0000}"/>
    <cellStyle name="Normal 2 53 4" xfId="5328" xr:uid="{00000000-0005-0000-0000-00009C1B0000}"/>
    <cellStyle name="Normal 2 53 4 10" xfId="5329" xr:uid="{00000000-0005-0000-0000-00009D1B0000}"/>
    <cellStyle name="Normal 2 53 4 10 2" xfId="23100" xr:uid="{00000000-0005-0000-0000-00009E1B0000}"/>
    <cellStyle name="Normal 2 53 4 11" xfId="5330" xr:uid="{00000000-0005-0000-0000-00009F1B0000}"/>
    <cellStyle name="Normal 2 53 4 11 2" xfId="23101" xr:uid="{00000000-0005-0000-0000-0000A01B0000}"/>
    <cellStyle name="Normal 2 53 4 12" xfId="5331" xr:uid="{00000000-0005-0000-0000-0000A11B0000}"/>
    <cellStyle name="Normal 2 53 4 12 2" xfId="23102" xr:uid="{00000000-0005-0000-0000-0000A21B0000}"/>
    <cellStyle name="Normal 2 53 4 13" xfId="5332" xr:uid="{00000000-0005-0000-0000-0000A31B0000}"/>
    <cellStyle name="Normal 2 53 4 13 2" xfId="23103" xr:uid="{00000000-0005-0000-0000-0000A41B0000}"/>
    <cellStyle name="Normal 2 53 4 14" xfId="5333" xr:uid="{00000000-0005-0000-0000-0000A51B0000}"/>
    <cellStyle name="Normal 2 53 4 14 2" xfId="23104" xr:uid="{00000000-0005-0000-0000-0000A61B0000}"/>
    <cellStyle name="Normal 2 53 4 15" xfId="5334" xr:uid="{00000000-0005-0000-0000-0000A71B0000}"/>
    <cellStyle name="Normal 2 53 4 15 2" xfId="23105" xr:uid="{00000000-0005-0000-0000-0000A81B0000}"/>
    <cellStyle name="Normal 2 53 4 16" xfId="23099" xr:uid="{00000000-0005-0000-0000-0000A91B0000}"/>
    <cellStyle name="Normal 2 53 4 2" xfId="5335" xr:uid="{00000000-0005-0000-0000-0000AA1B0000}"/>
    <cellStyle name="Normal 2 53 4 2 10" xfId="5336" xr:uid="{00000000-0005-0000-0000-0000AB1B0000}"/>
    <cellStyle name="Normal 2 53 4 2 10 2" xfId="23107" xr:uid="{00000000-0005-0000-0000-0000AC1B0000}"/>
    <cellStyle name="Normal 2 53 4 2 11" xfId="5337" xr:uid="{00000000-0005-0000-0000-0000AD1B0000}"/>
    <cellStyle name="Normal 2 53 4 2 11 2" xfId="23108" xr:uid="{00000000-0005-0000-0000-0000AE1B0000}"/>
    <cellStyle name="Normal 2 53 4 2 12" xfId="5338" xr:uid="{00000000-0005-0000-0000-0000AF1B0000}"/>
    <cellStyle name="Normal 2 53 4 2 12 2" xfId="23109" xr:uid="{00000000-0005-0000-0000-0000B01B0000}"/>
    <cellStyle name="Normal 2 53 4 2 13" xfId="5339" xr:uid="{00000000-0005-0000-0000-0000B11B0000}"/>
    <cellStyle name="Normal 2 53 4 2 13 2" xfId="23110" xr:uid="{00000000-0005-0000-0000-0000B21B0000}"/>
    <cellStyle name="Normal 2 53 4 2 14" xfId="5340" xr:uid="{00000000-0005-0000-0000-0000B31B0000}"/>
    <cellStyle name="Normal 2 53 4 2 14 2" xfId="23111" xr:uid="{00000000-0005-0000-0000-0000B41B0000}"/>
    <cellStyle name="Normal 2 53 4 2 15" xfId="23106" xr:uid="{00000000-0005-0000-0000-0000B51B0000}"/>
    <cellStyle name="Normal 2 53 4 2 2" xfId="5341" xr:uid="{00000000-0005-0000-0000-0000B61B0000}"/>
    <cellStyle name="Normal 2 53 4 2 2 2" xfId="23112" xr:uid="{00000000-0005-0000-0000-0000B71B0000}"/>
    <cellStyle name="Normal 2 53 4 2 3" xfId="5342" xr:uid="{00000000-0005-0000-0000-0000B81B0000}"/>
    <cellStyle name="Normal 2 53 4 2 3 2" xfId="23113" xr:uid="{00000000-0005-0000-0000-0000B91B0000}"/>
    <cellStyle name="Normal 2 53 4 2 4" xfId="5343" xr:uid="{00000000-0005-0000-0000-0000BA1B0000}"/>
    <cellStyle name="Normal 2 53 4 2 4 2" xfId="23114" xr:uid="{00000000-0005-0000-0000-0000BB1B0000}"/>
    <cellStyle name="Normal 2 53 4 2 5" xfId="5344" xr:uid="{00000000-0005-0000-0000-0000BC1B0000}"/>
    <cellStyle name="Normal 2 53 4 2 5 2" xfId="23115" xr:uid="{00000000-0005-0000-0000-0000BD1B0000}"/>
    <cellStyle name="Normal 2 53 4 2 6" xfId="5345" xr:uid="{00000000-0005-0000-0000-0000BE1B0000}"/>
    <cellStyle name="Normal 2 53 4 2 6 2" xfId="23116" xr:uid="{00000000-0005-0000-0000-0000BF1B0000}"/>
    <cellStyle name="Normal 2 53 4 2 7" xfId="5346" xr:uid="{00000000-0005-0000-0000-0000C01B0000}"/>
    <cellStyle name="Normal 2 53 4 2 7 2" xfId="23117" xr:uid="{00000000-0005-0000-0000-0000C11B0000}"/>
    <cellStyle name="Normal 2 53 4 2 8" xfId="5347" xr:uid="{00000000-0005-0000-0000-0000C21B0000}"/>
    <cellStyle name="Normal 2 53 4 2 8 2" xfId="23118" xr:uid="{00000000-0005-0000-0000-0000C31B0000}"/>
    <cellStyle name="Normal 2 53 4 2 9" xfId="5348" xr:uid="{00000000-0005-0000-0000-0000C41B0000}"/>
    <cellStyle name="Normal 2 53 4 2 9 2" xfId="23119" xr:uid="{00000000-0005-0000-0000-0000C51B0000}"/>
    <cellStyle name="Normal 2 53 4 3" xfId="5349" xr:uid="{00000000-0005-0000-0000-0000C61B0000}"/>
    <cellStyle name="Normal 2 53 4 3 2" xfId="23120" xr:uid="{00000000-0005-0000-0000-0000C71B0000}"/>
    <cellStyle name="Normal 2 53 4 4" xfId="5350" xr:uid="{00000000-0005-0000-0000-0000C81B0000}"/>
    <cellStyle name="Normal 2 53 4 4 2" xfId="23121" xr:uid="{00000000-0005-0000-0000-0000C91B0000}"/>
    <cellStyle name="Normal 2 53 4 5" xfId="5351" xr:uid="{00000000-0005-0000-0000-0000CA1B0000}"/>
    <cellStyle name="Normal 2 53 4 5 2" xfId="23122" xr:uid="{00000000-0005-0000-0000-0000CB1B0000}"/>
    <cellStyle name="Normal 2 53 4 6" xfId="5352" xr:uid="{00000000-0005-0000-0000-0000CC1B0000}"/>
    <cellStyle name="Normal 2 53 4 6 2" xfId="23123" xr:uid="{00000000-0005-0000-0000-0000CD1B0000}"/>
    <cellStyle name="Normal 2 53 4 7" xfId="5353" xr:uid="{00000000-0005-0000-0000-0000CE1B0000}"/>
    <cellStyle name="Normal 2 53 4 7 2" xfId="23124" xr:uid="{00000000-0005-0000-0000-0000CF1B0000}"/>
    <cellStyle name="Normal 2 53 4 8" xfId="5354" xr:uid="{00000000-0005-0000-0000-0000D01B0000}"/>
    <cellStyle name="Normal 2 53 4 8 2" xfId="23125" xr:uid="{00000000-0005-0000-0000-0000D11B0000}"/>
    <cellStyle name="Normal 2 53 4 9" xfId="5355" xr:uid="{00000000-0005-0000-0000-0000D21B0000}"/>
    <cellStyle name="Normal 2 53 4 9 2" xfId="23126" xr:uid="{00000000-0005-0000-0000-0000D31B0000}"/>
    <cellStyle name="Normal 2 53 5" xfId="5356" xr:uid="{00000000-0005-0000-0000-0000D41B0000}"/>
    <cellStyle name="Normal 2 53 5 10" xfId="5357" xr:uid="{00000000-0005-0000-0000-0000D51B0000}"/>
    <cellStyle name="Normal 2 53 5 10 2" xfId="23128" xr:uid="{00000000-0005-0000-0000-0000D61B0000}"/>
    <cellStyle name="Normal 2 53 5 11" xfId="5358" xr:uid="{00000000-0005-0000-0000-0000D71B0000}"/>
    <cellStyle name="Normal 2 53 5 11 2" xfId="23129" xr:uid="{00000000-0005-0000-0000-0000D81B0000}"/>
    <cellStyle name="Normal 2 53 5 12" xfId="5359" xr:uid="{00000000-0005-0000-0000-0000D91B0000}"/>
    <cellStyle name="Normal 2 53 5 12 2" xfId="23130" xr:uid="{00000000-0005-0000-0000-0000DA1B0000}"/>
    <cellStyle name="Normal 2 53 5 13" xfId="5360" xr:uid="{00000000-0005-0000-0000-0000DB1B0000}"/>
    <cellStyle name="Normal 2 53 5 13 2" xfId="23131" xr:uid="{00000000-0005-0000-0000-0000DC1B0000}"/>
    <cellStyle name="Normal 2 53 5 14" xfId="5361" xr:uid="{00000000-0005-0000-0000-0000DD1B0000}"/>
    <cellStyle name="Normal 2 53 5 14 2" xfId="23132" xr:uid="{00000000-0005-0000-0000-0000DE1B0000}"/>
    <cellStyle name="Normal 2 53 5 15" xfId="23127" xr:uid="{00000000-0005-0000-0000-0000DF1B0000}"/>
    <cellStyle name="Normal 2 53 5 2" xfId="5362" xr:uid="{00000000-0005-0000-0000-0000E01B0000}"/>
    <cellStyle name="Normal 2 53 5 2 2" xfId="23133" xr:uid="{00000000-0005-0000-0000-0000E11B0000}"/>
    <cellStyle name="Normal 2 53 5 3" xfId="5363" xr:uid="{00000000-0005-0000-0000-0000E21B0000}"/>
    <cellStyle name="Normal 2 53 5 3 2" xfId="23134" xr:uid="{00000000-0005-0000-0000-0000E31B0000}"/>
    <cellStyle name="Normal 2 53 5 4" xfId="5364" xr:uid="{00000000-0005-0000-0000-0000E41B0000}"/>
    <cellStyle name="Normal 2 53 5 4 2" xfId="23135" xr:uid="{00000000-0005-0000-0000-0000E51B0000}"/>
    <cellStyle name="Normal 2 53 5 5" xfId="5365" xr:uid="{00000000-0005-0000-0000-0000E61B0000}"/>
    <cellStyle name="Normal 2 53 5 5 2" xfId="23136" xr:uid="{00000000-0005-0000-0000-0000E71B0000}"/>
    <cellStyle name="Normal 2 53 5 6" xfId="5366" xr:uid="{00000000-0005-0000-0000-0000E81B0000}"/>
    <cellStyle name="Normal 2 53 5 6 2" xfId="23137" xr:uid="{00000000-0005-0000-0000-0000E91B0000}"/>
    <cellStyle name="Normal 2 53 5 7" xfId="5367" xr:uid="{00000000-0005-0000-0000-0000EA1B0000}"/>
    <cellStyle name="Normal 2 53 5 7 2" xfId="23138" xr:uid="{00000000-0005-0000-0000-0000EB1B0000}"/>
    <cellStyle name="Normal 2 53 5 8" xfId="5368" xr:uid="{00000000-0005-0000-0000-0000EC1B0000}"/>
    <cellStyle name="Normal 2 53 5 8 2" xfId="23139" xr:uid="{00000000-0005-0000-0000-0000ED1B0000}"/>
    <cellStyle name="Normal 2 53 5 9" xfId="5369" xr:uid="{00000000-0005-0000-0000-0000EE1B0000}"/>
    <cellStyle name="Normal 2 53 5 9 2" xfId="23140" xr:uid="{00000000-0005-0000-0000-0000EF1B0000}"/>
    <cellStyle name="Normal 2 53 6" xfId="5370" xr:uid="{00000000-0005-0000-0000-0000F01B0000}"/>
    <cellStyle name="Normal 2 53 6 10" xfId="5371" xr:uid="{00000000-0005-0000-0000-0000F11B0000}"/>
    <cellStyle name="Normal 2 53 6 10 2" xfId="23142" xr:uid="{00000000-0005-0000-0000-0000F21B0000}"/>
    <cellStyle name="Normal 2 53 6 11" xfId="5372" xr:uid="{00000000-0005-0000-0000-0000F31B0000}"/>
    <cellStyle name="Normal 2 53 6 11 2" xfId="23143" xr:uid="{00000000-0005-0000-0000-0000F41B0000}"/>
    <cellStyle name="Normal 2 53 6 12" xfId="5373" xr:uid="{00000000-0005-0000-0000-0000F51B0000}"/>
    <cellStyle name="Normal 2 53 6 12 2" xfId="23144" xr:uid="{00000000-0005-0000-0000-0000F61B0000}"/>
    <cellStyle name="Normal 2 53 6 13" xfId="5374" xr:uid="{00000000-0005-0000-0000-0000F71B0000}"/>
    <cellStyle name="Normal 2 53 6 13 2" xfId="23145" xr:uid="{00000000-0005-0000-0000-0000F81B0000}"/>
    <cellStyle name="Normal 2 53 6 14" xfId="5375" xr:uid="{00000000-0005-0000-0000-0000F91B0000}"/>
    <cellStyle name="Normal 2 53 6 14 2" xfId="23146" xr:uid="{00000000-0005-0000-0000-0000FA1B0000}"/>
    <cellStyle name="Normal 2 53 6 15" xfId="23141" xr:uid="{00000000-0005-0000-0000-0000FB1B0000}"/>
    <cellStyle name="Normal 2 53 6 2" xfId="5376" xr:uid="{00000000-0005-0000-0000-0000FC1B0000}"/>
    <cellStyle name="Normal 2 53 6 2 2" xfId="23147" xr:uid="{00000000-0005-0000-0000-0000FD1B0000}"/>
    <cellStyle name="Normal 2 53 6 3" xfId="5377" xr:uid="{00000000-0005-0000-0000-0000FE1B0000}"/>
    <cellStyle name="Normal 2 53 6 3 2" xfId="23148" xr:uid="{00000000-0005-0000-0000-0000FF1B0000}"/>
    <cellStyle name="Normal 2 53 6 4" xfId="5378" xr:uid="{00000000-0005-0000-0000-0000001C0000}"/>
    <cellStyle name="Normal 2 53 6 4 2" xfId="23149" xr:uid="{00000000-0005-0000-0000-0000011C0000}"/>
    <cellStyle name="Normal 2 53 6 5" xfId="5379" xr:uid="{00000000-0005-0000-0000-0000021C0000}"/>
    <cellStyle name="Normal 2 53 6 5 2" xfId="23150" xr:uid="{00000000-0005-0000-0000-0000031C0000}"/>
    <cellStyle name="Normal 2 53 6 6" xfId="5380" xr:uid="{00000000-0005-0000-0000-0000041C0000}"/>
    <cellStyle name="Normal 2 53 6 6 2" xfId="23151" xr:uid="{00000000-0005-0000-0000-0000051C0000}"/>
    <cellStyle name="Normal 2 53 6 7" xfId="5381" xr:uid="{00000000-0005-0000-0000-0000061C0000}"/>
    <cellStyle name="Normal 2 53 6 7 2" xfId="23152" xr:uid="{00000000-0005-0000-0000-0000071C0000}"/>
    <cellStyle name="Normal 2 53 6 8" xfId="5382" xr:uid="{00000000-0005-0000-0000-0000081C0000}"/>
    <cellStyle name="Normal 2 53 6 8 2" xfId="23153" xr:uid="{00000000-0005-0000-0000-0000091C0000}"/>
    <cellStyle name="Normal 2 53 6 9" xfId="5383" xr:uid="{00000000-0005-0000-0000-00000A1C0000}"/>
    <cellStyle name="Normal 2 53 6 9 2" xfId="23154" xr:uid="{00000000-0005-0000-0000-00000B1C0000}"/>
    <cellStyle name="Normal 2 53 7" xfId="5384" xr:uid="{00000000-0005-0000-0000-00000C1C0000}"/>
    <cellStyle name="Normal 2 53 7 10" xfId="5385" xr:uid="{00000000-0005-0000-0000-00000D1C0000}"/>
    <cellStyle name="Normal 2 53 7 10 2" xfId="23156" xr:uid="{00000000-0005-0000-0000-00000E1C0000}"/>
    <cellStyle name="Normal 2 53 7 11" xfId="5386" xr:uid="{00000000-0005-0000-0000-00000F1C0000}"/>
    <cellStyle name="Normal 2 53 7 11 2" xfId="23157" xr:uid="{00000000-0005-0000-0000-0000101C0000}"/>
    <cellStyle name="Normal 2 53 7 12" xfId="5387" xr:uid="{00000000-0005-0000-0000-0000111C0000}"/>
    <cellStyle name="Normal 2 53 7 12 2" xfId="23158" xr:uid="{00000000-0005-0000-0000-0000121C0000}"/>
    <cellStyle name="Normal 2 53 7 13" xfId="5388" xr:uid="{00000000-0005-0000-0000-0000131C0000}"/>
    <cellStyle name="Normal 2 53 7 13 2" xfId="23159" xr:uid="{00000000-0005-0000-0000-0000141C0000}"/>
    <cellStyle name="Normal 2 53 7 14" xfId="5389" xr:uid="{00000000-0005-0000-0000-0000151C0000}"/>
    <cellStyle name="Normal 2 53 7 14 2" xfId="23160" xr:uid="{00000000-0005-0000-0000-0000161C0000}"/>
    <cellStyle name="Normal 2 53 7 15" xfId="23155" xr:uid="{00000000-0005-0000-0000-0000171C0000}"/>
    <cellStyle name="Normal 2 53 7 2" xfId="5390" xr:uid="{00000000-0005-0000-0000-0000181C0000}"/>
    <cellStyle name="Normal 2 53 7 2 2" xfId="23161" xr:uid="{00000000-0005-0000-0000-0000191C0000}"/>
    <cellStyle name="Normal 2 53 7 3" xfId="5391" xr:uid="{00000000-0005-0000-0000-00001A1C0000}"/>
    <cellStyle name="Normal 2 53 7 3 2" xfId="23162" xr:uid="{00000000-0005-0000-0000-00001B1C0000}"/>
    <cellStyle name="Normal 2 53 7 4" xfId="5392" xr:uid="{00000000-0005-0000-0000-00001C1C0000}"/>
    <cellStyle name="Normal 2 53 7 4 2" xfId="23163" xr:uid="{00000000-0005-0000-0000-00001D1C0000}"/>
    <cellStyle name="Normal 2 53 7 5" xfId="5393" xr:uid="{00000000-0005-0000-0000-00001E1C0000}"/>
    <cellStyle name="Normal 2 53 7 5 2" xfId="23164" xr:uid="{00000000-0005-0000-0000-00001F1C0000}"/>
    <cellStyle name="Normal 2 53 7 6" xfId="5394" xr:uid="{00000000-0005-0000-0000-0000201C0000}"/>
    <cellStyle name="Normal 2 53 7 6 2" xfId="23165" xr:uid="{00000000-0005-0000-0000-0000211C0000}"/>
    <cellStyle name="Normal 2 53 7 7" xfId="5395" xr:uid="{00000000-0005-0000-0000-0000221C0000}"/>
    <cellStyle name="Normal 2 53 7 7 2" xfId="23166" xr:uid="{00000000-0005-0000-0000-0000231C0000}"/>
    <cellStyle name="Normal 2 53 7 8" xfId="5396" xr:uid="{00000000-0005-0000-0000-0000241C0000}"/>
    <cellStyle name="Normal 2 53 7 8 2" xfId="23167" xr:uid="{00000000-0005-0000-0000-0000251C0000}"/>
    <cellStyle name="Normal 2 53 7 9" xfId="5397" xr:uid="{00000000-0005-0000-0000-0000261C0000}"/>
    <cellStyle name="Normal 2 53 7 9 2" xfId="23168" xr:uid="{00000000-0005-0000-0000-0000271C0000}"/>
    <cellStyle name="Normal 2 53 8" xfId="5398" xr:uid="{00000000-0005-0000-0000-0000281C0000}"/>
    <cellStyle name="Normal 2 53 8 10" xfId="5399" xr:uid="{00000000-0005-0000-0000-0000291C0000}"/>
    <cellStyle name="Normal 2 53 8 10 2" xfId="23170" xr:uid="{00000000-0005-0000-0000-00002A1C0000}"/>
    <cellStyle name="Normal 2 53 8 11" xfId="5400" xr:uid="{00000000-0005-0000-0000-00002B1C0000}"/>
    <cellStyle name="Normal 2 53 8 11 2" xfId="23171" xr:uid="{00000000-0005-0000-0000-00002C1C0000}"/>
    <cellStyle name="Normal 2 53 8 12" xfId="5401" xr:uid="{00000000-0005-0000-0000-00002D1C0000}"/>
    <cellStyle name="Normal 2 53 8 12 2" xfId="23172" xr:uid="{00000000-0005-0000-0000-00002E1C0000}"/>
    <cellStyle name="Normal 2 53 8 13" xfId="5402" xr:uid="{00000000-0005-0000-0000-00002F1C0000}"/>
    <cellStyle name="Normal 2 53 8 13 2" xfId="23173" xr:uid="{00000000-0005-0000-0000-0000301C0000}"/>
    <cellStyle name="Normal 2 53 8 14" xfId="5403" xr:uid="{00000000-0005-0000-0000-0000311C0000}"/>
    <cellStyle name="Normal 2 53 8 14 2" xfId="23174" xr:uid="{00000000-0005-0000-0000-0000321C0000}"/>
    <cellStyle name="Normal 2 53 8 15" xfId="23169" xr:uid="{00000000-0005-0000-0000-0000331C0000}"/>
    <cellStyle name="Normal 2 53 8 2" xfId="5404" xr:uid="{00000000-0005-0000-0000-0000341C0000}"/>
    <cellStyle name="Normal 2 53 8 2 2" xfId="23175" xr:uid="{00000000-0005-0000-0000-0000351C0000}"/>
    <cellStyle name="Normal 2 53 8 3" xfId="5405" xr:uid="{00000000-0005-0000-0000-0000361C0000}"/>
    <cellStyle name="Normal 2 53 8 3 2" xfId="23176" xr:uid="{00000000-0005-0000-0000-0000371C0000}"/>
    <cellStyle name="Normal 2 53 8 4" xfId="5406" xr:uid="{00000000-0005-0000-0000-0000381C0000}"/>
    <cellStyle name="Normal 2 53 8 4 2" xfId="23177" xr:uid="{00000000-0005-0000-0000-0000391C0000}"/>
    <cellStyle name="Normal 2 53 8 5" xfId="5407" xr:uid="{00000000-0005-0000-0000-00003A1C0000}"/>
    <cellStyle name="Normal 2 53 8 5 2" xfId="23178" xr:uid="{00000000-0005-0000-0000-00003B1C0000}"/>
    <cellStyle name="Normal 2 53 8 6" xfId="5408" xr:uid="{00000000-0005-0000-0000-00003C1C0000}"/>
    <cellStyle name="Normal 2 53 8 6 2" xfId="23179" xr:uid="{00000000-0005-0000-0000-00003D1C0000}"/>
    <cellStyle name="Normal 2 53 8 7" xfId="5409" xr:uid="{00000000-0005-0000-0000-00003E1C0000}"/>
    <cellStyle name="Normal 2 53 8 7 2" xfId="23180" xr:uid="{00000000-0005-0000-0000-00003F1C0000}"/>
    <cellStyle name="Normal 2 53 8 8" xfId="5410" xr:uid="{00000000-0005-0000-0000-0000401C0000}"/>
    <cellStyle name="Normal 2 53 8 8 2" xfId="23181" xr:uid="{00000000-0005-0000-0000-0000411C0000}"/>
    <cellStyle name="Normal 2 53 8 9" xfId="5411" xr:uid="{00000000-0005-0000-0000-0000421C0000}"/>
    <cellStyle name="Normal 2 53 8 9 2" xfId="23182" xr:uid="{00000000-0005-0000-0000-0000431C0000}"/>
    <cellStyle name="Normal 2 53 9" xfId="5412" xr:uid="{00000000-0005-0000-0000-0000441C0000}"/>
    <cellStyle name="Normal 2 53 9 10" xfId="5413" xr:uid="{00000000-0005-0000-0000-0000451C0000}"/>
    <cellStyle name="Normal 2 53 9 10 2" xfId="23184" xr:uid="{00000000-0005-0000-0000-0000461C0000}"/>
    <cellStyle name="Normal 2 53 9 11" xfId="5414" xr:uid="{00000000-0005-0000-0000-0000471C0000}"/>
    <cellStyle name="Normal 2 53 9 11 2" xfId="23185" xr:uid="{00000000-0005-0000-0000-0000481C0000}"/>
    <cellStyle name="Normal 2 53 9 12" xfId="5415" xr:uid="{00000000-0005-0000-0000-0000491C0000}"/>
    <cellStyle name="Normal 2 53 9 12 2" xfId="23186" xr:uid="{00000000-0005-0000-0000-00004A1C0000}"/>
    <cellStyle name="Normal 2 53 9 13" xfId="5416" xr:uid="{00000000-0005-0000-0000-00004B1C0000}"/>
    <cellStyle name="Normal 2 53 9 13 2" xfId="23187" xr:uid="{00000000-0005-0000-0000-00004C1C0000}"/>
    <cellStyle name="Normal 2 53 9 14" xfId="5417" xr:uid="{00000000-0005-0000-0000-00004D1C0000}"/>
    <cellStyle name="Normal 2 53 9 14 2" xfId="23188" xr:uid="{00000000-0005-0000-0000-00004E1C0000}"/>
    <cellStyle name="Normal 2 53 9 15" xfId="23183" xr:uid="{00000000-0005-0000-0000-00004F1C0000}"/>
    <cellStyle name="Normal 2 53 9 2" xfId="5418" xr:uid="{00000000-0005-0000-0000-0000501C0000}"/>
    <cellStyle name="Normal 2 53 9 2 2" xfId="23189" xr:uid="{00000000-0005-0000-0000-0000511C0000}"/>
    <cellStyle name="Normal 2 53 9 3" xfId="5419" xr:uid="{00000000-0005-0000-0000-0000521C0000}"/>
    <cellStyle name="Normal 2 53 9 3 2" xfId="23190" xr:uid="{00000000-0005-0000-0000-0000531C0000}"/>
    <cellStyle name="Normal 2 53 9 4" xfId="5420" xr:uid="{00000000-0005-0000-0000-0000541C0000}"/>
    <cellStyle name="Normal 2 53 9 4 2" xfId="23191" xr:uid="{00000000-0005-0000-0000-0000551C0000}"/>
    <cellStyle name="Normal 2 53 9 5" xfId="5421" xr:uid="{00000000-0005-0000-0000-0000561C0000}"/>
    <cellStyle name="Normal 2 53 9 5 2" xfId="23192" xr:uid="{00000000-0005-0000-0000-0000571C0000}"/>
    <cellStyle name="Normal 2 53 9 6" xfId="5422" xr:uid="{00000000-0005-0000-0000-0000581C0000}"/>
    <cellStyle name="Normal 2 53 9 6 2" xfId="23193" xr:uid="{00000000-0005-0000-0000-0000591C0000}"/>
    <cellStyle name="Normal 2 53 9 7" xfId="5423" xr:uid="{00000000-0005-0000-0000-00005A1C0000}"/>
    <cellStyle name="Normal 2 53 9 7 2" xfId="23194" xr:uid="{00000000-0005-0000-0000-00005B1C0000}"/>
    <cellStyle name="Normal 2 53 9 8" xfId="5424" xr:uid="{00000000-0005-0000-0000-00005C1C0000}"/>
    <cellStyle name="Normal 2 53 9 8 2" xfId="23195" xr:uid="{00000000-0005-0000-0000-00005D1C0000}"/>
    <cellStyle name="Normal 2 53 9 9" xfId="5425" xr:uid="{00000000-0005-0000-0000-00005E1C0000}"/>
    <cellStyle name="Normal 2 53 9 9 2" xfId="23196" xr:uid="{00000000-0005-0000-0000-00005F1C0000}"/>
    <cellStyle name="Normal 2 54" xfId="5426" xr:uid="{00000000-0005-0000-0000-0000601C0000}"/>
    <cellStyle name="Normal 2 54 10" xfId="5427" xr:uid="{00000000-0005-0000-0000-0000611C0000}"/>
    <cellStyle name="Normal 2 54 10 10" xfId="5428" xr:uid="{00000000-0005-0000-0000-0000621C0000}"/>
    <cellStyle name="Normal 2 54 10 10 2" xfId="23199" xr:uid="{00000000-0005-0000-0000-0000631C0000}"/>
    <cellStyle name="Normal 2 54 10 11" xfId="5429" xr:uid="{00000000-0005-0000-0000-0000641C0000}"/>
    <cellStyle name="Normal 2 54 10 11 2" xfId="23200" xr:uid="{00000000-0005-0000-0000-0000651C0000}"/>
    <cellStyle name="Normal 2 54 10 12" xfId="5430" xr:uid="{00000000-0005-0000-0000-0000661C0000}"/>
    <cellStyle name="Normal 2 54 10 12 2" xfId="23201" xr:uid="{00000000-0005-0000-0000-0000671C0000}"/>
    <cellStyle name="Normal 2 54 10 13" xfId="5431" xr:uid="{00000000-0005-0000-0000-0000681C0000}"/>
    <cellStyle name="Normal 2 54 10 13 2" xfId="23202" xr:uid="{00000000-0005-0000-0000-0000691C0000}"/>
    <cellStyle name="Normal 2 54 10 14" xfId="5432" xr:uid="{00000000-0005-0000-0000-00006A1C0000}"/>
    <cellStyle name="Normal 2 54 10 14 2" xfId="23203" xr:uid="{00000000-0005-0000-0000-00006B1C0000}"/>
    <cellStyle name="Normal 2 54 10 15" xfId="23198" xr:uid="{00000000-0005-0000-0000-00006C1C0000}"/>
    <cellStyle name="Normal 2 54 10 2" xfId="5433" xr:uid="{00000000-0005-0000-0000-00006D1C0000}"/>
    <cellStyle name="Normal 2 54 10 2 2" xfId="23204" xr:uid="{00000000-0005-0000-0000-00006E1C0000}"/>
    <cellStyle name="Normal 2 54 10 3" xfId="5434" xr:uid="{00000000-0005-0000-0000-00006F1C0000}"/>
    <cellStyle name="Normal 2 54 10 3 2" xfId="23205" xr:uid="{00000000-0005-0000-0000-0000701C0000}"/>
    <cellStyle name="Normal 2 54 10 4" xfId="5435" xr:uid="{00000000-0005-0000-0000-0000711C0000}"/>
    <cellStyle name="Normal 2 54 10 4 2" xfId="23206" xr:uid="{00000000-0005-0000-0000-0000721C0000}"/>
    <cellStyle name="Normal 2 54 10 5" xfId="5436" xr:uid="{00000000-0005-0000-0000-0000731C0000}"/>
    <cellStyle name="Normal 2 54 10 5 2" xfId="23207" xr:uid="{00000000-0005-0000-0000-0000741C0000}"/>
    <cellStyle name="Normal 2 54 10 6" xfId="5437" xr:uid="{00000000-0005-0000-0000-0000751C0000}"/>
    <cellStyle name="Normal 2 54 10 6 2" xfId="23208" xr:uid="{00000000-0005-0000-0000-0000761C0000}"/>
    <cellStyle name="Normal 2 54 10 7" xfId="5438" xr:uid="{00000000-0005-0000-0000-0000771C0000}"/>
    <cellStyle name="Normal 2 54 10 7 2" xfId="23209" xr:uid="{00000000-0005-0000-0000-0000781C0000}"/>
    <cellStyle name="Normal 2 54 10 8" xfId="5439" xr:uid="{00000000-0005-0000-0000-0000791C0000}"/>
    <cellStyle name="Normal 2 54 10 8 2" xfId="23210" xr:uid="{00000000-0005-0000-0000-00007A1C0000}"/>
    <cellStyle name="Normal 2 54 10 9" xfId="5440" xr:uid="{00000000-0005-0000-0000-00007B1C0000}"/>
    <cellStyle name="Normal 2 54 10 9 2" xfId="23211" xr:uid="{00000000-0005-0000-0000-00007C1C0000}"/>
    <cellStyle name="Normal 2 54 11" xfId="5441" xr:uid="{00000000-0005-0000-0000-00007D1C0000}"/>
    <cellStyle name="Normal 2 54 11 2" xfId="23212" xr:uid="{00000000-0005-0000-0000-00007E1C0000}"/>
    <cellStyle name="Normal 2 54 12" xfId="5442" xr:uid="{00000000-0005-0000-0000-00007F1C0000}"/>
    <cellStyle name="Normal 2 54 12 2" xfId="23213" xr:uid="{00000000-0005-0000-0000-0000801C0000}"/>
    <cellStyle name="Normal 2 54 13" xfId="5443" xr:uid="{00000000-0005-0000-0000-0000811C0000}"/>
    <cellStyle name="Normal 2 54 13 2" xfId="23214" xr:uid="{00000000-0005-0000-0000-0000821C0000}"/>
    <cellStyle name="Normal 2 54 14" xfId="5444" xr:uid="{00000000-0005-0000-0000-0000831C0000}"/>
    <cellStyle name="Normal 2 54 14 2" xfId="23215" xr:uid="{00000000-0005-0000-0000-0000841C0000}"/>
    <cellStyle name="Normal 2 54 15" xfId="5445" xr:uid="{00000000-0005-0000-0000-0000851C0000}"/>
    <cellStyle name="Normal 2 54 15 2" xfId="23216" xr:uid="{00000000-0005-0000-0000-0000861C0000}"/>
    <cellStyle name="Normal 2 54 16" xfId="5446" xr:uid="{00000000-0005-0000-0000-0000871C0000}"/>
    <cellStyle name="Normal 2 54 16 2" xfId="23217" xr:uid="{00000000-0005-0000-0000-0000881C0000}"/>
    <cellStyle name="Normal 2 54 17" xfId="5447" xr:uid="{00000000-0005-0000-0000-0000891C0000}"/>
    <cellStyle name="Normal 2 54 17 2" xfId="23218" xr:uid="{00000000-0005-0000-0000-00008A1C0000}"/>
    <cellStyle name="Normal 2 54 18" xfId="5448" xr:uid="{00000000-0005-0000-0000-00008B1C0000}"/>
    <cellStyle name="Normal 2 54 18 2" xfId="23219" xr:uid="{00000000-0005-0000-0000-00008C1C0000}"/>
    <cellStyle name="Normal 2 54 19" xfId="5449" xr:uid="{00000000-0005-0000-0000-00008D1C0000}"/>
    <cellStyle name="Normal 2 54 19 2" xfId="23220" xr:uid="{00000000-0005-0000-0000-00008E1C0000}"/>
    <cellStyle name="Normal 2 54 2" xfId="5450" xr:uid="{00000000-0005-0000-0000-00008F1C0000}"/>
    <cellStyle name="Normal 2 54 2 10" xfId="5451" xr:uid="{00000000-0005-0000-0000-0000901C0000}"/>
    <cellStyle name="Normal 2 54 2 10 2" xfId="23222" xr:uid="{00000000-0005-0000-0000-0000911C0000}"/>
    <cellStyle name="Normal 2 54 2 11" xfId="5452" xr:uid="{00000000-0005-0000-0000-0000921C0000}"/>
    <cellStyle name="Normal 2 54 2 11 2" xfId="23223" xr:uid="{00000000-0005-0000-0000-0000931C0000}"/>
    <cellStyle name="Normal 2 54 2 12" xfId="5453" xr:uid="{00000000-0005-0000-0000-0000941C0000}"/>
    <cellStyle name="Normal 2 54 2 12 2" xfId="23224" xr:uid="{00000000-0005-0000-0000-0000951C0000}"/>
    <cellStyle name="Normal 2 54 2 13" xfId="5454" xr:uid="{00000000-0005-0000-0000-0000961C0000}"/>
    <cellStyle name="Normal 2 54 2 13 2" xfId="23225" xr:uid="{00000000-0005-0000-0000-0000971C0000}"/>
    <cellStyle name="Normal 2 54 2 14" xfId="5455" xr:uid="{00000000-0005-0000-0000-0000981C0000}"/>
    <cellStyle name="Normal 2 54 2 14 2" xfId="23226" xr:uid="{00000000-0005-0000-0000-0000991C0000}"/>
    <cellStyle name="Normal 2 54 2 15" xfId="5456" xr:uid="{00000000-0005-0000-0000-00009A1C0000}"/>
    <cellStyle name="Normal 2 54 2 15 2" xfId="23227" xr:uid="{00000000-0005-0000-0000-00009B1C0000}"/>
    <cellStyle name="Normal 2 54 2 16" xfId="23221" xr:uid="{00000000-0005-0000-0000-00009C1C0000}"/>
    <cellStyle name="Normal 2 54 2 2" xfId="5457" xr:uid="{00000000-0005-0000-0000-00009D1C0000}"/>
    <cellStyle name="Normal 2 54 2 2 10" xfId="5458" xr:uid="{00000000-0005-0000-0000-00009E1C0000}"/>
    <cellStyle name="Normal 2 54 2 2 10 2" xfId="23229" xr:uid="{00000000-0005-0000-0000-00009F1C0000}"/>
    <cellStyle name="Normal 2 54 2 2 11" xfId="5459" xr:uid="{00000000-0005-0000-0000-0000A01C0000}"/>
    <cellStyle name="Normal 2 54 2 2 11 2" xfId="23230" xr:uid="{00000000-0005-0000-0000-0000A11C0000}"/>
    <cellStyle name="Normal 2 54 2 2 12" xfId="5460" xr:uid="{00000000-0005-0000-0000-0000A21C0000}"/>
    <cellStyle name="Normal 2 54 2 2 12 2" xfId="23231" xr:uid="{00000000-0005-0000-0000-0000A31C0000}"/>
    <cellStyle name="Normal 2 54 2 2 13" xfId="5461" xr:uid="{00000000-0005-0000-0000-0000A41C0000}"/>
    <cellStyle name="Normal 2 54 2 2 13 2" xfId="23232" xr:uid="{00000000-0005-0000-0000-0000A51C0000}"/>
    <cellStyle name="Normal 2 54 2 2 14" xfId="5462" xr:uid="{00000000-0005-0000-0000-0000A61C0000}"/>
    <cellStyle name="Normal 2 54 2 2 14 2" xfId="23233" xr:uid="{00000000-0005-0000-0000-0000A71C0000}"/>
    <cellStyle name="Normal 2 54 2 2 15" xfId="23228" xr:uid="{00000000-0005-0000-0000-0000A81C0000}"/>
    <cellStyle name="Normal 2 54 2 2 2" xfId="5463" xr:uid="{00000000-0005-0000-0000-0000A91C0000}"/>
    <cellStyle name="Normal 2 54 2 2 2 2" xfId="23234" xr:uid="{00000000-0005-0000-0000-0000AA1C0000}"/>
    <cellStyle name="Normal 2 54 2 2 3" xfId="5464" xr:uid="{00000000-0005-0000-0000-0000AB1C0000}"/>
    <cellStyle name="Normal 2 54 2 2 3 2" xfId="23235" xr:uid="{00000000-0005-0000-0000-0000AC1C0000}"/>
    <cellStyle name="Normal 2 54 2 2 4" xfId="5465" xr:uid="{00000000-0005-0000-0000-0000AD1C0000}"/>
    <cellStyle name="Normal 2 54 2 2 4 2" xfId="23236" xr:uid="{00000000-0005-0000-0000-0000AE1C0000}"/>
    <cellStyle name="Normal 2 54 2 2 5" xfId="5466" xr:uid="{00000000-0005-0000-0000-0000AF1C0000}"/>
    <cellStyle name="Normal 2 54 2 2 5 2" xfId="23237" xr:uid="{00000000-0005-0000-0000-0000B01C0000}"/>
    <cellStyle name="Normal 2 54 2 2 6" xfId="5467" xr:uid="{00000000-0005-0000-0000-0000B11C0000}"/>
    <cellStyle name="Normal 2 54 2 2 6 2" xfId="23238" xr:uid="{00000000-0005-0000-0000-0000B21C0000}"/>
    <cellStyle name="Normal 2 54 2 2 7" xfId="5468" xr:uid="{00000000-0005-0000-0000-0000B31C0000}"/>
    <cellStyle name="Normal 2 54 2 2 7 2" xfId="23239" xr:uid="{00000000-0005-0000-0000-0000B41C0000}"/>
    <cellStyle name="Normal 2 54 2 2 8" xfId="5469" xr:uid="{00000000-0005-0000-0000-0000B51C0000}"/>
    <cellStyle name="Normal 2 54 2 2 8 2" xfId="23240" xr:uid="{00000000-0005-0000-0000-0000B61C0000}"/>
    <cellStyle name="Normal 2 54 2 2 9" xfId="5470" xr:uid="{00000000-0005-0000-0000-0000B71C0000}"/>
    <cellStyle name="Normal 2 54 2 2 9 2" xfId="23241" xr:uid="{00000000-0005-0000-0000-0000B81C0000}"/>
    <cellStyle name="Normal 2 54 2 3" xfId="5471" xr:uid="{00000000-0005-0000-0000-0000B91C0000}"/>
    <cellStyle name="Normal 2 54 2 3 2" xfId="23242" xr:uid="{00000000-0005-0000-0000-0000BA1C0000}"/>
    <cellStyle name="Normal 2 54 2 4" xfId="5472" xr:uid="{00000000-0005-0000-0000-0000BB1C0000}"/>
    <cellStyle name="Normal 2 54 2 4 2" xfId="23243" xr:uid="{00000000-0005-0000-0000-0000BC1C0000}"/>
    <cellStyle name="Normal 2 54 2 5" xfId="5473" xr:uid="{00000000-0005-0000-0000-0000BD1C0000}"/>
    <cellStyle name="Normal 2 54 2 5 2" xfId="23244" xr:uid="{00000000-0005-0000-0000-0000BE1C0000}"/>
    <cellStyle name="Normal 2 54 2 6" xfId="5474" xr:uid="{00000000-0005-0000-0000-0000BF1C0000}"/>
    <cellStyle name="Normal 2 54 2 6 2" xfId="23245" xr:uid="{00000000-0005-0000-0000-0000C01C0000}"/>
    <cellStyle name="Normal 2 54 2 7" xfId="5475" xr:uid="{00000000-0005-0000-0000-0000C11C0000}"/>
    <cellStyle name="Normal 2 54 2 7 2" xfId="23246" xr:uid="{00000000-0005-0000-0000-0000C21C0000}"/>
    <cellStyle name="Normal 2 54 2 8" xfId="5476" xr:uid="{00000000-0005-0000-0000-0000C31C0000}"/>
    <cellStyle name="Normal 2 54 2 8 2" xfId="23247" xr:uid="{00000000-0005-0000-0000-0000C41C0000}"/>
    <cellStyle name="Normal 2 54 2 9" xfId="5477" xr:uid="{00000000-0005-0000-0000-0000C51C0000}"/>
    <cellStyle name="Normal 2 54 2 9 2" xfId="23248" xr:uid="{00000000-0005-0000-0000-0000C61C0000}"/>
    <cellStyle name="Normal 2 54 20" xfId="5478" xr:uid="{00000000-0005-0000-0000-0000C71C0000}"/>
    <cellStyle name="Normal 2 54 20 2" xfId="23249" xr:uid="{00000000-0005-0000-0000-0000C81C0000}"/>
    <cellStyle name="Normal 2 54 21" xfId="5479" xr:uid="{00000000-0005-0000-0000-0000C91C0000}"/>
    <cellStyle name="Normal 2 54 21 2" xfId="23250" xr:uid="{00000000-0005-0000-0000-0000CA1C0000}"/>
    <cellStyle name="Normal 2 54 22" xfId="5480" xr:uid="{00000000-0005-0000-0000-0000CB1C0000}"/>
    <cellStyle name="Normal 2 54 22 2" xfId="23251" xr:uid="{00000000-0005-0000-0000-0000CC1C0000}"/>
    <cellStyle name="Normal 2 54 23" xfId="5481" xr:uid="{00000000-0005-0000-0000-0000CD1C0000}"/>
    <cellStyle name="Normal 2 54 23 2" xfId="23252" xr:uid="{00000000-0005-0000-0000-0000CE1C0000}"/>
    <cellStyle name="Normal 2 54 24" xfId="23197" xr:uid="{00000000-0005-0000-0000-0000CF1C0000}"/>
    <cellStyle name="Normal 2 54 3" xfId="5482" xr:uid="{00000000-0005-0000-0000-0000D01C0000}"/>
    <cellStyle name="Normal 2 54 3 10" xfId="5483" xr:uid="{00000000-0005-0000-0000-0000D11C0000}"/>
    <cellStyle name="Normal 2 54 3 10 2" xfId="23254" xr:uid="{00000000-0005-0000-0000-0000D21C0000}"/>
    <cellStyle name="Normal 2 54 3 11" xfId="5484" xr:uid="{00000000-0005-0000-0000-0000D31C0000}"/>
    <cellStyle name="Normal 2 54 3 11 2" xfId="23255" xr:uid="{00000000-0005-0000-0000-0000D41C0000}"/>
    <cellStyle name="Normal 2 54 3 12" xfId="5485" xr:uid="{00000000-0005-0000-0000-0000D51C0000}"/>
    <cellStyle name="Normal 2 54 3 12 2" xfId="23256" xr:uid="{00000000-0005-0000-0000-0000D61C0000}"/>
    <cellStyle name="Normal 2 54 3 13" xfId="5486" xr:uid="{00000000-0005-0000-0000-0000D71C0000}"/>
    <cellStyle name="Normal 2 54 3 13 2" xfId="23257" xr:uid="{00000000-0005-0000-0000-0000D81C0000}"/>
    <cellStyle name="Normal 2 54 3 14" xfId="5487" xr:uid="{00000000-0005-0000-0000-0000D91C0000}"/>
    <cellStyle name="Normal 2 54 3 14 2" xfId="23258" xr:uid="{00000000-0005-0000-0000-0000DA1C0000}"/>
    <cellStyle name="Normal 2 54 3 15" xfId="5488" xr:uid="{00000000-0005-0000-0000-0000DB1C0000}"/>
    <cellStyle name="Normal 2 54 3 15 2" xfId="23259" xr:uid="{00000000-0005-0000-0000-0000DC1C0000}"/>
    <cellStyle name="Normal 2 54 3 16" xfId="23253" xr:uid="{00000000-0005-0000-0000-0000DD1C0000}"/>
    <cellStyle name="Normal 2 54 3 2" xfId="5489" xr:uid="{00000000-0005-0000-0000-0000DE1C0000}"/>
    <cellStyle name="Normal 2 54 3 2 10" xfId="5490" xr:uid="{00000000-0005-0000-0000-0000DF1C0000}"/>
    <cellStyle name="Normal 2 54 3 2 10 2" xfId="23261" xr:uid="{00000000-0005-0000-0000-0000E01C0000}"/>
    <cellStyle name="Normal 2 54 3 2 11" xfId="5491" xr:uid="{00000000-0005-0000-0000-0000E11C0000}"/>
    <cellStyle name="Normal 2 54 3 2 11 2" xfId="23262" xr:uid="{00000000-0005-0000-0000-0000E21C0000}"/>
    <cellStyle name="Normal 2 54 3 2 12" xfId="5492" xr:uid="{00000000-0005-0000-0000-0000E31C0000}"/>
    <cellStyle name="Normal 2 54 3 2 12 2" xfId="23263" xr:uid="{00000000-0005-0000-0000-0000E41C0000}"/>
    <cellStyle name="Normal 2 54 3 2 13" xfId="5493" xr:uid="{00000000-0005-0000-0000-0000E51C0000}"/>
    <cellStyle name="Normal 2 54 3 2 13 2" xfId="23264" xr:uid="{00000000-0005-0000-0000-0000E61C0000}"/>
    <cellStyle name="Normal 2 54 3 2 14" xfId="5494" xr:uid="{00000000-0005-0000-0000-0000E71C0000}"/>
    <cellStyle name="Normal 2 54 3 2 14 2" xfId="23265" xr:uid="{00000000-0005-0000-0000-0000E81C0000}"/>
    <cellStyle name="Normal 2 54 3 2 15" xfId="23260" xr:uid="{00000000-0005-0000-0000-0000E91C0000}"/>
    <cellStyle name="Normal 2 54 3 2 2" xfId="5495" xr:uid="{00000000-0005-0000-0000-0000EA1C0000}"/>
    <cellStyle name="Normal 2 54 3 2 2 2" xfId="23266" xr:uid="{00000000-0005-0000-0000-0000EB1C0000}"/>
    <cellStyle name="Normal 2 54 3 2 3" xfId="5496" xr:uid="{00000000-0005-0000-0000-0000EC1C0000}"/>
    <cellStyle name="Normal 2 54 3 2 3 2" xfId="23267" xr:uid="{00000000-0005-0000-0000-0000ED1C0000}"/>
    <cellStyle name="Normal 2 54 3 2 4" xfId="5497" xr:uid="{00000000-0005-0000-0000-0000EE1C0000}"/>
    <cellStyle name="Normal 2 54 3 2 4 2" xfId="23268" xr:uid="{00000000-0005-0000-0000-0000EF1C0000}"/>
    <cellStyle name="Normal 2 54 3 2 5" xfId="5498" xr:uid="{00000000-0005-0000-0000-0000F01C0000}"/>
    <cellStyle name="Normal 2 54 3 2 5 2" xfId="23269" xr:uid="{00000000-0005-0000-0000-0000F11C0000}"/>
    <cellStyle name="Normal 2 54 3 2 6" xfId="5499" xr:uid="{00000000-0005-0000-0000-0000F21C0000}"/>
    <cellStyle name="Normal 2 54 3 2 6 2" xfId="23270" xr:uid="{00000000-0005-0000-0000-0000F31C0000}"/>
    <cellStyle name="Normal 2 54 3 2 7" xfId="5500" xr:uid="{00000000-0005-0000-0000-0000F41C0000}"/>
    <cellStyle name="Normal 2 54 3 2 7 2" xfId="23271" xr:uid="{00000000-0005-0000-0000-0000F51C0000}"/>
    <cellStyle name="Normal 2 54 3 2 8" xfId="5501" xr:uid="{00000000-0005-0000-0000-0000F61C0000}"/>
    <cellStyle name="Normal 2 54 3 2 8 2" xfId="23272" xr:uid="{00000000-0005-0000-0000-0000F71C0000}"/>
    <cellStyle name="Normal 2 54 3 2 9" xfId="5502" xr:uid="{00000000-0005-0000-0000-0000F81C0000}"/>
    <cellStyle name="Normal 2 54 3 2 9 2" xfId="23273" xr:uid="{00000000-0005-0000-0000-0000F91C0000}"/>
    <cellStyle name="Normal 2 54 3 3" xfId="5503" xr:uid="{00000000-0005-0000-0000-0000FA1C0000}"/>
    <cellStyle name="Normal 2 54 3 3 2" xfId="23274" xr:uid="{00000000-0005-0000-0000-0000FB1C0000}"/>
    <cellStyle name="Normal 2 54 3 4" xfId="5504" xr:uid="{00000000-0005-0000-0000-0000FC1C0000}"/>
    <cellStyle name="Normal 2 54 3 4 2" xfId="23275" xr:uid="{00000000-0005-0000-0000-0000FD1C0000}"/>
    <cellStyle name="Normal 2 54 3 5" xfId="5505" xr:uid="{00000000-0005-0000-0000-0000FE1C0000}"/>
    <cellStyle name="Normal 2 54 3 5 2" xfId="23276" xr:uid="{00000000-0005-0000-0000-0000FF1C0000}"/>
    <cellStyle name="Normal 2 54 3 6" xfId="5506" xr:uid="{00000000-0005-0000-0000-0000001D0000}"/>
    <cellStyle name="Normal 2 54 3 6 2" xfId="23277" xr:uid="{00000000-0005-0000-0000-0000011D0000}"/>
    <cellStyle name="Normal 2 54 3 7" xfId="5507" xr:uid="{00000000-0005-0000-0000-0000021D0000}"/>
    <cellStyle name="Normal 2 54 3 7 2" xfId="23278" xr:uid="{00000000-0005-0000-0000-0000031D0000}"/>
    <cellStyle name="Normal 2 54 3 8" xfId="5508" xr:uid="{00000000-0005-0000-0000-0000041D0000}"/>
    <cellStyle name="Normal 2 54 3 8 2" xfId="23279" xr:uid="{00000000-0005-0000-0000-0000051D0000}"/>
    <cellStyle name="Normal 2 54 3 9" xfId="5509" xr:uid="{00000000-0005-0000-0000-0000061D0000}"/>
    <cellStyle name="Normal 2 54 3 9 2" xfId="23280" xr:uid="{00000000-0005-0000-0000-0000071D0000}"/>
    <cellStyle name="Normal 2 54 4" xfId="5510" xr:uid="{00000000-0005-0000-0000-0000081D0000}"/>
    <cellStyle name="Normal 2 54 4 10" xfId="5511" xr:uid="{00000000-0005-0000-0000-0000091D0000}"/>
    <cellStyle name="Normal 2 54 4 10 2" xfId="23282" xr:uid="{00000000-0005-0000-0000-00000A1D0000}"/>
    <cellStyle name="Normal 2 54 4 11" xfId="5512" xr:uid="{00000000-0005-0000-0000-00000B1D0000}"/>
    <cellStyle name="Normal 2 54 4 11 2" xfId="23283" xr:uid="{00000000-0005-0000-0000-00000C1D0000}"/>
    <cellStyle name="Normal 2 54 4 12" xfId="5513" xr:uid="{00000000-0005-0000-0000-00000D1D0000}"/>
    <cellStyle name="Normal 2 54 4 12 2" xfId="23284" xr:uid="{00000000-0005-0000-0000-00000E1D0000}"/>
    <cellStyle name="Normal 2 54 4 13" xfId="5514" xr:uid="{00000000-0005-0000-0000-00000F1D0000}"/>
    <cellStyle name="Normal 2 54 4 13 2" xfId="23285" xr:uid="{00000000-0005-0000-0000-0000101D0000}"/>
    <cellStyle name="Normal 2 54 4 14" xfId="5515" xr:uid="{00000000-0005-0000-0000-0000111D0000}"/>
    <cellStyle name="Normal 2 54 4 14 2" xfId="23286" xr:uid="{00000000-0005-0000-0000-0000121D0000}"/>
    <cellStyle name="Normal 2 54 4 15" xfId="5516" xr:uid="{00000000-0005-0000-0000-0000131D0000}"/>
    <cellStyle name="Normal 2 54 4 15 2" xfId="23287" xr:uid="{00000000-0005-0000-0000-0000141D0000}"/>
    <cellStyle name="Normal 2 54 4 16" xfId="23281" xr:uid="{00000000-0005-0000-0000-0000151D0000}"/>
    <cellStyle name="Normal 2 54 4 2" xfId="5517" xr:uid="{00000000-0005-0000-0000-0000161D0000}"/>
    <cellStyle name="Normal 2 54 4 2 10" xfId="5518" xr:uid="{00000000-0005-0000-0000-0000171D0000}"/>
    <cellStyle name="Normal 2 54 4 2 10 2" xfId="23289" xr:uid="{00000000-0005-0000-0000-0000181D0000}"/>
    <cellStyle name="Normal 2 54 4 2 11" xfId="5519" xr:uid="{00000000-0005-0000-0000-0000191D0000}"/>
    <cellStyle name="Normal 2 54 4 2 11 2" xfId="23290" xr:uid="{00000000-0005-0000-0000-00001A1D0000}"/>
    <cellStyle name="Normal 2 54 4 2 12" xfId="5520" xr:uid="{00000000-0005-0000-0000-00001B1D0000}"/>
    <cellStyle name="Normal 2 54 4 2 12 2" xfId="23291" xr:uid="{00000000-0005-0000-0000-00001C1D0000}"/>
    <cellStyle name="Normal 2 54 4 2 13" xfId="5521" xr:uid="{00000000-0005-0000-0000-00001D1D0000}"/>
    <cellStyle name="Normal 2 54 4 2 13 2" xfId="23292" xr:uid="{00000000-0005-0000-0000-00001E1D0000}"/>
    <cellStyle name="Normal 2 54 4 2 14" xfId="5522" xr:uid="{00000000-0005-0000-0000-00001F1D0000}"/>
    <cellStyle name="Normal 2 54 4 2 14 2" xfId="23293" xr:uid="{00000000-0005-0000-0000-0000201D0000}"/>
    <cellStyle name="Normal 2 54 4 2 15" xfId="23288" xr:uid="{00000000-0005-0000-0000-0000211D0000}"/>
    <cellStyle name="Normal 2 54 4 2 2" xfId="5523" xr:uid="{00000000-0005-0000-0000-0000221D0000}"/>
    <cellStyle name="Normal 2 54 4 2 2 2" xfId="23294" xr:uid="{00000000-0005-0000-0000-0000231D0000}"/>
    <cellStyle name="Normal 2 54 4 2 3" xfId="5524" xr:uid="{00000000-0005-0000-0000-0000241D0000}"/>
    <cellStyle name="Normal 2 54 4 2 3 2" xfId="23295" xr:uid="{00000000-0005-0000-0000-0000251D0000}"/>
    <cellStyle name="Normal 2 54 4 2 4" xfId="5525" xr:uid="{00000000-0005-0000-0000-0000261D0000}"/>
    <cellStyle name="Normal 2 54 4 2 4 2" xfId="23296" xr:uid="{00000000-0005-0000-0000-0000271D0000}"/>
    <cellStyle name="Normal 2 54 4 2 5" xfId="5526" xr:uid="{00000000-0005-0000-0000-0000281D0000}"/>
    <cellStyle name="Normal 2 54 4 2 5 2" xfId="23297" xr:uid="{00000000-0005-0000-0000-0000291D0000}"/>
    <cellStyle name="Normal 2 54 4 2 6" xfId="5527" xr:uid="{00000000-0005-0000-0000-00002A1D0000}"/>
    <cellStyle name="Normal 2 54 4 2 6 2" xfId="23298" xr:uid="{00000000-0005-0000-0000-00002B1D0000}"/>
    <cellStyle name="Normal 2 54 4 2 7" xfId="5528" xr:uid="{00000000-0005-0000-0000-00002C1D0000}"/>
    <cellStyle name="Normal 2 54 4 2 7 2" xfId="23299" xr:uid="{00000000-0005-0000-0000-00002D1D0000}"/>
    <cellStyle name="Normal 2 54 4 2 8" xfId="5529" xr:uid="{00000000-0005-0000-0000-00002E1D0000}"/>
    <cellStyle name="Normal 2 54 4 2 8 2" xfId="23300" xr:uid="{00000000-0005-0000-0000-00002F1D0000}"/>
    <cellStyle name="Normal 2 54 4 2 9" xfId="5530" xr:uid="{00000000-0005-0000-0000-0000301D0000}"/>
    <cellStyle name="Normal 2 54 4 2 9 2" xfId="23301" xr:uid="{00000000-0005-0000-0000-0000311D0000}"/>
    <cellStyle name="Normal 2 54 4 3" xfId="5531" xr:uid="{00000000-0005-0000-0000-0000321D0000}"/>
    <cellStyle name="Normal 2 54 4 3 2" xfId="23302" xr:uid="{00000000-0005-0000-0000-0000331D0000}"/>
    <cellStyle name="Normal 2 54 4 4" xfId="5532" xr:uid="{00000000-0005-0000-0000-0000341D0000}"/>
    <cellStyle name="Normal 2 54 4 4 2" xfId="23303" xr:uid="{00000000-0005-0000-0000-0000351D0000}"/>
    <cellStyle name="Normal 2 54 4 5" xfId="5533" xr:uid="{00000000-0005-0000-0000-0000361D0000}"/>
    <cellStyle name="Normal 2 54 4 5 2" xfId="23304" xr:uid="{00000000-0005-0000-0000-0000371D0000}"/>
    <cellStyle name="Normal 2 54 4 6" xfId="5534" xr:uid="{00000000-0005-0000-0000-0000381D0000}"/>
    <cellStyle name="Normal 2 54 4 6 2" xfId="23305" xr:uid="{00000000-0005-0000-0000-0000391D0000}"/>
    <cellStyle name="Normal 2 54 4 7" xfId="5535" xr:uid="{00000000-0005-0000-0000-00003A1D0000}"/>
    <cellStyle name="Normal 2 54 4 7 2" xfId="23306" xr:uid="{00000000-0005-0000-0000-00003B1D0000}"/>
    <cellStyle name="Normal 2 54 4 8" xfId="5536" xr:uid="{00000000-0005-0000-0000-00003C1D0000}"/>
    <cellStyle name="Normal 2 54 4 8 2" xfId="23307" xr:uid="{00000000-0005-0000-0000-00003D1D0000}"/>
    <cellStyle name="Normal 2 54 4 9" xfId="5537" xr:uid="{00000000-0005-0000-0000-00003E1D0000}"/>
    <cellStyle name="Normal 2 54 4 9 2" xfId="23308" xr:uid="{00000000-0005-0000-0000-00003F1D0000}"/>
    <cellStyle name="Normal 2 54 5" xfId="5538" xr:uid="{00000000-0005-0000-0000-0000401D0000}"/>
    <cellStyle name="Normal 2 54 5 10" xfId="5539" xr:uid="{00000000-0005-0000-0000-0000411D0000}"/>
    <cellStyle name="Normal 2 54 5 10 2" xfId="23310" xr:uid="{00000000-0005-0000-0000-0000421D0000}"/>
    <cellStyle name="Normal 2 54 5 11" xfId="5540" xr:uid="{00000000-0005-0000-0000-0000431D0000}"/>
    <cellStyle name="Normal 2 54 5 11 2" xfId="23311" xr:uid="{00000000-0005-0000-0000-0000441D0000}"/>
    <cellStyle name="Normal 2 54 5 12" xfId="5541" xr:uid="{00000000-0005-0000-0000-0000451D0000}"/>
    <cellStyle name="Normal 2 54 5 12 2" xfId="23312" xr:uid="{00000000-0005-0000-0000-0000461D0000}"/>
    <cellStyle name="Normal 2 54 5 13" xfId="5542" xr:uid="{00000000-0005-0000-0000-0000471D0000}"/>
    <cellStyle name="Normal 2 54 5 13 2" xfId="23313" xr:uid="{00000000-0005-0000-0000-0000481D0000}"/>
    <cellStyle name="Normal 2 54 5 14" xfId="5543" xr:uid="{00000000-0005-0000-0000-0000491D0000}"/>
    <cellStyle name="Normal 2 54 5 14 2" xfId="23314" xr:uid="{00000000-0005-0000-0000-00004A1D0000}"/>
    <cellStyle name="Normal 2 54 5 15" xfId="23309" xr:uid="{00000000-0005-0000-0000-00004B1D0000}"/>
    <cellStyle name="Normal 2 54 5 2" xfId="5544" xr:uid="{00000000-0005-0000-0000-00004C1D0000}"/>
    <cellStyle name="Normal 2 54 5 2 2" xfId="23315" xr:uid="{00000000-0005-0000-0000-00004D1D0000}"/>
    <cellStyle name="Normal 2 54 5 3" xfId="5545" xr:uid="{00000000-0005-0000-0000-00004E1D0000}"/>
    <cellStyle name="Normal 2 54 5 3 2" xfId="23316" xr:uid="{00000000-0005-0000-0000-00004F1D0000}"/>
    <cellStyle name="Normal 2 54 5 4" xfId="5546" xr:uid="{00000000-0005-0000-0000-0000501D0000}"/>
    <cellStyle name="Normal 2 54 5 4 2" xfId="23317" xr:uid="{00000000-0005-0000-0000-0000511D0000}"/>
    <cellStyle name="Normal 2 54 5 5" xfId="5547" xr:uid="{00000000-0005-0000-0000-0000521D0000}"/>
    <cellStyle name="Normal 2 54 5 5 2" xfId="23318" xr:uid="{00000000-0005-0000-0000-0000531D0000}"/>
    <cellStyle name="Normal 2 54 5 6" xfId="5548" xr:uid="{00000000-0005-0000-0000-0000541D0000}"/>
    <cellStyle name="Normal 2 54 5 6 2" xfId="23319" xr:uid="{00000000-0005-0000-0000-0000551D0000}"/>
    <cellStyle name="Normal 2 54 5 7" xfId="5549" xr:uid="{00000000-0005-0000-0000-0000561D0000}"/>
    <cellStyle name="Normal 2 54 5 7 2" xfId="23320" xr:uid="{00000000-0005-0000-0000-0000571D0000}"/>
    <cellStyle name="Normal 2 54 5 8" xfId="5550" xr:uid="{00000000-0005-0000-0000-0000581D0000}"/>
    <cellStyle name="Normal 2 54 5 8 2" xfId="23321" xr:uid="{00000000-0005-0000-0000-0000591D0000}"/>
    <cellStyle name="Normal 2 54 5 9" xfId="5551" xr:uid="{00000000-0005-0000-0000-00005A1D0000}"/>
    <cellStyle name="Normal 2 54 5 9 2" xfId="23322" xr:uid="{00000000-0005-0000-0000-00005B1D0000}"/>
    <cellStyle name="Normal 2 54 6" xfId="5552" xr:uid="{00000000-0005-0000-0000-00005C1D0000}"/>
    <cellStyle name="Normal 2 54 6 10" xfId="5553" xr:uid="{00000000-0005-0000-0000-00005D1D0000}"/>
    <cellStyle name="Normal 2 54 6 10 2" xfId="23324" xr:uid="{00000000-0005-0000-0000-00005E1D0000}"/>
    <cellStyle name="Normal 2 54 6 11" xfId="5554" xr:uid="{00000000-0005-0000-0000-00005F1D0000}"/>
    <cellStyle name="Normal 2 54 6 11 2" xfId="23325" xr:uid="{00000000-0005-0000-0000-0000601D0000}"/>
    <cellStyle name="Normal 2 54 6 12" xfId="5555" xr:uid="{00000000-0005-0000-0000-0000611D0000}"/>
    <cellStyle name="Normal 2 54 6 12 2" xfId="23326" xr:uid="{00000000-0005-0000-0000-0000621D0000}"/>
    <cellStyle name="Normal 2 54 6 13" xfId="5556" xr:uid="{00000000-0005-0000-0000-0000631D0000}"/>
    <cellStyle name="Normal 2 54 6 13 2" xfId="23327" xr:uid="{00000000-0005-0000-0000-0000641D0000}"/>
    <cellStyle name="Normal 2 54 6 14" xfId="5557" xr:uid="{00000000-0005-0000-0000-0000651D0000}"/>
    <cellStyle name="Normal 2 54 6 14 2" xfId="23328" xr:uid="{00000000-0005-0000-0000-0000661D0000}"/>
    <cellStyle name="Normal 2 54 6 15" xfId="23323" xr:uid="{00000000-0005-0000-0000-0000671D0000}"/>
    <cellStyle name="Normal 2 54 6 2" xfId="5558" xr:uid="{00000000-0005-0000-0000-0000681D0000}"/>
    <cellStyle name="Normal 2 54 6 2 2" xfId="23329" xr:uid="{00000000-0005-0000-0000-0000691D0000}"/>
    <cellStyle name="Normal 2 54 6 3" xfId="5559" xr:uid="{00000000-0005-0000-0000-00006A1D0000}"/>
    <cellStyle name="Normal 2 54 6 3 2" xfId="23330" xr:uid="{00000000-0005-0000-0000-00006B1D0000}"/>
    <cellStyle name="Normal 2 54 6 4" xfId="5560" xr:uid="{00000000-0005-0000-0000-00006C1D0000}"/>
    <cellStyle name="Normal 2 54 6 4 2" xfId="23331" xr:uid="{00000000-0005-0000-0000-00006D1D0000}"/>
    <cellStyle name="Normal 2 54 6 5" xfId="5561" xr:uid="{00000000-0005-0000-0000-00006E1D0000}"/>
    <cellStyle name="Normal 2 54 6 5 2" xfId="23332" xr:uid="{00000000-0005-0000-0000-00006F1D0000}"/>
    <cellStyle name="Normal 2 54 6 6" xfId="5562" xr:uid="{00000000-0005-0000-0000-0000701D0000}"/>
    <cellStyle name="Normal 2 54 6 6 2" xfId="23333" xr:uid="{00000000-0005-0000-0000-0000711D0000}"/>
    <cellStyle name="Normal 2 54 6 7" xfId="5563" xr:uid="{00000000-0005-0000-0000-0000721D0000}"/>
    <cellStyle name="Normal 2 54 6 7 2" xfId="23334" xr:uid="{00000000-0005-0000-0000-0000731D0000}"/>
    <cellStyle name="Normal 2 54 6 8" xfId="5564" xr:uid="{00000000-0005-0000-0000-0000741D0000}"/>
    <cellStyle name="Normal 2 54 6 8 2" xfId="23335" xr:uid="{00000000-0005-0000-0000-0000751D0000}"/>
    <cellStyle name="Normal 2 54 6 9" xfId="5565" xr:uid="{00000000-0005-0000-0000-0000761D0000}"/>
    <cellStyle name="Normal 2 54 6 9 2" xfId="23336" xr:uid="{00000000-0005-0000-0000-0000771D0000}"/>
    <cellStyle name="Normal 2 54 7" xfId="5566" xr:uid="{00000000-0005-0000-0000-0000781D0000}"/>
    <cellStyle name="Normal 2 54 7 10" xfId="5567" xr:uid="{00000000-0005-0000-0000-0000791D0000}"/>
    <cellStyle name="Normal 2 54 7 10 2" xfId="23338" xr:uid="{00000000-0005-0000-0000-00007A1D0000}"/>
    <cellStyle name="Normal 2 54 7 11" xfId="5568" xr:uid="{00000000-0005-0000-0000-00007B1D0000}"/>
    <cellStyle name="Normal 2 54 7 11 2" xfId="23339" xr:uid="{00000000-0005-0000-0000-00007C1D0000}"/>
    <cellStyle name="Normal 2 54 7 12" xfId="5569" xr:uid="{00000000-0005-0000-0000-00007D1D0000}"/>
    <cellStyle name="Normal 2 54 7 12 2" xfId="23340" xr:uid="{00000000-0005-0000-0000-00007E1D0000}"/>
    <cellStyle name="Normal 2 54 7 13" xfId="5570" xr:uid="{00000000-0005-0000-0000-00007F1D0000}"/>
    <cellStyle name="Normal 2 54 7 13 2" xfId="23341" xr:uid="{00000000-0005-0000-0000-0000801D0000}"/>
    <cellStyle name="Normal 2 54 7 14" xfId="5571" xr:uid="{00000000-0005-0000-0000-0000811D0000}"/>
    <cellStyle name="Normal 2 54 7 14 2" xfId="23342" xr:uid="{00000000-0005-0000-0000-0000821D0000}"/>
    <cellStyle name="Normal 2 54 7 15" xfId="23337" xr:uid="{00000000-0005-0000-0000-0000831D0000}"/>
    <cellStyle name="Normal 2 54 7 2" xfId="5572" xr:uid="{00000000-0005-0000-0000-0000841D0000}"/>
    <cellStyle name="Normal 2 54 7 2 2" xfId="23343" xr:uid="{00000000-0005-0000-0000-0000851D0000}"/>
    <cellStyle name="Normal 2 54 7 3" xfId="5573" xr:uid="{00000000-0005-0000-0000-0000861D0000}"/>
    <cellStyle name="Normal 2 54 7 3 2" xfId="23344" xr:uid="{00000000-0005-0000-0000-0000871D0000}"/>
    <cellStyle name="Normal 2 54 7 4" xfId="5574" xr:uid="{00000000-0005-0000-0000-0000881D0000}"/>
    <cellStyle name="Normal 2 54 7 4 2" xfId="23345" xr:uid="{00000000-0005-0000-0000-0000891D0000}"/>
    <cellStyle name="Normal 2 54 7 5" xfId="5575" xr:uid="{00000000-0005-0000-0000-00008A1D0000}"/>
    <cellStyle name="Normal 2 54 7 5 2" xfId="23346" xr:uid="{00000000-0005-0000-0000-00008B1D0000}"/>
    <cellStyle name="Normal 2 54 7 6" xfId="5576" xr:uid="{00000000-0005-0000-0000-00008C1D0000}"/>
    <cellStyle name="Normal 2 54 7 6 2" xfId="23347" xr:uid="{00000000-0005-0000-0000-00008D1D0000}"/>
    <cellStyle name="Normal 2 54 7 7" xfId="5577" xr:uid="{00000000-0005-0000-0000-00008E1D0000}"/>
    <cellStyle name="Normal 2 54 7 7 2" xfId="23348" xr:uid="{00000000-0005-0000-0000-00008F1D0000}"/>
    <cellStyle name="Normal 2 54 7 8" xfId="5578" xr:uid="{00000000-0005-0000-0000-0000901D0000}"/>
    <cellStyle name="Normal 2 54 7 8 2" xfId="23349" xr:uid="{00000000-0005-0000-0000-0000911D0000}"/>
    <cellStyle name="Normal 2 54 7 9" xfId="5579" xr:uid="{00000000-0005-0000-0000-0000921D0000}"/>
    <cellStyle name="Normal 2 54 7 9 2" xfId="23350" xr:uid="{00000000-0005-0000-0000-0000931D0000}"/>
    <cellStyle name="Normal 2 54 8" xfId="5580" xr:uid="{00000000-0005-0000-0000-0000941D0000}"/>
    <cellStyle name="Normal 2 54 8 10" xfId="5581" xr:uid="{00000000-0005-0000-0000-0000951D0000}"/>
    <cellStyle name="Normal 2 54 8 10 2" xfId="23352" xr:uid="{00000000-0005-0000-0000-0000961D0000}"/>
    <cellStyle name="Normal 2 54 8 11" xfId="5582" xr:uid="{00000000-0005-0000-0000-0000971D0000}"/>
    <cellStyle name="Normal 2 54 8 11 2" xfId="23353" xr:uid="{00000000-0005-0000-0000-0000981D0000}"/>
    <cellStyle name="Normal 2 54 8 12" xfId="5583" xr:uid="{00000000-0005-0000-0000-0000991D0000}"/>
    <cellStyle name="Normal 2 54 8 12 2" xfId="23354" xr:uid="{00000000-0005-0000-0000-00009A1D0000}"/>
    <cellStyle name="Normal 2 54 8 13" xfId="5584" xr:uid="{00000000-0005-0000-0000-00009B1D0000}"/>
    <cellStyle name="Normal 2 54 8 13 2" xfId="23355" xr:uid="{00000000-0005-0000-0000-00009C1D0000}"/>
    <cellStyle name="Normal 2 54 8 14" xfId="5585" xr:uid="{00000000-0005-0000-0000-00009D1D0000}"/>
    <cellStyle name="Normal 2 54 8 14 2" xfId="23356" xr:uid="{00000000-0005-0000-0000-00009E1D0000}"/>
    <cellStyle name="Normal 2 54 8 15" xfId="23351" xr:uid="{00000000-0005-0000-0000-00009F1D0000}"/>
    <cellStyle name="Normal 2 54 8 2" xfId="5586" xr:uid="{00000000-0005-0000-0000-0000A01D0000}"/>
    <cellStyle name="Normal 2 54 8 2 2" xfId="23357" xr:uid="{00000000-0005-0000-0000-0000A11D0000}"/>
    <cellStyle name="Normal 2 54 8 3" xfId="5587" xr:uid="{00000000-0005-0000-0000-0000A21D0000}"/>
    <cellStyle name="Normal 2 54 8 3 2" xfId="23358" xr:uid="{00000000-0005-0000-0000-0000A31D0000}"/>
    <cellStyle name="Normal 2 54 8 4" xfId="5588" xr:uid="{00000000-0005-0000-0000-0000A41D0000}"/>
    <cellStyle name="Normal 2 54 8 4 2" xfId="23359" xr:uid="{00000000-0005-0000-0000-0000A51D0000}"/>
    <cellStyle name="Normal 2 54 8 5" xfId="5589" xr:uid="{00000000-0005-0000-0000-0000A61D0000}"/>
    <cellStyle name="Normal 2 54 8 5 2" xfId="23360" xr:uid="{00000000-0005-0000-0000-0000A71D0000}"/>
    <cellStyle name="Normal 2 54 8 6" xfId="5590" xr:uid="{00000000-0005-0000-0000-0000A81D0000}"/>
    <cellStyle name="Normal 2 54 8 6 2" xfId="23361" xr:uid="{00000000-0005-0000-0000-0000A91D0000}"/>
    <cellStyle name="Normal 2 54 8 7" xfId="5591" xr:uid="{00000000-0005-0000-0000-0000AA1D0000}"/>
    <cellStyle name="Normal 2 54 8 7 2" xfId="23362" xr:uid="{00000000-0005-0000-0000-0000AB1D0000}"/>
    <cellStyle name="Normal 2 54 8 8" xfId="5592" xr:uid="{00000000-0005-0000-0000-0000AC1D0000}"/>
    <cellStyle name="Normal 2 54 8 8 2" xfId="23363" xr:uid="{00000000-0005-0000-0000-0000AD1D0000}"/>
    <cellStyle name="Normal 2 54 8 9" xfId="5593" xr:uid="{00000000-0005-0000-0000-0000AE1D0000}"/>
    <cellStyle name="Normal 2 54 8 9 2" xfId="23364" xr:uid="{00000000-0005-0000-0000-0000AF1D0000}"/>
    <cellStyle name="Normal 2 54 9" xfId="5594" xr:uid="{00000000-0005-0000-0000-0000B01D0000}"/>
    <cellStyle name="Normal 2 54 9 10" xfId="5595" xr:uid="{00000000-0005-0000-0000-0000B11D0000}"/>
    <cellStyle name="Normal 2 54 9 10 2" xfId="23366" xr:uid="{00000000-0005-0000-0000-0000B21D0000}"/>
    <cellStyle name="Normal 2 54 9 11" xfId="5596" xr:uid="{00000000-0005-0000-0000-0000B31D0000}"/>
    <cellStyle name="Normal 2 54 9 11 2" xfId="23367" xr:uid="{00000000-0005-0000-0000-0000B41D0000}"/>
    <cellStyle name="Normal 2 54 9 12" xfId="5597" xr:uid="{00000000-0005-0000-0000-0000B51D0000}"/>
    <cellStyle name="Normal 2 54 9 12 2" xfId="23368" xr:uid="{00000000-0005-0000-0000-0000B61D0000}"/>
    <cellStyle name="Normal 2 54 9 13" xfId="5598" xr:uid="{00000000-0005-0000-0000-0000B71D0000}"/>
    <cellStyle name="Normal 2 54 9 13 2" xfId="23369" xr:uid="{00000000-0005-0000-0000-0000B81D0000}"/>
    <cellStyle name="Normal 2 54 9 14" xfId="5599" xr:uid="{00000000-0005-0000-0000-0000B91D0000}"/>
    <cellStyle name="Normal 2 54 9 14 2" xfId="23370" xr:uid="{00000000-0005-0000-0000-0000BA1D0000}"/>
    <cellStyle name="Normal 2 54 9 15" xfId="23365" xr:uid="{00000000-0005-0000-0000-0000BB1D0000}"/>
    <cellStyle name="Normal 2 54 9 2" xfId="5600" xr:uid="{00000000-0005-0000-0000-0000BC1D0000}"/>
    <cellStyle name="Normal 2 54 9 2 2" xfId="23371" xr:uid="{00000000-0005-0000-0000-0000BD1D0000}"/>
    <cellStyle name="Normal 2 54 9 3" xfId="5601" xr:uid="{00000000-0005-0000-0000-0000BE1D0000}"/>
    <cellStyle name="Normal 2 54 9 3 2" xfId="23372" xr:uid="{00000000-0005-0000-0000-0000BF1D0000}"/>
    <cellStyle name="Normal 2 54 9 4" xfId="5602" xr:uid="{00000000-0005-0000-0000-0000C01D0000}"/>
    <cellStyle name="Normal 2 54 9 4 2" xfId="23373" xr:uid="{00000000-0005-0000-0000-0000C11D0000}"/>
    <cellStyle name="Normal 2 54 9 5" xfId="5603" xr:uid="{00000000-0005-0000-0000-0000C21D0000}"/>
    <cellStyle name="Normal 2 54 9 5 2" xfId="23374" xr:uid="{00000000-0005-0000-0000-0000C31D0000}"/>
    <cellStyle name="Normal 2 54 9 6" xfId="5604" xr:uid="{00000000-0005-0000-0000-0000C41D0000}"/>
    <cellStyle name="Normal 2 54 9 6 2" xfId="23375" xr:uid="{00000000-0005-0000-0000-0000C51D0000}"/>
    <cellStyle name="Normal 2 54 9 7" xfId="5605" xr:uid="{00000000-0005-0000-0000-0000C61D0000}"/>
    <cellStyle name="Normal 2 54 9 7 2" xfId="23376" xr:uid="{00000000-0005-0000-0000-0000C71D0000}"/>
    <cellStyle name="Normal 2 54 9 8" xfId="5606" xr:uid="{00000000-0005-0000-0000-0000C81D0000}"/>
    <cellStyle name="Normal 2 54 9 8 2" xfId="23377" xr:uid="{00000000-0005-0000-0000-0000C91D0000}"/>
    <cellStyle name="Normal 2 54 9 9" xfId="5607" xr:uid="{00000000-0005-0000-0000-0000CA1D0000}"/>
    <cellStyle name="Normal 2 54 9 9 2" xfId="23378" xr:uid="{00000000-0005-0000-0000-0000CB1D0000}"/>
    <cellStyle name="Normal 2 55" xfId="5608" xr:uid="{00000000-0005-0000-0000-0000CC1D0000}"/>
    <cellStyle name="Normal 2 55 10" xfId="5609" xr:uid="{00000000-0005-0000-0000-0000CD1D0000}"/>
    <cellStyle name="Normal 2 55 10 10" xfId="5610" xr:uid="{00000000-0005-0000-0000-0000CE1D0000}"/>
    <cellStyle name="Normal 2 55 10 10 2" xfId="23381" xr:uid="{00000000-0005-0000-0000-0000CF1D0000}"/>
    <cellStyle name="Normal 2 55 10 11" xfId="5611" xr:uid="{00000000-0005-0000-0000-0000D01D0000}"/>
    <cellStyle name="Normal 2 55 10 11 2" xfId="23382" xr:uid="{00000000-0005-0000-0000-0000D11D0000}"/>
    <cellStyle name="Normal 2 55 10 12" xfId="5612" xr:uid="{00000000-0005-0000-0000-0000D21D0000}"/>
    <cellStyle name="Normal 2 55 10 12 2" xfId="23383" xr:uid="{00000000-0005-0000-0000-0000D31D0000}"/>
    <cellStyle name="Normal 2 55 10 13" xfId="5613" xr:uid="{00000000-0005-0000-0000-0000D41D0000}"/>
    <cellStyle name="Normal 2 55 10 13 2" xfId="23384" xr:uid="{00000000-0005-0000-0000-0000D51D0000}"/>
    <cellStyle name="Normal 2 55 10 14" xfId="5614" xr:uid="{00000000-0005-0000-0000-0000D61D0000}"/>
    <cellStyle name="Normal 2 55 10 14 2" xfId="23385" xr:uid="{00000000-0005-0000-0000-0000D71D0000}"/>
    <cellStyle name="Normal 2 55 10 15" xfId="23380" xr:uid="{00000000-0005-0000-0000-0000D81D0000}"/>
    <cellStyle name="Normal 2 55 10 2" xfId="5615" xr:uid="{00000000-0005-0000-0000-0000D91D0000}"/>
    <cellStyle name="Normal 2 55 10 2 2" xfId="23386" xr:uid="{00000000-0005-0000-0000-0000DA1D0000}"/>
    <cellStyle name="Normal 2 55 10 3" xfId="5616" xr:uid="{00000000-0005-0000-0000-0000DB1D0000}"/>
    <cellStyle name="Normal 2 55 10 3 2" xfId="23387" xr:uid="{00000000-0005-0000-0000-0000DC1D0000}"/>
    <cellStyle name="Normal 2 55 10 4" xfId="5617" xr:uid="{00000000-0005-0000-0000-0000DD1D0000}"/>
    <cellStyle name="Normal 2 55 10 4 2" xfId="23388" xr:uid="{00000000-0005-0000-0000-0000DE1D0000}"/>
    <cellStyle name="Normal 2 55 10 5" xfId="5618" xr:uid="{00000000-0005-0000-0000-0000DF1D0000}"/>
    <cellStyle name="Normal 2 55 10 5 2" xfId="23389" xr:uid="{00000000-0005-0000-0000-0000E01D0000}"/>
    <cellStyle name="Normal 2 55 10 6" xfId="5619" xr:uid="{00000000-0005-0000-0000-0000E11D0000}"/>
    <cellStyle name="Normal 2 55 10 6 2" xfId="23390" xr:uid="{00000000-0005-0000-0000-0000E21D0000}"/>
    <cellStyle name="Normal 2 55 10 7" xfId="5620" xr:uid="{00000000-0005-0000-0000-0000E31D0000}"/>
    <cellStyle name="Normal 2 55 10 7 2" xfId="23391" xr:uid="{00000000-0005-0000-0000-0000E41D0000}"/>
    <cellStyle name="Normal 2 55 10 8" xfId="5621" xr:uid="{00000000-0005-0000-0000-0000E51D0000}"/>
    <cellStyle name="Normal 2 55 10 8 2" xfId="23392" xr:uid="{00000000-0005-0000-0000-0000E61D0000}"/>
    <cellStyle name="Normal 2 55 10 9" xfId="5622" xr:uid="{00000000-0005-0000-0000-0000E71D0000}"/>
    <cellStyle name="Normal 2 55 10 9 2" xfId="23393" xr:uid="{00000000-0005-0000-0000-0000E81D0000}"/>
    <cellStyle name="Normal 2 55 11" xfId="5623" xr:uid="{00000000-0005-0000-0000-0000E91D0000}"/>
    <cellStyle name="Normal 2 55 11 2" xfId="23394" xr:uid="{00000000-0005-0000-0000-0000EA1D0000}"/>
    <cellStyle name="Normal 2 55 12" xfId="5624" xr:uid="{00000000-0005-0000-0000-0000EB1D0000}"/>
    <cellStyle name="Normal 2 55 12 2" xfId="23395" xr:uid="{00000000-0005-0000-0000-0000EC1D0000}"/>
    <cellStyle name="Normal 2 55 13" xfId="5625" xr:uid="{00000000-0005-0000-0000-0000ED1D0000}"/>
    <cellStyle name="Normal 2 55 13 2" xfId="23396" xr:uid="{00000000-0005-0000-0000-0000EE1D0000}"/>
    <cellStyle name="Normal 2 55 14" xfId="5626" xr:uid="{00000000-0005-0000-0000-0000EF1D0000}"/>
    <cellStyle name="Normal 2 55 14 2" xfId="23397" xr:uid="{00000000-0005-0000-0000-0000F01D0000}"/>
    <cellStyle name="Normal 2 55 15" xfId="5627" xr:uid="{00000000-0005-0000-0000-0000F11D0000}"/>
    <cellStyle name="Normal 2 55 15 2" xfId="23398" xr:uid="{00000000-0005-0000-0000-0000F21D0000}"/>
    <cellStyle name="Normal 2 55 16" xfId="5628" xr:uid="{00000000-0005-0000-0000-0000F31D0000}"/>
    <cellStyle name="Normal 2 55 16 2" xfId="23399" xr:uid="{00000000-0005-0000-0000-0000F41D0000}"/>
    <cellStyle name="Normal 2 55 17" xfId="5629" xr:uid="{00000000-0005-0000-0000-0000F51D0000}"/>
    <cellStyle name="Normal 2 55 17 2" xfId="23400" xr:uid="{00000000-0005-0000-0000-0000F61D0000}"/>
    <cellStyle name="Normal 2 55 18" xfId="5630" xr:uid="{00000000-0005-0000-0000-0000F71D0000}"/>
    <cellStyle name="Normal 2 55 18 2" xfId="23401" xr:uid="{00000000-0005-0000-0000-0000F81D0000}"/>
    <cellStyle name="Normal 2 55 19" xfId="5631" xr:uid="{00000000-0005-0000-0000-0000F91D0000}"/>
    <cellStyle name="Normal 2 55 19 2" xfId="23402" xr:uid="{00000000-0005-0000-0000-0000FA1D0000}"/>
    <cellStyle name="Normal 2 55 2" xfId="5632" xr:uid="{00000000-0005-0000-0000-0000FB1D0000}"/>
    <cellStyle name="Normal 2 55 2 10" xfId="5633" xr:uid="{00000000-0005-0000-0000-0000FC1D0000}"/>
    <cellStyle name="Normal 2 55 2 10 2" xfId="23404" xr:uid="{00000000-0005-0000-0000-0000FD1D0000}"/>
    <cellStyle name="Normal 2 55 2 11" xfId="5634" xr:uid="{00000000-0005-0000-0000-0000FE1D0000}"/>
    <cellStyle name="Normal 2 55 2 11 2" xfId="23405" xr:uid="{00000000-0005-0000-0000-0000FF1D0000}"/>
    <cellStyle name="Normal 2 55 2 12" xfId="5635" xr:uid="{00000000-0005-0000-0000-0000001E0000}"/>
    <cellStyle name="Normal 2 55 2 12 2" xfId="23406" xr:uid="{00000000-0005-0000-0000-0000011E0000}"/>
    <cellStyle name="Normal 2 55 2 13" xfId="5636" xr:uid="{00000000-0005-0000-0000-0000021E0000}"/>
    <cellStyle name="Normal 2 55 2 13 2" xfId="23407" xr:uid="{00000000-0005-0000-0000-0000031E0000}"/>
    <cellStyle name="Normal 2 55 2 14" xfId="5637" xr:uid="{00000000-0005-0000-0000-0000041E0000}"/>
    <cellStyle name="Normal 2 55 2 14 2" xfId="23408" xr:uid="{00000000-0005-0000-0000-0000051E0000}"/>
    <cellStyle name="Normal 2 55 2 15" xfId="5638" xr:uid="{00000000-0005-0000-0000-0000061E0000}"/>
    <cellStyle name="Normal 2 55 2 15 2" xfId="23409" xr:uid="{00000000-0005-0000-0000-0000071E0000}"/>
    <cellStyle name="Normal 2 55 2 16" xfId="23403" xr:uid="{00000000-0005-0000-0000-0000081E0000}"/>
    <cellStyle name="Normal 2 55 2 2" xfId="5639" xr:uid="{00000000-0005-0000-0000-0000091E0000}"/>
    <cellStyle name="Normal 2 55 2 2 10" xfId="5640" xr:uid="{00000000-0005-0000-0000-00000A1E0000}"/>
    <cellStyle name="Normal 2 55 2 2 10 2" xfId="23411" xr:uid="{00000000-0005-0000-0000-00000B1E0000}"/>
    <cellStyle name="Normal 2 55 2 2 11" xfId="5641" xr:uid="{00000000-0005-0000-0000-00000C1E0000}"/>
    <cellStyle name="Normal 2 55 2 2 11 2" xfId="23412" xr:uid="{00000000-0005-0000-0000-00000D1E0000}"/>
    <cellStyle name="Normal 2 55 2 2 12" xfId="5642" xr:uid="{00000000-0005-0000-0000-00000E1E0000}"/>
    <cellStyle name="Normal 2 55 2 2 12 2" xfId="23413" xr:uid="{00000000-0005-0000-0000-00000F1E0000}"/>
    <cellStyle name="Normal 2 55 2 2 13" xfId="5643" xr:uid="{00000000-0005-0000-0000-0000101E0000}"/>
    <cellStyle name="Normal 2 55 2 2 13 2" xfId="23414" xr:uid="{00000000-0005-0000-0000-0000111E0000}"/>
    <cellStyle name="Normal 2 55 2 2 14" xfId="5644" xr:uid="{00000000-0005-0000-0000-0000121E0000}"/>
    <cellStyle name="Normal 2 55 2 2 14 2" xfId="23415" xr:uid="{00000000-0005-0000-0000-0000131E0000}"/>
    <cellStyle name="Normal 2 55 2 2 15" xfId="23410" xr:uid="{00000000-0005-0000-0000-0000141E0000}"/>
    <cellStyle name="Normal 2 55 2 2 2" xfId="5645" xr:uid="{00000000-0005-0000-0000-0000151E0000}"/>
    <cellStyle name="Normal 2 55 2 2 2 2" xfId="23416" xr:uid="{00000000-0005-0000-0000-0000161E0000}"/>
    <cellStyle name="Normal 2 55 2 2 3" xfId="5646" xr:uid="{00000000-0005-0000-0000-0000171E0000}"/>
    <cellStyle name="Normal 2 55 2 2 3 2" xfId="23417" xr:uid="{00000000-0005-0000-0000-0000181E0000}"/>
    <cellStyle name="Normal 2 55 2 2 4" xfId="5647" xr:uid="{00000000-0005-0000-0000-0000191E0000}"/>
    <cellStyle name="Normal 2 55 2 2 4 2" xfId="23418" xr:uid="{00000000-0005-0000-0000-00001A1E0000}"/>
    <cellStyle name="Normal 2 55 2 2 5" xfId="5648" xr:uid="{00000000-0005-0000-0000-00001B1E0000}"/>
    <cellStyle name="Normal 2 55 2 2 5 2" xfId="23419" xr:uid="{00000000-0005-0000-0000-00001C1E0000}"/>
    <cellStyle name="Normal 2 55 2 2 6" xfId="5649" xr:uid="{00000000-0005-0000-0000-00001D1E0000}"/>
    <cellStyle name="Normal 2 55 2 2 6 2" xfId="23420" xr:uid="{00000000-0005-0000-0000-00001E1E0000}"/>
    <cellStyle name="Normal 2 55 2 2 7" xfId="5650" xr:uid="{00000000-0005-0000-0000-00001F1E0000}"/>
    <cellStyle name="Normal 2 55 2 2 7 2" xfId="23421" xr:uid="{00000000-0005-0000-0000-0000201E0000}"/>
    <cellStyle name="Normal 2 55 2 2 8" xfId="5651" xr:uid="{00000000-0005-0000-0000-0000211E0000}"/>
    <cellStyle name="Normal 2 55 2 2 8 2" xfId="23422" xr:uid="{00000000-0005-0000-0000-0000221E0000}"/>
    <cellStyle name="Normal 2 55 2 2 9" xfId="5652" xr:uid="{00000000-0005-0000-0000-0000231E0000}"/>
    <cellStyle name="Normal 2 55 2 2 9 2" xfId="23423" xr:uid="{00000000-0005-0000-0000-0000241E0000}"/>
    <cellStyle name="Normal 2 55 2 3" xfId="5653" xr:uid="{00000000-0005-0000-0000-0000251E0000}"/>
    <cellStyle name="Normal 2 55 2 3 2" xfId="23424" xr:uid="{00000000-0005-0000-0000-0000261E0000}"/>
    <cellStyle name="Normal 2 55 2 4" xfId="5654" xr:uid="{00000000-0005-0000-0000-0000271E0000}"/>
    <cellStyle name="Normal 2 55 2 4 2" xfId="23425" xr:uid="{00000000-0005-0000-0000-0000281E0000}"/>
    <cellStyle name="Normal 2 55 2 5" xfId="5655" xr:uid="{00000000-0005-0000-0000-0000291E0000}"/>
    <cellStyle name="Normal 2 55 2 5 2" xfId="23426" xr:uid="{00000000-0005-0000-0000-00002A1E0000}"/>
    <cellStyle name="Normal 2 55 2 6" xfId="5656" xr:uid="{00000000-0005-0000-0000-00002B1E0000}"/>
    <cellStyle name="Normal 2 55 2 6 2" xfId="23427" xr:uid="{00000000-0005-0000-0000-00002C1E0000}"/>
    <cellStyle name="Normal 2 55 2 7" xfId="5657" xr:uid="{00000000-0005-0000-0000-00002D1E0000}"/>
    <cellStyle name="Normal 2 55 2 7 2" xfId="23428" xr:uid="{00000000-0005-0000-0000-00002E1E0000}"/>
    <cellStyle name="Normal 2 55 2 8" xfId="5658" xr:uid="{00000000-0005-0000-0000-00002F1E0000}"/>
    <cellStyle name="Normal 2 55 2 8 2" xfId="23429" xr:uid="{00000000-0005-0000-0000-0000301E0000}"/>
    <cellStyle name="Normal 2 55 2 9" xfId="5659" xr:uid="{00000000-0005-0000-0000-0000311E0000}"/>
    <cellStyle name="Normal 2 55 2 9 2" xfId="23430" xr:uid="{00000000-0005-0000-0000-0000321E0000}"/>
    <cellStyle name="Normal 2 55 20" xfId="5660" xr:uid="{00000000-0005-0000-0000-0000331E0000}"/>
    <cellStyle name="Normal 2 55 20 2" xfId="23431" xr:uid="{00000000-0005-0000-0000-0000341E0000}"/>
    <cellStyle name="Normal 2 55 21" xfId="5661" xr:uid="{00000000-0005-0000-0000-0000351E0000}"/>
    <cellStyle name="Normal 2 55 21 2" xfId="23432" xr:uid="{00000000-0005-0000-0000-0000361E0000}"/>
    <cellStyle name="Normal 2 55 22" xfId="5662" xr:uid="{00000000-0005-0000-0000-0000371E0000}"/>
    <cellStyle name="Normal 2 55 22 2" xfId="23433" xr:uid="{00000000-0005-0000-0000-0000381E0000}"/>
    <cellStyle name="Normal 2 55 23" xfId="5663" xr:uid="{00000000-0005-0000-0000-0000391E0000}"/>
    <cellStyle name="Normal 2 55 23 2" xfId="23434" xr:uid="{00000000-0005-0000-0000-00003A1E0000}"/>
    <cellStyle name="Normal 2 55 24" xfId="23379" xr:uid="{00000000-0005-0000-0000-00003B1E0000}"/>
    <cellStyle name="Normal 2 55 3" xfId="5664" xr:uid="{00000000-0005-0000-0000-00003C1E0000}"/>
    <cellStyle name="Normal 2 55 3 10" xfId="5665" xr:uid="{00000000-0005-0000-0000-00003D1E0000}"/>
    <cellStyle name="Normal 2 55 3 10 2" xfId="23436" xr:uid="{00000000-0005-0000-0000-00003E1E0000}"/>
    <cellStyle name="Normal 2 55 3 11" xfId="5666" xr:uid="{00000000-0005-0000-0000-00003F1E0000}"/>
    <cellStyle name="Normal 2 55 3 11 2" xfId="23437" xr:uid="{00000000-0005-0000-0000-0000401E0000}"/>
    <cellStyle name="Normal 2 55 3 12" xfId="5667" xr:uid="{00000000-0005-0000-0000-0000411E0000}"/>
    <cellStyle name="Normal 2 55 3 12 2" xfId="23438" xr:uid="{00000000-0005-0000-0000-0000421E0000}"/>
    <cellStyle name="Normal 2 55 3 13" xfId="5668" xr:uid="{00000000-0005-0000-0000-0000431E0000}"/>
    <cellStyle name="Normal 2 55 3 13 2" xfId="23439" xr:uid="{00000000-0005-0000-0000-0000441E0000}"/>
    <cellStyle name="Normal 2 55 3 14" xfId="5669" xr:uid="{00000000-0005-0000-0000-0000451E0000}"/>
    <cellStyle name="Normal 2 55 3 14 2" xfId="23440" xr:uid="{00000000-0005-0000-0000-0000461E0000}"/>
    <cellStyle name="Normal 2 55 3 15" xfId="5670" xr:uid="{00000000-0005-0000-0000-0000471E0000}"/>
    <cellStyle name="Normal 2 55 3 15 2" xfId="23441" xr:uid="{00000000-0005-0000-0000-0000481E0000}"/>
    <cellStyle name="Normal 2 55 3 16" xfId="23435" xr:uid="{00000000-0005-0000-0000-0000491E0000}"/>
    <cellStyle name="Normal 2 55 3 2" xfId="5671" xr:uid="{00000000-0005-0000-0000-00004A1E0000}"/>
    <cellStyle name="Normal 2 55 3 2 10" xfId="5672" xr:uid="{00000000-0005-0000-0000-00004B1E0000}"/>
    <cellStyle name="Normal 2 55 3 2 10 2" xfId="23443" xr:uid="{00000000-0005-0000-0000-00004C1E0000}"/>
    <cellStyle name="Normal 2 55 3 2 11" xfId="5673" xr:uid="{00000000-0005-0000-0000-00004D1E0000}"/>
    <cellStyle name="Normal 2 55 3 2 11 2" xfId="23444" xr:uid="{00000000-0005-0000-0000-00004E1E0000}"/>
    <cellStyle name="Normal 2 55 3 2 12" xfId="5674" xr:uid="{00000000-0005-0000-0000-00004F1E0000}"/>
    <cellStyle name="Normal 2 55 3 2 12 2" xfId="23445" xr:uid="{00000000-0005-0000-0000-0000501E0000}"/>
    <cellStyle name="Normal 2 55 3 2 13" xfId="5675" xr:uid="{00000000-0005-0000-0000-0000511E0000}"/>
    <cellStyle name="Normal 2 55 3 2 13 2" xfId="23446" xr:uid="{00000000-0005-0000-0000-0000521E0000}"/>
    <cellStyle name="Normal 2 55 3 2 14" xfId="5676" xr:uid="{00000000-0005-0000-0000-0000531E0000}"/>
    <cellStyle name="Normal 2 55 3 2 14 2" xfId="23447" xr:uid="{00000000-0005-0000-0000-0000541E0000}"/>
    <cellStyle name="Normal 2 55 3 2 15" xfId="23442" xr:uid="{00000000-0005-0000-0000-0000551E0000}"/>
    <cellStyle name="Normal 2 55 3 2 2" xfId="5677" xr:uid="{00000000-0005-0000-0000-0000561E0000}"/>
    <cellStyle name="Normal 2 55 3 2 2 2" xfId="23448" xr:uid="{00000000-0005-0000-0000-0000571E0000}"/>
    <cellStyle name="Normal 2 55 3 2 3" xfId="5678" xr:uid="{00000000-0005-0000-0000-0000581E0000}"/>
    <cellStyle name="Normal 2 55 3 2 3 2" xfId="23449" xr:uid="{00000000-0005-0000-0000-0000591E0000}"/>
    <cellStyle name="Normal 2 55 3 2 4" xfId="5679" xr:uid="{00000000-0005-0000-0000-00005A1E0000}"/>
    <cellStyle name="Normal 2 55 3 2 4 2" xfId="23450" xr:uid="{00000000-0005-0000-0000-00005B1E0000}"/>
    <cellStyle name="Normal 2 55 3 2 5" xfId="5680" xr:uid="{00000000-0005-0000-0000-00005C1E0000}"/>
    <cellStyle name="Normal 2 55 3 2 5 2" xfId="23451" xr:uid="{00000000-0005-0000-0000-00005D1E0000}"/>
    <cellStyle name="Normal 2 55 3 2 6" xfId="5681" xr:uid="{00000000-0005-0000-0000-00005E1E0000}"/>
    <cellStyle name="Normal 2 55 3 2 6 2" xfId="23452" xr:uid="{00000000-0005-0000-0000-00005F1E0000}"/>
    <cellStyle name="Normal 2 55 3 2 7" xfId="5682" xr:uid="{00000000-0005-0000-0000-0000601E0000}"/>
    <cellStyle name="Normal 2 55 3 2 7 2" xfId="23453" xr:uid="{00000000-0005-0000-0000-0000611E0000}"/>
    <cellStyle name="Normal 2 55 3 2 8" xfId="5683" xr:uid="{00000000-0005-0000-0000-0000621E0000}"/>
    <cellStyle name="Normal 2 55 3 2 8 2" xfId="23454" xr:uid="{00000000-0005-0000-0000-0000631E0000}"/>
    <cellStyle name="Normal 2 55 3 2 9" xfId="5684" xr:uid="{00000000-0005-0000-0000-0000641E0000}"/>
    <cellStyle name="Normal 2 55 3 2 9 2" xfId="23455" xr:uid="{00000000-0005-0000-0000-0000651E0000}"/>
    <cellStyle name="Normal 2 55 3 3" xfId="5685" xr:uid="{00000000-0005-0000-0000-0000661E0000}"/>
    <cellStyle name="Normal 2 55 3 3 2" xfId="23456" xr:uid="{00000000-0005-0000-0000-0000671E0000}"/>
    <cellStyle name="Normal 2 55 3 4" xfId="5686" xr:uid="{00000000-0005-0000-0000-0000681E0000}"/>
    <cellStyle name="Normal 2 55 3 4 2" xfId="23457" xr:uid="{00000000-0005-0000-0000-0000691E0000}"/>
    <cellStyle name="Normal 2 55 3 5" xfId="5687" xr:uid="{00000000-0005-0000-0000-00006A1E0000}"/>
    <cellStyle name="Normal 2 55 3 5 2" xfId="23458" xr:uid="{00000000-0005-0000-0000-00006B1E0000}"/>
    <cellStyle name="Normal 2 55 3 6" xfId="5688" xr:uid="{00000000-0005-0000-0000-00006C1E0000}"/>
    <cellStyle name="Normal 2 55 3 6 2" xfId="23459" xr:uid="{00000000-0005-0000-0000-00006D1E0000}"/>
    <cellStyle name="Normal 2 55 3 7" xfId="5689" xr:uid="{00000000-0005-0000-0000-00006E1E0000}"/>
    <cellStyle name="Normal 2 55 3 7 2" xfId="23460" xr:uid="{00000000-0005-0000-0000-00006F1E0000}"/>
    <cellStyle name="Normal 2 55 3 8" xfId="5690" xr:uid="{00000000-0005-0000-0000-0000701E0000}"/>
    <cellStyle name="Normal 2 55 3 8 2" xfId="23461" xr:uid="{00000000-0005-0000-0000-0000711E0000}"/>
    <cellStyle name="Normal 2 55 3 9" xfId="5691" xr:uid="{00000000-0005-0000-0000-0000721E0000}"/>
    <cellStyle name="Normal 2 55 3 9 2" xfId="23462" xr:uid="{00000000-0005-0000-0000-0000731E0000}"/>
    <cellStyle name="Normal 2 55 4" xfId="5692" xr:uid="{00000000-0005-0000-0000-0000741E0000}"/>
    <cellStyle name="Normal 2 55 4 10" xfId="5693" xr:uid="{00000000-0005-0000-0000-0000751E0000}"/>
    <cellStyle name="Normal 2 55 4 10 2" xfId="23464" xr:uid="{00000000-0005-0000-0000-0000761E0000}"/>
    <cellStyle name="Normal 2 55 4 11" xfId="5694" xr:uid="{00000000-0005-0000-0000-0000771E0000}"/>
    <cellStyle name="Normal 2 55 4 11 2" xfId="23465" xr:uid="{00000000-0005-0000-0000-0000781E0000}"/>
    <cellStyle name="Normal 2 55 4 12" xfId="5695" xr:uid="{00000000-0005-0000-0000-0000791E0000}"/>
    <cellStyle name="Normal 2 55 4 12 2" xfId="23466" xr:uid="{00000000-0005-0000-0000-00007A1E0000}"/>
    <cellStyle name="Normal 2 55 4 13" xfId="5696" xr:uid="{00000000-0005-0000-0000-00007B1E0000}"/>
    <cellStyle name="Normal 2 55 4 13 2" xfId="23467" xr:uid="{00000000-0005-0000-0000-00007C1E0000}"/>
    <cellStyle name="Normal 2 55 4 14" xfId="5697" xr:uid="{00000000-0005-0000-0000-00007D1E0000}"/>
    <cellStyle name="Normal 2 55 4 14 2" xfId="23468" xr:uid="{00000000-0005-0000-0000-00007E1E0000}"/>
    <cellStyle name="Normal 2 55 4 15" xfId="5698" xr:uid="{00000000-0005-0000-0000-00007F1E0000}"/>
    <cellStyle name="Normal 2 55 4 15 2" xfId="23469" xr:uid="{00000000-0005-0000-0000-0000801E0000}"/>
    <cellStyle name="Normal 2 55 4 16" xfId="23463" xr:uid="{00000000-0005-0000-0000-0000811E0000}"/>
    <cellStyle name="Normal 2 55 4 2" xfId="5699" xr:uid="{00000000-0005-0000-0000-0000821E0000}"/>
    <cellStyle name="Normal 2 55 4 2 10" xfId="5700" xr:uid="{00000000-0005-0000-0000-0000831E0000}"/>
    <cellStyle name="Normal 2 55 4 2 10 2" xfId="23471" xr:uid="{00000000-0005-0000-0000-0000841E0000}"/>
    <cellStyle name="Normal 2 55 4 2 11" xfId="5701" xr:uid="{00000000-0005-0000-0000-0000851E0000}"/>
    <cellStyle name="Normal 2 55 4 2 11 2" xfId="23472" xr:uid="{00000000-0005-0000-0000-0000861E0000}"/>
    <cellStyle name="Normal 2 55 4 2 12" xfId="5702" xr:uid="{00000000-0005-0000-0000-0000871E0000}"/>
    <cellStyle name="Normal 2 55 4 2 12 2" xfId="23473" xr:uid="{00000000-0005-0000-0000-0000881E0000}"/>
    <cellStyle name="Normal 2 55 4 2 13" xfId="5703" xr:uid="{00000000-0005-0000-0000-0000891E0000}"/>
    <cellStyle name="Normal 2 55 4 2 13 2" xfId="23474" xr:uid="{00000000-0005-0000-0000-00008A1E0000}"/>
    <cellStyle name="Normal 2 55 4 2 14" xfId="5704" xr:uid="{00000000-0005-0000-0000-00008B1E0000}"/>
    <cellStyle name="Normal 2 55 4 2 14 2" xfId="23475" xr:uid="{00000000-0005-0000-0000-00008C1E0000}"/>
    <cellStyle name="Normal 2 55 4 2 15" xfId="23470" xr:uid="{00000000-0005-0000-0000-00008D1E0000}"/>
    <cellStyle name="Normal 2 55 4 2 2" xfId="5705" xr:uid="{00000000-0005-0000-0000-00008E1E0000}"/>
    <cellStyle name="Normal 2 55 4 2 2 2" xfId="23476" xr:uid="{00000000-0005-0000-0000-00008F1E0000}"/>
    <cellStyle name="Normal 2 55 4 2 3" xfId="5706" xr:uid="{00000000-0005-0000-0000-0000901E0000}"/>
    <cellStyle name="Normal 2 55 4 2 3 2" xfId="23477" xr:uid="{00000000-0005-0000-0000-0000911E0000}"/>
    <cellStyle name="Normal 2 55 4 2 4" xfId="5707" xr:uid="{00000000-0005-0000-0000-0000921E0000}"/>
    <cellStyle name="Normal 2 55 4 2 4 2" xfId="23478" xr:uid="{00000000-0005-0000-0000-0000931E0000}"/>
    <cellStyle name="Normal 2 55 4 2 5" xfId="5708" xr:uid="{00000000-0005-0000-0000-0000941E0000}"/>
    <cellStyle name="Normal 2 55 4 2 5 2" xfId="23479" xr:uid="{00000000-0005-0000-0000-0000951E0000}"/>
    <cellStyle name="Normal 2 55 4 2 6" xfId="5709" xr:uid="{00000000-0005-0000-0000-0000961E0000}"/>
    <cellStyle name="Normal 2 55 4 2 6 2" xfId="23480" xr:uid="{00000000-0005-0000-0000-0000971E0000}"/>
    <cellStyle name="Normal 2 55 4 2 7" xfId="5710" xr:uid="{00000000-0005-0000-0000-0000981E0000}"/>
    <cellStyle name="Normal 2 55 4 2 7 2" xfId="23481" xr:uid="{00000000-0005-0000-0000-0000991E0000}"/>
    <cellStyle name="Normal 2 55 4 2 8" xfId="5711" xr:uid="{00000000-0005-0000-0000-00009A1E0000}"/>
    <cellStyle name="Normal 2 55 4 2 8 2" xfId="23482" xr:uid="{00000000-0005-0000-0000-00009B1E0000}"/>
    <cellStyle name="Normal 2 55 4 2 9" xfId="5712" xr:uid="{00000000-0005-0000-0000-00009C1E0000}"/>
    <cellStyle name="Normal 2 55 4 2 9 2" xfId="23483" xr:uid="{00000000-0005-0000-0000-00009D1E0000}"/>
    <cellStyle name="Normal 2 55 4 3" xfId="5713" xr:uid="{00000000-0005-0000-0000-00009E1E0000}"/>
    <cellStyle name="Normal 2 55 4 3 2" xfId="23484" xr:uid="{00000000-0005-0000-0000-00009F1E0000}"/>
    <cellStyle name="Normal 2 55 4 4" xfId="5714" xr:uid="{00000000-0005-0000-0000-0000A01E0000}"/>
    <cellStyle name="Normal 2 55 4 4 2" xfId="23485" xr:uid="{00000000-0005-0000-0000-0000A11E0000}"/>
    <cellStyle name="Normal 2 55 4 5" xfId="5715" xr:uid="{00000000-0005-0000-0000-0000A21E0000}"/>
    <cellStyle name="Normal 2 55 4 5 2" xfId="23486" xr:uid="{00000000-0005-0000-0000-0000A31E0000}"/>
    <cellStyle name="Normal 2 55 4 6" xfId="5716" xr:uid="{00000000-0005-0000-0000-0000A41E0000}"/>
    <cellStyle name="Normal 2 55 4 6 2" xfId="23487" xr:uid="{00000000-0005-0000-0000-0000A51E0000}"/>
    <cellStyle name="Normal 2 55 4 7" xfId="5717" xr:uid="{00000000-0005-0000-0000-0000A61E0000}"/>
    <cellStyle name="Normal 2 55 4 7 2" xfId="23488" xr:uid="{00000000-0005-0000-0000-0000A71E0000}"/>
    <cellStyle name="Normal 2 55 4 8" xfId="5718" xr:uid="{00000000-0005-0000-0000-0000A81E0000}"/>
    <cellStyle name="Normal 2 55 4 8 2" xfId="23489" xr:uid="{00000000-0005-0000-0000-0000A91E0000}"/>
    <cellStyle name="Normal 2 55 4 9" xfId="5719" xr:uid="{00000000-0005-0000-0000-0000AA1E0000}"/>
    <cellStyle name="Normal 2 55 4 9 2" xfId="23490" xr:uid="{00000000-0005-0000-0000-0000AB1E0000}"/>
    <cellStyle name="Normal 2 55 5" xfId="5720" xr:uid="{00000000-0005-0000-0000-0000AC1E0000}"/>
    <cellStyle name="Normal 2 55 5 10" xfId="5721" xr:uid="{00000000-0005-0000-0000-0000AD1E0000}"/>
    <cellStyle name="Normal 2 55 5 10 2" xfId="23492" xr:uid="{00000000-0005-0000-0000-0000AE1E0000}"/>
    <cellStyle name="Normal 2 55 5 11" xfId="5722" xr:uid="{00000000-0005-0000-0000-0000AF1E0000}"/>
    <cellStyle name="Normal 2 55 5 11 2" xfId="23493" xr:uid="{00000000-0005-0000-0000-0000B01E0000}"/>
    <cellStyle name="Normal 2 55 5 12" xfId="5723" xr:uid="{00000000-0005-0000-0000-0000B11E0000}"/>
    <cellStyle name="Normal 2 55 5 12 2" xfId="23494" xr:uid="{00000000-0005-0000-0000-0000B21E0000}"/>
    <cellStyle name="Normal 2 55 5 13" xfId="5724" xr:uid="{00000000-0005-0000-0000-0000B31E0000}"/>
    <cellStyle name="Normal 2 55 5 13 2" xfId="23495" xr:uid="{00000000-0005-0000-0000-0000B41E0000}"/>
    <cellStyle name="Normal 2 55 5 14" xfId="5725" xr:uid="{00000000-0005-0000-0000-0000B51E0000}"/>
    <cellStyle name="Normal 2 55 5 14 2" xfId="23496" xr:uid="{00000000-0005-0000-0000-0000B61E0000}"/>
    <cellStyle name="Normal 2 55 5 15" xfId="23491" xr:uid="{00000000-0005-0000-0000-0000B71E0000}"/>
    <cellStyle name="Normal 2 55 5 2" xfId="5726" xr:uid="{00000000-0005-0000-0000-0000B81E0000}"/>
    <cellStyle name="Normal 2 55 5 2 2" xfId="23497" xr:uid="{00000000-0005-0000-0000-0000B91E0000}"/>
    <cellStyle name="Normal 2 55 5 3" xfId="5727" xr:uid="{00000000-0005-0000-0000-0000BA1E0000}"/>
    <cellStyle name="Normal 2 55 5 3 2" xfId="23498" xr:uid="{00000000-0005-0000-0000-0000BB1E0000}"/>
    <cellStyle name="Normal 2 55 5 4" xfId="5728" xr:uid="{00000000-0005-0000-0000-0000BC1E0000}"/>
    <cellStyle name="Normal 2 55 5 4 2" xfId="23499" xr:uid="{00000000-0005-0000-0000-0000BD1E0000}"/>
    <cellStyle name="Normal 2 55 5 5" xfId="5729" xr:uid="{00000000-0005-0000-0000-0000BE1E0000}"/>
    <cellStyle name="Normal 2 55 5 5 2" xfId="23500" xr:uid="{00000000-0005-0000-0000-0000BF1E0000}"/>
    <cellStyle name="Normal 2 55 5 6" xfId="5730" xr:uid="{00000000-0005-0000-0000-0000C01E0000}"/>
    <cellStyle name="Normal 2 55 5 6 2" xfId="23501" xr:uid="{00000000-0005-0000-0000-0000C11E0000}"/>
    <cellStyle name="Normal 2 55 5 7" xfId="5731" xr:uid="{00000000-0005-0000-0000-0000C21E0000}"/>
    <cellStyle name="Normal 2 55 5 7 2" xfId="23502" xr:uid="{00000000-0005-0000-0000-0000C31E0000}"/>
    <cellStyle name="Normal 2 55 5 8" xfId="5732" xr:uid="{00000000-0005-0000-0000-0000C41E0000}"/>
    <cellStyle name="Normal 2 55 5 8 2" xfId="23503" xr:uid="{00000000-0005-0000-0000-0000C51E0000}"/>
    <cellStyle name="Normal 2 55 5 9" xfId="5733" xr:uid="{00000000-0005-0000-0000-0000C61E0000}"/>
    <cellStyle name="Normal 2 55 5 9 2" xfId="23504" xr:uid="{00000000-0005-0000-0000-0000C71E0000}"/>
    <cellStyle name="Normal 2 55 6" xfId="5734" xr:uid="{00000000-0005-0000-0000-0000C81E0000}"/>
    <cellStyle name="Normal 2 55 6 10" xfId="5735" xr:uid="{00000000-0005-0000-0000-0000C91E0000}"/>
    <cellStyle name="Normal 2 55 6 10 2" xfId="23506" xr:uid="{00000000-0005-0000-0000-0000CA1E0000}"/>
    <cellStyle name="Normal 2 55 6 11" xfId="5736" xr:uid="{00000000-0005-0000-0000-0000CB1E0000}"/>
    <cellStyle name="Normal 2 55 6 11 2" xfId="23507" xr:uid="{00000000-0005-0000-0000-0000CC1E0000}"/>
    <cellStyle name="Normal 2 55 6 12" xfId="5737" xr:uid="{00000000-0005-0000-0000-0000CD1E0000}"/>
    <cellStyle name="Normal 2 55 6 12 2" xfId="23508" xr:uid="{00000000-0005-0000-0000-0000CE1E0000}"/>
    <cellStyle name="Normal 2 55 6 13" xfId="5738" xr:uid="{00000000-0005-0000-0000-0000CF1E0000}"/>
    <cellStyle name="Normal 2 55 6 13 2" xfId="23509" xr:uid="{00000000-0005-0000-0000-0000D01E0000}"/>
    <cellStyle name="Normal 2 55 6 14" xfId="5739" xr:uid="{00000000-0005-0000-0000-0000D11E0000}"/>
    <cellStyle name="Normal 2 55 6 14 2" xfId="23510" xr:uid="{00000000-0005-0000-0000-0000D21E0000}"/>
    <cellStyle name="Normal 2 55 6 15" xfId="23505" xr:uid="{00000000-0005-0000-0000-0000D31E0000}"/>
    <cellStyle name="Normal 2 55 6 2" xfId="5740" xr:uid="{00000000-0005-0000-0000-0000D41E0000}"/>
    <cellStyle name="Normal 2 55 6 2 2" xfId="23511" xr:uid="{00000000-0005-0000-0000-0000D51E0000}"/>
    <cellStyle name="Normal 2 55 6 3" xfId="5741" xr:uid="{00000000-0005-0000-0000-0000D61E0000}"/>
    <cellStyle name="Normal 2 55 6 3 2" xfId="23512" xr:uid="{00000000-0005-0000-0000-0000D71E0000}"/>
    <cellStyle name="Normal 2 55 6 4" xfId="5742" xr:uid="{00000000-0005-0000-0000-0000D81E0000}"/>
    <cellStyle name="Normal 2 55 6 4 2" xfId="23513" xr:uid="{00000000-0005-0000-0000-0000D91E0000}"/>
    <cellStyle name="Normal 2 55 6 5" xfId="5743" xr:uid="{00000000-0005-0000-0000-0000DA1E0000}"/>
    <cellStyle name="Normal 2 55 6 5 2" xfId="23514" xr:uid="{00000000-0005-0000-0000-0000DB1E0000}"/>
    <cellStyle name="Normal 2 55 6 6" xfId="5744" xr:uid="{00000000-0005-0000-0000-0000DC1E0000}"/>
    <cellStyle name="Normal 2 55 6 6 2" xfId="23515" xr:uid="{00000000-0005-0000-0000-0000DD1E0000}"/>
    <cellStyle name="Normal 2 55 6 7" xfId="5745" xr:uid="{00000000-0005-0000-0000-0000DE1E0000}"/>
    <cellStyle name="Normal 2 55 6 7 2" xfId="23516" xr:uid="{00000000-0005-0000-0000-0000DF1E0000}"/>
    <cellStyle name="Normal 2 55 6 8" xfId="5746" xr:uid="{00000000-0005-0000-0000-0000E01E0000}"/>
    <cellStyle name="Normal 2 55 6 8 2" xfId="23517" xr:uid="{00000000-0005-0000-0000-0000E11E0000}"/>
    <cellStyle name="Normal 2 55 6 9" xfId="5747" xr:uid="{00000000-0005-0000-0000-0000E21E0000}"/>
    <cellStyle name="Normal 2 55 6 9 2" xfId="23518" xr:uid="{00000000-0005-0000-0000-0000E31E0000}"/>
    <cellStyle name="Normal 2 55 7" xfId="5748" xr:uid="{00000000-0005-0000-0000-0000E41E0000}"/>
    <cellStyle name="Normal 2 55 7 10" xfId="5749" xr:uid="{00000000-0005-0000-0000-0000E51E0000}"/>
    <cellStyle name="Normal 2 55 7 10 2" xfId="23520" xr:uid="{00000000-0005-0000-0000-0000E61E0000}"/>
    <cellStyle name="Normal 2 55 7 11" xfId="5750" xr:uid="{00000000-0005-0000-0000-0000E71E0000}"/>
    <cellStyle name="Normal 2 55 7 11 2" xfId="23521" xr:uid="{00000000-0005-0000-0000-0000E81E0000}"/>
    <cellStyle name="Normal 2 55 7 12" xfId="5751" xr:uid="{00000000-0005-0000-0000-0000E91E0000}"/>
    <cellStyle name="Normal 2 55 7 12 2" xfId="23522" xr:uid="{00000000-0005-0000-0000-0000EA1E0000}"/>
    <cellStyle name="Normal 2 55 7 13" xfId="5752" xr:uid="{00000000-0005-0000-0000-0000EB1E0000}"/>
    <cellStyle name="Normal 2 55 7 13 2" xfId="23523" xr:uid="{00000000-0005-0000-0000-0000EC1E0000}"/>
    <cellStyle name="Normal 2 55 7 14" xfId="5753" xr:uid="{00000000-0005-0000-0000-0000ED1E0000}"/>
    <cellStyle name="Normal 2 55 7 14 2" xfId="23524" xr:uid="{00000000-0005-0000-0000-0000EE1E0000}"/>
    <cellStyle name="Normal 2 55 7 15" xfId="23519" xr:uid="{00000000-0005-0000-0000-0000EF1E0000}"/>
    <cellStyle name="Normal 2 55 7 2" xfId="5754" xr:uid="{00000000-0005-0000-0000-0000F01E0000}"/>
    <cellStyle name="Normal 2 55 7 2 2" xfId="23525" xr:uid="{00000000-0005-0000-0000-0000F11E0000}"/>
    <cellStyle name="Normal 2 55 7 3" xfId="5755" xr:uid="{00000000-0005-0000-0000-0000F21E0000}"/>
    <cellStyle name="Normal 2 55 7 3 2" xfId="23526" xr:uid="{00000000-0005-0000-0000-0000F31E0000}"/>
    <cellStyle name="Normal 2 55 7 4" xfId="5756" xr:uid="{00000000-0005-0000-0000-0000F41E0000}"/>
    <cellStyle name="Normal 2 55 7 4 2" xfId="23527" xr:uid="{00000000-0005-0000-0000-0000F51E0000}"/>
    <cellStyle name="Normal 2 55 7 5" xfId="5757" xr:uid="{00000000-0005-0000-0000-0000F61E0000}"/>
    <cellStyle name="Normal 2 55 7 5 2" xfId="23528" xr:uid="{00000000-0005-0000-0000-0000F71E0000}"/>
    <cellStyle name="Normal 2 55 7 6" xfId="5758" xr:uid="{00000000-0005-0000-0000-0000F81E0000}"/>
    <cellStyle name="Normal 2 55 7 6 2" xfId="23529" xr:uid="{00000000-0005-0000-0000-0000F91E0000}"/>
    <cellStyle name="Normal 2 55 7 7" xfId="5759" xr:uid="{00000000-0005-0000-0000-0000FA1E0000}"/>
    <cellStyle name="Normal 2 55 7 7 2" xfId="23530" xr:uid="{00000000-0005-0000-0000-0000FB1E0000}"/>
    <cellStyle name="Normal 2 55 7 8" xfId="5760" xr:uid="{00000000-0005-0000-0000-0000FC1E0000}"/>
    <cellStyle name="Normal 2 55 7 8 2" xfId="23531" xr:uid="{00000000-0005-0000-0000-0000FD1E0000}"/>
    <cellStyle name="Normal 2 55 7 9" xfId="5761" xr:uid="{00000000-0005-0000-0000-0000FE1E0000}"/>
    <cellStyle name="Normal 2 55 7 9 2" xfId="23532" xr:uid="{00000000-0005-0000-0000-0000FF1E0000}"/>
    <cellStyle name="Normal 2 55 8" xfId="5762" xr:uid="{00000000-0005-0000-0000-0000001F0000}"/>
    <cellStyle name="Normal 2 55 8 10" xfId="5763" xr:uid="{00000000-0005-0000-0000-0000011F0000}"/>
    <cellStyle name="Normal 2 55 8 10 2" xfId="23534" xr:uid="{00000000-0005-0000-0000-0000021F0000}"/>
    <cellStyle name="Normal 2 55 8 11" xfId="5764" xr:uid="{00000000-0005-0000-0000-0000031F0000}"/>
    <cellStyle name="Normal 2 55 8 11 2" xfId="23535" xr:uid="{00000000-0005-0000-0000-0000041F0000}"/>
    <cellStyle name="Normal 2 55 8 12" xfId="5765" xr:uid="{00000000-0005-0000-0000-0000051F0000}"/>
    <cellStyle name="Normal 2 55 8 12 2" xfId="23536" xr:uid="{00000000-0005-0000-0000-0000061F0000}"/>
    <cellStyle name="Normal 2 55 8 13" xfId="5766" xr:uid="{00000000-0005-0000-0000-0000071F0000}"/>
    <cellStyle name="Normal 2 55 8 13 2" xfId="23537" xr:uid="{00000000-0005-0000-0000-0000081F0000}"/>
    <cellStyle name="Normal 2 55 8 14" xfId="5767" xr:uid="{00000000-0005-0000-0000-0000091F0000}"/>
    <cellStyle name="Normal 2 55 8 14 2" xfId="23538" xr:uid="{00000000-0005-0000-0000-00000A1F0000}"/>
    <cellStyle name="Normal 2 55 8 15" xfId="23533" xr:uid="{00000000-0005-0000-0000-00000B1F0000}"/>
    <cellStyle name="Normal 2 55 8 2" xfId="5768" xr:uid="{00000000-0005-0000-0000-00000C1F0000}"/>
    <cellStyle name="Normal 2 55 8 2 2" xfId="23539" xr:uid="{00000000-0005-0000-0000-00000D1F0000}"/>
    <cellStyle name="Normal 2 55 8 3" xfId="5769" xr:uid="{00000000-0005-0000-0000-00000E1F0000}"/>
    <cellStyle name="Normal 2 55 8 3 2" xfId="23540" xr:uid="{00000000-0005-0000-0000-00000F1F0000}"/>
    <cellStyle name="Normal 2 55 8 4" xfId="5770" xr:uid="{00000000-0005-0000-0000-0000101F0000}"/>
    <cellStyle name="Normal 2 55 8 4 2" xfId="23541" xr:uid="{00000000-0005-0000-0000-0000111F0000}"/>
    <cellStyle name="Normal 2 55 8 5" xfId="5771" xr:uid="{00000000-0005-0000-0000-0000121F0000}"/>
    <cellStyle name="Normal 2 55 8 5 2" xfId="23542" xr:uid="{00000000-0005-0000-0000-0000131F0000}"/>
    <cellStyle name="Normal 2 55 8 6" xfId="5772" xr:uid="{00000000-0005-0000-0000-0000141F0000}"/>
    <cellStyle name="Normal 2 55 8 6 2" xfId="23543" xr:uid="{00000000-0005-0000-0000-0000151F0000}"/>
    <cellStyle name="Normal 2 55 8 7" xfId="5773" xr:uid="{00000000-0005-0000-0000-0000161F0000}"/>
    <cellStyle name="Normal 2 55 8 7 2" xfId="23544" xr:uid="{00000000-0005-0000-0000-0000171F0000}"/>
    <cellStyle name="Normal 2 55 8 8" xfId="5774" xr:uid="{00000000-0005-0000-0000-0000181F0000}"/>
    <cellStyle name="Normal 2 55 8 8 2" xfId="23545" xr:uid="{00000000-0005-0000-0000-0000191F0000}"/>
    <cellStyle name="Normal 2 55 8 9" xfId="5775" xr:uid="{00000000-0005-0000-0000-00001A1F0000}"/>
    <cellStyle name="Normal 2 55 8 9 2" xfId="23546" xr:uid="{00000000-0005-0000-0000-00001B1F0000}"/>
    <cellStyle name="Normal 2 55 9" xfId="5776" xr:uid="{00000000-0005-0000-0000-00001C1F0000}"/>
    <cellStyle name="Normal 2 55 9 10" xfId="5777" xr:uid="{00000000-0005-0000-0000-00001D1F0000}"/>
    <cellStyle name="Normal 2 55 9 10 2" xfId="23548" xr:uid="{00000000-0005-0000-0000-00001E1F0000}"/>
    <cellStyle name="Normal 2 55 9 11" xfId="5778" xr:uid="{00000000-0005-0000-0000-00001F1F0000}"/>
    <cellStyle name="Normal 2 55 9 11 2" xfId="23549" xr:uid="{00000000-0005-0000-0000-0000201F0000}"/>
    <cellStyle name="Normal 2 55 9 12" xfId="5779" xr:uid="{00000000-0005-0000-0000-0000211F0000}"/>
    <cellStyle name="Normal 2 55 9 12 2" xfId="23550" xr:uid="{00000000-0005-0000-0000-0000221F0000}"/>
    <cellStyle name="Normal 2 55 9 13" xfId="5780" xr:uid="{00000000-0005-0000-0000-0000231F0000}"/>
    <cellStyle name="Normal 2 55 9 13 2" xfId="23551" xr:uid="{00000000-0005-0000-0000-0000241F0000}"/>
    <cellStyle name="Normal 2 55 9 14" xfId="5781" xr:uid="{00000000-0005-0000-0000-0000251F0000}"/>
    <cellStyle name="Normal 2 55 9 14 2" xfId="23552" xr:uid="{00000000-0005-0000-0000-0000261F0000}"/>
    <cellStyle name="Normal 2 55 9 15" xfId="23547" xr:uid="{00000000-0005-0000-0000-0000271F0000}"/>
    <cellStyle name="Normal 2 55 9 2" xfId="5782" xr:uid="{00000000-0005-0000-0000-0000281F0000}"/>
    <cellStyle name="Normal 2 55 9 2 2" xfId="23553" xr:uid="{00000000-0005-0000-0000-0000291F0000}"/>
    <cellStyle name="Normal 2 55 9 3" xfId="5783" xr:uid="{00000000-0005-0000-0000-00002A1F0000}"/>
    <cellStyle name="Normal 2 55 9 3 2" xfId="23554" xr:uid="{00000000-0005-0000-0000-00002B1F0000}"/>
    <cellStyle name="Normal 2 55 9 4" xfId="5784" xr:uid="{00000000-0005-0000-0000-00002C1F0000}"/>
    <cellStyle name="Normal 2 55 9 4 2" xfId="23555" xr:uid="{00000000-0005-0000-0000-00002D1F0000}"/>
    <cellStyle name="Normal 2 55 9 5" xfId="5785" xr:uid="{00000000-0005-0000-0000-00002E1F0000}"/>
    <cellStyle name="Normal 2 55 9 5 2" xfId="23556" xr:uid="{00000000-0005-0000-0000-00002F1F0000}"/>
    <cellStyle name="Normal 2 55 9 6" xfId="5786" xr:uid="{00000000-0005-0000-0000-0000301F0000}"/>
    <cellStyle name="Normal 2 55 9 6 2" xfId="23557" xr:uid="{00000000-0005-0000-0000-0000311F0000}"/>
    <cellStyle name="Normal 2 55 9 7" xfId="5787" xr:uid="{00000000-0005-0000-0000-0000321F0000}"/>
    <cellStyle name="Normal 2 55 9 7 2" xfId="23558" xr:uid="{00000000-0005-0000-0000-0000331F0000}"/>
    <cellStyle name="Normal 2 55 9 8" xfId="5788" xr:uid="{00000000-0005-0000-0000-0000341F0000}"/>
    <cellStyle name="Normal 2 55 9 8 2" xfId="23559" xr:uid="{00000000-0005-0000-0000-0000351F0000}"/>
    <cellStyle name="Normal 2 55 9 9" xfId="5789" xr:uid="{00000000-0005-0000-0000-0000361F0000}"/>
    <cellStyle name="Normal 2 55 9 9 2" xfId="23560" xr:uid="{00000000-0005-0000-0000-0000371F0000}"/>
    <cellStyle name="Normal 2 56" xfId="5790" xr:uid="{00000000-0005-0000-0000-0000381F0000}"/>
    <cellStyle name="Normal 2 56 10" xfId="5791" xr:uid="{00000000-0005-0000-0000-0000391F0000}"/>
    <cellStyle name="Normal 2 56 10 10" xfId="5792" xr:uid="{00000000-0005-0000-0000-00003A1F0000}"/>
    <cellStyle name="Normal 2 56 10 10 2" xfId="23563" xr:uid="{00000000-0005-0000-0000-00003B1F0000}"/>
    <cellStyle name="Normal 2 56 10 11" xfId="5793" xr:uid="{00000000-0005-0000-0000-00003C1F0000}"/>
    <cellStyle name="Normal 2 56 10 11 2" xfId="23564" xr:uid="{00000000-0005-0000-0000-00003D1F0000}"/>
    <cellStyle name="Normal 2 56 10 12" xfId="5794" xr:uid="{00000000-0005-0000-0000-00003E1F0000}"/>
    <cellStyle name="Normal 2 56 10 12 2" xfId="23565" xr:uid="{00000000-0005-0000-0000-00003F1F0000}"/>
    <cellStyle name="Normal 2 56 10 13" xfId="5795" xr:uid="{00000000-0005-0000-0000-0000401F0000}"/>
    <cellStyle name="Normal 2 56 10 13 2" xfId="23566" xr:uid="{00000000-0005-0000-0000-0000411F0000}"/>
    <cellStyle name="Normal 2 56 10 14" xfId="5796" xr:uid="{00000000-0005-0000-0000-0000421F0000}"/>
    <cellStyle name="Normal 2 56 10 14 2" xfId="23567" xr:uid="{00000000-0005-0000-0000-0000431F0000}"/>
    <cellStyle name="Normal 2 56 10 15" xfId="23562" xr:uid="{00000000-0005-0000-0000-0000441F0000}"/>
    <cellStyle name="Normal 2 56 10 2" xfId="5797" xr:uid="{00000000-0005-0000-0000-0000451F0000}"/>
    <cellStyle name="Normal 2 56 10 2 2" xfId="23568" xr:uid="{00000000-0005-0000-0000-0000461F0000}"/>
    <cellStyle name="Normal 2 56 10 3" xfId="5798" xr:uid="{00000000-0005-0000-0000-0000471F0000}"/>
    <cellStyle name="Normal 2 56 10 3 2" xfId="23569" xr:uid="{00000000-0005-0000-0000-0000481F0000}"/>
    <cellStyle name="Normal 2 56 10 4" xfId="5799" xr:uid="{00000000-0005-0000-0000-0000491F0000}"/>
    <cellStyle name="Normal 2 56 10 4 2" xfId="23570" xr:uid="{00000000-0005-0000-0000-00004A1F0000}"/>
    <cellStyle name="Normal 2 56 10 5" xfId="5800" xr:uid="{00000000-0005-0000-0000-00004B1F0000}"/>
    <cellStyle name="Normal 2 56 10 5 2" xfId="23571" xr:uid="{00000000-0005-0000-0000-00004C1F0000}"/>
    <cellStyle name="Normal 2 56 10 6" xfId="5801" xr:uid="{00000000-0005-0000-0000-00004D1F0000}"/>
    <cellStyle name="Normal 2 56 10 6 2" xfId="23572" xr:uid="{00000000-0005-0000-0000-00004E1F0000}"/>
    <cellStyle name="Normal 2 56 10 7" xfId="5802" xr:uid="{00000000-0005-0000-0000-00004F1F0000}"/>
    <cellStyle name="Normal 2 56 10 7 2" xfId="23573" xr:uid="{00000000-0005-0000-0000-0000501F0000}"/>
    <cellStyle name="Normal 2 56 10 8" xfId="5803" xr:uid="{00000000-0005-0000-0000-0000511F0000}"/>
    <cellStyle name="Normal 2 56 10 8 2" xfId="23574" xr:uid="{00000000-0005-0000-0000-0000521F0000}"/>
    <cellStyle name="Normal 2 56 10 9" xfId="5804" xr:uid="{00000000-0005-0000-0000-0000531F0000}"/>
    <cellStyle name="Normal 2 56 10 9 2" xfId="23575" xr:uid="{00000000-0005-0000-0000-0000541F0000}"/>
    <cellStyle name="Normal 2 56 11" xfId="5805" xr:uid="{00000000-0005-0000-0000-0000551F0000}"/>
    <cellStyle name="Normal 2 56 11 2" xfId="23576" xr:uid="{00000000-0005-0000-0000-0000561F0000}"/>
    <cellStyle name="Normal 2 56 12" xfId="5806" xr:uid="{00000000-0005-0000-0000-0000571F0000}"/>
    <cellStyle name="Normal 2 56 12 2" xfId="23577" xr:uid="{00000000-0005-0000-0000-0000581F0000}"/>
    <cellStyle name="Normal 2 56 13" xfId="5807" xr:uid="{00000000-0005-0000-0000-0000591F0000}"/>
    <cellStyle name="Normal 2 56 13 2" xfId="23578" xr:uid="{00000000-0005-0000-0000-00005A1F0000}"/>
    <cellStyle name="Normal 2 56 14" xfId="5808" xr:uid="{00000000-0005-0000-0000-00005B1F0000}"/>
    <cellStyle name="Normal 2 56 14 2" xfId="23579" xr:uid="{00000000-0005-0000-0000-00005C1F0000}"/>
    <cellStyle name="Normal 2 56 15" xfId="5809" xr:uid="{00000000-0005-0000-0000-00005D1F0000}"/>
    <cellStyle name="Normal 2 56 15 2" xfId="23580" xr:uid="{00000000-0005-0000-0000-00005E1F0000}"/>
    <cellStyle name="Normal 2 56 16" xfId="5810" xr:uid="{00000000-0005-0000-0000-00005F1F0000}"/>
    <cellStyle name="Normal 2 56 16 2" xfId="23581" xr:uid="{00000000-0005-0000-0000-0000601F0000}"/>
    <cellStyle name="Normal 2 56 17" xfId="5811" xr:uid="{00000000-0005-0000-0000-0000611F0000}"/>
    <cellStyle name="Normal 2 56 17 2" xfId="23582" xr:uid="{00000000-0005-0000-0000-0000621F0000}"/>
    <cellStyle name="Normal 2 56 18" xfId="5812" xr:uid="{00000000-0005-0000-0000-0000631F0000}"/>
    <cellStyle name="Normal 2 56 18 2" xfId="23583" xr:uid="{00000000-0005-0000-0000-0000641F0000}"/>
    <cellStyle name="Normal 2 56 19" xfId="5813" xr:uid="{00000000-0005-0000-0000-0000651F0000}"/>
    <cellStyle name="Normal 2 56 19 2" xfId="23584" xr:uid="{00000000-0005-0000-0000-0000661F0000}"/>
    <cellStyle name="Normal 2 56 2" xfId="5814" xr:uid="{00000000-0005-0000-0000-0000671F0000}"/>
    <cellStyle name="Normal 2 56 2 10" xfId="5815" xr:uid="{00000000-0005-0000-0000-0000681F0000}"/>
    <cellStyle name="Normal 2 56 2 10 2" xfId="23586" xr:uid="{00000000-0005-0000-0000-0000691F0000}"/>
    <cellStyle name="Normal 2 56 2 11" xfId="5816" xr:uid="{00000000-0005-0000-0000-00006A1F0000}"/>
    <cellStyle name="Normal 2 56 2 11 2" xfId="23587" xr:uid="{00000000-0005-0000-0000-00006B1F0000}"/>
    <cellStyle name="Normal 2 56 2 12" xfId="5817" xr:uid="{00000000-0005-0000-0000-00006C1F0000}"/>
    <cellStyle name="Normal 2 56 2 12 2" xfId="23588" xr:uid="{00000000-0005-0000-0000-00006D1F0000}"/>
    <cellStyle name="Normal 2 56 2 13" xfId="5818" xr:uid="{00000000-0005-0000-0000-00006E1F0000}"/>
    <cellStyle name="Normal 2 56 2 13 2" xfId="23589" xr:uid="{00000000-0005-0000-0000-00006F1F0000}"/>
    <cellStyle name="Normal 2 56 2 14" xfId="5819" xr:uid="{00000000-0005-0000-0000-0000701F0000}"/>
    <cellStyle name="Normal 2 56 2 14 2" xfId="23590" xr:uid="{00000000-0005-0000-0000-0000711F0000}"/>
    <cellStyle name="Normal 2 56 2 15" xfId="5820" xr:uid="{00000000-0005-0000-0000-0000721F0000}"/>
    <cellStyle name="Normal 2 56 2 15 2" xfId="23591" xr:uid="{00000000-0005-0000-0000-0000731F0000}"/>
    <cellStyle name="Normal 2 56 2 16" xfId="23585" xr:uid="{00000000-0005-0000-0000-0000741F0000}"/>
    <cellStyle name="Normal 2 56 2 2" xfId="5821" xr:uid="{00000000-0005-0000-0000-0000751F0000}"/>
    <cellStyle name="Normal 2 56 2 2 10" xfId="5822" xr:uid="{00000000-0005-0000-0000-0000761F0000}"/>
    <cellStyle name="Normal 2 56 2 2 10 2" xfId="23593" xr:uid="{00000000-0005-0000-0000-0000771F0000}"/>
    <cellStyle name="Normal 2 56 2 2 11" xfId="5823" xr:uid="{00000000-0005-0000-0000-0000781F0000}"/>
    <cellStyle name="Normal 2 56 2 2 11 2" xfId="23594" xr:uid="{00000000-0005-0000-0000-0000791F0000}"/>
    <cellStyle name="Normal 2 56 2 2 12" xfId="5824" xr:uid="{00000000-0005-0000-0000-00007A1F0000}"/>
    <cellStyle name="Normal 2 56 2 2 12 2" xfId="23595" xr:uid="{00000000-0005-0000-0000-00007B1F0000}"/>
    <cellStyle name="Normal 2 56 2 2 13" xfId="5825" xr:uid="{00000000-0005-0000-0000-00007C1F0000}"/>
    <cellStyle name="Normal 2 56 2 2 13 2" xfId="23596" xr:uid="{00000000-0005-0000-0000-00007D1F0000}"/>
    <cellStyle name="Normal 2 56 2 2 14" xfId="5826" xr:uid="{00000000-0005-0000-0000-00007E1F0000}"/>
    <cellStyle name="Normal 2 56 2 2 14 2" xfId="23597" xr:uid="{00000000-0005-0000-0000-00007F1F0000}"/>
    <cellStyle name="Normal 2 56 2 2 15" xfId="23592" xr:uid="{00000000-0005-0000-0000-0000801F0000}"/>
    <cellStyle name="Normal 2 56 2 2 2" xfId="5827" xr:uid="{00000000-0005-0000-0000-0000811F0000}"/>
    <cellStyle name="Normal 2 56 2 2 2 2" xfId="23598" xr:uid="{00000000-0005-0000-0000-0000821F0000}"/>
    <cellStyle name="Normal 2 56 2 2 3" xfId="5828" xr:uid="{00000000-0005-0000-0000-0000831F0000}"/>
    <cellStyle name="Normal 2 56 2 2 3 2" xfId="23599" xr:uid="{00000000-0005-0000-0000-0000841F0000}"/>
    <cellStyle name="Normal 2 56 2 2 4" xfId="5829" xr:uid="{00000000-0005-0000-0000-0000851F0000}"/>
    <cellStyle name="Normal 2 56 2 2 4 2" xfId="23600" xr:uid="{00000000-0005-0000-0000-0000861F0000}"/>
    <cellStyle name="Normal 2 56 2 2 5" xfId="5830" xr:uid="{00000000-0005-0000-0000-0000871F0000}"/>
    <cellStyle name="Normal 2 56 2 2 5 2" xfId="23601" xr:uid="{00000000-0005-0000-0000-0000881F0000}"/>
    <cellStyle name="Normal 2 56 2 2 6" xfId="5831" xr:uid="{00000000-0005-0000-0000-0000891F0000}"/>
    <cellStyle name="Normal 2 56 2 2 6 2" xfId="23602" xr:uid="{00000000-0005-0000-0000-00008A1F0000}"/>
    <cellStyle name="Normal 2 56 2 2 7" xfId="5832" xr:uid="{00000000-0005-0000-0000-00008B1F0000}"/>
    <cellStyle name="Normal 2 56 2 2 7 2" xfId="23603" xr:uid="{00000000-0005-0000-0000-00008C1F0000}"/>
    <cellStyle name="Normal 2 56 2 2 8" xfId="5833" xr:uid="{00000000-0005-0000-0000-00008D1F0000}"/>
    <cellStyle name="Normal 2 56 2 2 8 2" xfId="23604" xr:uid="{00000000-0005-0000-0000-00008E1F0000}"/>
    <cellStyle name="Normal 2 56 2 2 9" xfId="5834" xr:uid="{00000000-0005-0000-0000-00008F1F0000}"/>
    <cellStyle name="Normal 2 56 2 2 9 2" xfId="23605" xr:uid="{00000000-0005-0000-0000-0000901F0000}"/>
    <cellStyle name="Normal 2 56 2 3" xfId="5835" xr:uid="{00000000-0005-0000-0000-0000911F0000}"/>
    <cellStyle name="Normal 2 56 2 3 2" xfId="23606" xr:uid="{00000000-0005-0000-0000-0000921F0000}"/>
    <cellStyle name="Normal 2 56 2 4" xfId="5836" xr:uid="{00000000-0005-0000-0000-0000931F0000}"/>
    <cellStyle name="Normal 2 56 2 4 2" xfId="23607" xr:uid="{00000000-0005-0000-0000-0000941F0000}"/>
    <cellStyle name="Normal 2 56 2 5" xfId="5837" xr:uid="{00000000-0005-0000-0000-0000951F0000}"/>
    <cellStyle name="Normal 2 56 2 5 2" xfId="23608" xr:uid="{00000000-0005-0000-0000-0000961F0000}"/>
    <cellStyle name="Normal 2 56 2 6" xfId="5838" xr:uid="{00000000-0005-0000-0000-0000971F0000}"/>
    <cellStyle name="Normal 2 56 2 6 2" xfId="23609" xr:uid="{00000000-0005-0000-0000-0000981F0000}"/>
    <cellStyle name="Normal 2 56 2 7" xfId="5839" xr:uid="{00000000-0005-0000-0000-0000991F0000}"/>
    <cellStyle name="Normal 2 56 2 7 2" xfId="23610" xr:uid="{00000000-0005-0000-0000-00009A1F0000}"/>
    <cellStyle name="Normal 2 56 2 8" xfId="5840" xr:uid="{00000000-0005-0000-0000-00009B1F0000}"/>
    <cellStyle name="Normal 2 56 2 8 2" xfId="23611" xr:uid="{00000000-0005-0000-0000-00009C1F0000}"/>
    <cellStyle name="Normal 2 56 2 9" xfId="5841" xr:uid="{00000000-0005-0000-0000-00009D1F0000}"/>
    <cellStyle name="Normal 2 56 2 9 2" xfId="23612" xr:uid="{00000000-0005-0000-0000-00009E1F0000}"/>
    <cellStyle name="Normal 2 56 20" xfId="5842" xr:uid="{00000000-0005-0000-0000-00009F1F0000}"/>
    <cellStyle name="Normal 2 56 20 2" xfId="23613" xr:uid="{00000000-0005-0000-0000-0000A01F0000}"/>
    <cellStyle name="Normal 2 56 21" xfId="5843" xr:uid="{00000000-0005-0000-0000-0000A11F0000}"/>
    <cellStyle name="Normal 2 56 21 2" xfId="23614" xr:uid="{00000000-0005-0000-0000-0000A21F0000}"/>
    <cellStyle name="Normal 2 56 22" xfId="5844" xr:uid="{00000000-0005-0000-0000-0000A31F0000}"/>
    <cellStyle name="Normal 2 56 22 2" xfId="23615" xr:uid="{00000000-0005-0000-0000-0000A41F0000}"/>
    <cellStyle name="Normal 2 56 23" xfId="5845" xr:uid="{00000000-0005-0000-0000-0000A51F0000}"/>
    <cellStyle name="Normal 2 56 23 2" xfId="23616" xr:uid="{00000000-0005-0000-0000-0000A61F0000}"/>
    <cellStyle name="Normal 2 56 24" xfId="23561" xr:uid="{00000000-0005-0000-0000-0000A71F0000}"/>
    <cellStyle name="Normal 2 56 3" xfId="5846" xr:uid="{00000000-0005-0000-0000-0000A81F0000}"/>
    <cellStyle name="Normal 2 56 3 10" xfId="5847" xr:uid="{00000000-0005-0000-0000-0000A91F0000}"/>
    <cellStyle name="Normal 2 56 3 10 2" xfId="23618" xr:uid="{00000000-0005-0000-0000-0000AA1F0000}"/>
    <cellStyle name="Normal 2 56 3 11" xfId="5848" xr:uid="{00000000-0005-0000-0000-0000AB1F0000}"/>
    <cellStyle name="Normal 2 56 3 11 2" xfId="23619" xr:uid="{00000000-0005-0000-0000-0000AC1F0000}"/>
    <cellStyle name="Normal 2 56 3 12" xfId="5849" xr:uid="{00000000-0005-0000-0000-0000AD1F0000}"/>
    <cellStyle name="Normal 2 56 3 12 2" xfId="23620" xr:uid="{00000000-0005-0000-0000-0000AE1F0000}"/>
    <cellStyle name="Normal 2 56 3 13" xfId="5850" xr:uid="{00000000-0005-0000-0000-0000AF1F0000}"/>
    <cellStyle name="Normal 2 56 3 13 2" xfId="23621" xr:uid="{00000000-0005-0000-0000-0000B01F0000}"/>
    <cellStyle name="Normal 2 56 3 14" xfId="5851" xr:uid="{00000000-0005-0000-0000-0000B11F0000}"/>
    <cellStyle name="Normal 2 56 3 14 2" xfId="23622" xr:uid="{00000000-0005-0000-0000-0000B21F0000}"/>
    <cellStyle name="Normal 2 56 3 15" xfId="5852" xr:uid="{00000000-0005-0000-0000-0000B31F0000}"/>
    <cellStyle name="Normal 2 56 3 15 2" xfId="23623" xr:uid="{00000000-0005-0000-0000-0000B41F0000}"/>
    <cellStyle name="Normal 2 56 3 16" xfId="23617" xr:uid="{00000000-0005-0000-0000-0000B51F0000}"/>
    <cellStyle name="Normal 2 56 3 2" xfId="5853" xr:uid="{00000000-0005-0000-0000-0000B61F0000}"/>
    <cellStyle name="Normal 2 56 3 2 10" xfId="5854" xr:uid="{00000000-0005-0000-0000-0000B71F0000}"/>
    <cellStyle name="Normal 2 56 3 2 10 2" xfId="23625" xr:uid="{00000000-0005-0000-0000-0000B81F0000}"/>
    <cellStyle name="Normal 2 56 3 2 11" xfId="5855" xr:uid="{00000000-0005-0000-0000-0000B91F0000}"/>
    <cellStyle name="Normal 2 56 3 2 11 2" xfId="23626" xr:uid="{00000000-0005-0000-0000-0000BA1F0000}"/>
    <cellStyle name="Normal 2 56 3 2 12" xfId="5856" xr:uid="{00000000-0005-0000-0000-0000BB1F0000}"/>
    <cellStyle name="Normal 2 56 3 2 12 2" xfId="23627" xr:uid="{00000000-0005-0000-0000-0000BC1F0000}"/>
    <cellStyle name="Normal 2 56 3 2 13" xfId="5857" xr:uid="{00000000-0005-0000-0000-0000BD1F0000}"/>
    <cellStyle name="Normal 2 56 3 2 13 2" xfId="23628" xr:uid="{00000000-0005-0000-0000-0000BE1F0000}"/>
    <cellStyle name="Normal 2 56 3 2 14" xfId="5858" xr:uid="{00000000-0005-0000-0000-0000BF1F0000}"/>
    <cellStyle name="Normal 2 56 3 2 14 2" xfId="23629" xr:uid="{00000000-0005-0000-0000-0000C01F0000}"/>
    <cellStyle name="Normal 2 56 3 2 15" xfId="23624" xr:uid="{00000000-0005-0000-0000-0000C11F0000}"/>
    <cellStyle name="Normal 2 56 3 2 2" xfId="5859" xr:uid="{00000000-0005-0000-0000-0000C21F0000}"/>
    <cellStyle name="Normal 2 56 3 2 2 2" xfId="23630" xr:uid="{00000000-0005-0000-0000-0000C31F0000}"/>
    <cellStyle name="Normal 2 56 3 2 3" xfId="5860" xr:uid="{00000000-0005-0000-0000-0000C41F0000}"/>
    <cellStyle name="Normal 2 56 3 2 3 2" xfId="23631" xr:uid="{00000000-0005-0000-0000-0000C51F0000}"/>
    <cellStyle name="Normal 2 56 3 2 4" xfId="5861" xr:uid="{00000000-0005-0000-0000-0000C61F0000}"/>
    <cellStyle name="Normal 2 56 3 2 4 2" xfId="23632" xr:uid="{00000000-0005-0000-0000-0000C71F0000}"/>
    <cellStyle name="Normal 2 56 3 2 5" xfId="5862" xr:uid="{00000000-0005-0000-0000-0000C81F0000}"/>
    <cellStyle name="Normal 2 56 3 2 5 2" xfId="23633" xr:uid="{00000000-0005-0000-0000-0000C91F0000}"/>
    <cellStyle name="Normal 2 56 3 2 6" xfId="5863" xr:uid="{00000000-0005-0000-0000-0000CA1F0000}"/>
    <cellStyle name="Normal 2 56 3 2 6 2" xfId="23634" xr:uid="{00000000-0005-0000-0000-0000CB1F0000}"/>
    <cellStyle name="Normal 2 56 3 2 7" xfId="5864" xr:uid="{00000000-0005-0000-0000-0000CC1F0000}"/>
    <cellStyle name="Normal 2 56 3 2 7 2" xfId="23635" xr:uid="{00000000-0005-0000-0000-0000CD1F0000}"/>
    <cellStyle name="Normal 2 56 3 2 8" xfId="5865" xr:uid="{00000000-0005-0000-0000-0000CE1F0000}"/>
    <cellStyle name="Normal 2 56 3 2 8 2" xfId="23636" xr:uid="{00000000-0005-0000-0000-0000CF1F0000}"/>
    <cellStyle name="Normal 2 56 3 2 9" xfId="5866" xr:uid="{00000000-0005-0000-0000-0000D01F0000}"/>
    <cellStyle name="Normal 2 56 3 2 9 2" xfId="23637" xr:uid="{00000000-0005-0000-0000-0000D11F0000}"/>
    <cellStyle name="Normal 2 56 3 3" xfId="5867" xr:uid="{00000000-0005-0000-0000-0000D21F0000}"/>
    <cellStyle name="Normal 2 56 3 3 2" xfId="23638" xr:uid="{00000000-0005-0000-0000-0000D31F0000}"/>
    <cellStyle name="Normal 2 56 3 4" xfId="5868" xr:uid="{00000000-0005-0000-0000-0000D41F0000}"/>
    <cellStyle name="Normal 2 56 3 4 2" xfId="23639" xr:uid="{00000000-0005-0000-0000-0000D51F0000}"/>
    <cellStyle name="Normal 2 56 3 5" xfId="5869" xr:uid="{00000000-0005-0000-0000-0000D61F0000}"/>
    <cellStyle name="Normal 2 56 3 5 2" xfId="23640" xr:uid="{00000000-0005-0000-0000-0000D71F0000}"/>
    <cellStyle name="Normal 2 56 3 6" xfId="5870" xr:uid="{00000000-0005-0000-0000-0000D81F0000}"/>
    <cellStyle name="Normal 2 56 3 6 2" xfId="23641" xr:uid="{00000000-0005-0000-0000-0000D91F0000}"/>
    <cellStyle name="Normal 2 56 3 7" xfId="5871" xr:uid="{00000000-0005-0000-0000-0000DA1F0000}"/>
    <cellStyle name="Normal 2 56 3 7 2" xfId="23642" xr:uid="{00000000-0005-0000-0000-0000DB1F0000}"/>
    <cellStyle name="Normal 2 56 3 8" xfId="5872" xr:uid="{00000000-0005-0000-0000-0000DC1F0000}"/>
    <cellStyle name="Normal 2 56 3 8 2" xfId="23643" xr:uid="{00000000-0005-0000-0000-0000DD1F0000}"/>
    <cellStyle name="Normal 2 56 3 9" xfId="5873" xr:uid="{00000000-0005-0000-0000-0000DE1F0000}"/>
    <cellStyle name="Normal 2 56 3 9 2" xfId="23644" xr:uid="{00000000-0005-0000-0000-0000DF1F0000}"/>
    <cellStyle name="Normal 2 56 4" xfId="5874" xr:uid="{00000000-0005-0000-0000-0000E01F0000}"/>
    <cellStyle name="Normal 2 56 4 10" xfId="5875" xr:uid="{00000000-0005-0000-0000-0000E11F0000}"/>
    <cellStyle name="Normal 2 56 4 10 2" xfId="23646" xr:uid="{00000000-0005-0000-0000-0000E21F0000}"/>
    <cellStyle name="Normal 2 56 4 11" xfId="5876" xr:uid="{00000000-0005-0000-0000-0000E31F0000}"/>
    <cellStyle name="Normal 2 56 4 11 2" xfId="23647" xr:uid="{00000000-0005-0000-0000-0000E41F0000}"/>
    <cellStyle name="Normal 2 56 4 12" xfId="5877" xr:uid="{00000000-0005-0000-0000-0000E51F0000}"/>
    <cellStyle name="Normal 2 56 4 12 2" xfId="23648" xr:uid="{00000000-0005-0000-0000-0000E61F0000}"/>
    <cellStyle name="Normal 2 56 4 13" xfId="5878" xr:uid="{00000000-0005-0000-0000-0000E71F0000}"/>
    <cellStyle name="Normal 2 56 4 13 2" xfId="23649" xr:uid="{00000000-0005-0000-0000-0000E81F0000}"/>
    <cellStyle name="Normal 2 56 4 14" xfId="5879" xr:uid="{00000000-0005-0000-0000-0000E91F0000}"/>
    <cellStyle name="Normal 2 56 4 14 2" xfId="23650" xr:uid="{00000000-0005-0000-0000-0000EA1F0000}"/>
    <cellStyle name="Normal 2 56 4 15" xfId="5880" xr:uid="{00000000-0005-0000-0000-0000EB1F0000}"/>
    <cellStyle name="Normal 2 56 4 15 2" xfId="23651" xr:uid="{00000000-0005-0000-0000-0000EC1F0000}"/>
    <cellStyle name="Normal 2 56 4 16" xfId="23645" xr:uid="{00000000-0005-0000-0000-0000ED1F0000}"/>
    <cellStyle name="Normal 2 56 4 2" xfId="5881" xr:uid="{00000000-0005-0000-0000-0000EE1F0000}"/>
    <cellStyle name="Normal 2 56 4 2 10" xfId="5882" xr:uid="{00000000-0005-0000-0000-0000EF1F0000}"/>
    <cellStyle name="Normal 2 56 4 2 10 2" xfId="23653" xr:uid="{00000000-0005-0000-0000-0000F01F0000}"/>
    <cellStyle name="Normal 2 56 4 2 11" xfId="5883" xr:uid="{00000000-0005-0000-0000-0000F11F0000}"/>
    <cellStyle name="Normal 2 56 4 2 11 2" xfId="23654" xr:uid="{00000000-0005-0000-0000-0000F21F0000}"/>
    <cellStyle name="Normal 2 56 4 2 12" xfId="5884" xr:uid="{00000000-0005-0000-0000-0000F31F0000}"/>
    <cellStyle name="Normal 2 56 4 2 12 2" xfId="23655" xr:uid="{00000000-0005-0000-0000-0000F41F0000}"/>
    <cellStyle name="Normal 2 56 4 2 13" xfId="5885" xr:uid="{00000000-0005-0000-0000-0000F51F0000}"/>
    <cellStyle name="Normal 2 56 4 2 13 2" xfId="23656" xr:uid="{00000000-0005-0000-0000-0000F61F0000}"/>
    <cellStyle name="Normal 2 56 4 2 14" xfId="5886" xr:uid="{00000000-0005-0000-0000-0000F71F0000}"/>
    <cellStyle name="Normal 2 56 4 2 14 2" xfId="23657" xr:uid="{00000000-0005-0000-0000-0000F81F0000}"/>
    <cellStyle name="Normal 2 56 4 2 15" xfId="23652" xr:uid="{00000000-0005-0000-0000-0000F91F0000}"/>
    <cellStyle name="Normal 2 56 4 2 2" xfId="5887" xr:uid="{00000000-0005-0000-0000-0000FA1F0000}"/>
    <cellStyle name="Normal 2 56 4 2 2 2" xfId="23658" xr:uid="{00000000-0005-0000-0000-0000FB1F0000}"/>
    <cellStyle name="Normal 2 56 4 2 3" xfId="5888" xr:uid="{00000000-0005-0000-0000-0000FC1F0000}"/>
    <cellStyle name="Normal 2 56 4 2 3 2" xfId="23659" xr:uid="{00000000-0005-0000-0000-0000FD1F0000}"/>
    <cellStyle name="Normal 2 56 4 2 4" xfId="5889" xr:uid="{00000000-0005-0000-0000-0000FE1F0000}"/>
    <cellStyle name="Normal 2 56 4 2 4 2" xfId="23660" xr:uid="{00000000-0005-0000-0000-0000FF1F0000}"/>
    <cellStyle name="Normal 2 56 4 2 5" xfId="5890" xr:uid="{00000000-0005-0000-0000-000000200000}"/>
    <cellStyle name="Normal 2 56 4 2 5 2" xfId="23661" xr:uid="{00000000-0005-0000-0000-000001200000}"/>
    <cellStyle name="Normal 2 56 4 2 6" xfId="5891" xr:uid="{00000000-0005-0000-0000-000002200000}"/>
    <cellStyle name="Normal 2 56 4 2 6 2" xfId="23662" xr:uid="{00000000-0005-0000-0000-000003200000}"/>
    <cellStyle name="Normal 2 56 4 2 7" xfId="5892" xr:uid="{00000000-0005-0000-0000-000004200000}"/>
    <cellStyle name="Normal 2 56 4 2 7 2" xfId="23663" xr:uid="{00000000-0005-0000-0000-000005200000}"/>
    <cellStyle name="Normal 2 56 4 2 8" xfId="5893" xr:uid="{00000000-0005-0000-0000-000006200000}"/>
    <cellStyle name="Normal 2 56 4 2 8 2" xfId="23664" xr:uid="{00000000-0005-0000-0000-000007200000}"/>
    <cellStyle name="Normal 2 56 4 2 9" xfId="5894" xr:uid="{00000000-0005-0000-0000-000008200000}"/>
    <cellStyle name="Normal 2 56 4 2 9 2" xfId="23665" xr:uid="{00000000-0005-0000-0000-000009200000}"/>
    <cellStyle name="Normal 2 56 4 3" xfId="5895" xr:uid="{00000000-0005-0000-0000-00000A200000}"/>
    <cellStyle name="Normal 2 56 4 3 2" xfId="23666" xr:uid="{00000000-0005-0000-0000-00000B200000}"/>
    <cellStyle name="Normal 2 56 4 4" xfId="5896" xr:uid="{00000000-0005-0000-0000-00000C200000}"/>
    <cellStyle name="Normal 2 56 4 4 2" xfId="23667" xr:uid="{00000000-0005-0000-0000-00000D200000}"/>
    <cellStyle name="Normal 2 56 4 5" xfId="5897" xr:uid="{00000000-0005-0000-0000-00000E200000}"/>
    <cellStyle name="Normal 2 56 4 5 2" xfId="23668" xr:uid="{00000000-0005-0000-0000-00000F200000}"/>
    <cellStyle name="Normal 2 56 4 6" xfId="5898" xr:uid="{00000000-0005-0000-0000-000010200000}"/>
    <cellStyle name="Normal 2 56 4 6 2" xfId="23669" xr:uid="{00000000-0005-0000-0000-000011200000}"/>
    <cellStyle name="Normal 2 56 4 7" xfId="5899" xr:uid="{00000000-0005-0000-0000-000012200000}"/>
    <cellStyle name="Normal 2 56 4 7 2" xfId="23670" xr:uid="{00000000-0005-0000-0000-000013200000}"/>
    <cellStyle name="Normal 2 56 4 8" xfId="5900" xr:uid="{00000000-0005-0000-0000-000014200000}"/>
    <cellStyle name="Normal 2 56 4 8 2" xfId="23671" xr:uid="{00000000-0005-0000-0000-000015200000}"/>
    <cellStyle name="Normal 2 56 4 9" xfId="5901" xr:uid="{00000000-0005-0000-0000-000016200000}"/>
    <cellStyle name="Normal 2 56 4 9 2" xfId="23672" xr:uid="{00000000-0005-0000-0000-000017200000}"/>
    <cellStyle name="Normal 2 56 5" xfId="5902" xr:uid="{00000000-0005-0000-0000-000018200000}"/>
    <cellStyle name="Normal 2 56 5 10" xfId="5903" xr:uid="{00000000-0005-0000-0000-000019200000}"/>
    <cellStyle name="Normal 2 56 5 10 2" xfId="23674" xr:uid="{00000000-0005-0000-0000-00001A200000}"/>
    <cellStyle name="Normal 2 56 5 11" xfId="5904" xr:uid="{00000000-0005-0000-0000-00001B200000}"/>
    <cellStyle name="Normal 2 56 5 11 2" xfId="23675" xr:uid="{00000000-0005-0000-0000-00001C200000}"/>
    <cellStyle name="Normal 2 56 5 12" xfId="5905" xr:uid="{00000000-0005-0000-0000-00001D200000}"/>
    <cellStyle name="Normal 2 56 5 12 2" xfId="23676" xr:uid="{00000000-0005-0000-0000-00001E200000}"/>
    <cellStyle name="Normal 2 56 5 13" xfId="5906" xr:uid="{00000000-0005-0000-0000-00001F200000}"/>
    <cellStyle name="Normal 2 56 5 13 2" xfId="23677" xr:uid="{00000000-0005-0000-0000-000020200000}"/>
    <cellStyle name="Normal 2 56 5 14" xfId="5907" xr:uid="{00000000-0005-0000-0000-000021200000}"/>
    <cellStyle name="Normal 2 56 5 14 2" xfId="23678" xr:uid="{00000000-0005-0000-0000-000022200000}"/>
    <cellStyle name="Normal 2 56 5 15" xfId="23673" xr:uid="{00000000-0005-0000-0000-000023200000}"/>
    <cellStyle name="Normal 2 56 5 2" xfId="5908" xr:uid="{00000000-0005-0000-0000-000024200000}"/>
    <cellStyle name="Normal 2 56 5 2 2" xfId="23679" xr:uid="{00000000-0005-0000-0000-000025200000}"/>
    <cellStyle name="Normal 2 56 5 3" xfId="5909" xr:uid="{00000000-0005-0000-0000-000026200000}"/>
    <cellStyle name="Normal 2 56 5 3 2" xfId="23680" xr:uid="{00000000-0005-0000-0000-000027200000}"/>
    <cellStyle name="Normal 2 56 5 4" xfId="5910" xr:uid="{00000000-0005-0000-0000-000028200000}"/>
    <cellStyle name="Normal 2 56 5 4 2" xfId="23681" xr:uid="{00000000-0005-0000-0000-000029200000}"/>
    <cellStyle name="Normal 2 56 5 5" xfId="5911" xr:uid="{00000000-0005-0000-0000-00002A200000}"/>
    <cellStyle name="Normal 2 56 5 5 2" xfId="23682" xr:uid="{00000000-0005-0000-0000-00002B200000}"/>
    <cellStyle name="Normal 2 56 5 6" xfId="5912" xr:uid="{00000000-0005-0000-0000-00002C200000}"/>
    <cellStyle name="Normal 2 56 5 6 2" xfId="23683" xr:uid="{00000000-0005-0000-0000-00002D200000}"/>
    <cellStyle name="Normal 2 56 5 7" xfId="5913" xr:uid="{00000000-0005-0000-0000-00002E200000}"/>
    <cellStyle name="Normal 2 56 5 7 2" xfId="23684" xr:uid="{00000000-0005-0000-0000-00002F200000}"/>
    <cellStyle name="Normal 2 56 5 8" xfId="5914" xr:uid="{00000000-0005-0000-0000-000030200000}"/>
    <cellStyle name="Normal 2 56 5 8 2" xfId="23685" xr:uid="{00000000-0005-0000-0000-000031200000}"/>
    <cellStyle name="Normal 2 56 5 9" xfId="5915" xr:uid="{00000000-0005-0000-0000-000032200000}"/>
    <cellStyle name="Normal 2 56 5 9 2" xfId="23686" xr:uid="{00000000-0005-0000-0000-000033200000}"/>
    <cellStyle name="Normal 2 56 6" xfId="5916" xr:uid="{00000000-0005-0000-0000-000034200000}"/>
    <cellStyle name="Normal 2 56 6 10" xfId="5917" xr:uid="{00000000-0005-0000-0000-000035200000}"/>
    <cellStyle name="Normal 2 56 6 10 2" xfId="23688" xr:uid="{00000000-0005-0000-0000-000036200000}"/>
    <cellStyle name="Normal 2 56 6 11" xfId="5918" xr:uid="{00000000-0005-0000-0000-000037200000}"/>
    <cellStyle name="Normal 2 56 6 11 2" xfId="23689" xr:uid="{00000000-0005-0000-0000-000038200000}"/>
    <cellStyle name="Normal 2 56 6 12" xfId="5919" xr:uid="{00000000-0005-0000-0000-000039200000}"/>
    <cellStyle name="Normal 2 56 6 12 2" xfId="23690" xr:uid="{00000000-0005-0000-0000-00003A200000}"/>
    <cellStyle name="Normal 2 56 6 13" xfId="5920" xr:uid="{00000000-0005-0000-0000-00003B200000}"/>
    <cellStyle name="Normal 2 56 6 13 2" xfId="23691" xr:uid="{00000000-0005-0000-0000-00003C200000}"/>
    <cellStyle name="Normal 2 56 6 14" xfId="5921" xr:uid="{00000000-0005-0000-0000-00003D200000}"/>
    <cellStyle name="Normal 2 56 6 14 2" xfId="23692" xr:uid="{00000000-0005-0000-0000-00003E200000}"/>
    <cellStyle name="Normal 2 56 6 15" xfId="23687" xr:uid="{00000000-0005-0000-0000-00003F200000}"/>
    <cellStyle name="Normal 2 56 6 2" xfId="5922" xr:uid="{00000000-0005-0000-0000-000040200000}"/>
    <cellStyle name="Normal 2 56 6 2 2" xfId="23693" xr:uid="{00000000-0005-0000-0000-000041200000}"/>
    <cellStyle name="Normal 2 56 6 3" xfId="5923" xr:uid="{00000000-0005-0000-0000-000042200000}"/>
    <cellStyle name="Normal 2 56 6 3 2" xfId="23694" xr:uid="{00000000-0005-0000-0000-000043200000}"/>
    <cellStyle name="Normal 2 56 6 4" xfId="5924" xr:uid="{00000000-0005-0000-0000-000044200000}"/>
    <cellStyle name="Normal 2 56 6 4 2" xfId="23695" xr:uid="{00000000-0005-0000-0000-000045200000}"/>
    <cellStyle name="Normal 2 56 6 5" xfId="5925" xr:uid="{00000000-0005-0000-0000-000046200000}"/>
    <cellStyle name="Normal 2 56 6 5 2" xfId="23696" xr:uid="{00000000-0005-0000-0000-000047200000}"/>
    <cellStyle name="Normal 2 56 6 6" xfId="5926" xr:uid="{00000000-0005-0000-0000-000048200000}"/>
    <cellStyle name="Normal 2 56 6 6 2" xfId="23697" xr:uid="{00000000-0005-0000-0000-000049200000}"/>
    <cellStyle name="Normal 2 56 6 7" xfId="5927" xr:uid="{00000000-0005-0000-0000-00004A200000}"/>
    <cellStyle name="Normal 2 56 6 7 2" xfId="23698" xr:uid="{00000000-0005-0000-0000-00004B200000}"/>
    <cellStyle name="Normal 2 56 6 8" xfId="5928" xr:uid="{00000000-0005-0000-0000-00004C200000}"/>
    <cellStyle name="Normal 2 56 6 8 2" xfId="23699" xr:uid="{00000000-0005-0000-0000-00004D200000}"/>
    <cellStyle name="Normal 2 56 6 9" xfId="5929" xr:uid="{00000000-0005-0000-0000-00004E200000}"/>
    <cellStyle name="Normal 2 56 6 9 2" xfId="23700" xr:uid="{00000000-0005-0000-0000-00004F200000}"/>
    <cellStyle name="Normal 2 56 7" xfId="5930" xr:uid="{00000000-0005-0000-0000-000050200000}"/>
    <cellStyle name="Normal 2 56 7 10" xfId="5931" xr:uid="{00000000-0005-0000-0000-000051200000}"/>
    <cellStyle name="Normal 2 56 7 10 2" xfId="23702" xr:uid="{00000000-0005-0000-0000-000052200000}"/>
    <cellStyle name="Normal 2 56 7 11" xfId="5932" xr:uid="{00000000-0005-0000-0000-000053200000}"/>
    <cellStyle name="Normal 2 56 7 11 2" xfId="23703" xr:uid="{00000000-0005-0000-0000-000054200000}"/>
    <cellStyle name="Normal 2 56 7 12" xfId="5933" xr:uid="{00000000-0005-0000-0000-000055200000}"/>
    <cellStyle name="Normal 2 56 7 12 2" xfId="23704" xr:uid="{00000000-0005-0000-0000-000056200000}"/>
    <cellStyle name="Normal 2 56 7 13" xfId="5934" xr:uid="{00000000-0005-0000-0000-000057200000}"/>
    <cellStyle name="Normal 2 56 7 13 2" xfId="23705" xr:uid="{00000000-0005-0000-0000-000058200000}"/>
    <cellStyle name="Normal 2 56 7 14" xfId="5935" xr:uid="{00000000-0005-0000-0000-000059200000}"/>
    <cellStyle name="Normal 2 56 7 14 2" xfId="23706" xr:uid="{00000000-0005-0000-0000-00005A200000}"/>
    <cellStyle name="Normal 2 56 7 15" xfId="23701" xr:uid="{00000000-0005-0000-0000-00005B200000}"/>
    <cellStyle name="Normal 2 56 7 2" xfId="5936" xr:uid="{00000000-0005-0000-0000-00005C200000}"/>
    <cellStyle name="Normal 2 56 7 2 2" xfId="23707" xr:uid="{00000000-0005-0000-0000-00005D200000}"/>
    <cellStyle name="Normal 2 56 7 3" xfId="5937" xr:uid="{00000000-0005-0000-0000-00005E200000}"/>
    <cellStyle name="Normal 2 56 7 3 2" xfId="23708" xr:uid="{00000000-0005-0000-0000-00005F200000}"/>
    <cellStyle name="Normal 2 56 7 4" xfId="5938" xr:uid="{00000000-0005-0000-0000-000060200000}"/>
    <cellStyle name="Normal 2 56 7 4 2" xfId="23709" xr:uid="{00000000-0005-0000-0000-000061200000}"/>
    <cellStyle name="Normal 2 56 7 5" xfId="5939" xr:uid="{00000000-0005-0000-0000-000062200000}"/>
    <cellStyle name="Normal 2 56 7 5 2" xfId="23710" xr:uid="{00000000-0005-0000-0000-000063200000}"/>
    <cellStyle name="Normal 2 56 7 6" xfId="5940" xr:uid="{00000000-0005-0000-0000-000064200000}"/>
    <cellStyle name="Normal 2 56 7 6 2" xfId="23711" xr:uid="{00000000-0005-0000-0000-000065200000}"/>
    <cellStyle name="Normal 2 56 7 7" xfId="5941" xr:uid="{00000000-0005-0000-0000-000066200000}"/>
    <cellStyle name="Normal 2 56 7 7 2" xfId="23712" xr:uid="{00000000-0005-0000-0000-000067200000}"/>
    <cellStyle name="Normal 2 56 7 8" xfId="5942" xr:uid="{00000000-0005-0000-0000-000068200000}"/>
    <cellStyle name="Normal 2 56 7 8 2" xfId="23713" xr:uid="{00000000-0005-0000-0000-000069200000}"/>
    <cellStyle name="Normal 2 56 7 9" xfId="5943" xr:uid="{00000000-0005-0000-0000-00006A200000}"/>
    <cellStyle name="Normal 2 56 7 9 2" xfId="23714" xr:uid="{00000000-0005-0000-0000-00006B200000}"/>
    <cellStyle name="Normal 2 56 8" xfId="5944" xr:uid="{00000000-0005-0000-0000-00006C200000}"/>
    <cellStyle name="Normal 2 56 8 10" xfId="5945" xr:uid="{00000000-0005-0000-0000-00006D200000}"/>
    <cellStyle name="Normal 2 56 8 10 2" xfId="23716" xr:uid="{00000000-0005-0000-0000-00006E200000}"/>
    <cellStyle name="Normal 2 56 8 11" xfId="5946" xr:uid="{00000000-0005-0000-0000-00006F200000}"/>
    <cellStyle name="Normal 2 56 8 11 2" xfId="23717" xr:uid="{00000000-0005-0000-0000-000070200000}"/>
    <cellStyle name="Normal 2 56 8 12" xfId="5947" xr:uid="{00000000-0005-0000-0000-000071200000}"/>
    <cellStyle name="Normal 2 56 8 12 2" xfId="23718" xr:uid="{00000000-0005-0000-0000-000072200000}"/>
    <cellStyle name="Normal 2 56 8 13" xfId="5948" xr:uid="{00000000-0005-0000-0000-000073200000}"/>
    <cellStyle name="Normal 2 56 8 13 2" xfId="23719" xr:uid="{00000000-0005-0000-0000-000074200000}"/>
    <cellStyle name="Normal 2 56 8 14" xfId="5949" xr:uid="{00000000-0005-0000-0000-000075200000}"/>
    <cellStyle name="Normal 2 56 8 14 2" xfId="23720" xr:uid="{00000000-0005-0000-0000-000076200000}"/>
    <cellStyle name="Normal 2 56 8 15" xfId="23715" xr:uid="{00000000-0005-0000-0000-000077200000}"/>
    <cellStyle name="Normal 2 56 8 2" xfId="5950" xr:uid="{00000000-0005-0000-0000-000078200000}"/>
    <cellStyle name="Normal 2 56 8 2 2" xfId="23721" xr:uid="{00000000-0005-0000-0000-000079200000}"/>
    <cellStyle name="Normal 2 56 8 3" xfId="5951" xr:uid="{00000000-0005-0000-0000-00007A200000}"/>
    <cellStyle name="Normal 2 56 8 3 2" xfId="23722" xr:uid="{00000000-0005-0000-0000-00007B200000}"/>
    <cellStyle name="Normal 2 56 8 4" xfId="5952" xr:uid="{00000000-0005-0000-0000-00007C200000}"/>
    <cellStyle name="Normal 2 56 8 4 2" xfId="23723" xr:uid="{00000000-0005-0000-0000-00007D200000}"/>
    <cellStyle name="Normal 2 56 8 5" xfId="5953" xr:uid="{00000000-0005-0000-0000-00007E200000}"/>
    <cellStyle name="Normal 2 56 8 5 2" xfId="23724" xr:uid="{00000000-0005-0000-0000-00007F200000}"/>
    <cellStyle name="Normal 2 56 8 6" xfId="5954" xr:uid="{00000000-0005-0000-0000-000080200000}"/>
    <cellStyle name="Normal 2 56 8 6 2" xfId="23725" xr:uid="{00000000-0005-0000-0000-000081200000}"/>
    <cellStyle name="Normal 2 56 8 7" xfId="5955" xr:uid="{00000000-0005-0000-0000-000082200000}"/>
    <cellStyle name="Normal 2 56 8 7 2" xfId="23726" xr:uid="{00000000-0005-0000-0000-000083200000}"/>
    <cellStyle name="Normal 2 56 8 8" xfId="5956" xr:uid="{00000000-0005-0000-0000-000084200000}"/>
    <cellStyle name="Normal 2 56 8 8 2" xfId="23727" xr:uid="{00000000-0005-0000-0000-000085200000}"/>
    <cellStyle name="Normal 2 56 8 9" xfId="5957" xr:uid="{00000000-0005-0000-0000-000086200000}"/>
    <cellStyle name="Normal 2 56 8 9 2" xfId="23728" xr:uid="{00000000-0005-0000-0000-000087200000}"/>
    <cellStyle name="Normal 2 56 9" xfId="5958" xr:uid="{00000000-0005-0000-0000-000088200000}"/>
    <cellStyle name="Normal 2 56 9 10" xfId="5959" xr:uid="{00000000-0005-0000-0000-000089200000}"/>
    <cellStyle name="Normal 2 56 9 10 2" xfId="23730" xr:uid="{00000000-0005-0000-0000-00008A200000}"/>
    <cellStyle name="Normal 2 56 9 11" xfId="5960" xr:uid="{00000000-0005-0000-0000-00008B200000}"/>
    <cellStyle name="Normal 2 56 9 11 2" xfId="23731" xr:uid="{00000000-0005-0000-0000-00008C200000}"/>
    <cellStyle name="Normal 2 56 9 12" xfId="5961" xr:uid="{00000000-0005-0000-0000-00008D200000}"/>
    <cellStyle name="Normal 2 56 9 12 2" xfId="23732" xr:uid="{00000000-0005-0000-0000-00008E200000}"/>
    <cellStyle name="Normal 2 56 9 13" xfId="5962" xr:uid="{00000000-0005-0000-0000-00008F200000}"/>
    <cellStyle name="Normal 2 56 9 13 2" xfId="23733" xr:uid="{00000000-0005-0000-0000-000090200000}"/>
    <cellStyle name="Normal 2 56 9 14" xfId="5963" xr:uid="{00000000-0005-0000-0000-000091200000}"/>
    <cellStyle name="Normal 2 56 9 14 2" xfId="23734" xr:uid="{00000000-0005-0000-0000-000092200000}"/>
    <cellStyle name="Normal 2 56 9 15" xfId="23729" xr:uid="{00000000-0005-0000-0000-000093200000}"/>
    <cellStyle name="Normal 2 56 9 2" xfId="5964" xr:uid="{00000000-0005-0000-0000-000094200000}"/>
    <cellStyle name="Normal 2 56 9 2 2" xfId="23735" xr:uid="{00000000-0005-0000-0000-000095200000}"/>
    <cellStyle name="Normal 2 56 9 3" xfId="5965" xr:uid="{00000000-0005-0000-0000-000096200000}"/>
    <cellStyle name="Normal 2 56 9 3 2" xfId="23736" xr:uid="{00000000-0005-0000-0000-000097200000}"/>
    <cellStyle name="Normal 2 56 9 4" xfId="5966" xr:uid="{00000000-0005-0000-0000-000098200000}"/>
    <cellStyle name="Normal 2 56 9 4 2" xfId="23737" xr:uid="{00000000-0005-0000-0000-000099200000}"/>
    <cellStyle name="Normal 2 56 9 5" xfId="5967" xr:uid="{00000000-0005-0000-0000-00009A200000}"/>
    <cellStyle name="Normal 2 56 9 5 2" xfId="23738" xr:uid="{00000000-0005-0000-0000-00009B200000}"/>
    <cellStyle name="Normal 2 56 9 6" xfId="5968" xr:uid="{00000000-0005-0000-0000-00009C200000}"/>
    <cellStyle name="Normal 2 56 9 6 2" xfId="23739" xr:uid="{00000000-0005-0000-0000-00009D200000}"/>
    <cellStyle name="Normal 2 56 9 7" xfId="5969" xr:uid="{00000000-0005-0000-0000-00009E200000}"/>
    <cellStyle name="Normal 2 56 9 7 2" xfId="23740" xr:uid="{00000000-0005-0000-0000-00009F200000}"/>
    <cellStyle name="Normal 2 56 9 8" xfId="5970" xr:uid="{00000000-0005-0000-0000-0000A0200000}"/>
    <cellStyle name="Normal 2 56 9 8 2" xfId="23741" xr:uid="{00000000-0005-0000-0000-0000A1200000}"/>
    <cellStyle name="Normal 2 56 9 9" xfId="5971" xr:uid="{00000000-0005-0000-0000-0000A2200000}"/>
    <cellStyle name="Normal 2 56 9 9 2" xfId="23742" xr:uid="{00000000-0005-0000-0000-0000A3200000}"/>
    <cellStyle name="Normal 2 57" xfId="5972" xr:uid="{00000000-0005-0000-0000-0000A4200000}"/>
    <cellStyle name="Normal 2 57 10" xfId="5973" xr:uid="{00000000-0005-0000-0000-0000A5200000}"/>
    <cellStyle name="Normal 2 57 10 10" xfId="5974" xr:uid="{00000000-0005-0000-0000-0000A6200000}"/>
    <cellStyle name="Normal 2 57 10 10 2" xfId="23745" xr:uid="{00000000-0005-0000-0000-0000A7200000}"/>
    <cellStyle name="Normal 2 57 10 11" xfId="5975" xr:uid="{00000000-0005-0000-0000-0000A8200000}"/>
    <cellStyle name="Normal 2 57 10 11 2" xfId="23746" xr:uid="{00000000-0005-0000-0000-0000A9200000}"/>
    <cellStyle name="Normal 2 57 10 12" xfId="5976" xr:uid="{00000000-0005-0000-0000-0000AA200000}"/>
    <cellStyle name="Normal 2 57 10 12 2" xfId="23747" xr:uid="{00000000-0005-0000-0000-0000AB200000}"/>
    <cellStyle name="Normal 2 57 10 13" xfId="5977" xr:uid="{00000000-0005-0000-0000-0000AC200000}"/>
    <cellStyle name="Normal 2 57 10 13 2" xfId="23748" xr:uid="{00000000-0005-0000-0000-0000AD200000}"/>
    <cellStyle name="Normal 2 57 10 14" xfId="5978" xr:uid="{00000000-0005-0000-0000-0000AE200000}"/>
    <cellStyle name="Normal 2 57 10 14 2" xfId="23749" xr:uid="{00000000-0005-0000-0000-0000AF200000}"/>
    <cellStyle name="Normal 2 57 10 15" xfId="23744" xr:uid="{00000000-0005-0000-0000-0000B0200000}"/>
    <cellStyle name="Normal 2 57 10 2" xfId="5979" xr:uid="{00000000-0005-0000-0000-0000B1200000}"/>
    <cellStyle name="Normal 2 57 10 2 2" xfId="23750" xr:uid="{00000000-0005-0000-0000-0000B2200000}"/>
    <cellStyle name="Normal 2 57 10 3" xfId="5980" xr:uid="{00000000-0005-0000-0000-0000B3200000}"/>
    <cellStyle name="Normal 2 57 10 3 2" xfId="23751" xr:uid="{00000000-0005-0000-0000-0000B4200000}"/>
    <cellStyle name="Normal 2 57 10 4" xfId="5981" xr:uid="{00000000-0005-0000-0000-0000B5200000}"/>
    <cellStyle name="Normal 2 57 10 4 2" xfId="23752" xr:uid="{00000000-0005-0000-0000-0000B6200000}"/>
    <cellStyle name="Normal 2 57 10 5" xfId="5982" xr:uid="{00000000-0005-0000-0000-0000B7200000}"/>
    <cellStyle name="Normal 2 57 10 5 2" xfId="23753" xr:uid="{00000000-0005-0000-0000-0000B8200000}"/>
    <cellStyle name="Normal 2 57 10 6" xfId="5983" xr:uid="{00000000-0005-0000-0000-0000B9200000}"/>
    <cellStyle name="Normal 2 57 10 6 2" xfId="23754" xr:uid="{00000000-0005-0000-0000-0000BA200000}"/>
    <cellStyle name="Normal 2 57 10 7" xfId="5984" xr:uid="{00000000-0005-0000-0000-0000BB200000}"/>
    <cellStyle name="Normal 2 57 10 7 2" xfId="23755" xr:uid="{00000000-0005-0000-0000-0000BC200000}"/>
    <cellStyle name="Normal 2 57 10 8" xfId="5985" xr:uid="{00000000-0005-0000-0000-0000BD200000}"/>
    <cellStyle name="Normal 2 57 10 8 2" xfId="23756" xr:uid="{00000000-0005-0000-0000-0000BE200000}"/>
    <cellStyle name="Normal 2 57 10 9" xfId="5986" xr:uid="{00000000-0005-0000-0000-0000BF200000}"/>
    <cellStyle name="Normal 2 57 10 9 2" xfId="23757" xr:uid="{00000000-0005-0000-0000-0000C0200000}"/>
    <cellStyle name="Normal 2 57 11" xfId="5987" xr:uid="{00000000-0005-0000-0000-0000C1200000}"/>
    <cellStyle name="Normal 2 57 11 2" xfId="23758" xr:uid="{00000000-0005-0000-0000-0000C2200000}"/>
    <cellStyle name="Normal 2 57 12" xfId="5988" xr:uid="{00000000-0005-0000-0000-0000C3200000}"/>
    <cellStyle name="Normal 2 57 12 2" xfId="23759" xr:uid="{00000000-0005-0000-0000-0000C4200000}"/>
    <cellStyle name="Normal 2 57 13" xfId="5989" xr:uid="{00000000-0005-0000-0000-0000C5200000}"/>
    <cellStyle name="Normal 2 57 13 2" xfId="23760" xr:uid="{00000000-0005-0000-0000-0000C6200000}"/>
    <cellStyle name="Normal 2 57 14" xfId="5990" xr:uid="{00000000-0005-0000-0000-0000C7200000}"/>
    <cellStyle name="Normal 2 57 14 2" xfId="23761" xr:uid="{00000000-0005-0000-0000-0000C8200000}"/>
    <cellStyle name="Normal 2 57 15" xfId="5991" xr:uid="{00000000-0005-0000-0000-0000C9200000}"/>
    <cellStyle name="Normal 2 57 15 2" xfId="23762" xr:uid="{00000000-0005-0000-0000-0000CA200000}"/>
    <cellStyle name="Normal 2 57 16" xfId="5992" xr:uid="{00000000-0005-0000-0000-0000CB200000}"/>
    <cellStyle name="Normal 2 57 16 2" xfId="23763" xr:uid="{00000000-0005-0000-0000-0000CC200000}"/>
    <cellStyle name="Normal 2 57 17" xfId="5993" xr:uid="{00000000-0005-0000-0000-0000CD200000}"/>
    <cellStyle name="Normal 2 57 17 2" xfId="23764" xr:uid="{00000000-0005-0000-0000-0000CE200000}"/>
    <cellStyle name="Normal 2 57 18" xfId="5994" xr:uid="{00000000-0005-0000-0000-0000CF200000}"/>
    <cellStyle name="Normal 2 57 18 2" xfId="23765" xr:uid="{00000000-0005-0000-0000-0000D0200000}"/>
    <cellStyle name="Normal 2 57 19" xfId="5995" xr:uid="{00000000-0005-0000-0000-0000D1200000}"/>
    <cellStyle name="Normal 2 57 19 2" xfId="23766" xr:uid="{00000000-0005-0000-0000-0000D2200000}"/>
    <cellStyle name="Normal 2 57 2" xfId="5996" xr:uid="{00000000-0005-0000-0000-0000D3200000}"/>
    <cellStyle name="Normal 2 57 2 10" xfId="5997" xr:uid="{00000000-0005-0000-0000-0000D4200000}"/>
    <cellStyle name="Normal 2 57 2 10 2" xfId="23768" xr:uid="{00000000-0005-0000-0000-0000D5200000}"/>
    <cellStyle name="Normal 2 57 2 11" xfId="5998" xr:uid="{00000000-0005-0000-0000-0000D6200000}"/>
    <cellStyle name="Normal 2 57 2 11 2" xfId="23769" xr:uid="{00000000-0005-0000-0000-0000D7200000}"/>
    <cellStyle name="Normal 2 57 2 12" xfId="5999" xr:uid="{00000000-0005-0000-0000-0000D8200000}"/>
    <cellStyle name="Normal 2 57 2 12 2" xfId="23770" xr:uid="{00000000-0005-0000-0000-0000D9200000}"/>
    <cellStyle name="Normal 2 57 2 13" xfId="6000" xr:uid="{00000000-0005-0000-0000-0000DA200000}"/>
    <cellStyle name="Normal 2 57 2 13 2" xfId="23771" xr:uid="{00000000-0005-0000-0000-0000DB200000}"/>
    <cellStyle name="Normal 2 57 2 14" xfId="6001" xr:uid="{00000000-0005-0000-0000-0000DC200000}"/>
    <cellStyle name="Normal 2 57 2 14 2" xfId="23772" xr:uid="{00000000-0005-0000-0000-0000DD200000}"/>
    <cellStyle name="Normal 2 57 2 15" xfId="6002" xr:uid="{00000000-0005-0000-0000-0000DE200000}"/>
    <cellStyle name="Normal 2 57 2 15 2" xfId="23773" xr:uid="{00000000-0005-0000-0000-0000DF200000}"/>
    <cellStyle name="Normal 2 57 2 16" xfId="23767" xr:uid="{00000000-0005-0000-0000-0000E0200000}"/>
    <cellStyle name="Normal 2 57 2 2" xfId="6003" xr:uid="{00000000-0005-0000-0000-0000E1200000}"/>
    <cellStyle name="Normal 2 57 2 2 10" xfId="6004" xr:uid="{00000000-0005-0000-0000-0000E2200000}"/>
    <cellStyle name="Normal 2 57 2 2 10 2" xfId="23775" xr:uid="{00000000-0005-0000-0000-0000E3200000}"/>
    <cellStyle name="Normal 2 57 2 2 11" xfId="6005" xr:uid="{00000000-0005-0000-0000-0000E4200000}"/>
    <cellStyle name="Normal 2 57 2 2 11 2" xfId="23776" xr:uid="{00000000-0005-0000-0000-0000E5200000}"/>
    <cellStyle name="Normal 2 57 2 2 12" xfId="6006" xr:uid="{00000000-0005-0000-0000-0000E6200000}"/>
    <cellStyle name="Normal 2 57 2 2 12 2" xfId="23777" xr:uid="{00000000-0005-0000-0000-0000E7200000}"/>
    <cellStyle name="Normal 2 57 2 2 13" xfId="6007" xr:uid="{00000000-0005-0000-0000-0000E8200000}"/>
    <cellStyle name="Normal 2 57 2 2 13 2" xfId="23778" xr:uid="{00000000-0005-0000-0000-0000E9200000}"/>
    <cellStyle name="Normal 2 57 2 2 14" xfId="6008" xr:uid="{00000000-0005-0000-0000-0000EA200000}"/>
    <cellStyle name="Normal 2 57 2 2 14 2" xfId="23779" xr:uid="{00000000-0005-0000-0000-0000EB200000}"/>
    <cellStyle name="Normal 2 57 2 2 15" xfId="23774" xr:uid="{00000000-0005-0000-0000-0000EC200000}"/>
    <cellStyle name="Normal 2 57 2 2 2" xfId="6009" xr:uid="{00000000-0005-0000-0000-0000ED200000}"/>
    <cellStyle name="Normal 2 57 2 2 2 2" xfId="23780" xr:uid="{00000000-0005-0000-0000-0000EE200000}"/>
    <cellStyle name="Normal 2 57 2 2 3" xfId="6010" xr:uid="{00000000-0005-0000-0000-0000EF200000}"/>
    <cellStyle name="Normal 2 57 2 2 3 2" xfId="23781" xr:uid="{00000000-0005-0000-0000-0000F0200000}"/>
    <cellStyle name="Normal 2 57 2 2 4" xfId="6011" xr:uid="{00000000-0005-0000-0000-0000F1200000}"/>
    <cellStyle name="Normal 2 57 2 2 4 2" xfId="23782" xr:uid="{00000000-0005-0000-0000-0000F2200000}"/>
    <cellStyle name="Normal 2 57 2 2 5" xfId="6012" xr:uid="{00000000-0005-0000-0000-0000F3200000}"/>
    <cellStyle name="Normal 2 57 2 2 5 2" xfId="23783" xr:uid="{00000000-0005-0000-0000-0000F4200000}"/>
    <cellStyle name="Normal 2 57 2 2 6" xfId="6013" xr:uid="{00000000-0005-0000-0000-0000F5200000}"/>
    <cellStyle name="Normal 2 57 2 2 6 2" xfId="23784" xr:uid="{00000000-0005-0000-0000-0000F6200000}"/>
    <cellStyle name="Normal 2 57 2 2 7" xfId="6014" xr:uid="{00000000-0005-0000-0000-0000F7200000}"/>
    <cellStyle name="Normal 2 57 2 2 7 2" xfId="23785" xr:uid="{00000000-0005-0000-0000-0000F8200000}"/>
    <cellStyle name="Normal 2 57 2 2 8" xfId="6015" xr:uid="{00000000-0005-0000-0000-0000F9200000}"/>
    <cellStyle name="Normal 2 57 2 2 8 2" xfId="23786" xr:uid="{00000000-0005-0000-0000-0000FA200000}"/>
    <cellStyle name="Normal 2 57 2 2 9" xfId="6016" xr:uid="{00000000-0005-0000-0000-0000FB200000}"/>
    <cellStyle name="Normal 2 57 2 2 9 2" xfId="23787" xr:uid="{00000000-0005-0000-0000-0000FC200000}"/>
    <cellStyle name="Normal 2 57 2 3" xfId="6017" xr:uid="{00000000-0005-0000-0000-0000FD200000}"/>
    <cellStyle name="Normal 2 57 2 3 2" xfId="23788" xr:uid="{00000000-0005-0000-0000-0000FE200000}"/>
    <cellStyle name="Normal 2 57 2 4" xfId="6018" xr:uid="{00000000-0005-0000-0000-0000FF200000}"/>
    <cellStyle name="Normal 2 57 2 4 2" xfId="23789" xr:uid="{00000000-0005-0000-0000-000000210000}"/>
    <cellStyle name="Normal 2 57 2 5" xfId="6019" xr:uid="{00000000-0005-0000-0000-000001210000}"/>
    <cellStyle name="Normal 2 57 2 5 2" xfId="23790" xr:uid="{00000000-0005-0000-0000-000002210000}"/>
    <cellStyle name="Normal 2 57 2 6" xfId="6020" xr:uid="{00000000-0005-0000-0000-000003210000}"/>
    <cellStyle name="Normal 2 57 2 6 2" xfId="23791" xr:uid="{00000000-0005-0000-0000-000004210000}"/>
    <cellStyle name="Normal 2 57 2 7" xfId="6021" xr:uid="{00000000-0005-0000-0000-000005210000}"/>
    <cellStyle name="Normal 2 57 2 7 2" xfId="23792" xr:uid="{00000000-0005-0000-0000-000006210000}"/>
    <cellStyle name="Normal 2 57 2 8" xfId="6022" xr:uid="{00000000-0005-0000-0000-000007210000}"/>
    <cellStyle name="Normal 2 57 2 8 2" xfId="23793" xr:uid="{00000000-0005-0000-0000-000008210000}"/>
    <cellStyle name="Normal 2 57 2 9" xfId="6023" xr:uid="{00000000-0005-0000-0000-000009210000}"/>
    <cellStyle name="Normal 2 57 2 9 2" xfId="23794" xr:uid="{00000000-0005-0000-0000-00000A210000}"/>
    <cellStyle name="Normal 2 57 20" xfId="6024" xr:uid="{00000000-0005-0000-0000-00000B210000}"/>
    <cellStyle name="Normal 2 57 20 2" xfId="23795" xr:uid="{00000000-0005-0000-0000-00000C210000}"/>
    <cellStyle name="Normal 2 57 21" xfId="6025" xr:uid="{00000000-0005-0000-0000-00000D210000}"/>
    <cellStyle name="Normal 2 57 21 2" xfId="23796" xr:uid="{00000000-0005-0000-0000-00000E210000}"/>
    <cellStyle name="Normal 2 57 22" xfId="6026" xr:uid="{00000000-0005-0000-0000-00000F210000}"/>
    <cellStyle name="Normal 2 57 22 2" xfId="23797" xr:uid="{00000000-0005-0000-0000-000010210000}"/>
    <cellStyle name="Normal 2 57 23" xfId="6027" xr:uid="{00000000-0005-0000-0000-000011210000}"/>
    <cellStyle name="Normal 2 57 23 2" xfId="23798" xr:uid="{00000000-0005-0000-0000-000012210000}"/>
    <cellStyle name="Normal 2 57 24" xfId="23743" xr:uid="{00000000-0005-0000-0000-000013210000}"/>
    <cellStyle name="Normal 2 57 3" xfId="6028" xr:uid="{00000000-0005-0000-0000-000014210000}"/>
    <cellStyle name="Normal 2 57 3 10" xfId="6029" xr:uid="{00000000-0005-0000-0000-000015210000}"/>
    <cellStyle name="Normal 2 57 3 10 2" xfId="23800" xr:uid="{00000000-0005-0000-0000-000016210000}"/>
    <cellStyle name="Normal 2 57 3 11" xfId="6030" xr:uid="{00000000-0005-0000-0000-000017210000}"/>
    <cellStyle name="Normal 2 57 3 11 2" xfId="23801" xr:uid="{00000000-0005-0000-0000-000018210000}"/>
    <cellStyle name="Normal 2 57 3 12" xfId="6031" xr:uid="{00000000-0005-0000-0000-000019210000}"/>
    <cellStyle name="Normal 2 57 3 12 2" xfId="23802" xr:uid="{00000000-0005-0000-0000-00001A210000}"/>
    <cellStyle name="Normal 2 57 3 13" xfId="6032" xr:uid="{00000000-0005-0000-0000-00001B210000}"/>
    <cellStyle name="Normal 2 57 3 13 2" xfId="23803" xr:uid="{00000000-0005-0000-0000-00001C210000}"/>
    <cellStyle name="Normal 2 57 3 14" xfId="6033" xr:uid="{00000000-0005-0000-0000-00001D210000}"/>
    <cellStyle name="Normal 2 57 3 14 2" xfId="23804" xr:uid="{00000000-0005-0000-0000-00001E210000}"/>
    <cellStyle name="Normal 2 57 3 15" xfId="6034" xr:uid="{00000000-0005-0000-0000-00001F210000}"/>
    <cellStyle name="Normal 2 57 3 15 2" xfId="23805" xr:uid="{00000000-0005-0000-0000-000020210000}"/>
    <cellStyle name="Normal 2 57 3 16" xfId="23799" xr:uid="{00000000-0005-0000-0000-000021210000}"/>
    <cellStyle name="Normal 2 57 3 2" xfId="6035" xr:uid="{00000000-0005-0000-0000-000022210000}"/>
    <cellStyle name="Normal 2 57 3 2 10" xfId="6036" xr:uid="{00000000-0005-0000-0000-000023210000}"/>
    <cellStyle name="Normal 2 57 3 2 10 2" xfId="23807" xr:uid="{00000000-0005-0000-0000-000024210000}"/>
    <cellStyle name="Normal 2 57 3 2 11" xfId="6037" xr:uid="{00000000-0005-0000-0000-000025210000}"/>
    <cellStyle name="Normal 2 57 3 2 11 2" xfId="23808" xr:uid="{00000000-0005-0000-0000-000026210000}"/>
    <cellStyle name="Normal 2 57 3 2 12" xfId="6038" xr:uid="{00000000-0005-0000-0000-000027210000}"/>
    <cellStyle name="Normal 2 57 3 2 12 2" xfId="23809" xr:uid="{00000000-0005-0000-0000-000028210000}"/>
    <cellStyle name="Normal 2 57 3 2 13" xfId="6039" xr:uid="{00000000-0005-0000-0000-000029210000}"/>
    <cellStyle name="Normal 2 57 3 2 13 2" xfId="23810" xr:uid="{00000000-0005-0000-0000-00002A210000}"/>
    <cellStyle name="Normal 2 57 3 2 14" xfId="6040" xr:uid="{00000000-0005-0000-0000-00002B210000}"/>
    <cellStyle name="Normal 2 57 3 2 14 2" xfId="23811" xr:uid="{00000000-0005-0000-0000-00002C210000}"/>
    <cellStyle name="Normal 2 57 3 2 15" xfId="23806" xr:uid="{00000000-0005-0000-0000-00002D210000}"/>
    <cellStyle name="Normal 2 57 3 2 2" xfId="6041" xr:uid="{00000000-0005-0000-0000-00002E210000}"/>
    <cellStyle name="Normal 2 57 3 2 2 2" xfId="23812" xr:uid="{00000000-0005-0000-0000-00002F210000}"/>
    <cellStyle name="Normal 2 57 3 2 3" xfId="6042" xr:uid="{00000000-0005-0000-0000-000030210000}"/>
    <cellStyle name="Normal 2 57 3 2 3 2" xfId="23813" xr:uid="{00000000-0005-0000-0000-000031210000}"/>
    <cellStyle name="Normal 2 57 3 2 4" xfId="6043" xr:uid="{00000000-0005-0000-0000-000032210000}"/>
    <cellStyle name="Normal 2 57 3 2 4 2" xfId="23814" xr:uid="{00000000-0005-0000-0000-000033210000}"/>
    <cellStyle name="Normal 2 57 3 2 5" xfId="6044" xr:uid="{00000000-0005-0000-0000-000034210000}"/>
    <cellStyle name="Normal 2 57 3 2 5 2" xfId="23815" xr:uid="{00000000-0005-0000-0000-000035210000}"/>
    <cellStyle name="Normal 2 57 3 2 6" xfId="6045" xr:uid="{00000000-0005-0000-0000-000036210000}"/>
    <cellStyle name="Normal 2 57 3 2 6 2" xfId="23816" xr:uid="{00000000-0005-0000-0000-000037210000}"/>
    <cellStyle name="Normal 2 57 3 2 7" xfId="6046" xr:uid="{00000000-0005-0000-0000-000038210000}"/>
    <cellStyle name="Normal 2 57 3 2 7 2" xfId="23817" xr:uid="{00000000-0005-0000-0000-000039210000}"/>
    <cellStyle name="Normal 2 57 3 2 8" xfId="6047" xr:uid="{00000000-0005-0000-0000-00003A210000}"/>
    <cellStyle name="Normal 2 57 3 2 8 2" xfId="23818" xr:uid="{00000000-0005-0000-0000-00003B210000}"/>
    <cellStyle name="Normal 2 57 3 2 9" xfId="6048" xr:uid="{00000000-0005-0000-0000-00003C210000}"/>
    <cellStyle name="Normal 2 57 3 2 9 2" xfId="23819" xr:uid="{00000000-0005-0000-0000-00003D210000}"/>
    <cellStyle name="Normal 2 57 3 3" xfId="6049" xr:uid="{00000000-0005-0000-0000-00003E210000}"/>
    <cellStyle name="Normal 2 57 3 3 2" xfId="23820" xr:uid="{00000000-0005-0000-0000-00003F210000}"/>
    <cellStyle name="Normal 2 57 3 4" xfId="6050" xr:uid="{00000000-0005-0000-0000-000040210000}"/>
    <cellStyle name="Normal 2 57 3 4 2" xfId="23821" xr:uid="{00000000-0005-0000-0000-000041210000}"/>
    <cellStyle name="Normal 2 57 3 5" xfId="6051" xr:uid="{00000000-0005-0000-0000-000042210000}"/>
    <cellStyle name="Normal 2 57 3 5 2" xfId="23822" xr:uid="{00000000-0005-0000-0000-000043210000}"/>
    <cellStyle name="Normal 2 57 3 6" xfId="6052" xr:uid="{00000000-0005-0000-0000-000044210000}"/>
    <cellStyle name="Normal 2 57 3 6 2" xfId="23823" xr:uid="{00000000-0005-0000-0000-000045210000}"/>
    <cellStyle name="Normal 2 57 3 7" xfId="6053" xr:uid="{00000000-0005-0000-0000-000046210000}"/>
    <cellStyle name="Normal 2 57 3 7 2" xfId="23824" xr:uid="{00000000-0005-0000-0000-000047210000}"/>
    <cellStyle name="Normal 2 57 3 8" xfId="6054" xr:uid="{00000000-0005-0000-0000-000048210000}"/>
    <cellStyle name="Normal 2 57 3 8 2" xfId="23825" xr:uid="{00000000-0005-0000-0000-000049210000}"/>
    <cellStyle name="Normal 2 57 3 9" xfId="6055" xr:uid="{00000000-0005-0000-0000-00004A210000}"/>
    <cellStyle name="Normal 2 57 3 9 2" xfId="23826" xr:uid="{00000000-0005-0000-0000-00004B210000}"/>
    <cellStyle name="Normal 2 57 4" xfId="6056" xr:uid="{00000000-0005-0000-0000-00004C210000}"/>
    <cellStyle name="Normal 2 57 4 10" xfId="6057" xr:uid="{00000000-0005-0000-0000-00004D210000}"/>
    <cellStyle name="Normal 2 57 4 10 2" xfId="23828" xr:uid="{00000000-0005-0000-0000-00004E210000}"/>
    <cellStyle name="Normal 2 57 4 11" xfId="6058" xr:uid="{00000000-0005-0000-0000-00004F210000}"/>
    <cellStyle name="Normal 2 57 4 11 2" xfId="23829" xr:uid="{00000000-0005-0000-0000-000050210000}"/>
    <cellStyle name="Normal 2 57 4 12" xfId="6059" xr:uid="{00000000-0005-0000-0000-000051210000}"/>
    <cellStyle name="Normal 2 57 4 12 2" xfId="23830" xr:uid="{00000000-0005-0000-0000-000052210000}"/>
    <cellStyle name="Normal 2 57 4 13" xfId="6060" xr:uid="{00000000-0005-0000-0000-000053210000}"/>
    <cellStyle name="Normal 2 57 4 13 2" xfId="23831" xr:uid="{00000000-0005-0000-0000-000054210000}"/>
    <cellStyle name="Normal 2 57 4 14" xfId="6061" xr:uid="{00000000-0005-0000-0000-000055210000}"/>
    <cellStyle name="Normal 2 57 4 14 2" xfId="23832" xr:uid="{00000000-0005-0000-0000-000056210000}"/>
    <cellStyle name="Normal 2 57 4 15" xfId="6062" xr:uid="{00000000-0005-0000-0000-000057210000}"/>
    <cellStyle name="Normal 2 57 4 15 2" xfId="23833" xr:uid="{00000000-0005-0000-0000-000058210000}"/>
    <cellStyle name="Normal 2 57 4 16" xfId="23827" xr:uid="{00000000-0005-0000-0000-000059210000}"/>
    <cellStyle name="Normal 2 57 4 2" xfId="6063" xr:uid="{00000000-0005-0000-0000-00005A210000}"/>
    <cellStyle name="Normal 2 57 4 2 10" xfId="6064" xr:uid="{00000000-0005-0000-0000-00005B210000}"/>
    <cellStyle name="Normal 2 57 4 2 10 2" xfId="23835" xr:uid="{00000000-0005-0000-0000-00005C210000}"/>
    <cellStyle name="Normal 2 57 4 2 11" xfId="6065" xr:uid="{00000000-0005-0000-0000-00005D210000}"/>
    <cellStyle name="Normal 2 57 4 2 11 2" xfId="23836" xr:uid="{00000000-0005-0000-0000-00005E210000}"/>
    <cellStyle name="Normal 2 57 4 2 12" xfId="6066" xr:uid="{00000000-0005-0000-0000-00005F210000}"/>
    <cellStyle name="Normal 2 57 4 2 12 2" xfId="23837" xr:uid="{00000000-0005-0000-0000-000060210000}"/>
    <cellStyle name="Normal 2 57 4 2 13" xfId="6067" xr:uid="{00000000-0005-0000-0000-000061210000}"/>
    <cellStyle name="Normal 2 57 4 2 13 2" xfId="23838" xr:uid="{00000000-0005-0000-0000-000062210000}"/>
    <cellStyle name="Normal 2 57 4 2 14" xfId="6068" xr:uid="{00000000-0005-0000-0000-000063210000}"/>
    <cellStyle name="Normal 2 57 4 2 14 2" xfId="23839" xr:uid="{00000000-0005-0000-0000-000064210000}"/>
    <cellStyle name="Normal 2 57 4 2 15" xfId="23834" xr:uid="{00000000-0005-0000-0000-000065210000}"/>
    <cellStyle name="Normal 2 57 4 2 2" xfId="6069" xr:uid="{00000000-0005-0000-0000-000066210000}"/>
    <cellStyle name="Normal 2 57 4 2 2 2" xfId="23840" xr:uid="{00000000-0005-0000-0000-000067210000}"/>
    <cellStyle name="Normal 2 57 4 2 3" xfId="6070" xr:uid="{00000000-0005-0000-0000-000068210000}"/>
    <cellStyle name="Normal 2 57 4 2 3 2" xfId="23841" xr:uid="{00000000-0005-0000-0000-000069210000}"/>
    <cellStyle name="Normal 2 57 4 2 4" xfId="6071" xr:uid="{00000000-0005-0000-0000-00006A210000}"/>
    <cellStyle name="Normal 2 57 4 2 4 2" xfId="23842" xr:uid="{00000000-0005-0000-0000-00006B210000}"/>
    <cellStyle name="Normal 2 57 4 2 5" xfId="6072" xr:uid="{00000000-0005-0000-0000-00006C210000}"/>
    <cellStyle name="Normal 2 57 4 2 5 2" xfId="23843" xr:uid="{00000000-0005-0000-0000-00006D210000}"/>
    <cellStyle name="Normal 2 57 4 2 6" xfId="6073" xr:uid="{00000000-0005-0000-0000-00006E210000}"/>
    <cellStyle name="Normal 2 57 4 2 6 2" xfId="23844" xr:uid="{00000000-0005-0000-0000-00006F210000}"/>
    <cellStyle name="Normal 2 57 4 2 7" xfId="6074" xr:uid="{00000000-0005-0000-0000-000070210000}"/>
    <cellStyle name="Normal 2 57 4 2 7 2" xfId="23845" xr:uid="{00000000-0005-0000-0000-000071210000}"/>
    <cellStyle name="Normal 2 57 4 2 8" xfId="6075" xr:uid="{00000000-0005-0000-0000-000072210000}"/>
    <cellStyle name="Normal 2 57 4 2 8 2" xfId="23846" xr:uid="{00000000-0005-0000-0000-000073210000}"/>
    <cellStyle name="Normal 2 57 4 2 9" xfId="6076" xr:uid="{00000000-0005-0000-0000-000074210000}"/>
    <cellStyle name="Normal 2 57 4 2 9 2" xfId="23847" xr:uid="{00000000-0005-0000-0000-000075210000}"/>
    <cellStyle name="Normal 2 57 4 3" xfId="6077" xr:uid="{00000000-0005-0000-0000-000076210000}"/>
    <cellStyle name="Normal 2 57 4 3 2" xfId="23848" xr:uid="{00000000-0005-0000-0000-000077210000}"/>
    <cellStyle name="Normal 2 57 4 4" xfId="6078" xr:uid="{00000000-0005-0000-0000-000078210000}"/>
    <cellStyle name="Normal 2 57 4 4 2" xfId="23849" xr:uid="{00000000-0005-0000-0000-000079210000}"/>
    <cellStyle name="Normal 2 57 4 5" xfId="6079" xr:uid="{00000000-0005-0000-0000-00007A210000}"/>
    <cellStyle name="Normal 2 57 4 5 2" xfId="23850" xr:uid="{00000000-0005-0000-0000-00007B210000}"/>
    <cellStyle name="Normal 2 57 4 6" xfId="6080" xr:uid="{00000000-0005-0000-0000-00007C210000}"/>
    <cellStyle name="Normal 2 57 4 6 2" xfId="23851" xr:uid="{00000000-0005-0000-0000-00007D210000}"/>
    <cellStyle name="Normal 2 57 4 7" xfId="6081" xr:uid="{00000000-0005-0000-0000-00007E210000}"/>
    <cellStyle name="Normal 2 57 4 7 2" xfId="23852" xr:uid="{00000000-0005-0000-0000-00007F210000}"/>
    <cellStyle name="Normal 2 57 4 8" xfId="6082" xr:uid="{00000000-0005-0000-0000-000080210000}"/>
    <cellStyle name="Normal 2 57 4 8 2" xfId="23853" xr:uid="{00000000-0005-0000-0000-000081210000}"/>
    <cellStyle name="Normal 2 57 4 9" xfId="6083" xr:uid="{00000000-0005-0000-0000-000082210000}"/>
    <cellStyle name="Normal 2 57 4 9 2" xfId="23854" xr:uid="{00000000-0005-0000-0000-000083210000}"/>
    <cellStyle name="Normal 2 57 5" xfId="6084" xr:uid="{00000000-0005-0000-0000-000084210000}"/>
    <cellStyle name="Normal 2 57 5 10" xfId="6085" xr:uid="{00000000-0005-0000-0000-000085210000}"/>
    <cellStyle name="Normal 2 57 5 10 2" xfId="23856" xr:uid="{00000000-0005-0000-0000-000086210000}"/>
    <cellStyle name="Normal 2 57 5 11" xfId="6086" xr:uid="{00000000-0005-0000-0000-000087210000}"/>
    <cellStyle name="Normal 2 57 5 11 2" xfId="23857" xr:uid="{00000000-0005-0000-0000-000088210000}"/>
    <cellStyle name="Normal 2 57 5 12" xfId="6087" xr:uid="{00000000-0005-0000-0000-000089210000}"/>
    <cellStyle name="Normal 2 57 5 12 2" xfId="23858" xr:uid="{00000000-0005-0000-0000-00008A210000}"/>
    <cellStyle name="Normal 2 57 5 13" xfId="6088" xr:uid="{00000000-0005-0000-0000-00008B210000}"/>
    <cellStyle name="Normal 2 57 5 13 2" xfId="23859" xr:uid="{00000000-0005-0000-0000-00008C210000}"/>
    <cellStyle name="Normal 2 57 5 14" xfId="6089" xr:uid="{00000000-0005-0000-0000-00008D210000}"/>
    <cellStyle name="Normal 2 57 5 14 2" xfId="23860" xr:uid="{00000000-0005-0000-0000-00008E210000}"/>
    <cellStyle name="Normal 2 57 5 15" xfId="23855" xr:uid="{00000000-0005-0000-0000-00008F210000}"/>
    <cellStyle name="Normal 2 57 5 2" xfId="6090" xr:uid="{00000000-0005-0000-0000-000090210000}"/>
    <cellStyle name="Normal 2 57 5 2 2" xfId="23861" xr:uid="{00000000-0005-0000-0000-000091210000}"/>
    <cellStyle name="Normal 2 57 5 3" xfId="6091" xr:uid="{00000000-0005-0000-0000-000092210000}"/>
    <cellStyle name="Normal 2 57 5 3 2" xfId="23862" xr:uid="{00000000-0005-0000-0000-000093210000}"/>
    <cellStyle name="Normal 2 57 5 4" xfId="6092" xr:uid="{00000000-0005-0000-0000-000094210000}"/>
    <cellStyle name="Normal 2 57 5 4 2" xfId="23863" xr:uid="{00000000-0005-0000-0000-000095210000}"/>
    <cellStyle name="Normal 2 57 5 5" xfId="6093" xr:uid="{00000000-0005-0000-0000-000096210000}"/>
    <cellStyle name="Normal 2 57 5 5 2" xfId="23864" xr:uid="{00000000-0005-0000-0000-000097210000}"/>
    <cellStyle name="Normal 2 57 5 6" xfId="6094" xr:uid="{00000000-0005-0000-0000-000098210000}"/>
    <cellStyle name="Normal 2 57 5 6 2" xfId="23865" xr:uid="{00000000-0005-0000-0000-000099210000}"/>
    <cellStyle name="Normal 2 57 5 7" xfId="6095" xr:uid="{00000000-0005-0000-0000-00009A210000}"/>
    <cellStyle name="Normal 2 57 5 7 2" xfId="23866" xr:uid="{00000000-0005-0000-0000-00009B210000}"/>
    <cellStyle name="Normal 2 57 5 8" xfId="6096" xr:uid="{00000000-0005-0000-0000-00009C210000}"/>
    <cellStyle name="Normal 2 57 5 8 2" xfId="23867" xr:uid="{00000000-0005-0000-0000-00009D210000}"/>
    <cellStyle name="Normal 2 57 5 9" xfId="6097" xr:uid="{00000000-0005-0000-0000-00009E210000}"/>
    <cellStyle name="Normal 2 57 5 9 2" xfId="23868" xr:uid="{00000000-0005-0000-0000-00009F210000}"/>
    <cellStyle name="Normal 2 57 6" xfId="6098" xr:uid="{00000000-0005-0000-0000-0000A0210000}"/>
    <cellStyle name="Normal 2 57 6 10" xfId="6099" xr:uid="{00000000-0005-0000-0000-0000A1210000}"/>
    <cellStyle name="Normal 2 57 6 10 2" xfId="23870" xr:uid="{00000000-0005-0000-0000-0000A2210000}"/>
    <cellStyle name="Normal 2 57 6 11" xfId="6100" xr:uid="{00000000-0005-0000-0000-0000A3210000}"/>
    <cellStyle name="Normal 2 57 6 11 2" xfId="23871" xr:uid="{00000000-0005-0000-0000-0000A4210000}"/>
    <cellStyle name="Normal 2 57 6 12" xfId="6101" xr:uid="{00000000-0005-0000-0000-0000A5210000}"/>
    <cellStyle name="Normal 2 57 6 12 2" xfId="23872" xr:uid="{00000000-0005-0000-0000-0000A6210000}"/>
    <cellStyle name="Normal 2 57 6 13" xfId="6102" xr:uid="{00000000-0005-0000-0000-0000A7210000}"/>
    <cellStyle name="Normal 2 57 6 13 2" xfId="23873" xr:uid="{00000000-0005-0000-0000-0000A8210000}"/>
    <cellStyle name="Normal 2 57 6 14" xfId="6103" xr:uid="{00000000-0005-0000-0000-0000A9210000}"/>
    <cellStyle name="Normal 2 57 6 14 2" xfId="23874" xr:uid="{00000000-0005-0000-0000-0000AA210000}"/>
    <cellStyle name="Normal 2 57 6 15" xfId="23869" xr:uid="{00000000-0005-0000-0000-0000AB210000}"/>
    <cellStyle name="Normal 2 57 6 2" xfId="6104" xr:uid="{00000000-0005-0000-0000-0000AC210000}"/>
    <cellStyle name="Normal 2 57 6 2 2" xfId="23875" xr:uid="{00000000-0005-0000-0000-0000AD210000}"/>
    <cellStyle name="Normal 2 57 6 3" xfId="6105" xr:uid="{00000000-0005-0000-0000-0000AE210000}"/>
    <cellStyle name="Normal 2 57 6 3 2" xfId="23876" xr:uid="{00000000-0005-0000-0000-0000AF210000}"/>
    <cellStyle name="Normal 2 57 6 4" xfId="6106" xr:uid="{00000000-0005-0000-0000-0000B0210000}"/>
    <cellStyle name="Normal 2 57 6 4 2" xfId="23877" xr:uid="{00000000-0005-0000-0000-0000B1210000}"/>
    <cellStyle name="Normal 2 57 6 5" xfId="6107" xr:uid="{00000000-0005-0000-0000-0000B2210000}"/>
    <cellStyle name="Normal 2 57 6 5 2" xfId="23878" xr:uid="{00000000-0005-0000-0000-0000B3210000}"/>
    <cellStyle name="Normal 2 57 6 6" xfId="6108" xr:uid="{00000000-0005-0000-0000-0000B4210000}"/>
    <cellStyle name="Normal 2 57 6 6 2" xfId="23879" xr:uid="{00000000-0005-0000-0000-0000B5210000}"/>
    <cellStyle name="Normal 2 57 6 7" xfId="6109" xr:uid="{00000000-0005-0000-0000-0000B6210000}"/>
    <cellStyle name="Normal 2 57 6 7 2" xfId="23880" xr:uid="{00000000-0005-0000-0000-0000B7210000}"/>
    <cellStyle name="Normal 2 57 6 8" xfId="6110" xr:uid="{00000000-0005-0000-0000-0000B8210000}"/>
    <cellStyle name="Normal 2 57 6 8 2" xfId="23881" xr:uid="{00000000-0005-0000-0000-0000B9210000}"/>
    <cellStyle name="Normal 2 57 6 9" xfId="6111" xr:uid="{00000000-0005-0000-0000-0000BA210000}"/>
    <cellStyle name="Normal 2 57 6 9 2" xfId="23882" xr:uid="{00000000-0005-0000-0000-0000BB210000}"/>
    <cellStyle name="Normal 2 57 7" xfId="6112" xr:uid="{00000000-0005-0000-0000-0000BC210000}"/>
    <cellStyle name="Normal 2 57 7 10" xfId="6113" xr:uid="{00000000-0005-0000-0000-0000BD210000}"/>
    <cellStyle name="Normal 2 57 7 10 2" xfId="23884" xr:uid="{00000000-0005-0000-0000-0000BE210000}"/>
    <cellStyle name="Normal 2 57 7 11" xfId="6114" xr:uid="{00000000-0005-0000-0000-0000BF210000}"/>
    <cellStyle name="Normal 2 57 7 11 2" xfId="23885" xr:uid="{00000000-0005-0000-0000-0000C0210000}"/>
    <cellStyle name="Normal 2 57 7 12" xfId="6115" xr:uid="{00000000-0005-0000-0000-0000C1210000}"/>
    <cellStyle name="Normal 2 57 7 12 2" xfId="23886" xr:uid="{00000000-0005-0000-0000-0000C2210000}"/>
    <cellStyle name="Normal 2 57 7 13" xfId="6116" xr:uid="{00000000-0005-0000-0000-0000C3210000}"/>
    <cellStyle name="Normal 2 57 7 13 2" xfId="23887" xr:uid="{00000000-0005-0000-0000-0000C4210000}"/>
    <cellStyle name="Normal 2 57 7 14" xfId="6117" xr:uid="{00000000-0005-0000-0000-0000C5210000}"/>
    <cellStyle name="Normal 2 57 7 14 2" xfId="23888" xr:uid="{00000000-0005-0000-0000-0000C6210000}"/>
    <cellStyle name="Normal 2 57 7 15" xfId="23883" xr:uid="{00000000-0005-0000-0000-0000C7210000}"/>
    <cellStyle name="Normal 2 57 7 2" xfId="6118" xr:uid="{00000000-0005-0000-0000-0000C8210000}"/>
    <cellStyle name="Normal 2 57 7 2 2" xfId="23889" xr:uid="{00000000-0005-0000-0000-0000C9210000}"/>
    <cellStyle name="Normal 2 57 7 3" xfId="6119" xr:uid="{00000000-0005-0000-0000-0000CA210000}"/>
    <cellStyle name="Normal 2 57 7 3 2" xfId="23890" xr:uid="{00000000-0005-0000-0000-0000CB210000}"/>
    <cellStyle name="Normal 2 57 7 4" xfId="6120" xr:uid="{00000000-0005-0000-0000-0000CC210000}"/>
    <cellStyle name="Normal 2 57 7 4 2" xfId="23891" xr:uid="{00000000-0005-0000-0000-0000CD210000}"/>
    <cellStyle name="Normal 2 57 7 5" xfId="6121" xr:uid="{00000000-0005-0000-0000-0000CE210000}"/>
    <cellStyle name="Normal 2 57 7 5 2" xfId="23892" xr:uid="{00000000-0005-0000-0000-0000CF210000}"/>
    <cellStyle name="Normal 2 57 7 6" xfId="6122" xr:uid="{00000000-0005-0000-0000-0000D0210000}"/>
    <cellStyle name="Normal 2 57 7 6 2" xfId="23893" xr:uid="{00000000-0005-0000-0000-0000D1210000}"/>
    <cellStyle name="Normal 2 57 7 7" xfId="6123" xr:uid="{00000000-0005-0000-0000-0000D2210000}"/>
    <cellStyle name="Normal 2 57 7 7 2" xfId="23894" xr:uid="{00000000-0005-0000-0000-0000D3210000}"/>
    <cellStyle name="Normal 2 57 7 8" xfId="6124" xr:uid="{00000000-0005-0000-0000-0000D4210000}"/>
    <cellStyle name="Normal 2 57 7 8 2" xfId="23895" xr:uid="{00000000-0005-0000-0000-0000D5210000}"/>
    <cellStyle name="Normal 2 57 7 9" xfId="6125" xr:uid="{00000000-0005-0000-0000-0000D6210000}"/>
    <cellStyle name="Normal 2 57 7 9 2" xfId="23896" xr:uid="{00000000-0005-0000-0000-0000D7210000}"/>
    <cellStyle name="Normal 2 57 8" xfId="6126" xr:uid="{00000000-0005-0000-0000-0000D8210000}"/>
    <cellStyle name="Normal 2 57 8 10" xfId="6127" xr:uid="{00000000-0005-0000-0000-0000D9210000}"/>
    <cellStyle name="Normal 2 57 8 10 2" xfId="23898" xr:uid="{00000000-0005-0000-0000-0000DA210000}"/>
    <cellStyle name="Normal 2 57 8 11" xfId="6128" xr:uid="{00000000-0005-0000-0000-0000DB210000}"/>
    <cellStyle name="Normal 2 57 8 11 2" xfId="23899" xr:uid="{00000000-0005-0000-0000-0000DC210000}"/>
    <cellStyle name="Normal 2 57 8 12" xfId="6129" xr:uid="{00000000-0005-0000-0000-0000DD210000}"/>
    <cellStyle name="Normal 2 57 8 12 2" xfId="23900" xr:uid="{00000000-0005-0000-0000-0000DE210000}"/>
    <cellStyle name="Normal 2 57 8 13" xfId="6130" xr:uid="{00000000-0005-0000-0000-0000DF210000}"/>
    <cellStyle name="Normal 2 57 8 13 2" xfId="23901" xr:uid="{00000000-0005-0000-0000-0000E0210000}"/>
    <cellStyle name="Normal 2 57 8 14" xfId="6131" xr:uid="{00000000-0005-0000-0000-0000E1210000}"/>
    <cellStyle name="Normal 2 57 8 14 2" xfId="23902" xr:uid="{00000000-0005-0000-0000-0000E2210000}"/>
    <cellStyle name="Normal 2 57 8 15" xfId="23897" xr:uid="{00000000-0005-0000-0000-0000E3210000}"/>
    <cellStyle name="Normal 2 57 8 2" xfId="6132" xr:uid="{00000000-0005-0000-0000-0000E4210000}"/>
    <cellStyle name="Normal 2 57 8 2 2" xfId="23903" xr:uid="{00000000-0005-0000-0000-0000E5210000}"/>
    <cellStyle name="Normal 2 57 8 3" xfId="6133" xr:uid="{00000000-0005-0000-0000-0000E6210000}"/>
    <cellStyle name="Normal 2 57 8 3 2" xfId="23904" xr:uid="{00000000-0005-0000-0000-0000E7210000}"/>
    <cellStyle name="Normal 2 57 8 4" xfId="6134" xr:uid="{00000000-0005-0000-0000-0000E8210000}"/>
    <cellStyle name="Normal 2 57 8 4 2" xfId="23905" xr:uid="{00000000-0005-0000-0000-0000E9210000}"/>
    <cellStyle name="Normal 2 57 8 5" xfId="6135" xr:uid="{00000000-0005-0000-0000-0000EA210000}"/>
    <cellStyle name="Normal 2 57 8 5 2" xfId="23906" xr:uid="{00000000-0005-0000-0000-0000EB210000}"/>
    <cellStyle name="Normal 2 57 8 6" xfId="6136" xr:uid="{00000000-0005-0000-0000-0000EC210000}"/>
    <cellStyle name="Normal 2 57 8 6 2" xfId="23907" xr:uid="{00000000-0005-0000-0000-0000ED210000}"/>
    <cellStyle name="Normal 2 57 8 7" xfId="6137" xr:uid="{00000000-0005-0000-0000-0000EE210000}"/>
    <cellStyle name="Normal 2 57 8 7 2" xfId="23908" xr:uid="{00000000-0005-0000-0000-0000EF210000}"/>
    <cellStyle name="Normal 2 57 8 8" xfId="6138" xr:uid="{00000000-0005-0000-0000-0000F0210000}"/>
    <cellStyle name="Normal 2 57 8 8 2" xfId="23909" xr:uid="{00000000-0005-0000-0000-0000F1210000}"/>
    <cellStyle name="Normal 2 57 8 9" xfId="6139" xr:uid="{00000000-0005-0000-0000-0000F2210000}"/>
    <cellStyle name="Normal 2 57 8 9 2" xfId="23910" xr:uid="{00000000-0005-0000-0000-0000F3210000}"/>
    <cellStyle name="Normal 2 57 9" xfId="6140" xr:uid="{00000000-0005-0000-0000-0000F4210000}"/>
    <cellStyle name="Normal 2 57 9 10" xfId="6141" xr:uid="{00000000-0005-0000-0000-0000F5210000}"/>
    <cellStyle name="Normal 2 57 9 10 2" xfId="23912" xr:uid="{00000000-0005-0000-0000-0000F6210000}"/>
    <cellStyle name="Normal 2 57 9 11" xfId="6142" xr:uid="{00000000-0005-0000-0000-0000F7210000}"/>
    <cellStyle name="Normal 2 57 9 11 2" xfId="23913" xr:uid="{00000000-0005-0000-0000-0000F8210000}"/>
    <cellStyle name="Normal 2 57 9 12" xfId="6143" xr:uid="{00000000-0005-0000-0000-0000F9210000}"/>
    <cellStyle name="Normal 2 57 9 12 2" xfId="23914" xr:uid="{00000000-0005-0000-0000-0000FA210000}"/>
    <cellStyle name="Normal 2 57 9 13" xfId="6144" xr:uid="{00000000-0005-0000-0000-0000FB210000}"/>
    <cellStyle name="Normal 2 57 9 13 2" xfId="23915" xr:uid="{00000000-0005-0000-0000-0000FC210000}"/>
    <cellStyle name="Normal 2 57 9 14" xfId="6145" xr:uid="{00000000-0005-0000-0000-0000FD210000}"/>
    <cellStyle name="Normal 2 57 9 14 2" xfId="23916" xr:uid="{00000000-0005-0000-0000-0000FE210000}"/>
    <cellStyle name="Normal 2 57 9 15" xfId="23911" xr:uid="{00000000-0005-0000-0000-0000FF210000}"/>
    <cellStyle name="Normal 2 57 9 2" xfId="6146" xr:uid="{00000000-0005-0000-0000-000000220000}"/>
    <cellStyle name="Normal 2 57 9 2 2" xfId="23917" xr:uid="{00000000-0005-0000-0000-000001220000}"/>
    <cellStyle name="Normal 2 57 9 3" xfId="6147" xr:uid="{00000000-0005-0000-0000-000002220000}"/>
    <cellStyle name="Normal 2 57 9 3 2" xfId="23918" xr:uid="{00000000-0005-0000-0000-000003220000}"/>
    <cellStyle name="Normal 2 57 9 4" xfId="6148" xr:uid="{00000000-0005-0000-0000-000004220000}"/>
    <cellStyle name="Normal 2 57 9 4 2" xfId="23919" xr:uid="{00000000-0005-0000-0000-000005220000}"/>
    <cellStyle name="Normal 2 57 9 5" xfId="6149" xr:uid="{00000000-0005-0000-0000-000006220000}"/>
    <cellStyle name="Normal 2 57 9 5 2" xfId="23920" xr:uid="{00000000-0005-0000-0000-000007220000}"/>
    <cellStyle name="Normal 2 57 9 6" xfId="6150" xr:uid="{00000000-0005-0000-0000-000008220000}"/>
    <cellStyle name="Normal 2 57 9 6 2" xfId="23921" xr:uid="{00000000-0005-0000-0000-000009220000}"/>
    <cellStyle name="Normal 2 57 9 7" xfId="6151" xr:uid="{00000000-0005-0000-0000-00000A220000}"/>
    <cellStyle name="Normal 2 57 9 7 2" xfId="23922" xr:uid="{00000000-0005-0000-0000-00000B220000}"/>
    <cellStyle name="Normal 2 57 9 8" xfId="6152" xr:uid="{00000000-0005-0000-0000-00000C220000}"/>
    <cellStyle name="Normal 2 57 9 8 2" xfId="23923" xr:uid="{00000000-0005-0000-0000-00000D220000}"/>
    <cellStyle name="Normal 2 57 9 9" xfId="6153" xr:uid="{00000000-0005-0000-0000-00000E220000}"/>
    <cellStyle name="Normal 2 57 9 9 2" xfId="23924" xr:uid="{00000000-0005-0000-0000-00000F220000}"/>
    <cellStyle name="Normal 2 58" xfId="6154" xr:uid="{00000000-0005-0000-0000-000010220000}"/>
    <cellStyle name="Normal 2 58 10" xfId="6155" xr:uid="{00000000-0005-0000-0000-000011220000}"/>
    <cellStyle name="Normal 2 58 10 10" xfId="6156" xr:uid="{00000000-0005-0000-0000-000012220000}"/>
    <cellStyle name="Normal 2 58 10 10 2" xfId="23927" xr:uid="{00000000-0005-0000-0000-000013220000}"/>
    <cellStyle name="Normal 2 58 10 11" xfId="6157" xr:uid="{00000000-0005-0000-0000-000014220000}"/>
    <cellStyle name="Normal 2 58 10 11 2" xfId="23928" xr:uid="{00000000-0005-0000-0000-000015220000}"/>
    <cellStyle name="Normal 2 58 10 12" xfId="6158" xr:uid="{00000000-0005-0000-0000-000016220000}"/>
    <cellStyle name="Normal 2 58 10 12 2" xfId="23929" xr:uid="{00000000-0005-0000-0000-000017220000}"/>
    <cellStyle name="Normal 2 58 10 13" xfId="6159" xr:uid="{00000000-0005-0000-0000-000018220000}"/>
    <cellStyle name="Normal 2 58 10 13 2" xfId="23930" xr:uid="{00000000-0005-0000-0000-000019220000}"/>
    <cellStyle name="Normal 2 58 10 14" xfId="6160" xr:uid="{00000000-0005-0000-0000-00001A220000}"/>
    <cellStyle name="Normal 2 58 10 14 2" xfId="23931" xr:uid="{00000000-0005-0000-0000-00001B220000}"/>
    <cellStyle name="Normal 2 58 10 15" xfId="23926" xr:uid="{00000000-0005-0000-0000-00001C220000}"/>
    <cellStyle name="Normal 2 58 10 2" xfId="6161" xr:uid="{00000000-0005-0000-0000-00001D220000}"/>
    <cellStyle name="Normal 2 58 10 2 2" xfId="23932" xr:uid="{00000000-0005-0000-0000-00001E220000}"/>
    <cellStyle name="Normal 2 58 10 3" xfId="6162" xr:uid="{00000000-0005-0000-0000-00001F220000}"/>
    <cellStyle name="Normal 2 58 10 3 2" xfId="23933" xr:uid="{00000000-0005-0000-0000-000020220000}"/>
    <cellStyle name="Normal 2 58 10 4" xfId="6163" xr:uid="{00000000-0005-0000-0000-000021220000}"/>
    <cellStyle name="Normal 2 58 10 4 2" xfId="23934" xr:uid="{00000000-0005-0000-0000-000022220000}"/>
    <cellStyle name="Normal 2 58 10 5" xfId="6164" xr:uid="{00000000-0005-0000-0000-000023220000}"/>
    <cellStyle name="Normal 2 58 10 5 2" xfId="23935" xr:uid="{00000000-0005-0000-0000-000024220000}"/>
    <cellStyle name="Normal 2 58 10 6" xfId="6165" xr:uid="{00000000-0005-0000-0000-000025220000}"/>
    <cellStyle name="Normal 2 58 10 6 2" xfId="23936" xr:uid="{00000000-0005-0000-0000-000026220000}"/>
    <cellStyle name="Normal 2 58 10 7" xfId="6166" xr:uid="{00000000-0005-0000-0000-000027220000}"/>
    <cellStyle name="Normal 2 58 10 7 2" xfId="23937" xr:uid="{00000000-0005-0000-0000-000028220000}"/>
    <cellStyle name="Normal 2 58 10 8" xfId="6167" xr:uid="{00000000-0005-0000-0000-000029220000}"/>
    <cellStyle name="Normal 2 58 10 8 2" xfId="23938" xr:uid="{00000000-0005-0000-0000-00002A220000}"/>
    <cellStyle name="Normal 2 58 10 9" xfId="6168" xr:uid="{00000000-0005-0000-0000-00002B220000}"/>
    <cellStyle name="Normal 2 58 10 9 2" xfId="23939" xr:uid="{00000000-0005-0000-0000-00002C220000}"/>
    <cellStyle name="Normal 2 58 11" xfId="6169" xr:uid="{00000000-0005-0000-0000-00002D220000}"/>
    <cellStyle name="Normal 2 58 11 2" xfId="23940" xr:uid="{00000000-0005-0000-0000-00002E220000}"/>
    <cellStyle name="Normal 2 58 12" xfId="6170" xr:uid="{00000000-0005-0000-0000-00002F220000}"/>
    <cellStyle name="Normal 2 58 12 2" xfId="23941" xr:uid="{00000000-0005-0000-0000-000030220000}"/>
    <cellStyle name="Normal 2 58 13" xfId="6171" xr:uid="{00000000-0005-0000-0000-000031220000}"/>
    <cellStyle name="Normal 2 58 13 2" xfId="23942" xr:uid="{00000000-0005-0000-0000-000032220000}"/>
    <cellStyle name="Normal 2 58 14" xfId="6172" xr:uid="{00000000-0005-0000-0000-000033220000}"/>
    <cellStyle name="Normal 2 58 14 2" xfId="23943" xr:uid="{00000000-0005-0000-0000-000034220000}"/>
    <cellStyle name="Normal 2 58 15" xfId="6173" xr:uid="{00000000-0005-0000-0000-000035220000}"/>
    <cellStyle name="Normal 2 58 15 2" xfId="23944" xr:uid="{00000000-0005-0000-0000-000036220000}"/>
    <cellStyle name="Normal 2 58 16" xfId="6174" xr:uid="{00000000-0005-0000-0000-000037220000}"/>
    <cellStyle name="Normal 2 58 16 2" xfId="23945" xr:uid="{00000000-0005-0000-0000-000038220000}"/>
    <cellStyle name="Normal 2 58 17" xfId="6175" xr:uid="{00000000-0005-0000-0000-000039220000}"/>
    <cellStyle name="Normal 2 58 17 2" xfId="23946" xr:uid="{00000000-0005-0000-0000-00003A220000}"/>
    <cellStyle name="Normal 2 58 18" xfId="6176" xr:uid="{00000000-0005-0000-0000-00003B220000}"/>
    <cellStyle name="Normal 2 58 18 2" xfId="23947" xr:uid="{00000000-0005-0000-0000-00003C220000}"/>
    <cellStyle name="Normal 2 58 19" xfId="6177" xr:uid="{00000000-0005-0000-0000-00003D220000}"/>
    <cellStyle name="Normal 2 58 19 2" xfId="23948" xr:uid="{00000000-0005-0000-0000-00003E220000}"/>
    <cellStyle name="Normal 2 58 2" xfId="6178" xr:uid="{00000000-0005-0000-0000-00003F220000}"/>
    <cellStyle name="Normal 2 58 2 10" xfId="6179" xr:uid="{00000000-0005-0000-0000-000040220000}"/>
    <cellStyle name="Normal 2 58 2 10 2" xfId="23950" xr:uid="{00000000-0005-0000-0000-000041220000}"/>
    <cellStyle name="Normal 2 58 2 11" xfId="6180" xr:uid="{00000000-0005-0000-0000-000042220000}"/>
    <cellStyle name="Normal 2 58 2 11 2" xfId="23951" xr:uid="{00000000-0005-0000-0000-000043220000}"/>
    <cellStyle name="Normal 2 58 2 12" xfId="6181" xr:uid="{00000000-0005-0000-0000-000044220000}"/>
    <cellStyle name="Normal 2 58 2 12 2" xfId="23952" xr:uid="{00000000-0005-0000-0000-000045220000}"/>
    <cellStyle name="Normal 2 58 2 13" xfId="6182" xr:uid="{00000000-0005-0000-0000-000046220000}"/>
    <cellStyle name="Normal 2 58 2 13 2" xfId="23953" xr:uid="{00000000-0005-0000-0000-000047220000}"/>
    <cellStyle name="Normal 2 58 2 14" xfId="6183" xr:uid="{00000000-0005-0000-0000-000048220000}"/>
    <cellStyle name="Normal 2 58 2 14 2" xfId="23954" xr:uid="{00000000-0005-0000-0000-000049220000}"/>
    <cellStyle name="Normal 2 58 2 15" xfId="6184" xr:uid="{00000000-0005-0000-0000-00004A220000}"/>
    <cellStyle name="Normal 2 58 2 15 2" xfId="23955" xr:uid="{00000000-0005-0000-0000-00004B220000}"/>
    <cellStyle name="Normal 2 58 2 16" xfId="23949" xr:uid="{00000000-0005-0000-0000-00004C220000}"/>
    <cellStyle name="Normal 2 58 2 2" xfId="6185" xr:uid="{00000000-0005-0000-0000-00004D220000}"/>
    <cellStyle name="Normal 2 58 2 2 10" xfId="6186" xr:uid="{00000000-0005-0000-0000-00004E220000}"/>
    <cellStyle name="Normal 2 58 2 2 10 2" xfId="23957" xr:uid="{00000000-0005-0000-0000-00004F220000}"/>
    <cellStyle name="Normal 2 58 2 2 11" xfId="6187" xr:uid="{00000000-0005-0000-0000-000050220000}"/>
    <cellStyle name="Normal 2 58 2 2 11 2" xfId="23958" xr:uid="{00000000-0005-0000-0000-000051220000}"/>
    <cellStyle name="Normal 2 58 2 2 12" xfId="6188" xr:uid="{00000000-0005-0000-0000-000052220000}"/>
    <cellStyle name="Normal 2 58 2 2 12 2" xfId="23959" xr:uid="{00000000-0005-0000-0000-000053220000}"/>
    <cellStyle name="Normal 2 58 2 2 13" xfId="6189" xr:uid="{00000000-0005-0000-0000-000054220000}"/>
    <cellStyle name="Normal 2 58 2 2 13 2" xfId="23960" xr:uid="{00000000-0005-0000-0000-000055220000}"/>
    <cellStyle name="Normal 2 58 2 2 14" xfId="6190" xr:uid="{00000000-0005-0000-0000-000056220000}"/>
    <cellStyle name="Normal 2 58 2 2 14 2" xfId="23961" xr:uid="{00000000-0005-0000-0000-000057220000}"/>
    <cellStyle name="Normal 2 58 2 2 15" xfId="23956" xr:uid="{00000000-0005-0000-0000-000058220000}"/>
    <cellStyle name="Normal 2 58 2 2 2" xfId="6191" xr:uid="{00000000-0005-0000-0000-000059220000}"/>
    <cellStyle name="Normal 2 58 2 2 2 2" xfId="23962" xr:uid="{00000000-0005-0000-0000-00005A220000}"/>
    <cellStyle name="Normal 2 58 2 2 3" xfId="6192" xr:uid="{00000000-0005-0000-0000-00005B220000}"/>
    <cellStyle name="Normal 2 58 2 2 3 2" xfId="23963" xr:uid="{00000000-0005-0000-0000-00005C220000}"/>
    <cellStyle name="Normal 2 58 2 2 4" xfId="6193" xr:uid="{00000000-0005-0000-0000-00005D220000}"/>
    <cellStyle name="Normal 2 58 2 2 4 2" xfId="23964" xr:uid="{00000000-0005-0000-0000-00005E220000}"/>
    <cellStyle name="Normal 2 58 2 2 5" xfId="6194" xr:uid="{00000000-0005-0000-0000-00005F220000}"/>
    <cellStyle name="Normal 2 58 2 2 5 2" xfId="23965" xr:uid="{00000000-0005-0000-0000-000060220000}"/>
    <cellStyle name="Normal 2 58 2 2 6" xfId="6195" xr:uid="{00000000-0005-0000-0000-000061220000}"/>
    <cellStyle name="Normal 2 58 2 2 6 2" xfId="23966" xr:uid="{00000000-0005-0000-0000-000062220000}"/>
    <cellStyle name="Normal 2 58 2 2 7" xfId="6196" xr:uid="{00000000-0005-0000-0000-000063220000}"/>
    <cellStyle name="Normal 2 58 2 2 7 2" xfId="23967" xr:uid="{00000000-0005-0000-0000-000064220000}"/>
    <cellStyle name="Normal 2 58 2 2 8" xfId="6197" xr:uid="{00000000-0005-0000-0000-000065220000}"/>
    <cellStyle name="Normal 2 58 2 2 8 2" xfId="23968" xr:uid="{00000000-0005-0000-0000-000066220000}"/>
    <cellStyle name="Normal 2 58 2 2 9" xfId="6198" xr:uid="{00000000-0005-0000-0000-000067220000}"/>
    <cellStyle name="Normal 2 58 2 2 9 2" xfId="23969" xr:uid="{00000000-0005-0000-0000-000068220000}"/>
    <cellStyle name="Normal 2 58 2 3" xfId="6199" xr:uid="{00000000-0005-0000-0000-000069220000}"/>
    <cellStyle name="Normal 2 58 2 3 2" xfId="23970" xr:uid="{00000000-0005-0000-0000-00006A220000}"/>
    <cellStyle name="Normal 2 58 2 4" xfId="6200" xr:uid="{00000000-0005-0000-0000-00006B220000}"/>
    <cellStyle name="Normal 2 58 2 4 2" xfId="23971" xr:uid="{00000000-0005-0000-0000-00006C220000}"/>
    <cellStyle name="Normal 2 58 2 5" xfId="6201" xr:uid="{00000000-0005-0000-0000-00006D220000}"/>
    <cellStyle name="Normal 2 58 2 5 2" xfId="23972" xr:uid="{00000000-0005-0000-0000-00006E220000}"/>
    <cellStyle name="Normal 2 58 2 6" xfId="6202" xr:uid="{00000000-0005-0000-0000-00006F220000}"/>
    <cellStyle name="Normal 2 58 2 6 2" xfId="23973" xr:uid="{00000000-0005-0000-0000-000070220000}"/>
    <cellStyle name="Normal 2 58 2 7" xfId="6203" xr:uid="{00000000-0005-0000-0000-000071220000}"/>
    <cellStyle name="Normal 2 58 2 7 2" xfId="23974" xr:uid="{00000000-0005-0000-0000-000072220000}"/>
    <cellStyle name="Normal 2 58 2 8" xfId="6204" xr:uid="{00000000-0005-0000-0000-000073220000}"/>
    <cellStyle name="Normal 2 58 2 8 2" xfId="23975" xr:uid="{00000000-0005-0000-0000-000074220000}"/>
    <cellStyle name="Normal 2 58 2 9" xfId="6205" xr:uid="{00000000-0005-0000-0000-000075220000}"/>
    <cellStyle name="Normal 2 58 2 9 2" xfId="23976" xr:uid="{00000000-0005-0000-0000-000076220000}"/>
    <cellStyle name="Normal 2 58 20" xfId="6206" xr:uid="{00000000-0005-0000-0000-000077220000}"/>
    <cellStyle name="Normal 2 58 20 2" xfId="23977" xr:uid="{00000000-0005-0000-0000-000078220000}"/>
    <cellStyle name="Normal 2 58 21" xfId="6207" xr:uid="{00000000-0005-0000-0000-000079220000}"/>
    <cellStyle name="Normal 2 58 21 2" xfId="23978" xr:uid="{00000000-0005-0000-0000-00007A220000}"/>
    <cellStyle name="Normal 2 58 22" xfId="6208" xr:uid="{00000000-0005-0000-0000-00007B220000}"/>
    <cellStyle name="Normal 2 58 22 2" xfId="23979" xr:uid="{00000000-0005-0000-0000-00007C220000}"/>
    <cellStyle name="Normal 2 58 23" xfId="6209" xr:uid="{00000000-0005-0000-0000-00007D220000}"/>
    <cellStyle name="Normal 2 58 23 2" xfId="23980" xr:uid="{00000000-0005-0000-0000-00007E220000}"/>
    <cellStyle name="Normal 2 58 24" xfId="23925" xr:uid="{00000000-0005-0000-0000-00007F220000}"/>
    <cellStyle name="Normal 2 58 3" xfId="6210" xr:uid="{00000000-0005-0000-0000-000080220000}"/>
    <cellStyle name="Normal 2 58 3 10" xfId="6211" xr:uid="{00000000-0005-0000-0000-000081220000}"/>
    <cellStyle name="Normal 2 58 3 10 2" xfId="23982" xr:uid="{00000000-0005-0000-0000-000082220000}"/>
    <cellStyle name="Normal 2 58 3 11" xfId="6212" xr:uid="{00000000-0005-0000-0000-000083220000}"/>
    <cellStyle name="Normal 2 58 3 11 2" xfId="23983" xr:uid="{00000000-0005-0000-0000-000084220000}"/>
    <cellStyle name="Normal 2 58 3 12" xfId="6213" xr:uid="{00000000-0005-0000-0000-000085220000}"/>
    <cellStyle name="Normal 2 58 3 12 2" xfId="23984" xr:uid="{00000000-0005-0000-0000-000086220000}"/>
    <cellStyle name="Normal 2 58 3 13" xfId="6214" xr:uid="{00000000-0005-0000-0000-000087220000}"/>
    <cellStyle name="Normal 2 58 3 13 2" xfId="23985" xr:uid="{00000000-0005-0000-0000-000088220000}"/>
    <cellStyle name="Normal 2 58 3 14" xfId="6215" xr:uid="{00000000-0005-0000-0000-000089220000}"/>
    <cellStyle name="Normal 2 58 3 14 2" xfId="23986" xr:uid="{00000000-0005-0000-0000-00008A220000}"/>
    <cellStyle name="Normal 2 58 3 15" xfId="6216" xr:uid="{00000000-0005-0000-0000-00008B220000}"/>
    <cellStyle name="Normal 2 58 3 15 2" xfId="23987" xr:uid="{00000000-0005-0000-0000-00008C220000}"/>
    <cellStyle name="Normal 2 58 3 16" xfId="23981" xr:uid="{00000000-0005-0000-0000-00008D220000}"/>
    <cellStyle name="Normal 2 58 3 2" xfId="6217" xr:uid="{00000000-0005-0000-0000-00008E220000}"/>
    <cellStyle name="Normal 2 58 3 2 10" xfId="6218" xr:uid="{00000000-0005-0000-0000-00008F220000}"/>
    <cellStyle name="Normal 2 58 3 2 10 2" xfId="23989" xr:uid="{00000000-0005-0000-0000-000090220000}"/>
    <cellStyle name="Normal 2 58 3 2 11" xfId="6219" xr:uid="{00000000-0005-0000-0000-000091220000}"/>
    <cellStyle name="Normal 2 58 3 2 11 2" xfId="23990" xr:uid="{00000000-0005-0000-0000-000092220000}"/>
    <cellStyle name="Normal 2 58 3 2 12" xfId="6220" xr:uid="{00000000-0005-0000-0000-000093220000}"/>
    <cellStyle name="Normal 2 58 3 2 12 2" xfId="23991" xr:uid="{00000000-0005-0000-0000-000094220000}"/>
    <cellStyle name="Normal 2 58 3 2 13" xfId="6221" xr:uid="{00000000-0005-0000-0000-000095220000}"/>
    <cellStyle name="Normal 2 58 3 2 13 2" xfId="23992" xr:uid="{00000000-0005-0000-0000-000096220000}"/>
    <cellStyle name="Normal 2 58 3 2 14" xfId="6222" xr:uid="{00000000-0005-0000-0000-000097220000}"/>
    <cellStyle name="Normal 2 58 3 2 14 2" xfId="23993" xr:uid="{00000000-0005-0000-0000-000098220000}"/>
    <cellStyle name="Normal 2 58 3 2 15" xfId="23988" xr:uid="{00000000-0005-0000-0000-000099220000}"/>
    <cellStyle name="Normal 2 58 3 2 2" xfId="6223" xr:uid="{00000000-0005-0000-0000-00009A220000}"/>
    <cellStyle name="Normal 2 58 3 2 2 2" xfId="23994" xr:uid="{00000000-0005-0000-0000-00009B220000}"/>
    <cellStyle name="Normal 2 58 3 2 3" xfId="6224" xr:uid="{00000000-0005-0000-0000-00009C220000}"/>
    <cellStyle name="Normal 2 58 3 2 3 2" xfId="23995" xr:uid="{00000000-0005-0000-0000-00009D220000}"/>
    <cellStyle name="Normal 2 58 3 2 4" xfId="6225" xr:uid="{00000000-0005-0000-0000-00009E220000}"/>
    <cellStyle name="Normal 2 58 3 2 4 2" xfId="23996" xr:uid="{00000000-0005-0000-0000-00009F220000}"/>
    <cellStyle name="Normal 2 58 3 2 5" xfId="6226" xr:uid="{00000000-0005-0000-0000-0000A0220000}"/>
    <cellStyle name="Normal 2 58 3 2 5 2" xfId="23997" xr:uid="{00000000-0005-0000-0000-0000A1220000}"/>
    <cellStyle name="Normal 2 58 3 2 6" xfId="6227" xr:uid="{00000000-0005-0000-0000-0000A2220000}"/>
    <cellStyle name="Normal 2 58 3 2 6 2" xfId="23998" xr:uid="{00000000-0005-0000-0000-0000A3220000}"/>
    <cellStyle name="Normal 2 58 3 2 7" xfId="6228" xr:uid="{00000000-0005-0000-0000-0000A4220000}"/>
    <cellStyle name="Normal 2 58 3 2 7 2" xfId="23999" xr:uid="{00000000-0005-0000-0000-0000A5220000}"/>
    <cellStyle name="Normal 2 58 3 2 8" xfId="6229" xr:uid="{00000000-0005-0000-0000-0000A6220000}"/>
    <cellStyle name="Normal 2 58 3 2 8 2" xfId="24000" xr:uid="{00000000-0005-0000-0000-0000A7220000}"/>
    <cellStyle name="Normal 2 58 3 2 9" xfId="6230" xr:uid="{00000000-0005-0000-0000-0000A8220000}"/>
    <cellStyle name="Normal 2 58 3 2 9 2" xfId="24001" xr:uid="{00000000-0005-0000-0000-0000A9220000}"/>
    <cellStyle name="Normal 2 58 3 3" xfId="6231" xr:uid="{00000000-0005-0000-0000-0000AA220000}"/>
    <cellStyle name="Normal 2 58 3 3 2" xfId="24002" xr:uid="{00000000-0005-0000-0000-0000AB220000}"/>
    <cellStyle name="Normal 2 58 3 4" xfId="6232" xr:uid="{00000000-0005-0000-0000-0000AC220000}"/>
    <cellStyle name="Normal 2 58 3 4 2" xfId="24003" xr:uid="{00000000-0005-0000-0000-0000AD220000}"/>
    <cellStyle name="Normal 2 58 3 5" xfId="6233" xr:uid="{00000000-0005-0000-0000-0000AE220000}"/>
    <cellStyle name="Normal 2 58 3 5 2" xfId="24004" xr:uid="{00000000-0005-0000-0000-0000AF220000}"/>
    <cellStyle name="Normal 2 58 3 6" xfId="6234" xr:uid="{00000000-0005-0000-0000-0000B0220000}"/>
    <cellStyle name="Normal 2 58 3 6 2" xfId="24005" xr:uid="{00000000-0005-0000-0000-0000B1220000}"/>
    <cellStyle name="Normal 2 58 3 7" xfId="6235" xr:uid="{00000000-0005-0000-0000-0000B2220000}"/>
    <cellStyle name="Normal 2 58 3 7 2" xfId="24006" xr:uid="{00000000-0005-0000-0000-0000B3220000}"/>
    <cellStyle name="Normal 2 58 3 8" xfId="6236" xr:uid="{00000000-0005-0000-0000-0000B4220000}"/>
    <cellStyle name="Normal 2 58 3 8 2" xfId="24007" xr:uid="{00000000-0005-0000-0000-0000B5220000}"/>
    <cellStyle name="Normal 2 58 3 9" xfId="6237" xr:uid="{00000000-0005-0000-0000-0000B6220000}"/>
    <cellStyle name="Normal 2 58 3 9 2" xfId="24008" xr:uid="{00000000-0005-0000-0000-0000B7220000}"/>
    <cellStyle name="Normal 2 58 4" xfId="6238" xr:uid="{00000000-0005-0000-0000-0000B8220000}"/>
    <cellStyle name="Normal 2 58 4 10" xfId="6239" xr:uid="{00000000-0005-0000-0000-0000B9220000}"/>
    <cellStyle name="Normal 2 58 4 10 2" xfId="24010" xr:uid="{00000000-0005-0000-0000-0000BA220000}"/>
    <cellStyle name="Normal 2 58 4 11" xfId="6240" xr:uid="{00000000-0005-0000-0000-0000BB220000}"/>
    <cellStyle name="Normal 2 58 4 11 2" xfId="24011" xr:uid="{00000000-0005-0000-0000-0000BC220000}"/>
    <cellStyle name="Normal 2 58 4 12" xfId="6241" xr:uid="{00000000-0005-0000-0000-0000BD220000}"/>
    <cellStyle name="Normal 2 58 4 12 2" xfId="24012" xr:uid="{00000000-0005-0000-0000-0000BE220000}"/>
    <cellStyle name="Normal 2 58 4 13" xfId="6242" xr:uid="{00000000-0005-0000-0000-0000BF220000}"/>
    <cellStyle name="Normal 2 58 4 13 2" xfId="24013" xr:uid="{00000000-0005-0000-0000-0000C0220000}"/>
    <cellStyle name="Normal 2 58 4 14" xfId="6243" xr:uid="{00000000-0005-0000-0000-0000C1220000}"/>
    <cellStyle name="Normal 2 58 4 14 2" xfId="24014" xr:uid="{00000000-0005-0000-0000-0000C2220000}"/>
    <cellStyle name="Normal 2 58 4 15" xfId="6244" xr:uid="{00000000-0005-0000-0000-0000C3220000}"/>
    <cellStyle name="Normal 2 58 4 15 2" xfId="24015" xr:uid="{00000000-0005-0000-0000-0000C4220000}"/>
    <cellStyle name="Normal 2 58 4 16" xfId="24009" xr:uid="{00000000-0005-0000-0000-0000C5220000}"/>
    <cellStyle name="Normal 2 58 4 2" xfId="6245" xr:uid="{00000000-0005-0000-0000-0000C6220000}"/>
    <cellStyle name="Normal 2 58 4 2 10" xfId="6246" xr:uid="{00000000-0005-0000-0000-0000C7220000}"/>
    <cellStyle name="Normal 2 58 4 2 10 2" xfId="24017" xr:uid="{00000000-0005-0000-0000-0000C8220000}"/>
    <cellStyle name="Normal 2 58 4 2 11" xfId="6247" xr:uid="{00000000-0005-0000-0000-0000C9220000}"/>
    <cellStyle name="Normal 2 58 4 2 11 2" xfId="24018" xr:uid="{00000000-0005-0000-0000-0000CA220000}"/>
    <cellStyle name="Normal 2 58 4 2 12" xfId="6248" xr:uid="{00000000-0005-0000-0000-0000CB220000}"/>
    <cellStyle name="Normal 2 58 4 2 12 2" xfId="24019" xr:uid="{00000000-0005-0000-0000-0000CC220000}"/>
    <cellStyle name="Normal 2 58 4 2 13" xfId="6249" xr:uid="{00000000-0005-0000-0000-0000CD220000}"/>
    <cellStyle name="Normal 2 58 4 2 13 2" xfId="24020" xr:uid="{00000000-0005-0000-0000-0000CE220000}"/>
    <cellStyle name="Normal 2 58 4 2 14" xfId="6250" xr:uid="{00000000-0005-0000-0000-0000CF220000}"/>
    <cellStyle name="Normal 2 58 4 2 14 2" xfId="24021" xr:uid="{00000000-0005-0000-0000-0000D0220000}"/>
    <cellStyle name="Normal 2 58 4 2 15" xfId="24016" xr:uid="{00000000-0005-0000-0000-0000D1220000}"/>
    <cellStyle name="Normal 2 58 4 2 2" xfId="6251" xr:uid="{00000000-0005-0000-0000-0000D2220000}"/>
    <cellStyle name="Normal 2 58 4 2 2 2" xfId="24022" xr:uid="{00000000-0005-0000-0000-0000D3220000}"/>
    <cellStyle name="Normal 2 58 4 2 3" xfId="6252" xr:uid="{00000000-0005-0000-0000-0000D4220000}"/>
    <cellStyle name="Normal 2 58 4 2 3 2" xfId="24023" xr:uid="{00000000-0005-0000-0000-0000D5220000}"/>
    <cellStyle name="Normal 2 58 4 2 4" xfId="6253" xr:uid="{00000000-0005-0000-0000-0000D6220000}"/>
    <cellStyle name="Normal 2 58 4 2 4 2" xfId="24024" xr:uid="{00000000-0005-0000-0000-0000D7220000}"/>
    <cellStyle name="Normal 2 58 4 2 5" xfId="6254" xr:uid="{00000000-0005-0000-0000-0000D8220000}"/>
    <cellStyle name="Normal 2 58 4 2 5 2" xfId="24025" xr:uid="{00000000-0005-0000-0000-0000D9220000}"/>
    <cellStyle name="Normal 2 58 4 2 6" xfId="6255" xr:uid="{00000000-0005-0000-0000-0000DA220000}"/>
    <cellStyle name="Normal 2 58 4 2 6 2" xfId="24026" xr:uid="{00000000-0005-0000-0000-0000DB220000}"/>
    <cellStyle name="Normal 2 58 4 2 7" xfId="6256" xr:uid="{00000000-0005-0000-0000-0000DC220000}"/>
    <cellStyle name="Normal 2 58 4 2 7 2" xfId="24027" xr:uid="{00000000-0005-0000-0000-0000DD220000}"/>
    <cellStyle name="Normal 2 58 4 2 8" xfId="6257" xr:uid="{00000000-0005-0000-0000-0000DE220000}"/>
    <cellStyle name="Normal 2 58 4 2 8 2" xfId="24028" xr:uid="{00000000-0005-0000-0000-0000DF220000}"/>
    <cellStyle name="Normal 2 58 4 2 9" xfId="6258" xr:uid="{00000000-0005-0000-0000-0000E0220000}"/>
    <cellStyle name="Normal 2 58 4 2 9 2" xfId="24029" xr:uid="{00000000-0005-0000-0000-0000E1220000}"/>
    <cellStyle name="Normal 2 58 4 3" xfId="6259" xr:uid="{00000000-0005-0000-0000-0000E2220000}"/>
    <cellStyle name="Normal 2 58 4 3 2" xfId="24030" xr:uid="{00000000-0005-0000-0000-0000E3220000}"/>
    <cellStyle name="Normal 2 58 4 4" xfId="6260" xr:uid="{00000000-0005-0000-0000-0000E4220000}"/>
    <cellStyle name="Normal 2 58 4 4 2" xfId="24031" xr:uid="{00000000-0005-0000-0000-0000E5220000}"/>
    <cellStyle name="Normal 2 58 4 5" xfId="6261" xr:uid="{00000000-0005-0000-0000-0000E6220000}"/>
    <cellStyle name="Normal 2 58 4 5 2" xfId="24032" xr:uid="{00000000-0005-0000-0000-0000E7220000}"/>
    <cellStyle name="Normal 2 58 4 6" xfId="6262" xr:uid="{00000000-0005-0000-0000-0000E8220000}"/>
    <cellStyle name="Normal 2 58 4 6 2" xfId="24033" xr:uid="{00000000-0005-0000-0000-0000E9220000}"/>
    <cellStyle name="Normal 2 58 4 7" xfId="6263" xr:uid="{00000000-0005-0000-0000-0000EA220000}"/>
    <cellStyle name="Normal 2 58 4 7 2" xfId="24034" xr:uid="{00000000-0005-0000-0000-0000EB220000}"/>
    <cellStyle name="Normal 2 58 4 8" xfId="6264" xr:uid="{00000000-0005-0000-0000-0000EC220000}"/>
    <cellStyle name="Normal 2 58 4 8 2" xfId="24035" xr:uid="{00000000-0005-0000-0000-0000ED220000}"/>
    <cellStyle name="Normal 2 58 4 9" xfId="6265" xr:uid="{00000000-0005-0000-0000-0000EE220000}"/>
    <cellStyle name="Normal 2 58 4 9 2" xfId="24036" xr:uid="{00000000-0005-0000-0000-0000EF220000}"/>
    <cellStyle name="Normal 2 58 5" xfId="6266" xr:uid="{00000000-0005-0000-0000-0000F0220000}"/>
    <cellStyle name="Normal 2 58 5 10" xfId="6267" xr:uid="{00000000-0005-0000-0000-0000F1220000}"/>
    <cellStyle name="Normal 2 58 5 10 2" xfId="24038" xr:uid="{00000000-0005-0000-0000-0000F2220000}"/>
    <cellStyle name="Normal 2 58 5 11" xfId="6268" xr:uid="{00000000-0005-0000-0000-0000F3220000}"/>
    <cellStyle name="Normal 2 58 5 11 2" xfId="24039" xr:uid="{00000000-0005-0000-0000-0000F4220000}"/>
    <cellStyle name="Normal 2 58 5 12" xfId="6269" xr:uid="{00000000-0005-0000-0000-0000F5220000}"/>
    <cellStyle name="Normal 2 58 5 12 2" xfId="24040" xr:uid="{00000000-0005-0000-0000-0000F6220000}"/>
    <cellStyle name="Normal 2 58 5 13" xfId="6270" xr:uid="{00000000-0005-0000-0000-0000F7220000}"/>
    <cellStyle name="Normal 2 58 5 13 2" xfId="24041" xr:uid="{00000000-0005-0000-0000-0000F8220000}"/>
    <cellStyle name="Normal 2 58 5 14" xfId="6271" xr:uid="{00000000-0005-0000-0000-0000F9220000}"/>
    <cellStyle name="Normal 2 58 5 14 2" xfId="24042" xr:uid="{00000000-0005-0000-0000-0000FA220000}"/>
    <cellStyle name="Normal 2 58 5 15" xfId="24037" xr:uid="{00000000-0005-0000-0000-0000FB220000}"/>
    <cellStyle name="Normal 2 58 5 2" xfId="6272" xr:uid="{00000000-0005-0000-0000-0000FC220000}"/>
    <cellStyle name="Normal 2 58 5 2 2" xfId="24043" xr:uid="{00000000-0005-0000-0000-0000FD220000}"/>
    <cellStyle name="Normal 2 58 5 3" xfId="6273" xr:uid="{00000000-0005-0000-0000-0000FE220000}"/>
    <cellStyle name="Normal 2 58 5 3 2" xfId="24044" xr:uid="{00000000-0005-0000-0000-0000FF220000}"/>
    <cellStyle name="Normal 2 58 5 4" xfId="6274" xr:uid="{00000000-0005-0000-0000-000000230000}"/>
    <cellStyle name="Normal 2 58 5 4 2" xfId="24045" xr:uid="{00000000-0005-0000-0000-000001230000}"/>
    <cellStyle name="Normal 2 58 5 5" xfId="6275" xr:uid="{00000000-0005-0000-0000-000002230000}"/>
    <cellStyle name="Normal 2 58 5 5 2" xfId="24046" xr:uid="{00000000-0005-0000-0000-000003230000}"/>
    <cellStyle name="Normal 2 58 5 6" xfId="6276" xr:uid="{00000000-0005-0000-0000-000004230000}"/>
    <cellStyle name="Normal 2 58 5 6 2" xfId="24047" xr:uid="{00000000-0005-0000-0000-000005230000}"/>
    <cellStyle name="Normal 2 58 5 7" xfId="6277" xr:uid="{00000000-0005-0000-0000-000006230000}"/>
    <cellStyle name="Normal 2 58 5 7 2" xfId="24048" xr:uid="{00000000-0005-0000-0000-000007230000}"/>
    <cellStyle name="Normal 2 58 5 8" xfId="6278" xr:uid="{00000000-0005-0000-0000-000008230000}"/>
    <cellStyle name="Normal 2 58 5 8 2" xfId="24049" xr:uid="{00000000-0005-0000-0000-000009230000}"/>
    <cellStyle name="Normal 2 58 5 9" xfId="6279" xr:uid="{00000000-0005-0000-0000-00000A230000}"/>
    <cellStyle name="Normal 2 58 5 9 2" xfId="24050" xr:uid="{00000000-0005-0000-0000-00000B230000}"/>
    <cellStyle name="Normal 2 58 6" xfId="6280" xr:uid="{00000000-0005-0000-0000-00000C230000}"/>
    <cellStyle name="Normal 2 58 6 10" xfId="6281" xr:uid="{00000000-0005-0000-0000-00000D230000}"/>
    <cellStyle name="Normal 2 58 6 10 2" xfId="24052" xr:uid="{00000000-0005-0000-0000-00000E230000}"/>
    <cellStyle name="Normal 2 58 6 11" xfId="6282" xr:uid="{00000000-0005-0000-0000-00000F230000}"/>
    <cellStyle name="Normal 2 58 6 11 2" xfId="24053" xr:uid="{00000000-0005-0000-0000-000010230000}"/>
    <cellStyle name="Normal 2 58 6 12" xfId="6283" xr:uid="{00000000-0005-0000-0000-000011230000}"/>
    <cellStyle name="Normal 2 58 6 12 2" xfId="24054" xr:uid="{00000000-0005-0000-0000-000012230000}"/>
    <cellStyle name="Normal 2 58 6 13" xfId="6284" xr:uid="{00000000-0005-0000-0000-000013230000}"/>
    <cellStyle name="Normal 2 58 6 13 2" xfId="24055" xr:uid="{00000000-0005-0000-0000-000014230000}"/>
    <cellStyle name="Normal 2 58 6 14" xfId="6285" xr:uid="{00000000-0005-0000-0000-000015230000}"/>
    <cellStyle name="Normal 2 58 6 14 2" xfId="24056" xr:uid="{00000000-0005-0000-0000-000016230000}"/>
    <cellStyle name="Normal 2 58 6 15" xfId="24051" xr:uid="{00000000-0005-0000-0000-000017230000}"/>
    <cellStyle name="Normal 2 58 6 2" xfId="6286" xr:uid="{00000000-0005-0000-0000-000018230000}"/>
    <cellStyle name="Normal 2 58 6 2 2" xfId="24057" xr:uid="{00000000-0005-0000-0000-000019230000}"/>
    <cellStyle name="Normal 2 58 6 3" xfId="6287" xr:uid="{00000000-0005-0000-0000-00001A230000}"/>
    <cellStyle name="Normal 2 58 6 3 2" xfId="24058" xr:uid="{00000000-0005-0000-0000-00001B230000}"/>
    <cellStyle name="Normal 2 58 6 4" xfId="6288" xr:uid="{00000000-0005-0000-0000-00001C230000}"/>
    <cellStyle name="Normal 2 58 6 4 2" xfId="24059" xr:uid="{00000000-0005-0000-0000-00001D230000}"/>
    <cellStyle name="Normal 2 58 6 5" xfId="6289" xr:uid="{00000000-0005-0000-0000-00001E230000}"/>
    <cellStyle name="Normal 2 58 6 5 2" xfId="24060" xr:uid="{00000000-0005-0000-0000-00001F230000}"/>
    <cellStyle name="Normal 2 58 6 6" xfId="6290" xr:uid="{00000000-0005-0000-0000-000020230000}"/>
    <cellStyle name="Normal 2 58 6 6 2" xfId="24061" xr:uid="{00000000-0005-0000-0000-000021230000}"/>
    <cellStyle name="Normal 2 58 6 7" xfId="6291" xr:uid="{00000000-0005-0000-0000-000022230000}"/>
    <cellStyle name="Normal 2 58 6 7 2" xfId="24062" xr:uid="{00000000-0005-0000-0000-000023230000}"/>
    <cellStyle name="Normal 2 58 6 8" xfId="6292" xr:uid="{00000000-0005-0000-0000-000024230000}"/>
    <cellStyle name="Normal 2 58 6 8 2" xfId="24063" xr:uid="{00000000-0005-0000-0000-000025230000}"/>
    <cellStyle name="Normal 2 58 6 9" xfId="6293" xr:uid="{00000000-0005-0000-0000-000026230000}"/>
    <cellStyle name="Normal 2 58 6 9 2" xfId="24064" xr:uid="{00000000-0005-0000-0000-000027230000}"/>
    <cellStyle name="Normal 2 58 7" xfId="6294" xr:uid="{00000000-0005-0000-0000-000028230000}"/>
    <cellStyle name="Normal 2 58 7 10" xfId="6295" xr:uid="{00000000-0005-0000-0000-000029230000}"/>
    <cellStyle name="Normal 2 58 7 10 2" xfId="24066" xr:uid="{00000000-0005-0000-0000-00002A230000}"/>
    <cellStyle name="Normal 2 58 7 11" xfId="6296" xr:uid="{00000000-0005-0000-0000-00002B230000}"/>
    <cellStyle name="Normal 2 58 7 11 2" xfId="24067" xr:uid="{00000000-0005-0000-0000-00002C230000}"/>
    <cellStyle name="Normal 2 58 7 12" xfId="6297" xr:uid="{00000000-0005-0000-0000-00002D230000}"/>
    <cellStyle name="Normal 2 58 7 12 2" xfId="24068" xr:uid="{00000000-0005-0000-0000-00002E230000}"/>
    <cellStyle name="Normal 2 58 7 13" xfId="6298" xr:uid="{00000000-0005-0000-0000-00002F230000}"/>
    <cellStyle name="Normal 2 58 7 13 2" xfId="24069" xr:uid="{00000000-0005-0000-0000-000030230000}"/>
    <cellStyle name="Normal 2 58 7 14" xfId="6299" xr:uid="{00000000-0005-0000-0000-000031230000}"/>
    <cellStyle name="Normal 2 58 7 14 2" xfId="24070" xr:uid="{00000000-0005-0000-0000-000032230000}"/>
    <cellStyle name="Normal 2 58 7 15" xfId="24065" xr:uid="{00000000-0005-0000-0000-000033230000}"/>
    <cellStyle name="Normal 2 58 7 2" xfId="6300" xr:uid="{00000000-0005-0000-0000-000034230000}"/>
    <cellStyle name="Normal 2 58 7 2 2" xfId="24071" xr:uid="{00000000-0005-0000-0000-000035230000}"/>
    <cellStyle name="Normal 2 58 7 3" xfId="6301" xr:uid="{00000000-0005-0000-0000-000036230000}"/>
    <cellStyle name="Normal 2 58 7 3 2" xfId="24072" xr:uid="{00000000-0005-0000-0000-000037230000}"/>
    <cellStyle name="Normal 2 58 7 4" xfId="6302" xr:uid="{00000000-0005-0000-0000-000038230000}"/>
    <cellStyle name="Normal 2 58 7 4 2" xfId="24073" xr:uid="{00000000-0005-0000-0000-000039230000}"/>
    <cellStyle name="Normal 2 58 7 5" xfId="6303" xr:uid="{00000000-0005-0000-0000-00003A230000}"/>
    <cellStyle name="Normal 2 58 7 5 2" xfId="24074" xr:uid="{00000000-0005-0000-0000-00003B230000}"/>
    <cellStyle name="Normal 2 58 7 6" xfId="6304" xr:uid="{00000000-0005-0000-0000-00003C230000}"/>
    <cellStyle name="Normal 2 58 7 6 2" xfId="24075" xr:uid="{00000000-0005-0000-0000-00003D230000}"/>
    <cellStyle name="Normal 2 58 7 7" xfId="6305" xr:uid="{00000000-0005-0000-0000-00003E230000}"/>
    <cellStyle name="Normal 2 58 7 7 2" xfId="24076" xr:uid="{00000000-0005-0000-0000-00003F230000}"/>
    <cellStyle name="Normal 2 58 7 8" xfId="6306" xr:uid="{00000000-0005-0000-0000-000040230000}"/>
    <cellStyle name="Normal 2 58 7 8 2" xfId="24077" xr:uid="{00000000-0005-0000-0000-000041230000}"/>
    <cellStyle name="Normal 2 58 7 9" xfId="6307" xr:uid="{00000000-0005-0000-0000-000042230000}"/>
    <cellStyle name="Normal 2 58 7 9 2" xfId="24078" xr:uid="{00000000-0005-0000-0000-000043230000}"/>
    <cellStyle name="Normal 2 58 8" xfId="6308" xr:uid="{00000000-0005-0000-0000-000044230000}"/>
    <cellStyle name="Normal 2 58 8 10" xfId="6309" xr:uid="{00000000-0005-0000-0000-000045230000}"/>
    <cellStyle name="Normal 2 58 8 10 2" xfId="24080" xr:uid="{00000000-0005-0000-0000-000046230000}"/>
    <cellStyle name="Normal 2 58 8 11" xfId="6310" xr:uid="{00000000-0005-0000-0000-000047230000}"/>
    <cellStyle name="Normal 2 58 8 11 2" xfId="24081" xr:uid="{00000000-0005-0000-0000-000048230000}"/>
    <cellStyle name="Normal 2 58 8 12" xfId="6311" xr:uid="{00000000-0005-0000-0000-000049230000}"/>
    <cellStyle name="Normal 2 58 8 12 2" xfId="24082" xr:uid="{00000000-0005-0000-0000-00004A230000}"/>
    <cellStyle name="Normal 2 58 8 13" xfId="6312" xr:uid="{00000000-0005-0000-0000-00004B230000}"/>
    <cellStyle name="Normal 2 58 8 13 2" xfId="24083" xr:uid="{00000000-0005-0000-0000-00004C230000}"/>
    <cellStyle name="Normal 2 58 8 14" xfId="6313" xr:uid="{00000000-0005-0000-0000-00004D230000}"/>
    <cellStyle name="Normal 2 58 8 14 2" xfId="24084" xr:uid="{00000000-0005-0000-0000-00004E230000}"/>
    <cellStyle name="Normal 2 58 8 15" xfId="24079" xr:uid="{00000000-0005-0000-0000-00004F230000}"/>
    <cellStyle name="Normal 2 58 8 2" xfId="6314" xr:uid="{00000000-0005-0000-0000-000050230000}"/>
    <cellStyle name="Normal 2 58 8 2 2" xfId="24085" xr:uid="{00000000-0005-0000-0000-000051230000}"/>
    <cellStyle name="Normal 2 58 8 3" xfId="6315" xr:uid="{00000000-0005-0000-0000-000052230000}"/>
    <cellStyle name="Normal 2 58 8 3 2" xfId="24086" xr:uid="{00000000-0005-0000-0000-000053230000}"/>
    <cellStyle name="Normal 2 58 8 4" xfId="6316" xr:uid="{00000000-0005-0000-0000-000054230000}"/>
    <cellStyle name="Normal 2 58 8 4 2" xfId="24087" xr:uid="{00000000-0005-0000-0000-000055230000}"/>
    <cellStyle name="Normal 2 58 8 5" xfId="6317" xr:uid="{00000000-0005-0000-0000-000056230000}"/>
    <cellStyle name="Normal 2 58 8 5 2" xfId="24088" xr:uid="{00000000-0005-0000-0000-000057230000}"/>
    <cellStyle name="Normal 2 58 8 6" xfId="6318" xr:uid="{00000000-0005-0000-0000-000058230000}"/>
    <cellStyle name="Normal 2 58 8 6 2" xfId="24089" xr:uid="{00000000-0005-0000-0000-000059230000}"/>
    <cellStyle name="Normal 2 58 8 7" xfId="6319" xr:uid="{00000000-0005-0000-0000-00005A230000}"/>
    <cellStyle name="Normal 2 58 8 7 2" xfId="24090" xr:uid="{00000000-0005-0000-0000-00005B230000}"/>
    <cellStyle name="Normal 2 58 8 8" xfId="6320" xr:uid="{00000000-0005-0000-0000-00005C230000}"/>
    <cellStyle name="Normal 2 58 8 8 2" xfId="24091" xr:uid="{00000000-0005-0000-0000-00005D230000}"/>
    <cellStyle name="Normal 2 58 8 9" xfId="6321" xr:uid="{00000000-0005-0000-0000-00005E230000}"/>
    <cellStyle name="Normal 2 58 8 9 2" xfId="24092" xr:uid="{00000000-0005-0000-0000-00005F230000}"/>
    <cellStyle name="Normal 2 58 9" xfId="6322" xr:uid="{00000000-0005-0000-0000-000060230000}"/>
    <cellStyle name="Normal 2 58 9 10" xfId="6323" xr:uid="{00000000-0005-0000-0000-000061230000}"/>
    <cellStyle name="Normal 2 58 9 10 2" xfId="24094" xr:uid="{00000000-0005-0000-0000-000062230000}"/>
    <cellStyle name="Normal 2 58 9 11" xfId="6324" xr:uid="{00000000-0005-0000-0000-000063230000}"/>
    <cellStyle name="Normal 2 58 9 11 2" xfId="24095" xr:uid="{00000000-0005-0000-0000-000064230000}"/>
    <cellStyle name="Normal 2 58 9 12" xfId="6325" xr:uid="{00000000-0005-0000-0000-000065230000}"/>
    <cellStyle name="Normal 2 58 9 12 2" xfId="24096" xr:uid="{00000000-0005-0000-0000-000066230000}"/>
    <cellStyle name="Normal 2 58 9 13" xfId="6326" xr:uid="{00000000-0005-0000-0000-000067230000}"/>
    <cellStyle name="Normal 2 58 9 13 2" xfId="24097" xr:uid="{00000000-0005-0000-0000-000068230000}"/>
    <cellStyle name="Normal 2 58 9 14" xfId="6327" xr:uid="{00000000-0005-0000-0000-000069230000}"/>
    <cellStyle name="Normal 2 58 9 14 2" xfId="24098" xr:uid="{00000000-0005-0000-0000-00006A230000}"/>
    <cellStyle name="Normal 2 58 9 15" xfId="24093" xr:uid="{00000000-0005-0000-0000-00006B230000}"/>
    <cellStyle name="Normal 2 58 9 2" xfId="6328" xr:uid="{00000000-0005-0000-0000-00006C230000}"/>
    <cellStyle name="Normal 2 58 9 2 2" xfId="24099" xr:uid="{00000000-0005-0000-0000-00006D230000}"/>
    <cellStyle name="Normal 2 58 9 3" xfId="6329" xr:uid="{00000000-0005-0000-0000-00006E230000}"/>
    <cellStyle name="Normal 2 58 9 3 2" xfId="24100" xr:uid="{00000000-0005-0000-0000-00006F230000}"/>
    <cellStyle name="Normal 2 58 9 4" xfId="6330" xr:uid="{00000000-0005-0000-0000-000070230000}"/>
    <cellStyle name="Normal 2 58 9 4 2" xfId="24101" xr:uid="{00000000-0005-0000-0000-000071230000}"/>
    <cellStyle name="Normal 2 58 9 5" xfId="6331" xr:uid="{00000000-0005-0000-0000-000072230000}"/>
    <cellStyle name="Normal 2 58 9 5 2" xfId="24102" xr:uid="{00000000-0005-0000-0000-000073230000}"/>
    <cellStyle name="Normal 2 58 9 6" xfId="6332" xr:uid="{00000000-0005-0000-0000-000074230000}"/>
    <cellStyle name="Normal 2 58 9 6 2" xfId="24103" xr:uid="{00000000-0005-0000-0000-000075230000}"/>
    <cellStyle name="Normal 2 58 9 7" xfId="6333" xr:uid="{00000000-0005-0000-0000-000076230000}"/>
    <cellStyle name="Normal 2 58 9 7 2" xfId="24104" xr:uid="{00000000-0005-0000-0000-000077230000}"/>
    <cellStyle name="Normal 2 58 9 8" xfId="6334" xr:uid="{00000000-0005-0000-0000-000078230000}"/>
    <cellStyle name="Normal 2 58 9 8 2" xfId="24105" xr:uid="{00000000-0005-0000-0000-000079230000}"/>
    <cellStyle name="Normal 2 58 9 9" xfId="6335" xr:uid="{00000000-0005-0000-0000-00007A230000}"/>
    <cellStyle name="Normal 2 58 9 9 2" xfId="24106" xr:uid="{00000000-0005-0000-0000-00007B230000}"/>
    <cellStyle name="Normal 2 59" xfId="6336" xr:uid="{00000000-0005-0000-0000-00007C230000}"/>
    <cellStyle name="Normal 2 59 10" xfId="6337" xr:uid="{00000000-0005-0000-0000-00007D230000}"/>
    <cellStyle name="Normal 2 59 10 10" xfId="6338" xr:uid="{00000000-0005-0000-0000-00007E230000}"/>
    <cellStyle name="Normal 2 59 10 10 2" xfId="24109" xr:uid="{00000000-0005-0000-0000-00007F230000}"/>
    <cellStyle name="Normal 2 59 10 11" xfId="6339" xr:uid="{00000000-0005-0000-0000-000080230000}"/>
    <cellStyle name="Normal 2 59 10 11 2" xfId="24110" xr:uid="{00000000-0005-0000-0000-000081230000}"/>
    <cellStyle name="Normal 2 59 10 12" xfId="6340" xr:uid="{00000000-0005-0000-0000-000082230000}"/>
    <cellStyle name="Normal 2 59 10 12 2" xfId="24111" xr:uid="{00000000-0005-0000-0000-000083230000}"/>
    <cellStyle name="Normal 2 59 10 13" xfId="6341" xr:uid="{00000000-0005-0000-0000-000084230000}"/>
    <cellStyle name="Normal 2 59 10 13 2" xfId="24112" xr:uid="{00000000-0005-0000-0000-000085230000}"/>
    <cellStyle name="Normal 2 59 10 14" xfId="6342" xr:uid="{00000000-0005-0000-0000-000086230000}"/>
    <cellStyle name="Normal 2 59 10 14 2" xfId="24113" xr:uid="{00000000-0005-0000-0000-000087230000}"/>
    <cellStyle name="Normal 2 59 10 15" xfId="24108" xr:uid="{00000000-0005-0000-0000-000088230000}"/>
    <cellStyle name="Normal 2 59 10 2" xfId="6343" xr:uid="{00000000-0005-0000-0000-000089230000}"/>
    <cellStyle name="Normal 2 59 10 2 2" xfId="24114" xr:uid="{00000000-0005-0000-0000-00008A230000}"/>
    <cellStyle name="Normal 2 59 10 3" xfId="6344" xr:uid="{00000000-0005-0000-0000-00008B230000}"/>
    <cellStyle name="Normal 2 59 10 3 2" xfId="24115" xr:uid="{00000000-0005-0000-0000-00008C230000}"/>
    <cellStyle name="Normal 2 59 10 4" xfId="6345" xr:uid="{00000000-0005-0000-0000-00008D230000}"/>
    <cellStyle name="Normal 2 59 10 4 2" xfId="24116" xr:uid="{00000000-0005-0000-0000-00008E230000}"/>
    <cellStyle name="Normal 2 59 10 5" xfId="6346" xr:uid="{00000000-0005-0000-0000-00008F230000}"/>
    <cellStyle name="Normal 2 59 10 5 2" xfId="24117" xr:uid="{00000000-0005-0000-0000-000090230000}"/>
    <cellStyle name="Normal 2 59 10 6" xfId="6347" xr:uid="{00000000-0005-0000-0000-000091230000}"/>
    <cellStyle name="Normal 2 59 10 6 2" xfId="24118" xr:uid="{00000000-0005-0000-0000-000092230000}"/>
    <cellStyle name="Normal 2 59 10 7" xfId="6348" xr:uid="{00000000-0005-0000-0000-000093230000}"/>
    <cellStyle name="Normal 2 59 10 7 2" xfId="24119" xr:uid="{00000000-0005-0000-0000-000094230000}"/>
    <cellStyle name="Normal 2 59 10 8" xfId="6349" xr:uid="{00000000-0005-0000-0000-000095230000}"/>
    <cellStyle name="Normal 2 59 10 8 2" xfId="24120" xr:uid="{00000000-0005-0000-0000-000096230000}"/>
    <cellStyle name="Normal 2 59 10 9" xfId="6350" xr:uid="{00000000-0005-0000-0000-000097230000}"/>
    <cellStyle name="Normal 2 59 10 9 2" xfId="24121" xr:uid="{00000000-0005-0000-0000-000098230000}"/>
    <cellStyle name="Normal 2 59 11" xfId="6351" xr:uid="{00000000-0005-0000-0000-000099230000}"/>
    <cellStyle name="Normal 2 59 11 2" xfId="24122" xr:uid="{00000000-0005-0000-0000-00009A230000}"/>
    <cellStyle name="Normal 2 59 12" xfId="6352" xr:uid="{00000000-0005-0000-0000-00009B230000}"/>
    <cellStyle name="Normal 2 59 12 2" xfId="24123" xr:uid="{00000000-0005-0000-0000-00009C230000}"/>
    <cellStyle name="Normal 2 59 13" xfId="6353" xr:uid="{00000000-0005-0000-0000-00009D230000}"/>
    <cellStyle name="Normal 2 59 13 2" xfId="24124" xr:uid="{00000000-0005-0000-0000-00009E230000}"/>
    <cellStyle name="Normal 2 59 14" xfId="6354" xr:uid="{00000000-0005-0000-0000-00009F230000}"/>
    <cellStyle name="Normal 2 59 14 2" xfId="24125" xr:uid="{00000000-0005-0000-0000-0000A0230000}"/>
    <cellStyle name="Normal 2 59 15" xfId="6355" xr:uid="{00000000-0005-0000-0000-0000A1230000}"/>
    <cellStyle name="Normal 2 59 15 2" xfId="24126" xr:uid="{00000000-0005-0000-0000-0000A2230000}"/>
    <cellStyle name="Normal 2 59 16" xfId="6356" xr:uid="{00000000-0005-0000-0000-0000A3230000}"/>
    <cellStyle name="Normal 2 59 16 2" xfId="24127" xr:uid="{00000000-0005-0000-0000-0000A4230000}"/>
    <cellStyle name="Normal 2 59 17" xfId="6357" xr:uid="{00000000-0005-0000-0000-0000A5230000}"/>
    <cellStyle name="Normal 2 59 17 2" xfId="24128" xr:uid="{00000000-0005-0000-0000-0000A6230000}"/>
    <cellStyle name="Normal 2 59 18" xfId="6358" xr:uid="{00000000-0005-0000-0000-0000A7230000}"/>
    <cellStyle name="Normal 2 59 18 2" xfId="24129" xr:uid="{00000000-0005-0000-0000-0000A8230000}"/>
    <cellStyle name="Normal 2 59 19" xfId="6359" xr:uid="{00000000-0005-0000-0000-0000A9230000}"/>
    <cellStyle name="Normal 2 59 19 2" xfId="24130" xr:uid="{00000000-0005-0000-0000-0000AA230000}"/>
    <cellStyle name="Normal 2 59 2" xfId="6360" xr:uid="{00000000-0005-0000-0000-0000AB230000}"/>
    <cellStyle name="Normal 2 59 2 10" xfId="6361" xr:uid="{00000000-0005-0000-0000-0000AC230000}"/>
    <cellStyle name="Normal 2 59 2 10 2" xfId="24132" xr:uid="{00000000-0005-0000-0000-0000AD230000}"/>
    <cellStyle name="Normal 2 59 2 11" xfId="6362" xr:uid="{00000000-0005-0000-0000-0000AE230000}"/>
    <cellStyle name="Normal 2 59 2 11 2" xfId="24133" xr:uid="{00000000-0005-0000-0000-0000AF230000}"/>
    <cellStyle name="Normal 2 59 2 12" xfId="6363" xr:uid="{00000000-0005-0000-0000-0000B0230000}"/>
    <cellStyle name="Normal 2 59 2 12 2" xfId="24134" xr:uid="{00000000-0005-0000-0000-0000B1230000}"/>
    <cellStyle name="Normal 2 59 2 13" xfId="6364" xr:uid="{00000000-0005-0000-0000-0000B2230000}"/>
    <cellStyle name="Normal 2 59 2 13 2" xfId="24135" xr:uid="{00000000-0005-0000-0000-0000B3230000}"/>
    <cellStyle name="Normal 2 59 2 14" xfId="6365" xr:uid="{00000000-0005-0000-0000-0000B4230000}"/>
    <cellStyle name="Normal 2 59 2 14 2" xfId="24136" xr:uid="{00000000-0005-0000-0000-0000B5230000}"/>
    <cellStyle name="Normal 2 59 2 15" xfId="6366" xr:uid="{00000000-0005-0000-0000-0000B6230000}"/>
    <cellStyle name="Normal 2 59 2 15 2" xfId="24137" xr:uid="{00000000-0005-0000-0000-0000B7230000}"/>
    <cellStyle name="Normal 2 59 2 16" xfId="24131" xr:uid="{00000000-0005-0000-0000-0000B8230000}"/>
    <cellStyle name="Normal 2 59 2 2" xfId="6367" xr:uid="{00000000-0005-0000-0000-0000B9230000}"/>
    <cellStyle name="Normal 2 59 2 2 10" xfId="6368" xr:uid="{00000000-0005-0000-0000-0000BA230000}"/>
    <cellStyle name="Normal 2 59 2 2 10 2" xfId="24139" xr:uid="{00000000-0005-0000-0000-0000BB230000}"/>
    <cellStyle name="Normal 2 59 2 2 11" xfId="6369" xr:uid="{00000000-0005-0000-0000-0000BC230000}"/>
    <cellStyle name="Normal 2 59 2 2 11 2" xfId="24140" xr:uid="{00000000-0005-0000-0000-0000BD230000}"/>
    <cellStyle name="Normal 2 59 2 2 12" xfId="6370" xr:uid="{00000000-0005-0000-0000-0000BE230000}"/>
    <cellStyle name="Normal 2 59 2 2 12 2" xfId="24141" xr:uid="{00000000-0005-0000-0000-0000BF230000}"/>
    <cellStyle name="Normal 2 59 2 2 13" xfId="6371" xr:uid="{00000000-0005-0000-0000-0000C0230000}"/>
    <cellStyle name="Normal 2 59 2 2 13 2" xfId="24142" xr:uid="{00000000-0005-0000-0000-0000C1230000}"/>
    <cellStyle name="Normal 2 59 2 2 14" xfId="6372" xr:uid="{00000000-0005-0000-0000-0000C2230000}"/>
    <cellStyle name="Normal 2 59 2 2 14 2" xfId="24143" xr:uid="{00000000-0005-0000-0000-0000C3230000}"/>
    <cellStyle name="Normal 2 59 2 2 15" xfId="24138" xr:uid="{00000000-0005-0000-0000-0000C4230000}"/>
    <cellStyle name="Normal 2 59 2 2 2" xfId="6373" xr:uid="{00000000-0005-0000-0000-0000C5230000}"/>
    <cellStyle name="Normal 2 59 2 2 2 2" xfId="24144" xr:uid="{00000000-0005-0000-0000-0000C6230000}"/>
    <cellStyle name="Normal 2 59 2 2 3" xfId="6374" xr:uid="{00000000-0005-0000-0000-0000C7230000}"/>
    <cellStyle name="Normal 2 59 2 2 3 2" xfId="24145" xr:uid="{00000000-0005-0000-0000-0000C8230000}"/>
    <cellStyle name="Normal 2 59 2 2 4" xfId="6375" xr:uid="{00000000-0005-0000-0000-0000C9230000}"/>
    <cellStyle name="Normal 2 59 2 2 4 2" xfId="24146" xr:uid="{00000000-0005-0000-0000-0000CA230000}"/>
    <cellStyle name="Normal 2 59 2 2 5" xfId="6376" xr:uid="{00000000-0005-0000-0000-0000CB230000}"/>
    <cellStyle name="Normal 2 59 2 2 5 2" xfId="24147" xr:uid="{00000000-0005-0000-0000-0000CC230000}"/>
    <cellStyle name="Normal 2 59 2 2 6" xfId="6377" xr:uid="{00000000-0005-0000-0000-0000CD230000}"/>
    <cellStyle name="Normal 2 59 2 2 6 2" xfId="24148" xr:uid="{00000000-0005-0000-0000-0000CE230000}"/>
    <cellStyle name="Normal 2 59 2 2 7" xfId="6378" xr:uid="{00000000-0005-0000-0000-0000CF230000}"/>
    <cellStyle name="Normal 2 59 2 2 7 2" xfId="24149" xr:uid="{00000000-0005-0000-0000-0000D0230000}"/>
    <cellStyle name="Normal 2 59 2 2 8" xfId="6379" xr:uid="{00000000-0005-0000-0000-0000D1230000}"/>
    <cellStyle name="Normal 2 59 2 2 8 2" xfId="24150" xr:uid="{00000000-0005-0000-0000-0000D2230000}"/>
    <cellStyle name="Normal 2 59 2 2 9" xfId="6380" xr:uid="{00000000-0005-0000-0000-0000D3230000}"/>
    <cellStyle name="Normal 2 59 2 2 9 2" xfId="24151" xr:uid="{00000000-0005-0000-0000-0000D4230000}"/>
    <cellStyle name="Normal 2 59 2 3" xfId="6381" xr:uid="{00000000-0005-0000-0000-0000D5230000}"/>
    <cellStyle name="Normal 2 59 2 3 2" xfId="24152" xr:uid="{00000000-0005-0000-0000-0000D6230000}"/>
    <cellStyle name="Normal 2 59 2 4" xfId="6382" xr:uid="{00000000-0005-0000-0000-0000D7230000}"/>
    <cellStyle name="Normal 2 59 2 4 2" xfId="24153" xr:uid="{00000000-0005-0000-0000-0000D8230000}"/>
    <cellStyle name="Normal 2 59 2 5" xfId="6383" xr:uid="{00000000-0005-0000-0000-0000D9230000}"/>
    <cellStyle name="Normal 2 59 2 5 2" xfId="24154" xr:uid="{00000000-0005-0000-0000-0000DA230000}"/>
    <cellStyle name="Normal 2 59 2 6" xfId="6384" xr:uid="{00000000-0005-0000-0000-0000DB230000}"/>
    <cellStyle name="Normal 2 59 2 6 2" xfId="24155" xr:uid="{00000000-0005-0000-0000-0000DC230000}"/>
    <cellStyle name="Normal 2 59 2 7" xfId="6385" xr:uid="{00000000-0005-0000-0000-0000DD230000}"/>
    <cellStyle name="Normal 2 59 2 7 2" xfId="24156" xr:uid="{00000000-0005-0000-0000-0000DE230000}"/>
    <cellStyle name="Normal 2 59 2 8" xfId="6386" xr:uid="{00000000-0005-0000-0000-0000DF230000}"/>
    <cellStyle name="Normal 2 59 2 8 2" xfId="24157" xr:uid="{00000000-0005-0000-0000-0000E0230000}"/>
    <cellStyle name="Normal 2 59 2 9" xfId="6387" xr:uid="{00000000-0005-0000-0000-0000E1230000}"/>
    <cellStyle name="Normal 2 59 2 9 2" xfId="24158" xr:uid="{00000000-0005-0000-0000-0000E2230000}"/>
    <cellStyle name="Normal 2 59 20" xfId="6388" xr:uid="{00000000-0005-0000-0000-0000E3230000}"/>
    <cellStyle name="Normal 2 59 20 2" xfId="24159" xr:uid="{00000000-0005-0000-0000-0000E4230000}"/>
    <cellStyle name="Normal 2 59 21" xfId="6389" xr:uid="{00000000-0005-0000-0000-0000E5230000}"/>
    <cellStyle name="Normal 2 59 21 2" xfId="24160" xr:uid="{00000000-0005-0000-0000-0000E6230000}"/>
    <cellStyle name="Normal 2 59 22" xfId="6390" xr:uid="{00000000-0005-0000-0000-0000E7230000}"/>
    <cellStyle name="Normal 2 59 22 2" xfId="24161" xr:uid="{00000000-0005-0000-0000-0000E8230000}"/>
    <cellStyle name="Normal 2 59 23" xfId="6391" xr:uid="{00000000-0005-0000-0000-0000E9230000}"/>
    <cellStyle name="Normal 2 59 23 2" xfId="24162" xr:uid="{00000000-0005-0000-0000-0000EA230000}"/>
    <cellStyle name="Normal 2 59 24" xfId="24107" xr:uid="{00000000-0005-0000-0000-0000EB230000}"/>
    <cellStyle name="Normal 2 59 3" xfId="6392" xr:uid="{00000000-0005-0000-0000-0000EC230000}"/>
    <cellStyle name="Normal 2 59 3 10" xfId="6393" xr:uid="{00000000-0005-0000-0000-0000ED230000}"/>
    <cellStyle name="Normal 2 59 3 10 2" xfId="24164" xr:uid="{00000000-0005-0000-0000-0000EE230000}"/>
    <cellStyle name="Normal 2 59 3 11" xfId="6394" xr:uid="{00000000-0005-0000-0000-0000EF230000}"/>
    <cellStyle name="Normal 2 59 3 11 2" xfId="24165" xr:uid="{00000000-0005-0000-0000-0000F0230000}"/>
    <cellStyle name="Normal 2 59 3 12" xfId="6395" xr:uid="{00000000-0005-0000-0000-0000F1230000}"/>
    <cellStyle name="Normal 2 59 3 12 2" xfId="24166" xr:uid="{00000000-0005-0000-0000-0000F2230000}"/>
    <cellStyle name="Normal 2 59 3 13" xfId="6396" xr:uid="{00000000-0005-0000-0000-0000F3230000}"/>
    <cellStyle name="Normal 2 59 3 13 2" xfId="24167" xr:uid="{00000000-0005-0000-0000-0000F4230000}"/>
    <cellStyle name="Normal 2 59 3 14" xfId="6397" xr:uid="{00000000-0005-0000-0000-0000F5230000}"/>
    <cellStyle name="Normal 2 59 3 14 2" xfId="24168" xr:uid="{00000000-0005-0000-0000-0000F6230000}"/>
    <cellStyle name="Normal 2 59 3 15" xfId="6398" xr:uid="{00000000-0005-0000-0000-0000F7230000}"/>
    <cellStyle name="Normal 2 59 3 15 2" xfId="24169" xr:uid="{00000000-0005-0000-0000-0000F8230000}"/>
    <cellStyle name="Normal 2 59 3 16" xfId="24163" xr:uid="{00000000-0005-0000-0000-0000F9230000}"/>
    <cellStyle name="Normal 2 59 3 2" xfId="6399" xr:uid="{00000000-0005-0000-0000-0000FA230000}"/>
    <cellStyle name="Normal 2 59 3 2 10" xfId="6400" xr:uid="{00000000-0005-0000-0000-0000FB230000}"/>
    <cellStyle name="Normal 2 59 3 2 10 2" xfId="24171" xr:uid="{00000000-0005-0000-0000-0000FC230000}"/>
    <cellStyle name="Normal 2 59 3 2 11" xfId="6401" xr:uid="{00000000-0005-0000-0000-0000FD230000}"/>
    <cellStyle name="Normal 2 59 3 2 11 2" xfId="24172" xr:uid="{00000000-0005-0000-0000-0000FE230000}"/>
    <cellStyle name="Normal 2 59 3 2 12" xfId="6402" xr:uid="{00000000-0005-0000-0000-0000FF230000}"/>
    <cellStyle name="Normal 2 59 3 2 12 2" xfId="24173" xr:uid="{00000000-0005-0000-0000-000000240000}"/>
    <cellStyle name="Normal 2 59 3 2 13" xfId="6403" xr:uid="{00000000-0005-0000-0000-000001240000}"/>
    <cellStyle name="Normal 2 59 3 2 13 2" xfId="24174" xr:uid="{00000000-0005-0000-0000-000002240000}"/>
    <cellStyle name="Normal 2 59 3 2 14" xfId="6404" xr:uid="{00000000-0005-0000-0000-000003240000}"/>
    <cellStyle name="Normal 2 59 3 2 14 2" xfId="24175" xr:uid="{00000000-0005-0000-0000-000004240000}"/>
    <cellStyle name="Normal 2 59 3 2 15" xfId="24170" xr:uid="{00000000-0005-0000-0000-000005240000}"/>
    <cellStyle name="Normal 2 59 3 2 2" xfId="6405" xr:uid="{00000000-0005-0000-0000-000006240000}"/>
    <cellStyle name="Normal 2 59 3 2 2 2" xfId="24176" xr:uid="{00000000-0005-0000-0000-000007240000}"/>
    <cellStyle name="Normal 2 59 3 2 3" xfId="6406" xr:uid="{00000000-0005-0000-0000-000008240000}"/>
    <cellStyle name="Normal 2 59 3 2 3 2" xfId="24177" xr:uid="{00000000-0005-0000-0000-000009240000}"/>
    <cellStyle name="Normal 2 59 3 2 4" xfId="6407" xr:uid="{00000000-0005-0000-0000-00000A240000}"/>
    <cellStyle name="Normal 2 59 3 2 4 2" xfId="24178" xr:uid="{00000000-0005-0000-0000-00000B240000}"/>
    <cellStyle name="Normal 2 59 3 2 5" xfId="6408" xr:uid="{00000000-0005-0000-0000-00000C240000}"/>
    <cellStyle name="Normal 2 59 3 2 5 2" xfId="24179" xr:uid="{00000000-0005-0000-0000-00000D240000}"/>
    <cellStyle name="Normal 2 59 3 2 6" xfId="6409" xr:uid="{00000000-0005-0000-0000-00000E240000}"/>
    <cellStyle name="Normal 2 59 3 2 6 2" xfId="24180" xr:uid="{00000000-0005-0000-0000-00000F240000}"/>
    <cellStyle name="Normal 2 59 3 2 7" xfId="6410" xr:uid="{00000000-0005-0000-0000-000010240000}"/>
    <cellStyle name="Normal 2 59 3 2 7 2" xfId="24181" xr:uid="{00000000-0005-0000-0000-000011240000}"/>
    <cellStyle name="Normal 2 59 3 2 8" xfId="6411" xr:uid="{00000000-0005-0000-0000-000012240000}"/>
    <cellStyle name="Normal 2 59 3 2 8 2" xfId="24182" xr:uid="{00000000-0005-0000-0000-000013240000}"/>
    <cellStyle name="Normal 2 59 3 2 9" xfId="6412" xr:uid="{00000000-0005-0000-0000-000014240000}"/>
    <cellStyle name="Normal 2 59 3 2 9 2" xfId="24183" xr:uid="{00000000-0005-0000-0000-000015240000}"/>
    <cellStyle name="Normal 2 59 3 3" xfId="6413" xr:uid="{00000000-0005-0000-0000-000016240000}"/>
    <cellStyle name="Normal 2 59 3 3 2" xfId="24184" xr:uid="{00000000-0005-0000-0000-000017240000}"/>
    <cellStyle name="Normal 2 59 3 4" xfId="6414" xr:uid="{00000000-0005-0000-0000-000018240000}"/>
    <cellStyle name="Normal 2 59 3 4 2" xfId="24185" xr:uid="{00000000-0005-0000-0000-000019240000}"/>
    <cellStyle name="Normal 2 59 3 5" xfId="6415" xr:uid="{00000000-0005-0000-0000-00001A240000}"/>
    <cellStyle name="Normal 2 59 3 5 2" xfId="24186" xr:uid="{00000000-0005-0000-0000-00001B240000}"/>
    <cellStyle name="Normal 2 59 3 6" xfId="6416" xr:uid="{00000000-0005-0000-0000-00001C240000}"/>
    <cellStyle name="Normal 2 59 3 6 2" xfId="24187" xr:uid="{00000000-0005-0000-0000-00001D240000}"/>
    <cellStyle name="Normal 2 59 3 7" xfId="6417" xr:uid="{00000000-0005-0000-0000-00001E240000}"/>
    <cellStyle name="Normal 2 59 3 7 2" xfId="24188" xr:uid="{00000000-0005-0000-0000-00001F240000}"/>
    <cellStyle name="Normal 2 59 3 8" xfId="6418" xr:uid="{00000000-0005-0000-0000-000020240000}"/>
    <cellStyle name="Normal 2 59 3 8 2" xfId="24189" xr:uid="{00000000-0005-0000-0000-000021240000}"/>
    <cellStyle name="Normal 2 59 3 9" xfId="6419" xr:uid="{00000000-0005-0000-0000-000022240000}"/>
    <cellStyle name="Normal 2 59 3 9 2" xfId="24190" xr:uid="{00000000-0005-0000-0000-000023240000}"/>
    <cellStyle name="Normal 2 59 4" xfId="6420" xr:uid="{00000000-0005-0000-0000-000024240000}"/>
    <cellStyle name="Normal 2 59 4 10" xfId="6421" xr:uid="{00000000-0005-0000-0000-000025240000}"/>
    <cellStyle name="Normal 2 59 4 10 2" xfId="24192" xr:uid="{00000000-0005-0000-0000-000026240000}"/>
    <cellStyle name="Normal 2 59 4 11" xfId="6422" xr:uid="{00000000-0005-0000-0000-000027240000}"/>
    <cellStyle name="Normal 2 59 4 11 2" xfId="24193" xr:uid="{00000000-0005-0000-0000-000028240000}"/>
    <cellStyle name="Normal 2 59 4 12" xfId="6423" xr:uid="{00000000-0005-0000-0000-000029240000}"/>
    <cellStyle name="Normal 2 59 4 12 2" xfId="24194" xr:uid="{00000000-0005-0000-0000-00002A240000}"/>
    <cellStyle name="Normal 2 59 4 13" xfId="6424" xr:uid="{00000000-0005-0000-0000-00002B240000}"/>
    <cellStyle name="Normal 2 59 4 13 2" xfId="24195" xr:uid="{00000000-0005-0000-0000-00002C240000}"/>
    <cellStyle name="Normal 2 59 4 14" xfId="6425" xr:uid="{00000000-0005-0000-0000-00002D240000}"/>
    <cellStyle name="Normal 2 59 4 14 2" xfId="24196" xr:uid="{00000000-0005-0000-0000-00002E240000}"/>
    <cellStyle name="Normal 2 59 4 15" xfId="6426" xr:uid="{00000000-0005-0000-0000-00002F240000}"/>
    <cellStyle name="Normal 2 59 4 15 2" xfId="24197" xr:uid="{00000000-0005-0000-0000-000030240000}"/>
    <cellStyle name="Normal 2 59 4 16" xfId="24191" xr:uid="{00000000-0005-0000-0000-000031240000}"/>
    <cellStyle name="Normal 2 59 4 2" xfId="6427" xr:uid="{00000000-0005-0000-0000-000032240000}"/>
    <cellStyle name="Normal 2 59 4 2 10" xfId="6428" xr:uid="{00000000-0005-0000-0000-000033240000}"/>
    <cellStyle name="Normal 2 59 4 2 10 2" xfId="24199" xr:uid="{00000000-0005-0000-0000-000034240000}"/>
    <cellStyle name="Normal 2 59 4 2 11" xfId="6429" xr:uid="{00000000-0005-0000-0000-000035240000}"/>
    <cellStyle name="Normal 2 59 4 2 11 2" xfId="24200" xr:uid="{00000000-0005-0000-0000-000036240000}"/>
    <cellStyle name="Normal 2 59 4 2 12" xfId="6430" xr:uid="{00000000-0005-0000-0000-000037240000}"/>
    <cellStyle name="Normal 2 59 4 2 12 2" xfId="24201" xr:uid="{00000000-0005-0000-0000-000038240000}"/>
    <cellStyle name="Normal 2 59 4 2 13" xfId="6431" xr:uid="{00000000-0005-0000-0000-000039240000}"/>
    <cellStyle name="Normal 2 59 4 2 13 2" xfId="24202" xr:uid="{00000000-0005-0000-0000-00003A240000}"/>
    <cellStyle name="Normal 2 59 4 2 14" xfId="6432" xr:uid="{00000000-0005-0000-0000-00003B240000}"/>
    <cellStyle name="Normal 2 59 4 2 14 2" xfId="24203" xr:uid="{00000000-0005-0000-0000-00003C240000}"/>
    <cellStyle name="Normal 2 59 4 2 15" xfId="24198" xr:uid="{00000000-0005-0000-0000-00003D240000}"/>
    <cellStyle name="Normal 2 59 4 2 2" xfId="6433" xr:uid="{00000000-0005-0000-0000-00003E240000}"/>
    <cellStyle name="Normal 2 59 4 2 2 2" xfId="24204" xr:uid="{00000000-0005-0000-0000-00003F240000}"/>
    <cellStyle name="Normal 2 59 4 2 3" xfId="6434" xr:uid="{00000000-0005-0000-0000-000040240000}"/>
    <cellStyle name="Normal 2 59 4 2 3 2" xfId="24205" xr:uid="{00000000-0005-0000-0000-000041240000}"/>
    <cellStyle name="Normal 2 59 4 2 4" xfId="6435" xr:uid="{00000000-0005-0000-0000-000042240000}"/>
    <cellStyle name="Normal 2 59 4 2 4 2" xfId="24206" xr:uid="{00000000-0005-0000-0000-000043240000}"/>
    <cellStyle name="Normal 2 59 4 2 5" xfId="6436" xr:uid="{00000000-0005-0000-0000-000044240000}"/>
    <cellStyle name="Normal 2 59 4 2 5 2" xfId="24207" xr:uid="{00000000-0005-0000-0000-000045240000}"/>
    <cellStyle name="Normal 2 59 4 2 6" xfId="6437" xr:uid="{00000000-0005-0000-0000-000046240000}"/>
    <cellStyle name="Normal 2 59 4 2 6 2" xfId="24208" xr:uid="{00000000-0005-0000-0000-000047240000}"/>
    <cellStyle name="Normal 2 59 4 2 7" xfId="6438" xr:uid="{00000000-0005-0000-0000-000048240000}"/>
    <cellStyle name="Normal 2 59 4 2 7 2" xfId="24209" xr:uid="{00000000-0005-0000-0000-000049240000}"/>
    <cellStyle name="Normal 2 59 4 2 8" xfId="6439" xr:uid="{00000000-0005-0000-0000-00004A240000}"/>
    <cellStyle name="Normal 2 59 4 2 8 2" xfId="24210" xr:uid="{00000000-0005-0000-0000-00004B240000}"/>
    <cellStyle name="Normal 2 59 4 2 9" xfId="6440" xr:uid="{00000000-0005-0000-0000-00004C240000}"/>
    <cellStyle name="Normal 2 59 4 2 9 2" xfId="24211" xr:uid="{00000000-0005-0000-0000-00004D240000}"/>
    <cellStyle name="Normal 2 59 4 3" xfId="6441" xr:uid="{00000000-0005-0000-0000-00004E240000}"/>
    <cellStyle name="Normal 2 59 4 3 2" xfId="24212" xr:uid="{00000000-0005-0000-0000-00004F240000}"/>
    <cellStyle name="Normal 2 59 4 4" xfId="6442" xr:uid="{00000000-0005-0000-0000-000050240000}"/>
    <cellStyle name="Normal 2 59 4 4 2" xfId="24213" xr:uid="{00000000-0005-0000-0000-000051240000}"/>
    <cellStyle name="Normal 2 59 4 5" xfId="6443" xr:uid="{00000000-0005-0000-0000-000052240000}"/>
    <cellStyle name="Normal 2 59 4 5 2" xfId="24214" xr:uid="{00000000-0005-0000-0000-000053240000}"/>
    <cellStyle name="Normal 2 59 4 6" xfId="6444" xr:uid="{00000000-0005-0000-0000-000054240000}"/>
    <cellStyle name="Normal 2 59 4 6 2" xfId="24215" xr:uid="{00000000-0005-0000-0000-000055240000}"/>
    <cellStyle name="Normal 2 59 4 7" xfId="6445" xr:uid="{00000000-0005-0000-0000-000056240000}"/>
    <cellStyle name="Normal 2 59 4 7 2" xfId="24216" xr:uid="{00000000-0005-0000-0000-000057240000}"/>
    <cellStyle name="Normal 2 59 4 8" xfId="6446" xr:uid="{00000000-0005-0000-0000-000058240000}"/>
    <cellStyle name="Normal 2 59 4 8 2" xfId="24217" xr:uid="{00000000-0005-0000-0000-000059240000}"/>
    <cellStyle name="Normal 2 59 4 9" xfId="6447" xr:uid="{00000000-0005-0000-0000-00005A240000}"/>
    <cellStyle name="Normal 2 59 4 9 2" xfId="24218" xr:uid="{00000000-0005-0000-0000-00005B240000}"/>
    <cellStyle name="Normal 2 59 5" xfId="6448" xr:uid="{00000000-0005-0000-0000-00005C240000}"/>
    <cellStyle name="Normal 2 59 5 10" xfId="6449" xr:uid="{00000000-0005-0000-0000-00005D240000}"/>
    <cellStyle name="Normal 2 59 5 10 2" xfId="24220" xr:uid="{00000000-0005-0000-0000-00005E240000}"/>
    <cellStyle name="Normal 2 59 5 11" xfId="6450" xr:uid="{00000000-0005-0000-0000-00005F240000}"/>
    <cellStyle name="Normal 2 59 5 11 2" xfId="24221" xr:uid="{00000000-0005-0000-0000-000060240000}"/>
    <cellStyle name="Normal 2 59 5 12" xfId="6451" xr:uid="{00000000-0005-0000-0000-000061240000}"/>
    <cellStyle name="Normal 2 59 5 12 2" xfId="24222" xr:uid="{00000000-0005-0000-0000-000062240000}"/>
    <cellStyle name="Normal 2 59 5 13" xfId="6452" xr:uid="{00000000-0005-0000-0000-000063240000}"/>
    <cellStyle name="Normal 2 59 5 13 2" xfId="24223" xr:uid="{00000000-0005-0000-0000-000064240000}"/>
    <cellStyle name="Normal 2 59 5 14" xfId="6453" xr:uid="{00000000-0005-0000-0000-000065240000}"/>
    <cellStyle name="Normal 2 59 5 14 2" xfId="24224" xr:uid="{00000000-0005-0000-0000-000066240000}"/>
    <cellStyle name="Normal 2 59 5 15" xfId="24219" xr:uid="{00000000-0005-0000-0000-000067240000}"/>
    <cellStyle name="Normal 2 59 5 2" xfId="6454" xr:uid="{00000000-0005-0000-0000-000068240000}"/>
    <cellStyle name="Normal 2 59 5 2 2" xfId="24225" xr:uid="{00000000-0005-0000-0000-000069240000}"/>
    <cellStyle name="Normal 2 59 5 3" xfId="6455" xr:uid="{00000000-0005-0000-0000-00006A240000}"/>
    <cellStyle name="Normal 2 59 5 3 2" xfId="24226" xr:uid="{00000000-0005-0000-0000-00006B240000}"/>
    <cellStyle name="Normal 2 59 5 4" xfId="6456" xr:uid="{00000000-0005-0000-0000-00006C240000}"/>
    <cellStyle name="Normal 2 59 5 4 2" xfId="24227" xr:uid="{00000000-0005-0000-0000-00006D240000}"/>
    <cellStyle name="Normal 2 59 5 5" xfId="6457" xr:uid="{00000000-0005-0000-0000-00006E240000}"/>
    <cellStyle name="Normal 2 59 5 5 2" xfId="24228" xr:uid="{00000000-0005-0000-0000-00006F240000}"/>
    <cellStyle name="Normal 2 59 5 6" xfId="6458" xr:uid="{00000000-0005-0000-0000-000070240000}"/>
    <cellStyle name="Normal 2 59 5 6 2" xfId="24229" xr:uid="{00000000-0005-0000-0000-000071240000}"/>
    <cellStyle name="Normal 2 59 5 7" xfId="6459" xr:uid="{00000000-0005-0000-0000-000072240000}"/>
    <cellStyle name="Normal 2 59 5 7 2" xfId="24230" xr:uid="{00000000-0005-0000-0000-000073240000}"/>
    <cellStyle name="Normal 2 59 5 8" xfId="6460" xr:uid="{00000000-0005-0000-0000-000074240000}"/>
    <cellStyle name="Normal 2 59 5 8 2" xfId="24231" xr:uid="{00000000-0005-0000-0000-000075240000}"/>
    <cellStyle name="Normal 2 59 5 9" xfId="6461" xr:uid="{00000000-0005-0000-0000-000076240000}"/>
    <cellStyle name="Normal 2 59 5 9 2" xfId="24232" xr:uid="{00000000-0005-0000-0000-000077240000}"/>
    <cellStyle name="Normal 2 59 6" xfId="6462" xr:uid="{00000000-0005-0000-0000-000078240000}"/>
    <cellStyle name="Normal 2 59 6 10" xfId="6463" xr:uid="{00000000-0005-0000-0000-000079240000}"/>
    <cellStyle name="Normal 2 59 6 10 2" xfId="24234" xr:uid="{00000000-0005-0000-0000-00007A240000}"/>
    <cellStyle name="Normal 2 59 6 11" xfId="6464" xr:uid="{00000000-0005-0000-0000-00007B240000}"/>
    <cellStyle name="Normal 2 59 6 11 2" xfId="24235" xr:uid="{00000000-0005-0000-0000-00007C240000}"/>
    <cellStyle name="Normal 2 59 6 12" xfId="6465" xr:uid="{00000000-0005-0000-0000-00007D240000}"/>
    <cellStyle name="Normal 2 59 6 12 2" xfId="24236" xr:uid="{00000000-0005-0000-0000-00007E240000}"/>
    <cellStyle name="Normal 2 59 6 13" xfId="6466" xr:uid="{00000000-0005-0000-0000-00007F240000}"/>
    <cellStyle name="Normal 2 59 6 13 2" xfId="24237" xr:uid="{00000000-0005-0000-0000-000080240000}"/>
    <cellStyle name="Normal 2 59 6 14" xfId="6467" xr:uid="{00000000-0005-0000-0000-000081240000}"/>
    <cellStyle name="Normal 2 59 6 14 2" xfId="24238" xr:uid="{00000000-0005-0000-0000-000082240000}"/>
    <cellStyle name="Normal 2 59 6 15" xfId="24233" xr:uid="{00000000-0005-0000-0000-000083240000}"/>
    <cellStyle name="Normal 2 59 6 2" xfId="6468" xr:uid="{00000000-0005-0000-0000-000084240000}"/>
    <cellStyle name="Normal 2 59 6 2 2" xfId="24239" xr:uid="{00000000-0005-0000-0000-000085240000}"/>
    <cellStyle name="Normal 2 59 6 3" xfId="6469" xr:uid="{00000000-0005-0000-0000-000086240000}"/>
    <cellStyle name="Normal 2 59 6 3 2" xfId="24240" xr:uid="{00000000-0005-0000-0000-000087240000}"/>
    <cellStyle name="Normal 2 59 6 4" xfId="6470" xr:uid="{00000000-0005-0000-0000-000088240000}"/>
    <cellStyle name="Normal 2 59 6 4 2" xfId="24241" xr:uid="{00000000-0005-0000-0000-000089240000}"/>
    <cellStyle name="Normal 2 59 6 5" xfId="6471" xr:uid="{00000000-0005-0000-0000-00008A240000}"/>
    <cellStyle name="Normal 2 59 6 5 2" xfId="24242" xr:uid="{00000000-0005-0000-0000-00008B240000}"/>
    <cellStyle name="Normal 2 59 6 6" xfId="6472" xr:uid="{00000000-0005-0000-0000-00008C240000}"/>
    <cellStyle name="Normal 2 59 6 6 2" xfId="24243" xr:uid="{00000000-0005-0000-0000-00008D240000}"/>
    <cellStyle name="Normal 2 59 6 7" xfId="6473" xr:uid="{00000000-0005-0000-0000-00008E240000}"/>
    <cellStyle name="Normal 2 59 6 7 2" xfId="24244" xr:uid="{00000000-0005-0000-0000-00008F240000}"/>
    <cellStyle name="Normal 2 59 6 8" xfId="6474" xr:uid="{00000000-0005-0000-0000-000090240000}"/>
    <cellStyle name="Normal 2 59 6 8 2" xfId="24245" xr:uid="{00000000-0005-0000-0000-000091240000}"/>
    <cellStyle name="Normal 2 59 6 9" xfId="6475" xr:uid="{00000000-0005-0000-0000-000092240000}"/>
    <cellStyle name="Normal 2 59 6 9 2" xfId="24246" xr:uid="{00000000-0005-0000-0000-000093240000}"/>
    <cellStyle name="Normal 2 59 7" xfId="6476" xr:uid="{00000000-0005-0000-0000-000094240000}"/>
    <cellStyle name="Normal 2 59 7 10" xfId="6477" xr:uid="{00000000-0005-0000-0000-000095240000}"/>
    <cellStyle name="Normal 2 59 7 10 2" xfId="24248" xr:uid="{00000000-0005-0000-0000-000096240000}"/>
    <cellStyle name="Normal 2 59 7 11" xfId="6478" xr:uid="{00000000-0005-0000-0000-000097240000}"/>
    <cellStyle name="Normal 2 59 7 11 2" xfId="24249" xr:uid="{00000000-0005-0000-0000-000098240000}"/>
    <cellStyle name="Normal 2 59 7 12" xfId="6479" xr:uid="{00000000-0005-0000-0000-000099240000}"/>
    <cellStyle name="Normal 2 59 7 12 2" xfId="24250" xr:uid="{00000000-0005-0000-0000-00009A240000}"/>
    <cellStyle name="Normal 2 59 7 13" xfId="6480" xr:uid="{00000000-0005-0000-0000-00009B240000}"/>
    <cellStyle name="Normal 2 59 7 13 2" xfId="24251" xr:uid="{00000000-0005-0000-0000-00009C240000}"/>
    <cellStyle name="Normal 2 59 7 14" xfId="6481" xr:uid="{00000000-0005-0000-0000-00009D240000}"/>
    <cellStyle name="Normal 2 59 7 14 2" xfId="24252" xr:uid="{00000000-0005-0000-0000-00009E240000}"/>
    <cellStyle name="Normal 2 59 7 15" xfId="24247" xr:uid="{00000000-0005-0000-0000-00009F240000}"/>
    <cellStyle name="Normal 2 59 7 2" xfId="6482" xr:uid="{00000000-0005-0000-0000-0000A0240000}"/>
    <cellStyle name="Normal 2 59 7 2 2" xfId="24253" xr:uid="{00000000-0005-0000-0000-0000A1240000}"/>
    <cellStyle name="Normal 2 59 7 3" xfId="6483" xr:uid="{00000000-0005-0000-0000-0000A2240000}"/>
    <cellStyle name="Normal 2 59 7 3 2" xfId="24254" xr:uid="{00000000-0005-0000-0000-0000A3240000}"/>
    <cellStyle name="Normal 2 59 7 4" xfId="6484" xr:uid="{00000000-0005-0000-0000-0000A4240000}"/>
    <cellStyle name="Normal 2 59 7 4 2" xfId="24255" xr:uid="{00000000-0005-0000-0000-0000A5240000}"/>
    <cellStyle name="Normal 2 59 7 5" xfId="6485" xr:uid="{00000000-0005-0000-0000-0000A6240000}"/>
    <cellStyle name="Normal 2 59 7 5 2" xfId="24256" xr:uid="{00000000-0005-0000-0000-0000A7240000}"/>
    <cellStyle name="Normal 2 59 7 6" xfId="6486" xr:uid="{00000000-0005-0000-0000-0000A8240000}"/>
    <cellStyle name="Normal 2 59 7 6 2" xfId="24257" xr:uid="{00000000-0005-0000-0000-0000A9240000}"/>
    <cellStyle name="Normal 2 59 7 7" xfId="6487" xr:uid="{00000000-0005-0000-0000-0000AA240000}"/>
    <cellStyle name="Normal 2 59 7 7 2" xfId="24258" xr:uid="{00000000-0005-0000-0000-0000AB240000}"/>
    <cellStyle name="Normal 2 59 7 8" xfId="6488" xr:uid="{00000000-0005-0000-0000-0000AC240000}"/>
    <cellStyle name="Normal 2 59 7 8 2" xfId="24259" xr:uid="{00000000-0005-0000-0000-0000AD240000}"/>
    <cellStyle name="Normal 2 59 7 9" xfId="6489" xr:uid="{00000000-0005-0000-0000-0000AE240000}"/>
    <cellStyle name="Normal 2 59 7 9 2" xfId="24260" xr:uid="{00000000-0005-0000-0000-0000AF240000}"/>
    <cellStyle name="Normal 2 59 8" xfId="6490" xr:uid="{00000000-0005-0000-0000-0000B0240000}"/>
    <cellStyle name="Normal 2 59 8 10" xfId="6491" xr:uid="{00000000-0005-0000-0000-0000B1240000}"/>
    <cellStyle name="Normal 2 59 8 10 2" xfId="24262" xr:uid="{00000000-0005-0000-0000-0000B2240000}"/>
    <cellStyle name="Normal 2 59 8 11" xfId="6492" xr:uid="{00000000-0005-0000-0000-0000B3240000}"/>
    <cellStyle name="Normal 2 59 8 11 2" xfId="24263" xr:uid="{00000000-0005-0000-0000-0000B4240000}"/>
    <cellStyle name="Normal 2 59 8 12" xfId="6493" xr:uid="{00000000-0005-0000-0000-0000B5240000}"/>
    <cellStyle name="Normal 2 59 8 12 2" xfId="24264" xr:uid="{00000000-0005-0000-0000-0000B6240000}"/>
    <cellStyle name="Normal 2 59 8 13" xfId="6494" xr:uid="{00000000-0005-0000-0000-0000B7240000}"/>
    <cellStyle name="Normal 2 59 8 13 2" xfId="24265" xr:uid="{00000000-0005-0000-0000-0000B8240000}"/>
    <cellStyle name="Normal 2 59 8 14" xfId="6495" xr:uid="{00000000-0005-0000-0000-0000B9240000}"/>
    <cellStyle name="Normal 2 59 8 14 2" xfId="24266" xr:uid="{00000000-0005-0000-0000-0000BA240000}"/>
    <cellStyle name="Normal 2 59 8 15" xfId="24261" xr:uid="{00000000-0005-0000-0000-0000BB240000}"/>
    <cellStyle name="Normal 2 59 8 2" xfId="6496" xr:uid="{00000000-0005-0000-0000-0000BC240000}"/>
    <cellStyle name="Normal 2 59 8 2 2" xfId="24267" xr:uid="{00000000-0005-0000-0000-0000BD240000}"/>
    <cellStyle name="Normal 2 59 8 3" xfId="6497" xr:uid="{00000000-0005-0000-0000-0000BE240000}"/>
    <cellStyle name="Normal 2 59 8 3 2" xfId="24268" xr:uid="{00000000-0005-0000-0000-0000BF240000}"/>
    <cellStyle name="Normal 2 59 8 4" xfId="6498" xr:uid="{00000000-0005-0000-0000-0000C0240000}"/>
    <cellStyle name="Normal 2 59 8 4 2" xfId="24269" xr:uid="{00000000-0005-0000-0000-0000C1240000}"/>
    <cellStyle name="Normal 2 59 8 5" xfId="6499" xr:uid="{00000000-0005-0000-0000-0000C2240000}"/>
    <cellStyle name="Normal 2 59 8 5 2" xfId="24270" xr:uid="{00000000-0005-0000-0000-0000C3240000}"/>
    <cellStyle name="Normal 2 59 8 6" xfId="6500" xr:uid="{00000000-0005-0000-0000-0000C4240000}"/>
    <cellStyle name="Normal 2 59 8 6 2" xfId="24271" xr:uid="{00000000-0005-0000-0000-0000C5240000}"/>
    <cellStyle name="Normal 2 59 8 7" xfId="6501" xr:uid="{00000000-0005-0000-0000-0000C6240000}"/>
    <cellStyle name="Normal 2 59 8 7 2" xfId="24272" xr:uid="{00000000-0005-0000-0000-0000C7240000}"/>
    <cellStyle name="Normal 2 59 8 8" xfId="6502" xr:uid="{00000000-0005-0000-0000-0000C8240000}"/>
    <cellStyle name="Normal 2 59 8 8 2" xfId="24273" xr:uid="{00000000-0005-0000-0000-0000C9240000}"/>
    <cellStyle name="Normal 2 59 8 9" xfId="6503" xr:uid="{00000000-0005-0000-0000-0000CA240000}"/>
    <cellStyle name="Normal 2 59 8 9 2" xfId="24274" xr:uid="{00000000-0005-0000-0000-0000CB240000}"/>
    <cellStyle name="Normal 2 59 9" xfId="6504" xr:uid="{00000000-0005-0000-0000-0000CC240000}"/>
    <cellStyle name="Normal 2 59 9 10" xfId="6505" xr:uid="{00000000-0005-0000-0000-0000CD240000}"/>
    <cellStyle name="Normal 2 59 9 10 2" xfId="24276" xr:uid="{00000000-0005-0000-0000-0000CE240000}"/>
    <cellStyle name="Normal 2 59 9 11" xfId="6506" xr:uid="{00000000-0005-0000-0000-0000CF240000}"/>
    <cellStyle name="Normal 2 59 9 11 2" xfId="24277" xr:uid="{00000000-0005-0000-0000-0000D0240000}"/>
    <cellStyle name="Normal 2 59 9 12" xfId="6507" xr:uid="{00000000-0005-0000-0000-0000D1240000}"/>
    <cellStyle name="Normal 2 59 9 12 2" xfId="24278" xr:uid="{00000000-0005-0000-0000-0000D2240000}"/>
    <cellStyle name="Normal 2 59 9 13" xfId="6508" xr:uid="{00000000-0005-0000-0000-0000D3240000}"/>
    <cellStyle name="Normal 2 59 9 13 2" xfId="24279" xr:uid="{00000000-0005-0000-0000-0000D4240000}"/>
    <cellStyle name="Normal 2 59 9 14" xfId="6509" xr:uid="{00000000-0005-0000-0000-0000D5240000}"/>
    <cellStyle name="Normal 2 59 9 14 2" xfId="24280" xr:uid="{00000000-0005-0000-0000-0000D6240000}"/>
    <cellStyle name="Normal 2 59 9 15" xfId="24275" xr:uid="{00000000-0005-0000-0000-0000D7240000}"/>
    <cellStyle name="Normal 2 59 9 2" xfId="6510" xr:uid="{00000000-0005-0000-0000-0000D8240000}"/>
    <cellStyle name="Normal 2 59 9 2 2" xfId="24281" xr:uid="{00000000-0005-0000-0000-0000D9240000}"/>
    <cellStyle name="Normal 2 59 9 3" xfId="6511" xr:uid="{00000000-0005-0000-0000-0000DA240000}"/>
    <cellStyle name="Normal 2 59 9 3 2" xfId="24282" xr:uid="{00000000-0005-0000-0000-0000DB240000}"/>
    <cellStyle name="Normal 2 59 9 4" xfId="6512" xr:uid="{00000000-0005-0000-0000-0000DC240000}"/>
    <cellStyle name="Normal 2 59 9 4 2" xfId="24283" xr:uid="{00000000-0005-0000-0000-0000DD240000}"/>
    <cellStyle name="Normal 2 59 9 5" xfId="6513" xr:uid="{00000000-0005-0000-0000-0000DE240000}"/>
    <cellStyle name="Normal 2 59 9 5 2" xfId="24284" xr:uid="{00000000-0005-0000-0000-0000DF240000}"/>
    <cellStyle name="Normal 2 59 9 6" xfId="6514" xr:uid="{00000000-0005-0000-0000-0000E0240000}"/>
    <cellStyle name="Normal 2 59 9 6 2" xfId="24285" xr:uid="{00000000-0005-0000-0000-0000E1240000}"/>
    <cellStyle name="Normal 2 59 9 7" xfId="6515" xr:uid="{00000000-0005-0000-0000-0000E2240000}"/>
    <cellStyle name="Normal 2 59 9 7 2" xfId="24286" xr:uid="{00000000-0005-0000-0000-0000E3240000}"/>
    <cellStyle name="Normal 2 59 9 8" xfId="6516" xr:uid="{00000000-0005-0000-0000-0000E4240000}"/>
    <cellStyle name="Normal 2 59 9 8 2" xfId="24287" xr:uid="{00000000-0005-0000-0000-0000E5240000}"/>
    <cellStyle name="Normal 2 59 9 9" xfId="6517" xr:uid="{00000000-0005-0000-0000-0000E6240000}"/>
    <cellStyle name="Normal 2 59 9 9 2" xfId="24288" xr:uid="{00000000-0005-0000-0000-0000E7240000}"/>
    <cellStyle name="Normal 2 6" xfId="136" xr:uid="{00000000-0005-0000-0000-0000E8240000}"/>
    <cellStyle name="Normal 2 6 2" xfId="198" xr:uid="{00000000-0005-0000-0000-0000E9240000}"/>
    <cellStyle name="Normal 2 6 2 2" xfId="6520" xr:uid="{00000000-0005-0000-0000-0000EA240000}"/>
    <cellStyle name="Normal 2 6 2 2 2" xfId="6521" xr:uid="{00000000-0005-0000-0000-0000EB240000}"/>
    <cellStyle name="Normal 2 6 2 3" xfId="6522" xr:uid="{00000000-0005-0000-0000-0000EC240000}"/>
    <cellStyle name="Normal 2 6 2 3 2" xfId="6523" xr:uid="{00000000-0005-0000-0000-0000ED240000}"/>
    <cellStyle name="Normal 2 6 2 4" xfId="6524" xr:uid="{00000000-0005-0000-0000-0000EE240000}"/>
    <cellStyle name="Normal 2 6 2 4 2" xfId="6525" xr:uid="{00000000-0005-0000-0000-0000EF240000}"/>
    <cellStyle name="Normal 2 6 2 5" xfId="6526" xr:uid="{00000000-0005-0000-0000-0000F0240000}"/>
    <cellStyle name="Normal 2 6 2 5 2" xfId="6527" xr:uid="{00000000-0005-0000-0000-0000F1240000}"/>
    <cellStyle name="Normal 2 6 2 6" xfId="6528" xr:uid="{00000000-0005-0000-0000-0000F2240000}"/>
    <cellStyle name="Normal 2 6 2 6 2" xfId="6529" xr:uid="{00000000-0005-0000-0000-0000F3240000}"/>
    <cellStyle name="Normal 2 6 2 7" xfId="6530" xr:uid="{00000000-0005-0000-0000-0000F4240000}"/>
    <cellStyle name="Normal 2 6 2 7 2" xfId="6531" xr:uid="{00000000-0005-0000-0000-0000F5240000}"/>
    <cellStyle name="Normal 2 6 2 8" xfId="6519" xr:uid="{00000000-0005-0000-0000-0000F6240000}"/>
    <cellStyle name="Normal 2 6 3" xfId="179" xr:uid="{00000000-0005-0000-0000-0000F7240000}"/>
    <cellStyle name="Normal 2 6 3 2" xfId="556" xr:uid="{00000000-0005-0000-0000-0000F8240000}"/>
    <cellStyle name="Normal 2 6 3 3" xfId="6532" xr:uid="{00000000-0005-0000-0000-0000F9240000}"/>
    <cellStyle name="Normal 2 6 4" xfId="467" xr:uid="{00000000-0005-0000-0000-0000FA240000}"/>
    <cellStyle name="Normal 2 6 4 2" xfId="6533" xr:uid="{00000000-0005-0000-0000-0000FB240000}"/>
    <cellStyle name="Normal 2 6 5" xfId="6534" xr:uid="{00000000-0005-0000-0000-0000FC240000}"/>
    <cellStyle name="Normal 2 6 6" xfId="6535" xr:uid="{00000000-0005-0000-0000-0000FD240000}"/>
    <cellStyle name="Normal 2 6 7" xfId="6536" xr:uid="{00000000-0005-0000-0000-0000FE240000}"/>
    <cellStyle name="Normal 2 6 8" xfId="6537" xr:uid="{00000000-0005-0000-0000-0000FF240000}"/>
    <cellStyle name="Normal 2 6 9" xfId="6518" xr:uid="{00000000-0005-0000-0000-000000250000}"/>
    <cellStyle name="Normal 2 60" xfId="6538" xr:uid="{00000000-0005-0000-0000-000001250000}"/>
    <cellStyle name="Normal 2 60 10" xfId="6539" xr:uid="{00000000-0005-0000-0000-000002250000}"/>
    <cellStyle name="Normal 2 60 10 10" xfId="6540" xr:uid="{00000000-0005-0000-0000-000003250000}"/>
    <cellStyle name="Normal 2 60 10 10 2" xfId="24291" xr:uid="{00000000-0005-0000-0000-000004250000}"/>
    <cellStyle name="Normal 2 60 10 11" xfId="6541" xr:uid="{00000000-0005-0000-0000-000005250000}"/>
    <cellStyle name="Normal 2 60 10 11 2" xfId="24292" xr:uid="{00000000-0005-0000-0000-000006250000}"/>
    <cellStyle name="Normal 2 60 10 12" xfId="6542" xr:uid="{00000000-0005-0000-0000-000007250000}"/>
    <cellStyle name="Normal 2 60 10 12 2" xfId="24293" xr:uid="{00000000-0005-0000-0000-000008250000}"/>
    <cellStyle name="Normal 2 60 10 13" xfId="6543" xr:uid="{00000000-0005-0000-0000-000009250000}"/>
    <cellStyle name="Normal 2 60 10 13 2" xfId="24294" xr:uid="{00000000-0005-0000-0000-00000A250000}"/>
    <cellStyle name="Normal 2 60 10 14" xfId="6544" xr:uid="{00000000-0005-0000-0000-00000B250000}"/>
    <cellStyle name="Normal 2 60 10 14 2" xfId="24295" xr:uid="{00000000-0005-0000-0000-00000C250000}"/>
    <cellStyle name="Normal 2 60 10 15" xfId="24290" xr:uid="{00000000-0005-0000-0000-00000D250000}"/>
    <cellStyle name="Normal 2 60 10 2" xfId="6545" xr:uid="{00000000-0005-0000-0000-00000E250000}"/>
    <cellStyle name="Normal 2 60 10 2 2" xfId="24296" xr:uid="{00000000-0005-0000-0000-00000F250000}"/>
    <cellStyle name="Normal 2 60 10 3" xfId="6546" xr:uid="{00000000-0005-0000-0000-000010250000}"/>
    <cellStyle name="Normal 2 60 10 3 2" xfId="24297" xr:uid="{00000000-0005-0000-0000-000011250000}"/>
    <cellStyle name="Normal 2 60 10 4" xfId="6547" xr:uid="{00000000-0005-0000-0000-000012250000}"/>
    <cellStyle name="Normal 2 60 10 4 2" xfId="24298" xr:uid="{00000000-0005-0000-0000-000013250000}"/>
    <cellStyle name="Normal 2 60 10 5" xfId="6548" xr:uid="{00000000-0005-0000-0000-000014250000}"/>
    <cellStyle name="Normal 2 60 10 5 2" xfId="24299" xr:uid="{00000000-0005-0000-0000-000015250000}"/>
    <cellStyle name="Normal 2 60 10 6" xfId="6549" xr:uid="{00000000-0005-0000-0000-000016250000}"/>
    <cellStyle name="Normal 2 60 10 6 2" xfId="24300" xr:uid="{00000000-0005-0000-0000-000017250000}"/>
    <cellStyle name="Normal 2 60 10 7" xfId="6550" xr:uid="{00000000-0005-0000-0000-000018250000}"/>
    <cellStyle name="Normal 2 60 10 7 2" xfId="24301" xr:uid="{00000000-0005-0000-0000-000019250000}"/>
    <cellStyle name="Normal 2 60 10 8" xfId="6551" xr:uid="{00000000-0005-0000-0000-00001A250000}"/>
    <cellStyle name="Normal 2 60 10 8 2" xfId="24302" xr:uid="{00000000-0005-0000-0000-00001B250000}"/>
    <cellStyle name="Normal 2 60 10 9" xfId="6552" xr:uid="{00000000-0005-0000-0000-00001C250000}"/>
    <cellStyle name="Normal 2 60 10 9 2" xfId="24303" xr:uid="{00000000-0005-0000-0000-00001D250000}"/>
    <cellStyle name="Normal 2 60 11" xfId="6553" xr:uid="{00000000-0005-0000-0000-00001E250000}"/>
    <cellStyle name="Normal 2 60 11 2" xfId="24304" xr:uid="{00000000-0005-0000-0000-00001F250000}"/>
    <cellStyle name="Normal 2 60 12" xfId="6554" xr:uid="{00000000-0005-0000-0000-000020250000}"/>
    <cellStyle name="Normal 2 60 12 2" xfId="24305" xr:uid="{00000000-0005-0000-0000-000021250000}"/>
    <cellStyle name="Normal 2 60 13" xfId="6555" xr:uid="{00000000-0005-0000-0000-000022250000}"/>
    <cellStyle name="Normal 2 60 13 2" xfId="24306" xr:uid="{00000000-0005-0000-0000-000023250000}"/>
    <cellStyle name="Normal 2 60 14" xfId="6556" xr:uid="{00000000-0005-0000-0000-000024250000}"/>
    <cellStyle name="Normal 2 60 14 2" xfId="24307" xr:uid="{00000000-0005-0000-0000-000025250000}"/>
    <cellStyle name="Normal 2 60 15" xfId="6557" xr:uid="{00000000-0005-0000-0000-000026250000}"/>
    <cellStyle name="Normal 2 60 15 2" xfId="24308" xr:uid="{00000000-0005-0000-0000-000027250000}"/>
    <cellStyle name="Normal 2 60 16" xfId="6558" xr:uid="{00000000-0005-0000-0000-000028250000}"/>
    <cellStyle name="Normal 2 60 16 2" xfId="24309" xr:uid="{00000000-0005-0000-0000-000029250000}"/>
    <cellStyle name="Normal 2 60 17" xfId="6559" xr:uid="{00000000-0005-0000-0000-00002A250000}"/>
    <cellStyle name="Normal 2 60 17 2" xfId="24310" xr:uid="{00000000-0005-0000-0000-00002B250000}"/>
    <cellStyle name="Normal 2 60 18" xfId="6560" xr:uid="{00000000-0005-0000-0000-00002C250000}"/>
    <cellStyle name="Normal 2 60 18 2" xfId="24311" xr:uid="{00000000-0005-0000-0000-00002D250000}"/>
    <cellStyle name="Normal 2 60 19" xfId="6561" xr:uid="{00000000-0005-0000-0000-00002E250000}"/>
    <cellStyle name="Normal 2 60 19 2" xfId="24312" xr:uid="{00000000-0005-0000-0000-00002F250000}"/>
    <cellStyle name="Normal 2 60 2" xfId="6562" xr:uid="{00000000-0005-0000-0000-000030250000}"/>
    <cellStyle name="Normal 2 60 2 10" xfId="6563" xr:uid="{00000000-0005-0000-0000-000031250000}"/>
    <cellStyle name="Normal 2 60 2 10 2" xfId="24314" xr:uid="{00000000-0005-0000-0000-000032250000}"/>
    <cellStyle name="Normal 2 60 2 11" xfId="6564" xr:uid="{00000000-0005-0000-0000-000033250000}"/>
    <cellStyle name="Normal 2 60 2 11 2" xfId="24315" xr:uid="{00000000-0005-0000-0000-000034250000}"/>
    <cellStyle name="Normal 2 60 2 12" xfId="6565" xr:uid="{00000000-0005-0000-0000-000035250000}"/>
    <cellStyle name="Normal 2 60 2 12 2" xfId="24316" xr:uid="{00000000-0005-0000-0000-000036250000}"/>
    <cellStyle name="Normal 2 60 2 13" xfId="6566" xr:uid="{00000000-0005-0000-0000-000037250000}"/>
    <cellStyle name="Normal 2 60 2 13 2" xfId="24317" xr:uid="{00000000-0005-0000-0000-000038250000}"/>
    <cellStyle name="Normal 2 60 2 14" xfId="6567" xr:uid="{00000000-0005-0000-0000-000039250000}"/>
    <cellStyle name="Normal 2 60 2 14 2" xfId="24318" xr:uid="{00000000-0005-0000-0000-00003A250000}"/>
    <cellStyle name="Normal 2 60 2 15" xfId="6568" xr:uid="{00000000-0005-0000-0000-00003B250000}"/>
    <cellStyle name="Normal 2 60 2 15 2" xfId="24319" xr:uid="{00000000-0005-0000-0000-00003C250000}"/>
    <cellStyle name="Normal 2 60 2 16" xfId="24313" xr:uid="{00000000-0005-0000-0000-00003D250000}"/>
    <cellStyle name="Normal 2 60 2 2" xfId="6569" xr:uid="{00000000-0005-0000-0000-00003E250000}"/>
    <cellStyle name="Normal 2 60 2 2 10" xfId="6570" xr:uid="{00000000-0005-0000-0000-00003F250000}"/>
    <cellStyle name="Normal 2 60 2 2 10 2" xfId="24321" xr:uid="{00000000-0005-0000-0000-000040250000}"/>
    <cellStyle name="Normal 2 60 2 2 11" xfId="6571" xr:uid="{00000000-0005-0000-0000-000041250000}"/>
    <cellStyle name="Normal 2 60 2 2 11 2" xfId="24322" xr:uid="{00000000-0005-0000-0000-000042250000}"/>
    <cellStyle name="Normal 2 60 2 2 12" xfId="6572" xr:uid="{00000000-0005-0000-0000-000043250000}"/>
    <cellStyle name="Normal 2 60 2 2 12 2" xfId="24323" xr:uid="{00000000-0005-0000-0000-000044250000}"/>
    <cellStyle name="Normal 2 60 2 2 13" xfId="6573" xr:uid="{00000000-0005-0000-0000-000045250000}"/>
    <cellStyle name="Normal 2 60 2 2 13 2" xfId="24324" xr:uid="{00000000-0005-0000-0000-000046250000}"/>
    <cellStyle name="Normal 2 60 2 2 14" xfId="6574" xr:uid="{00000000-0005-0000-0000-000047250000}"/>
    <cellStyle name="Normal 2 60 2 2 14 2" xfId="24325" xr:uid="{00000000-0005-0000-0000-000048250000}"/>
    <cellStyle name="Normal 2 60 2 2 15" xfId="24320" xr:uid="{00000000-0005-0000-0000-000049250000}"/>
    <cellStyle name="Normal 2 60 2 2 2" xfId="6575" xr:uid="{00000000-0005-0000-0000-00004A250000}"/>
    <cellStyle name="Normal 2 60 2 2 2 2" xfId="24326" xr:uid="{00000000-0005-0000-0000-00004B250000}"/>
    <cellStyle name="Normal 2 60 2 2 3" xfId="6576" xr:uid="{00000000-0005-0000-0000-00004C250000}"/>
    <cellStyle name="Normal 2 60 2 2 3 2" xfId="24327" xr:uid="{00000000-0005-0000-0000-00004D250000}"/>
    <cellStyle name="Normal 2 60 2 2 4" xfId="6577" xr:uid="{00000000-0005-0000-0000-00004E250000}"/>
    <cellStyle name="Normal 2 60 2 2 4 2" xfId="24328" xr:uid="{00000000-0005-0000-0000-00004F250000}"/>
    <cellStyle name="Normal 2 60 2 2 5" xfId="6578" xr:uid="{00000000-0005-0000-0000-000050250000}"/>
    <cellStyle name="Normal 2 60 2 2 5 2" xfId="24329" xr:uid="{00000000-0005-0000-0000-000051250000}"/>
    <cellStyle name="Normal 2 60 2 2 6" xfId="6579" xr:uid="{00000000-0005-0000-0000-000052250000}"/>
    <cellStyle name="Normal 2 60 2 2 6 2" xfId="24330" xr:uid="{00000000-0005-0000-0000-000053250000}"/>
    <cellStyle name="Normal 2 60 2 2 7" xfId="6580" xr:uid="{00000000-0005-0000-0000-000054250000}"/>
    <cellStyle name="Normal 2 60 2 2 7 2" xfId="24331" xr:uid="{00000000-0005-0000-0000-000055250000}"/>
    <cellStyle name="Normal 2 60 2 2 8" xfId="6581" xr:uid="{00000000-0005-0000-0000-000056250000}"/>
    <cellStyle name="Normal 2 60 2 2 8 2" xfId="24332" xr:uid="{00000000-0005-0000-0000-000057250000}"/>
    <cellStyle name="Normal 2 60 2 2 9" xfId="6582" xr:uid="{00000000-0005-0000-0000-000058250000}"/>
    <cellStyle name="Normal 2 60 2 2 9 2" xfId="24333" xr:uid="{00000000-0005-0000-0000-000059250000}"/>
    <cellStyle name="Normal 2 60 2 3" xfId="6583" xr:uid="{00000000-0005-0000-0000-00005A250000}"/>
    <cellStyle name="Normal 2 60 2 3 2" xfId="24334" xr:uid="{00000000-0005-0000-0000-00005B250000}"/>
    <cellStyle name="Normal 2 60 2 4" xfId="6584" xr:uid="{00000000-0005-0000-0000-00005C250000}"/>
    <cellStyle name="Normal 2 60 2 4 2" xfId="24335" xr:uid="{00000000-0005-0000-0000-00005D250000}"/>
    <cellStyle name="Normal 2 60 2 5" xfId="6585" xr:uid="{00000000-0005-0000-0000-00005E250000}"/>
    <cellStyle name="Normal 2 60 2 5 2" xfId="24336" xr:uid="{00000000-0005-0000-0000-00005F250000}"/>
    <cellStyle name="Normal 2 60 2 6" xfId="6586" xr:uid="{00000000-0005-0000-0000-000060250000}"/>
    <cellStyle name="Normal 2 60 2 6 2" xfId="24337" xr:uid="{00000000-0005-0000-0000-000061250000}"/>
    <cellStyle name="Normal 2 60 2 7" xfId="6587" xr:uid="{00000000-0005-0000-0000-000062250000}"/>
    <cellStyle name="Normal 2 60 2 7 2" xfId="24338" xr:uid="{00000000-0005-0000-0000-000063250000}"/>
    <cellStyle name="Normal 2 60 2 8" xfId="6588" xr:uid="{00000000-0005-0000-0000-000064250000}"/>
    <cellStyle name="Normal 2 60 2 8 2" xfId="24339" xr:uid="{00000000-0005-0000-0000-000065250000}"/>
    <cellStyle name="Normal 2 60 2 9" xfId="6589" xr:uid="{00000000-0005-0000-0000-000066250000}"/>
    <cellStyle name="Normal 2 60 2 9 2" xfId="24340" xr:uid="{00000000-0005-0000-0000-000067250000}"/>
    <cellStyle name="Normal 2 60 20" xfId="6590" xr:uid="{00000000-0005-0000-0000-000068250000}"/>
    <cellStyle name="Normal 2 60 20 2" xfId="24341" xr:uid="{00000000-0005-0000-0000-000069250000}"/>
    <cellStyle name="Normal 2 60 21" xfId="6591" xr:uid="{00000000-0005-0000-0000-00006A250000}"/>
    <cellStyle name="Normal 2 60 21 2" xfId="24342" xr:uid="{00000000-0005-0000-0000-00006B250000}"/>
    <cellStyle name="Normal 2 60 22" xfId="6592" xr:uid="{00000000-0005-0000-0000-00006C250000}"/>
    <cellStyle name="Normal 2 60 22 2" xfId="24343" xr:uid="{00000000-0005-0000-0000-00006D250000}"/>
    <cellStyle name="Normal 2 60 23" xfId="6593" xr:uid="{00000000-0005-0000-0000-00006E250000}"/>
    <cellStyle name="Normal 2 60 23 2" xfId="24344" xr:uid="{00000000-0005-0000-0000-00006F250000}"/>
    <cellStyle name="Normal 2 60 24" xfId="24289" xr:uid="{00000000-0005-0000-0000-000070250000}"/>
    <cellStyle name="Normal 2 60 3" xfId="6594" xr:uid="{00000000-0005-0000-0000-000071250000}"/>
    <cellStyle name="Normal 2 60 3 10" xfId="6595" xr:uid="{00000000-0005-0000-0000-000072250000}"/>
    <cellStyle name="Normal 2 60 3 10 2" xfId="24346" xr:uid="{00000000-0005-0000-0000-000073250000}"/>
    <cellStyle name="Normal 2 60 3 11" xfId="6596" xr:uid="{00000000-0005-0000-0000-000074250000}"/>
    <cellStyle name="Normal 2 60 3 11 2" xfId="24347" xr:uid="{00000000-0005-0000-0000-000075250000}"/>
    <cellStyle name="Normal 2 60 3 12" xfId="6597" xr:uid="{00000000-0005-0000-0000-000076250000}"/>
    <cellStyle name="Normal 2 60 3 12 2" xfId="24348" xr:uid="{00000000-0005-0000-0000-000077250000}"/>
    <cellStyle name="Normal 2 60 3 13" xfId="6598" xr:uid="{00000000-0005-0000-0000-000078250000}"/>
    <cellStyle name="Normal 2 60 3 13 2" xfId="24349" xr:uid="{00000000-0005-0000-0000-000079250000}"/>
    <cellStyle name="Normal 2 60 3 14" xfId="6599" xr:uid="{00000000-0005-0000-0000-00007A250000}"/>
    <cellStyle name="Normal 2 60 3 14 2" xfId="24350" xr:uid="{00000000-0005-0000-0000-00007B250000}"/>
    <cellStyle name="Normal 2 60 3 15" xfId="6600" xr:uid="{00000000-0005-0000-0000-00007C250000}"/>
    <cellStyle name="Normal 2 60 3 15 2" xfId="24351" xr:uid="{00000000-0005-0000-0000-00007D250000}"/>
    <cellStyle name="Normal 2 60 3 16" xfId="24345" xr:uid="{00000000-0005-0000-0000-00007E250000}"/>
    <cellStyle name="Normal 2 60 3 2" xfId="6601" xr:uid="{00000000-0005-0000-0000-00007F250000}"/>
    <cellStyle name="Normal 2 60 3 2 10" xfId="6602" xr:uid="{00000000-0005-0000-0000-000080250000}"/>
    <cellStyle name="Normal 2 60 3 2 10 2" xfId="24353" xr:uid="{00000000-0005-0000-0000-000081250000}"/>
    <cellStyle name="Normal 2 60 3 2 11" xfId="6603" xr:uid="{00000000-0005-0000-0000-000082250000}"/>
    <cellStyle name="Normal 2 60 3 2 11 2" xfId="24354" xr:uid="{00000000-0005-0000-0000-000083250000}"/>
    <cellStyle name="Normal 2 60 3 2 12" xfId="6604" xr:uid="{00000000-0005-0000-0000-000084250000}"/>
    <cellStyle name="Normal 2 60 3 2 12 2" xfId="24355" xr:uid="{00000000-0005-0000-0000-000085250000}"/>
    <cellStyle name="Normal 2 60 3 2 13" xfId="6605" xr:uid="{00000000-0005-0000-0000-000086250000}"/>
    <cellStyle name="Normal 2 60 3 2 13 2" xfId="24356" xr:uid="{00000000-0005-0000-0000-000087250000}"/>
    <cellStyle name="Normal 2 60 3 2 14" xfId="6606" xr:uid="{00000000-0005-0000-0000-000088250000}"/>
    <cellStyle name="Normal 2 60 3 2 14 2" xfId="24357" xr:uid="{00000000-0005-0000-0000-000089250000}"/>
    <cellStyle name="Normal 2 60 3 2 15" xfId="24352" xr:uid="{00000000-0005-0000-0000-00008A250000}"/>
    <cellStyle name="Normal 2 60 3 2 2" xfId="6607" xr:uid="{00000000-0005-0000-0000-00008B250000}"/>
    <cellStyle name="Normal 2 60 3 2 2 2" xfId="24358" xr:uid="{00000000-0005-0000-0000-00008C250000}"/>
    <cellStyle name="Normal 2 60 3 2 3" xfId="6608" xr:uid="{00000000-0005-0000-0000-00008D250000}"/>
    <cellStyle name="Normal 2 60 3 2 3 2" xfId="24359" xr:uid="{00000000-0005-0000-0000-00008E250000}"/>
    <cellStyle name="Normal 2 60 3 2 4" xfId="6609" xr:uid="{00000000-0005-0000-0000-00008F250000}"/>
    <cellStyle name="Normal 2 60 3 2 4 2" xfId="24360" xr:uid="{00000000-0005-0000-0000-000090250000}"/>
    <cellStyle name="Normal 2 60 3 2 5" xfId="6610" xr:uid="{00000000-0005-0000-0000-000091250000}"/>
    <cellStyle name="Normal 2 60 3 2 5 2" xfId="24361" xr:uid="{00000000-0005-0000-0000-000092250000}"/>
    <cellStyle name="Normal 2 60 3 2 6" xfId="6611" xr:uid="{00000000-0005-0000-0000-000093250000}"/>
    <cellStyle name="Normal 2 60 3 2 6 2" xfId="24362" xr:uid="{00000000-0005-0000-0000-000094250000}"/>
    <cellStyle name="Normal 2 60 3 2 7" xfId="6612" xr:uid="{00000000-0005-0000-0000-000095250000}"/>
    <cellStyle name="Normal 2 60 3 2 7 2" xfId="24363" xr:uid="{00000000-0005-0000-0000-000096250000}"/>
    <cellStyle name="Normal 2 60 3 2 8" xfId="6613" xr:uid="{00000000-0005-0000-0000-000097250000}"/>
    <cellStyle name="Normal 2 60 3 2 8 2" xfId="24364" xr:uid="{00000000-0005-0000-0000-000098250000}"/>
    <cellStyle name="Normal 2 60 3 2 9" xfId="6614" xr:uid="{00000000-0005-0000-0000-000099250000}"/>
    <cellStyle name="Normal 2 60 3 2 9 2" xfId="24365" xr:uid="{00000000-0005-0000-0000-00009A250000}"/>
    <cellStyle name="Normal 2 60 3 3" xfId="6615" xr:uid="{00000000-0005-0000-0000-00009B250000}"/>
    <cellStyle name="Normal 2 60 3 3 2" xfId="24366" xr:uid="{00000000-0005-0000-0000-00009C250000}"/>
    <cellStyle name="Normal 2 60 3 4" xfId="6616" xr:uid="{00000000-0005-0000-0000-00009D250000}"/>
    <cellStyle name="Normal 2 60 3 4 2" xfId="24367" xr:uid="{00000000-0005-0000-0000-00009E250000}"/>
    <cellStyle name="Normal 2 60 3 5" xfId="6617" xr:uid="{00000000-0005-0000-0000-00009F250000}"/>
    <cellStyle name="Normal 2 60 3 5 2" xfId="24368" xr:uid="{00000000-0005-0000-0000-0000A0250000}"/>
    <cellStyle name="Normal 2 60 3 6" xfId="6618" xr:uid="{00000000-0005-0000-0000-0000A1250000}"/>
    <cellStyle name="Normal 2 60 3 6 2" xfId="24369" xr:uid="{00000000-0005-0000-0000-0000A2250000}"/>
    <cellStyle name="Normal 2 60 3 7" xfId="6619" xr:uid="{00000000-0005-0000-0000-0000A3250000}"/>
    <cellStyle name="Normal 2 60 3 7 2" xfId="24370" xr:uid="{00000000-0005-0000-0000-0000A4250000}"/>
    <cellStyle name="Normal 2 60 3 8" xfId="6620" xr:uid="{00000000-0005-0000-0000-0000A5250000}"/>
    <cellStyle name="Normal 2 60 3 8 2" xfId="24371" xr:uid="{00000000-0005-0000-0000-0000A6250000}"/>
    <cellStyle name="Normal 2 60 3 9" xfId="6621" xr:uid="{00000000-0005-0000-0000-0000A7250000}"/>
    <cellStyle name="Normal 2 60 3 9 2" xfId="24372" xr:uid="{00000000-0005-0000-0000-0000A8250000}"/>
    <cellStyle name="Normal 2 60 4" xfId="6622" xr:uid="{00000000-0005-0000-0000-0000A9250000}"/>
    <cellStyle name="Normal 2 60 4 10" xfId="6623" xr:uid="{00000000-0005-0000-0000-0000AA250000}"/>
    <cellStyle name="Normal 2 60 4 10 2" xfId="24374" xr:uid="{00000000-0005-0000-0000-0000AB250000}"/>
    <cellStyle name="Normal 2 60 4 11" xfId="6624" xr:uid="{00000000-0005-0000-0000-0000AC250000}"/>
    <cellStyle name="Normal 2 60 4 11 2" xfId="24375" xr:uid="{00000000-0005-0000-0000-0000AD250000}"/>
    <cellStyle name="Normal 2 60 4 12" xfId="6625" xr:uid="{00000000-0005-0000-0000-0000AE250000}"/>
    <cellStyle name="Normal 2 60 4 12 2" xfId="24376" xr:uid="{00000000-0005-0000-0000-0000AF250000}"/>
    <cellStyle name="Normal 2 60 4 13" xfId="6626" xr:uid="{00000000-0005-0000-0000-0000B0250000}"/>
    <cellStyle name="Normal 2 60 4 13 2" xfId="24377" xr:uid="{00000000-0005-0000-0000-0000B1250000}"/>
    <cellStyle name="Normal 2 60 4 14" xfId="6627" xr:uid="{00000000-0005-0000-0000-0000B2250000}"/>
    <cellStyle name="Normal 2 60 4 14 2" xfId="24378" xr:uid="{00000000-0005-0000-0000-0000B3250000}"/>
    <cellStyle name="Normal 2 60 4 15" xfId="6628" xr:uid="{00000000-0005-0000-0000-0000B4250000}"/>
    <cellStyle name="Normal 2 60 4 15 2" xfId="24379" xr:uid="{00000000-0005-0000-0000-0000B5250000}"/>
    <cellStyle name="Normal 2 60 4 16" xfId="24373" xr:uid="{00000000-0005-0000-0000-0000B6250000}"/>
    <cellStyle name="Normal 2 60 4 2" xfId="6629" xr:uid="{00000000-0005-0000-0000-0000B7250000}"/>
    <cellStyle name="Normal 2 60 4 2 10" xfId="6630" xr:uid="{00000000-0005-0000-0000-0000B8250000}"/>
    <cellStyle name="Normal 2 60 4 2 10 2" xfId="24381" xr:uid="{00000000-0005-0000-0000-0000B9250000}"/>
    <cellStyle name="Normal 2 60 4 2 11" xfId="6631" xr:uid="{00000000-0005-0000-0000-0000BA250000}"/>
    <cellStyle name="Normal 2 60 4 2 11 2" xfId="24382" xr:uid="{00000000-0005-0000-0000-0000BB250000}"/>
    <cellStyle name="Normal 2 60 4 2 12" xfId="6632" xr:uid="{00000000-0005-0000-0000-0000BC250000}"/>
    <cellStyle name="Normal 2 60 4 2 12 2" xfId="24383" xr:uid="{00000000-0005-0000-0000-0000BD250000}"/>
    <cellStyle name="Normal 2 60 4 2 13" xfId="6633" xr:uid="{00000000-0005-0000-0000-0000BE250000}"/>
    <cellStyle name="Normal 2 60 4 2 13 2" xfId="24384" xr:uid="{00000000-0005-0000-0000-0000BF250000}"/>
    <cellStyle name="Normal 2 60 4 2 14" xfId="6634" xr:uid="{00000000-0005-0000-0000-0000C0250000}"/>
    <cellStyle name="Normal 2 60 4 2 14 2" xfId="24385" xr:uid="{00000000-0005-0000-0000-0000C1250000}"/>
    <cellStyle name="Normal 2 60 4 2 15" xfId="24380" xr:uid="{00000000-0005-0000-0000-0000C2250000}"/>
    <cellStyle name="Normal 2 60 4 2 2" xfId="6635" xr:uid="{00000000-0005-0000-0000-0000C3250000}"/>
    <cellStyle name="Normal 2 60 4 2 2 2" xfId="24386" xr:uid="{00000000-0005-0000-0000-0000C4250000}"/>
    <cellStyle name="Normal 2 60 4 2 3" xfId="6636" xr:uid="{00000000-0005-0000-0000-0000C5250000}"/>
    <cellStyle name="Normal 2 60 4 2 3 2" xfId="24387" xr:uid="{00000000-0005-0000-0000-0000C6250000}"/>
    <cellStyle name="Normal 2 60 4 2 4" xfId="6637" xr:uid="{00000000-0005-0000-0000-0000C7250000}"/>
    <cellStyle name="Normal 2 60 4 2 4 2" xfId="24388" xr:uid="{00000000-0005-0000-0000-0000C8250000}"/>
    <cellStyle name="Normal 2 60 4 2 5" xfId="6638" xr:uid="{00000000-0005-0000-0000-0000C9250000}"/>
    <cellStyle name="Normal 2 60 4 2 5 2" xfId="24389" xr:uid="{00000000-0005-0000-0000-0000CA250000}"/>
    <cellStyle name="Normal 2 60 4 2 6" xfId="6639" xr:uid="{00000000-0005-0000-0000-0000CB250000}"/>
    <cellStyle name="Normal 2 60 4 2 6 2" xfId="24390" xr:uid="{00000000-0005-0000-0000-0000CC250000}"/>
    <cellStyle name="Normal 2 60 4 2 7" xfId="6640" xr:uid="{00000000-0005-0000-0000-0000CD250000}"/>
    <cellStyle name="Normal 2 60 4 2 7 2" xfId="24391" xr:uid="{00000000-0005-0000-0000-0000CE250000}"/>
    <cellStyle name="Normal 2 60 4 2 8" xfId="6641" xr:uid="{00000000-0005-0000-0000-0000CF250000}"/>
    <cellStyle name="Normal 2 60 4 2 8 2" xfId="24392" xr:uid="{00000000-0005-0000-0000-0000D0250000}"/>
    <cellStyle name="Normal 2 60 4 2 9" xfId="6642" xr:uid="{00000000-0005-0000-0000-0000D1250000}"/>
    <cellStyle name="Normal 2 60 4 2 9 2" xfId="24393" xr:uid="{00000000-0005-0000-0000-0000D2250000}"/>
    <cellStyle name="Normal 2 60 4 3" xfId="6643" xr:uid="{00000000-0005-0000-0000-0000D3250000}"/>
    <cellStyle name="Normal 2 60 4 3 2" xfId="24394" xr:uid="{00000000-0005-0000-0000-0000D4250000}"/>
    <cellStyle name="Normal 2 60 4 4" xfId="6644" xr:uid="{00000000-0005-0000-0000-0000D5250000}"/>
    <cellStyle name="Normal 2 60 4 4 2" xfId="24395" xr:uid="{00000000-0005-0000-0000-0000D6250000}"/>
    <cellStyle name="Normal 2 60 4 5" xfId="6645" xr:uid="{00000000-0005-0000-0000-0000D7250000}"/>
    <cellStyle name="Normal 2 60 4 5 2" xfId="24396" xr:uid="{00000000-0005-0000-0000-0000D8250000}"/>
    <cellStyle name="Normal 2 60 4 6" xfId="6646" xr:uid="{00000000-0005-0000-0000-0000D9250000}"/>
    <cellStyle name="Normal 2 60 4 6 2" xfId="24397" xr:uid="{00000000-0005-0000-0000-0000DA250000}"/>
    <cellStyle name="Normal 2 60 4 7" xfId="6647" xr:uid="{00000000-0005-0000-0000-0000DB250000}"/>
    <cellStyle name="Normal 2 60 4 7 2" xfId="24398" xr:uid="{00000000-0005-0000-0000-0000DC250000}"/>
    <cellStyle name="Normal 2 60 4 8" xfId="6648" xr:uid="{00000000-0005-0000-0000-0000DD250000}"/>
    <cellStyle name="Normal 2 60 4 8 2" xfId="24399" xr:uid="{00000000-0005-0000-0000-0000DE250000}"/>
    <cellStyle name="Normal 2 60 4 9" xfId="6649" xr:uid="{00000000-0005-0000-0000-0000DF250000}"/>
    <cellStyle name="Normal 2 60 4 9 2" xfId="24400" xr:uid="{00000000-0005-0000-0000-0000E0250000}"/>
    <cellStyle name="Normal 2 60 5" xfId="6650" xr:uid="{00000000-0005-0000-0000-0000E1250000}"/>
    <cellStyle name="Normal 2 60 5 10" xfId="6651" xr:uid="{00000000-0005-0000-0000-0000E2250000}"/>
    <cellStyle name="Normal 2 60 5 10 2" xfId="24402" xr:uid="{00000000-0005-0000-0000-0000E3250000}"/>
    <cellStyle name="Normal 2 60 5 11" xfId="6652" xr:uid="{00000000-0005-0000-0000-0000E4250000}"/>
    <cellStyle name="Normal 2 60 5 11 2" xfId="24403" xr:uid="{00000000-0005-0000-0000-0000E5250000}"/>
    <cellStyle name="Normal 2 60 5 12" xfId="6653" xr:uid="{00000000-0005-0000-0000-0000E6250000}"/>
    <cellStyle name="Normal 2 60 5 12 2" xfId="24404" xr:uid="{00000000-0005-0000-0000-0000E7250000}"/>
    <cellStyle name="Normal 2 60 5 13" xfId="6654" xr:uid="{00000000-0005-0000-0000-0000E8250000}"/>
    <cellStyle name="Normal 2 60 5 13 2" xfId="24405" xr:uid="{00000000-0005-0000-0000-0000E9250000}"/>
    <cellStyle name="Normal 2 60 5 14" xfId="6655" xr:uid="{00000000-0005-0000-0000-0000EA250000}"/>
    <cellStyle name="Normal 2 60 5 14 2" xfId="24406" xr:uid="{00000000-0005-0000-0000-0000EB250000}"/>
    <cellStyle name="Normal 2 60 5 15" xfId="24401" xr:uid="{00000000-0005-0000-0000-0000EC250000}"/>
    <cellStyle name="Normal 2 60 5 2" xfId="6656" xr:uid="{00000000-0005-0000-0000-0000ED250000}"/>
    <cellStyle name="Normal 2 60 5 2 2" xfId="24407" xr:uid="{00000000-0005-0000-0000-0000EE250000}"/>
    <cellStyle name="Normal 2 60 5 3" xfId="6657" xr:uid="{00000000-0005-0000-0000-0000EF250000}"/>
    <cellStyle name="Normal 2 60 5 3 2" xfId="24408" xr:uid="{00000000-0005-0000-0000-0000F0250000}"/>
    <cellStyle name="Normal 2 60 5 4" xfId="6658" xr:uid="{00000000-0005-0000-0000-0000F1250000}"/>
    <cellStyle name="Normal 2 60 5 4 2" xfId="24409" xr:uid="{00000000-0005-0000-0000-0000F2250000}"/>
    <cellStyle name="Normal 2 60 5 5" xfId="6659" xr:uid="{00000000-0005-0000-0000-0000F3250000}"/>
    <cellStyle name="Normal 2 60 5 5 2" xfId="24410" xr:uid="{00000000-0005-0000-0000-0000F4250000}"/>
    <cellStyle name="Normal 2 60 5 6" xfId="6660" xr:uid="{00000000-0005-0000-0000-0000F5250000}"/>
    <cellStyle name="Normal 2 60 5 6 2" xfId="24411" xr:uid="{00000000-0005-0000-0000-0000F6250000}"/>
    <cellStyle name="Normal 2 60 5 7" xfId="6661" xr:uid="{00000000-0005-0000-0000-0000F7250000}"/>
    <cellStyle name="Normal 2 60 5 7 2" xfId="24412" xr:uid="{00000000-0005-0000-0000-0000F8250000}"/>
    <cellStyle name="Normal 2 60 5 8" xfId="6662" xr:uid="{00000000-0005-0000-0000-0000F9250000}"/>
    <cellStyle name="Normal 2 60 5 8 2" xfId="24413" xr:uid="{00000000-0005-0000-0000-0000FA250000}"/>
    <cellStyle name="Normal 2 60 5 9" xfId="6663" xr:uid="{00000000-0005-0000-0000-0000FB250000}"/>
    <cellStyle name="Normal 2 60 5 9 2" xfId="24414" xr:uid="{00000000-0005-0000-0000-0000FC250000}"/>
    <cellStyle name="Normal 2 60 6" xfId="6664" xr:uid="{00000000-0005-0000-0000-0000FD250000}"/>
    <cellStyle name="Normal 2 60 6 10" xfId="6665" xr:uid="{00000000-0005-0000-0000-0000FE250000}"/>
    <cellStyle name="Normal 2 60 6 10 2" xfId="24416" xr:uid="{00000000-0005-0000-0000-0000FF250000}"/>
    <cellStyle name="Normal 2 60 6 11" xfId="6666" xr:uid="{00000000-0005-0000-0000-000000260000}"/>
    <cellStyle name="Normal 2 60 6 11 2" xfId="24417" xr:uid="{00000000-0005-0000-0000-000001260000}"/>
    <cellStyle name="Normal 2 60 6 12" xfId="6667" xr:uid="{00000000-0005-0000-0000-000002260000}"/>
    <cellStyle name="Normal 2 60 6 12 2" xfId="24418" xr:uid="{00000000-0005-0000-0000-000003260000}"/>
    <cellStyle name="Normal 2 60 6 13" xfId="6668" xr:uid="{00000000-0005-0000-0000-000004260000}"/>
    <cellStyle name="Normal 2 60 6 13 2" xfId="24419" xr:uid="{00000000-0005-0000-0000-000005260000}"/>
    <cellStyle name="Normal 2 60 6 14" xfId="6669" xr:uid="{00000000-0005-0000-0000-000006260000}"/>
    <cellStyle name="Normal 2 60 6 14 2" xfId="24420" xr:uid="{00000000-0005-0000-0000-000007260000}"/>
    <cellStyle name="Normal 2 60 6 15" xfId="24415" xr:uid="{00000000-0005-0000-0000-000008260000}"/>
    <cellStyle name="Normal 2 60 6 2" xfId="6670" xr:uid="{00000000-0005-0000-0000-000009260000}"/>
    <cellStyle name="Normal 2 60 6 2 2" xfId="24421" xr:uid="{00000000-0005-0000-0000-00000A260000}"/>
    <cellStyle name="Normal 2 60 6 3" xfId="6671" xr:uid="{00000000-0005-0000-0000-00000B260000}"/>
    <cellStyle name="Normal 2 60 6 3 2" xfId="24422" xr:uid="{00000000-0005-0000-0000-00000C260000}"/>
    <cellStyle name="Normal 2 60 6 4" xfId="6672" xr:uid="{00000000-0005-0000-0000-00000D260000}"/>
    <cellStyle name="Normal 2 60 6 4 2" xfId="24423" xr:uid="{00000000-0005-0000-0000-00000E260000}"/>
    <cellStyle name="Normal 2 60 6 5" xfId="6673" xr:uid="{00000000-0005-0000-0000-00000F260000}"/>
    <cellStyle name="Normal 2 60 6 5 2" xfId="24424" xr:uid="{00000000-0005-0000-0000-000010260000}"/>
    <cellStyle name="Normal 2 60 6 6" xfId="6674" xr:uid="{00000000-0005-0000-0000-000011260000}"/>
    <cellStyle name="Normal 2 60 6 6 2" xfId="24425" xr:uid="{00000000-0005-0000-0000-000012260000}"/>
    <cellStyle name="Normal 2 60 6 7" xfId="6675" xr:uid="{00000000-0005-0000-0000-000013260000}"/>
    <cellStyle name="Normal 2 60 6 7 2" xfId="24426" xr:uid="{00000000-0005-0000-0000-000014260000}"/>
    <cellStyle name="Normal 2 60 6 8" xfId="6676" xr:uid="{00000000-0005-0000-0000-000015260000}"/>
    <cellStyle name="Normal 2 60 6 8 2" xfId="24427" xr:uid="{00000000-0005-0000-0000-000016260000}"/>
    <cellStyle name="Normal 2 60 6 9" xfId="6677" xr:uid="{00000000-0005-0000-0000-000017260000}"/>
    <cellStyle name="Normal 2 60 6 9 2" xfId="24428" xr:uid="{00000000-0005-0000-0000-000018260000}"/>
    <cellStyle name="Normal 2 60 7" xfId="6678" xr:uid="{00000000-0005-0000-0000-000019260000}"/>
    <cellStyle name="Normal 2 60 7 10" xfId="6679" xr:uid="{00000000-0005-0000-0000-00001A260000}"/>
    <cellStyle name="Normal 2 60 7 10 2" xfId="24430" xr:uid="{00000000-0005-0000-0000-00001B260000}"/>
    <cellStyle name="Normal 2 60 7 11" xfId="6680" xr:uid="{00000000-0005-0000-0000-00001C260000}"/>
    <cellStyle name="Normal 2 60 7 11 2" xfId="24431" xr:uid="{00000000-0005-0000-0000-00001D260000}"/>
    <cellStyle name="Normal 2 60 7 12" xfId="6681" xr:uid="{00000000-0005-0000-0000-00001E260000}"/>
    <cellStyle name="Normal 2 60 7 12 2" xfId="24432" xr:uid="{00000000-0005-0000-0000-00001F260000}"/>
    <cellStyle name="Normal 2 60 7 13" xfId="6682" xr:uid="{00000000-0005-0000-0000-000020260000}"/>
    <cellStyle name="Normal 2 60 7 13 2" xfId="24433" xr:uid="{00000000-0005-0000-0000-000021260000}"/>
    <cellStyle name="Normal 2 60 7 14" xfId="6683" xr:uid="{00000000-0005-0000-0000-000022260000}"/>
    <cellStyle name="Normal 2 60 7 14 2" xfId="24434" xr:uid="{00000000-0005-0000-0000-000023260000}"/>
    <cellStyle name="Normal 2 60 7 15" xfId="24429" xr:uid="{00000000-0005-0000-0000-000024260000}"/>
    <cellStyle name="Normal 2 60 7 2" xfId="6684" xr:uid="{00000000-0005-0000-0000-000025260000}"/>
    <cellStyle name="Normal 2 60 7 2 2" xfId="24435" xr:uid="{00000000-0005-0000-0000-000026260000}"/>
    <cellStyle name="Normal 2 60 7 3" xfId="6685" xr:uid="{00000000-0005-0000-0000-000027260000}"/>
    <cellStyle name="Normal 2 60 7 3 2" xfId="24436" xr:uid="{00000000-0005-0000-0000-000028260000}"/>
    <cellStyle name="Normal 2 60 7 4" xfId="6686" xr:uid="{00000000-0005-0000-0000-000029260000}"/>
    <cellStyle name="Normal 2 60 7 4 2" xfId="24437" xr:uid="{00000000-0005-0000-0000-00002A260000}"/>
    <cellStyle name="Normal 2 60 7 5" xfId="6687" xr:uid="{00000000-0005-0000-0000-00002B260000}"/>
    <cellStyle name="Normal 2 60 7 5 2" xfId="24438" xr:uid="{00000000-0005-0000-0000-00002C260000}"/>
    <cellStyle name="Normal 2 60 7 6" xfId="6688" xr:uid="{00000000-0005-0000-0000-00002D260000}"/>
    <cellStyle name="Normal 2 60 7 6 2" xfId="24439" xr:uid="{00000000-0005-0000-0000-00002E260000}"/>
    <cellStyle name="Normal 2 60 7 7" xfId="6689" xr:uid="{00000000-0005-0000-0000-00002F260000}"/>
    <cellStyle name="Normal 2 60 7 7 2" xfId="24440" xr:uid="{00000000-0005-0000-0000-000030260000}"/>
    <cellStyle name="Normal 2 60 7 8" xfId="6690" xr:uid="{00000000-0005-0000-0000-000031260000}"/>
    <cellStyle name="Normal 2 60 7 8 2" xfId="24441" xr:uid="{00000000-0005-0000-0000-000032260000}"/>
    <cellStyle name="Normal 2 60 7 9" xfId="6691" xr:uid="{00000000-0005-0000-0000-000033260000}"/>
    <cellStyle name="Normal 2 60 7 9 2" xfId="24442" xr:uid="{00000000-0005-0000-0000-000034260000}"/>
    <cellStyle name="Normal 2 60 8" xfId="6692" xr:uid="{00000000-0005-0000-0000-000035260000}"/>
    <cellStyle name="Normal 2 60 8 10" xfId="6693" xr:uid="{00000000-0005-0000-0000-000036260000}"/>
    <cellStyle name="Normal 2 60 8 10 2" xfId="24444" xr:uid="{00000000-0005-0000-0000-000037260000}"/>
    <cellStyle name="Normal 2 60 8 11" xfId="6694" xr:uid="{00000000-0005-0000-0000-000038260000}"/>
    <cellStyle name="Normal 2 60 8 11 2" xfId="24445" xr:uid="{00000000-0005-0000-0000-000039260000}"/>
    <cellStyle name="Normal 2 60 8 12" xfId="6695" xr:uid="{00000000-0005-0000-0000-00003A260000}"/>
    <cellStyle name="Normal 2 60 8 12 2" xfId="24446" xr:uid="{00000000-0005-0000-0000-00003B260000}"/>
    <cellStyle name="Normal 2 60 8 13" xfId="6696" xr:uid="{00000000-0005-0000-0000-00003C260000}"/>
    <cellStyle name="Normal 2 60 8 13 2" xfId="24447" xr:uid="{00000000-0005-0000-0000-00003D260000}"/>
    <cellStyle name="Normal 2 60 8 14" xfId="6697" xr:uid="{00000000-0005-0000-0000-00003E260000}"/>
    <cellStyle name="Normal 2 60 8 14 2" xfId="24448" xr:uid="{00000000-0005-0000-0000-00003F260000}"/>
    <cellStyle name="Normal 2 60 8 15" xfId="24443" xr:uid="{00000000-0005-0000-0000-000040260000}"/>
    <cellStyle name="Normal 2 60 8 2" xfId="6698" xr:uid="{00000000-0005-0000-0000-000041260000}"/>
    <cellStyle name="Normal 2 60 8 2 2" xfId="24449" xr:uid="{00000000-0005-0000-0000-000042260000}"/>
    <cellStyle name="Normal 2 60 8 3" xfId="6699" xr:uid="{00000000-0005-0000-0000-000043260000}"/>
    <cellStyle name="Normal 2 60 8 3 2" xfId="24450" xr:uid="{00000000-0005-0000-0000-000044260000}"/>
    <cellStyle name="Normal 2 60 8 4" xfId="6700" xr:uid="{00000000-0005-0000-0000-000045260000}"/>
    <cellStyle name="Normal 2 60 8 4 2" xfId="24451" xr:uid="{00000000-0005-0000-0000-000046260000}"/>
    <cellStyle name="Normal 2 60 8 5" xfId="6701" xr:uid="{00000000-0005-0000-0000-000047260000}"/>
    <cellStyle name="Normal 2 60 8 5 2" xfId="24452" xr:uid="{00000000-0005-0000-0000-000048260000}"/>
    <cellStyle name="Normal 2 60 8 6" xfId="6702" xr:uid="{00000000-0005-0000-0000-000049260000}"/>
    <cellStyle name="Normal 2 60 8 6 2" xfId="24453" xr:uid="{00000000-0005-0000-0000-00004A260000}"/>
    <cellStyle name="Normal 2 60 8 7" xfId="6703" xr:uid="{00000000-0005-0000-0000-00004B260000}"/>
    <cellStyle name="Normal 2 60 8 7 2" xfId="24454" xr:uid="{00000000-0005-0000-0000-00004C260000}"/>
    <cellStyle name="Normal 2 60 8 8" xfId="6704" xr:uid="{00000000-0005-0000-0000-00004D260000}"/>
    <cellStyle name="Normal 2 60 8 8 2" xfId="24455" xr:uid="{00000000-0005-0000-0000-00004E260000}"/>
    <cellStyle name="Normal 2 60 8 9" xfId="6705" xr:uid="{00000000-0005-0000-0000-00004F260000}"/>
    <cellStyle name="Normal 2 60 8 9 2" xfId="24456" xr:uid="{00000000-0005-0000-0000-000050260000}"/>
    <cellStyle name="Normal 2 60 9" xfId="6706" xr:uid="{00000000-0005-0000-0000-000051260000}"/>
    <cellStyle name="Normal 2 60 9 10" xfId="6707" xr:uid="{00000000-0005-0000-0000-000052260000}"/>
    <cellStyle name="Normal 2 60 9 10 2" xfId="24458" xr:uid="{00000000-0005-0000-0000-000053260000}"/>
    <cellStyle name="Normal 2 60 9 11" xfId="6708" xr:uid="{00000000-0005-0000-0000-000054260000}"/>
    <cellStyle name="Normal 2 60 9 11 2" xfId="24459" xr:uid="{00000000-0005-0000-0000-000055260000}"/>
    <cellStyle name="Normal 2 60 9 12" xfId="6709" xr:uid="{00000000-0005-0000-0000-000056260000}"/>
    <cellStyle name="Normal 2 60 9 12 2" xfId="24460" xr:uid="{00000000-0005-0000-0000-000057260000}"/>
    <cellStyle name="Normal 2 60 9 13" xfId="6710" xr:uid="{00000000-0005-0000-0000-000058260000}"/>
    <cellStyle name="Normal 2 60 9 13 2" xfId="24461" xr:uid="{00000000-0005-0000-0000-000059260000}"/>
    <cellStyle name="Normal 2 60 9 14" xfId="6711" xr:uid="{00000000-0005-0000-0000-00005A260000}"/>
    <cellStyle name="Normal 2 60 9 14 2" xfId="24462" xr:uid="{00000000-0005-0000-0000-00005B260000}"/>
    <cellStyle name="Normal 2 60 9 15" xfId="24457" xr:uid="{00000000-0005-0000-0000-00005C260000}"/>
    <cellStyle name="Normal 2 60 9 2" xfId="6712" xr:uid="{00000000-0005-0000-0000-00005D260000}"/>
    <cellStyle name="Normal 2 60 9 2 2" xfId="24463" xr:uid="{00000000-0005-0000-0000-00005E260000}"/>
    <cellStyle name="Normal 2 60 9 3" xfId="6713" xr:uid="{00000000-0005-0000-0000-00005F260000}"/>
    <cellStyle name="Normal 2 60 9 3 2" xfId="24464" xr:uid="{00000000-0005-0000-0000-000060260000}"/>
    <cellStyle name="Normal 2 60 9 4" xfId="6714" xr:uid="{00000000-0005-0000-0000-000061260000}"/>
    <cellStyle name="Normal 2 60 9 4 2" xfId="24465" xr:uid="{00000000-0005-0000-0000-000062260000}"/>
    <cellStyle name="Normal 2 60 9 5" xfId="6715" xr:uid="{00000000-0005-0000-0000-000063260000}"/>
    <cellStyle name="Normal 2 60 9 5 2" xfId="24466" xr:uid="{00000000-0005-0000-0000-000064260000}"/>
    <cellStyle name="Normal 2 60 9 6" xfId="6716" xr:uid="{00000000-0005-0000-0000-000065260000}"/>
    <cellStyle name="Normal 2 60 9 6 2" xfId="24467" xr:uid="{00000000-0005-0000-0000-000066260000}"/>
    <cellStyle name="Normal 2 60 9 7" xfId="6717" xr:uid="{00000000-0005-0000-0000-000067260000}"/>
    <cellStyle name="Normal 2 60 9 7 2" xfId="24468" xr:uid="{00000000-0005-0000-0000-000068260000}"/>
    <cellStyle name="Normal 2 60 9 8" xfId="6718" xr:uid="{00000000-0005-0000-0000-000069260000}"/>
    <cellStyle name="Normal 2 60 9 8 2" xfId="24469" xr:uid="{00000000-0005-0000-0000-00006A260000}"/>
    <cellStyle name="Normal 2 60 9 9" xfId="6719" xr:uid="{00000000-0005-0000-0000-00006B260000}"/>
    <cellStyle name="Normal 2 60 9 9 2" xfId="24470" xr:uid="{00000000-0005-0000-0000-00006C260000}"/>
    <cellStyle name="Normal 2 61" xfId="6720" xr:uid="{00000000-0005-0000-0000-00006D260000}"/>
    <cellStyle name="Normal 2 61 10" xfId="6721" xr:uid="{00000000-0005-0000-0000-00006E260000}"/>
    <cellStyle name="Normal 2 61 10 10" xfId="6722" xr:uid="{00000000-0005-0000-0000-00006F260000}"/>
    <cellStyle name="Normal 2 61 10 10 2" xfId="24473" xr:uid="{00000000-0005-0000-0000-000070260000}"/>
    <cellStyle name="Normal 2 61 10 11" xfId="6723" xr:uid="{00000000-0005-0000-0000-000071260000}"/>
    <cellStyle name="Normal 2 61 10 11 2" xfId="24474" xr:uid="{00000000-0005-0000-0000-000072260000}"/>
    <cellStyle name="Normal 2 61 10 12" xfId="6724" xr:uid="{00000000-0005-0000-0000-000073260000}"/>
    <cellStyle name="Normal 2 61 10 12 2" xfId="24475" xr:uid="{00000000-0005-0000-0000-000074260000}"/>
    <cellStyle name="Normal 2 61 10 13" xfId="6725" xr:uid="{00000000-0005-0000-0000-000075260000}"/>
    <cellStyle name="Normal 2 61 10 13 2" xfId="24476" xr:uid="{00000000-0005-0000-0000-000076260000}"/>
    <cellStyle name="Normal 2 61 10 14" xfId="6726" xr:uid="{00000000-0005-0000-0000-000077260000}"/>
    <cellStyle name="Normal 2 61 10 14 2" xfId="24477" xr:uid="{00000000-0005-0000-0000-000078260000}"/>
    <cellStyle name="Normal 2 61 10 15" xfId="24472" xr:uid="{00000000-0005-0000-0000-000079260000}"/>
    <cellStyle name="Normal 2 61 10 2" xfId="6727" xr:uid="{00000000-0005-0000-0000-00007A260000}"/>
    <cellStyle name="Normal 2 61 10 2 2" xfId="24478" xr:uid="{00000000-0005-0000-0000-00007B260000}"/>
    <cellStyle name="Normal 2 61 10 3" xfId="6728" xr:uid="{00000000-0005-0000-0000-00007C260000}"/>
    <cellStyle name="Normal 2 61 10 3 2" xfId="24479" xr:uid="{00000000-0005-0000-0000-00007D260000}"/>
    <cellStyle name="Normal 2 61 10 4" xfId="6729" xr:uid="{00000000-0005-0000-0000-00007E260000}"/>
    <cellStyle name="Normal 2 61 10 4 2" xfId="24480" xr:uid="{00000000-0005-0000-0000-00007F260000}"/>
    <cellStyle name="Normal 2 61 10 5" xfId="6730" xr:uid="{00000000-0005-0000-0000-000080260000}"/>
    <cellStyle name="Normal 2 61 10 5 2" xfId="24481" xr:uid="{00000000-0005-0000-0000-000081260000}"/>
    <cellStyle name="Normal 2 61 10 6" xfId="6731" xr:uid="{00000000-0005-0000-0000-000082260000}"/>
    <cellStyle name="Normal 2 61 10 6 2" xfId="24482" xr:uid="{00000000-0005-0000-0000-000083260000}"/>
    <cellStyle name="Normal 2 61 10 7" xfId="6732" xr:uid="{00000000-0005-0000-0000-000084260000}"/>
    <cellStyle name="Normal 2 61 10 7 2" xfId="24483" xr:uid="{00000000-0005-0000-0000-000085260000}"/>
    <cellStyle name="Normal 2 61 10 8" xfId="6733" xr:uid="{00000000-0005-0000-0000-000086260000}"/>
    <cellStyle name="Normal 2 61 10 8 2" xfId="24484" xr:uid="{00000000-0005-0000-0000-000087260000}"/>
    <cellStyle name="Normal 2 61 10 9" xfId="6734" xr:uid="{00000000-0005-0000-0000-000088260000}"/>
    <cellStyle name="Normal 2 61 10 9 2" xfId="24485" xr:uid="{00000000-0005-0000-0000-000089260000}"/>
    <cellStyle name="Normal 2 61 11" xfId="6735" xr:uid="{00000000-0005-0000-0000-00008A260000}"/>
    <cellStyle name="Normal 2 61 11 2" xfId="24486" xr:uid="{00000000-0005-0000-0000-00008B260000}"/>
    <cellStyle name="Normal 2 61 12" xfId="6736" xr:uid="{00000000-0005-0000-0000-00008C260000}"/>
    <cellStyle name="Normal 2 61 12 2" xfId="24487" xr:uid="{00000000-0005-0000-0000-00008D260000}"/>
    <cellStyle name="Normal 2 61 13" xfId="6737" xr:uid="{00000000-0005-0000-0000-00008E260000}"/>
    <cellStyle name="Normal 2 61 13 2" xfId="24488" xr:uid="{00000000-0005-0000-0000-00008F260000}"/>
    <cellStyle name="Normal 2 61 14" xfId="6738" xr:uid="{00000000-0005-0000-0000-000090260000}"/>
    <cellStyle name="Normal 2 61 14 2" xfId="24489" xr:uid="{00000000-0005-0000-0000-000091260000}"/>
    <cellStyle name="Normal 2 61 15" xfId="6739" xr:uid="{00000000-0005-0000-0000-000092260000}"/>
    <cellStyle name="Normal 2 61 15 2" xfId="24490" xr:uid="{00000000-0005-0000-0000-000093260000}"/>
    <cellStyle name="Normal 2 61 16" xfId="6740" xr:uid="{00000000-0005-0000-0000-000094260000}"/>
    <cellStyle name="Normal 2 61 16 2" xfId="24491" xr:uid="{00000000-0005-0000-0000-000095260000}"/>
    <cellStyle name="Normal 2 61 17" xfId="6741" xr:uid="{00000000-0005-0000-0000-000096260000}"/>
    <cellStyle name="Normal 2 61 17 2" xfId="24492" xr:uid="{00000000-0005-0000-0000-000097260000}"/>
    <cellStyle name="Normal 2 61 18" xfId="6742" xr:uid="{00000000-0005-0000-0000-000098260000}"/>
    <cellStyle name="Normal 2 61 18 2" xfId="24493" xr:uid="{00000000-0005-0000-0000-000099260000}"/>
    <cellStyle name="Normal 2 61 19" xfId="6743" xr:uid="{00000000-0005-0000-0000-00009A260000}"/>
    <cellStyle name="Normal 2 61 19 2" xfId="24494" xr:uid="{00000000-0005-0000-0000-00009B260000}"/>
    <cellStyle name="Normal 2 61 2" xfId="6744" xr:uid="{00000000-0005-0000-0000-00009C260000}"/>
    <cellStyle name="Normal 2 61 2 10" xfId="6745" xr:uid="{00000000-0005-0000-0000-00009D260000}"/>
    <cellStyle name="Normal 2 61 2 10 2" xfId="24496" xr:uid="{00000000-0005-0000-0000-00009E260000}"/>
    <cellStyle name="Normal 2 61 2 11" xfId="6746" xr:uid="{00000000-0005-0000-0000-00009F260000}"/>
    <cellStyle name="Normal 2 61 2 11 2" xfId="24497" xr:uid="{00000000-0005-0000-0000-0000A0260000}"/>
    <cellStyle name="Normal 2 61 2 12" xfId="6747" xr:uid="{00000000-0005-0000-0000-0000A1260000}"/>
    <cellStyle name="Normal 2 61 2 12 2" xfId="24498" xr:uid="{00000000-0005-0000-0000-0000A2260000}"/>
    <cellStyle name="Normal 2 61 2 13" xfId="6748" xr:uid="{00000000-0005-0000-0000-0000A3260000}"/>
    <cellStyle name="Normal 2 61 2 13 2" xfId="24499" xr:uid="{00000000-0005-0000-0000-0000A4260000}"/>
    <cellStyle name="Normal 2 61 2 14" xfId="6749" xr:uid="{00000000-0005-0000-0000-0000A5260000}"/>
    <cellStyle name="Normal 2 61 2 14 2" xfId="24500" xr:uid="{00000000-0005-0000-0000-0000A6260000}"/>
    <cellStyle name="Normal 2 61 2 15" xfId="6750" xr:uid="{00000000-0005-0000-0000-0000A7260000}"/>
    <cellStyle name="Normal 2 61 2 15 2" xfId="24501" xr:uid="{00000000-0005-0000-0000-0000A8260000}"/>
    <cellStyle name="Normal 2 61 2 16" xfId="24495" xr:uid="{00000000-0005-0000-0000-0000A9260000}"/>
    <cellStyle name="Normal 2 61 2 2" xfId="6751" xr:uid="{00000000-0005-0000-0000-0000AA260000}"/>
    <cellStyle name="Normal 2 61 2 2 10" xfId="6752" xr:uid="{00000000-0005-0000-0000-0000AB260000}"/>
    <cellStyle name="Normal 2 61 2 2 10 2" xfId="24503" xr:uid="{00000000-0005-0000-0000-0000AC260000}"/>
    <cellStyle name="Normal 2 61 2 2 11" xfId="6753" xr:uid="{00000000-0005-0000-0000-0000AD260000}"/>
    <cellStyle name="Normal 2 61 2 2 11 2" xfId="24504" xr:uid="{00000000-0005-0000-0000-0000AE260000}"/>
    <cellStyle name="Normal 2 61 2 2 12" xfId="6754" xr:uid="{00000000-0005-0000-0000-0000AF260000}"/>
    <cellStyle name="Normal 2 61 2 2 12 2" xfId="24505" xr:uid="{00000000-0005-0000-0000-0000B0260000}"/>
    <cellStyle name="Normal 2 61 2 2 13" xfId="6755" xr:uid="{00000000-0005-0000-0000-0000B1260000}"/>
    <cellStyle name="Normal 2 61 2 2 13 2" xfId="24506" xr:uid="{00000000-0005-0000-0000-0000B2260000}"/>
    <cellStyle name="Normal 2 61 2 2 14" xfId="6756" xr:uid="{00000000-0005-0000-0000-0000B3260000}"/>
    <cellStyle name="Normal 2 61 2 2 14 2" xfId="24507" xr:uid="{00000000-0005-0000-0000-0000B4260000}"/>
    <cellStyle name="Normal 2 61 2 2 15" xfId="24502" xr:uid="{00000000-0005-0000-0000-0000B5260000}"/>
    <cellStyle name="Normal 2 61 2 2 2" xfId="6757" xr:uid="{00000000-0005-0000-0000-0000B6260000}"/>
    <cellStyle name="Normal 2 61 2 2 2 2" xfId="24508" xr:uid="{00000000-0005-0000-0000-0000B7260000}"/>
    <cellStyle name="Normal 2 61 2 2 3" xfId="6758" xr:uid="{00000000-0005-0000-0000-0000B8260000}"/>
    <cellStyle name="Normal 2 61 2 2 3 2" xfId="24509" xr:uid="{00000000-0005-0000-0000-0000B9260000}"/>
    <cellStyle name="Normal 2 61 2 2 4" xfId="6759" xr:uid="{00000000-0005-0000-0000-0000BA260000}"/>
    <cellStyle name="Normal 2 61 2 2 4 2" xfId="24510" xr:uid="{00000000-0005-0000-0000-0000BB260000}"/>
    <cellStyle name="Normal 2 61 2 2 5" xfId="6760" xr:uid="{00000000-0005-0000-0000-0000BC260000}"/>
    <cellStyle name="Normal 2 61 2 2 5 2" xfId="24511" xr:uid="{00000000-0005-0000-0000-0000BD260000}"/>
    <cellStyle name="Normal 2 61 2 2 6" xfId="6761" xr:uid="{00000000-0005-0000-0000-0000BE260000}"/>
    <cellStyle name="Normal 2 61 2 2 6 2" xfId="24512" xr:uid="{00000000-0005-0000-0000-0000BF260000}"/>
    <cellStyle name="Normal 2 61 2 2 7" xfId="6762" xr:uid="{00000000-0005-0000-0000-0000C0260000}"/>
    <cellStyle name="Normal 2 61 2 2 7 2" xfId="24513" xr:uid="{00000000-0005-0000-0000-0000C1260000}"/>
    <cellStyle name="Normal 2 61 2 2 8" xfId="6763" xr:uid="{00000000-0005-0000-0000-0000C2260000}"/>
    <cellStyle name="Normal 2 61 2 2 8 2" xfId="24514" xr:uid="{00000000-0005-0000-0000-0000C3260000}"/>
    <cellStyle name="Normal 2 61 2 2 9" xfId="6764" xr:uid="{00000000-0005-0000-0000-0000C4260000}"/>
    <cellStyle name="Normal 2 61 2 2 9 2" xfId="24515" xr:uid="{00000000-0005-0000-0000-0000C5260000}"/>
    <cellStyle name="Normal 2 61 2 3" xfId="6765" xr:uid="{00000000-0005-0000-0000-0000C6260000}"/>
    <cellStyle name="Normal 2 61 2 3 2" xfId="24516" xr:uid="{00000000-0005-0000-0000-0000C7260000}"/>
    <cellStyle name="Normal 2 61 2 4" xfId="6766" xr:uid="{00000000-0005-0000-0000-0000C8260000}"/>
    <cellStyle name="Normal 2 61 2 4 2" xfId="24517" xr:uid="{00000000-0005-0000-0000-0000C9260000}"/>
    <cellStyle name="Normal 2 61 2 5" xfId="6767" xr:uid="{00000000-0005-0000-0000-0000CA260000}"/>
    <cellStyle name="Normal 2 61 2 5 2" xfId="24518" xr:uid="{00000000-0005-0000-0000-0000CB260000}"/>
    <cellStyle name="Normal 2 61 2 6" xfId="6768" xr:uid="{00000000-0005-0000-0000-0000CC260000}"/>
    <cellStyle name="Normal 2 61 2 6 2" xfId="24519" xr:uid="{00000000-0005-0000-0000-0000CD260000}"/>
    <cellStyle name="Normal 2 61 2 7" xfId="6769" xr:uid="{00000000-0005-0000-0000-0000CE260000}"/>
    <cellStyle name="Normal 2 61 2 7 2" xfId="24520" xr:uid="{00000000-0005-0000-0000-0000CF260000}"/>
    <cellStyle name="Normal 2 61 2 8" xfId="6770" xr:uid="{00000000-0005-0000-0000-0000D0260000}"/>
    <cellStyle name="Normal 2 61 2 8 2" xfId="24521" xr:uid="{00000000-0005-0000-0000-0000D1260000}"/>
    <cellStyle name="Normal 2 61 2 9" xfId="6771" xr:uid="{00000000-0005-0000-0000-0000D2260000}"/>
    <cellStyle name="Normal 2 61 2 9 2" xfId="24522" xr:uid="{00000000-0005-0000-0000-0000D3260000}"/>
    <cellStyle name="Normal 2 61 20" xfId="6772" xr:uid="{00000000-0005-0000-0000-0000D4260000}"/>
    <cellStyle name="Normal 2 61 20 2" xfId="24523" xr:uid="{00000000-0005-0000-0000-0000D5260000}"/>
    <cellStyle name="Normal 2 61 21" xfId="6773" xr:uid="{00000000-0005-0000-0000-0000D6260000}"/>
    <cellStyle name="Normal 2 61 21 2" xfId="24524" xr:uid="{00000000-0005-0000-0000-0000D7260000}"/>
    <cellStyle name="Normal 2 61 22" xfId="6774" xr:uid="{00000000-0005-0000-0000-0000D8260000}"/>
    <cellStyle name="Normal 2 61 22 2" xfId="24525" xr:uid="{00000000-0005-0000-0000-0000D9260000}"/>
    <cellStyle name="Normal 2 61 23" xfId="6775" xr:uid="{00000000-0005-0000-0000-0000DA260000}"/>
    <cellStyle name="Normal 2 61 23 2" xfId="24526" xr:uid="{00000000-0005-0000-0000-0000DB260000}"/>
    <cellStyle name="Normal 2 61 24" xfId="24471" xr:uid="{00000000-0005-0000-0000-0000DC260000}"/>
    <cellStyle name="Normal 2 61 3" xfId="6776" xr:uid="{00000000-0005-0000-0000-0000DD260000}"/>
    <cellStyle name="Normal 2 61 3 10" xfId="6777" xr:uid="{00000000-0005-0000-0000-0000DE260000}"/>
    <cellStyle name="Normal 2 61 3 10 2" xfId="24528" xr:uid="{00000000-0005-0000-0000-0000DF260000}"/>
    <cellStyle name="Normal 2 61 3 11" xfId="6778" xr:uid="{00000000-0005-0000-0000-0000E0260000}"/>
    <cellStyle name="Normal 2 61 3 11 2" xfId="24529" xr:uid="{00000000-0005-0000-0000-0000E1260000}"/>
    <cellStyle name="Normal 2 61 3 12" xfId="6779" xr:uid="{00000000-0005-0000-0000-0000E2260000}"/>
    <cellStyle name="Normal 2 61 3 12 2" xfId="24530" xr:uid="{00000000-0005-0000-0000-0000E3260000}"/>
    <cellStyle name="Normal 2 61 3 13" xfId="6780" xr:uid="{00000000-0005-0000-0000-0000E4260000}"/>
    <cellStyle name="Normal 2 61 3 13 2" xfId="24531" xr:uid="{00000000-0005-0000-0000-0000E5260000}"/>
    <cellStyle name="Normal 2 61 3 14" xfId="6781" xr:uid="{00000000-0005-0000-0000-0000E6260000}"/>
    <cellStyle name="Normal 2 61 3 14 2" xfId="24532" xr:uid="{00000000-0005-0000-0000-0000E7260000}"/>
    <cellStyle name="Normal 2 61 3 15" xfId="6782" xr:uid="{00000000-0005-0000-0000-0000E8260000}"/>
    <cellStyle name="Normal 2 61 3 15 2" xfId="24533" xr:uid="{00000000-0005-0000-0000-0000E9260000}"/>
    <cellStyle name="Normal 2 61 3 16" xfId="24527" xr:uid="{00000000-0005-0000-0000-0000EA260000}"/>
    <cellStyle name="Normal 2 61 3 2" xfId="6783" xr:uid="{00000000-0005-0000-0000-0000EB260000}"/>
    <cellStyle name="Normal 2 61 3 2 10" xfId="6784" xr:uid="{00000000-0005-0000-0000-0000EC260000}"/>
    <cellStyle name="Normal 2 61 3 2 10 2" xfId="24535" xr:uid="{00000000-0005-0000-0000-0000ED260000}"/>
    <cellStyle name="Normal 2 61 3 2 11" xfId="6785" xr:uid="{00000000-0005-0000-0000-0000EE260000}"/>
    <cellStyle name="Normal 2 61 3 2 11 2" xfId="24536" xr:uid="{00000000-0005-0000-0000-0000EF260000}"/>
    <cellStyle name="Normal 2 61 3 2 12" xfId="6786" xr:uid="{00000000-0005-0000-0000-0000F0260000}"/>
    <cellStyle name="Normal 2 61 3 2 12 2" xfId="24537" xr:uid="{00000000-0005-0000-0000-0000F1260000}"/>
    <cellStyle name="Normal 2 61 3 2 13" xfId="6787" xr:uid="{00000000-0005-0000-0000-0000F2260000}"/>
    <cellStyle name="Normal 2 61 3 2 13 2" xfId="24538" xr:uid="{00000000-0005-0000-0000-0000F3260000}"/>
    <cellStyle name="Normal 2 61 3 2 14" xfId="6788" xr:uid="{00000000-0005-0000-0000-0000F4260000}"/>
    <cellStyle name="Normal 2 61 3 2 14 2" xfId="24539" xr:uid="{00000000-0005-0000-0000-0000F5260000}"/>
    <cellStyle name="Normal 2 61 3 2 15" xfId="24534" xr:uid="{00000000-0005-0000-0000-0000F6260000}"/>
    <cellStyle name="Normal 2 61 3 2 2" xfId="6789" xr:uid="{00000000-0005-0000-0000-0000F7260000}"/>
    <cellStyle name="Normal 2 61 3 2 2 2" xfId="24540" xr:uid="{00000000-0005-0000-0000-0000F8260000}"/>
    <cellStyle name="Normal 2 61 3 2 3" xfId="6790" xr:uid="{00000000-0005-0000-0000-0000F9260000}"/>
    <cellStyle name="Normal 2 61 3 2 3 2" xfId="24541" xr:uid="{00000000-0005-0000-0000-0000FA260000}"/>
    <cellStyle name="Normal 2 61 3 2 4" xfId="6791" xr:uid="{00000000-0005-0000-0000-0000FB260000}"/>
    <cellStyle name="Normal 2 61 3 2 4 2" xfId="24542" xr:uid="{00000000-0005-0000-0000-0000FC260000}"/>
    <cellStyle name="Normal 2 61 3 2 5" xfId="6792" xr:uid="{00000000-0005-0000-0000-0000FD260000}"/>
    <cellStyle name="Normal 2 61 3 2 5 2" xfId="24543" xr:uid="{00000000-0005-0000-0000-0000FE260000}"/>
    <cellStyle name="Normal 2 61 3 2 6" xfId="6793" xr:uid="{00000000-0005-0000-0000-0000FF260000}"/>
    <cellStyle name="Normal 2 61 3 2 6 2" xfId="24544" xr:uid="{00000000-0005-0000-0000-000000270000}"/>
    <cellStyle name="Normal 2 61 3 2 7" xfId="6794" xr:uid="{00000000-0005-0000-0000-000001270000}"/>
    <cellStyle name="Normal 2 61 3 2 7 2" xfId="24545" xr:uid="{00000000-0005-0000-0000-000002270000}"/>
    <cellStyle name="Normal 2 61 3 2 8" xfId="6795" xr:uid="{00000000-0005-0000-0000-000003270000}"/>
    <cellStyle name="Normal 2 61 3 2 8 2" xfId="24546" xr:uid="{00000000-0005-0000-0000-000004270000}"/>
    <cellStyle name="Normal 2 61 3 2 9" xfId="6796" xr:uid="{00000000-0005-0000-0000-000005270000}"/>
    <cellStyle name="Normal 2 61 3 2 9 2" xfId="24547" xr:uid="{00000000-0005-0000-0000-000006270000}"/>
    <cellStyle name="Normal 2 61 3 3" xfId="6797" xr:uid="{00000000-0005-0000-0000-000007270000}"/>
    <cellStyle name="Normal 2 61 3 3 2" xfId="24548" xr:uid="{00000000-0005-0000-0000-000008270000}"/>
    <cellStyle name="Normal 2 61 3 4" xfId="6798" xr:uid="{00000000-0005-0000-0000-000009270000}"/>
    <cellStyle name="Normal 2 61 3 4 2" xfId="24549" xr:uid="{00000000-0005-0000-0000-00000A270000}"/>
    <cellStyle name="Normal 2 61 3 5" xfId="6799" xr:uid="{00000000-0005-0000-0000-00000B270000}"/>
    <cellStyle name="Normal 2 61 3 5 2" xfId="24550" xr:uid="{00000000-0005-0000-0000-00000C270000}"/>
    <cellStyle name="Normal 2 61 3 6" xfId="6800" xr:uid="{00000000-0005-0000-0000-00000D270000}"/>
    <cellStyle name="Normal 2 61 3 6 2" xfId="24551" xr:uid="{00000000-0005-0000-0000-00000E270000}"/>
    <cellStyle name="Normal 2 61 3 7" xfId="6801" xr:uid="{00000000-0005-0000-0000-00000F270000}"/>
    <cellStyle name="Normal 2 61 3 7 2" xfId="24552" xr:uid="{00000000-0005-0000-0000-000010270000}"/>
    <cellStyle name="Normal 2 61 3 8" xfId="6802" xr:uid="{00000000-0005-0000-0000-000011270000}"/>
    <cellStyle name="Normal 2 61 3 8 2" xfId="24553" xr:uid="{00000000-0005-0000-0000-000012270000}"/>
    <cellStyle name="Normal 2 61 3 9" xfId="6803" xr:uid="{00000000-0005-0000-0000-000013270000}"/>
    <cellStyle name="Normal 2 61 3 9 2" xfId="24554" xr:uid="{00000000-0005-0000-0000-000014270000}"/>
    <cellStyle name="Normal 2 61 4" xfId="6804" xr:uid="{00000000-0005-0000-0000-000015270000}"/>
    <cellStyle name="Normal 2 61 4 10" xfId="6805" xr:uid="{00000000-0005-0000-0000-000016270000}"/>
    <cellStyle name="Normal 2 61 4 10 2" xfId="24556" xr:uid="{00000000-0005-0000-0000-000017270000}"/>
    <cellStyle name="Normal 2 61 4 11" xfId="6806" xr:uid="{00000000-0005-0000-0000-000018270000}"/>
    <cellStyle name="Normal 2 61 4 11 2" xfId="24557" xr:uid="{00000000-0005-0000-0000-000019270000}"/>
    <cellStyle name="Normal 2 61 4 12" xfId="6807" xr:uid="{00000000-0005-0000-0000-00001A270000}"/>
    <cellStyle name="Normal 2 61 4 12 2" xfId="24558" xr:uid="{00000000-0005-0000-0000-00001B270000}"/>
    <cellStyle name="Normal 2 61 4 13" xfId="6808" xr:uid="{00000000-0005-0000-0000-00001C270000}"/>
    <cellStyle name="Normal 2 61 4 13 2" xfId="24559" xr:uid="{00000000-0005-0000-0000-00001D270000}"/>
    <cellStyle name="Normal 2 61 4 14" xfId="6809" xr:uid="{00000000-0005-0000-0000-00001E270000}"/>
    <cellStyle name="Normal 2 61 4 14 2" xfId="24560" xr:uid="{00000000-0005-0000-0000-00001F270000}"/>
    <cellStyle name="Normal 2 61 4 15" xfId="6810" xr:uid="{00000000-0005-0000-0000-000020270000}"/>
    <cellStyle name="Normal 2 61 4 15 2" xfId="24561" xr:uid="{00000000-0005-0000-0000-000021270000}"/>
    <cellStyle name="Normal 2 61 4 16" xfId="24555" xr:uid="{00000000-0005-0000-0000-000022270000}"/>
    <cellStyle name="Normal 2 61 4 2" xfId="6811" xr:uid="{00000000-0005-0000-0000-000023270000}"/>
    <cellStyle name="Normal 2 61 4 2 10" xfId="6812" xr:uid="{00000000-0005-0000-0000-000024270000}"/>
    <cellStyle name="Normal 2 61 4 2 10 2" xfId="24563" xr:uid="{00000000-0005-0000-0000-000025270000}"/>
    <cellStyle name="Normal 2 61 4 2 11" xfId="6813" xr:uid="{00000000-0005-0000-0000-000026270000}"/>
    <cellStyle name="Normal 2 61 4 2 11 2" xfId="24564" xr:uid="{00000000-0005-0000-0000-000027270000}"/>
    <cellStyle name="Normal 2 61 4 2 12" xfId="6814" xr:uid="{00000000-0005-0000-0000-000028270000}"/>
    <cellStyle name="Normal 2 61 4 2 12 2" xfId="24565" xr:uid="{00000000-0005-0000-0000-000029270000}"/>
    <cellStyle name="Normal 2 61 4 2 13" xfId="6815" xr:uid="{00000000-0005-0000-0000-00002A270000}"/>
    <cellStyle name="Normal 2 61 4 2 13 2" xfId="24566" xr:uid="{00000000-0005-0000-0000-00002B270000}"/>
    <cellStyle name="Normal 2 61 4 2 14" xfId="6816" xr:uid="{00000000-0005-0000-0000-00002C270000}"/>
    <cellStyle name="Normal 2 61 4 2 14 2" xfId="24567" xr:uid="{00000000-0005-0000-0000-00002D270000}"/>
    <cellStyle name="Normal 2 61 4 2 15" xfId="24562" xr:uid="{00000000-0005-0000-0000-00002E270000}"/>
    <cellStyle name="Normal 2 61 4 2 2" xfId="6817" xr:uid="{00000000-0005-0000-0000-00002F270000}"/>
    <cellStyle name="Normal 2 61 4 2 2 2" xfId="24568" xr:uid="{00000000-0005-0000-0000-000030270000}"/>
    <cellStyle name="Normal 2 61 4 2 3" xfId="6818" xr:uid="{00000000-0005-0000-0000-000031270000}"/>
    <cellStyle name="Normal 2 61 4 2 3 2" xfId="24569" xr:uid="{00000000-0005-0000-0000-000032270000}"/>
    <cellStyle name="Normal 2 61 4 2 4" xfId="6819" xr:uid="{00000000-0005-0000-0000-000033270000}"/>
    <cellStyle name="Normal 2 61 4 2 4 2" xfId="24570" xr:uid="{00000000-0005-0000-0000-000034270000}"/>
    <cellStyle name="Normal 2 61 4 2 5" xfId="6820" xr:uid="{00000000-0005-0000-0000-000035270000}"/>
    <cellStyle name="Normal 2 61 4 2 5 2" xfId="24571" xr:uid="{00000000-0005-0000-0000-000036270000}"/>
    <cellStyle name="Normal 2 61 4 2 6" xfId="6821" xr:uid="{00000000-0005-0000-0000-000037270000}"/>
    <cellStyle name="Normal 2 61 4 2 6 2" xfId="24572" xr:uid="{00000000-0005-0000-0000-000038270000}"/>
    <cellStyle name="Normal 2 61 4 2 7" xfId="6822" xr:uid="{00000000-0005-0000-0000-000039270000}"/>
    <cellStyle name="Normal 2 61 4 2 7 2" xfId="24573" xr:uid="{00000000-0005-0000-0000-00003A270000}"/>
    <cellStyle name="Normal 2 61 4 2 8" xfId="6823" xr:uid="{00000000-0005-0000-0000-00003B270000}"/>
    <cellStyle name="Normal 2 61 4 2 8 2" xfId="24574" xr:uid="{00000000-0005-0000-0000-00003C270000}"/>
    <cellStyle name="Normal 2 61 4 2 9" xfId="6824" xr:uid="{00000000-0005-0000-0000-00003D270000}"/>
    <cellStyle name="Normal 2 61 4 2 9 2" xfId="24575" xr:uid="{00000000-0005-0000-0000-00003E270000}"/>
    <cellStyle name="Normal 2 61 4 3" xfId="6825" xr:uid="{00000000-0005-0000-0000-00003F270000}"/>
    <cellStyle name="Normal 2 61 4 3 2" xfId="24576" xr:uid="{00000000-0005-0000-0000-000040270000}"/>
    <cellStyle name="Normal 2 61 4 4" xfId="6826" xr:uid="{00000000-0005-0000-0000-000041270000}"/>
    <cellStyle name="Normal 2 61 4 4 2" xfId="24577" xr:uid="{00000000-0005-0000-0000-000042270000}"/>
    <cellStyle name="Normal 2 61 4 5" xfId="6827" xr:uid="{00000000-0005-0000-0000-000043270000}"/>
    <cellStyle name="Normal 2 61 4 5 2" xfId="24578" xr:uid="{00000000-0005-0000-0000-000044270000}"/>
    <cellStyle name="Normal 2 61 4 6" xfId="6828" xr:uid="{00000000-0005-0000-0000-000045270000}"/>
    <cellStyle name="Normal 2 61 4 6 2" xfId="24579" xr:uid="{00000000-0005-0000-0000-000046270000}"/>
    <cellStyle name="Normal 2 61 4 7" xfId="6829" xr:uid="{00000000-0005-0000-0000-000047270000}"/>
    <cellStyle name="Normal 2 61 4 7 2" xfId="24580" xr:uid="{00000000-0005-0000-0000-000048270000}"/>
    <cellStyle name="Normal 2 61 4 8" xfId="6830" xr:uid="{00000000-0005-0000-0000-000049270000}"/>
    <cellStyle name="Normal 2 61 4 8 2" xfId="24581" xr:uid="{00000000-0005-0000-0000-00004A270000}"/>
    <cellStyle name="Normal 2 61 4 9" xfId="6831" xr:uid="{00000000-0005-0000-0000-00004B270000}"/>
    <cellStyle name="Normal 2 61 4 9 2" xfId="24582" xr:uid="{00000000-0005-0000-0000-00004C270000}"/>
    <cellStyle name="Normal 2 61 5" xfId="6832" xr:uid="{00000000-0005-0000-0000-00004D270000}"/>
    <cellStyle name="Normal 2 61 5 10" xfId="6833" xr:uid="{00000000-0005-0000-0000-00004E270000}"/>
    <cellStyle name="Normal 2 61 5 10 2" xfId="24584" xr:uid="{00000000-0005-0000-0000-00004F270000}"/>
    <cellStyle name="Normal 2 61 5 11" xfId="6834" xr:uid="{00000000-0005-0000-0000-000050270000}"/>
    <cellStyle name="Normal 2 61 5 11 2" xfId="24585" xr:uid="{00000000-0005-0000-0000-000051270000}"/>
    <cellStyle name="Normal 2 61 5 12" xfId="6835" xr:uid="{00000000-0005-0000-0000-000052270000}"/>
    <cellStyle name="Normal 2 61 5 12 2" xfId="24586" xr:uid="{00000000-0005-0000-0000-000053270000}"/>
    <cellStyle name="Normal 2 61 5 13" xfId="6836" xr:uid="{00000000-0005-0000-0000-000054270000}"/>
    <cellStyle name="Normal 2 61 5 13 2" xfId="24587" xr:uid="{00000000-0005-0000-0000-000055270000}"/>
    <cellStyle name="Normal 2 61 5 14" xfId="6837" xr:uid="{00000000-0005-0000-0000-000056270000}"/>
    <cellStyle name="Normal 2 61 5 14 2" xfId="24588" xr:uid="{00000000-0005-0000-0000-000057270000}"/>
    <cellStyle name="Normal 2 61 5 15" xfId="24583" xr:uid="{00000000-0005-0000-0000-000058270000}"/>
    <cellStyle name="Normal 2 61 5 2" xfId="6838" xr:uid="{00000000-0005-0000-0000-000059270000}"/>
    <cellStyle name="Normal 2 61 5 2 2" xfId="24589" xr:uid="{00000000-0005-0000-0000-00005A270000}"/>
    <cellStyle name="Normal 2 61 5 3" xfId="6839" xr:uid="{00000000-0005-0000-0000-00005B270000}"/>
    <cellStyle name="Normal 2 61 5 3 2" xfId="24590" xr:uid="{00000000-0005-0000-0000-00005C270000}"/>
    <cellStyle name="Normal 2 61 5 4" xfId="6840" xr:uid="{00000000-0005-0000-0000-00005D270000}"/>
    <cellStyle name="Normal 2 61 5 4 2" xfId="24591" xr:uid="{00000000-0005-0000-0000-00005E270000}"/>
    <cellStyle name="Normal 2 61 5 5" xfId="6841" xr:uid="{00000000-0005-0000-0000-00005F270000}"/>
    <cellStyle name="Normal 2 61 5 5 2" xfId="24592" xr:uid="{00000000-0005-0000-0000-000060270000}"/>
    <cellStyle name="Normal 2 61 5 6" xfId="6842" xr:uid="{00000000-0005-0000-0000-000061270000}"/>
    <cellStyle name="Normal 2 61 5 6 2" xfId="24593" xr:uid="{00000000-0005-0000-0000-000062270000}"/>
    <cellStyle name="Normal 2 61 5 7" xfId="6843" xr:uid="{00000000-0005-0000-0000-000063270000}"/>
    <cellStyle name="Normal 2 61 5 7 2" xfId="24594" xr:uid="{00000000-0005-0000-0000-000064270000}"/>
    <cellStyle name="Normal 2 61 5 8" xfId="6844" xr:uid="{00000000-0005-0000-0000-000065270000}"/>
    <cellStyle name="Normal 2 61 5 8 2" xfId="24595" xr:uid="{00000000-0005-0000-0000-000066270000}"/>
    <cellStyle name="Normal 2 61 5 9" xfId="6845" xr:uid="{00000000-0005-0000-0000-000067270000}"/>
    <cellStyle name="Normal 2 61 5 9 2" xfId="24596" xr:uid="{00000000-0005-0000-0000-000068270000}"/>
    <cellStyle name="Normal 2 61 6" xfId="6846" xr:uid="{00000000-0005-0000-0000-000069270000}"/>
    <cellStyle name="Normal 2 61 6 10" xfId="6847" xr:uid="{00000000-0005-0000-0000-00006A270000}"/>
    <cellStyle name="Normal 2 61 6 10 2" xfId="24598" xr:uid="{00000000-0005-0000-0000-00006B270000}"/>
    <cellStyle name="Normal 2 61 6 11" xfId="6848" xr:uid="{00000000-0005-0000-0000-00006C270000}"/>
    <cellStyle name="Normal 2 61 6 11 2" xfId="24599" xr:uid="{00000000-0005-0000-0000-00006D270000}"/>
    <cellStyle name="Normal 2 61 6 12" xfId="6849" xr:uid="{00000000-0005-0000-0000-00006E270000}"/>
    <cellStyle name="Normal 2 61 6 12 2" xfId="24600" xr:uid="{00000000-0005-0000-0000-00006F270000}"/>
    <cellStyle name="Normal 2 61 6 13" xfId="6850" xr:uid="{00000000-0005-0000-0000-000070270000}"/>
    <cellStyle name="Normal 2 61 6 13 2" xfId="24601" xr:uid="{00000000-0005-0000-0000-000071270000}"/>
    <cellStyle name="Normal 2 61 6 14" xfId="6851" xr:uid="{00000000-0005-0000-0000-000072270000}"/>
    <cellStyle name="Normal 2 61 6 14 2" xfId="24602" xr:uid="{00000000-0005-0000-0000-000073270000}"/>
    <cellStyle name="Normal 2 61 6 15" xfId="24597" xr:uid="{00000000-0005-0000-0000-000074270000}"/>
    <cellStyle name="Normal 2 61 6 2" xfId="6852" xr:uid="{00000000-0005-0000-0000-000075270000}"/>
    <cellStyle name="Normal 2 61 6 2 2" xfId="24603" xr:uid="{00000000-0005-0000-0000-000076270000}"/>
    <cellStyle name="Normal 2 61 6 3" xfId="6853" xr:uid="{00000000-0005-0000-0000-000077270000}"/>
    <cellStyle name="Normal 2 61 6 3 2" xfId="24604" xr:uid="{00000000-0005-0000-0000-000078270000}"/>
    <cellStyle name="Normal 2 61 6 4" xfId="6854" xr:uid="{00000000-0005-0000-0000-000079270000}"/>
    <cellStyle name="Normal 2 61 6 4 2" xfId="24605" xr:uid="{00000000-0005-0000-0000-00007A270000}"/>
    <cellStyle name="Normal 2 61 6 5" xfId="6855" xr:uid="{00000000-0005-0000-0000-00007B270000}"/>
    <cellStyle name="Normal 2 61 6 5 2" xfId="24606" xr:uid="{00000000-0005-0000-0000-00007C270000}"/>
    <cellStyle name="Normal 2 61 6 6" xfId="6856" xr:uid="{00000000-0005-0000-0000-00007D270000}"/>
    <cellStyle name="Normal 2 61 6 6 2" xfId="24607" xr:uid="{00000000-0005-0000-0000-00007E270000}"/>
    <cellStyle name="Normal 2 61 6 7" xfId="6857" xr:uid="{00000000-0005-0000-0000-00007F270000}"/>
    <cellStyle name="Normal 2 61 6 7 2" xfId="24608" xr:uid="{00000000-0005-0000-0000-000080270000}"/>
    <cellStyle name="Normal 2 61 6 8" xfId="6858" xr:uid="{00000000-0005-0000-0000-000081270000}"/>
    <cellStyle name="Normal 2 61 6 8 2" xfId="24609" xr:uid="{00000000-0005-0000-0000-000082270000}"/>
    <cellStyle name="Normal 2 61 6 9" xfId="6859" xr:uid="{00000000-0005-0000-0000-000083270000}"/>
    <cellStyle name="Normal 2 61 6 9 2" xfId="24610" xr:uid="{00000000-0005-0000-0000-000084270000}"/>
    <cellStyle name="Normal 2 61 7" xfId="6860" xr:uid="{00000000-0005-0000-0000-000085270000}"/>
    <cellStyle name="Normal 2 61 7 10" xfId="6861" xr:uid="{00000000-0005-0000-0000-000086270000}"/>
    <cellStyle name="Normal 2 61 7 10 2" xfId="24612" xr:uid="{00000000-0005-0000-0000-000087270000}"/>
    <cellStyle name="Normal 2 61 7 11" xfId="6862" xr:uid="{00000000-0005-0000-0000-000088270000}"/>
    <cellStyle name="Normal 2 61 7 11 2" xfId="24613" xr:uid="{00000000-0005-0000-0000-000089270000}"/>
    <cellStyle name="Normal 2 61 7 12" xfId="6863" xr:uid="{00000000-0005-0000-0000-00008A270000}"/>
    <cellStyle name="Normal 2 61 7 12 2" xfId="24614" xr:uid="{00000000-0005-0000-0000-00008B270000}"/>
    <cellStyle name="Normal 2 61 7 13" xfId="6864" xr:uid="{00000000-0005-0000-0000-00008C270000}"/>
    <cellStyle name="Normal 2 61 7 13 2" xfId="24615" xr:uid="{00000000-0005-0000-0000-00008D270000}"/>
    <cellStyle name="Normal 2 61 7 14" xfId="6865" xr:uid="{00000000-0005-0000-0000-00008E270000}"/>
    <cellStyle name="Normal 2 61 7 14 2" xfId="24616" xr:uid="{00000000-0005-0000-0000-00008F270000}"/>
    <cellStyle name="Normal 2 61 7 15" xfId="24611" xr:uid="{00000000-0005-0000-0000-000090270000}"/>
    <cellStyle name="Normal 2 61 7 2" xfId="6866" xr:uid="{00000000-0005-0000-0000-000091270000}"/>
    <cellStyle name="Normal 2 61 7 2 2" xfId="24617" xr:uid="{00000000-0005-0000-0000-000092270000}"/>
    <cellStyle name="Normal 2 61 7 3" xfId="6867" xr:uid="{00000000-0005-0000-0000-000093270000}"/>
    <cellStyle name="Normal 2 61 7 3 2" xfId="24618" xr:uid="{00000000-0005-0000-0000-000094270000}"/>
    <cellStyle name="Normal 2 61 7 4" xfId="6868" xr:uid="{00000000-0005-0000-0000-000095270000}"/>
    <cellStyle name="Normal 2 61 7 4 2" xfId="24619" xr:uid="{00000000-0005-0000-0000-000096270000}"/>
    <cellStyle name="Normal 2 61 7 5" xfId="6869" xr:uid="{00000000-0005-0000-0000-000097270000}"/>
    <cellStyle name="Normal 2 61 7 5 2" xfId="24620" xr:uid="{00000000-0005-0000-0000-000098270000}"/>
    <cellStyle name="Normal 2 61 7 6" xfId="6870" xr:uid="{00000000-0005-0000-0000-000099270000}"/>
    <cellStyle name="Normal 2 61 7 6 2" xfId="24621" xr:uid="{00000000-0005-0000-0000-00009A270000}"/>
    <cellStyle name="Normal 2 61 7 7" xfId="6871" xr:uid="{00000000-0005-0000-0000-00009B270000}"/>
    <cellStyle name="Normal 2 61 7 7 2" xfId="24622" xr:uid="{00000000-0005-0000-0000-00009C270000}"/>
    <cellStyle name="Normal 2 61 7 8" xfId="6872" xr:uid="{00000000-0005-0000-0000-00009D270000}"/>
    <cellStyle name="Normal 2 61 7 8 2" xfId="24623" xr:uid="{00000000-0005-0000-0000-00009E270000}"/>
    <cellStyle name="Normal 2 61 7 9" xfId="6873" xr:uid="{00000000-0005-0000-0000-00009F270000}"/>
    <cellStyle name="Normal 2 61 7 9 2" xfId="24624" xr:uid="{00000000-0005-0000-0000-0000A0270000}"/>
    <cellStyle name="Normal 2 61 8" xfId="6874" xr:uid="{00000000-0005-0000-0000-0000A1270000}"/>
    <cellStyle name="Normal 2 61 8 10" xfId="6875" xr:uid="{00000000-0005-0000-0000-0000A2270000}"/>
    <cellStyle name="Normal 2 61 8 10 2" xfId="24626" xr:uid="{00000000-0005-0000-0000-0000A3270000}"/>
    <cellStyle name="Normal 2 61 8 11" xfId="6876" xr:uid="{00000000-0005-0000-0000-0000A4270000}"/>
    <cellStyle name="Normal 2 61 8 11 2" xfId="24627" xr:uid="{00000000-0005-0000-0000-0000A5270000}"/>
    <cellStyle name="Normal 2 61 8 12" xfId="6877" xr:uid="{00000000-0005-0000-0000-0000A6270000}"/>
    <cellStyle name="Normal 2 61 8 12 2" xfId="24628" xr:uid="{00000000-0005-0000-0000-0000A7270000}"/>
    <cellStyle name="Normal 2 61 8 13" xfId="6878" xr:uid="{00000000-0005-0000-0000-0000A8270000}"/>
    <cellStyle name="Normal 2 61 8 13 2" xfId="24629" xr:uid="{00000000-0005-0000-0000-0000A9270000}"/>
    <cellStyle name="Normal 2 61 8 14" xfId="6879" xr:uid="{00000000-0005-0000-0000-0000AA270000}"/>
    <cellStyle name="Normal 2 61 8 14 2" xfId="24630" xr:uid="{00000000-0005-0000-0000-0000AB270000}"/>
    <cellStyle name="Normal 2 61 8 15" xfId="24625" xr:uid="{00000000-0005-0000-0000-0000AC270000}"/>
    <cellStyle name="Normal 2 61 8 2" xfId="6880" xr:uid="{00000000-0005-0000-0000-0000AD270000}"/>
    <cellStyle name="Normal 2 61 8 2 2" xfId="24631" xr:uid="{00000000-0005-0000-0000-0000AE270000}"/>
    <cellStyle name="Normal 2 61 8 3" xfId="6881" xr:uid="{00000000-0005-0000-0000-0000AF270000}"/>
    <cellStyle name="Normal 2 61 8 3 2" xfId="24632" xr:uid="{00000000-0005-0000-0000-0000B0270000}"/>
    <cellStyle name="Normal 2 61 8 4" xfId="6882" xr:uid="{00000000-0005-0000-0000-0000B1270000}"/>
    <cellStyle name="Normal 2 61 8 4 2" xfId="24633" xr:uid="{00000000-0005-0000-0000-0000B2270000}"/>
    <cellStyle name="Normal 2 61 8 5" xfId="6883" xr:uid="{00000000-0005-0000-0000-0000B3270000}"/>
    <cellStyle name="Normal 2 61 8 5 2" xfId="24634" xr:uid="{00000000-0005-0000-0000-0000B4270000}"/>
    <cellStyle name="Normal 2 61 8 6" xfId="6884" xr:uid="{00000000-0005-0000-0000-0000B5270000}"/>
    <cellStyle name="Normal 2 61 8 6 2" xfId="24635" xr:uid="{00000000-0005-0000-0000-0000B6270000}"/>
    <cellStyle name="Normal 2 61 8 7" xfId="6885" xr:uid="{00000000-0005-0000-0000-0000B7270000}"/>
    <cellStyle name="Normal 2 61 8 7 2" xfId="24636" xr:uid="{00000000-0005-0000-0000-0000B8270000}"/>
    <cellStyle name="Normal 2 61 8 8" xfId="6886" xr:uid="{00000000-0005-0000-0000-0000B9270000}"/>
    <cellStyle name="Normal 2 61 8 8 2" xfId="24637" xr:uid="{00000000-0005-0000-0000-0000BA270000}"/>
    <cellStyle name="Normal 2 61 8 9" xfId="6887" xr:uid="{00000000-0005-0000-0000-0000BB270000}"/>
    <cellStyle name="Normal 2 61 8 9 2" xfId="24638" xr:uid="{00000000-0005-0000-0000-0000BC270000}"/>
    <cellStyle name="Normal 2 61 9" xfId="6888" xr:uid="{00000000-0005-0000-0000-0000BD270000}"/>
    <cellStyle name="Normal 2 61 9 10" xfId="6889" xr:uid="{00000000-0005-0000-0000-0000BE270000}"/>
    <cellStyle name="Normal 2 61 9 10 2" xfId="24640" xr:uid="{00000000-0005-0000-0000-0000BF270000}"/>
    <cellStyle name="Normal 2 61 9 11" xfId="6890" xr:uid="{00000000-0005-0000-0000-0000C0270000}"/>
    <cellStyle name="Normal 2 61 9 11 2" xfId="24641" xr:uid="{00000000-0005-0000-0000-0000C1270000}"/>
    <cellStyle name="Normal 2 61 9 12" xfId="6891" xr:uid="{00000000-0005-0000-0000-0000C2270000}"/>
    <cellStyle name="Normal 2 61 9 12 2" xfId="24642" xr:uid="{00000000-0005-0000-0000-0000C3270000}"/>
    <cellStyle name="Normal 2 61 9 13" xfId="6892" xr:uid="{00000000-0005-0000-0000-0000C4270000}"/>
    <cellStyle name="Normal 2 61 9 13 2" xfId="24643" xr:uid="{00000000-0005-0000-0000-0000C5270000}"/>
    <cellStyle name="Normal 2 61 9 14" xfId="6893" xr:uid="{00000000-0005-0000-0000-0000C6270000}"/>
    <cellStyle name="Normal 2 61 9 14 2" xfId="24644" xr:uid="{00000000-0005-0000-0000-0000C7270000}"/>
    <cellStyle name="Normal 2 61 9 15" xfId="24639" xr:uid="{00000000-0005-0000-0000-0000C8270000}"/>
    <cellStyle name="Normal 2 61 9 2" xfId="6894" xr:uid="{00000000-0005-0000-0000-0000C9270000}"/>
    <cellStyle name="Normal 2 61 9 2 2" xfId="24645" xr:uid="{00000000-0005-0000-0000-0000CA270000}"/>
    <cellStyle name="Normal 2 61 9 3" xfId="6895" xr:uid="{00000000-0005-0000-0000-0000CB270000}"/>
    <cellStyle name="Normal 2 61 9 3 2" xfId="24646" xr:uid="{00000000-0005-0000-0000-0000CC270000}"/>
    <cellStyle name="Normal 2 61 9 4" xfId="6896" xr:uid="{00000000-0005-0000-0000-0000CD270000}"/>
    <cellStyle name="Normal 2 61 9 4 2" xfId="24647" xr:uid="{00000000-0005-0000-0000-0000CE270000}"/>
    <cellStyle name="Normal 2 61 9 5" xfId="6897" xr:uid="{00000000-0005-0000-0000-0000CF270000}"/>
    <cellStyle name="Normal 2 61 9 5 2" xfId="24648" xr:uid="{00000000-0005-0000-0000-0000D0270000}"/>
    <cellStyle name="Normal 2 61 9 6" xfId="6898" xr:uid="{00000000-0005-0000-0000-0000D1270000}"/>
    <cellStyle name="Normal 2 61 9 6 2" xfId="24649" xr:uid="{00000000-0005-0000-0000-0000D2270000}"/>
    <cellStyle name="Normal 2 61 9 7" xfId="6899" xr:uid="{00000000-0005-0000-0000-0000D3270000}"/>
    <cellStyle name="Normal 2 61 9 7 2" xfId="24650" xr:uid="{00000000-0005-0000-0000-0000D4270000}"/>
    <cellStyle name="Normal 2 61 9 8" xfId="6900" xr:uid="{00000000-0005-0000-0000-0000D5270000}"/>
    <cellStyle name="Normal 2 61 9 8 2" xfId="24651" xr:uid="{00000000-0005-0000-0000-0000D6270000}"/>
    <cellStyle name="Normal 2 61 9 9" xfId="6901" xr:uid="{00000000-0005-0000-0000-0000D7270000}"/>
    <cellStyle name="Normal 2 61 9 9 2" xfId="24652" xr:uid="{00000000-0005-0000-0000-0000D8270000}"/>
    <cellStyle name="Normal 2 62" xfId="6902" xr:uid="{00000000-0005-0000-0000-0000D9270000}"/>
    <cellStyle name="Normal 2 62 10" xfId="6903" xr:uid="{00000000-0005-0000-0000-0000DA270000}"/>
    <cellStyle name="Normal 2 62 10 10" xfId="6904" xr:uid="{00000000-0005-0000-0000-0000DB270000}"/>
    <cellStyle name="Normal 2 62 10 10 2" xfId="24655" xr:uid="{00000000-0005-0000-0000-0000DC270000}"/>
    <cellStyle name="Normal 2 62 10 11" xfId="6905" xr:uid="{00000000-0005-0000-0000-0000DD270000}"/>
    <cellStyle name="Normal 2 62 10 11 2" xfId="24656" xr:uid="{00000000-0005-0000-0000-0000DE270000}"/>
    <cellStyle name="Normal 2 62 10 12" xfId="6906" xr:uid="{00000000-0005-0000-0000-0000DF270000}"/>
    <cellStyle name="Normal 2 62 10 12 2" xfId="24657" xr:uid="{00000000-0005-0000-0000-0000E0270000}"/>
    <cellStyle name="Normal 2 62 10 13" xfId="6907" xr:uid="{00000000-0005-0000-0000-0000E1270000}"/>
    <cellStyle name="Normal 2 62 10 13 2" xfId="24658" xr:uid="{00000000-0005-0000-0000-0000E2270000}"/>
    <cellStyle name="Normal 2 62 10 14" xfId="6908" xr:uid="{00000000-0005-0000-0000-0000E3270000}"/>
    <cellStyle name="Normal 2 62 10 14 2" xfId="24659" xr:uid="{00000000-0005-0000-0000-0000E4270000}"/>
    <cellStyle name="Normal 2 62 10 15" xfId="24654" xr:uid="{00000000-0005-0000-0000-0000E5270000}"/>
    <cellStyle name="Normal 2 62 10 2" xfId="6909" xr:uid="{00000000-0005-0000-0000-0000E6270000}"/>
    <cellStyle name="Normal 2 62 10 2 2" xfId="24660" xr:uid="{00000000-0005-0000-0000-0000E7270000}"/>
    <cellStyle name="Normal 2 62 10 3" xfId="6910" xr:uid="{00000000-0005-0000-0000-0000E8270000}"/>
    <cellStyle name="Normal 2 62 10 3 2" xfId="24661" xr:uid="{00000000-0005-0000-0000-0000E9270000}"/>
    <cellStyle name="Normal 2 62 10 4" xfId="6911" xr:uid="{00000000-0005-0000-0000-0000EA270000}"/>
    <cellStyle name="Normal 2 62 10 4 2" xfId="24662" xr:uid="{00000000-0005-0000-0000-0000EB270000}"/>
    <cellStyle name="Normal 2 62 10 5" xfId="6912" xr:uid="{00000000-0005-0000-0000-0000EC270000}"/>
    <cellStyle name="Normal 2 62 10 5 2" xfId="24663" xr:uid="{00000000-0005-0000-0000-0000ED270000}"/>
    <cellStyle name="Normal 2 62 10 6" xfId="6913" xr:uid="{00000000-0005-0000-0000-0000EE270000}"/>
    <cellStyle name="Normal 2 62 10 6 2" xfId="24664" xr:uid="{00000000-0005-0000-0000-0000EF270000}"/>
    <cellStyle name="Normal 2 62 10 7" xfId="6914" xr:uid="{00000000-0005-0000-0000-0000F0270000}"/>
    <cellStyle name="Normal 2 62 10 7 2" xfId="24665" xr:uid="{00000000-0005-0000-0000-0000F1270000}"/>
    <cellStyle name="Normal 2 62 10 8" xfId="6915" xr:uid="{00000000-0005-0000-0000-0000F2270000}"/>
    <cellStyle name="Normal 2 62 10 8 2" xfId="24666" xr:uid="{00000000-0005-0000-0000-0000F3270000}"/>
    <cellStyle name="Normal 2 62 10 9" xfId="6916" xr:uid="{00000000-0005-0000-0000-0000F4270000}"/>
    <cellStyle name="Normal 2 62 10 9 2" xfId="24667" xr:uid="{00000000-0005-0000-0000-0000F5270000}"/>
    <cellStyle name="Normal 2 62 11" xfId="6917" xr:uid="{00000000-0005-0000-0000-0000F6270000}"/>
    <cellStyle name="Normal 2 62 11 2" xfId="24668" xr:uid="{00000000-0005-0000-0000-0000F7270000}"/>
    <cellStyle name="Normal 2 62 12" xfId="6918" xr:uid="{00000000-0005-0000-0000-0000F8270000}"/>
    <cellStyle name="Normal 2 62 12 2" xfId="24669" xr:uid="{00000000-0005-0000-0000-0000F9270000}"/>
    <cellStyle name="Normal 2 62 13" xfId="6919" xr:uid="{00000000-0005-0000-0000-0000FA270000}"/>
    <cellStyle name="Normal 2 62 13 2" xfId="24670" xr:uid="{00000000-0005-0000-0000-0000FB270000}"/>
    <cellStyle name="Normal 2 62 14" xfId="6920" xr:uid="{00000000-0005-0000-0000-0000FC270000}"/>
    <cellStyle name="Normal 2 62 14 2" xfId="24671" xr:uid="{00000000-0005-0000-0000-0000FD270000}"/>
    <cellStyle name="Normal 2 62 15" xfId="6921" xr:uid="{00000000-0005-0000-0000-0000FE270000}"/>
    <cellStyle name="Normal 2 62 15 2" xfId="24672" xr:uid="{00000000-0005-0000-0000-0000FF270000}"/>
    <cellStyle name="Normal 2 62 16" xfId="6922" xr:uid="{00000000-0005-0000-0000-000000280000}"/>
    <cellStyle name="Normal 2 62 16 2" xfId="24673" xr:uid="{00000000-0005-0000-0000-000001280000}"/>
    <cellStyle name="Normal 2 62 17" xfId="6923" xr:uid="{00000000-0005-0000-0000-000002280000}"/>
    <cellStyle name="Normal 2 62 17 2" xfId="24674" xr:uid="{00000000-0005-0000-0000-000003280000}"/>
    <cellStyle name="Normal 2 62 18" xfId="6924" xr:uid="{00000000-0005-0000-0000-000004280000}"/>
    <cellStyle name="Normal 2 62 18 2" xfId="24675" xr:uid="{00000000-0005-0000-0000-000005280000}"/>
    <cellStyle name="Normal 2 62 19" xfId="6925" xr:uid="{00000000-0005-0000-0000-000006280000}"/>
    <cellStyle name="Normal 2 62 19 2" xfId="24676" xr:uid="{00000000-0005-0000-0000-000007280000}"/>
    <cellStyle name="Normal 2 62 2" xfId="6926" xr:uid="{00000000-0005-0000-0000-000008280000}"/>
    <cellStyle name="Normal 2 62 2 10" xfId="6927" xr:uid="{00000000-0005-0000-0000-000009280000}"/>
    <cellStyle name="Normal 2 62 2 10 2" xfId="24678" xr:uid="{00000000-0005-0000-0000-00000A280000}"/>
    <cellStyle name="Normal 2 62 2 11" xfId="6928" xr:uid="{00000000-0005-0000-0000-00000B280000}"/>
    <cellStyle name="Normal 2 62 2 11 2" xfId="24679" xr:uid="{00000000-0005-0000-0000-00000C280000}"/>
    <cellStyle name="Normal 2 62 2 12" xfId="6929" xr:uid="{00000000-0005-0000-0000-00000D280000}"/>
    <cellStyle name="Normal 2 62 2 12 2" xfId="24680" xr:uid="{00000000-0005-0000-0000-00000E280000}"/>
    <cellStyle name="Normal 2 62 2 13" xfId="6930" xr:uid="{00000000-0005-0000-0000-00000F280000}"/>
    <cellStyle name="Normal 2 62 2 13 2" xfId="24681" xr:uid="{00000000-0005-0000-0000-000010280000}"/>
    <cellStyle name="Normal 2 62 2 14" xfId="6931" xr:uid="{00000000-0005-0000-0000-000011280000}"/>
    <cellStyle name="Normal 2 62 2 14 2" xfId="24682" xr:uid="{00000000-0005-0000-0000-000012280000}"/>
    <cellStyle name="Normal 2 62 2 15" xfId="6932" xr:uid="{00000000-0005-0000-0000-000013280000}"/>
    <cellStyle name="Normal 2 62 2 15 2" xfId="24683" xr:uid="{00000000-0005-0000-0000-000014280000}"/>
    <cellStyle name="Normal 2 62 2 16" xfId="24677" xr:uid="{00000000-0005-0000-0000-000015280000}"/>
    <cellStyle name="Normal 2 62 2 2" xfId="6933" xr:uid="{00000000-0005-0000-0000-000016280000}"/>
    <cellStyle name="Normal 2 62 2 2 10" xfId="6934" xr:uid="{00000000-0005-0000-0000-000017280000}"/>
    <cellStyle name="Normal 2 62 2 2 10 2" xfId="24685" xr:uid="{00000000-0005-0000-0000-000018280000}"/>
    <cellStyle name="Normal 2 62 2 2 11" xfId="6935" xr:uid="{00000000-0005-0000-0000-000019280000}"/>
    <cellStyle name="Normal 2 62 2 2 11 2" xfId="24686" xr:uid="{00000000-0005-0000-0000-00001A280000}"/>
    <cellStyle name="Normal 2 62 2 2 12" xfId="6936" xr:uid="{00000000-0005-0000-0000-00001B280000}"/>
    <cellStyle name="Normal 2 62 2 2 12 2" xfId="24687" xr:uid="{00000000-0005-0000-0000-00001C280000}"/>
    <cellStyle name="Normal 2 62 2 2 13" xfId="6937" xr:uid="{00000000-0005-0000-0000-00001D280000}"/>
    <cellStyle name="Normal 2 62 2 2 13 2" xfId="24688" xr:uid="{00000000-0005-0000-0000-00001E280000}"/>
    <cellStyle name="Normal 2 62 2 2 14" xfId="6938" xr:uid="{00000000-0005-0000-0000-00001F280000}"/>
    <cellStyle name="Normal 2 62 2 2 14 2" xfId="24689" xr:uid="{00000000-0005-0000-0000-000020280000}"/>
    <cellStyle name="Normal 2 62 2 2 15" xfId="24684" xr:uid="{00000000-0005-0000-0000-000021280000}"/>
    <cellStyle name="Normal 2 62 2 2 2" xfId="6939" xr:uid="{00000000-0005-0000-0000-000022280000}"/>
    <cellStyle name="Normal 2 62 2 2 2 2" xfId="24690" xr:uid="{00000000-0005-0000-0000-000023280000}"/>
    <cellStyle name="Normal 2 62 2 2 3" xfId="6940" xr:uid="{00000000-0005-0000-0000-000024280000}"/>
    <cellStyle name="Normal 2 62 2 2 3 2" xfId="24691" xr:uid="{00000000-0005-0000-0000-000025280000}"/>
    <cellStyle name="Normal 2 62 2 2 4" xfId="6941" xr:uid="{00000000-0005-0000-0000-000026280000}"/>
    <cellStyle name="Normal 2 62 2 2 4 2" xfId="24692" xr:uid="{00000000-0005-0000-0000-000027280000}"/>
    <cellStyle name="Normal 2 62 2 2 5" xfId="6942" xr:uid="{00000000-0005-0000-0000-000028280000}"/>
    <cellStyle name="Normal 2 62 2 2 5 2" xfId="24693" xr:uid="{00000000-0005-0000-0000-000029280000}"/>
    <cellStyle name="Normal 2 62 2 2 6" xfId="6943" xr:uid="{00000000-0005-0000-0000-00002A280000}"/>
    <cellStyle name="Normal 2 62 2 2 6 2" xfId="24694" xr:uid="{00000000-0005-0000-0000-00002B280000}"/>
    <cellStyle name="Normal 2 62 2 2 7" xfId="6944" xr:uid="{00000000-0005-0000-0000-00002C280000}"/>
    <cellStyle name="Normal 2 62 2 2 7 2" xfId="24695" xr:uid="{00000000-0005-0000-0000-00002D280000}"/>
    <cellStyle name="Normal 2 62 2 2 8" xfId="6945" xr:uid="{00000000-0005-0000-0000-00002E280000}"/>
    <cellStyle name="Normal 2 62 2 2 8 2" xfId="24696" xr:uid="{00000000-0005-0000-0000-00002F280000}"/>
    <cellStyle name="Normal 2 62 2 2 9" xfId="6946" xr:uid="{00000000-0005-0000-0000-000030280000}"/>
    <cellStyle name="Normal 2 62 2 2 9 2" xfId="24697" xr:uid="{00000000-0005-0000-0000-000031280000}"/>
    <cellStyle name="Normal 2 62 2 3" xfId="6947" xr:uid="{00000000-0005-0000-0000-000032280000}"/>
    <cellStyle name="Normal 2 62 2 3 2" xfId="24698" xr:uid="{00000000-0005-0000-0000-000033280000}"/>
    <cellStyle name="Normal 2 62 2 4" xfId="6948" xr:uid="{00000000-0005-0000-0000-000034280000}"/>
    <cellStyle name="Normal 2 62 2 4 2" xfId="24699" xr:uid="{00000000-0005-0000-0000-000035280000}"/>
    <cellStyle name="Normal 2 62 2 5" xfId="6949" xr:uid="{00000000-0005-0000-0000-000036280000}"/>
    <cellStyle name="Normal 2 62 2 5 2" xfId="24700" xr:uid="{00000000-0005-0000-0000-000037280000}"/>
    <cellStyle name="Normal 2 62 2 6" xfId="6950" xr:uid="{00000000-0005-0000-0000-000038280000}"/>
    <cellStyle name="Normal 2 62 2 6 2" xfId="24701" xr:uid="{00000000-0005-0000-0000-000039280000}"/>
    <cellStyle name="Normal 2 62 2 7" xfId="6951" xr:uid="{00000000-0005-0000-0000-00003A280000}"/>
    <cellStyle name="Normal 2 62 2 7 2" xfId="24702" xr:uid="{00000000-0005-0000-0000-00003B280000}"/>
    <cellStyle name="Normal 2 62 2 8" xfId="6952" xr:uid="{00000000-0005-0000-0000-00003C280000}"/>
    <cellStyle name="Normal 2 62 2 8 2" xfId="24703" xr:uid="{00000000-0005-0000-0000-00003D280000}"/>
    <cellStyle name="Normal 2 62 2 9" xfId="6953" xr:uid="{00000000-0005-0000-0000-00003E280000}"/>
    <cellStyle name="Normal 2 62 2 9 2" xfId="24704" xr:uid="{00000000-0005-0000-0000-00003F280000}"/>
    <cellStyle name="Normal 2 62 20" xfId="6954" xr:uid="{00000000-0005-0000-0000-000040280000}"/>
    <cellStyle name="Normal 2 62 20 2" xfId="24705" xr:uid="{00000000-0005-0000-0000-000041280000}"/>
    <cellStyle name="Normal 2 62 21" xfId="6955" xr:uid="{00000000-0005-0000-0000-000042280000}"/>
    <cellStyle name="Normal 2 62 21 2" xfId="24706" xr:uid="{00000000-0005-0000-0000-000043280000}"/>
    <cellStyle name="Normal 2 62 22" xfId="6956" xr:uid="{00000000-0005-0000-0000-000044280000}"/>
    <cellStyle name="Normal 2 62 22 2" xfId="24707" xr:uid="{00000000-0005-0000-0000-000045280000}"/>
    <cellStyle name="Normal 2 62 23" xfId="6957" xr:uid="{00000000-0005-0000-0000-000046280000}"/>
    <cellStyle name="Normal 2 62 23 2" xfId="24708" xr:uid="{00000000-0005-0000-0000-000047280000}"/>
    <cellStyle name="Normal 2 62 24" xfId="24653" xr:uid="{00000000-0005-0000-0000-000048280000}"/>
    <cellStyle name="Normal 2 62 3" xfId="6958" xr:uid="{00000000-0005-0000-0000-000049280000}"/>
    <cellStyle name="Normal 2 62 3 10" xfId="6959" xr:uid="{00000000-0005-0000-0000-00004A280000}"/>
    <cellStyle name="Normal 2 62 3 10 2" xfId="24710" xr:uid="{00000000-0005-0000-0000-00004B280000}"/>
    <cellStyle name="Normal 2 62 3 11" xfId="6960" xr:uid="{00000000-0005-0000-0000-00004C280000}"/>
    <cellStyle name="Normal 2 62 3 11 2" xfId="24711" xr:uid="{00000000-0005-0000-0000-00004D280000}"/>
    <cellStyle name="Normal 2 62 3 12" xfId="6961" xr:uid="{00000000-0005-0000-0000-00004E280000}"/>
    <cellStyle name="Normal 2 62 3 12 2" xfId="24712" xr:uid="{00000000-0005-0000-0000-00004F280000}"/>
    <cellStyle name="Normal 2 62 3 13" xfId="6962" xr:uid="{00000000-0005-0000-0000-000050280000}"/>
    <cellStyle name="Normal 2 62 3 13 2" xfId="24713" xr:uid="{00000000-0005-0000-0000-000051280000}"/>
    <cellStyle name="Normal 2 62 3 14" xfId="6963" xr:uid="{00000000-0005-0000-0000-000052280000}"/>
    <cellStyle name="Normal 2 62 3 14 2" xfId="24714" xr:uid="{00000000-0005-0000-0000-000053280000}"/>
    <cellStyle name="Normal 2 62 3 15" xfId="6964" xr:uid="{00000000-0005-0000-0000-000054280000}"/>
    <cellStyle name="Normal 2 62 3 15 2" xfId="24715" xr:uid="{00000000-0005-0000-0000-000055280000}"/>
    <cellStyle name="Normal 2 62 3 16" xfId="24709" xr:uid="{00000000-0005-0000-0000-000056280000}"/>
    <cellStyle name="Normal 2 62 3 2" xfId="6965" xr:uid="{00000000-0005-0000-0000-000057280000}"/>
    <cellStyle name="Normal 2 62 3 2 10" xfId="6966" xr:uid="{00000000-0005-0000-0000-000058280000}"/>
    <cellStyle name="Normal 2 62 3 2 10 2" xfId="24717" xr:uid="{00000000-0005-0000-0000-000059280000}"/>
    <cellStyle name="Normal 2 62 3 2 11" xfId="6967" xr:uid="{00000000-0005-0000-0000-00005A280000}"/>
    <cellStyle name="Normal 2 62 3 2 11 2" xfId="24718" xr:uid="{00000000-0005-0000-0000-00005B280000}"/>
    <cellStyle name="Normal 2 62 3 2 12" xfId="6968" xr:uid="{00000000-0005-0000-0000-00005C280000}"/>
    <cellStyle name="Normal 2 62 3 2 12 2" xfId="24719" xr:uid="{00000000-0005-0000-0000-00005D280000}"/>
    <cellStyle name="Normal 2 62 3 2 13" xfId="6969" xr:uid="{00000000-0005-0000-0000-00005E280000}"/>
    <cellStyle name="Normal 2 62 3 2 13 2" xfId="24720" xr:uid="{00000000-0005-0000-0000-00005F280000}"/>
    <cellStyle name="Normal 2 62 3 2 14" xfId="6970" xr:uid="{00000000-0005-0000-0000-000060280000}"/>
    <cellStyle name="Normal 2 62 3 2 14 2" xfId="24721" xr:uid="{00000000-0005-0000-0000-000061280000}"/>
    <cellStyle name="Normal 2 62 3 2 15" xfId="24716" xr:uid="{00000000-0005-0000-0000-000062280000}"/>
    <cellStyle name="Normal 2 62 3 2 2" xfId="6971" xr:uid="{00000000-0005-0000-0000-000063280000}"/>
    <cellStyle name="Normal 2 62 3 2 2 2" xfId="24722" xr:uid="{00000000-0005-0000-0000-000064280000}"/>
    <cellStyle name="Normal 2 62 3 2 3" xfId="6972" xr:uid="{00000000-0005-0000-0000-000065280000}"/>
    <cellStyle name="Normal 2 62 3 2 3 2" xfId="24723" xr:uid="{00000000-0005-0000-0000-000066280000}"/>
    <cellStyle name="Normal 2 62 3 2 4" xfId="6973" xr:uid="{00000000-0005-0000-0000-000067280000}"/>
    <cellStyle name="Normal 2 62 3 2 4 2" xfId="24724" xr:uid="{00000000-0005-0000-0000-000068280000}"/>
    <cellStyle name="Normal 2 62 3 2 5" xfId="6974" xr:uid="{00000000-0005-0000-0000-000069280000}"/>
    <cellStyle name="Normal 2 62 3 2 5 2" xfId="24725" xr:uid="{00000000-0005-0000-0000-00006A280000}"/>
    <cellStyle name="Normal 2 62 3 2 6" xfId="6975" xr:uid="{00000000-0005-0000-0000-00006B280000}"/>
    <cellStyle name="Normal 2 62 3 2 6 2" xfId="24726" xr:uid="{00000000-0005-0000-0000-00006C280000}"/>
    <cellStyle name="Normal 2 62 3 2 7" xfId="6976" xr:uid="{00000000-0005-0000-0000-00006D280000}"/>
    <cellStyle name="Normal 2 62 3 2 7 2" xfId="24727" xr:uid="{00000000-0005-0000-0000-00006E280000}"/>
    <cellStyle name="Normal 2 62 3 2 8" xfId="6977" xr:uid="{00000000-0005-0000-0000-00006F280000}"/>
    <cellStyle name="Normal 2 62 3 2 8 2" xfId="24728" xr:uid="{00000000-0005-0000-0000-000070280000}"/>
    <cellStyle name="Normal 2 62 3 2 9" xfId="6978" xr:uid="{00000000-0005-0000-0000-000071280000}"/>
    <cellStyle name="Normal 2 62 3 2 9 2" xfId="24729" xr:uid="{00000000-0005-0000-0000-000072280000}"/>
    <cellStyle name="Normal 2 62 3 3" xfId="6979" xr:uid="{00000000-0005-0000-0000-000073280000}"/>
    <cellStyle name="Normal 2 62 3 3 2" xfId="24730" xr:uid="{00000000-0005-0000-0000-000074280000}"/>
    <cellStyle name="Normal 2 62 3 4" xfId="6980" xr:uid="{00000000-0005-0000-0000-000075280000}"/>
    <cellStyle name="Normal 2 62 3 4 2" xfId="24731" xr:uid="{00000000-0005-0000-0000-000076280000}"/>
    <cellStyle name="Normal 2 62 3 5" xfId="6981" xr:uid="{00000000-0005-0000-0000-000077280000}"/>
    <cellStyle name="Normal 2 62 3 5 2" xfId="24732" xr:uid="{00000000-0005-0000-0000-000078280000}"/>
    <cellStyle name="Normal 2 62 3 6" xfId="6982" xr:uid="{00000000-0005-0000-0000-000079280000}"/>
    <cellStyle name="Normal 2 62 3 6 2" xfId="24733" xr:uid="{00000000-0005-0000-0000-00007A280000}"/>
    <cellStyle name="Normal 2 62 3 7" xfId="6983" xr:uid="{00000000-0005-0000-0000-00007B280000}"/>
    <cellStyle name="Normal 2 62 3 7 2" xfId="24734" xr:uid="{00000000-0005-0000-0000-00007C280000}"/>
    <cellStyle name="Normal 2 62 3 8" xfId="6984" xr:uid="{00000000-0005-0000-0000-00007D280000}"/>
    <cellStyle name="Normal 2 62 3 8 2" xfId="24735" xr:uid="{00000000-0005-0000-0000-00007E280000}"/>
    <cellStyle name="Normal 2 62 3 9" xfId="6985" xr:uid="{00000000-0005-0000-0000-00007F280000}"/>
    <cellStyle name="Normal 2 62 3 9 2" xfId="24736" xr:uid="{00000000-0005-0000-0000-000080280000}"/>
    <cellStyle name="Normal 2 62 4" xfId="6986" xr:uid="{00000000-0005-0000-0000-000081280000}"/>
    <cellStyle name="Normal 2 62 4 10" xfId="6987" xr:uid="{00000000-0005-0000-0000-000082280000}"/>
    <cellStyle name="Normal 2 62 4 10 2" xfId="24738" xr:uid="{00000000-0005-0000-0000-000083280000}"/>
    <cellStyle name="Normal 2 62 4 11" xfId="6988" xr:uid="{00000000-0005-0000-0000-000084280000}"/>
    <cellStyle name="Normal 2 62 4 11 2" xfId="24739" xr:uid="{00000000-0005-0000-0000-000085280000}"/>
    <cellStyle name="Normal 2 62 4 12" xfId="6989" xr:uid="{00000000-0005-0000-0000-000086280000}"/>
    <cellStyle name="Normal 2 62 4 12 2" xfId="24740" xr:uid="{00000000-0005-0000-0000-000087280000}"/>
    <cellStyle name="Normal 2 62 4 13" xfId="6990" xr:uid="{00000000-0005-0000-0000-000088280000}"/>
    <cellStyle name="Normal 2 62 4 13 2" xfId="24741" xr:uid="{00000000-0005-0000-0000-000089280000}"/>
    <cellStyle name="Normal 2 62 4 14" xfId="6991" xr:uid="{00000000-0005-0000-0000-00008A280000}"/>
    <cellStyle name="Normal 2 62 4 14 2" xfId="24742" xr:uid="{00000000-0005-0000-0000-00008B280000}"/>
    <cellStyle name="Normal 2 62 4 15" xfId="6992" xr:uid="{00000000-0005-0000-0000-00008C280000}"/>
    <cellStyle name="Normal 2 62 4 15 2" xfId="24743" xr:uid="{00000000-0005-0000-0000-00008D280000}"/>
    <cellStyle name="Normal 2 62 4 16" xfId="24737" xr:uid="{00000000-0005-0000-0000-00008E280000}"/>
    <cellStyle name="Normal 2 62 4 2" xfId="6993" xr:uid="{00000000-0005-0000-0000-00008F280000}"/>
    <cellStyle name="Normal 2 62 4 2 10" xfId="6994" xr:uid="{00000000-0005-0000-0000-000090280000}"/>
    <cellStyle name="Normal 2 62 4 2 10 2" xfId="24745" xr:uid="{00000000-0005-0000-0000-000091280000}"/>
    <cellStyle name="Normal 2 62 4 2 11" xfId="6995" xr:uid="{00000000-0005-0000-0000-000092280000}"/>
    <cellStyle name="Normal 2 62 4 2 11 2" xfId="24746" xr:uid="{00000000-0005-0000-0000-000093280000}"/>
    <cellStyle name="Normal 2 62 4 2 12" xfId="6996" xr:uid="{00000000-0005-0000-0000-000094280000}"/>
    <cellStyle name="Normal 2 62 4 2 12 2" xfId="24747" xr:uid="{00000000-0005-0000-0000-000095280000}"/>
    <cellStyle name="Normal 2 62 4 2 13" xfId="6997" xr:uid="{00000000-0005-0000-0000-000096280000}"/>
    <cellStyle name="Normal 2 62 4 2 13 2" xfId="24748" xr:uid="{00000000-0005-0000-0000-000097280000}"/>
    <cellStyle name="Normal 2 62 4 2 14" xfId="6998" xr:uid="{00000000-0005-0000-0000-000098280000}"/>
    <cellStyle name="Normal 2 62 4 2 14 2" xfId="24749" xr:uid="{00000000-0005-0000-0000-000099280000}"/>
    <cellStyle name="Normal 2 62 4 2 15" xfId="24744" xr:uid="{00000000-0005-0000-0000-00009A280000}"/>
    <cellStyle name="Normal 2 62 4 2 2" xfId="6999" xr:uid="{00000000-0005-0000-0000-00009B280000}"/>
    <cellStyle name="Normal 2 62 4 2 2 2" xfId="24750" xr:uid="{00000000-0005-0000-0000-00009C280000}"/>
    <cellStyle name="Normal 2 62 4 2 3" xfId="7000" xr:uid="{00000000-0005-0000-0000-00009D280000}"/>
    <cellStyle name="Normal 2 62 4 2 3 2" xfId="24751" xr:uid="{00000000-0005-0000-0000-00009E280000}"/>
    <cellStyle name="Normal 2 62 4 2 4" xfId="7001" xr:uid="{00000000-0005-0000-0000-00009F280000}"/>
    <cellStyle name="Normal 2 62 4 2 4 2" xfId="24752" xr:uid="{00000000-0005-0000-0000-0000A0280000}"/>
    <cellStyle name="Normal 2 62 4 2 5" xfId="7002" xr:uid="{00000000-0005-0000-0000-0000A1280000}"/>
    <cellStyle name="Normal 2 62 4 2 5 2" xfId="24753" xr:uid="{00000000-0005-0000-0000-0000A2280000}"/>
    <cellStyle name="Normal 2 62 4 2 6" xfId="7003" xr:uid="{00000000-0005-0000-0000-0000A3280000}"/>
    <cellStyle name="Normal 2 62 4 2 6 2" xfId="24754" xr:uid="{00000000-0005-0000-0000-0000A4280000}"/>
    <cellStyle name="Normal 2 62 4 2 7" xfId="7004" xr:uid="{00000000-0005-0000-0000-0000A5280000}"/>
    <cellStyle name="Normal 2 62 4 2 7 2" xfId="24755" xr:uid="{00000000-0005-0000-0000-0000A6280000}"/>
    <cellStyle name="Normal 2 62 4 2 8" xfId="7005" xr:uid="{00000000-0005-0000-0000-0000A7280000}"/>
    <cellStyle name="Normal 2 62 4 2 8 2" xfId="24756" xr:uid="{00000000-0005-0000-0000-0000A8280000}"/>
    <cellStyle name="Normal 2 62 4 2 9" xfId="7006" xr:uid="{00000000-0005-0000-0000-0000A9280000}"/>
    <cellStyle name="Normal 2 62 4 2 9 2" xfId="24757" xr:uid="{00000000-0005-0000-0000-0000AA280000}"/>
    <cellStyle name="Normal 2 62 4 3" xfId="7007" xr:uid="{00000000-0005-0000-0000-0000AB280000}"/>
    <cellStyle name="Normal 2 62 4 3 2" xfId="24758" xr:uid="{00000000-0005-0000-0000-0000AC280000}"/>
    <cellStyle name="Normal 2 62 4 4" xfId="7008" xr:uid="{00000000-0005-0000-0000-0000AD280000}"/>
    <cellStyle name="Normal 2 62 4 4 2" xfId="24759" xr:uid="{00000000-0005-0000-0000-0000AE280000}"/>
    <cellStyle name="Normal 2 62 4 5" xfId="7009" xr:uid="{00000000-0005-0000-0000-0000AF280000}"/>
    <cellStyle name="Normal 2 62 4 5 2" xfId="24760" xr:uid="{00000000-0005-0000-0000-0000B0280000}"/>
    <cellStyle name="Normal 2 62 4 6" xfId="7010" xr:uid="{00000000-0005-0000-0000-0000B1280000}"/>
    <cellStyle name="Normal 2 62 4 6 2" xfId="24761" xr:uid="{00000000-0005-0000-0000-0000B2280000}"/>
    <cellStyle name="Normal 2 62 4 7" xfId="7011" xr:uid="{00000000-0005-0000-0000-0000B3280000}"/>
    <cellStyle name="Normal 2 62 4 7 2" xfId="24762" xr:uid="{00000000-0005-0000-0000-0000B4280000}"/>
    <cellStyle name="Normal 2 62 4 8" xfId="7012" xr:uid="{00000000-0005-0000-0000-0000B5280000}"/>
    <cellStyle name="Normal 2 62 4 8 2" xfId="24763" xr:uid="{00000000-0005-0000-0000-0000B6280000}"/>
    <cellStyle name="Normal 2 62 4 9" xfId="7013" xr:uid="{00000000-0005-0000-0000-0000B7280000}"/>
    <cellStyle name="Normal 2 62 4 9 2" xfId="24764" xr:uid="{00000000-0005-0000-0000-0000B8280000}"/>
    <cellStyle name="Normal 2 62 5" xfId="7014" xr:uid="{00000000-0005-0000-0000-0000B9280000}"/>
    <cellStyle name="Normal 2 62 5 10" xfId="7015" xr:uid="{00000000-0005-0000-0000-0000BA280000}"/>
    <cellStyle name="Normal 2 62 5 10 2" xfId="24766" xr:uid="{00000000-0005-0000-0000-0000BB280000}"/>
    <cellStyle name="Normal 2 62 5 11" xfId="7016" xr:uid="{00000000-0005-0000-0000-0000BC280000}"/>
    <cellStyle name="Normal 2 62 5 11 2" xfId="24767" xr:uid="{00000000-0005-0000-0000-0000BD280000}"/>
    <cellStyle name="Normal 2 62 5 12" xfId="7017" xr:uid="{00000000-0005-0000-0000-0000BE280000}"/>
    <cellStyle name="Normal 2 62 5 12 2" xfId="24768" xr:uid="{00000000-0005-0000-0000-0000BF280000}"/>
    <cellStyle name="Normal 2 62 5 13" xfId="7018" xr:uid="{00000000-0005-0000-0000-0000C0280000}"/>
    <cellStyle name="Normal 2 62 5 13 2" xfId="24769" xr:uid="{00000000-0005-0000-0000-0000C1280000}"/>
    <cellStyle name="Normal 2 62 5 14" xfId="7019" xr:uid="{00000000-0005-0000-0000-0000C2280000}"/>
    <cellStyle name="Normal 2 62 5 14 2" xfId="24770" xr:uid="{00000000-0005-0000-0000-0000C3280000}"/>
    <cellStyle name="Normal 2 62 5 15" xfId="24765" xr:uid="{00000000-0005-0000-0000-0000C4280000}"/>
    <cellStyle name="Normal 2 62 5 2" xfId="7020" xr:uid="{00000000-0005-0000-0000-0000C5280000}"/>
    <cellStyle name="Normal 2 62 5 2 2" xfId="24771" xr:uid="{00000000-0005-0000-0000-0000C6280000}"/>
    <cellStyle name="Normal 2 62 5 3" xfId="7021" xr:uid="{00000000-0005-0000-0000-0000C7280000}"/>
    <cellStyle name="Normal 2 62 5 3 2" xfId="24772" xr:uid="{00000000-0005-0000-0000-0000C8280000}"/>
    <cellStyle name="Normal 2 62 5 4" xfId="7022" xr:uid="{00000000-0005-0000-0000-0000C9280000}"/>
    <cellStyle name="Normal 2 62 5 4 2" xfId="24773" xr:uid="{00000000-0005-0000-0000-0000CA280000}"/>
    <cellStyle name="Normal 2 62 5 5" xfId="7023" xr:uid="{00000000-0005-0000-0000-0000CB280000}"/>
    <cellStyle name="Normal 2 62 5 5 2" xfId="24774" xr:uid="{00000000-0005-0000-0000-0000CC280000}"/>
    <cellStyle name="Normal 2 62 5 6" xfId="7024" xr:uid="{00000000-0005-0000-0000-0000CD280000}"/>
    <cellStyle name="Normal 2 62 5 6 2" xfId="24775" xr:uid="{00000000-0005-0000-0000-0000CE280000}"/>
    <cellStyle name="Normal 2 62 5 7" xfId="7025" xr:uid="{00000000-0005-0000-0000-0000CF280000}"/>
    <cellStyle name="Normal 2 62 5 7 2" xfId="24776" xr:uid="{00000000-0005-0000-0000-0000D0280000}"/>
    <cellStyle name="Normal 2 62 5 8" xfId="7026" xr:uid="{00000000-0005-0000-0000-0000D1280000}"/>
    <cellStyle name="Normal 2 62 5 8 2" xfId="24777" xr:uid="{00000000-0005-0000-0000-0000D2280000}"/>
    <cellStyle name="Normal 2 62 5 9" xfId="7027" xr:uid="{00000000-0005-0000-0000-0000D3280000}"/>
    <cellStyle name="Normal 2 62 5 9 2" xfId="24778" xr:uid="{00000000-0005-0000-0000-0000D4280000}"/>
    <cellStyle name="Normal 2 62 6" xfId="7028" xr:uid="{00000000-0005-0000-0000-0000D5280000}"/>
    <cellStyle name="Normal 2 62 6 10" xfId="7029" xr:uid="{00000000-0005-0000-0000-0000D6280000}"/>
    <cellStyle name="Normal 2 62 6 10 2" xfId="24780" xr:uid="{00000000-0005-0000-0000-0000D7280000}"/>
    <cellStyle name="Normal 2 62 6 11" xfId="7030" xr:uid="{00000000-0005-0000-0000-0000D8280000}"/>
    <cellStyle name="Normal 2 62 6 11 2" xfId="24781" xr:uid="{00000000-0005-0000-0000-0000D9280000}"/>
    <cellStyle name="Normal 2 62 6 12" xfId="7031" xr:uid="{00000000-0005-0000-0000-0000DA280000}"/>
    <cellStyle name="Normal 2 62 6 12 2" xfId="24782" xr:uid="{00000000-0005-0000-0000-0000DB280000}"/>
    <cellStyle name="Normal 2 62 6 13" xfId="7032" xr:uid="{00000000-0005-0000-0000-0000DC280000}"/>
    <cellStyle name="Normal 2 62 6 13 2" xfId="24783" xr:uid="{00000000-0005-0000-0000-0000DD280000}"/>
    <cellStyle name="Normal 2 62 6 14" xfId="7033" xr:uid="{00000000-0005-0000-0000-0000DE280000}"/>
    <cellStyle name="Normal 2 62 6 14 2" xfId="24784" xr:uid="{00000000-0005-0000-0000-0000DF280000}"/>
    <cellStyle name="Normal 2 62 6 15" xfId="24779" xr:uid="{00000000-0005-0000-0000-0000E0280000}"/>
    <cellStyle name="Normal 2 62 6 2" xfId="7034" xr:uid="{00000000-0005-0000-0000-0000E1280000}"/>
    <cellStyle name="Normal 2 62 6 2 2" xfId="24785" xr:uid="{00000000-0005-0000-0000-0000E2280000}"/>
    <cellStyle name="Normal 2 62 6 3" xfId="7035" xr:uid="{00000000-0005-0000-0000-0000E3280000}"/>
    <cellStyle name="Normal 2 62 6 3 2" xfId="24786" xr:uid="{00000000-0005-0000-0000-0000E4280000}"/>
    <cellStyle name="Normal 2 62 6 4" xfId="7036" xr:uid="{00000000-0005-0000-0000-0000E5280000}"/>
    <cellStyle name="Normal 2 62 6 4 2" xfId="24787" xr:uid="{00000000-0005-0000-0000-0000E6280000}"/>
    <cellStyle name="Normal 2 62 6 5" xfId="7037" xr:uid="{00000000-0005-0000-0000-0000E7280000}"/>
    <cellStyle name="Normal 2 62 6 5 2" xfId="24788" xr:uid="{00000000-0005-0000-0000-0000E8280000}"/>
    <cellStyle name="Normal 2 62 6 6" xfId="7038" xr:uid="{00000000-0005-0000-0000-0000E9280000}"/>
    <cellStyle name="Normal 2 62 6 6 2" xfId="24789" xr:uid="{00000000-0005-0000-0000-0000EA280000}"/>
    <cellStyle name="Normal 2 62 6 7" xfId="7039" xr:uid="{00000000-0005-0000-0000-0000EB280000}"/>
    <cellStyle name="Normal 2 62 6 7 2" xfId="24790" xr:uid="{00000000-0005-0000-0000-0000EC280000}"/>
    <cellStyle name="Normal 2 62 6 8" xfId="7040" xr:uid="{00000000-0005-0000-0000-0000ED280000}"/>
    <cellStyle name="Normal 2 62 6 8 2" xfId="24791" xr:uid="{00000000-0005-0000-0000-0000EE280000}"/>
    <cellStyle name="Normal 2 62 6 9" xfId="7041" xr:uid="{00000000-0005-0000-0000-0000EF280000}"/>
    <cellStyle name="Normal 2 62 6 9 2" xfId="24792" xr:uid="{00000000-0005-0000-0000-0000F0280000}"/>
    <cellStyle name="Normal 2 62 7" xfId="7042" xr:uid="{00000000-0005-0000-0000-0000F1280000}"/>
    <cellStyle name="Normal 2 62 7 10" xfId="7043" xr:uid="{00000000-0005-0000-0000-0000F2280000}"/>
    <cellStyle name="Normal 2 62 7 10 2" xfId="24794" xr:uid="{00000000-0005-0000-0000-0000F3280000}"/>
    <cellStyle name="Normal 2 62 7 11" xfId="7044" xr:uid="{00000000-0005-0000-0000-0000F4280000}"/>
    <cellStyle name="Normal 2 62 7 11 2" xfId="24795" xr:uid="{00000000-0005-0000-0000-0000F5280000}"/>
    <cellStyle name="Normal 2 62 7 12" xfId="7045" xr:uid="{00000000-0005-0000-0000-0000F6280000}"/>
    <cellStyle name="Normal 2 62 7 12 2" xfId="24796" xr:uid="{00000000-0005-0000-0000-0000F7280000}"/>
    <cellStyle name="Normal 2 62 7 13" xfId="7046" xr:uid="{00000000-0005-0000-0000-0000F8280000}"/>
    <cellStyle name="Normal 2 62 7 13 2" xfId="24797" xr:uid="{00000000-0005-0000-0000-0000F9280000}"/>
    <cellStyle name="Normal 2 62 7 14" xfId="7047" xr:uid="{00000000-0005-0000-0000-0000FA280000}"/>
    <cellStyle name="Normal 2 62 7 14 2" xfId="24798" xr:uid="{00000000-0005-0000-0000-0000FB280000}"/>
    <cellStyle name="Normal 2 62 7 15" xfId="24793" xr:uid="{00000000-0005-0000-0000-0000FC280000}"/>
    <cellStyle name="Normal 2 62 7 2" xfId="7048" xr:uid="{00000000-0005-0000-0000-0000FD280000}"/>
    <cellStyle name="Normal 2 62 7 2 2" xfId="24799" xr:uid="{00000000-0005-0000-0000-0000FE280000}"/>
    <cellStyle name="Normal 2 62 7 3" xfId="7049" xr:uid="{00000000-0005-0000-0000-0000FF280000}"/>
    <cellStyle name="Normal 2 62 7 3 2" xfId="24800" xr:uid="{00000000-0005-0000-0000-000000290000}"/>
    <cellStyle name="Normal 2 62 7 4" xfId="7050" xr:uid="{00000000-0005-0000-0000-000001290000}"/>
    <cellStyle name="Normal 2 62 7 4 2" xfId="24801" xr:uid="{00000000-0005-0000-0000-000002290000}"/>
    <cellStyle name="Normal 2 62 7 5" xfId="7051" xr:uid="{00000000-0005-0000-0000-000003290000}"/>
    <cellStyle name="Normal 2 62 7 5 2" xfId="24802" xr:uid="{00000000-0005-0000-0000-000004290000}"/>
    <cellStyle name="Normal 2 62 7 6" xfId="7052" xr:uid="{00000000-0005-0000-0000-000005290000}"/>
    <cellStyle name="Normal 2 62 7 6 2" xfId="24803" xr:uid="{00000000-0005-0000-0000-000006290000}"/>
    <cellStyle name="Normal 2 62 7 7" xfId="7053" xr:uid="{00000000-0005-0000-0000-000007290000}"/>
    <cellStyle name="Normal 2 62 7 7 2" xfId="24804" xr:uid="{00000000-0005-0000-0000-000008290000}"/>
    <cellStyle name="Normal 2 62 7 8" xfId="7054" xr:uid="{00000000-0005-0000-0000-000009290000}"/>
    <cellStyle name="Normal 2 62 7 8 2" xfId="24805" xr:uid="{00000000-0005-0000-0000-00000A290000}"/>
    <cellStyle name="Normal 2 62 7 9" xfId="7055" xr:uid="{00000000-0005-0000-0000-00000B290000}"/>
    <cellStyle name="Normal 2 62 7 9 2" xfId="24806" xr:uid="{00000000-0005-0000-0000-00000C290000}"/>
    <cellStyle name="Normal 2 62 8" xfId="7056" xr:uid="{00000000-0005-0000-0000-00000D290000}"/>
    <cellStyle name="Normal 2 62 8 10" xfId="7057" xr:uid="{00000000-0005-0000-0000-00000E290000}"/>
    <cellStyle name="Normal 2 62 8 10 2" xfId="24808" xr:uid="{00000000-0005-0000-0000-00000F290000}"/>
    <cellStyle name="Normal 2 62 8 11" xfId="7058" xr:uid="{00000000-0005-0000-0000-000010290000}"/>
    <cellStyle name="Normal 2 62 8 11 2" xfId="24809" xr:uid="{00000000-0005-0000-0000-000011290000}"/>
    <cellStyle name="Normal 2 62 8 12" xfId="7059" xr:uid="{00000000-0005-0000-0000-000012290000}"/>
    <cellStyle name="Normal 2 62 8 12 2" xfId="24810" xr:uid="{00000000-0005-0000-0000-000013290000}"/>
    <cellStyle name="Normal 2 62 8 13" xfId="7060" xr:uid="{00000000-0005-0000-0000-000014290000}"/>
    <cellStyle name="Normal 2 62 8 13 2" xfId="24811" xr:uid="{00000000-0005-0000-0000-000015290000}"/>
    <cellStyle name="Normal 2 62 8 14" xfId="7061" xr:uid="{00000000-0005-0000-0000-000016290000}"/>
    <cellStyle name="Normal 2 62 8 14 2" xfId="24812" xr:uid="{00000000-0005-0000-0000-000017290000}"/>
    <cellStyle name="Normal 2 62 8 15" xfId="24807" xr:uid="{00000000-0005-0000-0000-000018290000}"/>
    <cellStyle name="Normal 2 62 8 2" xfId="7062" xr:uid="{00000000-0005-0000-0000-000019290000}"/>
    <cellStyle name="Normal 2 62 8 2 2" xfId="24813" xr:uid="{00000000-0005-0000-0000-00001A290000}"/>
    <cellStyle name="Normal 2 62 8 3" xfId="7063" xr:uid="{00000000-0005-0000-0000-00001B290000}"/>
    <cellStyle name="Normal 2 62 8 3 2" xfId="24814" xr:uid="{00000000-0005-0000-0000-00001C290000}"/>
    <cellStyle name="Normal 2 62 8 4" xfId="7064" xr:uid="{00000000-0005-0000-0000-00001D290000}"/>
    <cellStyle name="Normal 2 62 8 4 2" xfId="24815" xr:uid="{00000000-0005-0000-0000-00001E290000}"/>
    <cellStyle name="Normal 2 62 8 5" xfId="7065" xr:uid="{00000000-0005-0000-0000-00001F290000}"/>
    <cellStyle name="Normal 2 62 8 5 2" xfId="24816" xr:uid="{00000000-0005-0000-0000-000020290000}"/>
    <cellStyle name="Normal 2 62 8 6" xfId="7066" xr:uid="{00000000-0005-0000-0000-000021290000}"/>
    <cellStyle name="Normal 2 62 8 6 2" xfId="24817" xr:uid="{00000000-0005-0000-0000-000022290000}"/>
    <cellStyle name="Normal 2 62 8 7" xfId="7067" xr:uid="{00000000-0005-0000-0000-000023290000}"/>
    <cellStyle name="Normal 2 62 8 7 2" xfId="24818" xr:uid="{00000000-0005-0000-0000-000024290000}"/>
    <cellStyle name="Normal 2 62 8 8" xfId="7068" xr:uid="{00000000-0005-0000-0000-000025290000}"/>
    <cellStyle name="Normal 2 62 8 8 2" xfId="24819" xr:uid="{00000000-0005-0000-0000-000026290000}"/>
    <cellStyle name="Normal 2 62 8 9" xfId="7069" xr:uid="{00000000-0005-0000-0000-000027290000}"/>
    <cellStyle name="Normal 2 62 8 9 2" xfId="24820" xr:uid="{00000000-0005-0000-0000-000028290000}"/>
    <cellStyle name="Normal 2 62 9" xfId="7070" xr:uid="{00000000-0005-0000-0000-000029290000}"/>
    <cellStyle name="Normal 2 62 9 10" xfId="7071" xr:uid="{00000000-0005-0000-0000-00002A290000}"/>
    <cellStyle name="Normal 2 62 9 10 2" xfId="24822" xr:uid="{00000000-0005-0000-0000-00002B290000}"/>
    <cellStyle name="Normal 2 62 9 11" xfId="7072" xr:uid="{00000000-0005-0000-0000-00002C290000}"/>
    <cellStyle name="Normal 2 62 9 11 2" xfId="24823" xr:uid="{00000000-0005-0000-0000-00002D290000}"/>
    <cellStyle name="Normal 2 62 9 12" xfId="7073" xr:uid="{00000000-0005-0000-0000-00002E290000}"/>
    <cellStyle name="Normal 2 62 9 12 2" xfId="24824" xr:uid="{00000000-0005-0000-0000-00002F290000}"/>
    <cellStyle name="Normal 2 62 9 13" xfId="7074" xr:uid="{00000000-0005-0000-0000-000030290000}"/>
    <cellStyle name="Normal 2 62 9 13 2" xfId="24825" xr:uid="{00000000-0005-0000-0000-000031290000}"/>
    <cellStyle name="Normal 2 62 9 14" xfId="7075" xr:uid="{00000000-0005-0000-0000-000032290000}"/>
    <cellStyle name="Normal 2 62 9 14 2" xfId="24826" xr:uid="{00000000-0005-0000-0000-000033290000}"/>
    <cellStyle name="Normal 2 62 9 15" xfId="24821" xr:uid="{00000000-0005-0000-0000-000034290000}"/>
    <cellStyle name="Normal 2 62 9 2" xfId="7076" xr:uid="{00000000-0005-0000-0000-000035290000}"/>
    <cellStyle name="Normal 2 62 9 2 2" xfId="24827" xr:uid="{00000000-0005-0000-0000-000036290000}"/>
    <cellStyle name="Normal 2 62 9 3" xfId="7077" xr:uid="{00000000-0005-0000-0000-000037290000}"/>
    <cellStyle name="Normal 2 62 9 3 2" xfId="24828" xr:uid="{00000000-0005-0000-0000-000038290000}"/>
    <cellStyle name="Normal 2 62 9 4" xfId="7078" xr:uid="{00000000-0005-0000-0000-000039290000}"/>
    <cellStyle name="Normal 2 62 9 4 2" xfId="24829" xr:uid="{00000000-0005-0000-0000-00003A290000}"/>
    <cellStyle name="Normal 2 62 9 5" xfId="7079" xr:uid="{00000000-0005-0000-0000-00003B290000}"/>
    <cellStyle name="Normal 2 62 9 5 2" xfId="24830" xr:uid="{00000000-0005-0000-0000-00003C290000}"/>
    <cellStyle name="Normal 2 62 9 6" xfId="7080" xr:uid="{00000000-0005-0000-0000-00003D290000}"/>
    <cellStyle name="Normal 2 62 9 6 2" xfId="24831" xr:uid="{00000000-0005-0000-0000-00003E290000}"/>
    <cellStyle name="Normal 2 62 9 7" xfId="7081" xr:uid="{00000000-0005-0000-0000-00003F290000}"/>
    <cellStyle name="Normal 2 62 9 7 2" xfId="24832" xr:uid="{00000000-0005-0000-0000-000040290000}"/>
    <cellStyle name="Normal 2 62 9 8" xfId="7082" xr:uid="{00000000-0005-0000-0000-000041290000}"/>
    <cellStyle name="Normal 2 62 9 8 2" xfId="24833" xr:uid="{00000000-0005-0000-0000-000042290000}"/>
    <cellStyle name="Normal 2 62 9 9" xfId="7083" xr:uid="{00000000-0005-0000-0000-000043290000}"/>
    <cellStyle name="Normal 2 62 9 9 2" xfId="24834" xr:uid="{00000000-0005-0000-0000-000044290000}"/>
    <cellStyle name="Normal 2 63" xfId="7084" xr:uid="{00000000-0005-0000-0000-000045290000}"/>
    <cellStyle name="Normal 2 64" xfId="7085" xr:uid="{00000000-0005-0000-0000-000046290000}"/>
    <cellStyle name="Normal 2 65" xfId="7086" xr:uid="{00000000-0005-0000-0000-000047290000}"/>
    <cellStyle name="Normal 2 66" xfId="7087" xr:uid="{00000000-0005-0000-0000-000048290000}"/>
    <cellStyle name="Normal 2 66 10" xfId="7088" xr:uid="{00000000-0005-0000-0000-000049290000}"/>
    <cellStyle name="Normal 2 66 10 2" xfId="24836" xr:uid="{00000000-0005-0000-0000-00004A290000}"/>
    <cellStyle name="Normal 2 66 11" xfId="7089" xr:uid="{00000000-0005-0000-0000-00004B290000}"/>
    <cellStyle name="Normal 2 66 11 2" xfId="24837" xr:uid="{00000000-0005-0000-0000-00004C290000}"/>
    <cellStyle name="Normal 2 66 12" xfId="7090" xr:uid="{00000000-0005-0000-0000-00004D290000}"/>
    <cellStyle name="Normal 2 66 12 2" xfId="24838" xr:uid="{00000000-0005-0000-0000-00004E290000}"/>
    <cellStyle name="Normal 2 66 13" xfId="7091" xr:uid="{00000000-0005-0000-0000-00004F290000}"/>
    <cellStyle name="Normal 2 66 13 2" xfId="24839" xr:uid="{00000000-0005-0000-0000-000050290000}"/>
    <cellStyle name="Normal 2 66 14" xfId="7092" xr:uid="{00000000-0005-0000-0000-000051290000}"/>
    <cellStyle name="Normal 2 66 14 2" xfId="24840" xr:uid="{00000000-0005-0000-0000-000052290000}"/>
    <cellStyle name="Normal 2 66 15" xfId="7093" xr:uid="{00000000-0005-0000-0000-000053290000}"/>
    <cellStyle name="Normal 2 66 15 2" xfId="24841" xr:uid="{00000000-0005-0000-0000-000054290000}"/>
    <cellStyle name="Normal 2 66 16" xfId="24835" xr:uid="{00000000-0005-0000-0000-000055290000}"/>
    <cellStyle name="Normal 2 66 2" xfId="7094" xr:uid="{00000000-0005-0000-0000-000056290000}"/>
    <cellStyle name="Normal 2 66 2 10" xfId="7095" xr:uid="{00000000-0005-0000-0000-000057290000}"/>
    <cellStyle name="Normal 2 66 2 10 2" xfId="24843" xr:uid="{00000000-0005-0000-0000-000058290000}"/>
    <cellStyle name="Normal 2 66 2 11" xfId="7096" xr:uid="{00000000-0005-0000-0000-000059290000}"/>
    <cellStyle name="Normal 2 66 2 11 2" xfId="24844" xr:uid="{00000000-0005-0000-0000-00005A290000}"/>
    <cellStyle name="Normal 2 66 2 12" xfId="7097" xr:uid="{00000000-0005-0000-0000-00005B290000}"/>
    <cellStyle name="Normal 2 66 2 12 2" xfId="24845" xr:uid="{00000000-0005-0000-0000-00005C290000}"/>
    <cellStyle name="Normal 2 66 2 13" xfId="7098" xr:uid="{00000000-0005-0000-0000-00005D290000}"/>
    <cellStyle name="Normal 2 66 2 13 2" xfId="24846" xr:uid="{00000000-0005-0000-0000-00005E290000}"/>
    <cellStyle name="Normal 2 66 2 14" xfId="7099" xr:uid="{00000000-0005-0000-0000-00005F290000}"/>
    <cellStyle name="Normal 2 66 2 14 2" xfId="24847" xr:uid="{00000000-0005-0000-0000-000060290000}"/>
    <cellStyle name="Normal 2 66 2 15" xfId="24842" xr:uid="{00000000-0005-0000-0000-000061290000}"/>
    <cellStyle name="Normal 2 66 2 2" xfId="7100" xr:uid="{00000000-0005-0000-0000-000062290000}"/>
    <cellStyle name="Normal 2 66 2 2 2" xfId="24848" xr:uid="{00000000-0005-0000-0000-000063290000}"/>
    <cellStyle name="Normal 2 66 2 3" xfId="7101" xr:uid="{00000000-0005-0000-0000-000064290000}"/>
    <cellStyle name="Normal 2 66 2 3 2" xfId="24849" xr:uid="{00000000-0005-0000-0000-000065290000}"/>
    <cellStyle name="Normal 2 66 2 4" xfId="7102" xr:uid="{00000000-0005-0000-0000-000066290000}"/>
    <cellStyle name="Normal 2 66 2 4 2" xfId="24850" xr:uid="{00000000-0005-0000-0000-000067290000}"/>
    <cellStyle name="Normal 2 66 2 5" xfId="7103" xr:uid="{00000000-0005-0000-0000-000068290000}"/>
    <cellStyle name="Normal 2 66 2 5 2" xfId="24851" xr:uid="{00000000-0005-0000-0000-000069290000}"/>
    <cellStyle name="Normal 2 66 2 6" xfId="7104" xr:uid="{00000000-0005-0000-0000-00006A290000}"/>
    <cellStyle name="Normal 2 66 2 6 2" xfId="24852" xr:uid="{00000000-0005-0000-0000-00006B290000}"/>
    <cellStyle name="Normal 2 66 2 7" xfId="7105" xr:uid="{00000000-0005-0000-0000-00006C290000}"/>
    <cellStyle name="Normal 2 66 2 7 2" xfId="24853" xr:uid="{00000000-0005-0000-0000-00006D290000}"/>
    <cellStyle name="Normal 2 66 2 8" xfId="7106" xr:uid="{00000000-0005-0000-0000-00006E290000}"/>
    <cellStyle name="Normal 2 66 2 8 2" xfId="24854" xr:uid="{00000000-0005-0000-0000-00006F290000}"/>
    <cellStyle name="Normal 2 66 2 9" xfId="7107" xr:uid="{00000000-0005-0000-0000-000070290000}"/>
    <cellStyle name="Normal 2 66 2 9 2" xfId="24855" xr:uid="{00000000-0005-0000-0000-000071290000}"/>
    <cellStyle name="Normal 2 66 3" xfId="7108" xr:uid="{00000000-0005-0000-0000-000072290000}"/>
    <cellStyle name="Normal 2 66 3 2" xfId="24856" xr:uid="{00000000-0005-0000-0000-000073290000}"/>
    <cellStyle name="Normal 2 66 4" xfId="7109" xr:uid="{00000000-0005-0000-0000-000074290000}"/>
    <cellStyle name="Normal 2 66 4 2" xfId="24857" xr:uid="{00000000-0005-0000-0000-000075290000}"/>
    <cellStyle name="Normal 2 66 5" xfId="7110" xr:uid="{00000000-0005-0000-0000-000076290000}"/>
    <cellStyle name="Normal 2 66 5 2" xfId="24858" xr:uid="{00000000-0005-0000-0000-000077290000}"/>
    <cellStyle name="Normal 2 66 6" xfId="7111" xr:uid="{00000000-0005-0000-0000-000078290000}"/>
    <cellStyle name="Normal 2 66 6 2" xfId="24859" xr:uid="{00000000-0005-0000-0000-000079290000}"/>
    <cellStyle name="Normal 2 66 7" xfId="7112" xr:uid="{00000000-0005-0000-0000-00007A290000}"/>
    <cellStyle name="Normal 2 66 7 2" xfId="24860" xr:uid="{00000000-0005-0000-0000-00007B290000}"/>
    <cellStyle name="Normal 2 66 8" xfId="7113" xr:uid="{00000000-0005-0000-0000-00007C290000}"/>
    <cellStyle name="Normal 2 66 8 2" xfId="24861" xr:uid="{00000000-0005-0000-0000-00007D290000}"/>
    <cellStyle name="Normal 2 66 9" xfId="7114" xr:uid="{00000000-0005-0000-0000-00007E290000}"/>
    <cellStyle name="Normal 2 66 9 2" xfId="24862" xr:uid="{00000000-0005-0000-0000-00007F290000}"/>
    <cellStyle name="Normal 2 67" xfId="7115" xr:uid="{00000000-0005-0000-0000-000080290000}"/>
    <cellStyle name="Normal 2 67 10" xfId="7116" xr:uid="{00000000-0005-0000-0000-000081290000}"/>
    <cellStyle name="Normal 2 67 10 2" xfId="24864" xr:uid="{00000000-0005-0000-0000-000082290000}"/>
    <cellStyle name="Normal 2 67 11" xfId="7117" xr:uid="{00000000-0005-0000-0000-000083290000}"/>
    <cellStyle name="Normal 2 67 11 2" xfId="24865" xr:uid="{00000000-0005-0000-0000-000084290000}"/>
    <cellStyle name="Normal 2 67 12" xfId="7118" xr:uid="{00000000-0005-0000-0000-000085290000}"/>
    <cellStyle name="Normal 2 67 12 2" xfId="24866" xr:uid="{00000000-0005-0000-0000-000086290000}"/>
    <cellStyle name="Normal 2 67 13" xfId="7119" xr:uid="{00000000-0005-0000-0000-000087290000}"/>
    <cellStyle name="Normal 2 67 13 2" xfId="24867" xr:uid="{00000000-0005-0000-0000-000088290000}"/>
    <cellStyle name="Normal 2 67 14" xfId="7120" xr:uid="{00000000-0005-0000-0000-000089290000}"/>
    <cellStyle name="Normal 2 67 14 2" xfId="24868" xr:uid="{00000000-0005-0000-0000-00008A290000}"/>
    <cellStyle name="Normal 2 67 15" xfId="7121" xr:uid="{00000000-0005-0000-0000-00008B290000}"/>
    <cellStyle name="Normal 2 67 15 2" xfId="24869" xr:uid="{00000000-0005-0000-0000-00008C290000}"/>
    <cellStyle name="Normal 2 67 16" xfId="24863" xr:uid="{00000000-0005-0000-0000-00008D290000}"/>
    <cellStyle name="Normal 2 67 2" xfId="7122" xr:uid="{00000000-0005-0000-0000-00008E290000}"/>
    <cellStyle name="Normal 2 67 2 10" xfId="7123" xr:uid="{00000000-0005-0000-0000-00008F290000}"/>
    <cellStyle name="Normal 2 67 2 10 2" xfId="24871" xr:uid="{00000000-0005-0000-0000-000090290000}"/>
    <cellStyle name="Normal 2 67 2 11" xfId="7124" xr:uid="{00000000-0005-0000-0000-000091290000}"/>
    <cellStyle name="Normal 2 67 2 11 2" xfId="24872" xr:uid="{00000000-0005-0000-0000-000092290000}"/>
    <cellStyle name="Normal 2 67 2 12" xfId="7125" xr:uid="{00000000-0005-0000-0000-000093290000}"/>
    <cellStyle name="Normal 2 67 2 12 2" xfId="24873" xr:uid="{00000000-0005-0000-0000-000094290000}"/>
    <cellStyle name="Normal 2 67 2 13" xfId="7126" xr:uid="{00000000-0005-0000-0000-000095290000}"/>
    <cellStyle name="Normal 2 67 2 13 2" xfId="24874" xr:uid="{00000000-0005-0000-0000-000096290000}"/>
    <cellStyle name="Normal 2 67 2 14" xfId="7127" xr:uid="{00000000-0005-0000-0000-000097290000}"/>
    <cellStyle name="Normal 2 67 2 14 2" xfId="24875" xr:uid="{00000000-0005-0000-0000-000098290000}"/>
    <cellStyle name="Normal 2 67 2 15" xfId="24870" xr:uid="{00000000-0005-0000-0000-000099290000}"/>
    <cellStyle name="Normal 2 67 2 2" xfId="7128" xr:uid="{00000000-0005-0000-0000-00009A290000}"/>
    <cellStyle name="Normal 2 67 2 2 2" xfId="24876" xr:uid="{00000000-0005-0000-0000-00009B290000}"/>
    <cellStyle name="Normal 2 67 2 3" xfId="7129" xr:uid="{00000000-0005-0000-0000-00009C290000}"/>
    <cellStyle name="Normal 2 67 2 3 2" xfId="24877" xr:uid="{00000000-0005-0000-0000-00009D290000}"/>
    <cellStyle name="Normal 2 67 2 4" xfId="7130" xr:uid="{00000000-0005-0000-0000-00009E290000}"/>
    <cellStyle name="Normal 2 67 2 4 2" xfId="24878" xr:uid="{00000000-0005-0000-0000-00009F290000}"/>
    <cellStyle name="Normal 2 67 2 5" xfId="7131" xr:uid="{00000000-0005-0000-0000-0000A0290000}"/>
    <cellStyle name="Normal 2 67 2 5 2" xfId="24879" xr:uid="{00000000-0005-0000-0000-0000A1290000}"/>
    <cellStyle name="Normal 2 67 2 6" xfId="7132" xr:uid="{00000000-0005-0000-0000-0000A2290000}"/>
    <cellStyle name="Normal 2 67 2 6 2" xfId="24880" xr:uid="{00000000-0005-0000-0000-0000A3290000}"/>
    <cellStyle name="Normal 2 67 2 7" xfId="7133" xr:uid="{00000000-0005-0000-0000-0000A4290000}"/>
    <cellStyle name="Normal 2 67 2 7 2" xfId="24881" xr:uid="{00000000-0005-0000-0000-0000A5290000}"/>
    <cellStyle name="Normal 2 67 2 8" xfId="7134" xr:uid="{00000000-0005-0000-0000-0000A6290000}"/>
    <cellStyle name="Normal 2 67 2 8 2" xfId="24882" xr:uid="{00000000-0005-0000-0000-0000A7290000}"/>
    <cellStyle name="Normal 2 67 2 9" xfId="7135" xr:uid="{00000000-0005-0000-0000-0000A8290000}"/>
    <cellStyle name="Normal 2 67 2 9 2" xfId="24883" xr:uid="{00000000-0005-0000-0000-0000A9290000}"/>
    <cellStyle name="Normal 2 67 3" xfId="7136" xr:uid="{00000000-0005-0000-0000-0000AA290000}"/>
    <cellStyle name="Normal 2 67 3 2" xfId="24884" xr:uid="{00000000-0005-0000-0000-0000AB290000}"/>
    <cellStyle name="Normal 2 67 4" xfId="7137" xr:uid="{00000000-0005-0000-0000-0000AC290000}"/>
    <cellStyle name="Normal 2 67 4 2" xfId="24885" xr:uid="{00000000-0005-0000-0000-0000AD290000}"/>
    <cellStyle name="Normal 2 67 5" xfId="7138" xr:uid="{00000000-0005-0000-0000-0000AE290000}"/>
    <cellStyle name="Normal 2 67 5 2" xfId="24886" xr:uid="{00000000-0005-0000-0000-0000AF290000}"/>
    <cellStyle name="Normal 2 67 6" xfId="7139" xr:uid="{00000000-0005-0000-0000-0000B0290000}"/>
    <cellStyle name="Normal 2 67 6 2" xfId="24887" xr:uid="{00000000-0005-0000-0000-0000B1290000}"/>
    <cellStyle name="Normal 2 67 7" xfId="7140" xr:uid="{00000000-0005-0000-0000-0000B2290000}"/>
    <cellStyle name="Normal 2 67 7 2" xfId="24888" xr:uid="{00000000-0005-0000-0000-0000B3290000}"/>
    <cellStyle name="Normal 2 67 8" xfId="7141" xr:uid="{00000000-0005-0000-0000-0000B4290000}"/>
    <cellStyle name="Normal 2 67 8 2" xfId="24889" xr:uid="{00000000-0005-0000-0000-0000B5290000}"/>
    <cellStyle name="Normal 2 67 9" xfId="7142" xr:uid="{00000000-0005-0000-0000-0000B6290000}"/>
    <cellStyle name="Normal 2 67 9 2" xfId="24890" xr:uid="{00000000-0005-0000-0000-0000B7290000}"/>
    <cellStyle name="Normal 2 68" xfId="7143" xr:uid="{00000000-0005-0000-0000-0000B8290000}"/>
    <cellStyle name="Normal 2 68 10" xfId="7144" xr:uid="{00000000-0005-0000-0000-0000B9290000}"/>
    <cellStyle name="Normal 2 68 10 2" xfId="24892" xr:uid="{00000000-0005-0000-0000-0000BA290000}"/>
    <cellStyle name="Normal 2 68 11" xfId="7145" xr:uid="{00000000-0005-0000-0000-0000BB290000}"/>
    <cellStyle name="Normal 2 68 11 2" xfId="24893" xr:uid="{00000000-0005-0000-0000-0000BC290000}"/>
    <cellStyle name="Normal 2 68 12" xfId="7146" xr:uid="{00000000-0005-0000-0000-0000BD290000}"/>
    <cellStyle name="Normal 2 68 12 2" xfId="24894" xr:uid="{00000000-0005-0000-0000-0000BE290000}"/>
    <cellStyle name="Normal 2 68 13" xfId="7147" xr:uid="{00000000-0005-0000-0000-0000BF290000}"/>
    <cellStyle name="Normal 2 68 13 2" xfId="24895" xr:uid="{00000000-0005-0000-0000-0000C0290000}"/>
    <cellStyle name="Normal 2 68 14" xfId="7148" xr:uid="{00000000-0005-0000-0000-0000C1290000}"/>
    <cellStyle name="Normal 2 68 14 2" xfId="24896" xr:uid="{00000000-0005-0000-0000-0000C2290000}"/>
    <cellStyle name="Normal 2 68 15" xfId="7149" xr:uid="{00000000-0005-0000-0000-0000C3290000}"/>
    <cellStyle name="Normal 2 68 15 2" xfId="24897" xr:uid="{00000000-0005-0000-0000-0000C4290000}"/>
    <cellStyle name="Normal 2 68 16" xfId="24891" xr:uid="{00000000-0005-0000-0000-0000C5290000}"/>
    <cellStyle name="Normal 2 68 2" xfId="7150" xr:uid="{00000000-0005-0000-0000-0000C6290000}"/>
    <cellStyle name="Normal 2 68 2 10" xfId="7151" xr:uid="{00000000-0005-0000-0000-0000C7290000}"/>
    <cellStyle name="Normal 2 68 2 10 2" xfId="24899" xr:uid="{00000000-0005-0000-0000-0000C8290000}"/>
    <cellStyle name="Normal 2 68 2 11" xfId="7152" xr:uid="{00000000-0005-0000-0000-0000C9290000}"/>
    <cellStyle name="Normal 2 68 2 11 2" xfId="24900" xr:uid="{00000000-0005-0000-0000-0000CA290000}"/>
    <cellStyle name="Normal 2 68 2 12" xfId="7153" xr:uid="{00000000-0005-0000-0000-0000CB290000}"/>
    <cellStyle name="Normal 2 68 2 12 2" xfId="24901" xr:uid="{00000000-0005-0000-0000-0000CC290000}"/>
    <cellStyle name="Normal 2 68 2 13" xfId="7154" xr:uid="{00000000-0005-0000-0000-0000CD290000}"/>
    <cellStyle name="Normal 2 68 2 13 2" xfId="24902" xr:uid="{00000000-0005-0000-0000-0000CE290000}"/>
    <cellStyle name="Normal 2 68 2 14" xfId="7155" xr:uid="{00000000-0005-0000-0000-0000CF290000}"/>
    <cellStyle name="Normal 2 68 2 14 2" xfId="24903" xr:uid="{00000000-0005-0000-0000-0000D0290000}"/>
    <cellStyle name="Normal 2 68 2 15" xfId="24898" xr:uid="{00000000-0005-0000-0000-0000D1290000}"/>
    <cellStyle name="Normal 2 68 2 2" xfId="7156" xr:uid="{00000000-0005-0000-0000-0000D2290000}"/>
    <cellStyle name="Normal 2 68 2 2 2" xfId="24904" xr:uid="{00000000-0005-0000-0000-0000D3290000}"/>
    <cellStyle name="Normal 2 68 2 3" xfId="7157" xr:uid="{00000000-0005-0000-0000-0000D4290000}"/>
    <cellStyle name="Normal 2 68 2 3 2" xfId="24905" xr:uid="{00000000-0005-0000-0000-0000D5290000}"/>
    <cellStyle name="Normal 2 68 2 4" xfId="7158" xr:uid="{00000000-0005-0000-0000-0000D6290000}"/>
    <cellStyle name="Normal 2 68 2 4 2" xfId="24906" xr:uid="{00000000-0005-0000-0000-0000D7290000}"/>
    <cellStyle name="Normal 2 68 2 5" xfId="7159" xr:uid="{00000000-0005-0000-0000-0000D8290000}"/>
    <cellStyle name="Normal 2 68 2 5 2" xfId="24907" xr:uid="{00000000-0005-0000-0000-0000D9290000}"/>
    <cellStyle name="Normal 2 68 2 6" xfId="7160" xr:uid="{00000000-0005-0000-0000-0000DA290000}"/>
    <cellStyle name="Normal 2 68 2 6 2" xfId="24908" xr:uid="{00000000-0005-0000-0000-0000DB290000}"/>
    <cellStyle name="Normal 2 68 2 7" xfId="7161" xr:uid="{00000000-0005-0000-0000-0000DC290000}"/>
    <cellStyle name="Normal 2 68 2 7 2" xfId="24909" xr:uid="{00000000-0005-0000-0000-0000DD290000}"/>
    <cellStyle name="Normal 2 68 2 8" xfId="7162" xr:uid="{00000000-0005-0000-0000-0000DE290000}"/>
    <cellStyle name="Normal 2 68 2 8 2" xfId="24910" xr:uid="{00000000-0005-0000-0000-0000DF290000}"/>
    <cellStyle name="Normal 2 68 2 9" xfId="7163" xr:uid="{00000000-0005-0000-0000-0000E0290000}"/>
    <cellStyle name="Normal 2 68 2 9 2" xfId="24911" xr:uid="{00000000-0005-0000-0000-0000E1290000}"/>
    <cellStyle name="Normal 2 68 3" xfId="7164" xr:uid="{00000000-0005-0000-0000-0000E2290000}"/>
    <cellStyle name="Normal 2 68 3 2" xfId="24912" xr:uid="{00000000-0005-0000-0000-0000E3290000}"/>
    <cellStyle name="Normal 2 68 4" xfId="7165" xr:uid="{00000000-0005-0000-0000-0000E4290000}"/>
    <cellStyle name="Normal 2 68 4 2" xfId="24913" xr:uid="{00000000-0005-0000-0000-0000E5290000}"/>
    <cellStyle name="Normal 2 68 5" xfId="7166" xr:uid="{00000000-0005-0000-0000-0000E6290000}"/>
    <cellStyle name="Normal 2 68 5 2" xfId="24914" xr:uid="{00000000-0005-0000-0000-0000E7290000}"/>
    <cellStyle name="Normal 2 68 6" xfId="7167" xr:uid="{00000000-0005-0000-0000-0000E8290000}"/>
    <cellStyle name="Normal 2 68 6 2" xfId="24915" xr:uid="{00000000-0005-0000-0000-0000E9290000}"/>
    <cellStyle name="Normal 2 68 7" xfId="7168" xr:uid="{00000000-0005-0000-0000-0000EA290000}"/>
    <cellStyle name="Normal 2 68 7 2" xfId="24916" xr:uid="{00000000-0005-0000-0000-0000EB290000}"/>
    <cellStyle name="Normal 2 68 8" xfId="7169" xr:uid="{00000000-0005-0000-0000-0000EC290000}"/>
    <cellStyle name="Normal 2 68 8 2" xfId="24917" xr:uid="{00000000-0005-0000-0000-0000ED290000}"/>
    <cellStyle name="Normal 2 68 9" xfId="7170" xr:uid="{00000000-0005-0000-0000-0000EE290000}"/>
    <cellStyle name="Normal 2 68 9 2" xfId="24918" xr:uid="{00000000-0005-0000-0000-0000EF290000}"/>
    <cellStyle name="Normal 2 69" xfId="7171" xr:uid="{00000000-0005-0000-0000-0000F0290000}"/>
    <cellStyle name="Normal 2 69 10" xfId="7172" xr:uid="{00000000-0005-0000-0000-0000F1290000}"/>
    <cellStyle name="Normal 2 69 10 2" xfId="24920" xr:uid="{00000000-0005-0000-0000-0000F2290000}"/>
    <cellStyle name="Normal 2 69 11" xfId="7173" xr:uid="{00000000-0005-0000-0000-0000F3290000}"/>
    <cellStyle name="Normal 2 69 11 2" xfId="24921" xr:uid="{00000000-0005-0000-0000-0000F4290000}"/>
    <cellStyle name="Normal 2 69 12" xfId="7174" xr:uid="{00000000-0005-0000-0000-0000F5290000}"/>
    <cellStyle name="Normal 2 69 12 2" xfId="24922" xr:uid="{00000000-0005-0000-0000-0000F6290000}"/>
    <cellStyle name="Normal 2 69 13" xfId="7175" xr:uid="{00000000-0005-0000-0000-0000F7290000}"/>
    <cellStyle name="Normal 2 69 13 2" xfId="24923" xr:uid="{00000000-0005-0000-0000-0000F8290000}"/>
    <cellStyle name="Normal 2 69 14" xfId="7176" xr:uid="{00000000-0005-0000-0000-0000F9290000}"/>
    <cellStyle name="Normal 2 69 14 2" xfId="24924" xr:uid="{00000000-0005-0000-0000-0000FA290000}"/>
    <cellStyle name="Normal 2 69 15" xfId="24919" xr:uid="{00000000-0005-0000-0000-0000FB290000}"/>
    <cellStyle name="Normal 2 69 2" xfId="7177" xr:uid="{00000000-0005-0000-0000-0000FC290000}"/>
    <cellStyle name="Normal 2 69 2 2" xfId="24925" xr:uid="{00000000-0005-0000-0000-0000FD290000}"/>
    <cellStyle name="Normal 2 69 3" xfId="7178" xr:uid="{00000000-0005-0000-0000-0000FE290000}"/>
    <cellStyle name="Normal 2 69 3 2" xfId="24926" xr:uid="{00000000-0005-0000-0000-0000FF290000}"/>
    <cellStyle name="Normal 2 69 4" xfId="7179" xr:uid="{00000000-0005-0000-0000-0000002A0000}"/>
    <cellStyle name="Normal 2 69 4 2" xfId="24927" xr:uid="{00000000-0005-0000-0000-0000012A0000}"/>
    <cellStyle name="Normal 2 69 5" xfId="7180" xr:uid="{00000000-0005-0000-0000-0000022A0000}"/>
    <cellStyle name="Normal 2 69 5 2" xfId="24928" xr:uid="{00000000-0005-0000-0000-0000032A0000}"/>
    <cellStyle name="Normal 2 69 6" xfId="7181" xr:uid="{00000000-0005-0000-0000-0000042A0000}"/>
    <cellStyle name="Normal 2 69 6 2" xfId="24929" xr:uid="{00000000-0005-0000-0000-0000052A0000}"/>
    <cellStyle name="Normal 2 69 7" xfId="7182" xr:uid="{00000000-0005-0000-0000-0000062A0000}"/>
    <cellStyle name="Normal 2 69 7 2" xfId="24930" xr:uid="{00000000-0005-0000-0000-0000072A0000}"/>
    <cellStyle name="Normal 2 69 8" xfId="7183" xr:uid="{00000000-0005-0000-0000-0000082A0000}"/>
    <cellStyle name="Normal 2 69 8 2" xfId="24931" xr:uid="{00000000-0005-0000-0000-0000092A0000}"/>
    <cellStyle name="Normal 2 69 9" xfId="7184" xr:uid="{00000000-0005-0000-0000-00000A2A0000}"/>
    <cellStyle name="Normal 2 69 9 2" xfId="24932" xr:uid="{00000000-0005-0000-0000-00000B2A0000}"/>
    <cellStyle name="Normal 2 7" xfId="303" xr:uid="{00000000-0005-0000-0000-00000C2A0000}"/>
    <cellStyle name="Normal 2 7 2" xfId="387" xr:uid="{00000000-0005-0000-0000-00000D2A0000}"/>
    <cellStyle name="Normal 2 7 2 2" xfId="579" xr:uid="{00000000-0005-0000-0000-00000E2A0000}"/>
    <cellStyle name="Normal 2 7 2 2 2" xfId="7188" xr:uid="{00000000-0005-0000-0000-00000F2A0000}"/>
    <cellStyle name="Normal 2 7 2 2 3" xfId="7187" xr:uid="{00000000-0005-0000-0000-0000102A0000}"/>
    <cellStyle name="Normal 2 7 2 3" xfId="7189" xr:uid="{00000000-0005-0000-0000-0000112A0000}"/>
    <cellStyle name="Normal 2 7 2 3 2" xfId="7190" xr:uid="{00000000-0005-0000-0000-0000122A0000}"/>
    <cellStyle name="Normal 2 7 2 4" xfId="7191" xr:uid="{00000000-0005-0000-0000-0000132A0000}"/>
    <cellStyle name="Normal 2 7 2 4 2" xfId="7192" xr:uid="{00000000-0005-0000-0000-0000142A0000}"/>
    <cellStyle name="Normal 2 7 2 5" xfId="7193" xr:uid="{00000000-0005-0000-0000-0000152A0000}"/>
    <cellStyle name="Normal 2 7 2 5 2" xfId="7194" xr:uid="{00000000-0005-0000-0000-0000162A0000}"/>
    <cellStyle name="Normal 2 7 2 6" xfId="7195" xr:uid="{00000000-0005-0000-0000-0000172A0000}"/>
    <cellStyle name="Normal 2 7 2 6 2" xfId="7196" xr:uid="{00000000-0005-0000-0000-0000182A0000}"/>
    <cellStyle name="Normal 2 7 2 7" xfId="7197" xr:uid="{00000000-0005-0000-0000-0000192A0000}"/>
    <cellStyle name="Normal 2 7 2 7 2" xfId="7198" xr:uid="{00000000-0005-0000-0000-00001A2A0000}"/>
    <cellStyle name="Normal 2 7 2 8" xfId="7186" xr:uid="{00000000-0005-0000-0000-00001B2A0000}"/>
    <cellStyle name="Normal 2 7 3" xfId="520" xr:uid="{00000000-0005-0000-0000-00001C2A0000}"/>
    <cellStyle name="Normal 2 7 3 2" xfId="7199" xr:uid="{00000000-0005-0000-0000-00001D2A0000}"/>
    <cellStyle name="Normal 2 7 4" xfId="7200" xr:uid="{00000000-0005-0000-0000-00001E2A0000}"/>
    <cellStyle name="Normal 2 7 5" xfId="7201" xr:uid="{00000000-0005-0000-0000-00001F2A0000}"/>
    <cellStyle name="Normal 2 7 6" xfId="7202" xr:uid="{00000000-0005-0000-0000-0000202A0000}"/>
    <cellStyle name="Normal 2 7 7" xfId="7203" xr:uid="{00000000-0005-0000-0000-0000212A0000}"/>
    <cellStyle name="Normal 2 7 8" xfId="7204" xr:uid="{00000000-0005-0000-0000-0000222A0000}"/>
    <cellStyle name="Normal 2 7 9" xfId="7185" xr:uid="{00000000-0005-0000-0000-0000232A0000}"/>
    <cellStyle name="Normal 2 70" xfId="7205" xr:uid="{00000000-0005-0000-0000-0000242A0000}"/>
    <cellStyle name="Normal 2 70 10" xfId="7206" xr:uid="{00000000-0005-0000-0000-0000252A0000}"/>
    <cellStyle name="Normal 2 70 10 2" xfId="24934" xr:uid="{00000000-0005-0000-0000-0000262A0000}"/>
    <cellStyle name="Normal 2 70 11" xfId="7207" xr:uid="{00000000-0005-0000-0000-0000272A0000}"/>
    <cellStyle name="Normal 2 70 11 2" xfId="24935" xr:uid="{00000000-0005-0000-0000-0000282A0000}"/>
    <cellStyle name="Normal 2 70 12" xfId="7208" xr:uid="{00000000-0005-0000-0000-0000292A0000}"/>
    <cellStyle name="Normal 2 70 12 2" xfId="24936" xr:uid="{00000000-0005-0000-0000-00002A2A0000}"/>
    <cellStyle name="Normal 2 70 13" xfId="7209" xr:uid="{00000000-0005-0000-0000-00002B2A0000}"/>
    <cellStyle name="Normal 2 70 13 2" xfId="24937" xr:uid="{00000000-0005-0000-0000-00002C2A0000}"/>
    <cellStyle name="Normal 2 70 14" xfId="7210" xr:uid="{00000000-0005-0000-0000-00002D2A0000}"/>
    <cellStyle name="Normal 2 70 14 2" xfId="24938" xr:uid="{00000000-0005-0000-0000-00002E2A0000}"/>
    <cellStyle name="Normal 2 70 15" xfId="24933" xr:uid="{00000000-0005-0000-0000-00002F2A0000}"/>
    <cellStyle name="Normal 2 70 2" xfId="7211" xr:uid="{00000000-0005-0000-0000-0000302A0000}"/>
    <cellStyle name="Normal 2 70 2 2" xfId="24939" xr:uid="{00000000-0005-0000-0000-0000312A0000}"/>
    <cellStyle name="Normal 2 70 3" xfId="7212" xr:uid="{00000000-0005-0000-0000-0000322A0000}"/>
    <cellStyle name="Normal 2 70 3 2" xfId="24940" xr:uid="{00000000-0005-0000-0000-0000332A0000}"/>
    <cellStyle name="Normal 2 70 4" xfId="7213" xr:uid="{00000000-0005-0000-0000-0000342A0000}"/>
    <cellStyle name="Normal 2 70 4 2" xfId="24941" xr:uid="{00000000-0005-0000-0000-0000352A0000}"/>
    <cellStyle name="Normal 2 70 5" xfId="7214" xr:uid="{00000000-0005-0000-0000-0000362A0000}"/>
    <cellStyle name="Normal 2 70 5 2" xfId="24942" xr:uid="{00000000-0005-0000-0000-0000372A0000}"/>
    <cellStyle name="Normal 2 70 6" xfId="7215" xr:uid="{00000000-0005-0000-0000-0000382A0000}"/>
    <cellStyle name="Normal 2 70 6 2" xfId="24943" xr:uid="{00000000-0005-0000-0000-0000392A0000}"/>
    <cellStyle name="Normal 2 70 7" xfId="7216" xr:uid="{00000000-0005-0000-0000-00003A2A0000}"/>
    <cellStyle name="Normal 2 70 7 2" xfId="24944" xr:uid="{00000000-0005-0000-0000-00003B2A0000}"/>
    <cellStyle name="Normal 2 70 8" xfId="7217" xr:uid="{00000000-0005-0000-0000-00003C2A0000}"/>
    <cellStyle name="Normal 2 70 8 2" xfId="24945" xr:uid="{00000000-0005-0000-0000-00003D2A0000}"/>
    <cellStyle name="Normal 2 70 9" xfId="7218" xr:uid="{00000000-0005-0000-0000-00003E2A0000}"/>
    <cellStyle name="Normal 2 70 9 2" xfId="24946" xr:uid="{00000000-0005-0000-0000-00003F2A0000}"/>
    <cellStyle name="Normal 2 71" xfId="7219" xr:uid="{00000000-0005-0000-0000-0000402A0000}"/>
    <cellStyle name="Normal 2 71 10" xfId="7220" xr:uid="{00000000-0005-0000-0000-0000412A0000}"/>
    <cellStyle name="Normal 2 71 10 2" xfId="24948" xr:uid="{00000000-0005-0000-0000-0000422A0000}"/>
    <cellStyle name="Normal 2 71 11" xfId="7221" xr:uid="{00000000-0005-0000-0000-0000432A0000}"/>
    <cellStyle name="Normal 2 71 11 2" xfId="24949" xr:uid="{00000000-0005-0000-0000-0000442A0000}"/>
    <cellStyle name="Normal 2 71 12" xfId="7222" xr:uid="{00000000-0005-0000-0000-0000452A0000}"/>
    <cellStyle name="Normal 2 71 12 2" xfId="24950" xr:uid="{00000000-0005-0000-0000-0000462A0000}"/>
    <cellStyle name="Normal 2 71 13" xfId="7223" xr:uid="{00000000-0005-0000-0000-0000472A0000}"/>
    <cellStyle name="Normal 2 71 13 2" xfId="24951" xr:uid="{00000000-0005-0000-0000-0000482A0000}"/>
    <cellStyle name="Normal 2 71 14" xfId="7224" xr:uid="{00000000-0005-0000-0000-0000492A0000}"/>
    <cellStyle name="Normal 2 71 14 2" xfId="24952" xr:uid="{00000000-0005-0000-0000-00004A2A0000}"/>
    <cellStyle name="Normal 2 71 15" xfId="24947" xr:uid="{00000000-0005-0000-0000-00004B2A0000}"/>
    <cellStyle name="Normal 2 71 2" xfId="7225" xr:uid="{00000000-0005-0000-0000-00004C2A0000}"/>
    <cellStyle name="Normal 2 71 2 2" xfId="24953" xr:uid="{00000000-0005-0000-0000-00004D2A0000}"/>
    <cellStyle name="Normal 2 71 3" xfId="7226" xr:uid="{00000000-0005-0000-0000-00004E2A0000}"/>
    <cellStyle name="Normal 2 71 3 2" xfId="24954" xr:uid="{00000000-0005-0000-0000-00004F2A0000}"/>
    <cellStyle name="Normal 2 71 4" xfId="7227" xr:uid="{00000000-0005-0000-0000-0000502A0000}"/>
    <cellStyle name="Normal 2 71 4 2" xfId="24955" xr:uid="{00000000-0005-0000-0000-0000512A0000}"/>
    <cellStyle name="Normal 2 71 5" xfId="7228" xr:uid="{00000000-0005-0000-0000-0000522A0000}"/>
    <cellStyle name="Normal 2 71 5 2" xfId="24956" xr:uid="{00000000-0005-0000-0000-0000532A0000}"/>
    <cellStyle name="Normal 2 71 6" xfId="7229" xr:uid="{00000000-0005-0000-0000-0000542A0000}"/>
    <cellStyle name="Normal 2 71 6 2" xfId="24957" xr:uid="{00000000-0005-0000-0000-0000552A0000}"/>
    <cellStyle name="Normal 2 71 7" xfId="7230" xr:uid="{00000000-0005-0000-0000-0000562A0000}"/>
    <cellStyle name="Normal 2 71 7 2" xfId="24958" xr:uid="{00000000-0005-0000-0000-0000572A0000}"/>
    <cellStyle name="Normal 2 71 8" xfId="7231" xr:uid="{00000000-0005-0000-0000-0000582A0000}"/>
    <cellStyle name="Normal 2 71 8 2" xfId="24959" xr:uid="{00000000-0005-0000-0000-0000592A0000}"/>
    <cellStyle name="Normal 2 71 9" xfId="7232" xr:uid="{00000000-0005-0000-0000-00005A2A0000}"/>
    <cellStyle name="Normal 2 71 9 2" xfId="24960" xr:uid="{00000000-0005-0000-0000-00005B2A0000}"/>
    <cellStyle name="Normal 2 72" xfId="7233" xr:uid="{00000000-0005-0000-0000-00005C2A0000}"/>
    <cellStyle name="Normal 2 72 10" xfId="7234" xr:uid="{00000000-0005-0000-0000-00005D2A0000}"/>
    <cellStyle name="Normal 2 72 10 2" xfId="24962" xr:uid="{00000000-0005-0000-0000-00005E2A0000}"/>
    <cellStyle name="Normal 2 72 11" xfId="7235" xr:uid="{00000000-0005-0000-0000-00005F2A0000}"/>
    <cellStyle name="Normal 2 72 11 2" xfId="24963" xr:uid="{00000000-0005-0000-0000-0000602A0000}"/>
    <cellStyle name="Normal 2 72 12" xfId="7236" xr:uid="{00000000-0005-0000-0000-0000612A0000}"/>
    <cellStyle name="Normal 2 72 12 2" xfId="24964" xr:uid="{00000000-0005-0000-0000-0000622A0000}"/>
    <cellStyle name="Normal 2 72 13" xfId="7237" xr:uid="{00000000-0005-0000-0000-0000632A0000}"/>
    <cellStyle name="Normal 2 72 13 2" xfId="24965" xr:uid="{00000000-0005-0000-0000-0000642A0000}"/>
    <cellStyle name="Normal 2 72 14" xfId="7238" xr:uid="{00000000-0005-0000-0000-0000652A0000}"/>
    <cellStyle name="Normal 2 72 14 2" xfId="24966" xr:uid="{00000000-0005-0000-0000-0000662A0000}"/>
    <cellStyle name="Normal 2 72 15" xfId="24961" xr:uid="{00000000-0005-0000-0000-0000672A0000}"/>
    <cellStyle name="Normal 2 72 2" xfId="7239" xr:uid="{00000000-0005-0000-0000-0000682A0000}"/>
    <cellStyle name="Normal 2 72 2 2" xfId="24967" xr:uid="{00000000-0005-0000-0000-0000692A0000}"/>
    <cellStyle name="Normal 2 72 3" xfId="7240" xr:uid="{00000000-0005-0000-0000-00006A2A0000}"/>
    <cellStyle name="Normal 2 72 3 2" xfId="24968" xr:uid="{00000000-0005-0000-0000-00006B2A0000}"/>
    <cellStyle name="Normal 2 72 4" xfId="7241" xr:uid="{00000000-0005-0000-0000-00006C2A0000}"/>
    <cellStyle name="Normal 2 72 4 2" xfId="24969" xr:uid="{00000000-0005-0000-0000-00006D2A0000}"/>
    <cellStyle name="Normal 2 72 5" xfId="7242" xr:uid="{00000000-0005-0000-0000-00006E2A0000}"/>
    <cellStyle name="Normal 2 72 5 2" xfId="24970" xr:uid="{00000000-0005-0000-0000-00006F2A0000}"/>
    <cellStyle name="Normal 2 72 6" xfId="7243" xr:uid="{00000000-0005-0000-0000-0000702A0000}"/>
    <cellStyle name="Normal 2 72 6 2" xfId="24971" xr:uid="{00000000-0005-0000-0000-0000712A0000}"/>
    <cellStyle name="Normal 2 72 7" xfId="7244" xr:uid="{00000000-0005-0000-0000-0000722A0000}"/>
    <cellStyle name="Normal 2 72 7 2" xfId="24972" xr:uid="{00000000-0005-0000-0000-0000732A0000}"/>
    <cellStyle name="Normal 2 72 8" xfId="7245" xr:uid="{00000000-0005-0000-0000-0000742A0000}"/>
    <cellStyle name="Normal 2 72 8 2" xfId="24973" xr:uid="{00000000-0005-0000-0000-0000752A0000}"/>
    <cellStyle name="Normal 2 72 9" xfId="7246" xr:uid="{00000000-0005-0000-0000-0000762A0000}"/>
    <cellStyle name="Normal 2 72 9 2" xfId="24974" xr:uid="{00000000-0005-0000-0000-0000772A0000}"/>
    <cellStyle name="Normal 2 73" xfId="7247" xr:uid="{00000000-0005-0000-0000-0000782A0000}"/>
    <cellStyle name="Normal 2 73 10" xfId="7248" xr:uid="{00000000-0005-0000-0000-0000792A0000}"/>
    <cellStyle name="Normal 2 73 10 2" xfId="24976" xr:uid="{00000000-0005-0000-0000-00007A2A0000}"/>
    <cellStyle name="Normal 2 73 11" xfId="7249" xr:uid="{00000000-0005-0000-0000-00007B2A0000}"/>
    <cellStyle name="Normal 2 73 11 2" xfId="24977" xr:uid="{00000000-0005-0000-0000-00007C2A0000}"/>
    <cellStyle name="Normal 2 73 12" xfId="7250" xr:uid="{00000000-0005-0000-0000-00007D2A0000}"/>
    <cellStyle name="Normal 2 73 12 2" xfId="24978" xr:uid="{00000000-0005-0000-0000-00007E2A0000}"/>
    <cellStyle name="Normal 2 73 13" xfId="7251" xr:uid="{00000000-0005-0000-0000-00007F2A0000}"/>
    <cellStyle name="Normal 2 73 13 2" xfId="24979" xr:uid="{00000000-0005-0000-0000-0000802A0000}"/>
    <cellStyle name="Normal 2 73 14" xfId="7252" xr:uid="{00000000-0005-0000-0000-0000812A0000}"/>
    <cellStyle name="Normal 2 73 14 2" xfId="24980" xr:uid="{00000000-0005-0000-0000-0000822A0000}"/>
    <cellStyle name="Normal 2 73 15" xfId="24975" xr:uid="{00000000-0005-0000-0000-0000832A0000}"/>
    <cellStyle name="Normal 2 73 2" xfId="7253" xr:uid="{00000000-0005-0000-0000-0000842A0000}"/>
    <cellStyle name="Normal 2 73 2 2" xfId="24981" xr:uid="{00000000-0005-0000-0000-0000852A0000}"/>
    <cellStyle name="Normal 2 73 3" xfId="7254" xr:uid="{00000000-0005-0000-0000-0000862A0000}"/>
    <cellStyle name="Normal 2 73 3 2" xfId="24982" xr:uid="{00000000-0005-0000-0000-0000872A0000}"/>
    <cellStyle name="Normal 2 73 4" xfId="7255" xr:uid="{00000000-0005-0000-0000-0000882A0000}"/>
    <cellStyle name="Normal 2 73 4 2" xfId="24983" xr:uid="{00000000-0005-0000-0000-0000892A0000}"/>
    <cellStyle name="Normal 2 73 5" xfId="7256" xr:uid="{00000000-0005-0000-0000-00008A2A0000}"/>
    <cellStyle name="Normal 2 73 5 2" xfId="24984" xr:uid="{00000000-0005-0000-0000-00008B2A0000}"/>
    <cellStyle name="Normal 2 73 6" xfId="7257" xr:uid="{00000000-0005-0000-0000-00008C2A0000}"/>
    <cellStyle name="Normal 2 73 6 2" xfId="24985" xr:uid="{00000000-0005-0000-0000-00008D2A0000}"/>
    <cellStyle name="Normal 2 73 7" xfId="7258" xr:uid="{00000000-0005-0000-0000-00008E2A0000}"/>
    <cellStyle name="Normal 2 73 7 2" xfId="24986" xr:uid="{00000000-0005-0000-0000-00008F2A0000}"/>
    <cellStyle name="Normal 2 73 8" xfId="7259" xr:uid="{00000000-0005-0000-0000-0000902A0000}"/>
    <cellStyle name="Normal 2 73 8 2" xfId="24987" xr:uid="{00000000-0005-0000-0000-0000912A0000}"/>
    <cellStyle name="Normal 2 73 9" xfId="7260" xr:uid="{00000000-0005-0000-0000-0000922A0000}"/>
    <cellStyle name="Normal 2 73 9 2" xfId="24988" xr:uid="{00000000-0005-0000-0000-0000932A0000}"/>
    <cellStyle name="Normal 2 74" xfId="7261" xr:uid="{00000000-0005-0000-0000-0000942A0000}"/>
    <cellStyle name="Normal 2 74 10" xfId="7262" xr:uid="{00000000-0005-0000-0000-0000952A0000}"/>
    <cellStyle name="Normal 2 74 10 2" xfId="24990" xr:uid="{00000000-0005-0000-0000-0000962A0000}"/>
    <cellStyle name="Normal 2 74 11" xfId="7263" xr:uid="{00000000-0005-0000-0000-0000972A0000}"/>
    <cellStyle name="Normal 2 74 11 2" xfId="24991" xr:uid="{00000000-0005-0000-0000-0000982A0000}"/>
    <cellStyle name="Normal 2 74 12" xfId="7264" xr:uid="{00000000-0005-0000-0000-0000992A0000}"/>
    <cellStyle name="Normal 2 74 12 2" xfId="24992" xr:uid="{00000000-0005-0000-0000-00009A2A0000}"/>
    <cellStyle name="Normal 2 74 13" xfId="7265" xr:uid="{00000000-0005-0000-0000-00009B2A0000}"/>
    <cellStyle name="Normal 2 74 13 2" xfId="24993" xr:uid="{00000000-0005-0000-0000-00009C2A0000}"/>
    <cellStyle name="Normal 2 74 14" xfId="7266" xr:uid="{00000000-0005-0000-0000-00009D2A0000}"/>
    <cellStyle name="Normal 2 74 14 2" xfId="24994" xr:uid="{00000000-0005-0000-0000-00009E2A0000}"/>
    <cellStyle name="Normal 2 74 15" xfId="24989" xr:uid="{00000000-0005-0000-0000-00009F2A0000}"/>
    <cellStyle name="Normal 2 74 2" xfId="7267" xr:uid="{00000000-0005-0000-0000-0000A02A0000}"/>
    <cellStyle name="Normal 2 74 2 2" xfId="24995" xr:uid="{00000000-0005-0000-0000-0000A12A0000}"/>
    <cellStyle name="Normal 2 74 3" xfId="7268" xr:uid="{00000000-0005-0000-0000-0000A22A0000}"/>
    <cellStyle name="Normal 2 74 3 2" xfId="24996" xr:uid="{00000000-0005-0000-0000-0000A32A0000}"/>
    <cellStyle name="Normal 2 74 4" xfId="7269" xr:uid="{00000000-0005-0000-0000-0000A42A0000}"/>
    <cellStyle name="Normal 2 74 4 2" xfId="24997" xr:uid="{00000000-0005-0000-0000-0000A52A0000}"/>
    <cellStyle name="Normal 2 74 5" xfId="7270" xr:uid="{00000000-0005-0000-0000-0000A62A0000}"/>
    <cellStyle name="Normal 2 74 5 2" xfId="24998" xr:uid="{00000000-0005-0000-0000-0000A72A0000}"/>
    <cellStyle name="Normal 2 74 6" xfId="7271" xr:uid="{00000000-0005-0000-0000-0000A82A0000}"/>
    <cellStyle name="Normal 2 74 6 2" xfId="24999" xr:uid="{00000000-0005-0000-0000-0000A92A0000}"/>
    <cellStyle name="Normal 2 74 7" xfId="7272" xr:uid="{00000000-0005-0000-0000-0000AA2A0000}"/>
    <cellStyle name="Normal 2 74 7 2" xfId="25000" xr:uid="{00000000-0005-0000-0000-0000AB2A0000}"/>
    <cellStyle name="Normal 2 74 8" xfId="7273" xr:uid="{00000000-0005-0000-0000-0000AC2A0000}"/>
    <cellStyle name="Normal 2 74 8 2" xfId="25001" xr:uid="{00000000-0005-0000-0000-0000AD2A0000}"/>
    <cellStyle name="Normal 2 74 9" xfId="7274" xr:uid="{00000000-0005-0000-0000-0000AE2A0000}"/>
    <cellStyle name="Normal 2 74 9 2" xfId="25002" xr:uid="{00000000-0005-0000-0000-0000AF2A0000}"/>
    <cellStyle name="Normal 2 75" xfId="7275" xr:uid="{00000000-0005-0000-0000-0000B02A0000}"/>
    <cellStyle name="Normal 2 75 10" xfId="7276" xr:uid="{00000000-0005-0000-0000-0000B12A0000}"/>
    <cellStyle name="Normal 2 75 10 2" xfId="25004" xr:uid="{00000000-0005-0000-0000-0000B22A0000}"/>
    <cellStyle name="Normal 2 75 11" xfId="7277" xr:uid="{00000000-0005-0000-0000-0000B32A0000}"/>
    <cellStyle name="Normal 2 75 11 2" xfId="25005" xr:uid="{00000000-0005-0000-0000-0000B42A0000}"/>
    <cellStyle name="Normal 2 75 12" xfId="7278" xr:uid="{00000000-0005-0000-0000-0000B52A0000}"/>
    <cellStyle name="Normal 2 75 12 2" xfId="25006" xr:uid="{00000000-0005-0000-0000-0000B62A0000}"/>
    <cellStyle name="Normal 2 75 13" xfId="7279" xr:uid="{00000000-0005-0000-0000-0000B72A0000}"/>
    <cellStyle name="Normal 2 75 13 2" xfId="25007" xr:uid="{00000000-0005-0000-0000-0000B82A0000}"/>
    <cellStyle name="Normal 2 75 14" xfId="7280" xr:uid="{00000000-0005-0000-0000-0000B92A0000}"/>
    <cellStyle name="Normal 2 75 14 2" xfId="25008" xr:uid="{00000000-0005-0000-0000-0000BA2A0000}"/>
    <cellStyle name="Normal 2 75 15" xfId="25003" xr:uid="{00000000-0005-0000-0000-0000BB2A0000}"/>
    <cellStyle name="Normal 2 75 2" xfId="7281" xr:uid="{00000000-0005-0000-0000-0000BC2A0000}"/>
    <cellStyle name="Normal 2 75 2 2" xfId="25009" xr:uid="{00000000-0005-0000-0000-0000BD2A0000}"/>
    <cellStyle name="Normal 2 75 3" xfId="7282" xr:uid="{00000000-0005-0000-0000-0000BE2A0000}"/>
    <cellStyle name="Normal 2 75 3 2" xfId="25010" xr:uid="{00000000-0005-0000-0000-0000BF2A0000}"/>
    <cellStyle name="Normal 2 75 4" xfId="7283" xr:uid="{00000000-0005-0000-0000-0000C02A0000}"/>
    <cellStyle name="Normal 2 75 4 2" xfId="25011" xr:uid="{00000000-0005-0000-0000-0000C12A0000}"/>
    <cellStyle name="Normal 2 75 5" xfId="7284" xr:uid="{00000000-0005-0000-0000-0000C22A0000}"/>
    <cellStyle name="Normal 2 75 5 2" xfId="25012" xr:uid="{00000000-0005-0000-0000-0000C32A0000}"/>
    <cellStyle name="Normal 2 75 6" xfId="7285" xr:uid="{00000000-0005-0000-0000-0000C42A0000}"/>
    <cellStyle name="Normal 2 75 6 2" xfId="25013" xr:uid="{00000000-0005-0000-0000-0000C52A0000}"/>
    <cellStyle name="Normal 2 75 7" xfId="7286" xr:uid="{00000000-0005-0000-0000-0000C62A0000}"/>
    <cellStyle name="Normal 2 75 7 2" xfId="25014" xr:uid="{00000000-0005-0000-0000-0000C72A0000}"/>
    <cellStyle name="Normal 2 75 8" xfId="7287" xr:uid="{00000000-0005-0000-0000-0000C82A0000}"/>
    <cellStyle name="Normal 2 75 8 2" xfId="25015" xr:uid="{00000000-0005-0000-0000-0000C92A0000}"/>
    <cellStyle name="Normal 2 75 9" xfId="7288" xr:uid="{00000000-0005-0000-0000-0000CA2A0000}"/>
    <cellStyle name="Normal 2 75 9 2" xfId="25016" xr:uid="{00000000-0005-0000-0000-0000CB2A0000}"/>
    <cellStyle name="Normal 2 76" xfId="7289" xr:uid="{00000000-0005-0000-0000-0000CC2A0000}"/>
    <cellStyle name="Normal 2 76 10" xfId="7290" xr:uid="{00000000-0005-0000-0000-0000CD2A0000}"/>
    <cellStyle name="Normal 2 76 10 2" xfId="25018" xr:uid="{00000000-0005-0000-0000-0000CE2A0000}"/>
    <cellStyle name="Normal 2 76 11" xfId="7291" xr:uid="{00000000-0005-0000-0000-0000CF2A0000}"/>
    <cellStyle name="Normal 2 76 11 2" xfId="25019" xr:uid="{00000000-0005-0000-0000-0000D02A0000}"/>
    <cellStyle name="Normal 2 76 12" xfId="7292" xr:uid="{00000000-0005-0000-0000-0000D12A0000}"/>
    <cellStyle name="Normal 2 76 12 2" xfId="25020" xr:uid="{00000000-0005-0000-0000-0000D22A0000}"/>
    <cellStyle name="Normal 2 76 13" xfId="7293" xr:uid="{00000000-0005-0000-0000-0000D32A0000}"/>
    <cellStyle name="Normal 2 76 13 2" xfId="25021" xr:uid="{00000000-0005-0000-0000-0000D42A0000}"/>
    <cellStyle name="Normal 2 76 14" xfId="7294" xr:uid="{00000000-0005-0000-0000-0000D52A0000}"/>
    <cellStyle name="Normal 2 76 14 2" xfId="25022" xr:uid="{00000000-0005-0000-0000-0000D62A0000}"/>
    <cellStyle name="Normal 2 76 15" xfId="25017" xr:uid="{00000000-0005-0000-0000-0000D72A0000}"/>
    <cellStyle name="Normal 2 76 2" xfId="7295" xr:uid="{00000000-0005-0000-0000-0000D82A0000}"/>
    <cellStyle name="Normal 2 76 2 2" xfId="25023" xr:uid="{00000000-0005-0000-0000-0000D92A0000}"/>
    <cellStyle name="Normal 2 76 3" xfId="7296" xr:uid="{00000000-0005-0000-0000-0000DA2A0000}"/>
    <cellStyle name="Normal 2 76 3 2" xfId="25024" xr:uid="{00000000-0005-0000-0000-0000DB2A0000}"/>
    <cellStyle name="Normal 2 76 4" xfId="7297" xr:uid="{00000000-0005-0000-0000-0000DC2A0000}"/>
    <cellStyle name="Normal 2 76 4 2" xfId="25025" xr:uid="{00000000-0005-0000-0000-0000DD2A0000}"/>
    <cellStyle name="Normal 2 76 5" xfId="7298" xr:uid="{00000000-0005-0000-0000-0000DE2A0000}"/>
    <cellStyle name="Normal 2 76 5 2" xfId="25026" xr:uid="{00000000-0005-0000-0000-0000DF2A0000}"/>
    <cellStyle name="Normal 2 76 6" xfId="7299" xr:uid="{00000000-0005-0000-0000-0000E02A0000}"/>
    <cellStyle name="Normal 2 76 6 2" xfId="25027" xr:uid="{00000000-0005-0000-0000-0000E12A0000}"/>
    <cellStyle name="Normal 2 76 7" xfId="7300" xr:uid="{00000000-0005-0000-0000-0000E22A0000}"/>
    <cellStyle name="Normal 2 76 7 2" xfId="25028" xr:uid="{00000000-0005-0000-0000-0000E32A0000}"/>
    <cellStyle name="Normal 2 76 8" xfId="7301" xr:uid="{00000000-0005-0000-0000-0000E42A0000}"/>
    <cellStyle name="Normal 2 76 8 2" xfId="25029" xr:uid="{00000000-0005-0000-0000-0000E52A0000}"/>
    <cellStyle name="Normal 2 76 9" xfId="7302" xr:uid="{00000000-0005-0000-0000-0000E62A0000}"/>
    <cellStyle name="Normal 2 76 9 2" xfId="25030" xr:uid="{00000000-0005-0000-0000-0000E72A0000}"/>
    <cellStyle name="Normal 2 77" xfId="7303" xr:uid="{00000000-0005-0000-0000-0000E82A0000}"/>
    <cellStyle name="Normal 2 77 10" xfId="7304" xr:uid="{00000000-0005-0000-0000-0000E92A0000}"/>
    <cellStyle name="Normal 2 77 10 2" xfId="25032" xr:uid="{00000000-0005-0000-0000-0000EA2A0000}"/>
    <cellStyle name="Normal 2 77 11" xfId="7305" xr:uid="{00000000-0005-0000-0000-0000EB2A0000}"/>
    <cellStyle name="Normal 2 77 11 2" xfId="25033" xr:uid="{00000000-0005-0000-0000-0000EC2A0000}"/>
    <cellStyle name="Normal 2 77 12" xfId="7306" xr:uid="{00000000-0005-0000-0000-0000ED2A0000}"/>
    <cellStyle name="Normal 2 77 12 2" xfId="25034" xr:uid="{00000000-0005-0000-0000-0000EE2A0000}"/>
    <cellStyle name="Normal 2 77 13" xfId="7307" xr:uid="{00000000-0005-0000-0000-0000EF2A0000}"/>
    <cellStyle name="Normal 2 77 13 2" xfId="25035" xr:uid="{00000000-0005-0000-0000-0000F02A0000}"/>
    <cellStyle name="Normal 2 77 14" xfId="7308" xr:uid="{00000000-0005-0000-0000-0000F12A0000}"/>
    <cellStyle name="Normal 2 77 14 2" xfId="25036" xr:uid="{00000000-0005-0000-0000-0000F22A0000}"/>
    <cellStyle name="Normal 2 77 15" xfId="25031" xr:uid="{00000000-0005-0000-0000-0000F32A0000}"/>
    <cellStyle name="Normal 2 77 2" xfId="7309" xr:uid="{00000000-0005-0000-0000-0000F42A0000}"/>
    <cellStyle name="Normal 2 77 2 2" xfId="25037" xr:uid="{00000000-0005-0000-0000-0000F52A0000}"/>
    <cellStyle name="Normal 2 77 3" xfId="7310" xr:uid="{00000000-0005-0000-0000-0000F62A0000}"/>
    <cellStyle name="Normal 2 77 3 2" xfId="25038" xr:uid="{00000000-0005-0000-0000-0000F72A0000}"/>
    <cellStyle name="Normal 2 77 4" xfId="7311" xr:uid="{00000000-0005-0000-0000-0000F82A0000}"/>
    <cellStyle name="Normal 2 77 4 2" xfId="25039" xr:uid="{00000000-0005-0000-0000-0000F92A0000}"/>
    <cellStyle name="Normal 2 77 5" xfId="7312" xr:uid="{00000000-0005-0000-0000-0000FA2A0000}"/>
    <cellStyle name="Normal 2 77 5 2" xfId="25040" xr:uid="{00000000-0005-0000-0000-0000FB2A0000}"/>
    <cellStyle name="Normal 2 77 6" xfId="7313" xr:uid="{00000000-0005-0000-0000-0000FC2A0000}"/>
    <cellStyle name="Normal 2 77 6 2" xfId="25041" xr:uid="{00000000-0005-0000-0000-0000FD2A0000}"/>
    <cellStyle name="Normal 2 77 7" xfId="7314" xr:uid="{00000000-0005-0000-0000-0000FE2A0000}"/>
    <cellStyle name="Normal 2 77 7 2" xfId="25042" xr:uid="{00000000-0005-0000-0000-0000FF2A0000}"/>
    <cellStyle name="Normal 2 77 8" xfId="7315" xr:uid="{00000000-0005-0000-0000-0000002B0000}"/>
    <cellStyle name="Normal 2 77 8 2" xfId="25043" xr:uid="{00000000-0005-0000-0000-0000012B0000}"/>
    <cellStyle name="Normal 2 77 9" xfId="7316" xr:uid="{00000000-0005-0000-0000-0000022B0000}"/>
    <cellStyle name="Normal 2 77 9 2" xfId="25044" xr:uid="{00000000-0005-0000-0000-0000032B0000}"/>
    <cellStyle name="Normal 2 78" xfId="7317" xr:uid="{00000000-0005-0000-0000-0000042B0000}"/>
    <cellStyle name="Normal 2 78 10" xfId="7318" xr:uid="{00000000-0005-0000-0000-0000052B0000}"/>
    <cellStyle name="Normal 2 78 10 2" xfId="25046" xr:uid="{00000000-0005-0000-0000-0000062B0000}"/>
    <cellStyle name="Normal 2 78 11" xfId="7319" xr:uid="{00000000-0005-0000-0000-0000072B0000}"/>
    <cellStyle name="Normal 2 78 11 2" xfId="25047" xr:uid="{00000000-0005-0000-0000-0000082B0000}"/>
    <cellStyle name="Normal 2 78 12" xfId="7320" xr:uid="{00000000-0005-0000-0000-0000092B0000}"/>
    <cellStyle name="Normal 2 78 12 2" xfId="25048" xr:uid="{00000000-0005-0000-0000-00000A2B0000}"/>
    <cellStyle name="Normal 2 78 13" xfId="7321" xr:uid="{00000000-0005-0000-0000-00000B2B0000}"/>
    <cellStyle name="Normal 2 78 13 2" xfId="25049" xr:uid="{00000000-0005-0000-0000-00000C2B0000}"/>
    <cellStyle name="Normal 2 78 14" xfId="7322" xr:uid="{00000000-0005-0000-0000-00000D2B0000}"/>
    <cellStyle name="Normal 2 78 14 2" xfId="25050" xr:uid="{00000000-0005-0000-0000-00000E2B0000}"/>
    <cellStyle name="Normal 2 78 15" xfId="25045" xr:uid="{00000000-0005-0000-0000-00000F2B0000}"/>
    <cellStyle name="Normal 2 78 2" xfId="7323" xr:uid="{00000000-0005-0000-0000-0000102B0000}"/>
    <cellStyle name="Normal 2 78 2 2" xfId="25051" xr:uid="{00000000-0005-0000-0000-0000112B0000}"/>
    <cellStyle name="Normal 2 78 3" xfId="7324" xr:uid="{00000000-0005-0000-0000-0000122B0000}"/>
    <cellStyle name="Normal 2 78 3 2" xfId="25052" xr:uid="{00000000-0005-0000-0000-0000132B0000}"/>
    <cellStyle name="Normal 2 78 4" xfId="7325" xr:uid="{00000000-0005-0000-0000-0000142B0000}"/>
    <cellStyle name="Normal 2 78 4 2" xfId="25053" xr:uid="{00000000-0005-0000-0000-0000152B0000}"/>
    <cellStyle name="Normal 2 78 5" xfId="7326" xr:uid="{00000000-0005-0000-0000-0000162B0000}"/>
    <cellStyle name="Normal 2 78 5 2" xfId="25054" xr:uid="{00000000-0005-0000-0000-0000172B0000}"/>
    <cellStyle name="Normal 2 78 6" xfId="7327" xr:uid="{00000000-0005-0000-0000-0000182B0000}"/>
    <cellStyle name="Normal 2 78 6 2" xfId="25055" xr:uid="{00000000-0005-0000-0000-0000192B0000}"/>
    <cellStyle name="Normal 2 78 7" xfId="7328" xr:uid="{00000000-0005-0000-0000-00001A2B0000}"/>
    <cellStyle name="Normal 2 78 7 2" xfId="25056" xr:uid="{00000000-0005-0000-0000-00001B2B0000}"/>
    <cellStyle name="Normal 2 78 8" xfId="7329" xr:uid="{00000000-0005-0000-0000-00001C2B0000}"/>
    <cellStyle name="Normal 2 78 8 2" xfId="25057" xr:uid="{00000000-0005-0000-0000-00001D2B0000}"/>
    <cellStyle name="Normal 2 78 9" xfId="7330" xr:uid="{00000000-0005-0000-0000-00001E2B0000}"/>
    <cellStyle name="Normal 2 78 9 2" xfId="25058" xr:uid="{00000000-0005-0000-0000-00001F2B0000}"/>
    <cellStyle name="Normal 2 79" xfId="7331" xr:uid="{00000000-0005-0000-0000-0000202B0000}"/>
    <cellStyle name="Normal 2 8" xfId="183" xr:uid="{00000000-0005-0000-0000-0000212B0000}"/>
    <cellStyle name="Normal 2 8 2" xfId="557" xr:uid="{00000000-0005-0000-0000-0000222B0000}"/>
    <cellStyle name="Normal 2 8 2 2" xfId="7334" xr:uid="{00000000-0005-0000-0000-0000232B0000}"/>
    <cellStyle name="Normal 2 8 2 3" xfId="7333" xr:uid="{00000000-0005-0000-0000-0000242B0000}"/>
    <cellStyle name="Normal 2 8 3" xfId="7335" xr:uid="{00000000-0005-0000-0000-0000252B0000}"/>
    <cellStyle name="Normal 2 8 3 2" xfId="7336" xr:uid="{00000000-0005-0000-0000-0000262B0000}"/>
    <cellStyle name="Normal 2 8 4" xfId="7337" xr:uid="{00000000-0005-0000-0000-0000272B0000}"/>
    <cellStyle name="Normal 2 8 4 2" xfId="7338" xr:uid="{00000000-0005-0000-0000-0000282B0000}"/>
    <cellStyle name="Normal 2 8 5" xfId="7339" xr:uid="{00000000-0005-0000-0000-0000292B0000}"/>
    <cellStyle name="Normal 2 8 5 2" xfId="7340" xr:uid="{00000000-0005-0000-0000-00002A2B0000}"/>
    <cellStyle name="Normal 2 8 6" xfId="7341" xr:uid="{00000000-0005-0000-0000-00002B2B0000}"/>
    <cellStyle name="Normal 2 8 6 2" xfId="7342" xr:uid="{00000000-0005-0000-0000-00002C2B0000}"/>
    <cellStyle name="Normal 2 8 7" xfId="7343" xr:uid="{00000000-0005-0000-0000-00002D2B0000}"/>
    <cellStyle name="Normal 2 8 7 2" xfId="7344" xr:uid="{00000000-0005-0000-0000-00002E2B0000}"/>
    <cellStyle name="Normal 2 8 8" xfId="7345" xr:uid="{00000000-0005-0000-0000-00002F2B0000}"/>
    <cellStyle name="Normal 2 8 9" xfId="7332" xr:uid="{00000000-0005-0000-0000-0000302B0000}"/>
    <cellStyle name="Normal 2 80" xfId="7346" xr:uid="{00000000-0005-0000-0000-0000312B0000}"/>
    <cellStyle name="Normal 2 80 10" xfId="7347" xr:uid="{00000000-0005-0000-0000-0000322B0000}"/>
    <cellStyle name="Normal 2 80 10 2" xfId="25060" xr:uid="{00000000-0005-0000-0000-0000332B0000}"/>
    <cellStyle name="Normal 2 80 11" xfId="7348" xr:uid="{00000000-0005-0000-0000-0000342B0000}"/>
    <cellStyle name="Normal 2 80 11 2" xfId="25061" xr:uid="{00000000-0005-0000-0000-0000352B0000}"/>
    <cellStyle name="Normal 2 80 12" xfId="7349" xr:uid="{00000000-0005-0000-0000-0000362B0000}"/>
    <cellStyle name="Normal 2 80 12 2" xfId="25062" xr:uid="{00000000-0005-0000-0000-0000372B0000}"/>
    <cellStyle name="Normal 2 80 13" xfId="7350" xr:uid="{00000000-0005-0000-0000-0000382B0000}"/>
    <cellStyle name="Normal 2 80 13 2" xfId="25063" xr:uid="{00000000-0005-0000-0000-0000392B0000}"/>
    <cellStyle name="Normal 2 80 14" xfId="7351" xr:uid="{00000000-0005-0000-0000-00003A2B0000}"/>
    <cellStyle name="Normal 2 80 14 2" xfId="25064" xr:uid="{00000000-0005-0000-0000-00003B2B0000}"/>
    <cellStyle name="Normal 2 80 15" xfId="25059" xr:uid="{00000000-0005-0000-0000-00003C2B0000}"/>
    <cellStyle name="Normal 2 80 2" xfId="7352" xr:uid="{00000000-0005-0000-0000-00003D2B0000}"/>
    <cellStyle name="Normal 2 80 2 2" xfId="25065" xr:uid="{00000000-0005-0000-0000-00003E2B0000}"/>
    <cellStyle name="Normal 2 80 3" xfId="7353" xr:uid="{00000000-0005-0000-0000-00003F2B0000}"/>
    <cellStyle name="Normal 2 80 3 2" xfId="25066" xr:uid="{00000000-0005-0000-0000-0000402B0000}"/>
    <cellStyle name="Normal 2 80 4" xfId="7354" xr:uid="{00000000-0005-0000-0000-0000412B0000}"/>
    <cellStyle name="Normal 2 80 4 2" xfId="25067" xr:uid="{00000000-0005-0000-0000-0000422B0000}"/>
    <cellStyle name="Normal 2 80 5" xfId="7355" xr:uid="{00000000-0005-0000-0000-0000432B0000}"/>
    <cellStyle name="Normal 2 80 5 2" xfId="25068" xr:uid="{00000000-0005-0000-0000-0000442B0000}"/>
    <cellStyle name="Normal 2 80 6" xfId="7356" xr:uid="{00000000-0005-0000-0000-0000452B0000}"/>
    <cellStyle name="Normal 2 80 6 2" xfId="25069" xr:uid="{00000000-0005-0000-0000-0000462B0000}"/>
    <cellStyle name="Normal 2 80 7" xfId="7357" xr:uid="{00000000-0005-0000-0000-0000472B0000}"/>
    <cellStyle name="Normal 2 80 7 2" xfId="25070" xr:uid="{00000000-0005-0000-0000-0000482B0000}"/>
    <cellStyle name="Normal 2 80 8" xfId="7358" xr:uid="{00000000-0005-0000-0000-0000492B0000}"/>
    <cellStyle name="Normal 2 80 8 2" xfId="25071" xr:uid="{00000000-0005-0000-0000-00004A2B0000}"/>
    <cellStyle name="Normal 2 80 9" xfId="7359" xr:uid="{00000000-0005-0000-0000-00004B2B0000}"/>
    <cellStyle name="Normal 2 80 9 2" xfId="25072" xr:uid="{00000000-0005-0000-0000-00004C2B0000}"/>
    <cellStyle name="Normal 2 81" xfId="7360" xr:uid="{00000000-0005-0000-0000-00004D2B0000}"/>
    <cellStyle name="Normal 2 81 10" xfId="7361" xr:uid="{00000000-0005-0000-0000-00004E2B0000}"/>
    <cellStyle name="Normal 2 81 10 2" xfId="25074" xr:uid="{00000000-0005-0000-0000-00004F2B0000}"/>
    <cellStyle name="Normal 2 81 11" xfId="7362" xr:uid="{00000000-0005-0000-0000-0000502B0000}"/>
    <cellStyle name="Normal 2 81 11 2" xfId="25075" xr:uid="{00000000-0005-0000-0000-0000512B0000}"/>
    <cellStyle name="Normal 2 81 12" xfId="7363" xr:uid="{00000000-0005-0000-0000-0000522B0000}"/>
    <cellStyle name="Normal 2 81 12 2" xfId="25076" xr:uid="{00000000-0005-0000-0000-0000532B0000}"/>
    <cellStyle name="Normal 2 81 13" xfId="7364" xr:uid="{00000000-0005-0000-0000-0000542B0000}"/>
    <cellStyle name="Normal 2 81 13 2" xfId="25077" xr:uid="{00000000-0005-0000-0000-0000552B0000}"/>
    <cellStyle name="Normal 2 81 14" xfId="7365" xr:uid="{00000000-0005-0000-0000-0000562B0000}"/>
    <cellStyle name="Normal 2 81 14 2" xfId="25078" xr:uid="{00000000-0005-0000-0000-0000572B0000}"/>
    <cellStyle name="Normal 2 81 15" xfId="25073" xr:uid="{00000000-0005-0000-0000-0000582B0000}"/>
    <cellStyle name="Normal 2 81 2" xfId="7366" xr:uid="{00000000-0005-0000-0000-0000592B0000}"/>
    <cellStyle name="Normal 2 81 2 2" xfId="25079" xr:uid="{00000000-0005-0000-0000-00005A2B0000}"/>
    <cellStyle name="Normal 2 81 3" xfId="7367" xr:uid="{00000000-0005-0000-0000-00005B2B0000}"/>
    <cellStyle name="Normal 2 81 3 2" xfId="25080" xr:uid="{00000000-0005-0000-0000-00005C2B0000}"/>
    <cellStyle name="Normal 2 81 4" xfId="7368" xr:uid="{00000000-0005-0000-0000-00005D2B0000}"/>
    <cellStyle name="Normal 2 81 4 2" xfId="25081" xr:uid="{00000000-0005-0000-0000-00005E2B0000}"/>
    <cellStyle name="Normal 2 81 5" xfId="7369" xr:uid="{00000000-0005-0000-0000-00005F2B0000}"/>
    <cellStyle name="Normal 2 81 5 2" xfId="25082" xr:uid="{00000000-0005-0000-0000-0000602B0000}"/>
    <cellStyle name="Normal 2 81 6" xfId="7370" xr:uid="{00000000-0005-0000-0000-0000612B0000}"/>
    <cellStyle name="Normal 2 81 6 2" xfId="25083" xr:uid="{00000000-0005-0000-0000-0000622B0000}"/>
    <cellStyle name="Normal 2 81 7" xfId="7371" xr:uid="{00000000-0005-0000-0000-0000632B0000}"/>
    <cellStyle name="Normal 2 81 7 2" xfId="25084" xr:uid="{00000000-0005-0000-0000-0000642B0000}"/>
    <cellStyle name="Normal 2 81 8" xfId="7372" xr:uid="{00000000-0005-0000-0000-0000652B0000}"/>
    <cellStyle name="Normal 2 81 8 2" xfId="25085" xr:uid="{00000000-0005-0000-0000-0000662B0000}"/>
    <cellStyle name="Normal 2 81 9" xfId="7373" xr:uid="{00000000-0005-0000-0000-0000672B0000}"/>
    <cellStyle name="Normal 2 81 9 2" xfId="25086" xr:uid="{00000000-0005-0000-0000-0000682B0000}"/>
    <cellStyle name="Normal 2 9" xfId="468" xr:uid="{00000000-0005-0000-0000-0000692B0000}"/>
    <cellStyle name="Normal 2 9 2" xfId="7375" xr:uid="{00000000-0005-0000-0000-00006A2B0000}"/>
    <cellStyle name="Normal 2 9 2 2" xfId="7376" xr:uid="{00000000-0005-0000-0000-00006B2B0000}"/>
    <cellStyle name="Normal 2 9 3" xfId="7377" xr:uid="{00000000-0005-0000-0000-00006C2B0000}"/>
    <cellStyle name="Normal 2 9 3 2" xfId="7378" xr:uid="{00000000-0005-0000-0000-00006D2B0000}"/>
    <cellStyle name="Normal 2 9 4" xfId="7379" xr:uid="{00000000-0005-0000-0000-00006E2B0000}"/>
    <cellStyle name="Normal 2 9 4 2" xfId="7380" xr:uid="{00000000-0005-0000-0000-00006F2B0000}"/>
    <cellStyle name="Normal 2 9 5" xfId="7381" xr:uid="{00000000-0005-0000-0000-0000702B0000}"/>
    <cellStyle name="Normal 2 9 5 2" xfId="7382" xr:uid="{00000000-0005-0000-0000-0000712B0000}"/>
    <cellStyle name="Normal 2 9 6" xfId="7383" xr:uid="{00000000-0005-0000-0000-0000722B0000}"/>
    <cellStyle name="Normal 2 9 6 2" xfId="7384" xr:uid="{00000000-0005-0000-0000-0000732B0000}"/>
    <cellStyle name="Normal 2 9 7" xfId="7385" xr:uid="{00000000-0005-0000-0000-0000742B0000}"/>
    <cellStyle name="Normal 2 9 7 2" xfId="7386" xr:uid="{00000000-0005-0000-0000-0000752B0000}"/>
    <cellStyle name="Normal 2 9 8" xfId="7387" xr:uid="{00000000-0005-0000-0000-0000762B0000}"/>
    <cellStyle name="Normal 2 9 9" xfId="7374" xr:uid="{00000000-0005-0000-0000-0000772B0000}"/>
    <cellStyle name="Normal 20" xfId="329" xr:uid="{00000000-0005-0000-0000-0000782B0000}"/>
    <cellStyle name="Normal 20 10" xfId="7388" xr:uid="{00000000-0005-0000-0000-0000792B0000}"/>
    <cellStyle name="Normal 20 2" xfId="463" xr:uid="{00000000-0005-0000-0000-00007A2B0000}"/>
    <cellStyle name="Normal 20 2 2" xfId="7389" xr:uid="{00000000-0005-0000-0000-00007B2B0000}"/>
    <cellStyle name="Normal 20 3" xfId="7390" xr:uid="{00000000-0005-0000-0000-00007C2B0000}"/>
    <cellStyle name="Normal 20 4" xfId="7391" xr:uid="{00000000-0005-0000-0000-00007D2B0000}"/>
    <cellStyle name="Normal 20 5" xfId="7392" xr:uid="{00000000-0005-0000-0000-00007E2B0000}"/>
    <cellStyle name="Normal 20 6" xfId="7393" xr:uid="{00000000-0005-0000-0000-00007F2B0000}"/>
    <cellStyle name="Normal 20 7" xfId="7394" xr:uid="{00000000-0005-0000-0000-0000802B0000}"/>
    <cellStyle name="Normal 20 8" xfId="7395" xr:uid="{00000000-0005-0000-0000-0000812B0000}"/>
    <cellStyle name="Normal 20 9" xfId="7396" xr:uid="{00000000-0005-0000-0000-0000822B0000}"/>
    <cellStyle name="Normal 21" xfId="332" xr:uid="{00000000-0005-0000-0000-0000832B0000}"/>
    <cellStyle name="Normal 21 10" xfId="7397" xr:uid="{00000000-0005-0000-0000-0000842B0000}"/>
    <cellStyle name="Normal 21 2" xfId="522" xr:uid="{00000000-0005-0000-0000-0000852B0000}"/>
    <cellStyle name="Normal 21 2 2" xfId="7398" xr:uid="{00000000-0005-0000-0000-0000862B0000}"/>
    <cellStyle name="Normal 21 3" xfId="7399" xr:uid="{00000000-0005-0000-0000-0000872B0000}"/>
    <cellStyle name="Normal 21 4" xfId="7400" xr:uid="{00000000-0005-0000-0000-0000882B0000}"/>
    <cellStyle name="Normal 21 5" xfId="7401" xr:uid="{00000000-0005-0000-0000-0000892B0000}"/>
    <cellStyle name="Normal 21 6" xfId="7402" xr:uid="{00000000-0005-0000-0000-00008A2B0000}"/>
    <cellStyle name="Normal 21 7" xfId="7403" xr:uid="{00000000-0005-0000-0000-00008B2B0000}"/>
    <cellStyle name="Normal 21 8" xfId="7404" xr:uid="{00000000-0005-0000-0000-00008C2B0000}"/>
    <cellStyle name="Normal 21 9" xfId="7405" xr:uid="{00000000-0005-0000-0000-00008D2B0000}"/>
    <cellStyle name="Normal 22" xfId="348" xr:uid="{00000000-0005-0000-0000-00008E2B0000}"/>
    <cellStyle name="Normal 22 2" xfId="538" xr:uid="{00000000-0005-0000-0000-00008F2B0000}"/>
    <cellStyle name="Normal 22 2 2" xfId="7407" xr:uid="{00000000-0005-0000-0000-0000902B0000}"/>
    <cellStyle name="Normal 22 3" xfId="7406" xr:uid="{00000000-0005-0000-0000-0000912B0000}"/>
    <cellStyle name="Normal 23" xfId="389" xr:uid="{00000000-0005-0000-0000-0000922B0000}"/>
    <cellStyle name="Normal 23 2" xfId="581" xr:uid="{00000000-0005-0000-0000-0000932B0000}"/>
    <cellStyle name="Normal 24" xfId="430" xr:uid="{00000000-0005-0000-0000-0000942B0000}"/>
    <cellStyle name="Normal 24 2" xfId="587" xr:uid="{00000000-0005-0000-0000-0000952B0000}"/>
    <cellStyle name="Normal 24 2 2" xfId="7409" xr:uid="{00000000-0005-0000-0000-0000962B0000}"/>
    <cellStyle name="Normal 24 3" xfId="7408" xr:uid="{00000000-0005-0000-0000-0000972B0000}"/>
    <cellStyle name="Normal 25" xfId="433" xr:uid="{00000000-0005-0000-0000-0000982B0000}"/>
    <cellStyle name="Normal 25 2" xfId="591" xr:uid="{00000000-0005-0000-0000-0000992B0000}"/>
    <cellStyle name="Normal 25 2 2" xfId="7411" xr:uid="{00000000-0005-0000-0000-00009A2B0000}"/>
    <cellStyle name="Normal 25 3" xfId="7410" xr:uid="{00000000-0005-0000-0000-00009B2B0000}"/>
    <cellStyle name="Normal 26" xfId="49" xr:uid="{00000000-0005-0000-0000-00009C2B0000}"/>
    <cellStyle name="Normal 26 2" xfId="203" xr:uid="{00000000-0005-0000-0000-00009D2B0000}"/>
    <cellStyle name="Normal 26 3" xfId="7412" xr:uid="{00000000-0005-0000-0000-00009E2B0000}"/>
    <cellStyle name="Normal 26 4" xfId="7413" xr:uid="{00000000-0005-0000-0000-00009F2B0000}"/>
    <cellStyle name="Normal 26 5" xfId="7414" xr:uid="{00000000-0005-0000-0000-0000A02B0000}"/>
    <cellStyle name="Normal 26 6" xfId="7415" xr:uid="{00000000-0005-0000-0000-0000A12B0000}"/>
    <cellStyle name="Normal 26 7" xfId="7416" xr:uid="{00000000-0005-0000-0000-0000A22B0000}"/>
    <cellStyle name="Normal 27" xfId="50" xr:uid="{00000000-0005-0000-0000-0000A32B0000}"/>
    <cellStyle name="Normal 27 2" xfId="204" xr:uid="{00000000-0005-0000-0000-0000A42B0000}"/>
    <cellStyle name="Normal 27 3" xfId="7417" xr:uid="{00000000-0005-0000-0000-0000A52B0000}"/>
    <cellStyle name="Normal 27 4" xfId="7418" xr:uid="{00000000-0005-0000-0000-0000A62B0000}"/>
    <cellStyle name="Normal 27 5" xfId="7419" xr:uid="{00000000-0005-0000-0000-0000A72B0000}"/>
    <cellStyle name="Normal 27 6" xfId="7420" xr:uid="{00000000-0005-0000-0000-0000A82B0000}"/>
    <cellStyle name="Normal 27 7" xfId="7421" xr:uid="{00000000-0005-0000-0000-0000A92B0000}"/>
    <cellStyle name="Normal 27 8" xfId="7422" xr:uid="{00000000-0005-0000-0000-0000AA2B0000}"/>
    <cellStyle name="Normal 28" xfId="51" xr:uid="{00000000-0005-0000-0000-0000AB2B0000}"/>
    <cellStyle name="Normal 28 2" xfId="223" xr:uid="{00000000-0005-0000-0000-0000AC2B0000}"/>
    <cellStyle name="Normal 28 3" xfId="7423" xr:uid="{00000000-0005-0000-0000-0000AD2B0000}"/>
    <cellStyle name="Normal 28 3 10" xfId="7424" xr:uid="{00000000-0005-0000-0000-0000AE2B0000}"/>
    <cellStyle name="Normal 28 3 10 10" xfId="7425" xr:uid="{00000000-0005-0000-0000-0000AF2B0000}"/>
    <cellStyle name="Normal 28 3 10 10 2" xfId="25089" xr:uid="{00000000-0005-0000-0000-0000B02B0000}"/>
    <cellStyle name="Normal 28 3 10 11" xfId="7426" xr:uid="{00000000-0005-0000-0000-0000B12B0000}"/>
    <cellStyle name="Normal 28 3 10 11 2" xfId="25090" xr:uid="{00000000-0005-0000-0000-0000B22B0000}"/>
    <cellStyle name="Normal 28 3 10 12" xfId="7427" xr:uid="{00000000-0005-0000-0000-0000B32B0000}"/>
    <cellStyle name="Normal 28 3 10 12 2" xfId="25091" xr:uid="{00000000-0005-0000-0000-0000B42B0000}"/>
    <cellStyle name="Normal 28 3 10 13" xfId="7428" xr:uid="{00000000-0005-0000-0000-0000B52B0000}"/>
    <cellStyle name="Normal 28 3 10 13 2" xfId="25092" xr:uid="{00000000-0005-0000-0000-0000B62B0000}"/>
    <cellStyle name="Normal 28 3 10 14" xfId="7429" xr:uid="{00000000-0005-0000-0000-0000B72B0000}"/>
    <cellStyle name="Normal 28 3 10 14 2" xfId="25093" xr:uid="{00000000-0005-0000-0000-0000B82B0000}"/>
    <cellStyle name="Normal 28 3 10 15" xfId="25088" xr:uid="{00000000-0005-0000-0000-0000B92B0000}"/>
    <cellStyle name="Normal 28 3 10 2" xfId="7430" xr:uid="{00000000-0005-0000-0000-0000BA2B0000}"/>
    <cellStyle name="Normal 28 3 10 2 2" xfId="25094" xr:uid="{00000000-0005-0000-0000-0000BB2B0000}"/>
    <cellStyle name="Normal 28 3 10 3" xfId="7431" xr:uid="{00000000-0005-0000-0000-0000BC2B0000}"/>
    <cellStyle name="Normal 28 3 10 3 2" xfId="25095" xr:uid="{00000000-0005-0000-0000-0000BD2B0000}"/>
    <cellStyle name="Normal 28 3 10 4" xfId="7432" xr:uid="{00000000-0005-0000-0000-0000BE2B0000}"/>
    <cellStyle name="Normal 28 3 10 4 2" xfId="25096" xr:uid="{00000000-0005-0000-0000-0000BF2B0000}"/>
    <cellStyle name="Normal 28 3 10 5" xfId="7433" xr:uid="{00000000-0005-0000-0000-0000C02B0000}"/>
    <cellStyle name="Normal 28 3 10 5 2" xfId="25097" xr:uid="{00000000-0005-0000-0000-0000C12B0000}"/>
    <cellStyle name="Normal 28 3 10 6" xfId="7434" xr:uid="{00000000-0005-0000-0000-0000C22B0000}"/>
    <cellStyle name="Normal 28 3 10 6 2" xfId="25098" xr:uid="{00000000-0005-0000-0000-0000C32B0000}"/>
    <cellStyle name="Normal 28 3 10 7" xfId="7435" xr:uid="{00000000-0005-0000-0000-0000C42B0000}"/>
    <cellStyle name="Normal 28 3 10 7 2" xfId="25099" xr:uid="{00000000-0005-0000-0000-0000C52B0000}"/>
    <cellStyle name="Normal 28 3 10 8" xfId="7436" xr:uid="{00000000-0005-0000-0000-0000C62B0000}"/>
    <cellStyle name="Normal 28 3 10 8 2" xfId="25100" xr:uid="{00000000-0005-0000-0000-0000C72B0000}"/>
    <cellStyle name="Normal 28 3 10 9" xfId="7437" xr:uid="{00000000-0005-0000-0000-0000C82B0000}"/>
    <cellStyle name="Normal 28 3 10 9 2" xfId="25101" xr:uid="{00000000-0005-0000-0000-0000C92B0000}"/>
    <cellStyle name="Normal 28 3 11" xfId="7438" xr:uid="{00000000-0005-0000-0000-0000CA2B0000}"/>
    <cellStyle name="Normal 28 3 11 10" xfId="7439" xr:uid="{00000000-0005-0000-0000-0000CB2B0000}"/>
    <cellStyle name="Normal 28 3 11 10 2" xfId="25103" xr:uid="{00000000-0005-0000-0000-0000CC2B0000}"/>
    <cellStyle name="Normal 28 3 11 11" xfId="7440" xr:uid="{00000000-0005-0000-0000-0000CD2B0000}"/>
    <cellStyle name="Normal 28 3 11 11 2" xfId="25104" xr:uid="{00000000-0005-0000-0000-0000CE2B0000}"/>
    <cellStyle name="Normal 28 3 11 12" xfId="7441" xr:uid="{00000000-0005-0000-0000-0000CF2B0000}"/>
    <cellStyle name="Normal 28 3 11 12 2" xfId="25105" xr:uid="{00000000-0005-0000-0000-0000D02B0000}"/>
    <cellStyle name="Normal 28 3 11 13" xfId="7442" xr:uid="{00000000-0005-0000-0000-0000D12B0000}"/>
    <cellStyle name="Normal 28 3 11 13 2" xfId="25106" xr:uid="{00000000-0005-0000-0000-0000D22B0000}"/>
    <cellStyle name="Normal 28 3 11 14" xfId="7443" xr:uid="{00000000-0005-0000-0000-0000D32B0000}"/>
    <cellStyle name="Normal 28 3 11 14 2" xfId="25107" xr:uid="{00000000-0005-0000-0000-0000D42B0000}"/>
    <cellStyle name="Normal 28 3 11 15" xfId="25102" xr:uid="{00000000-0005-0000-0000-0000D52B0000}"/>
    <cellStyle name="Normal 28 3 11 2" xfId="7444" xr:uid="{00000000-0005-0000-0000-0000D62B0000}"/>
    <cellStyle name="Normal 28 3 11 2 2" xfId="25108" xr:uid="{00000000-0005-0000-0000-0000D72B0000}"/>
    <cellStyle name="Normal 28 3 11 3" xfId="7445" xr:uid="{00000000-0005-0000-0000-0000D82B0000}"/>
    <cellStyle name="Normal 28 3 11 3 2" xfId="25109" xr:uid="{00000000-0005-0000-0000-0000D92B0000}"/>
    <cellStyle name="Normal 28 3 11 4" xfId="7446" xr:uid="{00000000-0005-0000-0000-0000DA2B0000}"/>
    <cellStyle name="Normal 28 3 11 4 2" xfId="25110" xr:uid="{00000000-0005-0000-0000-0000DB2B0000}"/>
    <cellStyle name="Normal 28 3 11 5" xfId="7447" xr:uid="{00000000-0005-0000-0000-0000DC2B0000}"/>
    <cellStyle name="Normal 28 3 11 5 2" xfId="25111" xr:uid="{00000000-0005-0000-0000-0000DD2B0000}"/>
    <cellStyle name="Normal 28 3 11 6" xfId="7448" xr:uid="{00000000-0005-0000-0000-0000DE2B0000}"/>
    <cellStyle name="Normal 28 3 11 6 2" xfId="25112" xr:uid="{00000000-0005-0000-0000-0000DF2B0000}"/>
    <cellStyle name="Normal 28 3 11 7" xfId="7449" xr:uid="{00000000-0005-0000-0000-0000E02B0000}"/>
    <cellStyle name="Normal 28 3 11 7 2" xfId="25113" xr:uid="{00000000-0005-0000-0000-0000E12B0000}"/>
    <cellStyle name="Normal 28 3 11 8" xfId="7450" xr:uid="{00000000-0005-0000-0000-0000E22B0000}"/>
    <cellStyle name="Normal 28 3 11 8 2" xfId="25114" xr:uid="{00000000-0005-0000-0000-0000E32B0000}"/>
    <cellStyle name="Normal 28 3 11 9" xfId="7451" xr:uid="{00000000-0005-0000-0000-0000E42B0000}"/>
    <cellStyle name="Normal 28 3 11 9 2" xfId="25115" xr:uid="{00000000-0005-0000-0000-0000E52B0000}"/>
    <cellStyle name="Normal 28 3 12" xfId="7452" xr:uid="{00000000-0005-0000-0000-0000E62B0000}"/>
    <cellStyle name="Normal 28 3 12 10" xfId="7453" xr:uid="{00000000-0005-0000-0000-0000E72B0000}"/>
    <cellStyle name="Normal 28 3 12 10 2" xfId="25117" xr:uid="{00000000-0005-0000-0000-0000E82B0000}"/>
    <cellStyle name="Normal 28 3 12 11" xfId="7454" xr:uid="{00000000-0005-0000-0000-0000E92B0000}"/>
    <cellStyle name="Normal 28 3 12 11 2" xfId="25118" xr:uid="{00000000-0005-0000-0000-0000EA2B0000}"/>
    <cellStyle name="Normal 28 3 12 12" xfId="7455" xr:uid="{00000000-0005-0000-0000-0000EB2B0000}"/>
    <cellStyle name="Normal 28 3 12 12 2" xfId="25119" xr:uid="{00000000-0005-0000-0000-0000EC2B0000}"/>
    <cellStyle name="Normal 28 3 12 13" xfId="7456" xr:uid="{00000000-0005-0000-0000-0000ED2B0000}"/>
    <cellStyle name="Normal 28 3 12 13 2" xfId="25120" xr:uid="{00000000-0005-0000-0000-0000EE2B0000}"/>
    <cellStyle name="Normal 28 3 12 14" xfId="7457" xr:uid="{00000000-0005-0000-0000-0000EF2B0000}"/>
    <cellStyle name="Normal 28 3 12 14 2" xfId="25121" xr:uid="{00000000-0005-0000-0000-0000F02B0000}"/>
    <cellStyle name="Normal 28 3 12 15" xfId="25116" xr:uid="{00000000-0005-0000-0000-0000F12B0000}"/>
    <cellStyle name="Normal 28 3 12 2" xfId="7458" xr:uid="{00000000-0005-0000-0000-0000F22B0000}"/>
    <cellStyle name="Normal 28 3 12 2 2" xfId="25122" xr:uid="{00000000-0005-0000-0000-0000F32B0000}"/>
    <cellStyle name="Normal 28 3 12 3" xfId="7459" xr:uid="{00000000-0005-0000-0000-0000F42B0000}"/>
    <cellStyle name="Normal 28 3 12 3 2" xfId="25123" xr:uid="{00000000-0005-0000-0000-0000F52B0000}"/>
    <cellStyle name="Normal 28 3 12 4" xfId="7460" xr:uid="{00000000-0005-0000-0000-0000F62B0000}"/>
    <cellStyle name="Normal 28 3 12 4 2" xfId="25124" xr:uid="{00000000-0005-0000-0000-0000F72B0000}"/>
    <cellStyle name="Normal 28 3 12 5" xfId="7461" xr:uid="{00000000-0005-0000-0000-0000F82B0000}"/>
    <cellStyle name="Normal 28 3 12 5 2" xfId="25125" xr:uid="{00000000-0005-0000-0000-0000F92B0000}"/>
    <cellStyle name="Normal 28 3 12 6" xfId="7462" xr:uid="{00000000-0005-0000-0000-0000FA2B0000}"/>
    <cellStyle name="Normal 28 3 12 6 2" xfId="25126" xr:uid="{00000000-0005-0000-0000-0000FB2B0000}"/>
    <cellStyle name="Normal 28 3 12 7" xfId="7463" xr:uid="{00000000-0005-0000-0000-0000FC2B0000}"/>
    <cellStyle name="Normal 28 3 12 7 2" xfId="25127" xr:uid="{00000000-0005-0000-0000-0000FD2B0000}"/>
    <cellStyle name="Normal 28 3 12 8" xfId="7464" xr:uid="{00000000-0005-0000-0000-0000FE2B0000}"/>
    <cellStyle name="Normal 28 3 12 8 2" xfId="25128" xr:uid="{00000000-0005-0000-0000-0000FF2B0000}"/>
    <cellStyle name="Normal 28 3 12 9" xfId="7465" xr:uid="{00000000-0005-0000-0000-0000002C0000}"/>
    <cellStyle name="Normal 28 3 12 9 2" xfId="25129" xr:uid="{00000000-0005-0000-0000-0000012C0000}"/>
    <cellStyle name="Normal 28 3 13" xfId="7466" xr:uid="{00000000-0005-0000-0000-0000022C0000}"/>
    <cellStyle name="Normal 28 3 13 10" xfId="7467" xr:uid="{00000000-0005-0000-0000-0000032C0000}"/>
    <cellStyle name="Normal 28 3 13 10 2" xfId="25131" xr:uid="{00000000-0005-0000-0000-0000042C0000}"/>
    <cellStyle name="Normal 28 3 13 11" xfId="7468" xr:uid="{00000000-0005-0000-0000-0000052C0000}"/>
    <cellStyle name="Normal 28 3 13 11 2" xfId="25132" xr:uid="{00000000-0005-0000-0000-0000062C0000}"/>
    <cellStyle name="Normal 28 3 13 12" xfId="7469" xr:uid="{00000000-0005-0000-0000-0000072C0000}"/>
    <cellStyle name="Normal 28 3 13 12 2" xfId="25133" xr:uid="{00000000-0005-0000-0000-0000082C0000}"/>
    <cellStyle name="Normal 28 3 13 13" xfId="7470" xr:uid="{00000000-0005-0000-0000-0000092C0000}"/>
    <cellStyle name="Normal 28 3 13 13 2" xfId="25134" xr:uid="{00000000-0005-0000-0000-00000A2C0000}"/>
    <cellStyle name="Normal 28 3 13 14" xfId="7471" xr:uid="{00000000-0005-0000-0000-00000B2C0000}"/>
    <cellStyle name="Normal 28 3 13 14 2" xfId="25135" xr:uid="{00000000-0005-0000-0000-00000C2C0000}"/>
    <cellStyle name="Normal 28 3 13 15" xfId="25130" xr:uid="{00000000-0005-0000-0000-00000D2C0000}"/>
    <cellStyle name="Normal 28 3 13 2" xfId="7472" xr:uid="{00000000-0005-0000-0000-00000E2C0000}"/>
    <cellStyle name="Normal 28 3 13 2 2" xfId="25136" xr:uid="{00000000-0005-0000-0000-00000F2C0000}"/>
    <cellStyle name="Normal 28 3 13 3" xfId="7473" xr:uid="{00000000-0005-0000-0000-0000102C0000}"/>
    <cellStyle name="Normal 28 3 13 3 2" xfId="25137" xr:uid="{00000000-0005-0000-0000-0000112C0000}"/>
    <cellStyle name="Normal 28 3 13 4" xfId="7474" xr:uid="{00000000-0005-0000-0000-0000122C0000}"/>
    <cellStyle name="Normal 28 3 13 4 2" xfId="25138" xr:uid="{00000000-0005-0000-0000-0000132C0000}"/>
    <cellStyle name="Normal 28 3 13 5" xfId="7475" xr:uid="{00000000-0005-0000-0000-0000142C0000}"/>
    <cellStyle name="Normal 28 3 13 5 2" xfId="25139" xr:uid="{00000000-0005-0000-0000-0000152C0000}"/>
    <cellStyle name="Normal 28 3 13 6" xfId="7476" xr:uid="{00000000-0005-0000-0000-0000162C0000}"/>
    <cellStyle name="Normal 28 3 13 6 2" xfId="25140" xr:uid="{00000000-0005-0000-0000-0000172C0000}"/>
    <cellStyle name="Normal 28 3 13 7" xfId="7477" xr:uid="{00000000-0005-0000-0000-0000182C0000}"/>
    <cellStyle name="Normal 28 3 13 7 2" xfId="25141" xr:uid="{00000000-0005-0000-0000-0000192C0000}"/>
    <cellStyle name="Normal 28 3 13 8" xfId="7478" xr:uid="{00000000-0005-0000-0000-00001A2C0000}"/>
    <cellStyle name="Normal 28 3 13 8 2" xfId="25142" xr:uid="{00000000-0005-0000-0000-00001B2C0000}"/>
    <cellStyle name="Normal 28 3 13 9" xfId="7479" xr:uid="{00000000-0005-0000-0000-00001C2C0000}"/>
    <cellStyle name="Normal 28 3 13 9 2" xfId="25143" xr:uid="{00000000-0005-0000-0000-00001D2C0000}"/>
    <cellStyle name="Normal 28 3 14" xfId="7480" xr:uid="{00000000-0005-0000-0000-00001E2C0000}"/>
    <cellStyle name="Normal 28 3 14 10" xfId="7481" xr:uid="{00000000-0005-0000-0000-00001F2C0000}"/>
    <cellStyle name="Normal 28 3 14 10 2" xfId="25145" xr:uid="{00000000-0005-0000-0000-0000202C0000}"/>
    <cellStyle name="Normal 28 3 14 11" xfId="7482" xr:uid="{00000000-0005-0000-0000-0000212C0000}"/>
    <cellStyle name="Normal 28 3 14 11 2" xfId="25146" xr:uid="{00000000-0005-0000-0000-0000222C0000}"/>
    <cellStyle name="Normal 28 3 14 12" xfId="7483" xr:uid="{00000000-0005-0000-0000-0000232C0000}"/>
    <cellStyle name="Normal 28 3 14 12 2" xfId="25147" xr:uid="{00000000-0005-0000-0000-0000242C0000}"/>
    <cellStyle name="Normal 28 3 14 13" xfId="7484" xr:uid="{00000000-0005-0000-0000-0000252C0000}"/>
    <cellStyle name="Normal 28 3 14 13 2" xfId="25148" xr:uid="{00000000-0005-0000-0000-0000262C0000}"/>
    <cellStyle name="Normal 28 3 14 14" xfId="7485" xr:uid="{00000000-0005-0000-0000-0000272C0000}"/>
    <cellStyle name="Normal 28 3 14 14 2" xfId="25149" xr:uid="{00000000-0005-0000-0000-0000282C0000}"/>
    <cellStyle name="Normal 28 3 14 15" xfId="25144" xr:uid="{00000000-0005-0000-0000-0000292C0000}"/>
    <cellStyle name="Normal 28 3 14 2" xfId="7486" xr:uid="{00000000-0005-0000-0000-00002A2C0000}"/>
    <cellStyle name="Normal 28 3 14 2 2" xfId="25150" xr:uid="{00000000-0005-0000-0000-00002B2C0000}"/>
    <cellStyle name="Normal 28 3 14 3" xfId="7487" xr:uid="{00000000-0005-0000-0000-00002C2C0000}"/>
    <cellStyle name="Normal 28 3 14 3 2" xfId="25151" xr:uid="{00000000-0005-0000-0000-00002D2C0000}"/>
    <cellStyle name="Normal 28 3 14 4" xfId="7488" xr:uid="{00000000-0005-0000-0000-00002E2C0000}"/>
    <cellStyle name="Normal 28 3 14 4 2" xfId="25152" xr:uid="{00000000-0005-0000-0000-00002F2C0000}"/>
    <cellStyle name="Normal 28 3 14 5" xfId="7489" xr:uid="{00000000-0005-0000-0000-0000302C0000}"/>
    <cellStyle name="Normal 28 3 14 5 2" xfId="25153" xr:uid="{00000000-0005-0000-0000-0000312C0000}"/>
    <cellStyle name="Normal 28 3 14 6" xfId="7490" xr:uid="{00000000-0005-0000-0000-0000322C0000}"/>
    <cellStyle name="Normal 28 3 14 6 2" xfId="25154" xr:uid="{00000000-0005-0000-0000-0000332C0000}"/>
    <cellStyle name="Normal 28 3 14 7" xfId="7491" xr:uid="{00000000-0005-0000-0000-0000342C0000}"/>
    <cellStyle name="Normal 28 3 14 7 2" xfId="25155" xr:uid="{00000000-0005-0000-0000-0000352C0000}"/>
    <cellStyle name="Normal 28 3 14 8" xfId="7492" xr:uid="{00000000-0005-0000-0000-0000362C0000}"/>
    <cellStyle name="Normal 28 3 14 8 2" xfId="25156" xr:uid="{00000000-0005-0000-0000-0000372C0000}"/>
    <cellStyle name="Normal 28 3 14 9" xfId="7493" xr:uid="{00000000-0005-0000-0000-0000382C0000}"/>
    <cellStyle name="Normal 28 3 14 9 2" xfId="25157" xr:uid="{00000000-0005-0000-0000-0000392C0000}"/>
    <cellStyle name="Normal 28 3 15" xfId="7494" xr:uid="{00000000-0005-0000-0000-00003A2C0000}"/>
    <cellStyle name="Normal 28 3 15 10" xfId="7495" xr:uid="{00000000-0005-0000-0000-00003B2C0000}"/>
    <cellStyle name="Normal 28 3 15 10 2" xfId="25159" xr:uid="{00000000-0005-0000-0000-00003C2C0000}"/>
    <cellStyle name="Normal 28 3 15 11" xfId="7496" xr:uid="{00000000-0005-0000-0000-00003D2C0000}"/>
    <cellStyle name="Normal 28 3 15 11 2" xfId="25160" xr:uid="{00000000-0005-0000-0000-00003E2C0000}"/>
    <cellStyle name="Normal 28 3 15 12" xfId="7497" xr:uid="{00000000-0005-0000-0000-00003F2C0000}"/>
    <cellStyle name="Normal 28 3 15 12 2" xfId="25161" xr:uid="{00000000-0005-0000-0000-0000402C0000}"/>
    <cellStyle name="Normal 28 3 15 13" xfId="7498" xr:uid="{00000000-0005-0000-0000-0000412C0000}"/>
    <cellStyle name="Normal 28 3 15 13 2" xfId="25162" xr:uid="{00000000-0005-0000-0000-0000422C0000}"/>
    <cellStyle name="Normal 28 3 15 14" xfId="7499" xr:uid="{00000000-0005-0000-0000-0000432C0000}"/>
    <cellStyle name="Normal 28 3 15 14 2" xfId="25163" xr:uid="{00000000-0005-0000-0000-0000442C0000}"/>
    <cellStyle name="Normal 28 3 15 15" xfId="25158" xr:uid="{00000000-0005-0000-0000-0000452C0000}"/>
    <cellStyle name="Normal 28 3 15 2" xfId="7500" xr:uid="{00000000-0005-0000-0000-0000462C0000}"/>
    <cellStyle name="Normal 28 3 15 2 2" xfId="25164" xr:uid="{00000000-0005-0000-0000-0000472C0000}"/>
    <cellStyle name="Normal 28 3 15 3" xfId="7501" xr:uid="{00000000-0005-0000-0000-0000482C0000}"/>
    <cellStyle name="Normal 28 3 15 3 2" xfId="25165" xr:uid="{00000000-0005-0000-0000-0000492C0000}"/>
    <cellStyle name="Normal 28 3 15 4" xfId="7502" xr:uid="{00000000-0005-0000-0000-00004A2C0000}"/>
    <cellStyle name="Normal 28 3 15 4 2" xfId="25166" xr:uid="{00000000-0005-0000-0000-00004B2C0000}"/>
    <cellStyle name="Normal 28 3 15 5" xfId="7503" xr:uid="{00000000-0005-0000-0000-00004C2C0000}"/>
    <cellStyle name="Normal 28 3 15 5 2" xfId="25167" xr:uid="{00000000-0005-0000-0000-00004D2C0000}"/>
    <cellStyle name="Normal 28 3 15 6" xfId="7504" xr:uid="{00000000-0005-0000-0000-00004E2C0000}"/>
    <cellStyle name="Normal 28 3 15 6 2" xfId="25168" xr:uid="{00000000-0005-0000-0000-00004F2C0000}"/>
    <cellStyle name="Normal 28 3 15 7" xfId="7505" xr:uid="{00000000-0005-0000-0000-0000502C0000}"/>
    <cellStyle name="Normal 28 3 15 7 2" xfId="25169" xr:uid="{00000000-0005-0000-0000-0000512C0000}"/>
    <cellStyle name="Normal 28 3 15 8" xfId="7506" xr:uid="{00000000-0005-0000-0000-0000522C0000}"/>
    <cellStyle name="Normal 28 3 15 8 2" xfId="25170" xr:uid="{00000000-0005-0000-0000-0000532C0000}"/>
    <cellStyle name="Normal 28 3 15 9" xfId="7507" xr:uid="{00000000-0005-0000-0000-0000542C0000}"/>
    <cellStyle name="Normal 28 3 15 9 2" xfId="25171" xr:uid="{00000000-0005-0000-0000-0000552C0000}"/>
    <cellStyle name="Normal 28 3 16" xfId="7508" xr:uid="{00000000-0005-0000-0000-0000562C0000}"/>
    <cellStyle name="Normal 28 3 16 2" xfId="25172" xr:uid="{00000000-0005-0000-0000-0000572C0000}"/>
    <cellStyle name="Normal 28 3 17" xfId="7509" xr:uid="{00000000-0005-0000-0000-0000582C0000}"/>
    <cellStyle name="Normal 28 3 17 2" xfId="25173" xr:uid="{00000000-0005-0000-0000-0000592C0000}"/>
    <cellStyle name="Normal 28 3 18" xfId="7510" xr:uid="{00000000-0005-0000-0000-00005A2C0000}"/>
    <cellStyle name="Normal 28 3 18 2" xfId="25174" xr:uid="{00000000-0005-0000-0000-00005B2C0000}"/>
    <cellStyle name="Normal 28 3 19" xfId="7511" xr:uid="{00000000-0005-0000-0000-00005C2C0000}"/>
    <cellStyle name="Normal 28 3 19 2" xfId="25175" xr:uid="{00000000-0005-0000-0000-00005D2C0000}"/>
    <cellStyle name="Normal 28 3 2" xfId="7512" xr:uid="{00000000-0005-0000-0000-00005E2C0000}"/>
    <cellStyle name="Normal 28 3 2 10" xfId="7513" xr:uid="{00000000-0005-0000-0000-00005F2C0000}"/>
    <cellStyle name="Normal 28 3 2 10 2" xfId="25177" xr:uid="{00000000-0005-0000-0000-0000602C0000}"/>
    <cellStyle name="Normal 28 3 2 11" xfId="7514" xr:uid="{00000000-0005-0000-0000-0000612C0000}"/>
    <cellStyle name="Normal 28 3 2 11 2" xfId="25178" xr:uid="{00000000-0005-0000-0000-0000622C0000}"/>
    <cellStyle name="Normal 28 3 2 12" xfId="7515" xr:uid="{00000000-0005-0000-0000-0000632C0000}"/>
    <cellStyle name="Normal 28 3 2 12 2" xfId="25179" xr:uid="{00000000-0005-0000-0000-0000642C0000}"/>
    <cellStyle name="Normal 28 3 2 13" xfId="7516" xr:uid="{00000000-0005-0000-0000-0000652C0000}"/>
    <cellStyle name="Normal 28 3 2 13 2" xfId="25180" xr:uid="{00000000-0005-0000-0000-0000662C0000}"/>
    <cellStyle name="Normal 28 3 2 14" xfId="7517" xr:uid="{00000000-0005-0000-0000-0000672C0000}"/>
    <cellStyle name="Normal 28 3 2 14 2" xfId="25181" xr:uid="{00000000-0005-0000-0000-0000682C0000}"/>
    <cellStyle name="Normal 28 3 2 15" xfId="7518" xr:uid="{00000000-0005-0000-0000-0000692C0000}"/>
    <cellStyle name="Normal 28 3 2 15 2" xfId="25182" xr:uid="{00000000-0005-0000-0000-00006A2C0000}"/>
    <cellStyle name="Normal 28 3 2 16" xfId="25176" xr:uid="{00000000-0005-0000-0000-00006B2C0000}"/>
    <cellStyle name="Normal 28 3 2 2" xfId="7519" xr:uid="{00000000-0005-0000-0000-00006C2C0000}"/>
    <cellStyle name="Normal 28 3 2 2 10" xfId="7520" xr:uid="{00000000-0005-0000-0000-00006D2C0000}"/>
    <cellStyle name="Normal 28 3 2 2 10 2" xfId="25184" xr:uid="{00000000-0005-0000-0000-00006E2C0000}"/>
    <cellStyle name="Normal 28 3 2 2 11" xfId="7521" xr:uid="{00000000-0005-0000-0000-00006F2C0000}"/>
    <cellStyle name="Normal 28 3 2 2 11 2" xfId="25185" xr:uid="{00000000-0005-0000-0000-0000702C0000}"/>
    <cellStyle name="Normal 28 3 2 2 12" xfId="7522" xr:uid="{00000000-0005-0000-0000-0000712C0000}"/>
    <cellStyle name="Normal 28 3 2 2 12 2" xfId="25186" xr:uid="{00000000-0005-0000-0000-0000722C0000}"/>
    <cellStyle name="Normal 28 3 2 2 13" xfId="7523" xr:uid="{00000000-0005-0000-0000-0000732C0000}"/>
    <cellStyle name="Normal 28 3 2 2 13 2" xfId="25187" xr:uid="{00000000-0005-0000-0000-0000742C0000}"/>
    <cellStyle name="Normal 28 3 2 2 14" xfId="7524" xr:uid="{00000000-0005-0000-0000-0000752C0000}"/>
    <cellStyle name="Normal 28 3 2 2 14 2" xfId="25188" xr:uid="{00000000-0005-0000-0000-0000762C0000}"/>
    <cellStyle name="Normal 28 3 2 2 15" xfId="25183" xr:uid="{00000000-0005-0000-0000-0000772C0000}"/>
    <cellStyle name="Normal 28 3 2 2 2" xfId="7525" xr:uid="{00000000-0005-0000-0000-0000782C0000}"/>
    <cellStyle name="Normal 28 3 2 2 2 2" xfId="25189" xr:uid="{00000000-0005-0000-0000-0000792C0000}"/>
    <cellStyle name="Normal 28 3 2 2 3" xfId="7526" xr:uid="{00000000-0005-0000-0000-00007A2C0000}"/>
    <cellStyle name="Normal 28 3 2 2 3 2" xfId="25190" xr:uid="{00000000-0005-0000-0000-00007B2C0000}"/>
    <cellStyle name="Normal 28 3 2 2 4" xfId="7527" xr:uid="{00000000-0005-0000-0000-00007C2C0000}"/>
    <cellStyle name="Normal 28 3 2 2 4 2" xfId="25191" xr:uid="{00000000-0005-0000-0000-00007D2C0000}"/>
    <cellStyle name="Normal 28 3 2 2 5" xfId="7528" xr:uid="{00000000-0005-0000-0000-00007E2C0000}"/>
    <cellStyle name="Normal 28 3 2 2 5 2" xfId="25192" xr:uid="{00000000-0005-0000-0000-00007F2C0000}"/>
    <cellStyle name="Normal 28 3 2 2 6" xfId="7529" xr:uid="{00000000-0005-0000-0000-0000802C0000}"/>
    <cellStyle name="Normal 28 3 2 2 6 2" xfId="25193" xr:uid="{00000000-0005-0000-0000-0000812C0000}"/>
    <cellStyle name="Normal 28 3 2 2 7" xfId="7530" xr:uid="{00000000-0005-0000-0000-0000822C0000}"/>
    <cellStyle name="Normal 28 3 2 2 7 2" xfId="25194" xr:uid="{00000000-0005-0000-0000-0000832C0000}"/>
    <cellStyle name="Normal 28 3 2 2 8" xfId="7531" xr:uid="{00000000-0005-0000-0000-0000842C0000}"/>
    <cellStyle name="Normal 28 3 2 2 8 2" xfId="25195" xr:uid="{00000000-0005-0000-0000-0000852C0000}"/>
    <cellStyle name="Normal 28 3 2 2 9" xfId="7532" xr:uid="{00000000-0005-0000-0000-0000862C0000}"/>
    <cellStyle name="Normal 28 3 2 2 9 2" xfId="25196" xr:uid="{00000000-0005-0000-0000-0000872C0000}"/>
    <cellStyle name="Normal 28 3 2 3" xfId="7533" xr:uid="{00000000-0005-0000-0000-0000882C0000}"/>
    <cellStyle name="Normal 28 3 2 3 2" xfId="25197" xr:uid="{00000000-0005-0000-0000-0000892C0000}"/>
    <cellStyle name="Normal 28 3 2 4" xfId="7534" xr:uid="{00000000-0005-0000-0000-00008A2C0000}"/>
    <cellStyle name="Normal 28 3 2 4 2" xfId="25198" xr:uid="{00000000-0005-0000-0000-00008B2C0000}"/>
    <cellStyle name="Normal 28 3 2 5" xfId="7535" xr:uid="{00000000-0005-0000-0000-00008C2C0000}"/>
    <cellStyle name="Normal 28 3 2 5 2" xfId="25199" xr:uid="{00000000-0005-0000-0000-00008D2C0000}"/>
    <cellStyle name="Normal 28 3 2 6" xfId="7536" xr:uid="{00000000-0005-0000-0000-00008E2C0000}"/>
    <cellStyle name="Normal 28 3 2 6 2" xfId="25200" xr:uid="{00000000-0005-0000-0000-00008F2C0000}"/>
    <cellStyle name="Normal 28 3 2 7" xfId="7537" xr:uid="{00000000-0005-0000-0000-0000902C0000}"/>
    <cellStyle name="Normal 28 3 2 7 2" xfId="25201" xr:uid="{00000000-0005-0000-0000-0000912C0000}"/>
    <cellStyle name="Normal 28 3 2 8" xfId="7538" xr:uid="{00000000-0005-0000-0000-0000922C0000}"/>
    <cellStyle name="Normal 28 3 2 8 2" xfId="25202" xr:uid="{00000000-0005-0000-0000-0000932C0000}"/>
    <cellStyle name="Normal 28 3 2 9" xfId="7539" xr:uid="{00000000-0005-0000-0000-0000942C0000}"/>
    <cellStyle name="Normal 28 3 2 9 2" xfId="25203" xr:uid="{00000000-0005-0000-0000-0000952C0000}"/>
    <cellStyle name="Normal 28 3 20" xfId="7540" xr:uid="{00000000-0005-0000-0000-0000962C0000}"/>
    <cellStyle name="Normal 28 3 20 2" xfId="25204" xr:uid="{00000000-0005-0000-0000-0000972C0000}"/>
    <cellStyle name="Normal 28 3 21" xfId="7541" xr:uid="{00000000-0005-0000-0000-0000982C0000}"/>
    <cellStyle name="Normal 28 3 21 2" xfId="25205" xr:uid="{00000000-0005-0000-0000-0000992C0000}"/>
    <cellStyle name="Normal 28 3 22" xfId="7542" xr:uid="{00000000-0005-0000-0000-00009A2C0000}"/>
    <cellStyle name="Normal 28 3 22 2" xfId="25206" xr:uid="{00000000-0005-0000-0000-00009B2C0000}"/>
    <cellStyle name="Normal 28 3 23" xfId="7543" xr:uid="{00000000-0005-0000-0000-00009C2C0000}"/>
    <cellStyle name="Normal 28 3 23 2" xfId="25207" xr:uid="{00000000-0005-0000-0000-00009D2C0000}"/>
    <cellStyle name="Normal 28 3 24" xfId="7544" xr:uid="{00000000-0005-0000-0000-00009E2C0000}"/>
    <cellStyle name="Normal 28 3 24 2" xfId="25208" xr:uid="{00000000-0005-0000-0000-00009F2C0000}"/>
    <cellStyle name="Normal 28 3 25" xfId="7545" xr:uid="{00000000-0005-0000-0000-0000A02C0000}"/>
    <cellStyle name="Normal 28 3 25 2" xfId="25209" xr:uid="{00000000-0005-0000-0000-0000A12C0000}"/>
    <cellStyle name="Normal 28 3 26" xfId="7546" xr:uid="{00000000-0005-0000-0000-0000A22C0000}"/>
    <cellStyle name="Normal 28 3 26 2" xfId="25210" xr:uid="{00000000-0005-0000-0000-0000A32C0000}"/>
    <cellStyle name="Normal 28 3 27" xfId="7547" xr:uid="{00000000-0005-0000-0000-0000A42C0000}"/>
    <cellStyle name="Normal 28 3 27 2" xfId="25211" xr:uid="{00000000-0005-0000-0000-0000A52C0000}"/>
    <cellStyle name="Normal 28 3 28" xfId="7548" xr:uid="{00000000-0005-0000-0000-0000A62C0000}"/>
    <cellStyle name="Normal 28 3 28 2" xfId="25212" xr:uid="{00000000-0005-0000-0000-0000A72C0000}"/>
    <cellStyle name="Normal 28 3 29" xfId="25087" xr:uid="{00000000-0005-0000-0000-0000A82C0000}"/>
    <cellStyle name="Normal 28 3 3" xfId="7549" xr:uid="{00000000-0005-0000-0000-0000A92C0000}"/>
    <cellStyle name="Normal 28 3 3 10" xfId="7550" xr:uid="{00000000-0005-0000-0000-0000AA2C0000}"/>
    <cellStyle name="Normal 28 3 3 10 2" xfId="25214" xr:uid="{00000000-0005-0000-0000-0000AB2C0000}"/>
    <cellStyle name="Normal 28 3 3 11" xfId="7551" xr:uid="{00000000-0005-0000-0000-0000AC2C0000}"/>
    <cellStyle name="Normal 28 3 3 11 2" xfId="25215" xr:uid="{00000000-0005-0000-0000-0000AD2C0000}"/>
    <cellStyle name="Normal 28 3 3 12" xfId="7552" xr:uid="{00000000-0005-0000-0000-0000AE2C0000}"/>
    <cellStyle name="Normal 28 3 3 12 2" xfId="25216" xr:uid="{00000000-0005-0000-0000-0000AF2C0000}"/>
    <cellStyle name="Normal 28 3 3 13" xfId="7553" xr:uid="{00000000-0005-0000-0000-0000B02C0000}"/>
    <cellStyle name="Normal 28 3 3 13 2" xfId="25217" xr:uid="{00000000-0005-0000-0000-0000B12C0000}"/>
    <cellStyle name="Normal 28 3 3 14" xfId="7554" xr:uid="{00000000-0005-0000-0000-0000B22C0000}"/>
    <cellStyle name="Normal 28 3 3 14 2" xfId="25218" xr:uid="{00000000-0005-0000-0000-0000B32C0000}"/>
    <cellStyle name="Normal 28 3 3 15" xfId="7555" xr:uid="{00000000-0005-0000-0000-0000B42C0000}"/>
    <cellStyle name="Normal 28 3 3 15 2" xfId="25219" xr:uid="{00000000-0005-0000-0000-0000B52C0000}"/>
    <cellStyle name="Normal 28 3 3 16" xfId="25213" xr:uid="{00000000-0005-0000-0000-0000B62C0000}"/>
    <cellStyle name="Normal 28 3 3 2" xfId="7556" xr:uid="{00000000-0005-0000-0000-0000B72C0000}"/>
    <cellStyle name="Normal 28 3 3 2 10" xfId="7557" xr:uid="{00000000-0005-0000-0000-0000B82C0000}"/>
    <cellStyle name="Normal 28 3 3 2 10 2" xfId="25221" xr:uid="{00000000-0005-0000-0000-0000B92C0000}"/>
    <cellStyle name="Normal 28 3 3 2 11" xfId="7558" xr:uid="{00000000-0005-0000-0000-0000BA2C0000}"/>
    <cellStyle name="Normal 28 3 3 2 11 2" xfId="25222" xr:uid="{00000000-0005-0000-0000-0000BB2C0000}"/>
    <cellStyle name="Normal 28 3 3 2 12" xfId="7559" xr:uid="{00000000-0005-0000-0000-0000BC2C0000}"/>
    <cellStyle name="Normal 28 3 3 2 12 2" xfId="25223" xr:uid="{00000000-0005-0000-0000-0000BD2C0000}"/>
    <cellStyle name="Normal 28 3 3 2 13" xfId="7560" xr:uid="{00000000-0005-0000-0000-0000BE2C0000}"/>
    <cellStyle name="Normal 28 3 3 2 13 2" xfId="25224" xr:uid="{00000000-0005-0000-0000-0000BF2C0000}"/>
    <cellStyle name="Normal 28 3 3 2 14" xfId="7561" xr:uid="{00000000-0005-0000-0000-0000C02C0000}"/>
    <cellStyle name="Normal 28 3 3 2 14 2" xfId="25225" xr:uid="{00000000-0005-0000-0000-0000C12C0000}"/>
    <cellStyle name="Normal 28 3 3 2 15" xfId="25220" xr:uid="{00000000-0005-0000-0000-0000C22C0000}"/>
    <cellStyle name="Normal 28 3 3 2 2" xfId="7562" xr:uid="{00000000-0005-0000-0000-0000C32C0000}"/>
    <cellStyle name="Normal 28 3 3 2 2 2" xfId="25226" xr:uid="{00000000-0005-0000-0000-0000C42C0000}"/>
    <cellStyle name="Normal 28 3 3 2 3" xfId="7563" xr:uid="{00000000-0005-0000-0000-0000C52C0000}"/>
    <cellStyle name="Normal 28 3 3 2 3 2" xfId="25227" xr:uid="{00000000-0005-0000-0000-0000C62C0000}"/>
    <cellStyle name="Normal 28 3 3 2 4" xfId="7564" xr:uid="{00000000-0005-0000-0000-0000C72C0000}"/>
    <cellStyle name="Normal 28 3 3 2 4 2" xfId="25228" xr:uid="{00000000-0005-0000-0000-0000C82C0000}"/>
    <cellStyle name="Normal 28 3 3 2 5" xfId="7565" xr:uid="{00000000-0005-0000-0000-0000C92C0000}"/>
    <cellStyle name="Normal 28 3 3 2 5 2" xfId="25229" xr:uid="{00000000-0005-0000-0000-0000CA2C0000}"/>
    <cellStyle name="Normal 28 3 3 2 6" xfId="7566" xr:uid="{00000000-0005-0000-0000-0000CB2C0000}"/>
    <cellStyle name="Normal 28 3 3 2 6 2" xfId="25230" xr:uid="{00000000-0005-0000-0000-0000CC2C0000}"/>
    <cellStyle name="Normal 28 3 3 2 7" xfId="7567" xr:uid="{00000000-0005-0000-0000-0000CD2C0000}"/>
    <cellStyle name="Normal 28 3 3 2 7 2" xfId="25231" xr:uid="{00000000-0005-0000-0000-0000CE2C0000}"/>
    <cellStyle name="Normal 28 3 3 2 8" xfId="7568" xr:uid="{00000000-0005-0000-0000-0000CF2C0000}"/>
    <cellStyle name="Normal 28 3 3 2 8 2" xfId="25232" xr:uid="{00000000-0005-0000-0000-0000D02C0000}"/>
    <cellStyle name="Normal 28 3 3 2 9" xfId="7569" xr:uid="{00000000-0005-0000-0000-0000D12C0000}"/>
    <cellStyle name="Normal 28 3 3 2 9 2" xfId="25233" xr:uid="{00000000-0005-0000-0000-0000D22C0000}"/>
    <cellStyle name="Normal 28 3 3 3" xfId="7570" xr:uid="{00000000-0005-0000-0000-0000D32C0000}"/>
    <cellStyle name="Normal 28 3 3 3 2" xfId="25234" xr:uid="{00000000-0005-0000-0000-0000D42C0000}"/>
    <cellStyle name="Normal 28 3 3 4" xfId="7571" xr:uid="{00000000-0005-0000-0000-0000D52C0000}"/>
    <cellStyle name="Normal 28 3 3 4 2" xfId="25235" xr:uid="{00000000-0005-0000-0000-0000D62C0000}"/>
    <cellStyle name="Normal 28 3 3 5" xfId="7572" xr:uid="{00000000-0005-0000-0000-0000D72C0000}"/>
    <cellStyle name="Normal 28 3 3 5 2" xfId="25236" xr:uid="{00000000-0005-0000-0000-0000D82C0000}"/>
    <cellStyle name="Normal 28 3 3 6" xfId="7573" xr:uid="{00000000-0005-0000-0000-0000D92C0000}"/>
    <cellStyle name="Normal 28 3 3 6 2" xfId="25237" xr:uid="{00000000-0005-0000-0000-0000DA2C0000}"/>
    <cellStyle name="Normal 28 3 3 7" xfId="7574" xr:uid="{00000000-0005-0000-0000-0000DB2C0000}"/>
    <cellStyle name="Normal 28 3 3 7 2" xfId="25238" xr:uid="{00000000-0005-0000-0000-0000DC2C0000}"/>
    <cellStyle name="Normal 28 3 3 8" xfId="7575" xr:uid="{00000000-0005-0000-0000-0000DD2C0000}"/>
    <cellStyle name="Normal 28 3 3 8 2" xfId="25239" xr:uid="{00000000-0005-0000-0000-0000DE2C0000}"/>
    <cellStyle name="Normal 28 3 3 9" xfId="7576" xr:uid="{00000000-0005-0000-0000-0000DF2C0000}"/>
    <cellStyle name="Normal 28 3 3 9 2" xfId="25240" xr:uid="{00000000-0005-0000-0000-0000E02C0000}"/>
    <cellStyle name="Normal 28 3 4" xfId="7577" xr:uid="{00000000-0005-0000-0000-0000E12C0000}"/>
    <cellStyle name="Normal 28 3 4 10" xfId="7578" xr:uid="{00000000-0005-0000-0000-0000E22C0000}"/>
    <cellStyle name="Normal 28 3 4 10 2" xfId="25242" xr:uid="{00000000-0005-0000-0000-0000E32C0000}"/>
    <cellStyle name="Normal 28 3 4 11" xfId="7579" xr:uid="{00000000-0005-0000-0000-0000E42C0000}"/>
    <cellStyle name="Normal 28 3 4 11 2" xfId="25243" xr:uid="{00000000-0005-0000-0000-0000E52C0000}"/>
    <cellStyle name="Normal 28 3 4 12" xfId="7580" xr:uid="{00000000-0005-0000-0000-0000E62C0000}"/>
    <cellStyle name="Normal 28 3 4 12 2" xfId="25244" xr:uid="{00000000-0005-0000-0000-0000E72C0000}"/>
    <cellStyle name="Normal 28 3 4 13" xfId="7581" xr:uid="{00000000-0005-0000-0000-0000E82C0000}"/>
    <cellStyle name="Normal 28 3 4 13 2" xfId="25245" xr:uid="{00000000-0005-0000-0000-0000E92C0000}"/>
    <cellStyle name="Normal 28 3 4 14" xfId="7582" xr:uid="{00000000-0005-0000-0000-0000EA2C0000}"/>
    <cellStyle name="Normal 28 3 4 14 2" xfId="25246" xr:uid="{00000000-0005-0000-0000-0000EB2C0000}"/>
    <cellStyle name="Normal 28 3 4 15" xfId="7583" xr:uid="{00000000-0005-0000-0000-0000EC2C0000}"/>
    <cellStyle name="Normal 28 3 4 15 2" xfId="25247" xr:uid="{00000000-0005-0000-0000-0000ED2C0000}"/>
    <cellStyle name="Normal 28 3 4 16" xfId="25241" xr:uid="{00000000-0005-0000-0000-0000EE2C0000}"/>
    <cellStyle name="Normal 28 3 4 2" xfId="7584" xr:uid="{00000000-0005-0000-0000-0000EF2C0000}"/>
    <cellStyle name="Normal 28 3 4 2 10" xfId="7585" xr:uid="{00000000-0005-0000-0000-0000F02C0000}"/>
    <cellStyle name="Normal 28 3 4 2 10 2" xfId="25249" xr:uid="{00000000-0005-0000-0000-0000F12C0000}"/>
    <cellStyle name="Normal 28 3 4 2 11" xfId="7586" xr:uid="{00000000-0005-0000-0000-0000F22C0000}"/>
    <cellStyle name="Normal 28 3 4 2 11 2" xfId="25250" xr:uid="{00000000-0005-0000-0000-0000F32C0000}"/>
    <cellStyle name="Normal 28 3 4 2 12" xfId="7587" xr:uid="{00000000-0005-0000-0000-0000F42C0000}"/>
    <cellStyle name="Normal 28 3 4 2 12 2" xfId="25251" xr:uid="{00000000-0005-0000-0000-0000F52C0000}"/>
    <cellStyle name="Normal 28 3 4 2 13" xfId="7588" xr:uid="{00000000-0005-0000-0000-0000F62C0000}"/>
    <cellStyle name="Normal 28 3 4 2 13 2" xfId="25252" xr:uid="{00000000-0005-0000-0000-0000F72C0000}"/>
    <cellStyle name="Normal 28 3 4 2 14" xfId="7589" xr:uid="{00000000-0005-0000-0000-0000F82C0000}"/>
    <cellStyle name="Normal 28 3 4 2 14 2" xfId="25253" xr:uid="{00000000-0005-0000-0000-0000F92C0000}"/>
    <cellStyle name="Normal 28 3 4 2 15" xfId="25248" xr:uid="{00000000-0005-0000-0000-0000FA2C0000}"/>
    <cellStyle name="Normal 28 3 4 2 2" xfId="7590" xr:uid="{00000000-0005-0000-0000-0000FB2C0000}"/>
    <cellStyle name="Normal 28 3 4 2 2 2" xfId="25254" xr:uid="{00000000-0005-0000-0000-0000FC2C0000}"/>
    <cellStyle name="Normal 28 3 4 2 3" xfId="7591" xr:uid="{00000000-0005-0000-0000-0000FD2C0000}"/>
    <cellStyle name="Normal 28 3 4 2 3 2" xfId="25255" xr:uid="{00000000-0005-0000-0000-0000FE2C0000}"/>
    <cellStyle name="Normal 28 3 4 2 4" xfId="7592" xr:uid="{00000000-0005-0000-0000-0000FF2C0000}"/>
    <cellStyle name="Normal 28 3 4 2 4 2" xfId="25256" xr:uid="{00000000-0005-0000-0000-0000002D0000}"/>
    <cellStyle name="Normal 28 3 4 2 5" xfId="7593" xr:uid="{00000000-0005-0000-0000-0000012D0000}"/>
    <cellStyle name="Normal 28 3 4 2 5 2" xfId="25257" xr:uid="{00000000-0005-0000-0000-0000022D0000}"/>
    <cellStyle name="Normal 28 3 4 2 6" xfId="7594" xr:uid="{00000000-0005-0000-0000-0000032D0000}"/>
    <cellStyle name="Normal 28 3 4 2 6 2" xfId="25258" xr:uid="{00000000-0005-0000-0000-0000042D0000}"/>
    <cellStyle name="Normal 28 3 4 2 7" xfId="7595" xr:uid="{00000000-0005-0000-0000-0000052D0000}"/>
    <cellStyle name="Normal 28 3 4 2 7 2" xfId="25259" xr:uid="{00000000-0005-0000-0000-0000062D0000}"/>
    <cellStyle name="Normal 28 3 4 2 8" xfId="7596" xr:uid="{00000000-0005-0000-0000-0000072D0000}"/>
    <cellStyle name="Normal 28 3 4 2 8 2" xfId="25260" xr:uid="{00000000-0005-0000-0000-0000082D0000}"/>
    <cellStyle name="Normal 28 3 4 2 9" xfId="7597" xr:uid="{00000000-0005-0000-0000-0000092D0000}"/>
    <cellStyle name="Normal 28 3 4 2 9 2" xfId="25261" xr:uid="{00000000-0005-0000-0000-00000A2D0000}"/>
    <cellStyle name="Normal 28 3 4 3" xfId="7598" xr:uid="{00000000-0005-0000-0000-00000B2D0000}"/>
    <cellStyle name="Normal 28 3 4 3 2" xfId="25262" xr:uid="{00000000-0005-0000-0000-00000C2D0000}"/>
    <cellStyle name="Normal 28 3 4 4" xfId="7599" xr:uid="{00000000-0005-0000-0000-00000D2D0000}"/>
    <cellStyle name="Normal 28 3 4 4 2" xfId="25263" xr:uid="{00000000-0005-0000-0000-00000E2D0000}"/>
    <cellStyle name="Normal 28 3 4 5" xfId="7600" xr:uid="{00000000-0005-0000-0000-00000F2D0000}"/>
    <cellStyle name="Normal 28 3 4 5 2" xfId="25264" xr:uid="{00000000-0005-0000-0000-0000102D0000}"/>
    <cellStyle name="Normal 28 3 4 6" xfId="7601" xr:uid="{00000000-0005-0000-0000-0000112D0000}"/>
    <cellStyle name="Normal 28 3 4 6 2" xfId="25265" xr:uid="{00000000-0005-0000-0000-0000122D0000}"/>
    <cellStyle name="Normal 28 3 4 7" xfId="7602" xr:uid="{00000000-0005-0000-0000-0000132D0000}"/>
    <cellStyle name="Normal 28 3 4 7 2" xfId="25266" xr:uid="{00000000-0005-0000-0000-0000142D0000}"/>
    <cellStyle name="Normal 28 3 4 8" xfId="7603" xr:uid="{00000000-0005-0000-0000-0000152D0000}"/>
    <cellStyle name="Normal 28 3 4 8 2" xfId="25267" xr:uid="{00000000-0005-0000-0000-0000162D0000}"/>
    <cellStyle name="Normal 28 3 4 9" xfId="7604" xr:uid="{00000000-0005-0000-0000-0000172D0000}"/>
    <cellStyle name="Normal 28 3 4 9 2" xfId="25268" xr:uid="{00000000-0005-0000-0000-0000182D0000}"/>
    <cellStyle name="Normal 28 3 5" xfId="7605" xr:uid="{00000000-0005-0000-0000-0000192D0000}"/>
    <cellStyle name="Normal 28 3 5 10" xfId="7606" xr:uid="{00000000-0005-0000-0000-00001A2D0000}"/>
    <cellStyle name="Normal 28 3 5 10 2" xfId="25270" xr:uid="{00000000-0005-0000-0000-00001B2D0000}"/>
    <cellStyle name="Normal 28 3 5 11" xfId="7607" xr:uid="{00000000-0005-0000-0000-00001C2D0000}"/>
    <cellStyle name="Normal 28 3 5 11 2" xfId="25271" xr:uid="{00000000-0005-0000-0000-00001D2D0000}"/>
    <cellStyle name="Normal 28 3 5 12" xfId="7608" xr:uid="{00000000-0005-0000-0000-00001E2D0000}"/>
    <cellStyle name="Normal 28 3 5 12 2" xfId="25272" xr:uid="{00000000-0005-0000-0000-00001F2D0000}"/>
    <cellStyle name="Normal 28 3 5 13" xfId="7609" xr:uid="{00000000-0005-0000-0000-0000202D0000}"/>
    <cellStyle name="Normal 28 3 5 13 2" xfId="25273" xr:uid="{00000000-0005-0000-0000-0000212D0000}"/>
    <cellStyle name="Normal 28 3 5 14" xfId="7610" xr:uid="{00000000-0005-0000-0000-0000222D0000}"/>
    <cellStyle name="Normal 28 3 5 14 2" xfId="25274" xr:uid="{00000000-0005-0000-0000-0000232D0000}"/>
    <cellStyle name="Normal 28 3 5 15" xfId="25269" xr:uid="{00000000-0005-0000-0000-0000242D0000}"/>
    <cellStyle name="Normal 28 3 5 2" xfId="7611" xr:uid="{00000000-0005-0000-0000-0000252D0000}"/>
    <cellStyle name="Normal 28 3 5 2 2" xfId="25275" xr:uid="{00000000-0005-0000-0000-0000262D0000}"/>
    <cellStyle name="Normal 28 3 5 3" xfId="7612" xr:uid="{00000000-0005-0000-0000-0000272D0000}"/>
    <cellStyle name="Normal 28 3 5 3 2" xfId="25276" xr:uid="{00000000-0005-0000-0000-0000282D0000}"/>
    <cellStyle name="Normal 28 3 5 4" xfId="7613" xr:uid="{00000000-0005-0000-0000-0000292D0000}"/>
    <cellStyle name="Normal 28 3 5 4 2" xfId="25277" xr:uid="{00000000-0005-0000-0000-00002A2D0000}"/>
    <cellStyle name="Normal 28 3 5 5" xfId="7614" xr:uid="{00000000-0005-0000-0000-00002B2D0000}"/>
    <cellStyle name="Normal 28 3 5 5 2" xfId="25278" xr:uid="{00000000-0005-0000-0000-00002C2D0000}"/>
    <cellStyle name="Normal 28 3 5 6" xfId="7615" xr:uid="{00000000-0005-0000-0000-00002D2D0000}"/>
    <cellStyle name="Normal 28 3 5 6 2" xfId="25279" xr:uid="{00000000-0005-0000-0000-00002E2D0000}"/>
    <cellStyle name="Normal 28 3 5 7" xfId="7616" xr:uid="{00000000-0005-0000-0000-00002F2D0000}"/>
    <cellStyle name="Normal 28 3 5 7 2" xfId="25280" xr:uid="{00000000-0005-0000-0000-0000302D0000}"/>
    <cellStyle name="Normal 28 3 5 8" xfId="7617" xr:uid="{00000000-0005-0000-0000-0000312D0000}"/>
    <cellStyle name="Normal 28 3 5 8 2" xfId="25281" xr:uid="{00000000-0005-0000-0000-0000322D0000}"/>
    <cellStyle name="Normal 28 3 5 9" xfId="7618" xr:uid="{00000000-0005-0000-0000-0000332D0000}"/>
    <cellStyle name="Normal 28 3 5 9 2" xfId="25282" xr:uid="{00000000-0005-0000-0000-0000342D0000}"/>
    <cellStyle name="Normal 28 3 6" xfId="7619" xr:uid="{00000000-0005-0000-0000-0000352D0000}"/>
    <cellStyle name="Normal 28 3 6 10" xfId="7620" xr:uid="{00000000-0005-0000-0000-0000362D0000}"/>
    <cellStyle name="Normal 28 3 6 10 2" xfId="25284" xr:uid="{00000000-0005-0000-0000-0000372D0000}"/>
    <cellStyle name="Normal 28 3 6 11" xfId="7621" xr:uid="{00000000-0005-0000-0000-0000382D0000}"/>
    <cellStyle name="Normal 28 3 6 11 2" xfId="25285" xr:uid="{00000000-0005-0000-0000-0000392D0000}"/>
    <cellStyle name="Normal 28 3 6 12" xfId="7622" xr:uid="{00000000-0005-0000-0000-00003A2D0000}"/>
    <cellStyle name="Normal 28 3 6 12 2" xfId="25286" xr:uid="{00000000-0005-0000-0000-00003B2D0000}"/>
    <cellStyle name="Normal 28 3 6 13" xfId="7623" xr:uid="{00000000-0005-0000-0000-00003C2D0000}"/>
    <cellStyle name="Normal 28 3 6 13 2" xfId="25287" xr:uid="{00000000-0005-0000-0000-00003D2D0000}"/>
    <cellStyle name="Normal 28 3 6 14" xfId="7624" xr:uid="{00000000-0005-0000-0000-00003E2D0000}"/>
    <cellStyle name="Normal 28 3 6 14 2" xfId="25288" xr:uid="{00000000-0005-0000-0000-00003F2D0000}"/>
    <cellStyle name="Normal 28 3 6 15" xfId="25283" xr:uid="{00000000-0005-0000-0000-0000402D0000}"/>
    <cellStyle name="Normal 28 3 6 2" xfId="7625" xr:uid="{00000000-0005-0000-0000-0000412D0000}"/>
    <cellStyle name="Normal 28 3 6 2 2" xfId="25289" xr:uid="{00000000-0005-0000-0000-0000422D0000}"/>
    <cellStyle name="Normal 28 3 6 3" xfId="7626" xr:uid="{00000000-0005-0000-0000-0000432D0000}"/>
    <cellStyle name="Normal 28 3 6 3 2" xfId="25290" xr:uid="{00000000-0005-0000-0000-0000442D0000}"/>
    <cellStyle name="Normal 28 3 6 4" xfId="7627" xr:uid="{00000000-0005-0000-0000-0000452D0000}"/>
    <cellStyle name="Normal 28 3 6 4 2" xfId="25291" xr:uid="{00000000-0005-0000-0000-0000462D0000}"/>
    <cellStyle name="Normal 28 3 6 5" xfId="7628" xr:uid="{00000000-0005-0000-0000-0000472D0000}"/>
    <cellStyle name="Normal 28 3 6 5 2" xfId="25292" xr:uid="{00000000-0005-0000-0000-0000482D0000}"/>
    <cellStyle name="Normal 28 3 6 6" xfId="7629" xr:uid="{00000000-0005-0000-0000-0000492D0000}"/>
    <cellStyle name="Normal 28 3 6 6 2" xfId="25293" xr:uid="{00000000-0005-0000-0000-00004A2D0000}"/>
    <cellStyle name="Normal 28 3 6 7" xfId="7630" xr:uid="{00000000-0005-0000-0000-00004B2D0000}"/>
    <cellStyle name="Normal 28 3 6 7 2" xfId="25294" xr:uid="{00000000-0005-0000-0000-00004C2D0000}"/>
    <cellStyle name="Normal 28 3 6 8" xfId="7631" xr:uid="{00000000-0005-0000-0000-00004D2D0000}"/>
    <cellStyle name="Normal 28 3 6 8 2" xfId="25295" xr:uid="{00000000-0005-0000-0000-00004E2D0000}"/>
    <cellStyle name="Normal 28 3 6 9" xfId="7632" xr:uid="{00000000-0005-0000-0000-00004F2D0000}"/>
    <cellStyle name="Normal 28 3 6 9 2" xfId="25296" xr:uid="{00000000-0005-0000-0000-0000502D0000}"/>
    <cellStyle name="Normal 28 3 7" xfId="7633" xr:uid="{00000000-0005-0000-0000-0000512D0000}"/>
    <cellStyle name="Normal 28 3 7 10" xfId="7634" xr:uid="{00000000-0005-0000-0000-0000522D0000}"/>
    <cellStyle name="Normal 28 3 7 10 2" xfId="25298" xr:uid="{00000000-0005-0000-0000-0000532D0000}"/>
    <cellStyle name="Normal 28 3 7 11" xfId="7635" xr:uid="{00000000-0005-0000-0000-0000542D0000}"/>
    <cellStyle name="Normal 28 3 7 11 2" xfId="25299" xr:uid="{00000000-0005-0000-0000-0000552D0000}"/>
    <cellStyle name="Normal 28 3 7 12" xfId="7636" xr:uid="{00000000-0005-0000-0000-0000562D0000}"/>
    <cellStyle name="Normal 28 3 7 12 2" xfId="25300" xr:uid="{00000000-0005-0000-0000-0000572D0000}"/>
    <cellStyle name="Normal 28 3 7 13" xfId="7637" xr:uid="{00000000-0005-0000-0000-0000582D0000}"/>
    <cellStyle name="Normal 28 3 7 13 2" xfId="25301" xr:uid="{00000000-0005-0000-0000-0000592D0000}"/>
    <cellStyle name="Normal 28 3 7 14" xfId="7638" xr:uid="{00000000-0005-0000-0000-00005A2D0000}"/>
    <cellStyle name="Normal 28 3 7 14 2" xfId="25302" xr:uid="{00000000-0005-0000-0000-00005B2D0000}"/>
    <cellStyle name="Normal 28 3 7 15" xfId="25297" xr:uid="{00000000-0005-0000-0000-00005C2D0000}"/>
    <cellStyle name="Normal 28 3 7 2" xfId="7639" xr:uid="{00000000-0005-0000-0000-00005D2D0000}"/>
    <cellStyle name="Normal 28 3 7 2 2" xfId="25303" xr:uid="{00000000-0005-0000-0000-00005E2D0000}"/>
    <cellStyle name="Normal 28 3 7 3" xfId="7640" xr:uid="{00000000-0005-0000-0000-00005F2D0000}"/>
    <cellStyle name="Normal 28 3 7 3 2" xfId="25304" xr:uid="{00000000-0005-0000-0000-0000602D0000}"/>
    <cellStyle name="Normal 28 3 7 4" xfId="7641" xr:uid="{00000000-0005-0000-0000-0000612D0000}"/>
    <cellStyle name="Normal 28 3 7 4 2" xfId="25305" xr:uid="{00000000-0005-0000-0000-0000622D0000}"/>
    <cellStyle name="Normal 28 3 7 5" xfId="7642" xr:uid="{00000000-0005-0000-0000-0000632D0000}"/>
    <cellStyle name="Normal 28 3 7 5 2" xfId="25306" xr:uid="{00000000-0005-0000-0000-0000642D0000}"/>
    <cellStyle name="Normal 28 3 7 6" xfId="7643" xr:uid="{00000000-0005-0000-0000-0000652D0000}"/>
    <cellStyle name="Normal 28 3 7 6 2" xfId="25307" xr:uid="{00000000-0005-0000-0000-0000662D0000}"/>
    <cellStyle name="Normal 28 3 7 7" xfId="7644" xr:uid="{00000000-0005-0000-0000-0000672D0000}"/>
    <cellStyle name="Normal 28 3 7 7 2" xfId="25308" xr:uid="{00000000-0005-0000-0000-0000682D0000}"/>
    <cellStyle name="Normal 28 3 7 8" xfId="7645" xr:uid="{00000000-0005-0000-0000-0000692D0000}"/>
    <cellStyle name="Normal 28 3 7 8 2" xfId="25309" xr:uid="{00000000-0005-0000-0000-00006A2D0000}"/>
    <cellStyle name="Normal 28 3 7 9" xfId="7646" xr:uid="{00000000-0005-0000-0000-00006B2D0000}"/>
    <cellStyle name="Normal 28 3 7 9 2" xfId="25310" xr:uid="{00000000-0005-0000-0000-00006C2D0000}"/>
    <cellStyle name="Normal 28 3 8" xfId="7647" xr:uid="{00000000-0005-0000-0000-00006D2D0000}"/>
    <cellStyle name="Normal 28 3 8 10" xfId="7648" xr:uid="{00000000-0005-0000-0000-00006E2D0000}"/>
    <cellStyle name="Normal 28 3 8 10 2" xfId="25312" xr:uid="{00000000-0005-0000-0000-00006F2D0000}"/>
    <cellStyle name="Normal 28 3 8 11" xfId="7649" xr:uid="{00000000-0005-0000-0000-0000702D0000}"/>
    <cellStyle name="Normal 28 3 8 11 2" xfId="25313" xr:uid="{00000000-0005-0000-0000-0000712D0000}"/>
    <cellStyle name="Normal 28 3 8 12" xfId="7650" xr:uid="{00000000-0005-0000-0000-0000722D0000}"/>
    <cellStyle name="Normal 28 3 8 12 2" xfId="25314" xr:uid="{00000000-0005-0000-0000-0000732D0000}"/>
    <cellStyle name="Normal 28 3 8 13" xfId="7651" xr:uid="{00000000-0005-0000-0000-0000742D0000}"/>
    <cellStyle name="Normal 28 3 8 13 2" xfId="25315" xr:uid="{00000000-0005-0000-0000-0000752D0000}"/>
    <cellStyle name="Normal 28 3 8 14" xfId="7652" xr:uid="{00000000-0005-0000-0000-0000762D0000}"/>
    <cellStyle name="Normal 28 3 8 14 2" xfId="25316" xr:uid="{00000000-0005-0000-0000-0000772D0000}"/>
    <cellStyle name="Normal 28 3 8 15" xfId="25311" xr:uid="{00000000-0005-0000-0000-0000782D0000}"/>
    <cellStyle name="Normal 28 3 8 2" xfId="7653" xr:uid="{00000000-0005-0000-0000-0000792D0000}"/>
    <cellStyle name="Normal 28 3 8 2 2" xfId="25317" xr:uid="{00000000-0005-0000-0000-00007A2D0000}"/>
    <cellStyle name="Normal 28 3 8 3" xfId="7654" xr:uid="{00000000-0005-0000-0000-00007B2D0000}"/>
    <cellStyle name="Normal 28 3 8 3 2" xfId="25318" xr:uid="{00000000-0005-0000-0000-00007C2D0000}"/>
    <cellStyle name="Normal 28 3 8 4" xfId="7655" xr:uid="{00000000-0005-0000-0000-00007D2D0000}"/>
    <cellStyle name="Normal 28 3 8 4 2" xfId="25319" xr:uid="{00000000-0005-0000-0000-00007E2D0000}"/>
    <cellStyle name="Normal 28 3 8 5" xfId="7656" xr:uid="{00000000-0005-0000-0000-00007F2D0000}"/>
    <cellStyle name="Normal 28 3 8 5 2" xfId="25320" xr:uid="{00000000-0005-0000-0000-0000802D0000}"/>
    <cellStyle name="Normal 28 3 8 6" xfId="7657" xr:uid="{00000000-0005-0000-0000-0000812D0000}"/>
    <cellStyle name="Normal 28 3 8 6 2" xfId="25321" xr:uid="{00000000-0005-0000-0000-0000822D0000}"/>
    <cellStyle name="Normal 28 3 8 7" xfId="7658" xr:uid="{00000000-0005-0000-0000-0000832D0000}"/>
    <cellStyle name="Normal 28 3 8 7 2" xfId="25322" xr:uid="{00000000-0005-0000-0000-0000842D0000}"/>
    <cellStyle name="Normal 28 3 8 8" xfId="7659" xr:uid="{00000000-0005-0000-0000-0000852D0000}"/>
    <cellStyle name="Normal 28 3 8 8 2" xfId="25323" xr:uid="{00000000-0005-0000-0000-0000862D0000}"/>
    <cellStyle name="Normal 28 3 8 9" xfId="7660" xr:uid="{00000000-0005-0000-0000-0000872D0000}"/>
    <cellStyle name="Normal 28 3 8 9 2" xfId="25324" xr:uid="{00000000-0005-0000-0000-0000882D0000}"/>
    <cellStyle name="Normal 28 3 9" xfId="7661" xr:uid="{00000000-0005-0000-0000-0000892D0000}"/>
    <cellStyle name="Normal 28 3 9 10" xfId="7662" xr:uid="{00000000-0005-0000-0000-00008A2D0000}"/>
    <cellStyle name="Normal 28 3 9 10 2" xfId="25326" xr:uid="{00000000-0005-0000-0000-00008B2D0000}"/>
    <cellStyle name="Normal 28 3 9 11" xfId="7663" xr:uid="{00000000-0005-0000-0000-00008C2D0000}"/>
    <cellStyle name="Normal 28 3 9 11 2" xfId="25327" xr:uid="{00000000-0005-0000-0000-00008D2D0000}"/>
    <cellStyle name="Normal 28 3 9 12" xfId="7664" xr:uid="{00000000-0005-0000-0000-00008E2D0000}"/>
    <cellStyle name="Normal 28 3 9 12 2" xfId="25328" xr:uid="{00000000-0005-0000-0000-00008F2D0000}"/>
    <cellStyle name="Normal 28 3 9 13" xfId="7665" xr:uid="{00000000-0005-0000-0000-0000902D0000}"/>
    <cellStyle name="Normal 28 3 9 13 2" xfId="25329" xr:uid="{00000000-0005-0000-0000-0000912D0000}"/>
    <cellStyle name="Normal 28 3 9 14" xfId="7666" xr:uid="{00000000-0005-0000-0000-0000922D0000}"/>
    <cellStyle name="Normal 28 3 9 14 2" xfId="25330" xr:uid="{00000000-0005-0000-0000-0000932D0000}"/>
    <cellStyle name="Normal 28 3 9 15" xfId="25325" xr:uid="{00000000-0005-0000-0000-0000942D0000}"/>
    <cellStyle name="Normal 28 3 9 2" xfId="7667" xr:uid="{00000000-0005-0000-0000-0000952D0000}"/>
    <cellStyle name="Normal 28 3 9 2 2" xfId="25331" xr:uid="{00000000-0005-0000-0000-0000962D0000}"/>
    <cellStyle name="Normal 28 3 9 3" xfId="7668" xr:uid="{00000000-0005-0000-0000-0000972D0000}"/>
    <cellStyle name="Normal 28 3 9 3 2" xfId="25332" xr:uid="{00000000-0005-0000-0000-0000982D0000}"/>
    <cellStyle name="Normal 28 3 9 4" xfId="7669" xr:uid="{00000000-0005-0000-0000-0000992D0000}"/>
    <cellStyle name="Normal 28 3 9 4 2" xfId="25333" xr:uid="{00000000-0005-0000-0000-00009A2D0000}"/>
    <cellStyle name="Normal 28 3 9 5" xfId="7670" xr:uid="{00000000-0005-0000-0000-00009B2D0000}"/>
    <cellStyle name="Normal 28 3 9 5 2" xfId="25334" xr:uid="{00000000-0005-0000-0000-00009C2D0000}"/>
    <cellStyle name="Normal 28 3 9 6" xfId="7671" xr:uid="{00000000-0005-0000-0000-00009D2D0000}"/>
    <cellStyle name="Normal 28 3 9 6 2" xfId="25335" xr:uid="{00000000-0005-0000-0000-00009E2D0000}"/>
    <cellStyle name="Normal 28 3 9 7" xfId="7672" xr:uid="{00000000-0005-0000-0000-00009F2D0000}"/>
    <cellStyle name="Normal 28 3 9 7 2" xfId="25336" xr:uid="{00000000-0005-0000-0000-0000A02D0000}"/>
    <cellStyle name="Normal 28 3 9 8" xfId="7673" xr:uid="{00000000-0005-0000-0000-0000A12D0000}"/>
    <cellStyle name="Normal 28 3 9 8 2" xfId="25337" xr:uid="{00000000-0005-0000-0000-0000A22D0000}"/>
    <cellStyle name="Normal 28 3 9 9" xfId="7674" xr:uid="{00000000-0005-0000-0000-0000A32D0000}"/>
    <cellStyle name="Normal 28 3 9 9 2" xfId="25338" xr:uid="{00000000-0005-0000-0000-0000A42D0000}"/>
    <cellStyle name="Normal 28 4" xfId="7675" xr:uid="{00000000-0005-0000-0000-0000A52D0000}"/>
    <cellStyle name="Normal 28 4 10" xfId="7676" xr:uid="{00000000-0005-0000-0000-0000A62D0000}"/>
    <cellStyle name="Normal 28 4 10 10" xfId="7677" xr:uid="{00000000-0005-0000-0000-0000A72D0000}"/>
    <cellStyle name="Normal 28 4 10 10 2" xfId="25341" xr:uid="{00000000-0005-0000-0000-0000A82D0000}"/>
    <cellStyle name="Normal 28 4 10 11" xfId="7678" xr:uid="{00000000-0005-0000-0000-0000A92D0000}"/>
    <cellStyle name="Normal 28 4 10 11 2" xfId="25342" xr:uid="{00000000-0005-0000-0000-0000AA2D0000}"/>
    <cellStyle name="Normal 28 4 10 12" xfId="7679" xr:uid="{00000000-0005-0000-0000-0000AB2D0000}"/>
    <cellStyle name="Normal 28 4 10 12 2" xfId="25343" xr:uid="{00000000-0005-0000-0000-0000AC2D0000}"/>
    <cellStyle name="Normal 28 4 10 13" xfId="7680" xr:uid="{00000000-0005-0000-0000-0000AD2D0000}"/>
    <cellStyle name="Normal 28 4 10 13 2" xfId="25344" xr:uid="{00000000-0005-0000-0000-0000AE2D0000}"/>
    <cellStyle name="Normal 28 4 10 14" xfId="7681" xr:uid="{00000000-0005-0000-0000-0000AF2D0000}"/>
    <cellStyle name="Normal 28 4 10 14 2" xfId="25345" xr:uid="{00000000-0005-0000-0000-0000B02D0000}"/>
    <cellStyle name="Normal 28 4 10 15" xfId="25340" xr:uid="{00000000-0005-0000-0000-0000B12D0000}"/>
    <cellStyle name="Normal 28 4 10 2" xfId="7682" xr:uid="{00000000-0005-0000-0000-0000B22D0000}"/>
    <cellStyle name="Normal 28 4 10 2 2" xfId="25346" xr:uid="{00000000-0005-0000-0000-0000B32D0000}"/>
    <cellStyle name="Normal 28 4 10 3" xfId="7683" xr:uid="{00000000-0005-0000-0000-0000B42D0000}"/>
    <cellStyle name="Normal 28 4 10 3 2" xfId="25347" xr:uid="{00000000-0005-0000-0000-0000B52D0000}"/>
    <cellStyle name="Normal 28 4 10 4" xfId="7684" xr:uid="{00000000-0005-0000-0000-0000B62D0000}"/>
    <cellStyle name="Normal 28 4 10 4 2" xfId="25348" xr:uid="{00000000-0005-0000-0000-0000B72D0000}"/>
    <cellStyle name="Normal 28 4 10 5" xfId="7685" xr:uid="{00000000-0005-0000-0000-0000B82D0000}"/>
    <cellStyle name="Normal 28 4 10 5 2" xfId="25349" xr:uid="{00000000-0005-0000-0000-0000B92D0000}"/>
    <cellStyle name="Normal 28 4 10 6" xfId="7686" xr:uid="{00000000-0005-0000-0000-0000BA2D0000}"/>
    <cellStyle name="Normal 28 4 10 6 2" xfId="25350" xr:uid="{00000000-0005-0000-0000-0000BB2D0000}"/>
    <cellStyle name="Normal 28 4 10 7" xfId="7687" xr:uid="{00000000-0005-0000-0000-0000BC2D0000}"/>
    <cellStyle name="Normal 28 4 10 7 2" xfId="25351" xr:uid="{00000000-0005-0000-0000-0000BD2D0000}"/>
    <cellStyle name="Normal 28 4 10 8" xfId="7688" xr:uid="{00000000-0005-0000-0000-0000BE2D0000}"/>
    <cellStyle name="Normal 28 4 10 8 2" xfId="25352" xr:uid="{00000000-0005-0000-0000-0000BF2D0000}"/>
    <cellStyle name="Normal 28 4 10 9" xfId="7689" xr:uid="{00000000-0005-0000-0000-0000C02D0000}"/>
    <cellStyle name="Normal 28 4 10 9 2" xfId="25353" xr:uid="{00000000-0005-0000-0000-0000C12D0000}"/>
    <cellStyle name="Normal 28 4 11" xfId="7690" xr:uid="{00000000-0005-0000-0000-0000C22D0000}"/>
    <cellStyle name="Normal 28 4 11 10" xfId="7691" xr:uid="{00000000-0005-0000-0000-0000C32D0000}"/>
    <cellStyle name="Normal 28 4 11 10 2" xfId="25355" xr:uid="{00000000-0005-0000-0000-0000C42D0000}"/>
    <cellStyle name="Normal 28 4 11 11" xfId="7692" xr:uid="{00000000-0005-0000-0000-0000C52D0000}"/>
    <cellStyle name="Normal 28 4 11 11 2" xfId="25356" xr:uid="{00000000-0005-0000-0000-0000C62D0000}"/>
    <cellStyle name="Normal 28 4 11 12" xfId="7693" xr:uid="{00000000-0005-0000-0000-0000C72D0000}"/>
    <cellStyle name="Normal 28 4 11 12 2" xfId="25357" xr:uid="{00000000-0005-0000-0000-0000C82D0000}"/>
    <cellStyle name="Normal 28 4 11 13" xfId="7694" xr:uid="{00000000-0005-0000-0000-0000C92D0000}"/>
    <cellStyle name="Normal 28 4 11 13 2" xfId="25358" xr:uid="{00000000-0005-0000-0000-0000CA2D0000}"/>
    <cellStyle name="Normal 28 4 11 14" xfId="7695" xr:uid="{00000000-0005-0000-0000-0000CB2D0000}"/>
    <cellStyle name="Normal 28 4 11 14 2" xfId="25359" xr:uid="{00000000-0005-0000-0000-0000CC2D0000}"/>
    <cellStyle name="Normal 28 4 11 15" xfId="25354" xr:uid="{00000000-0005-0000-0000-0000CD2D0000}"/>
    <cellStyle name="Normal 28 4 11 2" xfId="7696" xr:uid="{00000000-0005-0000-0000-0000CE2D0000}"/>
    <cellStyle name="Normal 28 4 11 2 2" xfId="25360" xr:uid="{00000000-0005-0000-0000-0000CF2D0000}"/>
    <cellStyle name="Normal 28 4 11 3" xfId="7697" xr:uid="{00000000-0005-0000-0000-0000D02D0000}"/>
    <cellStyle name="Normal 28 4 11 3 2" xfId="25361" xr:uid="{00000000-0005-0000-0000-0000D12D0000}"/>
    <cellStyle name="Normal 28 4 11 4" xfId="7698" xr:uid="{00000000-0005-0000-0000-0000D22D0000}"/>
    <cellStyle name="Normal 28 4 11 4 2" xfId="25362" xr:uid="{00000000-0005-0000-0000-0000D32D0000}"/>
    <cellStyle name="Normal 28 4 11 5" xfId="7699" xr:uid="{00000000-0005-0000-0000-0000D42D0000}"/>
    <cellStyle name="Normal 28 4 11 5 2" xfId="25363" xr:uid="{00000000-0005-0000-0000-0000D52D0000}"/>
    <cellStyle name="Normal 28 4 11 6" xfId="7700" xr:uid="{00000000-0005-0000-0000-0000D62D0000}"/>
    <cellStyle name="Normal 28 4 11 6 2" xfId="25364" xr:uid="{00000000-0005-0000-0000-0000D72D0000}"/>
    <cellStyle name="Normal 28 4 11 7" xfId="7701" xr:uid="{00000000-0005-0000-0000-0000D82D0000}"/>
    <cellStyle name="Normal 28 4 11 7 2" xfId="25365" xr:uid="{00000000-0005-0000-0000-0000D92D0000}"/>
    <cellStyle name="Normal 28 4 11 8" xfId="7702" xr:uid="{00000000-0005-0000-0000-0000DA2D0000}"/>
    <cellStyle name="Normal 28 4 11 8 2" xfId="25366" xr:uid="{00000000-0005-0000-0000-0000DB2D0000}"/>
    <cellStyle name="Normal 28 4 11 9" xfId="7703" xr:uid="{00000000-0005-0000-0000-0000DC2D0000}"/>
    <cellStyle name="Normal 28 4 11 9 2" xfId="25367" xr:uid="{00000000-0005-0000-0000-0000DD2D0000}"/>
    <cellStyle name="Normal 28 4 12" xfId="7704" xr:uid="{00000000-0005-0000-0000-0000DE2D0000}"/>
    <cellStyle name="Normal 28 4 12 10" xfId="7705" xr:uid="{00000000-0005-0000-0000-0000DF2D0000}"/>
    <cellStyle name="Normal 28 4 12 10 2" xfId="25369" xr:uid="{00000000-0005-0000-0000-0000E02D0000}"/>
    <cellStyle name="Normal 28 4 12 11" xfId="7706" xr:uid="{00000000-0005-0000-0000-0000E12D0000}"/>
    <cellStyle name="Normal 28 4 12 11 2" xfId="25370" xr:uid="{00000000-0005-0000-0000-0000E22D0000}"/>
    <cellStyle name="Normal 28 4 12 12" xfId="7707" xr:uid="{00000000-0005-0000-0000-0000E32D0000}"/>
    <cellStyle name="Normal 28 4 12 12 2" xfId="25371" xr:uid="{00000000-0005-0000-0000-0000E42D0000}"/>
    <cellStyle name="Normal 28 4 12 13" xfId="7708" xr:uid="{00000000-0005-0000-0000-0000E52D0000}"/>
    <cellStyle name="Normal 28 4 12 13 2" xfId="25372" xr:uid="{00000000-0005-0000-0000-0000E62D0000}"/>
    <cellStyle name="Normal 28 4 12 14" xfId="7709" xr:uid="{00000000-0005-0000-0000-0000E72D0000}"/>
    <cellStyle name="Normal 28 4 12 14 2" xfId="25373" xr:uid="{00000000-0005-0000-0000-0000E82D0000}"/>
    <cellStyle name="Normal 28 4 12 15" xfId="25368" xr:uid="{00000000-0005-0000-0000-0000E92D0000}"/>
    <cellStyle name="Normal 28 4 12 2" xfId="7710" xr:uid="{00000000-0005-0000-0000-0000EA2D0000}"/>
    <cellStyle name="Normal 28 4 12 2 2" xfId="25374" xr:uid="{00000000-0005-0000-0000-0000EB2D0000}"/>
    <cellStyle name="Normal 28 4 12 3" xfId="7711" xr:uid="{00000000-0005-0000-0000-0000EC2D0000}"/>
    <cellStyle name="Normal 28 4 12 3 2" xfId="25375" xr:uid="{00000000-0005-0000-0000-0000ED2D0000}"/>
    <cellStyle name="Normal 28 4 12 4" xfId="7712" xr:uid="{00000000-0005-0000-0000-0000EE2D0000}"/>
    <cellStyle name="Normal 28 4 12 4 2" xfId="25376" xr:uid="{00000000-0005-0000-0000-0000EF2D0000}"/>
    <cellStyle name="Normal 28 4 12 5" xfId="7713" xr:uid="{00000000-0005-0000-0000-0000F02D0000}"/>
    <cellStyle name="Normal 28 4 12 5 2" xfId="25377" xr:uid="{00000000-0005-0000-0000-0000F12D0000}"/>
    <cellStyle name="Normal 28 4 12 6" xfId="7714" xr:uid="{00000000-0005-0000-0000-0000F22D0000}"/>
    <cellStyle name="Normal 28 4 12 6 2" xfId="25378" xr:uid="{00000000-0005-0000-0000-0000F32D0000}"/>
    <cellStyle name="Normal 28 4 12 7" xfId="7715" xr:uid="{00000000-0005-0000-0000-0000F42D0000}"/>
    <cellStyle name="Normal 28 4 12 7 2" xfId="25379" xr:uid="{00000000-0005-0000-0000-0000F52D0000}"/>
    <cellStyle name="Normal 28 4 12 8" xfId="7716" xr:uid="{00000000-0005-0000-0000-0000F62D0000}"/>
    <cellStyle name="Normal 28 4 12 8 2" xfId="25380" xr:uid="{00000000-0005-0000-0000-0000F72D0000}"/>
    <cellStyle name="Normal 28 4 12 9" xfId="7717" xr:uid="{00000000-0005-0000-0000-0000F82D0000}"/>
    <cellStyle name="Normal 28 4 12 9 2" xfId="25381" xr:uid="{00000000-0005-0000-0000-0000F92D0000}"/>
    <cellStyle name="Normal 28 4 13" xfId="7718" xr:uid="{00000000-0005-0000-0000-0000FA2D0000}"/>
    <cellStyle name="Normal 28 4 13 10" xfId="7719" xr:uid="{00000000-0005-0000-0000-0000FB2D0000}"/>
    <cellStyle name="Normal 28 4 13 10 2" xfId="25383" xr:uid="{00000000-0005-0000-0000-0000FC2D0000}"/>
    <cellStyle name="Normal 28 4 13 11" xfId="7720" xr:uid="{00000000-0005-0000-0000-0000FD2D0000}"/>
    <cellStyle name="Normal 28 4 13 11 2" xfId="25384" xr:uid="{00000000-0005-0000-0000-0000FE2D0000}"/>
    <cellStyle name="Normal 28 4 13 12" xfId="7721" xr:uid="{00000000-0005-0000-0000-0000FF2D0000}"/>
    <cellStyle name="Normal 28 4 13 12 2" xfId="25385" xr:uid="{00000000-0005-0000-0000-0000002E0000}"/>
    <cellStyle name="Normal 28 4 13 13" xfId="7722" xr:uid="{00000000-0005-0000-0000-0000012E0000}"/>
    <cellStyle name="Normal 28 4 13 13 2" xfId="25386" xr:uid="{00000000-0005-0000-0000-0000022E0000}"/>
    <cellStyle name="Normal 28 4 13 14" xfId="7723" xr:uid="{00000000-0005-0000-0000-0000032E0000}"/>
    <cellStyle name="Normal 28 4 13 14 2" xfId="25387" xr:uid="{00000000-0005-0000-0000-0000042E0000}"/>
    <cellStyle name="Normal 28 4 13 15" xfId="25382" xr:uid="{00000000-0005-0000-0000-0000052E0000}"/>
    <cellStyle name="Normal 28 4 13 2" xfId="7724" xr:uid="{00000000-0005-0000-0000-0000062E0000}"/>
    <cellStyle name="Normal 28 4 13 2 2" xfId="25388" xr:uid="{00000000-0005-0000-0000-0000072E0000}"/>
    <cellStyle name="Normal 28 4 13 3" xfId="7725" xr:uid="{00000000-0005-0000-0000-0000082E0000}"/>
    <cellStyle name="Normal 28 4 13 3 2" xfId="25389" xr:uid="{00000000-0005-0000-0000-0000092E0000}"/>
    <cellStyle name="Normal 28 4 13 4" xfId="7726" xr:uid="{00000000-0005-0000-0000-00000A2E0000}"/>
    <cellStyle name="Normal 28 4 13 4 2" xfId="25390" xr:uid="{00000000-0005-0000-0000-00000B2E0000}"/>
    <cellStyle name="Normal 28 4 13 5" xfId="7727" xr:uid="{00000000-0005-0000-0000-00000C2E0000}"/>
    <cellStyle name="Normal 28 4 13 5 2" xfId="25391" xr:uid="{00000000-0005-0000-0000-00000D2E0000}"/>
    <cellStyle name="Normal 28 4 13 6" xfId="7728" xr:uid="{00000000-0005-0000-0000-00000E2E0000}"/>
    <cellStyle name="Normal 28 4 13 6 2" xfId="25392" xr:uid="{00000000-0005-0000-0000-00000F2E0000}"/>
    <cellStyle name="Normal 28 4 13 7" xfId="7729" xr:uid="{00000000-0005-0000-0000-0000102E0000}"/>
    <cellStyle name="Normal 28 4 13 7 2" xfId="25393" xr:uid="{00000000-0005-0000-0000-0000112E0000}"/>
    <cellStyle name="Normal 28 4 13 8" xfId="7730" xr:uid="{00000000-0005-0000-0000-0000122E0000}"/>
    <cellStyle name="Normal 28 4 13 8 2" xfId="25394" xr:uid="{00000000-0005-0000-0000-0000132E0000}"/>
    <cellStyle name="Normal 28 4 13 9" xfId="7731" xr:uid="{00000000-0005-0000-0000-0000142E0000}"/>
    <cellStyle name="Normal 28 4 13 9 2" xfId="25395" xr:uid="{00000000-0005-0000-0000-0000152E0000}"/>
    <cellStyle name="Normal 28 4 14" xfId="7732" xr:uid="{00000000-0005-0000-0000-0000162E0000}"/>
    <cellStyle name="Normal 28 4 14 10" xfId="7733" xr:uid="{00000000-0005-0000-0000-0000172E0000}"/>
    <cellStyle name="Normal 28 4 14 10 2" xfId="25397" xr:uid="{00000000-0005-0000-0000-0000182E0000}"/>
    <cellStyle name="Normal 28 4 14 11" xfId="7734" xr:uid="{00000000-0005-0000-0000-0000192E0000}"/>
    <cellStyle name="Normal 28 4 14 11 2" xfId="25398" xr:uid="{00000000-0005-0000-0000-00001A2E0000}"/>
    <cellStyle name="Normal 28 4 14 12" xfId="7735" xr:uid="{00000000-0005-0000-0000-00001B2E0000}"/>
    <cellStyle name="Normal 28 4 14 12 2" xfId="25399" xr:uid="{00000000-0005-0000-0000-00001C2E0000}"/>
    <cellStyle name="Normal 28 4 14 13" xfId="7736" xr:uid="{00000000-0005-0000-0000-00001D2E0000}"/>
    <cellStyle name="Normal 28 4 14 13 2" xfId="25400" xr:uid="{00000000-0005-0000-0000-00001E2E0000}"/>
    <cellStyle name="Normal 28 4 14 14" xfId="7737" xr:uid="{00000000-0005-0000-0000-00001F2E0000}"/>
    <cellStyle name="Normal 28 4 14 14 2" xfId="25401" xr:uid="{00000000-0005-0000-0000-0000202E0000}"/>
    <cellStyle name="Normal 28 4 14 15" xfId="25396" xr:uid="{00000000-0005-0000-0000-0000212E0000}"/>
    <cellStyle name="Normal 28 4 14 2" xfId="7738" xr:uid="{00000000-0005-0000-0000-0000222E0000}"/>
    <cellStyle name="Normal 28 4 14 2 2" xfId="25402" xr:uid="{00000000-0005-0000-0000-0000232E0000}"/>
    <cellStyle name="Normal 28 4 14 3" xfId="7739" xr:uid="{00000000-0005-0000-0000-0000242E0000}"/>
    <cellStyle name="Normal 28 4 14 3 2" xfId="25403" xr:uid="{00000000-0005-0000-0000-0000252E0000}"/>
    <cellStyle name="Normal 28 4 14 4" xfId="7740" xr:uid="{00000000-0005-0000-0000-0000262E0000}"/>
    <cellStyle name="Normal 28 4 14 4 2" xfId="25404" xr:uid="{00000000-0005-0000-0000-0000272E0000}"/>
    <cellStyle name="Normal 28 4 14 5" xfId="7741" xr:uid="{00000000-0005-0000-0000-0000282E0000}"/>
    <cellStyle name="Normal 28 4 14 5 2" xfId="25405" xr:uid="{00000000-0005-0000-0000-0000292E0000}"/>
    <cellStyle name="Normal 28 4 14 6" xfId="7742" xr:uid="{00000000-0005-0000-0000-00002A2E0000}"/>
    <cellStyle name="Normal 28 4 14 6 2" xfId="25406" xr:uid="{00000000-0005-0000-0000-00002B2E0000}"/>
    <cellStyle name="Normal 28 4 14 7" xfId="7743" xr:uid="{00000000-0005-0000-0000-00002C2E0000}"/>
    <cellStyle name="Normal 28 4 14 7 2" xfId="25407" xr:uid="{00000000-0005-0000-0000-00002D2E0000}"/>
    <cellStyle name="Normal 28 4 14 8" xfId="7744" xr:uid="{00000000-0005-0000-0000-00002E2E0000}"/>
    <cellStyle name="Normal 28 4 14 8 2" xfId="25408" xr:uid="{00000000-0005-0000-0000-00002F2E0000}"/>
    <cellStyle name="Normal 28 4 14 9" xfId="7745" xr:uid="{00000000-0005-0000-0000-0000302E0000}"/>
    <cellStyle name="Normal 28 4 14 9 2" xfId="25409" xr:uid="{00000000-0005-0000-0000-0000312E0000}"/>
    <cellStyle name="Normal 28 4 15" xfId="7746" xr:uid="{00000000-0005-0000-0000-0000322E0000}"/>
    <cellStyle name="Normal 28 4 15 10" xfId="7747" xr:uid="{00000000-0005-0000-0000-0000332E0000}"/>
    <cellStyle name="Normal 28 4 15 10 2" xfId="25411" xr:uid="{00000000-0005-0000-0000-0000342E0000}"/>
    <cellStyle name="Normal 28 4 15 11" xfId="7748" xr:uid="{00000000-0005-0000-0000-0000352E0000}"/>
    <cellStyle name="Normal 28 4 15 11 2" xfId="25412" xr:uid="{00000000-0005-0000-0000-0000362E0000}"/>
    <cellStyle name="Normal 28 4 15 12" xfId="7749" xr:uid="{00000000-0005-0000-0000-0000372E0000}"/>
    <cellStyle name="Normal 28 4 15 12 2" xfId="25413" xr:uid="{00000000-0005-0000-0000-0000382E0000}"/>
    <cellStyle name="Normal 28 4 15 13" xfId="7750" xr:uid="{00000000-0005-0000-0000-0000392E0000}"/>
    <cellStyle name="Normal 28 4 15 13 2" xfId="25414" xr:uid="{00000000-0005-0000-0000-00003A2E0000}"/>
    <cellStyle name="Normal 28 4 15 14" xfId="7751" xr:uid="{00000000-0005-0000-0000-00003B2E0000}"/>
    <cellStyle name="Normal 28 4 15 14 2" xfId="25415" xr:uid="{00000000-0005-0000-0000-00003C2E0000}"/>
    <cellStyle name="Normal 28 4 15 15" xfId="25410" xr:uid="{00000000-0005-0000-0000-00003D2E0000}"/>
    <cellStyle name="Normal 28 4 15 2" xfId="7752" xr:uid="{00000000-0005-0000-0000-00003E2E0000}"/>
    <cellStyle name="Normal 28 4 15 2 2" xfId="25416" xr:uid="{00000000-0005-0000-0000-00003F2E0000}"/>
    <cellStyle name="Normal 28 4 15 3" xfId="7753" xr:uid="{00000000-0005-0000-0000-0000402E0000}"/>
    <cellStyle name="Normal 28 4 15 3 2" xfId="25417" xr:uid="{00000000-0005-0000-0000-0000412E0000}"/>
    <cellStyle name="Normal 28 4 15 4" xfId="7754" xr:uid="{00000000-0005-0000-0000-0000422E0000}"/>
    <cellStyle name="Normal 28 4 15 4 2" xfId="25418" xr:uid="{00000000-0005-0000-0000-0000432E0000}"/>
    <cellStyle name="Normal 28 4 15 5" xfId="7755" xr:uid="{00000000-0005-0000-0000-0000442E0000}"/>
    <cellStyle name="Normal 28 4 15 5 2" xfId="25419" xr:uid="{00000000-0005-0000-0000-0000452E0000}"/>
    <cellStyle name="Normal 28 4 15 6" xfId="7756" xr:uid="{00000000-0005-0000-0000-0000462E0000}"/>
    <cellStyle name="Normal 28 4 15 6 2" xfId="25420" xr:uid="{00000000-0005-0000-0000-0000472E0000}"/>
    <cellStyle name="Normal 28 4 15 7" xfId="7757" xr:uid="{00000000-0005-0000-0000-0000482E0000}"/>
    <cellStyle name="Normal 28 4 15 7 2" xfId="25421" xr:uid="{00000000-0005-0000-0000-0000492E0000}"/>
    <cellStyle name="Normal 28 4 15 8" xfId="7758" xr:uid="{00000000-0005-0000-0000-00004A2E0000}"/>
    <cellStyle name="Normal 28 4 15 8 2" xfId="25422" xr:uid="{00000000-0005-0000-0000-00004B2E0000}"/>
    <cellStyle name="Normal 28 4 15 9" xfId="7759" xr:uid="{00000000-0005-0000-0000-00004C2E0000}"/>
    <cellStyle name="Normal 28 4 15 9 2" xfId="25423" xr:uid="{00000000-0005-0000-0000-00004D2E0000}"/>
    <cellStyle name="Normal 28 4 16" xfId="7760" xr:uid="{00000000-0005-0000-0000-00004E2E0000}"/>
    <cellStyle name="Normal 28 4 16 2" xfId="25424" xr:uid="{00000000-0005-0000-0000-00004F2E0000}"/>
    <cellStyle name="Normal 28 4 17" xfId="7761" xr:uid="{00000000-0005-0000-0000-0000502E0000}"/>
    <cellStyle name="Normal 28 4 17 2" xfId="25425" xr:uid="{00000000-0005-0000-0000-0000512E0000}"/>
    <cellStyle name="Normal 28 4 18" xfId="7762" xr:uid="{00000000-0005-0000-0000-0000522E0000}"/>
    <cellStyle name="Normal 28 4 18 2" xfId="25426" xr:uid="{00000000-0005-0000-0000-0000532E0000}"/>
    <cellStyle name="Normal 28 4 19" xfId="7763" xr:uid="{00000000-0005-0000-0000-0000542E0000}"/>
    <cellStyle name="Normal 28 4 19 2" xfId="25427" xr:uid="{00000000-0005-0000-0000-0000552E0000}"/>
    <cellStyle name="Normal 28 4 2" xfId="7764" xr:uid="{00000000-0005-0000-0000-0000562E0000}"/>
    <cellStyle name="Normal 28 4 2 10" xfId="7765" xr:uid="{00000000-0005-0000-0000-0000572E0000}"/>
    <cellStyle name="Normal 28 4 2 10 2" xfId="25429" xr:uid="{00000000-0005-0000-0000-0000582E0000}"/>
    <cellStyle name="Normal 28 4 2 11" xfId="7766" xr:uid="{00000000-0005-0000-0000-0000592E0000}"/>
    <cellStyle name="Normal 28 4 2 11 2" xfId="25430" xr:uid="{00000000-0005-0000-0000-00005A2E0000}"/>
    <cellStyle name="Normal 28 4 2 12" xfId="7767" xr:uid="{00000000-0005-0000-0000-00005B2E0000}"/>
    <cellStyle name="Normal 28 4 2 12 2" xfId="25431" xr:uid="{00000000-0005-0000-0000-00005C2E0000}"/>
    <cellStyle name="Normal 28 4 2 13" xfId="7768" xr:uid="{00000000-0005-0000-0000-00005D2E0000}"/>
    <cellStyle name="Normal 28 4 2 13 2" xfId="25432" xr:uid="{00000000-0005-0000-0000-00005E2E0000}"/>
    <cellStyle name="Normal 28 4 2 14" xfId="7769" xr:uid="{00000000-0005-0000-0000-00005F2E0000}"/>
    <cellStyle name="Normal 28 4 2 14 2" xfId="25433" xr:uid="{00000000-0005-0000-0000-0000602E0000}"/>
    <cellStyle name="Normal 28 4 2 15" xfId="7770" xr:uid="{00000000-0005-0000-0000-0000612E0000}"/>
    <cellStyle name="Normal 28 4 2 15 2" xfId="25434" xr:uid="{00000000-0005-0000-0000-0000622E0000}"/>
    <cellStyle name="Normal 28 4 2 16" xfId="25428" xr:uid="{00000000-0005-0000-0000-0000632E0000}"/>
    <cellStyle name="Normal 28 4 2 2" xfId="7771" xr:uid="{00000000-0005-0000-0000-0000642E0000}"/>
    <cellStyle name="Normal 28 4 2 2 10" xfId="7772" xr:uid="{00000000-0005-0000-0000-0000652E0000}"/>
    <cellStyle name="Normal 28 4 2 2 10 2" xfId="25436" xr:uid="{00000000-0005-0000-0000-0000662E0000}"/>
    <cellStyle name="Normal 28 4 2 2 11" xfId="7773" xr:uid="{00000000-0005-0000-0000-0000672E0000}"/>
    <cellStyle name="Normal 28 4 2 2 11 2" xfId="25437" xr:uid="{00000000-0005-0000-0000-0000682E0000}"/>
    <cellStyle name="Normal 28 4 2 2 12" xfId="7774" xr:uid="{00000000-0005-0000-0000-0000692E0000}"/>
    <cellStyle name="Normal 28 4 2 2 12 2" xfId="25438" xr:uid="{00000000-0005-0000-0000-00006A2E0000}"/>
    <cellStyle name="Normal 28 4 2 2 13" xfId="7775" xr:uid="{00000000-0005-0000-0000-00006B2E0000}"/>
    <cellStyle name="Normal 28 4 2 2 13 2" xfId="25439" xr:uid="{00000000-0005-0000-0000-00006C2E0000}"/>
    <cellStyle name="Normal 28 4 2 2 14" xfId="7776" xr:uid="{00000000-0005-0000-0000-00006D2E0000}"/>
    <cellStyle name="Normal 28 4 2 2 14 2" xfId="25440" xr:uid="{00000000-0005-0000-0000-00006E2E0000}"/>
    <cellStyle name="Normal 28 4 2 2 15" xfId="25435" xr:uid="{00000000-0005-0000-0000-00006F2E0000}"/>
    <cellStyle name="Normal 28 4 2 2 2" xfId="7777" xr:uid="{00000000-0005-0000-0000-0000702E0000}"/>
    <cellStyle name="Normal 28 4 2 2 2 2" xfId="25441" xr:uid="{00000000-0005-0000-0000-0000712E0000}"/>
    <cellStyle name="Normal 28 4 2 2 3" xfId="7778" xr:uid="{00000000-0005-0000-0000-0000722E0000}"/>
    <cellStyle name="Normal 28 4 2 2 3 2" xfId="25442" xr:uid="{00000000-0005-0000-0000-0000732E0000}"/>
    <cellStyle name="Normal 28 4 2 2 4" xfId="7779" xr:uid="{00000000-0005-0000-0000-0000742E0000}"/>
    <cellStyle name="Normal 28 4 2 2 4 2" xfId="25443" xr:uid="{00000000-0005-0000-0000-0000752E0000}"/>
    <cellStyle name="Normal 28 4 2 2 5" xfId="7780" xr:uid="{00000000-0005-0000-0000-0000762E0000}"/>
    <cellStyle name="Normal 28 4 2 2 5 2" xfId="25444" xr:uid="{00000000-0005-0000-0000-0000772E0000}"/>
    <cellStyle name="Normal 28 4 2 2 6" xfId="7781" xr:uid="{00000000-0005-0000-0000-0000782E0000}"/>
    <cellStyle name="Normal 28 4 2 2 6 2" xfId="25445" xr:uid="{00000000-0005-0000-0000-0000792E0000}"/>
    <cellStyle name="Normal 28 4 2 2 7" xfId="7782" xr:uid="{00000000-0005-0000-0000-00007A2E0000}"/>
    <cellStyle name="Normal 28 4 2 2 7 2" xfId="25446" xr:uid="{00000000-0005-0000-0000-00007B2E0000}"/>
    <cellStyle name="Normal 28 4 2 2 8" xfId="7783" xr:uid="{00000000-0005-0000-0000-00007C2E0000}"/>
    <cellStyle name="Normal 28 4 2 2 8 2" xfId="25447" xr:uid="{00000000-0005-0000-0000-00007D2E0000}"/>
    <cellStyle name="Normal 28 4 2 2 9" xfId="7784" xr:uid="{00000000-0005-0000-0000-00007E2E0000}"/>
    <cellStyle name="Normal 28 4 2 2 9 2" xfId="25448" xr:uid="{00000000-0005-0000-0000-00007F2E0000}"/>
    <cellStyle name="Normal 28 4 2 3" xfId="7785" xr:uid="{00000000-0005-0000-0000-0000802E0000}"/>
    <cellStyle name="Normal 28 4 2 3 2" xfId="25449" xr:uid="{00000000-0005-0000-0000-0000812E0000}"/>
    <cellStyle name="Normal 28 4 2 4" xfId="7786" xr:uid="{00000000-0005-0000-0000-0000822E0000}"/>
    <cellStyle name="Normal 28 4 2 4 2" xfId="25450" xr:uid="{00000000-0005-0000-0000-0000832E0000}"/>
    <cellStyle name="Normal 28 4 2 5" xfId="7787" xr:uid="{00000000-0005-0000-0000-0000842E0000}"/>
    <cellStyle name="Normal 28 4 2 5 2" xfId="25451" xr:uid="{00000000-0005-0000-0000-0000852E0000}"/>
    <cellStyle name="Normal 28 4 2 6" xfId="7788" xr:uid="{00000000-0005-0000-0000-0000862E0000}"/>
    <cellStyle name="Normal 28 4 2 6 2" xfId="25452" xr:uid="{00000000-0005-0000-0000-0000872E0000}"/>
    <cellStyle name="Normal 28 4 2 7" xfId="7789" xr:uid="{00000000-0005-0000-0000-0000882E0000}"/>
    <cellStyle name="Normal 28 4 2 7 2" xfId="25453" xr:uid="{00000000-0005-0000-0000-0000892E0000}"/>
    <cellStyle name="Normal 28 4 2 8" xfId="7790" xr:uid="{00000000-0005-0000-0000-00008A2E0000}"/>
    <cellStyle name="Normal 28 4 2 8 2" xfId="25454" xr:uid="{00000000-0005-0000-0000-00008B2E0000}"/>
    <cellStyle name="Normal 28 4 2 9" xfId="7791" xr:uid="{00000000-0005-0000-0000-00008C2E0000}"/>
    <cellStyle name="Normal 28 4 2 9 2" xfId="25455" xr:uid="{00000000-0005-0000-0000-00008D2E0000}"/>
    <cellStyle name="Normal 28 4 20" xfId="7792" xr:uid="{00000000-0005-0000-0000-00008E2E0000}"/>
    <cellStyle name="Normal 28 4 20 2" xfId="25456" xr:uid="{00000000-0005-0000-0000-00008F2E0000}"/>
    <cellStyle name="Normal 28 4 21" xfId="7793" xr:uid="{00000000-0005-0000-0000-0000902E0000}"/>
    <cellStyle name="Normal 28 4 21 2" xfId="25457" xr:uid="{00000000-0005-0000-0000-0000912E0000}"/>
    <cellStyle name="Normal 28 4 22" xfId="7794" xr:uid="{00000000-0005-0000-0000-0000922E0000}"/>
    <cellStyle name="Normal 28 4 22 2" xfId="25458" xr:uid="{00000000-0005-0000-0000-0000932E0000}"/>
    <cellStyle name="Normal 28 4 23" xfId="7795" xr:uid="{00000000-0005-0000-0000-0000942E0000}"/>
    <cellStyle name="Normal 28 4 23 2" xfId="25459" xr:uid="{00000000-0005-0000-0000-0000952E0000}"/>
    <cellStyle name="Normal 28 4 24" xfId="7796" xr:uid="{00000000-0005-0000-0000-0000962E0000}"/>
    <cellStyle name="Normal 28 4 24 2" xfId="25460" xr:uid="{00000000-0005-0000-0000-0000972E0000}"/>
    <cellStyle name="Normal 28 4 25" xfId="7797" xr:uid="{00000000-0005-0000-0000-0000982E0000}"/>
    <cellStyle name="Normal 28 4 25 2" xfId="25461" xr:uid="{00000000-0005-0000-0000-0000992E0000}"/>
    <cellStyle name="Normal 28 4 26" xfId="7798" xr:uid="{00000000-0005-0000-0000-00009A2E0000}"/>
    <cellStyle name="Normal 28 4 26 2" xfId="25462" xr:uid="{00000000-0005-0000-0000-00009B2E0000}"/>
    <cellStyle name="Normal 28 4 27" xfId="7799" xr:uid="{00000000-0005-0000-0000-00009C2E0000}"/>
    <cellStyle name="Normal 28 4 27 2" xfId="25463" xr:uid="{00000000-0005-0000-0000-00009D2E0000}"/>
    <cellStyle name="Normal 28 4 28" xfId="7800" xr:uid="{00000000-0005-0000-0000-00009E2E0000}"/>
    <cellStyle name="Normal 28 4 28 2" xfId="25464" xr:uid="{00000000-0005-0000-0000-00009F2E0000}"/>
    <cellStyle name="Normal 28 4 29" xfId="25339" xr:uid="{00000000-0005-0000-0000-0000A02E0000}"/>
    <cellStyle name="Normal 28 4 3" xfId="7801" xr:uid="{00000000-0005-0000-0000-0000A12E0000}"/>
    <cellStyle name="Normal 28 4 3 10" xfId="7802" xr:uid="{00000000-0005-0000-0000-0000A22E0000}"/>
    <cellStyle name="Normal 28 4 3 10 2" xfId="25466" xr:uid="{00000000-0005-0000-0000-0000A32E0000}"/>
    <cellStyle name="Normal 28 4 3 11" xfId="7803" xr:uid="{00000000-0005-0000-0000-0000A42E0000}"/>
    <cellStyle name="Normal 28 4 3 11 2" xfId="25467" xr:uid="{00000000-0005-0000-0000-0000A52E0000}"/>
    <cellStyle name="Normal 28 4 3 12" xfId="7804" xr:uid="{00000000-0005-0000-0000-0000A62E0000}"/>
    <cellStyle name="Normal 28 4 3 12 2" xfId="25468" xr:uid="{00000000-0005-0000-0000-0000A72E0000}"/>
    <cellStyle name="Normal 28 4 3 13" xfId="7805" xr:uid="{00000000-0005-0000-0000-0000A82E0000}"/>
    <cellStyle name="Normal 28 4 3 13 2" xfId="25469" xr:uid="{00000000-0005-0000-0000-0000A92E0000}"/>
    <cellStyle name="Normal 28 4 3 14" xfId="7806" xr:uid="{00000000-0005-0000-0000-0000AA2E0000}"/>
    <cellStyle name="Normal 28 4 3 14 2" xfId="25470" xr:uid="{00000000-0005-0000-0000-0000AB2E0000}"/>
    <cellStyle name="Normal 28 4 3 15" xfId="7807" xr:uid="{00000000-0005-0000-0000-0000AC2E0000}"/>
    <cellStyle name="Normal 28 4 3 15 2" xfId="25471" xr:uid="{00000000-0005-0000-0000-0000AD2E0000}"/>
    <cellStyle name="Normal 28 4 3 16" xfId="25465" xr:uid="{00000000-0005-0000-0000-0000AE2E0000}"/>
    <cellStyle name="Normal 28 4 3 2" xfId="7808" xr:uid="{00000000-0005-0000-0000-0000AF2E0000}"/>
    <cellStyle name="Normal 28 4 3 2 10" xfId="7809" xr:uid="{00000000-0005-0000-0000-0000B02E0000}"/>
    <cellStyle name="Normal 28 4 3 2 10 2" xfId="25473" xr:uid="{00000000-0005-0000-0000-0000B12E0000}"/>
    <cellStyle name="Normal 28 4 3 2 11" xfId="7810" xr:uid="{00000000-0005-0000-0000-0000B22E0000}"/>
    <cellStyle name="Normal 28 4 3 2 11 2" xfId="25474" xr:uid="{00000000-0005-0000-0000-0000B32E0000}"/>
    <cellStyle name="Normal 28 4 3 2 12" xfId="7811" xr:uid="{00000000-0005-0000-0000-0000B42E0000}"/>
    <cellStyle name="Normal 28 4 3 2 12 2" xfId="25475" xr:uid="{00000000-0005-0000-0000-0000B52E0000}"/>
    <cellStyle name="Normal 28 4 3 2 13" xfId="7812" xr:uid="{00000000-0005-0000-0000-0000B62E0000}"/>
    <cellStyle name="Normal 28 4 3 2 13 2" xfId="25476" xr:uid="{00000000-0005-0000-0000-0000B72E0000}"/>
    <cellStyle name="Normal 28 4 3 2 14" xfId="7813" xr:uid="{00000000-0005-0000-0000-0000B82E0000}"/>
    <cellStyle name="Normal 28 4 3 2 14 2" xfId="25477" xr:uid="{00000000-0005-0000-0000-0000B92E0000}"/>
    <cellStyle name="Normal 28 4 3 2 15" xfId="25472" xr:uid="{00000000-0005-0000-0000-0000BA2E0000}"/>
    <cellStyle name="Normal 28 4 3 2 2" xfId="7814" xr:uid="{00000000-0005-0000-0000-0000BB2E0000}"/>
    <cellStyle name="Normal 28 4 3 2 2 2" xfId="25478" xr:uid="{00000000-0005-0000-0000-0000BC2E0000}"/>
    <cellStyle name="Normal 28 4 3 2 3" xfId="7815" xr:uid="{00000000-0005-0000-0000-0000BD2E0000}"/>
    <cellStyle name="Normal 28 4 3 2 3 2" xfId="25479" xr:uid="{00000000-0005-0000-0000-0000BE2E0000}"/>
    <cellStyle name="Normal 28 4 3 2 4" xfId="7816" xr:uid="{00000000-0005-0000-0000-0000BF2E0000}"/>
    <cellStyle name="Normal 28 4 3 2 4 2" xfId="25480" xr:uid="{00000000-0005-0000-0000-0000C02E0000}"/>
    <cellStyle name="Normal 28 4 3 2 5" xfId="7817" xr:uid="{00000000-0005-0000-0000-0000C12E0000}"/>
    <cellStyle name="Normal 28 4 3 2 5 2" xfId="25481" xr:uid="{00000000-0005-0000-0000-0000C22E0000}"/>
    <cellStyle name="Normal 28 4 3 2 6" xfId="7818" xr:uid="{00000000-0005-0000-0000-0000C32E0000}"/>
    <cellStyle name="Normal 28 4 3 2 6 2" xfId="25482" xr:uid="{00000000-0005-0000-0000-0000C42E0000}"/>
    <cellStyle name="Normal 28 4 3 2 7" xfId="7819" xr:uid="{00000000-0005-0000-0000-0000C52E0000}"/>
    <cellStyle name="Normal 28 4 3 2 7 2" xfId="25483" xr:uid="{00000000-0005-0000-0000-0000C62E0000}"/>
    <cellStyle name="Normal 28 4 3 2 8" xfId="7820" xr:uid="{00000000-0005-0000-0000-0000C72E0000}"/>
    <cellStyle name="Normal 28 4 3 2 8 2" xfId="25484" xr:uid="{00000000-0005-0000-0000-0000C82E0000}"/>
    <cellStyle name="Normal 28 4 3 2 9" xfId="7821" xr:uid="{00000000-0005-0000-0000-0000C92E0000}"/>
    <cellStyle name="Normal 28 4 3 2 9 2" xfId="25485" xr:uid="{00000000-0005-0000-0000-0000CA2E0000}"/>
    <cellStyle name="Normal 28 4 3 3" xfId="7822" xr:uid="{00000000-0005-0000-0000-0000CB2E0000}"/>
    <cellStyle name="Normal 28 4 3 3 2" xfId="25486" xr:uid="{00000000-0005-0000-0000-0000CC2E0000}"/>
    <cellStyle name="Normal 28 4 3 4" xfId="7823" xr:uid="{00000000-0005-0000-0000-0000CD2E0000}"/>
    <cellStyle name="Normal 28 4 3 4 2" xfId="25487" xr:uid="{00000000-0005-0000-0000-0000CE2E0000}"/>
    <cellStyle name="Normal 28 4 3 5" xfId="7824" xr:uid="{00000000-0005-0000-0000-0000CF2E0000}"/>
    <cellStyle name="Normal 28 4 3 5 2" xfId="25488" xr:uid="{00000000-0005-0000-0000-0000D02E0000}"/>
    <cellStyle name="Normal 28 4 3 6" xfId="7825" xr:uid="{00000000-0005-0000-0000-0000D12E0000}"/>
    <cellStyle name="Normal 28 4 3 6 2" xfId="25489" xr:uid="{00000000-0005-0000-0000-0000D22E0000}"/>
    <cellStyle name="Normal 28 4 3 7" xfId="7826" xr:uid="{00000000-0005-0000-0000-0000D32E0000}"/>
    <cellStyle name="Normal 28 4 3 7 2" xfId="25490" xr:uid="{00000000-0005-0000-0000-0000D42E0000}"/>
    <cellStyle name="Normal 28 4 3 8" xfId="7827" xr:uid="{00000000-0005-0000-0000-0000D52E0000}"/>
    <cellStyle name="Normal 28 4 3 8 2" xfId="25491" xr:uid="{00000000-0005-0000-0000-0000D62E0000}"/>
    <cellStyle name="Normal 28 4 3 9" xfId="7828" xr:uid="{00000000-0005-0000-0000-0000D72E0000}"/>
    <cellStyle name="Normal 28 4 3 9 2" xfId="25492" xr:uid="{00000000-0005-0000-0000-0000D82E0000}"/>
    <cellStyle name="Normal 28 4 4" xfId="7829" xr:uid="{00000000-0005-0000-0000-0000D92E0000}"/>
    <cellStyle name="Normal 28 4 4 10" xfId="7830" xr:uid="{00000000-0005-0000-0000-0000DA2E0000}"/>
    <cellStyle name="Normal 28 4 4 10 2" xfId="25494" xr:uid="{00000000-0005-0000-0000-0000DB2E0000}"/>
    <cellStyle name="Normal 28 4 4 11" xfId="7831" xr:uid="{00000000-0005-0000-0000-0000DC2E0000}"/>
    <cellStyle name="Normal 28 4 4 11 2" xfId="25495" xr:uid="{00000000-0005-0000-0000-0000DD2E0000}"/>
    <cellStyle name="Normal 28 4 4 12" xfId="7832" xr:uid="{00000000-0005-0000-0000-0000DE2E0000}"/>
    <cellStyle name="Normal 28 4 4 12 2" xfId="25496" xr:uid="{00000000-0005-0000-0000-0000DF2E0000}"/>
    <cellStyle name="Normal 28 4 4 13" xfId="7833" xr:uid="{00000000-0005-0000-0000-0000E02E0000}"/>
    <cellStyle name="Normal 28 4 4 13 2" xfId="25497" xr:uid="{00000000-0005-0000-0000-0000E12E0000}"/>
    <cellStyle name="Normal 28 4 4 14" xfId="7834" xr:uid="{00000000-0005-0000-0000-0000E22E0000}"/>
    <cellStyle name="Normal 28 4 4 14 2" xfId="25498" xr:uid="{00000000-0005-0000-0000-0000E32E0000}"/>
    <cellStyle name="Normal 28 4 4 15" xfId="7835" xr:uid="{00000000-0005-0000-0000-0000E42E0000}"/>
    <cellStyle name="Normal 28 4 4 15 2" xfId="25499" xr:uid="{00000000-0005-0000-0000-0000E52E0000}"/>
    <cellStyle name="Normal 28 4 4 16" xfId="25493" xr:uid="{00000000-0005-0000-0000-0000E62E0000}"/>
    <cellStyle name="Normal 28 4 4 2" xfId="7836" xr:uid="{00000000-0005-0000-0000-0000E72E0000}"/>
    <cellStyle name="Normal 28 4 4 2 10" xfId="7837" xr:uid="{00000000-0005-0000-0000-0000E82E0000}"/>
    <cellStyle name="Normal 28 4 4 2 10 2" xfId="25501" xr:uid="{00000000-0005-0000-0000-0000E92E0000}"/>
    <cellStyle name="Normal 28 4 4 2 11" xfId="7838" xr:uid="{00000000-0005-0000-0000-0000EA2E0000}"/>
    <cellStyle name="Normal 28 4 4 2 11 2" xfId="25502" xr:uid="{00000000-0005-0000-0000-0000EB2E0000}"/>
    <cellStyle name="Normal 28 4 4 2 12" xfId="7839" xr:uid="{00000000-0005-0000-0000-0000EC2E0000}"/>
    <cellStyle name="Normal 28 4 4 2 12 2" xfId="25503" xr:uid="{00000000-0005-0000-0000-0000ED2E0000}"/>
    <cellStyle name="Normal 28 4 4 2 13" xfId="7840" xr:uid="{00000000-0005-0000-0000-0000EE2E0000}"/>
    <cellStyle name="Normal 28 4 4 2 13 2" xfId="25504" xr:uid="{00000000-0005-0000-0000-0000EF2E0000}"/>
    <cellStyle name="Normal 28 4 4 2 14" xfId="7841" xr:uid="{00000000-0005-0000-0000-0000F02E0000}"/>
    <cellStyle name="Normal 28 4 4 2 14 2" xfId="25505" xr:uid="{00000000-0005-0000-0000-0000F12E0000}"/>
    <cellStyle name="Normal 28 4 4 2 15" xfId="25500" xr:uid="{00000000-0005-0000-0000-0000F22E0000}"/>
    <cellStyle name="Normal 28 4 4 2 2" xfId="7842" xr:uid="{00000000-0005-0000-0000-0000F32E0000}"/>
    <cellStyle name="Normal 28 4 4 2 2 2" xfId="25506" xr:uid="{00000000-0005-0000-0000-0000F42E0000}"/>
    <cellStyle name="Normal 28 4 4 2 3" xfId="7843" xr:uid="{00000000-0005-0000-0000-0000F52E0000}"/>
    <cellStyle name="Normal 28 4 4 2 3 2" xfId="25507" xr:uid="{00000000-0005-0000-0000-0000F62E0000}"/>
    <cellStyle name="Normal 28 4 4 2 4" xfId="7844" xr:uid="{00000000-0005-0000-0000-0000F72E0000}"/>
    <cellStyle name="Normal 28 4 4 2 4 2" xfId="25508" xr:uid="{00000000-0005-0000-0000-0000F82E0000}"/>
    <cellStyle name="Normal 28 4 4 2 5" xfId="7845" xr:uid="{00000000-0005-0000-0000-0000F92E0000}"/>
    <cellStyle name="Normal 28 4 4 2 5 2" xfId="25509" xr:uid="{00000000-0005-0000-0000-0000FA2E0000}"/>
    <cellStyle name="Normal 28 4 4 2 6" xfId="7846" xr:uid="{00000000-0005-0000-0000-0000FB2E0000}"/>
    <cellStyle name="Normal 28 4 4 2 6 2" xfId="25510" xr:uid="{00000000-0005-0000-0000-0000FC2E0000}"/>
    <cellStyle name="Normal 28 4 4 2 7" xfId="7847" xr:uid="{00000000-0005-0000-0000-0000FD2E0000}"/>
    <cellStyle name="Normal 28 4 4 2 7 2" xfId="25511" xr:uid="{00000000-0005-0000-0000-0000FE2E0000}"/>
    <cellStyle name="Normal 28 4 4 2 8" xfId="7848" xr:uid="{00000000-0005-0000-0000-0000FF2E0000}"/>
    <cellStyle name="Normal 28 4 4 2 8 2" xfId="25512" xr:uid="{00000000-0005-0000-0000-0000002F0000}"/>
    <cellStyle name="Normal 28 4 4 2 9" xfId="7849" xr:uid="{00000000-0005-0000-0000-0000012F0000}"/>
    <cellStyle name="Normal 28 4 4 2 9 2" xfId="25513" xr:uid="{00000000-0005-0000-0000-0000022F0000}"/>
    <cellStyle name="Normal 28 4 4 3" xfId="7850" xr:uid="{00000000-0005-0000-0000-0000032F0000}"/>
    <cellStyle name="Normal 28 4 4 3 2" xfId="25514" xr:uid="{00000000-0005-0000-0000-0000042F0000}"/>
    <cellStyle name="Normal 28 4 4 4" xfId="7851" xr:uid="{00000000-0005-0000-0000-0000052F0000}"/>
    <cellStyle name="Normal 28 4 4 4 2" xfId="25515" xr:uid="{00000000-0005-0000-0000-0000062F0000}"/>
    <cellStyle name="Normal 28 4 4 5" xfId="7852" xr:uid="{00000000-0005-0000-0000-0000072F0000}"/>
    <cellStyle name="Normal 28 4 4 5 2" xfId="25516" xr:uid="{00000000-0005-0000-0000-0000082F0000}"/>
    <cellStyle name="Normal 28 4 4 6" xfId="7853" xr:uid="{00000000-0005-0000-0000-0000092F0000}"/>
    <cellStyle name="Normal 28 4 4 6 2" xfId="25517" xr:uid="{00000000-0005-0000-0000-00000A2F0000}"/>
    <cellStyle name="Normal 28 4 4 7" xfId="7854" xr:uid="{00000000-0005-0000-0000-00000B2F0000}"/>
    <cellStyle name="Normal 28 4 4 7 2" xfId="25518" xr:uid="{00000000-0005-0000-0000-00000C2F0000}"/>
    <cellStyle name="Normal 28 4 4 8" xfId="7855" xr:uid="{00000000-0005-0000-0000-00000D2F0000}"/>
    <cellStyle name="Normal 28 4 4 8 2" xfId="25519" xr:uid="{00000000-0005-0000-0000-00000E2F0000}"/>
    <cellStyle name="Normal 28 4 4 9" xfId="7856" xr:uid="{00000000-0005-0000-0000-00000F2F0000}"/>
    <cellStyle name="Normal 28 4 4 9 2" xfId="25520" xr:uid="{00000000-0005-0000-0000-0000102F0000}"/>
    <cellStyle name="Normal 28 4 5" xfId="7857" xr:uid="{00000000-0005-0000-0000-0000112F0000}"/>
    <cellStyle name="Normal 28 4 5 10" xfId="7858" xr:uid="{00000000-0005-0000-0000-0000122F0000}"/>
    <cellStyle name="Normal 28 4 5 10 2" xfId="25522" xr:uid="{00000000-0005-0000-0000-0000132F0000}"/>
    <cellStyle name="Normal 28 4 5 11" xfId="7859" xr:uid="{00000000-0005-0000-0000-0000142F0000}"/>
    <cellStyle name="Normal 28 4 5 11 2" xfId="25523" xr:uid="{00000000-0005-0000-0000-0000152F0000}"/>
    <cellStyle name="Normal 28 4 5 12" xfId="7860" xr:uid="{00000000-0005-0000-0000-0000162F0000}"/>
    <cellStyle name="Normal 28 4 5 12 2" xfId="25524" xr:uid="{00000000-0005-0000-0000-0000172F0000}"/>
    <cellStyle name="Normal 28 4 5 13" xfId="7861" xr:uid="{00000000-0005-0000-0000-0000182F0000}"/>
    <cellStyle name="Normal 28 4 5 13 2" xfId="25525" xr:uid="{00000000-0005-0000-0000-0000192F0000}"/>
    <cellStyle name="Normal 28 4 5 14" xfId="7862" xr:uid="{00000000-0005-0000-0000-00001A2F0000}"/>
    <cellStyle name="Normal 28 4 5 14 2" xfId="25526" xr:uid="{00000000-0005-0000-0000-00001B2F0000}"/>
    <cellStyle name="Normal 28 4 5 15" xfId="25521" xr:uid="{00000000-0005-0000-0000-00001C2F0000}"/>
    <cellStyle name="Normal 28 4 5 2" xfId="7863" xr:uid="{00000000-0005-0000-0000-00001D2F0000}"/>
    <cellStyle name="Normal 28 4 5 2 2" xfId="25527" xr:uid="{00000000-0005-0000-0000-00001E2F0000}"/>
    <cellStyle name="Normal 28 4 5 3" xfId="7864" xr:uid="{00000000-0005-0000-0000-00001F2F0000}"/>
    <cellStyle name="Normal 28 4 5 3 2" xfId="25528" xr:uid="{00000000-0005-0000-0000-0000202F0000}"/>
    <cellStyle name="Normal 28 4 5 4" xfId="7865" xr:uid="{00000000-0005-0000-0000-0000212F0000}"/>
    <cellStyle name="Normal 28 4 5 4 2" xfId="25529" xr:uid="{00000000-0005-0000-0000-0000222F0000}"/>
    <cellStyle name="Normal 28 4 5 5" xfId="7866" xr:uid="{00000000-0005-0000-0000-0000232F0000}"/>
    <cellStyle name="Normal 28 4 5 5 2" xfId="25530" xr:uid="{00000000-0005-0000-0000-0000242F0000}"/>
    <cellStyle name="Normal 28 4 5 6" xfId="7867" xr:uid="{00000000-0005-0000-0000-0000252F0000}"/>
    <cellStyle name="Normal 28 4 5 6 2" xfId="25531" xr:uid="{00000000-0005-0000-0000-0000262F0000}"/>
    <cellStyle name="Normal 28 4 5 7" xfId="7868" xr:uid="{00000000-0005-0000-0000-0000272F0000}"/>
    <cellStyle name="Normal 28 4 5 7 2" xfId="25532" xr:uid="{00000000-0005-0000-0000-0000282F0000}"/>
    <cellStyle name="Normal 28 4 5 8" xfId="7869" xr:uid="{00000000-0005-0000-0000-0000292F0000}"/>
    <cellStyle name="Normal 28 4 5 8 2" xfId="25533" xr:uid="{00000000-0005-0000-0000-00002A2F0000}"/>
    <cellStyle name="Normal 28 4 5 9" xfId="7870" xr:uid="{00000000-0005-0000-0000-00002B2F0000}"/>
    <cellStyle name="Normal 28 4 5 9 2" xfId="25534" xr:uid="{00000000-0005-0000-0000-00002C2F0000}"/>
    <cellStyle name="Normal 28 4 6" xfId="7871" xr:uid="{00000000-0005-0000-0000-00002D2F0000}"/>
    <cellStyle name="Normal 28 4 6 10" xfId="7872" xr:uid="{00000000-0005-0000-0000-00002E2F0000}"/>
    <cellStyle name="Normal 28 4 6 10 2" xfId="25536" xr:uid="{00000000-0005-0000-0000-00002F2F0000}"/>
    <cellStyle name="Normal 28 4 6 11" xfId="7873" xr:uid="{00000000-0005-0000-0000-0000302F0000}"/>
    <cellStyle name="Normal 28 4 6 11 2" xfId="25537" xr:uid="{00000000-0005-0000-0000-0000312F0000}"/>
    <cellStyle name="Normal 28 4 6 12" xfId="7874" xr:uid="{00000000-0005-0000-0000-0000322F0000}"/>
    <cellStyle name="Normal 28 4 6 12 2" xfId="25538" xr:uid="{00000000-0005-0000-0000-0000332F0000}"/>
    <cellStyle name="Normal 28 4 6 13" xfId="7875" xr:uid="{00000000-0005-0000-0000-0000342F0000}"/>
    <cellStyle name="Normal 28 4 6 13 2" xfId="25539" xr:uid="{00000000-0005-0000-0000-0000352F0000}"/>
    <cellStyle name="Normal 28 4 6 14" xfId="7876" xr:uid="{00000000-0005-0000-0000-0000362F0000}"/>
    <cellStyle name="Normal 28 4 6 14 2" xfId="25540" xr:uid="{00000000-0005-0000-0000-0000372F0000}"/>
    <cellStyle name="Normal 28 4 6 15" xfId="25535" xr:uid="{00000000-0005-0000-0000-0000382F0000}"/>
    <cellStyle name="Normal 28 4 6 2" xfId="7877" xr:uid="{00000000-0005-0000-0000-0000392F0000}"/>
    <cellStyle name="Normal 28 4 6 2 2" xfId="25541" xr:uid="{00000000-0005-0000-0000-00003A2F0000}"/>
    <cellStyle name="Normal 28 4 6 3" xfId="7878" xr:uid="{00000000-0005-0000-0000-00003B2F0000}"/>
    <cellStyle name="Normal 28 4 6 3 2" xfId="25542" xr:uid="{00000000-0005-0000-0000-00003C2F0000}"/>
    <cellStyle name="Normal 28 4 6 4" xfId="7879" xr:uid="{00000000-0005-0000-0000-00003D2F0000}"/>
    <cellStyle name="Normal 28 4 6 4 2" xfId="25543" xr:uid="{00000000-0005-0000-0000-00003E2F0000}"/>
    <cellStyle name="Normal 28 4 6 5" xfId="7880" xr:uid="{00000000-0005-0000-0000-00003F2F0000}"/>
    <cellStyle name="Normal 28 4 6 5 2" xfId="25544" xr:uid="{00000000-0005-0000-0000-0000402F0000}"/>
    <cellStyle name="Normal 28 4 6 6" xfId="7881" xr:uid="{00000000-0005-0000-0000-0000412F0000}"/>
    <cellStyle name="Normal 28 4 6 6 2" xfId="25545" xr:uid="{00000000-0005-0000-0000-0000422F0000}"/>
    <cellStyle name="Normal 28 4 6 7" xfId="7882" xr:uid="{00000000-0005-0000-0000-0000432F0000}"/>
    <cellStyle name="Normal 28 4 6 7 2" xfId="25546" xr:uid="{00000000-0005-0000-0000-0000442F0000}"/>
    <cellStyle name="Normal 28 4 6 8" xfId="7883" xr:uid="{00000000-0005-0000-0000-0000452F0000}"/>
    <cellStyle name="Normal 28 4 6 8 2" xfId="25547" xr:uid="{00000000-0005-0000-0000-0000462F0000}"/>
    <cellStyle name="Normal 28 4 6 9" xfId="7884" xr:uid="{00000000-0005-0000-0000-0000472F0000}"/>
    <cellStyle name="Normal 28 4 6 9 2" xfId="25548" xr:uid="{00000000-0005-0000-0000-0000482F0000}"/>
    <cellStyle name="Normal 28 4 7" xfId="7885" xr:uid="{00000000-0005-0000-0000-0000492F0000}"/>
    <cellStyle name="Normal 28 4 7 10" xfId="7886" xr:uid="{00000000-0005-0000-0000-00004A2F0000}"/>
    <cellStyle name="Normal 28 4 7 10 2" xfId="25550" xr:uid="{00000000-0005-0000-0000-00004B2F0000}"/>
    <cellStyle name="Normal 28 4 7 11" xfId="7887" xr:uid="{00000000-0005-0000-0000-00004C2F0000}"/>
    <cellStyle name="Normal 28 4 7 11 2" xfId="25551" xr:uid="{00000000-0005-0000-0000-00004D2F0000}"/>
    <cellStyle name="Normal 28 4 7 12" xfId="7888" xr:uid="{00000000-0005-0000-0000-00004E2F0000}"/>
    <cellStyle name="Normal 28 4 7 12 2" xfId="25552" xr:uid="{00000000-0005-0000-0000-00004F2F0000}"/>
    <cellStyle name="Normal 28 4 7 13" xfId="7889" xr:uid="{00000000-0005-0000-0000-0000502F0000}"/>
    <cellStyle name="Normal 28 4 7 13 2" xfId="25553" xr:uid="{00000000-0005-0000-0000-0000512F0000}"/>
    <cellStyle name="Normal 28 4 7 14" xfId="7890" xr:uid="{00000000-0005-0000-0000-0000522F0000}"/>
    <cellStyle name="Normal 28 4 7 14 2" xfId="25554" xr:uid="{00000000-0005-0000-0000-0000532F0000}"/>
    <cellStyle name="Normal 28 4 7 15" xfId="25549" xr:uid="{00000000-0005-0000-0000-0000542F0000}"/>
    <cellStyle name="Normal 28 4 7 2" xfId="7891" xr:uid="{00000000-0005-0000-0000-0000552F0000}"/>
    <cellStyle name="Normal 28 4 7 2 2" xfId="25555" xr:uid="{00000000-0005-0000-0000-0000562F0000}"/>
    <cellStyle name="Normal 28 4 7 3" xfId="7892" xr:uid="{00000000-0005-0000-0000-0000572F0000}"/>
    <cellStyle name="Normal 28 4 7 3 2" xfId="25556" xr:uid="{00000000-0005-0000-0000-0000582F0000}"/>
    <cellStyle name="Normal 28 4 7 4" xfId="7893" xr:uid="{00000000-0005-0000-0000-0000592F0000}"/>
    <cellStyle name="Normal 28 4 7 4 2" xfId="25557" xr:uid="{00000000-0005-0000-0000-00005A2F0000}"/>
    <cellStyle name="Normal 28 4 7 5" xfId="7894" xr:uid="{00000000-0005-0000-0000-00005B2F0000}"/>
    <cellStyle name="Normal 28 4 7 5 2" xfId="25558" xr:uid="{00000000-0005-0000-0000-00005C2F0000}"/>
    <cellStyle name="Normal 28 4 7 6" xfId="7895" xr:uid="{00000000-0005-0000-0000-00005D2F0000}"/>
    <cellStyle name="Normal 28 4 7 6 2" xfId="25559" xr:uid="{00000000-0005-0000-0000-00005E2F0000}"/>
    <cellStyle name="Normal 28 4 7 7" xfId="7896" xr:uid="{00000000-0005-0000-0000-00005F2F0000}"/>
    <cellStyle name="Normal 28 4 7 7 2" xfId="25560" xr:uid="{00000000-0005-0000-0000-0000602F0000}"/>
    <cellStyle name="Normal 28 4 7 8" xfId="7897" xr:uid="{00000000-0005-0000-0000-0000612F0000}"/>
    <cellStyle name="Normal 28 4 7 8 2" xfId="25561" xr:uid="{00000000-0005-0000-0000-0000622F0000}"/>
    <cellStyle name="Normal 28 4 7 9" xfId="7898" xr:uid="{00000000-0005-0000-0000-0000632F0000}"/>
    <cellStyle name="Normal 28 4 7 9 2" xfId="25562" xr:uid="{00000000-0005-0000-0000-0000642F0000}"/>
    <cellStyle name="Normal 28 4 8" xfId="7899" xr:uid="{00000000-0005-0000-0000-0000652F0000}"/>
    <cellStyle name="Normal 28 4 8 10" xfId="7900" xr:uid="{00000000-0005-0000-0000-0000662F0000}"/>
    <cellStyle name="Normal 28 4 8 10 2" xfId="25564" xr:uid="{00000000-0005-0000-0000-0000672F0000}"/>
    <cellStyle name="Normal 28 4 8 11" xfId="7901" xr:uid="{00000000-0005-0000-0000-0000682F0000}"/>
    <cellStyle name="Normal 28 4 8 11 2" xfId="25565" xr:uid="{00000000-0005-0000-0000-0000692F0000}"/>
    <cellStyle name="Normal 28 4 8 12" xfId="7902" xr:uid="{00000000-0005-0000-0000-00006A2F0000}"/>
    <cellStyle name="Normal 28 4 8 12 2" xfId="25566" xr:uid="{00000000-0005-0000-0000-00006B2F0000}"/>
    <cellStyle name="Normal 28 4 8 13" xfId="7903" xr:uid="{00000000-0005-0000-0000-00006C2F0000}"/>
    <cellStyle name="Normal 28 4 8 13 2" xfId="25567" xr:uid="{00000000-0005-0000-0000-00006D2F0000}"/>
    <cellStyle name="Normal 28 4 8 14" xfId="7904" xr:uid="{00000000-0005-0000-0000-00006E2F0000}"/>
    <cellStyle name="Normal 28 4 8 14 2" xfId="25568" xr:uid="{00000000-0005-0000-0000-00006F2F0000}"/>
    <cellStyle name="Normal 28 4 8 15" xfId="25563" xr:uid="{00000000-0005-0000-0000-0000702F0000}"/>
    <cellStyle name="Normal 28 4 8 2" xfId="7905" xr:uid="{00000000-0005-0000-0000-0000712F0000}"/>
    <cellStyle name="Normal 28 4 8 2 2" xfId="25569" xr:uid="{00000000-0005-0000-0000-0000722F0000}"/>
    <cellStyle name="Normal 28 4 8 3" xfId="7906" xr:uid="{00000000-0005-0000-0000-0000732F0000}"/>
    <cellStyle name="Normal 28 4 8 3 2" xfId="25570" xr:uid="{00000000-0005-0000-0000-0000742F0000}"/>
    <cellStyle name="Normal 28 4 8 4" xfId="7907" xr:uid="{00000000-0005-0000-0000-0000752F0000}"/>
    <cellStyle name="Normal 28 4 8 4 2" xfId="25571" xr:uid="{00000000-0005-0000-0000-0000762F0000}"/>
    <cellStyle name="Normal 28 4 8 5" xfId="7908" xr:uid="{00000000-0005-0000-0000-0000772F0000}"/>
    <cellStyle name="Normal 28 4 8 5 2" xfId="25572" xr:uid="{00000000-0005-0000-0000-0000782F0000}"/>
    <cellStyle name="Normal 28 4 8 6" xfId="7909" xr:uid="{00000000-0005-0000-0000-0000792F0000}"/>
    <cellStyle name="Normal 28 4 8 6 2" xfId="25573" xr:uid="{00000000-0005-0000-0000-00007A2F0000}"/>
    <cellStyle name="Normal 28 4 8 7" xfId="7910" xr:uid="{00000000-0005-0000-0000-00007B2F0000}"/>
    <cellStyle name="Normal 28 4 8 7 2" xfId="25574" xr:uid="{00000000-0005-0000-0000-00007C2F0000}"/>
    <cellStyle name="Normal 28 4 8 8" xfId="7911" xr:uid="{00000000-0005-0000-0000-00007D2F0000}"/>
    <cellStyle name="Normal 28 4 8 8 2" xfId="25575" xr:uid="{00000000-0005-0000-0000-00007E2F0000}"/>
    <cellStyle name="Normal 28 4 8 9" xfId="7912" xr:uid="{00000000-0005-0000-0000-00007F2F0000}"/>
    <cellStyle name="Normal 28 4 8 9 2" xfId="25576" xr:uid="{00000000-0005-0000-0000-0000802F0000}"/>
    <cellStyle name="Normal 28 4 9" xfId="7913" xr:uid="{00000000-0005-0000-0000-0000812F0000}"/>
    <cellStyle name="Normal 28 4 9 10" xfId="7914" xr:uid="{00000000-0005-0000-0000-0000822F0000}"/>
    <cellStyle name="Normal 28 4 9 10 2" xfId="25578" xr:uid="{00000000-0005-0000-0000-0000832F0000}"/>
    <cellStyle name="Normal 28 4 9 11" xfId="7915" xr:uid="{00000000-0005-0000-0000-0000842F0000}"/>
    <cellStyle name="Normal 28 4 9 11 2" xfId="25579" xr:uid="{00000000-0005-0000-0000-0000852F0000}"/>
    <cellStyle name="Normal 28 4 9 12" xfId="7916" xr:uid="{00000000-0005-0000-0000-0000862F0000}"/>
    <cellStyle name="Normal 28 4 9 12 2" xfId="25580" xr:uid="{00000000-0005-0000-0000-0000872F0000}"/>
    <cellStyle name="Normal 28 4 9 13" xfId="7917" xr:uid="{00000000-0005-0000-0000-0000882F0000}"/>
    <cellStyle name="Normal 28 4 9 13 2" xfId="25581" xr:uid="{00000000-0005-0000-0000-0000892F0000}"/>
    <cellStyle name="Normal 28 4 9 14" xfId="7918" xr:uid="{00000000-0005-0000-0000-00008A2F0000}"/>
    <cellStyle name="Normal 28 4 9 14 2" xfId="25582" xr:uid="{00000000-0005-0000-0000-00008B2F0000}"/>
    <cellStyle name="Normal 28 4 9 15" xfId="25577" xr:uid="{00000000-0005-0000-0000-00008C2F0000}"/>
    <cellStyle name="Normal 28 4 9 2" xfId="7919" xr:uid="{00000000-0005-0000-0000-00008D2F0000}"/>
    <cellStyle name="Normal 28 4 9 2 2" xfId="25583" xr:uid="{00000000-0005-0000-0000-00008E2F0000}"/>
    <cellStyle name="Normal 28 4 9 3" xfId="7920" xr:uid="{00000000-0005-0000-0000-00008F2F0000}"/>
    <cellStyle name="Normal 28 4 9 3 2" xfId="25584" xr:uid="{00000000-0005-0000-0000-0000902F0000}"/>
    <cellStyle name="Normal 28 4 9 4" xfId="7921" xr:uid="{00000000-0005-0000-0000-0000912F0000}"/>
    <cellStyle name="Normal 28 4 9 4 2" xfId="25585" xr:uid="{00000000-0005-0000-0000-0000922F0000}"/>
    <cellStyle name="Normal 28 4 9 5" xfId="7922" xr:uid="{00000000-0005-0000-0000-0000932F0000}"/>
    <cellStyle name="Normal 28 4 9 5 2" xfId="25586" xr:uid="{00000000-0005-0000-0000-0000942F0000}"/>
    <cellStyle name="Normal 28 4 9 6" xfId="7923" xr:uid="{00000000-0005-0000-0000-0000952F0000}"/>
    <cellStyle name="Normal 28 4 9 6 2" xfId="25587" xr:uid="{00000000-0005-0000-0000-0000962F0000}"/>
    <cellStyle name="Normal 28 4 9 7" xfId="7924" xr:uid="{00000000-0005-0000-0000-0000972F0000}"/>
    <cellStyle name="Normal 28 4 9 7 2" xfId="25588" xr:uid="{00000000-0005-0000-0000-0000982F0000}"/>
    <cellStyle name="Normal 28 4 9 8" xfId="7925" xr:uid="{00000000-0005-0000-0000-0000992F0000}"/>
    <cellStyle name="Normal 28 4 9 8 2" xfId="25589" xr:uid="{00000000-0005-0000-0000-00009A2F0000}"/>
    <cellStyle name="Normal 28 4 9 9" xfId="7926" xr:uid="{00000000-0005-0000-0000-00009B2F0000}"/>
    <cellStyle name="Normal 28 4 9 9 2" xfId="25590" xr:uid="{00000000-0005-0000-0000-00009C2F0000}"/>
    <cellStyle name="Normal 28 5" xfId="7927" xr:uid="{00000000-0005-0000-0000-00009D2F0000}"/>
    <cellStyle name="Normal 28 6" xfId="7928" xr:uid="{00000000-0005-0000-0000-00009E2F0000}"/>
    <cellStyle name="Normal 28 7" xfId="7929" xr:uid="{00000000-0005-0000-0000-00009F2F0000}"/>
    <cellStyle name="Normal 29" xfId="434" xr:uid="{00000000-0005-0000-0000-0000A02F0000}"/>
    <cellStyle name="Normal 29 2" xfId="592" xr:uid="{00000000-0005-0000-0000-0000A12F0000}"/>
    <cellStyle name="Normal 29 2 2" xfId="7931" xr:uid="{00000000-0005-0000-0000-0000A22F0000}"/>
    <cellStyle name="Normal 29 3" xfId="7932" xr:uid="{00000000-0005-0000-0000-0000A32F0000}"/>
    <cellStyle name="Normal 29 4" xfId="7930" xr:uid="{00000000-0005-0000-0000-0000A42F0000}"/>
    <cellStyle name="Normal 3" xfId="52" xr:uid="{00000000-0005-0000-0000-0000A52F0000}"/>
    <cellStyle name="Normal 3 10" xfId="7933" xr:uid="{00000000-0005-0000-0000-0000A62F0000}"/>
    <cellStyle name="Normal 3 10 10" xfId="7934" xr:uid="{00000000-0005-0000-0000-0000A72F0000}"/>
    <cellStyle name="Normal 3 10 11" xfId="7935" xr:uid="{00000000-0005-0000-0000-0000A82F0000}"/>
    <cellStyle name="Normal 3 10 11 10" xfId="7936" xr:uid="{00000000-0005-0000-0000-0000A92F0000}"/>
    <cellStyle name="Normal 3 10 11 10 2" xfId="25592" xr:uid="{00000000-0005-0000-0000-0000AA2F0000}"/>
    <cellStyle name="Normal 3 10 11 11" xfId="7937" xr:uid="{00000000-0005-0000-0000-0000AB2F0000}"/>
    <cellStyle name="Normal 3 10 11 11 2" xfId="25593" xr:uid="{00000000-0005-0000-0000-0000AC2F0000}"/>
    <cellStyle name="Normal 3 10 11 12" xfId="7938" xr:uid="{00000000-0005-0000-0000-0000AD2F0000}"/>
    <cellStyle name="Normal 3 10 11 12 2" xfId="25594" xr:uid="{00000000-0005-0000-0000-0000AE2F0000}"/>
    <cellStyle name="Normal 3 10 11 13" xfId="7939" xr:uid="{00000000-0005-0000-0000-0000AF2F0000}"/>
    <cellStyle name="Normal 3 10 11 13 2" xfId="25595" xr:uid="{00000000-0005-0000-0000-0000B02F0000}"/>
    <cellStyle name="Normal 3 10 11 14" xfId="7940" xr:uid="{00000000-0005-0000-0000-0000B12F0000}"/>
    <cellStyle name="Normal 3 10 11 14 2" xfId="25596" xr:uid="{00000000-0005-0000-0000-0000B22F0000}"/>
    <cellStyle name="Normal 3 10 11 15" xfId="7941" xr:uid="{00000000-0005-0000-0000-0000B32F0000}"/>
    <cellStyle name="Normal 3 10 11 15 2" xfId="25597" xr:uid="{00000000-0005-0000-0000-0000B42F0000}"/>
    <cellStyle name="Normal 3 10 11 16" xfId="7942" xr:uid="{00000000-0005-0000-0000-0000B52F0000}"/>
    <cellStyle name="Normal 3 10 11 16 2" xfId="25598" xr:uid="{00000000-0005-0000-0000-0000B62F0000}"/>
    <cellStyle name="Normal 3 10 11 17" xfId="7943" xr:uid="{00000000-0005-0000-0000-0000B72F0000}"/>
    <cellStyle name="Normal 3 10 11 17 2" xfId="25599" xr:uid="{00000000-0005-0000-0000-0000B82F0000}"/>
    <cellStyle name="Normal 3 10 11 18" xfId="25591" xr:uid="{00000000-0005-0000-0000-0000B92F0000}"/>
    <cellStyle name="Normal 3 10 11 2" xfId="7944" xr:uid="{00000000-0005-0000-0000-0000BA2F0000}"/>
    <cellStyle name="Normal 3 10 11 3" xfId="7945" xr:uid="{00000000-0005-0000-0000-0000BB2F0000}"/>
    <cellStyle name="Normal 3 10 11 4" xfId="7946" xr:uid="{00000000-0005-0000-0000-0000BC2F0000}"/>
    <cellStyle name="Normal 3 10 11 5" xfId="7947" xr:uid="{00000000-0005-0000-0000-0000BD2F0000}"/>
    <cellStyle name="Normal 3 10 11 5 2" xfId="25600" xr:uid="{00000000-0005-0000-0000-0000BE2F0000}"/>
    <cellStyle name="Normal 3 10 11 6" xfId="7948" xr:uid="{00000000-0005-0000-0000-0000BF2F0000}"/>
    <cellStyle name="Normal 3 10 11 6 2" xfId="25601" xr:uid="{00000000-0005-0000-0000-0000C02F0000}"/>
    <cellStyle name="Normal 3 10 11 7" xfId="7949" xr:uid="{00000000-0005-0000-0000-0000C12F0000}"/>
    <cellStyle name="Normal 3 10 11 7 2" xfId="25602" xr:uid="{00000000-0005-0000-0000-0000C22F0000}"/>
    <cellStyle name="Normal 3 10 11 8" xfId="7950" xr:uid="{00000000-0005-0000-0000-0000C32F0000}"/>
    <cellStyle name="Normal 3 10 11 8 2" xfId="25603" xr:uid="{00000000-0005-0000-0000-0000C42F0000}"/>
    <cellStyle name="Normal 3 10 11 9" xfId="7951" xr:uid="{00000000-0005-0000-0000-0000C52F0000}"/>
    <cellStyle name="Normal 3 10 11 9 2" xfId="25604" xr:uid="{00000000-0005-0000-0000-0000C62F0000}"/>
    <cellStyle name="Normal 3 10 12" xfId="7952" xr:uid="{00000000-0005-0000-0000-0000C72F0000}"/>
    <cellStyle name="Normal 3 10 13" xfId="7953" xr:uid="{00000000-0005-0000-0000-0000C82F0000}"/>
    <cellStyle name="Normal 3 10 14" xfId="7954" xr:uid="{00000000-0005-0000-0000-0000C92F0000}"/>
    <cellStyle name="Normal 3 10 14 10" xfId="7955" xr:uid="{00000000-0005-0000-0000-0000CA2F0000}"/>
    <cellStyle name="Normal 3 10 14 10 2" xfId="25606" xr:uid="{00000000-0005-0000-0000-0000CB2F0000}"/>
    <cellStyle name="Normal 3 10 14 11" xfId="7956" xr:uid="{00000000-0005-0000-0000-0000CC2F0000}"/>
    <cellStyle name="Normal 3 10 14 11 2" xfId="25607" xr:uid="{00000000-0005-0000-0000-0000CD2F0000}"/>
    <cellStyle name="Normal 3 10 14 12" xfId="7957" xr:uid="{00000000-0005-0000-0000-0000CE2F0000}"/>
    <cellStyle name="Normal 3 10 14 12 2" xfId="25608" xr:uid="{00000000-0005-0000-0000-0000CF2F0000}"/>
    <cellStyle name="Normal 3 10 14 13" xfId="7958" xr:uid="{00000000-0005-0000-0000-0000D02F0000}"/>
    <cellStyle name="Normal 3 10 14 13 2" xfId="25609" xr:uid="{00000000-0005-0000-0000-0000D12F0000}"/>
    <cellStyle name="Normal 3 10 14 14" xfId="7959" xr:uid="{00000000-0005-0000-0000-0000D22F0000}"/>
    <cellStyle name="Normal 3 10 14 14 2" xfId="25610" xr:uid="{00000000-0005-0000-0000-0000D32F0000}"/>
    <cellStyle name="Normal 3 10 14 15" xfId="7960" xr:uid="{00000000-0005-0000-0000-0000D42F0000}"/>
    <cellStyle name="Normal 3 10 14 15 2" xfId="25611" xr:uid="{00000000-0005-0000-0000-0000D52F0000}"/>
    <cellStyle name="Normal 3 10 14 16" xfId="25605" xr:uid="{00000000-0005-0000-0000-0000D62F0000}"/>
    <cellStyle name="Normal 3 10 14 2" xfId="7961" xr:uid="{00000000-0005-0000-0000-0000D72F0000}"/>
    <cellStyle name="Normal 3 10 14 2 10" xfId="7962" xr:uid="{00000000-0005-0000-0000-0000D82F0000}"/>
    <cellStyle name="Normal 3 10 14 2 10 2" xfId="25613" xr:uid="{00000000-0005-0000-0000-0000D92F0000}"/>
    <cellStyle name="Normal 3 10 14 2 11" xfId="7963" xr:uid="{00000000-0005-0000-0000-0000DA2F0000}"/>
    <cellStyle name="Normal 3 10 14 2 11 2" xfId="25614" xr:uid="{00000000-0005-0000-0000-0000DB2F0000}"/>
    <cellStyle name="Normal 3 10 14 2 12" xfId="7964" xr:uid="{00000000-0005-0000-0000-0000DC2F0000}"/>
    <cellStyle name="Normal 3 10 14 2 12 2" xfId="25615" xr:uid="{00000000-0005-0000-0000-0000DD2F0000}"/>
    <cellStyle name="Normal 3 10 14 2 13" xfId="7965" xr:uid="{00000000-0005-0000-0000-0000DE2F0000}"/>
    <cellStyle name="Normal 3 10 14 2 13 2" xfId="25616" xr:uid="{00000000-0005-0000-0000-0000DF2F0000}"/>
    <cellStyle name="Normal 3 10 14 2 14" xfId="7966" xr:uid="{00000000-0005-0000-0000-0000E02F0000}"/>
    <cellStyle name="Normal 3 10 14 2 14 2" xfId="25617" xr:uid="{00000000-0005-0000-0000-0000E12F0000}"/>
    <cellStyle name="Normal 3 10 14 2 15" xfId="25612" xr:uid="{00000000-0005-0000-0000-0000E22F0000}"/>
    <cellStyle name="Normal 3 10 14 2 2" xfId="7967" xr:uid="{00000000-0005-0000-0000-0000E32F0000}"/>
    <cellStyle name="Normal 3 10 14 2 2 2" xfId="25618" xr:uid="{00000000-0005-0000-0000-0000E42F0000}"/>
    <cellStyle name="Normal 3 10 14 2 3" xfId="7968" xr:uid="{00000000-0005-0000-0000-0000E52F0000}"/>
    <cellStyle name="Normal 3 10 14 2 3 2" xfId="25619" xr:uid="{00000000-0005-0000-0000-0000E62F0000}"/>
    <cellStyle name="Normal 3 10 14 2 4" xfId="7969" xr:uid="{00000000-0005-0000-0000-0000E72F0000}"/>
    <cellStyle name="Normal 3 10 14 2 4 2" xfId="25620" xr:uid="{00000000-0005-0000-0000-0000E82F0000}"/>
    <cellStyle name="Normal 3 10 14 2 5" xfId="7970" xr:uid="{00000000-0005-0000-0000-0000E92F0000}"/>
    <cellStyle name="Normal 3 10 14 2 5 2" xfId="25621" xr:uid="{00000000-0005-0000-0000-0000EA2F0000}"/>
    <cellStyle name="Normal 3 10 14 2 6" xfId="7971" xr:uid="{00000000-0005-0000-0000-0000EB2F0000}"/>
    <cellStyle name="Normal 3 10 14 2 6 2" xfId="25622" xr:uid="{00000000-0005-0000-0000-0000EC2F0000}"/>
    <cellStyle name="Normal 3 10 14 2 7" xfId="7972" xr:uid="{00000000-0005-0000-0000-0000ED2F0000}"/>
    <cellStyle name="Normal 3 10 14 2 7 2" xfId="25623" xr:uid="{00000000-0005-0000-0000-0000EE2F0000}"/>
    <cellStyle name="Normal 3 10 14 2 8" xfId="7973" xr:uid="{00000000-0005-0000-0000-0000EF2F0000}"/>
    <cellStyle name="Normal 3 10 14 2 8 2" xfId="25624" xr:uid="{00000000-0005-0000-0000-0000F02F0000}"/>
    <cellStyle name="Normal 3 10 14 2 9" xfId="7974" xr:uid="{00000000-0005-0000-0000-0000F12F0000}"/>
    <cellStyle name="Normal 3 10 14 2 9 2" xfId="25625" xr:uid="{00000000-0005-0000-0000-0000F22F0000}"/>
    <cellStyle name="Normal 3 10 14 3" xfId="7975" xr:uid="{00000000-0005-0000-0000-0000F32F0000}"/>
    <cellStyle name="Normal 3 10 14 3 2" xfId="25626" xr:uid="{00000000-0005-0000-0000-0000F42F0000}"/>
    <cellStyle name="Normal 3 10 14 4" xfId="7976" xr:uid="{00000000-0005-0000-0000-0000F52F0000}"/>
    <cellStyle name="Normal 3 10 14 4 2" xfId="25627" xr:uid="{00000000-0005-0000-0000-0000F62F0000}"/>
    <cellStyle name="Normal 3 10 14 5" xfId="7977" xr:uid="{00000000-0005-0000-0000-0000F72F0000}"/>
    <cellStyle name="Normal 3 10 14 5 2" xfId="25628" xr:uid="{00000000-0005-0000-0000-0000F82F0000}"/>
    <cellStyle name="Normal 3 10 14 6" xfId="7978" xr:uid="{00000000-0005-0000-0000-0000F92F0000}"/>
    <cellStyle name="Normal 3 10 14 6 2" xfId="25629" xr:uid="{00000000-0005-0000-0000-0000FA2F0000}"/>
    <cellStyle name="Normal 3 10 14 7" xfId="7979" xr:uid="{00000000-0005-0000-0000-0000FB2F0000}"/>
    <cellStyle name="Normal 3 10 14 7 2" xfId="25630" xr:uid="{00000000-0005-0000-0000-0000FC2F0000}"/>
    <cellStyle name="Normal 3 10 14 8" xfId="7980" xr:uid="{00000000-0005-0000-0000-0000FD2F0000}"/>
    <cellStyle name="Normal 3 10 14 8 2" xfId="25631" xr:uid="{00000000-0005-0000-0000-0000FE2F0000}"/>
    <cellStyle name="Normal 3 10 14 9" xfId="7981" xr:uid="{00000000-0005-0000-0000-0000FF2F0000}"/>
    <cellStyle name="Normal 3 10 14 9 2" xfId="25632" xr:uid="{00000000-0005-0000-0000-000000300000}"/>
    <cellStyle name="Normal 3 10 15" xfId="7982" xr:uid="{00000000-0005-0000-0000-000001300000}"/>
    <cellStyle name="Normal 3 10 15 10" xfId="7983" xr:uid="{00000000-0005-0000-0000-000002300000}"/>
    <cellStyle name="Normal 3 10 15 10 2" xfId="25634" xr:uid="{00000000-0005-0000-0000-000003300000}"/>
    <cellStyle name="Normal 3 10 15 11" xfId="7984" xr:uid="{00000000-0005-0000-0000-000004300000}"/>
    <cellStyle name="Normal 3 10 15 11 2" xfId="25635" xr:uid="{00000000-0005-0000-0000-000005300000}"/>
    <cellStyle name="Normal 3 10 15 12" xfId="7985" xr:uid="{00000000-0005-0000-0000-000006300000}"/>
    <cellStyle name="Normal 3 10 15 12 2" xfId="25636" xr:uid="{00000000-0005-0000-0000-000007300000}"/>
    <cellStyle name="Normal 3 10 15 13" xfId="7986" xr:uid="{00000000-0005-0000-0000-000008300000}"/>
    <cellStyle name="Normal 3 10 15 13 2" xfId="25637" xr:uid="{00000000-0005-0000-0000-000009300000}"/>
    <cellStyle name="Normal 3 10 15 14" xfId="7987" xr:uid="{00000000-0005-0000-0000-00000A300000}"/>
    <cellStyle name="Normal 3 10 15 14 2" xfId="25638" xr:uid="{00000000-0005-0000-0000-00000B300000}"/>
    <cellStyle name="Normal 3 10 15 15" xfId="7988" xr:uid="{00000000-0005-0000-0000-00000C300000}"/>
    <cellStyle name="Normal 3 10 15 15 2" xfId="25639" xr:uid="{00000000-0005-0000-0000-00000D300000}"/>
    <cellStyle name="Normal 3 10 15 16" xfId="25633" xr:uid="{00000000-0005-0000-0000-00000E300000}"/>
    <cellStyle name="Normal 3 10 15 2" xfId="7989" xr:uid="{00000000-0005-0000-0000-00000F300000}"/>
    <cellStyle name="Normal 3 10 15 2 10" xfId="7990" xr:uid="{00000000-0005-0000-0000-000010300000}"/>
    <cellStyle name="Normal 3 10 15 2 10 2" xfId="25641" xr:uid="{00000000-0005-0000-0000-000011300000}"/>
    <cellStyle name="Normal 3 10 15 2 11" xfId="7991" xr:uid="{00000000-0005-0000-0000-000012300000}"/>
    <cellStyle name="Normal 3 10 15 2 11 2" xfId="25642" xr:uid="{00000000-0005-0000-0000-000013300000}"/>
    <cellStyle name="Normal 3 10 15 2 12" xfId="7992" xr:uid="{00000000-0005-0000-0000-000014300000}"/>
    <cellStyle name="Normal 3 10 15 2 12 2" xfId="25643" xr:uid="{00000000-0005-0000-0000-000015300000}"/>
    <cellStyle name="Normal 3 10 15 2 13" xfId="7993" xr:uid="{00000000-0005-0000-0000-000016300000}"/>
    <cellStyle name="Normal 3 10 15 2 13 2" xfId="25644" xr:uid="{00000000-0005-0000-0000-000017300000}"/>
    <cellStyle name="Normal 3 10 15 2 14" xfId="7994" xr:uid="{00000000-0005-0000-0000-000018300000}"/>
    <cellStyle name="Normal 3 10 15 2 14 2" xfId="25645" xr:uid="{00000000-0005-0000-0000-000019300000}"/>
    <cellStyle name="Normal 3 10 15 2 15" xfId="25640" xr:uid="{00000000-0005-0000-0000-00001A300000}"/>
    <cellStyle name="Normal 3 10 15 2 2" xfId="7995" xr:uid="{00000000-0005-0000-0000-00001B300000}"/>
    <cellStyle name="Normal 3 10 15 2 2 2" xfId="25646" xr:uid="{00000000-0005-0000-0000-00001C300000}"/>
    <cellStyle name="Normal 3 10 15 2 3" xfId="7996" xr:uid="{00000000-0005-0000-0000-00001D300000}"/>
    <cellStyle name="Normal 3 10 15 2 3 2" xfId="25647" xr:uid="{00000000-0005-0000-0000-00001E300000}"/>
    <cellStyle name="Normal 3 10 15 2 4" xfId="7997" xr:uid="{00000000-0005-0000-0000-00001F300000}"/>
    <cellStyle name="Normal 3 10 15 2 4 2" xfId="25648" xr:uid="{00000000-0005-0000-0000-000020300000}"/>
    <cellStyle name="Normal 3 10 15 2 5" xfId="7998" xr:uid="{00000000-0005-0000-0000-000021300000}"/>
    <cellStyle name="Normal 3 10 15 2 5 2" xfId="25649" xr:uid="{00000000-0005-0000-0000-000022300000}"/>
    <cellStyle name="Normal 3 10 15 2 6" xfId="7999" xr:uid="{00000000-0005-0000-0000-000023300000}"/>
    <cellStyle name="Normal 3 10 15 2 6 2" xfId="25650" xr:uid="{00000000-0005-0000-0000-000024300000}"/>
    <cellStyle name="Normal 3 10 15 2 7" xfId="8000" xr:uid="{00000000-0005-0000-0000-000025300000}"/>
    <cellStyle name="Normal 3 10 15 2 7 2" xfId="25651" xr:uid="{00000000-0005-0000-0000-000026300000}"/>
    <cellStyle name="Normal 3 10 15 2 8" xfId="8001" xr:uid="{00000000-0005-0000-0000-000027300000}"/>
    <cellStyle name="Normal 3 10 15 2 8 2" xfId="25652" xr:uid="{00000000-0005-0000-0000-000028300000}"/>
    <cellStyle name="Normal 3 10 15 2 9" xfId="8002" xr:uid="{00000000-0005-0000-0000-000029300000}"/>
    <cellStyle name="Normal 3 10 15 2 9 2" xfId="25653" xr:uid="{00000000-0005-0000-0000-00002A300000}"/>
    <cellStyle name="Normal 3 10 15 3" xfId="8003" xr:uid="{00000000-0005-0000-0000-00002B300000}"/>
    <cellStyle name="Normal 3 10 15 3 2" xfId="25654" xr:uid="{00000000-0005-0000-0000-00002C300000}"/>
    <cellStyle name="Normal 3 10 15 4" xfId="8004" xr:uid="{00000000-0005-0000-0000-00002D300000}"/>
    <cellStyle name="Normal 3 10 15 4 2" xfId="25655" xr:uid="{00000000-0005-0000-0000-00002E300000}"/>
    <cellStyle name="Normal 3 10 15 5" xfId="8005" xr:uid="{00000000-0005-0000-0000-00002F300000}"/>
    <cellStyle name="Normal 3 10 15 5 2" xfId="25656" xr:uid="{00000000-0005-0000-0000-000030300000}"/>
    <cellStyle name="Normal 3 10 15 6" xfId="8006" xr:uid="{00000000-0005-0000-0000-000031300000}"/>
    <cellStyle name="Normal 3 10 15 6 2" xfId="25657" xr:uid="{00000000-0005-0000-0000-000032300000}"/>
    <cellStyle name="Normal 3 10 15 7" xfId="8007" xr:uid="{00000000-0005-0000-0000-000033300000}"/>
    <cellStyle name="Normal 3 10 15 7 2" xfId="25658" xr:uid="{00000000-0005-0000-0000-000034300000}"/>
    <cellStyle name="Normal 3 10 15 8" xfId="8008" xr:uid="{00000000-0005-0000-0000-000035300000}"/>
    <cellStyle name="Normal 3 10 15 8 2" xfId="25659" xr:uid="{00000000-0005-0000-0000-000036300000}"/>
    <cellStyle name="Normal 3 10 15 9" xfId="8009" xr:uid="{00000000-0005-0000-0000-000037300000}"/>
    <cellStyle name="Normal 3 10 15 9 2" xfId="25660" xr:uid="{00000000-0005-0000-0000-000038300000}"/>
    <cellStyle name="Normal 3 10 16" xfId="8010" xr:uid="{00000000-0005-0000-0000-000039300000}"/>
    <cellStyle name="Normal 3 10 16 10" xfId="8011" xr:uid="{00000000-0005-0000-0000-00003A300000}"/>
    <cellStyle name="Normal 3 10 16 10 2" xfId="25662" xr:uid="{00000000-0005-0000-0000-00003B300000}"/>
    <cellStyle name="Normal 3 10 16 11" xfId="8012" xr:uid="{00000000-0005-0000-0000-00003C300000}"/>
    <cellStyle name="Normal 3 10 16 11 2" xfId="25663" xr:uid="{00000000-0005-0000-0000-00003D300000}"/>
    <cellStyle name="Normal 3 10 16 12" xfId="8013" xr:uid="{00000000-0005-0000-0000-00003E300000}"/>
    <cellStyle name="Normal 3 10 16 12 2" xfId="25664" xr:uid="{00000000-0005-0000-0000-00003F300000}"/>
    <cellStyle name="Normal 3 10 16 13" xfId="8014" xr:uid="{00000000-0005-0000-0000-000040300000}"/>
    <cellStyle name="Normal 3 10 16 13 2" xfId="25665" xr:uid="{00000000-0005-0000-0000-000041300000}"/>
    <cellStyle name="Normal 3 10 16 14" xfId="8015" xr:uid="{00000000-0005-0000-0000-000042300000}"/>
    <cellStyle name="Normal 3 10 16 14 2" xfId="25666" xr:uid="{00000000-0005-0000-0000-000043300000}"/>
    <cellStyle name="Normal 3 10 16 15" xfId="8016" xr:uid="{00000000-0005-0000-0000-000044300000}"/>
    <cellStyle name="Normal 3 10 16 15 2" xfId="25667" xr:uid="{00000000-0005-0000-0000-000045300000}"/>
    <cellStyle name="Normal 3 10 16 16" xfId="25661" xr:uid="{00000000-0005-0000-0000-000046300000}"/>
    <cellStyle name="Normal 3 10 16 2" xfId="8017" xr:uid="{00000000-0005-0000-0000-000047300000}"/>
    <cellStyle name="Normal 3 10 16 2 10" xfId="8018" xr:uid="{00000000-0005-0000-0000-000048300000}"/>
    <cellStyle name="Normal 3 10 16 2 10 2" xfId="25669" xr:uid="{00000000-0005-0000-0000-000049300000}"/>
    <cellStyle name="Normal 3 10 16 2 11" xfId="8019" xr:uid="{00000000-0005-0000-0000-00004A300000}"/>
    <cellStyle name="Normal 3 10 16 2 11 2" xfId="25670" xr:uid="{00000000-0005-0000-0000-00004B300000}"/>
    <cellStyle name="Normal 3 10 16 2 12" xfId="8020" xr:uid="{00000000-0005-0000-0000-00004C300000}"/>
    <cellStyle name="Normal 3 10 16 2 12 2" xfId="25671" xr:uid="{00000000-0005-0000-0000-00004D300000}"/>
    <cellStyle name="Normal 3 10 16 2 13" xfId="8021" xr:uid="{00000000-0005-0000-0000-00004E300000}"/>
    <cellStyle name="Normal 3 10 16 2 13 2" xfId="25672" xr:uid="{00000000-0005-0000-0000-00004F300000}"/>
    <cellStyle name="Normal 3 10 16 2 14" xfId="8022" xr:uid="{00000000-0005-0000-0000-000050300000}"/>
    <cellStyle name="Normal 3 10 16 2 14 2" xfId="25673" xr:uid="{00000000-0005-0000-0000-000051300000}"/>
    <cellStyle name="Normal 3 10 16 2 15" xfId="25668" xr:uid="{00000000-0005-0000-0000-000052300000}"/>
    <cellStyle name="Normal 3 10 16 2 2" xfId="8023" xr:uid="{00000000-0005-0000-0000-000053300000}"/>
    <cellStyle name="Normal 3 10 16 2 2 2" xfId="25674" xr:uid="{00000000-0005-0000-0000-000054300000}"/>
    <cellStyle name="Normal 3 10 16 2 3" xfId="8024" xr:uid="{00000000-0005-0000-0000-000055300000}"/>
    <cellStyle name="Normal 3 10 16 2 3 2" xfId="25675" xr:uid="{00000000-0005-0000-0000-000056300000}"/>
    <cellStyle name="Normal 3 10 16 2 4" xfId="8025" xr:uid="{00000000-0005-0000-0000-000057300000}"/>
    <cellStyle name="Normal 3 10 16 2 4 2" xfId="25676" xr:uid="{00000000-0005-0000-0000-000058300000}"/>
    <cellStyle name="Normal 3 10 16 2 5" xfId="8026" xr:uid="{00000000-0005-0000-0000-000059300000}"/>
    <cellStyle name="Normal 3 10 16 2 5 2" xfId="25677" xr:uid="{00000000-0005-0000-0000-00005A300000}"/>
    <cellStyle name="Normal 3 10 16 2 6" xfId="8027" xr:uid="{00000000-0005-0000-0000-00005B300000}"/>
    <cellStyle name="Normal 3 10 16 2 6 2" xfId="25678" xr:uid="{00000000-0005-0000-0000-00005C300000}"/>
    <cellStyle name="Normal 3 10 16 2 7" xfId="8028" xr:uid="{00000000-0005-0000-0000-00005D300000}"/>
    <cellStyle name="Normal 3 10 16 2 7 2" xfId="25679" xr:uid="{00000000-0005-0000-0000-00005E300000}"/>
    <cellStyle name="Normal 3 10 16 2 8" xfId="8029" xr:uid="{00000000-0005-0000-0000-00005F300000}"/>
    <cellStyle name="Normal 3 10 16 2 8 2" xfId="25680" xr:uid="{00000000-0005-0000-0000-000060300000}"/>
    <cellStyle name="Normal 3 10 16 2 9" xfId="8030" xr:uid="{00000000-0005-0000-0000-000061300000}"/>
    <cellStyle name="Normal 3 10 16 2 9 2" xfId="25681" xr:uid="{00000000-0005-0000-0000-000062300000}"/>
    <cellStyle name="Normal 3 10 16 3" xfId="8031" xr:uid="{00000000-0005-0000-0000-000063300000}"/>
    <cellStyle name="Normal 3 10 16 3 2" xfId="25682" xr:uid="{00000000-0005-0000-0000-000064300000}"/>
    <cellStyle name="Normal 3 10 16 4" xfId="8032" xr:uid="{00000000-0005-0000-0000-000065300000}"/>
    <cellStyle name="Normal 3 10 16 4 2" xfId="25683" xr:uid="{00000000-0005-0000-0000-000066300000}"/>
    <cellStyle name="Normal 3 10 16 5" xfId="8033" xr:uid="{00000000-0005-0000-0000-000067300000}"/>
    <cellStyle name="Normal 3 10 16 5 2" xfId="25684" xr:uid="{00000000-0005-0000-0000-000068300000}"/>
    <cellStyle name="Normal 3 10 16 6" xfId="8034" xr:uid="{00000000-0005-0000-0000-000069300000}"/>
    <cellStyle name="Normal 3 10 16 6 2" xfId="25685" xr:uid="{00000000-0005-0000-0000-00006A300000}"/>
    <cellStyle name="Normal 3 10 16 7" xfId="8035" xr:uid="{00000000-0005-0000-0000-00006B300000}"/>
    <cellStyle name="Normal 3 10 16 7 2" xfId="25686" xr:uid="{00000000-0005-0000-0000-00006C300000}"/>
    <cellStyle name="Normal 3 10 16 8" xfId="8036" xr:uid="{00000000-0005-0000-0000-00006D300000}"/>
    <cellStyle name="Normal 3 10 16 8 2" xfId="25687" xr:uid="{00000000-0005-0000-0000-00006E300000}"/>
    <cellStyle name="Normal 3 10 16 9" xfId="8037" xr:uid="{00000000-0005-0000-0000-00006F300000}"/>
    <cellStyle name="Normal 3 10 16 9 2" xfId="25688" xr:uid="{00000000-0005-0000-0000-000070300000}"/>
    <cellStyle name="Normal 3 10 17" xfId="8038" xr:uid="{00000000-0005-0000-0000-000071300000}"/>
    <cellStyle name="Normal 3 10 17 10" xfId="8039" xr:uid="{00000000-0005-0000-0000-000072300000}"/>
    <cellStyle name="Normal 3 10 17 10 2" xfId="25690" xr:uid="{00000000-0005-0000-0000-000073300000}"/>
    <cellStyle name="Normal 3 10 17 11" xfId="8040" xr:uid="{00000000-0005-0000-0000-000074300000}"/>
    <cellStyle name="Normal 3 10 17 11 2" xfId="25691" xr:uid="{00000000-0005-0000-0000-000075300000}"/>
    <cellStyle name="Normal 3 10 17 12" xfId="8041" xr:uid="{00000000-0005-0000-0000-000076300000}"/>
    <cellStyle name="Normal 3 10 17 12 2" xfId="25692" xr:uid="{00000000-0005-0000-0000-000077300000}"/>
    <cellStyle name="Normal 3 10 17 13" xfId="8042" xr:uid="{00000000-0005-0000-0000-000078300000}"/>
    <cellStyle name="Normal 3 10 17 13 2" xfId="25693" xr:uid="{00000000-0005-0000-0000-000079300000}"/>
    <cellStyle name="Normal 3 10 17 14" xfId="8043" xr:uid="{00000000-0005-0000-0000-00007A300000}"/>
    <cellStyle name="Normal 3 10 17 14 2" xfId="25694" xr:uid="{00000000-0005-0000-0000-00007B300000}"/>
    <cellStyle name="Normal 3 10 17 15" xfId="25689" xr:uid="{00000000-0005-0000-0000-00007C300000}"/>
    <cellStyle name="Normal 3 10 17 2" xfId="8044" xr:uid="{00000000-0005-0000-0000-00007D300000}"/>
    <cellStyle name="Normal 3 10 17 2 2" xfId="25695" xr:uid="{00000000-0005-0000-0000-00007E300000}"/>
    <cellStyle name="Normal 3 10 17 3" xfId="8045" xr:uid="{00000000-0005-0000-0000-00007F300000}"/>
    <cellStyle name="Normal 3 10 17 3 2" xfId="25696" xr:uid="{00000000-0005-0000-0000-000080300000}"/>
    <cellStyle name="Normal 3 10 17 4" xfId="8046" xr:uid="{00000000-0005-0000-0000-000081300000}"/>
    <cellStyle name="Normal 3 10 17 4 2" xfId="25697" xr:uid="{00000000-0005-0000-0000-000082300000}"/>
    <cellStyle name="Normal 3 10 17 5" xfId="8047" xr:uid="{00000000-0005-0000-0000-000083300000}"/>
    <cellStyle name="Normal 3 10 17 5 2" xfId="25698" xr:uid="{00000000-0005-0000-0000-000084300000}"/>
    <cellStyle name="Normal 3 10 17 6" xfId="8048" xr:uid="{00000000-0005-0000-0000-000085300000}"/>
    <cellStyle name="Normal 3 10 17 6 2" xfId="25699" xr:uid="{00000000-0005-0000-0000-000086300000}"/>
    <cellStyle name="Normal 3 10 17 7" xfId="8049" xr:uid="{00000000-0005-0000-0000-000087300000}"/>
    <cellStyle name="Normal 3 10 17 7 2" xfId="25700" xr:uid="{00000000-0005-0000-0000-000088300000}"/>
    <cellStyle name="Normal 3 10 17 8" xfId="8050" xr:uid="{00000000-0005-0000-0000-000089300000}"/>
    <cellStyle name="Normal 3 10 17 8 2" xfId="25701" xr:uid="{00000000-0005-0000-0000-00008A300000}"/>
    <cellStyle name="Normal 3 10 17 9" xfId="8051" xr:uid="{00000000-0005-0000-0000-00008B300000}"/>
    <cellStyle name="Normal 3 10 17 9 2" xfId="25702" xr:uid="{00000000-0005-0000-0000-00008C300000}"/>
    <cellStyle name="Normal 3 10 18" xfId="8052" xr:uid="{00000000-0005-0000-0000-00008D300000}"/>
    <cellStyle name="Normal 3 10 18 10" xfId="8053" xr:uid="{00000000-0005-0000-0000-00008E300000}"/>
    <cellStyle name="Normal 3 10 18 10 2" xfId="25704" xr:uid="{00000000-0005-0000-0000-00008F300000}"/>
    <cellStyle name="Normal 3 10 18 11" xfId="8054" xr:uid="{00000000-0005-0000-0000-000090300000}"/>
    <cellStyle name="Normal 3 10 18 11 2" xfId="25705" xr:uid="{00000000-0005-0000-0000-000091300000}"/>
    <cellStyle name="Normal 3 10 18 12" xfId="8055" xr:uid="{00000000-0005-0000-0000-000092300000}"/>
    <cellStyle name="Normal 3 10 18 12 2" xfId="25706" xr:uid="{00000000-0005-0000-0000-000093300000}"/>
    <cellStyle name="Normal 3 10 18 13" xfId="8056" xr:uid="{00000000-0005-0000-0000-000094300000}"/>
    <cellStyle name="Normal 3 10 18 13 2" xfId="25707" xr:uid="{00000000-0005-0000-0000-000095300000}"/>
    <cellStyle name="Normal 3 10 18 14" xfId="8057" xr:uid="{00000000-0005-0000-0000-000096300000}"/>
    <cellStyle name="Normal 3 10 18 14 2" xfId="25708" xr:uid="{00000000-0005-0000-0000-000097300000}"/>
    <cellStyle name="Normal 3 10 18 15" xfId="25703" xr:uid="{00000000-0005-0000-0000-000098300000}"/>
    <cellStyle name="Normal 3 10 18 2" xfId="8058" xr:uid="{00000000-0005-0000-0000-000099300000}"/>
    <cellStyle name="Normal 3 10 18 2 2" xfId="25709" xr:uid="{00000000-0005-0000-0000-00009A300000}"/>
    <cellStyle name="Normal 3 10 18 3" xfId="8059" xr:uid="{00000000-0005-0000-0000-00009B300000}"/>
    <cellStyle name="Normal 3 10 18 3 2" xfId="25710" xr:uid="{00000000-0005-0000-0000-00009C300000}"/>
    <cellStyle name="Normal 3 10 18 4" xfId="8060" xr:uid="{00000000-0005-0000-0000-00009D300000}"/>
    <cellStyle name="Normal 3 10 18 4 2" xfId="25711" xr:uid="{00000000-0005-0000-0000-00009E300000}"/>
    <cellStyle name="Normal 3 10 18 5" xfId="8061" xr:uid="{00000000-0005-0000-0000-00009F300000}"/>
    <cellStyle name="Normal 3 10 18 5 2" xfId="25712" xr:uid="{00000000-0005-0000-0000-0000A0300000}"/>
    <cellStyle name="Normal 3 10 18 6" xfId="8062" xr:uid="{00000000-0005-0000-0000-0000A1300000}"/>
    <cellStyle name="Normal 3 10 18 6 2" xfId="25713" xr:uid="{00000000-0005-0000-0000-0000A2300000}"/>
    <cellStyle name="Normal 3 10 18 7" xfId="8063" xr:uid="{00000000-0005-0000-0000-0000A3300000}"/>
    <cellStyle name="Normal 3 10 18 7 2" xfId="25714" xr:uid="{00000000-0005-0000-0000-0000A4300000}"/>
    <cellStyle name="Normal 3 10 18 8" xfId="8064" xr:uid="{00000000-0005-0000-0000-0000A5300000}"/>
    <cellStyle name="Normal 3 10 18 8 2" xfId="25715" xr:uid="{00000000-0005-0000-0000-0000A6300000}"/>
    <cellStyle name="Normal 3 10 18 9" xfId="8065" xr:uid="{00000000-0005-0000-0000-0000A7300000}"/>
    <cellStyle name="Normal 3 10 18 9 2" xfId="25716" xr:uid="{00000000-0005-0000-0000-0000A8300000}"/>
    <cellStyle name="Normal 3 10 19" xfId="8066" xr:uid="{00000000-0005-0000-0000-0000A9300000}"/>
    <cellStyle name="Normal 3 10 19 10" xfId="8067" xr:uid="{00000000-0005-0000-0000-0000AA300000}"/>
    <cellStyle name="Normal 3 10 19 10 2" xfId="25718" xr:uid="{00000000-0005-0000-0000-0000AB300000}"/>
    <cellStyle name="Normal 3 10 19 11" xfId="8068" xr:uid="{00000000-0005-0000-0000-0000AC300000}"/>
    <cellStyle name="Normal 3 10 19 11 2" xfId="25719" xr:uid="{00000000-0005-0000-0000-0000AD300000}"/>
    <cellStyle name="Normal 3 10 19 12" xfId="8069" xr:uid="{00000000-0005-0000-0000-0000AE300000}"/>
    <cellStyle name="Normal 3 10 19 12 2" xfId="25720" xr:uid="{00000000-0005-0000-0000-0000AF300000}"/>
    <cellStyle name="Normal 3 10 19 13" xfId="8070" xr:uid="{00000000-0005-0000-0000-0000B0300000}"/>
    <cellStyle name="Normal 3 10 19 13 2" xfId="25721" xr:uid="{00000000-0005-0000-0000-0000B1300000}"/>
    <cellStyle name="Normal 3 10 19 14" xfId="8071" xr:uid="{00000000-0005-0000-0000-0000B2300000}"/>
    <cellStyle name="Normal 3 10 19 14 2" xfId="25722" xr:uid="{00000000-0005-0000-0000-0000B3300000}"/>
    <cellStyle name="Normal 3 10 19 15" xfId="25717" xr:uid="{00000000-0005-0000-0000-0000B4300000}"/>
    <cellStyle name="Normal 3 10 19 2" xfId="8072" xr:uid="{00000000-0005-0000-0000-0000B5300000}"/>
    <cellStyle name="Normal 3 10 19 2 2" xfId="25723" xr:uid="{00000000-0005-0000-0000-0000B6300000}"/>
    <cellStyle name="Normal 3 10 19 3" xfId="8073" xr:uid="{00000000-0005-0000-0000-0000B7300000}"/>
    <cellStyle name="Normal 3 10 19 3 2" xfId="25724" xr:uid="{00000000-0005-0000-0000-0000B8300000}"/>
    <cellStyle name="Normal 3 10 19 4" xfId="8074" xr:uid="{00000000-0005-0000-0000-0000B9300000}"/>
    <cellStyle name="Normal 3 10 19 4 2" xfId="25725" xr:uid="{00000000-0005-0000-0000-0000BA300000}"/>
    <cellStyle name="Normal 3 10 19 5" xfId="8075" xr:uid="{00000000-0005-0000-0000-0000BB300000}"/>
    <cellStyle name="Normal 3 10 19 5 2" xfId="25726" xr:uid="{00000000-0005-0000-0000-0000BC300000}"/>
    <cellStyle name="Normal 3 10 19 6" xfId="8076" xr:uid="{00000000-0005-0000-0000-0000BD300000}"/>
    <cellStyle name="Normal 3 10 19 6 2" xfId="25727" xr:uid="{00000000-0005-0000-0000-0000BE300000}"/>
    <cellStyle name="Normal 3 10 19 7" xfId="8077" xr:uid="{00000000-0005-0000-0000-0000BF300000}"/>
    <cellStyle name="Normal 3 10 19 7 2" xfId="25728" xr:uid="{00000000-0005-0000-0000-0000C0300000}"/>
    <cellStyle name="Normal 3 10 19 8" xfId="8078" xr:uid="{00000000-0005-0000-0000-0000C1300000}"/>
    <cellStyle name="Normal 3 10 19 8 2" xfId="25729" xr:uid="{00000000-0005-0000-0000-0000C2300000}"/>
    <cellStyle name="Normal 3 10 19 9" xfId="8079" xr:uid="{00000000-0005-0000-0000-0000C3300000}"/>
    <cellStyle name="Normal 3 10 19 9 2" xfId="25730" xr:uid="{00000000-0005-0000-0000-0000C4300000}"/>
    <cellStyle name="Normal 3 10 2" xfId="8080" xr:uid="{00000000-0005-0000-0000-0000C5300000}"/>
    <cellStyle name="Normal 3 10 20" xfId="8081" xr:uid="{00000000-0005-0000-0000-0000C6300000}"/>
    <cellStyle name="Normal 3 10 20 10" xfId="8082" xr:uid="{00000000-0005-0000-0000-0000C7300000}"/>
    <cellStyle name="Normal 3 10 20 10 2" xfId="25732" xr:uid="{00000000-0005-0000-0000-0000C8300000}"/>
    <cellStyle name="Normal 3 10 20 11" xfId="8083" xr:uid="{00000000-0005-0000-0000-0000C9300000}"/>
    <cellStyle name="Normal 3 10 20 11 2" xfId="25733" xr:uid="{00000000-0005-0000-0000-0000CA300000}"/>
    <cellStyle name="Normal 3 10 20 12" xfId="8084" xr:uid="{00000000-0005-0000-0000-0000CB300000}"/>
    <cellStyle name="Normal 3 10 20 12 2" xfId="25734" xr:uid="{00000000-0005-0000-0000-0000CC300000}"/>
    <cellStyle name="Normal 3 10 20 13" xfId="8085" xr:uid="{00000000-0005-0000-0000-0000CD300000}"/>
    <cellStyle name="Normal 3 10 20 13 2" xfId="25735" xr:uid="{00000000-0005-0000-0000-0000CE300000}"/>
    <cellStyle name="Normal 3 10 20 14" xfId="8086" xr:uid="{00000000-0005-0000-0000-0000CF300000}"/>
    <cellStyle name="Normal 3 10 20 14 2" xfId="25736" xr:uid="{00000000-0005-0000-0000-0000D0300000}"/>
    <cellStyle name="Normal 3 10 20 15" xfId="25731" xr:uid="{00000000-0005-0000-0000-0000D1300000}"/>
    <cellStyle name="Normal 3 10 20 2" xfId="8087" xr:uid="{00000000-0005-0000-0000-0000D2300000}"/>
    <cellStyle name="Normal 3 10 20 2 2" xfId="25737" xr:uid="{00000000-0005-0000-0000-0000D3300000}"/>
    <cellStyle name="Normal 3 10 20 3" xfId="8088" xr:uid="{00000000-0005-0000-0000-0000D4300000}"/>
    <cellStyle name="Normal 3 10 20 3 2" xfId="25738" xr:uid="{00000000-0005-0000-0000-0000D5300000}"/>
    <cellStyle name="Normal 3 10 20 4" xfId="8089" xr:uid="{00000000-0005-0000-0000-0000D6300000}"/>
    <cellStyle name="Normal 3 10 20 4 2" xfId="25739" xr:uid="{00000000-0005-0000-0000-0000D7300000}"/>
    <cellStyle name="Normal 3 10 20 5" xfId="8090" xr:uid="{00000000-0005-0000-0000-0000D8300000}"/>
    <cellStyle name="Normal 3 10 20 5 2" xfId="25740" xr:uid="{00000000-0005-0000-0000-0000D9300000}"/>
    <cellStyle name="Normal 3 10 20 6" xfId="8091" xr:uid="{00000000-0005-0000-0000-0000DA300000}"/>
    <cellStyle name="Normal 3 10 20 6 2" xfId="25741" xr:uid="{00000000-0005-0000-0000-0000DB300000}"/>
    <cellStyle name="Normal 3 10 20 7" xfId="8092" xr:uid="{00000000-0005-0000-0000-0000DC300000}"/>
    <cellStyle name="Normal 3 10 20 7 2" xfId="25742" xr:uid="{00000000-0005-0000-0000-0000DD300000}"/>
    <cellStyle name="Normal 3 10 20 8" xfId="8093" xr:uid="{00000000-0005-0000-0000-0000DE300000}"/>
    <cellStyle name="Normal 3 10 20 8 2" xfId="25743" xr:uid="{00000000-0005-0000-0000-0000DF300000}"/>
    <cellStyle name="Normal 3 10 20 9" xfId="8094" xr:uid="{00000000-0005-0000-0000-0000E0300000}"/>
    <cellStyle name="Normal 3 10 20 9 2" xfId="25744" xr:uid="{00000000-0005-0000-0000-0000E1300000}"/>
    <cellStyle name="Normal 3 10 21" xfId="8095" xr:uid="{00000000-0005-0000-0000-0000E2300000}"/>
    <cellStyle name="Normal 3 10 21 10" xfId="8096" xr:uid="{00000000-0005-0000-0000-0000E3300000}"/>
    <cellStyle name="Normal 3 10 21 10 2" xfId="25746" xr:uid="{00000000-0005-0000-0000-0000E4300000}"/>
    <cellStyle name="Normal 3 10 21 11" xfId="8097" xr:uid="{00000000-0005-0000-0000-0000E5300000}"/>
    <cellStyle name="Normal 3 10 21 11 2" xfId="25747" xr:uid="{00000000-0005-0000-0000-0000E6300000}"/>
    <cellStyle name="Normal 3 10 21 12" xfId="8098" xr:uid="{00000000-0005-0000-0000-0000E7300000}"/>
    <cellStyle name="Normal 3 10 21 12 2" xfId="25748" xr:uid="{00000000-0005-0000-0000-0000E8300000}"/>
    <cellStyle name="Normal 3 10 21 13" xfId="8099" xr:uid="{00000000-0005-0000-0000-0000E9300000}"/>
    <cellStyle name="Normal 3 10 21 13 2" xfId="25749" xr:uid="{00000000-0005-0000-0000-0000EA300000}"/>
    <cellStyle name="Normal 3 10 21 14" xfId="8100" xr:uid="{00000000-0005-0000-0000-0000EB300000}"/>
    <cellStyle name="Normal 3 10 21 14 2" xfId="25750" xr:uid="{00000000-0005-0000-0000-0000EC300000}"/>
    <cellStyle name="Normal 3 10 21 15" xfId="25745" xr:uid="{00000000-0005-0000-0000-0000ED300000}"/>
    <cellStyle name="Normal 3 10 21 2" xfId="8101" xr:uid="{00000000-0005-0000-0000-0000EE300000}"/>
    <cellStyle name="Normal 3 10 21 2 2" xfId="25751" xr:uid="{00000000-0005-0000-0000-0000EF300000}"/>
    <cellStyle name="Normal 3 10 21 3" xfId="8102" xr:uid="{00000000-0005-0000-0000-0000F0300000}"/>
    <cellStyle name="Normal 3 10 21 3 2" xfId="25752" xr:uid="{00000000-0005-0000-0000-0000F1300000}"/>
    <cellStyle name="Normal 3 10 21 4" xfId="8103" xr:uid="{00000000-0005-0000-0000-0000F2300000}"/>
    <cellStyle name="Normal 3 10 21 4 2" xfId="25753" xr:uid="{00000000-0005-0000-0000-0000F3300000}"/>
    <cellStyle name="Normal 3 10 21 5" xfId="8104" xr:uid="{00000000-0005-0000-0000-0000F4300000}"/>
    <cellStyle name="Normal 3 10 21 5 2" xfId="25754" xr:uid="{00000000-0005-0000-0000-0000F5300000}"/>
    <cellStyle name="Normal 3 10 21 6" xfId="8105" xr:uid="{00000000-0005-0000-0000-0000F6300000}"/>
    <cellStyle name="Normal 3 10 21 6 2" xfId="25755" xr:uid="{00000000-0005-0000-0000-0000F7300000}"/>
    <cellStyle name="Normal 3 10 21 7" xfId="8106" xr:uid="{00000000-0005-0000-0000-0000F8300000}"/>
    <cellStyle name="Normal 3 10 21 7 2" xfId="25756" xr:uid="{00000000-0005-0000-0000-0000F9300000}"/>
    <cellStyle name="Normal 3 10 21 8" xfId="8107" xr:uid="{00000000-0005-0000-0000-0000FA300000}"/>
    <cellStyle name="Normal 3 10 21 8 2" xfId="25757" xr:uid="{00000000-0005-0000-0000-0000FB300000}"/>
    <cellStyle name="Normal 3 10 21 9" xfId="8108" xr:uid="{00000000-0005-0000-0000-0000FC300000}"/>
    <cellStyle name="Normal 3 10 21 9 2" xfId="25758" xr:uid="{00000000-0005-0000-0000-0000FD300000}"/>
    <cellStyle name="Normal 3 10 22" xfId="8109" xr:uid="{00000000-0005-0000-0000-0000FE300000}"/>
    <cellStyle name="Normal 3 10 22 10" xfId="8110" xr:uid="{00000000-0005-0000-0000-0000FF300000}"/>
    <cellStyle name="Normal 3 10 22 10 2" xfId="25760" xr:uid="{00000000-0005-0000-0000-000000310000}"/>
    <cellStyle name="Normal 3 10 22 11" xfId="8111" xr:uid="{00000000-0005-0000-0000-000001310000}"/>
    <cellStyle name="Normal 3 10 22 11 2" xfId="25761" xr:uid="{00000000-0005-0000-0000-000002310000}"/>
    <cellStyle name="Normal 3 10 22 12" xfId="8112" xr:uid="{00000000-0005-0000-0000-000003310000}"/>
    <cellStyle name="Normal 3 10 22 12 2" xfId="25762" xr:uid="{00000000-0005-0000-0000-000004310000}"/>
    <cellStyle name="Normal 3 10 22 13" xfId="8113" xr:uid="{00000000-0005-0000-0000-000005310000}"/>
    <cellStyle name="Normal 3 10 22 13 2" xfId="25763" xr:uid="{00000000-0005-0000-0000-000006310000}"/>
    <cellStyle name="Normal 3 10 22 14" xfId="8114" xr:uid="{00000000-0005-0000-0000-000007310000}"/>
    <cellStyle name="Normal 3 10 22 14 2" xfId="25764" xr:uid="{00000000-0005-0000-0000-000008310000}"/>
    <cellStyle name="Normal 3 10 22 15" xfId="25759" xr:uid="{00000000-0005-0000-0000-000009310000}"/>
    <cellStyle name="Normal 3 10 22 2" xfId="8115" xr:uid="{00000000-0005-0000-0000-00000A310000}"/>
    <cellStyle name="Normal 3 10 22 2 2" xfId="25765" xr:uid="{00000000-0005-0000-0000-00000B310000}"/>
    <cellStyle name="Normal 3 10 22 3" xfId="8116" xr:uid="{00000000-0005-0000-0000-00000C310000}"/>
    <cellStyle name="Normal 3 10 22 3 2" xfId="25766" xr:uid="{00000000-0005-0000-0000-00000D310000}"/>
    <cellStyle name="Normal 3 10 22 4" xfId="8117" xr:uid="{00000000-0005-0000-0000-00000E310000}"/>
    <cellStyle name="Normal 3 10 22 4 2" xfId="25767" xr:uid="{00000000-0005-0000-0000-00000F310000}"/>
    <cellStyle name="Normal 3 10 22 5" xfId="8118" xr:uid="{00000000-0005-0000-0000-000010310000}"/>
    <cellStyle name="Normal 3 10 22 5 2" xfId="25768" xr:uid="{00000000-0005-0000-0000-000011310000}"/>
    <cellStyle name="Normal 3 10 22 6" xfId="8119" xr:uid="{00000000-0005-0000-0000-000012310000}"/>
    <cellStyle name="Normal 3 10 22 6 2" xfId="25769" xr:uid="{00000000-0005-0000-0000-000013310000}"/>
    <cellStyle name="Normal 3 10 22 7" xfId="8120" xr:uid="{00000000-0005-0000-0000-000014310000}"/>
    <cellStyle name="Normal 3 10 22 7 2" xfId="25770" xr:uid="{00000000-0005-0000-0000-000015310000}"/>
    <cellStyle name="Normal 3 10 22 8" xfId="8121" xr:uid="{00000000-0005-0000-0000-000016310000}"/>
    <cellStyle name="Normal 3 10 22 8 2" xfId="25771" xr:uid="{00000000-0005-0000-0000-000017310000}"/>
    <cellStyle name="Normal 3 10 22 9" xfId="8122" xr:uid="{00000000-0005-0000-0000-000018310000}"/>
    <cellStyle name="Normal 3 10 22 9 2" xfId="25772" xr:uid="{00000000-0005-0000-0000-000019310000}"/>
    <cellStyle name="Normal 3 10 23" xfId="8123" xr:uid="{00000000-0005-0000-0000-00001A310000}"/>
    <cellStyle name="Normal 3 10 24" xfId="8124" xr:uid="{00000000-0005-0000-0000-00001B310000}"/>
    <cellStyle name="Normal 3 10 25" xfId="8125" xr:uid="{00000000-0005-0000-0000-00001C310000}"/>
    <cellStyle name="Normal 3 10 25 10" xfId="8126" xr:uid="{00000000-0005-0000-0000-00001D310000}"/>
    <cellStyle name="Normal 3 10 25 10 2" xfId="25774" xr:uid="{00000000-0005-0000-0000-00001E310000}"/>
    <cellStyle name="Normal 3 10 25 11" xfId="8127" xr:uid="{00000000-0005-0000-0000-00001F310000}"/>
    <cellStyle name="Normal 3 10 25 11 2" xfId="25775" xr:uid="{00000000-0005-0000-0000-000020310000}"/>
    <cellStyle name="Normal 3 10 25 12" xfId="8128" xr:uid="{00000000-0005-0000-0000-000021310000}"/>
    <cellStyle name="Normal 3 10 25 12 2" xfId="25776" xr:uid="{00000000-0005-0000-0000-000022310000}"/>
    <cellStyle name="Normal 3 10 25 13" xfId="8129" xr:uid="{00000000-0005-0000-0000-000023310000}"/>
    <cellStyle name="Normal 3 10 25 13 2" xfId="25777" xr:uid="{00000000-0005-0000-0000-000024310000}"/>
    <cellStyle name="Normal 3 10 25 14" xfId="8130" xr:uid="{00000000-0005-0000-0000-000025310000}"/>
    <cellStyle name="Normal 3 10 25 14 2" xfId="25778" xr:uid="{00000000-0005-0000-0000-000026310000}"/>
    <cellStyle name="Normal 3 10 25 15" xfId="25773" xr:uid="{00000000-0005-0000-0000-000027310000}"/>
    <cellStyle name="Normal 3 10 25 2" xfId="8131" xr:uid="{00000000-0005-0000-0000-000028310000}"/>
    <cellStyle name="Normal 3 10 25 2 2" xfId="25779" xr:uid="{00000000-0005-0000-0000-000029310000}"/>
    <cellStyle name="Normal 3 10 25 3" xfId="8132" xr:uid="{00000000-0005-0000-0000-00002A310000}"/>
    <cellStyle name="Normal 3 10 25 3 2" xfId="25780" xr:uid="{00000000-0005-0000-0000-00002B310000}"/>
    <cellStyle name="Normal 3 10 25 4" xfId="8133" xr:uid="{00000000-0005-0000-0000-00002C310000}"/>
    <cellStyle name="Normal 3 10 25 4 2" xfId="25781" xr:uid="{00000000-0005-0000-0000-00002D310000}"/>
    <cellStyle name="Normal 3 10 25 5" xfId="8134" xr:uid="{00000000-0005-0000-0000-00002E310000}"/>
    <cellStyle name="Normal 3 10 25 5 2" xfId="25782" xr:uid="{00000000-0005-0000-0000-00002F310000}"/>
    <cellStyle name="Normal 3 10 25 6" xfId="8135" xr:uid="{00000000-0005-0000-0000-000030310000}"/>
    <cellStyle name="Normal 3 10 25 6 2" xfId="25783" xr:uid="{00000000-0005-0000-0000-000031310000}"/>
    <cellStyle name="Normal 3 10 25 7" xfId="8136" xr:uid="{00000000-0005-0000-0000-000032310000}"/>
    <cellStyle name="Normal 3 10 25 7 2" xfId="25784" xr:uid="{00000000-0005-0000-0000-000033310000}"/>
    <cellStyle name="Normal 3 10 25 8" xfId="8137" xr:uid="{00000000-0005-0000-0000-000034310000}"/>
    <cellStyle name="Normal 3 10 25 8 2" xfId="25785" xr:uid="{00000000-0005-0000-0000-000035310000}"/>
    <cellStyle name="Normal 3 10 25 9" xfId="8138" xr:uid="{00000000-0005-0000-0000-000036310000}"/>
    <cellStyle name="Normal 3 10 25 9 2" xfId="25786" xr:uid="{00000000-0005-0000-0000-000037310000}"/>
    <cellStyle name="Normal 3 10 26" xfId="8139" xr:uid="{00000000-0005-0000-0000-000038310000}"/>
    <cellStyle name="Normal 3 10 26 10" xfId="8140" xr:uid="{00000000-0005-0000-0000-000039310000}"/>
    <cellStyle name="Normal 3 10 26 10 2" xfId="25788" xr:uid="{00000000-0005-0000-0000-00003A310000}"/>
    <cellStyle name="Normal 3 10 26 11" xfId="8141" xr:uid="{00000000-0005-0000-0000-00003B310000}"/>
    <cellStyle name="Normal 3 10 26 11 2" xfId="25789" xr:uid="{00000000-0005-0000-0000-00003C310000}"/>
    <cellStyle name="Normal 3 10 26 12" xfId="8142" xr:uid="{00000000-0005-0000-0000-00003D310000}"/>
    <cellStyle name="Normal 3 10 26 12 2" xfId="25790" xr:uid="{00000000-0005-0000-0000-00003E310000}"/>
    <cellStyle name="Normal 3 10 26 13" xfId="8143" xr:uid="{00000000-0005-0000-0000-00003F310000}"/>
    <cellStyle name="Normal 3 10 26 13 2" xfId="25791" xr:uid="{00000000-0005-0000-0000-000040310000}"/>
    <cellStyle name="Normal 3 10 26 14" xfId="8144" xr:uid="{00000000-0005-0000-0000-000041310000}"/>
    <cellStyle name="Normal 3 10 26 14 2" xfId="25792" xr:uid="{00000000-0005-0000-0000-000042310000}"/>
    <cellStyle name="Normal 3 10 26 15" xfId="25787" xr:uid="{00000000-0005-0000-0000-000043310000}"/>
    <cellStyle name="Normal 3 10 26 2" xfId="8145" xr:uid="{00000000-0005-0000-0000-000044310000}"/>
    <cellStyle name="Normal 3 10 26 2 2" xfId="25793" xr:uid="{00000000-0005-0000-0000-000045310000}"/>
    <cellStyle name="Normal 3 10 26 3" xfId="8146" xr:uid="{00000000-0005-0000-0000-000046310000}"/>
    <cellStyle name="Normal 3 10 26 3 2" xfId="25794" xr:uid="{00000000-0005-0000-0000-000047310000}"/>
    <cellStyle name="Normal 3 10 26 4" xfId="8147" xr:uid="{00000000-0005-0000-0000-000048310000}"/>
    <cellStyle name="Normal 3 10 26 4 2" xfId="25795" xr:uid="{00000000-0005-0000-0000-000049310000}"/>
    <cellStyle name="Normal 3 10 26 5" xfId="8148" xr:uid="{00000000-0005-0000-0000-00004A310000}"/>
    <cellStyle name="Normal 3 10 26 5 2" xfId="25796" xr:uid="{00000000-0005-0000-0000-00004B310000}"/>
    <cellStyle name="Normal 3 10 26 6" xfId="8149" xr:uid="{00000000-0005-0000-0000-00004C310000}"/>
    <cellStyle name="Normal 3 10 26 6 2" xfId="25797" xr:uid="{00000000-0005-0000-0000-00004D310000}"/>
    <cellStyle name="Normal 3 10 26 7" xfId="8150" xr:uid="{00000000-0005-0000-0000-00004E310000}"/>
    <cellStyle name="Normal 3 10 26 7 2" xfId="25798" xr:uid="{00000000-0005-0000-0000-00004F310000}"/>
    <cellStyle name="Normal 3 10 26 8" xfId="8151" xr:uid="{00000000-0005-0000-0000-000050310000}"/>
    <cellStyle name="Normal 3 10 26 8 2" xfId="25799" xr:uid="{00000000-0005-0000-0000-000051310000}"/>
    <cellStyle name="Normal 3 10 26 9" xfId="8152" xr:uid="{00000000-0005-0000-0000-000052310000}"/>
    <cellStyle name="Normal 3 10 26 9 2" xfId="25800" xr:uid="{00000000-0005-0000-0000-000053310000}"/>
    <cellStyle name="Normal 3 10 3" xfId="8153" xr:uid="{00000000-0005-0000-0000-000054310000}"/>
    <cellStyle name="Normal 3 10 4" xfId="8154" xr:uid="{00000000-0005-0000-0000-000055310000}"/>
    <cellStyle name="Normal 3 10 5" xfId="8155" xr:uid="{00000000-0005-0000-0000-000056310000}"/>
    <cellStyle name="Normal 3 10 6" xfId="8156" xr:uid="{00000000-0005-0000-0000-000057310000}"/>
    <cellStyle name="Normal 3 10 7" xfId="8157" xr:uid="{00000000-0005-0000-0000-000058310000}"/>
    <cellStyle name="Normal 3 10 8" xfId="8158" xr:uid="{00000000-0005-0000-0000-000059310000}"/>
    <cellStyle name="Normal 3 10 9" xfId="8159" xr:uid="{00000000-0005-0000-0000-00005A310000}"/>
    <cellStyle name="Normal 3 11" xfId="8160" xr:uid="{00000000-0005-0000-0000-00005B310000}"/>
    <cellStyle name="Normal 3 11 10" xfId="8161" xr:uid="{00000000-0005-0000-0000-00005C310000}"/>
    <cellStyle name="Normal 3 11 11" xfId="8162" xr:uid="{00000000-0005-0000-0000-00005D310000}"/>
    <cellStyle name="Normal 3 11 11 10" xfId="8163" xr:uid="{00000000-0005-0000-0000-00005E310000}"/>
    <cellStyle name="Normal 3 11 11 10 2" xfId="25802" xr:uid="{00000000-0005-0000-0000-00005F310000}"/>
    <cellStyle name="Normal 3 11 11 11" xfId="8164" xr:uid="{00000000-0005-0000-0000-000060310000}"/>
    <cellStyle name="Normal 3 11 11 11 2" xfId="25803" xr:uid="{00000000-0005-0000-0000-000061310000}"/>
    <cellStyle name="Normal 3 11 11 12" xfId="8165" xr:uid="{00000000-0005-0000-0000-000062310000}"/>
    <cellStyle name="Normal 3 11 11 12 2" xfId="25804" xr:uid="{00000000-0005-0000-0000-000063310000}"/>
    <cellStyle name="Normal 3 11 11 13" xfId="8166" xr:uid="{00000000-0005-0000-0000-000064310000}"/>
    <cellStyle name="Normal 3 11 11 13 2" xfId="25805" xr:uid="{00000000-0005-0000-0000-000065310000}"/>
    <cellStyle name="Normal 3 11 11 14" xfId="8167" xr:uid="{00000000-0005-0000-0000-000066310000}"/>
    <cellStyle name="Normal 3 11 11 14 2" xfId="25806" xr:uid="{00000000-0005-0000-0000-000067310000}"/>
    <cellStyle name="Normal 3 11 11 15" xfId="8168" xr:uid="{00000000-0005-0000-0000-000068310000}"/>
    <cellStyle name="Normal 3 11 11 15 2" xfId="25807" xr:uid="{00000000-0005-0000-0000-000069310000}"/>
    <cellStyle name="Normal 3 11 11 16" xfId="8169" xr:uid="{00000000-0005-0000-0000-00006A310000}"/>
    <cellStyle name="Normal 3 11 11 16 2" xfId="25808" xr:uid="{00000000-0005-0000-0000-00006B310000}"/>
    <cellStyle name="Normal 3 11 11 17" xfId="8170" xr:uid="{00000000-0005-0000-0000-00006C310000}"/>
    <cellStyle name="Normal 3 11 11 17 2" xfId="25809" xr:uid="{00000000-0005-0000-0000-00006D310000}"/>
    <cellStyle name="Normal 3 11 11 18" xfId="25801" xr:uid="{00000000-0005-0000-0000-00006E310000}"/>
    <cellStyle name="Normal 3 11 11 2" xfId="8171" xr:uid="{00000000-0005-0000-0000-00006F310000}"/>
    <cellStyle name="Normal 3 11 11 3" xfId="8172" xr:uid="{00000000-0005-0000-0000-000070310000}"/>
    <cellStyle name="Normal 3 11 11 4" xfId="8173" xr:uid="{00000000-0005-0000-0000-000071310000}"/>
    <cellStyle name="Normal 3 11 11 5" xfId="8174" xr:uid="{00000000-0005-0000-0000-000072310000}"/>
    <cellStyle name="Normal 3 11 11 5 2" xfId="25810" xr:uid="{00000000-0005-0000-0000-000073310000}"/>
    <cellStyle name="Normal 3 11 11 6" xfId="8175" xr:uid="{00000000-0005-0000-0000-000074310000}"/>
    <cellStyle name="Normal 3 11 11 6 2" xfId="25811" xr:uid="{00000000-0005-0000-0000-000075310000}"/>
    <cellStyle name="Normal 3 11 11 7" xfId="8176" xr:uid="{00000000-0005-0000-0000-000076310000}"/>
    <cellStyle name="Normal 3 11 11 7 2" xfId="25812" xr:uid="{00000000-0005-0000-0000-000077310000}"/>
    <cellStyle name="Normal 3 11 11 8" xfId="8177" xr:uid="{00000000-0005-0000-0000-000078310000}"/>
    <cellStyle name="Normal 3 11 11 8 2" xfId="25813" xr:uid="{00000000-0005-0000-0000-000079310000}"/>
    <cellStyle name="Normal 3 11 11 9" xfId="8178" xr:uid="{00000000-0005-0000-0000-00007A310000}"/>
    <cellStyle name="Normal 3 11 11 9 2" xfId="25814" xr:uid="{00000000-0005-0000-0000-00007B310000}"/>
    <cellStyle name="Normal 3 11 12" xfId="8179" xr:uid="{00000000-0005-0000-0000-00007C310000}"/>
    <cellStyle name="Normal 3 11 13" xfId="8180" xr:uid="{00000000-0005-0000-0000-00007D310000}"/>
    <cellStyle name="Normal 3 11 14" xfId="8181" xr:uid="{00000000-0005-0000-0000-00007E310000}"/>
    <cellStyle name="Normal 3 11 14 10" xfId="8182" xr:uid="{00000000-0005-0000-0000-00007F310000}"/>
    <cellStyle name="Normal 3 11 14 10 2" xfId="25816" xr:uid="{00000000-0005-0000-0000-000080310000}"/>
    <cellStyle name="Normal 3 11 14 11" xfId="8183" xr:uid="{00000000-0005-0000-0000-000081310000}"/>
    <cellStyle name="Normal 3 11 14 11 2" xfId="25817" xr:uid="{00000000-0005-0000-0000-000082310000}"/>
    <cellStyle name="Normal 3 11 14 12" xfId="8184" xr:uid="{00000000-0005-0000-0000-000083310000}"/>
    <cellStyle name="Normal 3 11 14 12 2" xfId="25818" xr:uid="{00000000-0005-0000-0000-000084310000}"/>
    <cellStyle name="Normal 3 11 14 13" xfId="8185" xr:uid="{00000000-0005-0000-0000-000085310000}"/>
    <cellStyle name="Normal 3 11 14 13 2" xfId="25819" xr:uid="{00000000-0005-0000-0000-000086310000}"/>
    <cellStyle name="Normal 3 11 14 14" xfId="8186" xr:uid="{00000000-0005-0000-0000-000087310000}"/>
    <cellStyle name="Normal 3 11 14 14 2" xfId="25820" xr:uid="{00000000-0005-0000-0000-000088310000}"/>
    <cellStyle name="Normal 3 11 14 15" xfId="8187" xr:uid="{00000000-0005-0000-0000-000089310000}"/>
    <cellStyle name="Normal 3 11 14 15 2" xfId="25821" xr:uid="{00000000-0005-0000-0000-00008A310000}"/>
    <cellStyle name="Normal 3 11 14 16" xfId="25815" xr:uid="{00000000-0005-0000-0000-00008B310000}"/>
    <cellStyle name="Normal 3 11 14 2" xfId="8188" xr:uid="{00000000-0005-0000-0000-00008C310000}"/>
    <cellStyle name="Normal 3 11 14 2 10" xfId="8189" xr:uid="{00000000-0005-0000-0000-00008D310000}"/>
    <cellStyle name="Normal 3 11 14 2 10 2" xfId="25823" xr:uid="{00000000-0005-0000-0000-00008E310000}"/>
    <cellStyle name="Normal 3 11 14 2 11" xfId="8190" xr:uid="{00000000-0005-0000-0000-00008F310000}"/>
    <cellStyle name="Normal 3 11 14 2 11 2" xfId="25824" xr:uid="{00000000-0005-0000-0000-000090310000}"/>
    <cellStyle name="Normal 3 11 14 2 12" xfId="8191" xr:uid="{00000000-0005-0000-0000-000091310000}"/>
    <cellStyle name="Normal 3 11 14 2 12 2" xfId="25825" xr:uid="{00000000-0005-0000-0000-000092310000}"/>
    <cellStyle name="Normal 3 11 14 2 13" xfId="8192" xr:uid="{00000000-0005-0000-0000-000093310000}"/>
    <cellStyle name="Normal 3 11 14 2 13 2" xfId="25826" xr:uid="{00000000-0005-0000-0000-000094310000}"/>
    <cellStyle name="Normal 3 11 14 2 14" xfId="8193" xr:uid="{00000000-0005-0000-0000-000095310000}"/>
    <cellStyle name="Normal 3 11 14 2 14 2" xfId="25827" xr:uid="{00000000-0005-0000-0000-000096310000}"/>
    <cellStyle name="Normal 3 11 14 2 15" xfId="25822" xr:uid="{00000000-0005-0000-0000-000097310000}"/>
    <cellStyle name="Normal 3 11 14 2 2" xfId="8194" xr:uid="{00000000-0005-0000-0000-000098310000}"/>
    <cellStyle name="Normal 3 11 14 2 2 2" xfId="25828" xr:uid="{00000000-0005-0000-0000-000099310000}"/>
    <cellStyle name="Normal 3 11 14 2 3" xfId="8195" xr:uid="{00000000-0005-0000-0000-00009A310000}"/>
    <cellStyle name="Normal 3 11 14 2 3 2" xfId="25829" xr:uid="{00000000-0005-0000-0000-00009B310000}"/>
    <cellStyle name="Normal 3 11 14 2 4" xfId="8196" xr:uid="{00000000-0005-0000-0000-00009C310000}"/>
    <cellStyle name="Normal 3 11 14 2 4 2" xfId="25830" xr:uid="{00000000-0005-0000-0000-00009D310000}"/>
    <cellStyle name="Normal 3 11 14 2 5" xfId="8197" xr:uid="{00000000-0005-0000-0000-00009E310000}"/>
    <cellStyle name="Normal 3 11 14 2 5 2" xfId="25831" xr:uid="{00000000-0005-0000-0000-00009F310000}"/>
    <cellStyle name="Normal 3 11 14 2 6" xfId="8198" xr:uid="{00000000-0005-0000-0000-0000A0310000}"/>
    <cellStyle name="Normal 3 11 14 2 6 2" xfId="25832" xr:uid="{00000000-0005-0000-0000-0000A1310000}"/>
    <cellStyle name="Normal 3 11 14 2 7" xfId="8199" xr:uid="{00000000-0005-0000-0000-0000A2310000}"/>
    <cellStyle name="Normal 3 11 14 2 7 2" xfId="25833" xr:uid="{00000000-0005-0000-0000-0000A3310000}"/>
    <cellStyle name="Normal 3 11 14 2 8" xfId="8200" xr:uid="{00000000-0005-0000-0000-0000A4310000}"/>
    <cellStyle name="Normal 3 11 14 2 8 2" xfId="25834" xr:uid="{00000000-0005-0000-0000-0000A5310000}"/>
    <cellStyle name="Normal 3 11 14 2 9" xfId="8201" xr:uid="{00000000-0005-0000-0000-0000A6310000}"/>
    <cellStyle name="Normal 3 11 14 2 9 2" xfId="25835" xr:uid="{00000000-0005-0000-0000-0000A7310000}"/>
    <cellStyle name="Normal 3 11 14 3" xfId="8202" xr:uid="{00000000-0005-0000-0000-0000A8310000}"/>
    <cellStyle name="Normal 3 11 14 3 2" xfId="25836" xr:uid="{00000000-0005-0000-0000-0000A9310000}"/>
    <cellStyle name="Normal 3 11 14 4" xfId="8203" xr:uid="{00000000-0005-0000-0000-0000AA310000}"/>
    <cellStyle name="Normal 3 11 14 4 2" xfId="25837" xr:uid="{00000000-0005-0000-0000-0000AB310000}"/>
    <cellStyle name="Normal 3 11 14 5" xfId="8204" xr:uid="{00000000-0005-0000-0000-0000AC310000}"/>
    <cellStyle name="Normal 3 11 14 5 2" xfId="25838" xr:uid="{00000000-0005-0000-0000-0000AD310000}"/>
    <cellStyle name="Normal 3 11 14 6" xfId="8205" xr:uid="{00000000-0005-0000-0000-0000AE310000}"/>
    <cellStyle name="Normal 3 11 14 6 2" xfId="25839" xr:uid="{00000000-0005-0000-0000-0000AF310000}"/>
    <cellStyle name="Normal 3 11 14 7" xfId="8206" xr:uid="{00000000-0005-0000-0000-0000B0310000}"/>
    <cellStyle name="Normal 3 11 14 7 2" xfId="25840" xr:uid="{00000000-0005-0000-0000-0000B1310000}"/>
    <cellStyle name="Normal 3 11 14 8" xfId="8207" xr:uid="{00000000-0005-0000-0000-0000B2310000}"/>
    <cellStyle name="Normal 3 11 14 8 2" xfId="25841" xr:uid="{00000000-0005-0000-0000-0000B3310000}"/>
    <cellStyle name="Normal 3 11 14 9" xfId="8208" xr:uid="{00000000-0005-0000-0000-0000B4310000}"/>
    <cellStyle name="Normal 3 11 14 9 2" xfId="25842" xr:uid="{00000000-0005-0000-0000-0000B5310000}"/>
    <cellStyle name="Normal 3 11 15" xfId="8209" xr:uid="{00000000-0005-0000-0000-0000B6310000}"/>
    <cellStyle name="Normal 3 11 15 10" xfId="8210" xr:uid="{00000000-0005-0000-0000-0000B7310000}"/>
    <cellStyle name="Normal 3 11 15 10 2" xfId="25844" xr:uid="{00000000-0005-0000-0000-0000B8310000}"/>
    <cellStyle name="Normal 3 11 15 11" xfId="8211" xr:uid="{00000000-0005-0000-0000-0000B9310000}"/>
    <cellStyle name="Normal 3 11 15 11 2" xfId="25845" xr:uid="{00000000-0005-0000-0000-0000BA310000}"/>
    <cellStyle name="Normal 3 11 15 12" xfId="8212" xr:uid="{00000000-0005-0000-0000-0000BB310000}"/>
    <cellStyle name="Normal 3 11 15 12 2" xfId="25846" xr:uid="{00000000-0005-0000-0000-0000BC310000}"/>
    <cellStyle name="Normal 3 11 15 13" xfId="8213" xr:uid="{00000000-0005-0000-0000-0000BD310000}"/>
    <cellStyle name="Normal 3 11 15 13 2" xfId="25847" xr:uid="{00000000-0005-0000-0000-0000BE310000}"/>
    <cellStyle name="Normal 3 11 15 14" xfId="8214" xr:uid="{00000000-0005-0000-0000-0000BF310000}"/>
    <cellStyle name="Normal 3 11 15 14 2" xfId="25848" xr:uid="{00000000-0005-0000-0000-0000C0310000}"/>
    <cellStyle name="Normal 3 11 15 15" xfId="8215" xr:uid="{00000000-0005-0000-0000-0000C1310000}"/>
    <cellStyle name="Normal 3 11 15 15 2" xfId="25849" xr:uid="{00000000-0005-0000-0000-0000C2310000}"/>
    <cellStyle name="Normal 3 11 15 16" xfId="25843" xr:uid="{00000000-0005-0000-0000-0000C3310000}"/>
    <cellStyle name="Normal 3 11 15 2" xfId="8216" xr:uid="{00000000-0005-0000-0000-0000C4310000}"/>
    <cellStyle name="Normal 3 11 15 2 10" xfId="8217" xr:uid="{00000000-0005-0000-0000-0000C5310000}"/>
    <cellStyle name="Normal 3 11 15 2 10 2" xfId="25851" xr:uid="{00000000-0005-0000-0000-0000C6310000}"/>
    <cellStyle name="Normal 3 11 15 2 11" xfId="8218" xr:uid="{00000000-0005-0000-0000-0000C7310000}"/>
    <cellStyle name="Normal 3 11 15 2 11 2" xfId="25852" xr:uid="{00000000-0005-0000-0000-0000C8310000}"/>
    <cellStyle name="Normal 3 11 15 2 12" xfId="8219" xr:uid="{00000000-0005-0000-0000-0000C9310000}"/>
    <cellStyle name="Normal 3 11 15 2 12 2" xfId="25853" xr:uid="{00000000-0005-0000-0000-0000CA310000}"/>
    <cellStyle name="Normal 3 11 15 2 13" xfId="8220" xr:uid="{00000000-0005-0000-0000-0000CB310000}"/>
    <cellStyle name="Normal 3 11 15 2 13 2" xfId="25854" xr:uid="{00000000-0005-0000-0000-0000CC310000}"/>
    <cellStyle name="Normal 3 11 15 2 14" xfId="8221" xr:uid="{00000000-0005-0000-0000-0000CD310000}"/>
    <cellStyle name="Normal 3 11 15 2 14 2" xfId="25855" xr:uid="{00000000-0005-0000-0000-0000CE310000}"/>
    <cellStyle name="Normal 3 11 15 2 15" xfId="25850" xr:uid="{00000000-0005-0000-0000-0000CF310000}"/>
    <cellStyle name="Normal 3 11 15 2 2" xfId="8222" xr:uid="{00000000-0005-0000-0000-0000D0310000}"/>
    <cellStyle name="Normal 3 11 15 2 2 2" xfId="25856" xr:uid="{00000000-0005-0000-0000-0000D1310000}"/>
    <cellStyle name="Normal 3 11 15 2 3" xfId="8223" xr:uid="{00000000-0005-0000-0000-0000D2310000}"/>
    <cellStyle name="Normal 3 11 15 2 3 2" xfId="25857" xr:uid="{00000000-0005-0000-0000-0000D3310000}"/>
    <cellStyle name="Normal 3 11 15 2 4" xfId="8224" xr:uid="{00000000-0005-0000-0000-0000D4310000}"/>
    <cellStyle name="Normal 3 11 15 2 4 2" xfId="25858" xr:uid="{00000000-0005-0000-0000-0000D5310000}"/>
    <cellStyle name="Normal 3 11 15 2 5" xfId="8225" xr:uid="{00000000-0005-0000-0000-0000D6310000}"/>
    <cellStyle name="Normal 3 11 15 2 5 2" xfId="25859" xr:uid="{00000000-0005-0000-0000-0000D7310000}"/>
    <cellStyle name="Normal 3 11 15 2 6" xfId="8226" xr:uid="{00000000-0005-0000-0000-0000D8310000}"/>
    <cellStyle name="Normal 3 11 15 2 6 2" xfId="25860" xr:uid="{00000000-0005-0000-0000-0000D9310000}"/>
    <cellStyle name="Normal 3 11 15 2 7" xfId="8227" xr:uid="{00000000-0005-0000-0000-0000DA310000}"/>
    <cellStyle name="Normal 3 11 15 2 7 2" xfId="25861" xr:uid="{00000000-0005-0000-0000-0000DB310000}"/>
    <cellStyle name="Normal 3 11 15 2 8" xfId="8228" xr:uid="{00000000-0005-0000-0000-0000DC310000}"/>
    <cellStyle name="Normal 3 11 15 2 8 2" xfId="25862" xr:uid="{00000000-0005-0000-0000-0000DD310000}"/>
    <cellStyle name="Normal 3 11 15 2 9" xfId="8229" xr:uid="{00000000-0005-0000-0000-0000DE310000}"/>
    <cellStyle name="Normal 3 11 15 2 9 2" xfId="25863" xr:uid="{00000000-0005-0000-0000-0000DF310000}"/>
    <cellStyle name="Normal 3 11 15 3" xfId="8230" xr:uid="{00000000-0005-0000-0000-0000E0310000}"/>
    <cellStyle name="Normal 3 11 15 3 2" xfId="25864" xr:uid="{00000000-0005-0000-0000-0000E1310000}"/>
    <cellStyle name="Normal 3 11 15 4" xfId="8231" xr:uid="{00000000-0005-0000-0000-0000E2310000}"/>
    <cellStyle name="Normal 3 11 15 4 2" xfId="25865" xr:uid="{00000000-0005-0000-0000-0000E3310000}"/>
    <cellStyle name="Normal 3 11 15 5" xfId="8232" xr:uid="{00000000-0005-0000-0000-0000E4310000}"/>
    <cellStyle name="Normal 3 11 15 5 2" xfId="25866" xr:uid="{00000000-0005-0000-0000-0000E5310000}"/>
    <cellStyle name="Normal 3 11 15 6" xfId="8233" xr:uid="{00000000-0005-0000-0000-0000E6310000}"/>
    <cellStyle name="Normal 3 11 15 6 2" xfId="25867" xr:uid="{00000000-0005-0000-0000-0000E7310000}"/>
    <cellStyle name="Normal 3 11 15 7" xfId="8234" xr:uid="{00000000-0005-0000-0000-0000E8310000}"/>
    <cellStyle name="Normal 3 11 15 7 2" xfId="25868" xr:uid="{00000000-0005-0000-0000-0000E9310000}"/>
    <cellStyle name="Normal 3 11 15 8" xfId="8235" xr:uid="{00000000-0005-0000-0000-0000EA310000}"/>
    <cellStyle name="Normal 3 11 15 8 2" xfId="25869" xr:uid="{00000000-0005-0000-0000-0000EB310000}"/>
    <cellStyle name="Normal 3 11 15 9" xfId="8236" xr:uid="{00000000-0005-0000-0000-0000EC310000}"/>
    <cellStyle name="Normal 3 11 15 9 2" xfId="25870" xr:uid="{00000000-0005-0000-0000-0000ED310000}"/>
    <cellStyle name="Normal 3 11 16" xfId="8237" xr:uid="{00000000-0005-0000-0000-0000EE310000}"/>
    <cellStyle name="Normal 3 11 16 10" xfId="8238" xr:uid="{00000000-0005-0000-0000-0000EF310000}"/>
    <cellStyle name="Normal 3 11 16 10 2" xfId="25872" xr:uid="{00000000-0005-0000-0000-0000F0310000}"/>
    <cellStyle name="Normal 3 11 16 11" xfId="8239" xr:uid="{00000000-0005-0000-0000-0000F1310000}"/>
    <cellStyle name="Normal 3 11 16 11 2" xfId="25873" xr:uid="{00000000-0005-0000-0000-0000F2310000}"/>
    <cellStyle name="Normal 3 11 16 12" xfId="8240" xr:uid="{00000000-0005-0000-0000-0000F3310000}"/>
    <cellStyle name="Normal 3 11 16 12 2" xfId="25874" xr:uid="{00000000-0005-0000-0000-0000F4310000}"/>
    <cellStyle name="Normal 3 11 16 13" xfId="8241" xr:uid="{00000000-0005-0000-0000-0000F5310000}"/>
    <cellStyle name="Normal 3 11 16 13 2" xfId="25875" xr:uid="{00000000-0005-0000-0000-0000F6310000}"/>
    <cellStyle name="Normal 3 11 16 14" xfId="8242" xr:uid="{00000000-0005-0000-0000-0000F7310000}"/>
    <cellStyle name="Normal 3 11 16 14 2" xfId="25876" xr:uid="{00000000-0005-0000-0000-0000F8310000}"/>
    <cellStyle name="Normal 3 11 16 15" xfId="8243" xr:uid="{00000000-0005-0000-0000-0000F9310000}"/>
    <cellStyle name="Normal 3 11 16 15 2" xfId="25877" xr:uid="{00000000-0005-0000-0000-0000FA310000}"/>
    <cellStyle name="Normal 3 11 16 16" xfId="25871" xr:uid="{00000000-0005-0000-0000-0000FB310000}"/>
    <cellStyle name="Normal 3 11 16 2" xfId="8244" xr:uid="{00000000-0005-0000-0000-0000FC310000}"/>
    <cellStyle name="Normal 3 11 16 2 10" xfId="8245" xr:uid="{00000000-0005-0000-0000-0000FD310000}"/>
    <cellStyle name="Normal 3 11 16 2 10 2" xfId="25879" xr:uid="{00000000-0005-0000-0000-0000FE310000}"/>
    <cellStyle name="Normal 3 11 16 2 11" xfId="8246" xr:uid="{00000000-0005-0000-0000-0000FF310000}"/>
    <cellStyle name="Normal 3 11 16 2 11 2" xfId="25880" xr:uid="{00000000-0005-0000-0000-000000320000}"/>
    <cellStyle name="Normal 3 11 16 2 12" xfId="8247" xr:uid="{00000000-0005-0000-0000-000001320000}"/>
    <cellStyle name="Normal 3 11 16 2 12 2" xfId="25881" xr:uid="{00000000-0005-0000-0000-000002320000}"/>
    <cellStyle name="Normal 3 11 16 2 13" xfId="8248" xr:uid="{00000000-0005-0000-0000-000003320000}"/>
    <cellStyle name="Normal 3 11 16 2 13 2" xfId="25882" xr:uid="{00000000-0005-0000-0000-000004320000}"/>
    <cellStyle name="Normal 3 11 16 2 14" xfId="8249" xr:uid="{00000000-0005-0000-0000-000005320000}"/>
    <cellStyle name="Normal 3 11 16 2 14 2" xfId="25883" xr:uid="{00000000-0005-0000-0000-000006320000}"/>
    <cellStyle name="Normal 3 11 16 2 15" xfId="25878" xr:uid="{00000000-0005-0000-0000-000007320000}"/>
    <cellStyle name="Normal 3 11 16 2 2" xfId="8250" xr:uid="{00000000-0005-0000-0000-000008320000}"/>
    <cellStyle name="Normal 3 11 16 2 2 2" xfId="25884" xr:uid="{00000000-0005-0000-0000-000009320000}"/>
    <cellStyle name="Normal 3 11 16 2 3" xfId="8251" xr:uid="{00000000-0005-0000-0000-00000A320000}"/>
    <cellStyle name="Normal 3 11 16 2 3 2" xfId="25885" xr:uid="{00000000-0005-0000-0000-00000B320000}"/>
    <cellStyle name="Normal 3 11 16 2 4" xfId="8252" xr:uid="{00000000-0005-0000-0000-00000C320000}"/>
    <cellStyle name="Normal 3 11 16 2 4 2" xfId="25886" xr:uid="{00000000-0005-0000-0000-00000D320000}"/>
    <cellStyle name="Normal 3 11 16 2 5" xfId="8253" xr:uid="{00000000-0005-0000-0000-00000E320000}"/>
    <cellStyle name="Normal 3 11 16 2 5 2" xfId="25887" xr:uid="{00000000-0005-0000-0000-00000F320000}"/>
    <cellStyle name="Normal 3 11 16 2 6" xfId="8254" xr:uid="{00000000-0005-0000-0000-000010320000}"/>
    <cellStyle name="Normal 3 11 16 2 6 2" xfId="25888" xr:uid="{00000000-0005-0000-0000-000011320000}"/>
    <cellStyle name="Normal 3 11 16 2 7" xfId="8255" xr:uid="{00000000-0005-0000-0000-000012320000}"/>
    <cellStyle name="Normal 3 11 16 2 7 2" xfId="25889" xr:uid="{00000000-0005-0000-0000-000013320000}"/>
    <cellStyle name="Normal 3 11 16 2 8" xfId="8256" xr:uid="{00000000-0005-0000-0000-000014320000}"/>
    <cellStyle name="Normal 3 11 16 2 8 2" xfId="25890" xr:uid="{00000000-0005-0000-0000-000015320000}"/>
    <cellStyle name="Normal 3 11 16 2 9" xfId="8257" xr:uid="{00000000-0005-0000-0000-000016320000}"/>
    <cellStyle name="Normal 3 11 16 2 9 2" xfId="25891" xr:uid="{00000000-0005-0000-0000-000017320000}"/>
    <cellStyle name="Normal 3 11 16 3" xfId="8258" xr:uid="{00000000-0005-0000-0000-000018320000}"/>
    <cellStyle name="Normal 3 11 16 3 2" xfId="25892" xr:uid="{00000000-0005-0000-0000-000019320000}"/>
    <cellStyle name="Normal 3 11 16 4" xfId="8259" xr:uid="{00000000-0005-0000-0000-00001A320000}"/>
    <cellStyle name="Normal 3 11 16 4 2" xfId="25893" xr:uid="{00000000-0005-0000-0000-00001B320000}"/>
    <cellStyle name="Normal 3 11 16 5" xfId="8260" xr:uid="{00000000-0005-0000-0000-00001C320000}"/>
    <cellStyle name="Normal 3 11 16 5 2" xfId="25894" xr:uid="{00000000-0005-0000-0000-00001D320000}"/>
    <cellStyle name="Normal 3 11 16 6" xfId="8261" xr:uid="{00000000-0005-0000-0000-00001E320000}"/>
    <cellStyle name="Normal 3 11 16 6 2" xfId="25895" xr:uid="{00000000-0005-0000-0000-00001F320000}"/>
    <cellStyle name="Normal 3 11 16 7" xfId="8262" xr:uid="{00000000-0005-0000-0000-000020320000}"/>
    <cellStyle name="Normal 3 11 16 7 2" xfId="25896" xr:uid="{00000000-0005-0000-0000-000021320000}"/>
    <cellStyle name="Normal 3 11 16 8" xfId="8263" xr:uid="{00000000-0005-0000-0000-000022320000}"/>
    <cellStyle name="Normal 3 11 16 8 2" xfId="25897" xr:uid="{00000000-0005-0000-0000-000023320000}"/>
    <cellStyle name="Normal 3 11 16 9" xfId="8264" xr:uid="{00000000-0005-0000-0000-000024320000}"/>
    <cellStyle name="Normal 3 11 16 9 2" xfId="25898" xr:uid="{00000000-0005-0000-0000-000025320000}"/>
    <cellStyle name="Normal 3 11 17" xfId="8265" xr:uid="{00000000-0005-0000-0000-000026320000}"/>
    <cellStyle name="Normal 3 11 17 10" xfId="8266" xr:uid="{00000000-0005-0000-0000-000027320000}"/>
    <cellStyle name="Normal 3 11 17 10 2" xfId="25900" xr:uid="{00000000-0005-0000-0000-000028320000}"/>
    <cellStyle name="Normal 3 11 17 11" xfId="8267" xr:uid="{00000000-0005-0000-0000-000029320000}"/>
    <cellStyle name="Normal 3 11 17 11 2" xfId="25901" xr:uid="{00000000-0005-0000-0000-00002A320000}"/>
    <cellStyle name="Normal 3 11 17 12" xfId="8268" xr:uid="{00000000-0005-0000-0000-00002B320000}"/>
    <cellStyle name="Normal 3 11 17 12 2" xfId="25902" xr:uid="{00000000-0005-0000-0000-00002C320000}"/>
    <cellStyle name="Normal 3 11 17 13" xfId="8269" xr:uid="{00000000-0005-0000-0000-00002D320000}"/>
    <cellStyle name="Normal 3 11 17 13 2" xfId="25903" xr:uid="{00000000-0005-0000-0000-00002E320000}"/>
    <cellStyle name="Normal 3 11 17 14" xfId="8270" xr:uid="{00000000-0005-0000-0000-00002F320000}"/>
    <cellStyle name="Normal 3 11 17 14 2" xfId="25904" xr:uid="{00000000-0005-0000-0000-000030320000}"/>
    <cellStyle name="Normal 3 11 17 15" xfId="25899" xr:uid="{00000000-0005-0000-0000-000031320000}"/>
    <cellStyle name="Normal 3 11 17 2" xfId="8271" xr:uid="{00000000-0005-0000-0000-000032320000}"/>
    <cellStyle name="Normal 3 11 17 2 2" xfId="25905" xr:uid="{00000000-0005-0000-0000-000033320000}"/>
    <cellStyle name="Normal 3 11 17 3" xfId="8272" xr:uid="{00000000-0005-0000-0000-000034320000}"/>
    <cellStyle name="Normal 3 11 17 3 2" xfId="25906" xr:uid="{00000000-0005-0000-0000-000035320000}"/>
    <cellStyle name="Normal 3 11 17 4" xfId="8273" xr:uid="{00000000-0005-0000-0000-000036320000}"/>
    <cellStyle name="Normal 3 11 17 4 2" xfId="25907" xr:uid="{00000000-0005-0000-0000-000037320000}"/>
    <cellStyle name="Normal 3 11 17 5" xfId="8274" xr:uid="{00000000-0005-0000-0000-000038320000}"/>
    <cellStyle name="Normal 3 11 17 5 2" xfId="25908" xr:uid="{00000000-0005-0000-0000-000039320000}"/>
    <cellStyle name="Normal 3 11 17 6" xfId="8275" xr:uid="{00000000-0005-0000-0000-00003A320000}"/>
    <cellStyle name="Normal 3 11 17 6 2" xfId="25909" xr:uid="{00000000-0005-0000-0000-00003B320000}"/>
    <cellStyle name="Normal 3 11 17 7" xfId="8276" xr:uid="{00000000-0005-0000-0000-00003C320000}"/>
    <cellStyle name="Normal 3 11 17 7 2" xfId="25910" xr:uid="{00000000-0005-0000-0000-00003D320000}"/>
    <cellStyle name="Normal 3 11 17 8" xfId="8277" xr:uid="{00000000-0005-0000-0000-00003E320000}"/>
    <cellStyle name="Normal 3 11 17 8 2" xfId="25911" xr:uid="{00000000-0005-0000-0000-00003F320000}"/>
    <cellStyle name="Normal 3 11 17 9" xfId="8278" xr:uid="{00000000-0005-0000-0000-000040320000}"/>
    <cellStyle name="Normal 3 11 17 9 2" xfId="25912" xr:uid="{00000000-0005-0000-0000-000041320000}"/>
    <cellStyle name="Normal 3 11 18" xfId="8279" xr:uid="{00000000-0005-0000-0000-000042320000}"/>
    <cellStyle name="Normal 3 11 18 10" xfId="8280" xr:uid="{00000000-0005-0000-0000-000043320000}"/>
    <cellStyle name="Normal 3 11 18 10 2" xfId="25914" xr:uid="{00000000-0005-0000-0000-000044320000}"/>
    <cellStyle name="Normal 3 11 18 11" xfId="8281" xr:uid="{00000000-0005-0000-0000-000045320000}"/>
    <cellStyle name="Normal 3 11 18 11 2" xfId="25915" xr:uid="{00000000-0005-0000-0000-000046320000}"/>
    <cellStyle name="Normal 3 11 18 12" xfId="8282" xr:uid="{00000000-0005-0000-0000-000047320000}"/>
    <cellStyle name="Normal 3 11 18 12 2" xfId="25916" xr:uid="{00000000-0005-0000-0000-000048320000}"/>
    <cellStyle name="Normal 3 11 18 13" xfId="8283" xr:uid="{00000000-0005-0000-0000-000049320000}"/>
    <cellStyle name="Normal 3 11 18 13 2" xfId="25917" xr:uid="{00000000-0005-0000-0000-00004A320000}"/>
    <cellStyle name="Normal 3 11 18 14" xfId="8284" xr:uid="{00000000-0005-0000-0000-00004B320000}"/>
    <cellStyle name="Normal 3 11 18 14 2" xfId="25918" xr:uid="{00000000-0005-0000-0000-00004C320000}"/>
    <cellStyle name="Normal 3 11 18 15" xfId="25913" xr:uid="{00000000-0005-0000-0000-00004D320000}"/>
    <cellStyle name="Normal 3 11 18 2" xfId="8285" xr:uid="{00000000-0005-0000-0000-00004E320000}"/>
    <cellStyle name="Normal 3 11 18 2 2" xfId="25919" xr:uid="{00000000-0005-0000-0000-00004F320000}"/>
    <cellStyle name="Normal 3 11 18 3" xfId="8286" xr:uid="{00000000-0005-0000-0000-000050320000}"/>
    <cellStyle name="Normal 3 11 18 3 2" xfId="25920" xr:uid="{00000000-0005-0000-0000-000051320000}"/>
    <cellStyle name="Normal 3 11 18 4" xfId="8287" xr:uid="{00000000-0005-0000-0000-000052320000}"/>
    <cellStyle name="Normal 3 11 18 4 2" xfId="25921" xr:uid="{00000000-0005-0000-0000-000053320000}"/>
    <cellStyle name="Normal 3 11 18 5" xfId="8288" xr:uid="{00000000-0005-0000-0000-000054320000}"/>
    <cellStyle name="Normal 3 11 18 5 2" xfId="25922" xr:uid="{00000000-0005-0000-0000-000055320000}"/>
    <cellStyle name="Normal 3 11 18 6" xfId="8289" xr:uid="{00000000-0005-0000-0000-000056320000}"/>
    <cellStyle name="Normal 3 11 18 6 2" xfId="25923" xr:uid="{00000000-0005-0000-0000-000057320000}"/>
    <cellStyle name="Normal 3 11 18 7" xfId="8290" xr:uid="{00000000-0005-0000-0000-000058320000}"/>
    <cellStyle name="Normal 3 11 18 7 2" xfId="25924" xr:uid="{00000000-0005-0000-0000-000059320000}"/>
    <cellStyle name="Normal 3 11 18 8" xfId="8291" xr:uid="{00000000-0005-0000-0000-00005A320000}"/>
    <cellStyle name="Normal 3 11 18 8 2" xfId="25925" xr:uid="{00000000-0005-0000-0000-00005B320000}"/>
    <cellStyle name="Normal 3 11 18 9" xfId="8292" xr:uid="{00000000-0005-0000-0000-00005C320000}"/>
    <cellStyle name="Normal 3 11 18 9 2" xfId="25926" xr:uid="{00000000-0005-0000-0000-00005D320000}"/>
    <cellStyle name="Normal 3 11 19" xfId="8293" xr:uid="{00000000-0005-0000-0000-00005E320000}"/>
    <cellStyle name="Normal 3 11 19 10" xfId="8294" xr:uid="{00000000-0005-0000-0000-00005F320000}"/>
    <cellStyle name="Normal 3 11 19 10 2" xfId="25928" xr:uid="{00000000-0005-0000-0000-000060320000}"/>
    <cellStyle name="Normal 3 11 19 11" xfId="8295" xr:uid="{00000000-0005-0000-0000-000061320000}"/>
    <cellStyle name="Normal 3 11 19 11 2" xfId="25929" xr:uid="{00000000-0005-0000-0000-000062320000}"/>
    <cellStyle name="Normal 3 11 19 12" xfId="8296" xr:uid="{00000000-0005-0000-0000-000063320000}"/>
    <cellStyle name="Normal 3 11 19 12 2" xfId="25930" xr:uid="{00000000-0005-0000-0000-000064320000}"/>
    <cellStyle name="Normal 3 11 19 13" xfId="8297" xr:uid="{00000000-0005-0000-0000-000065320000}"/>
    <cellStyle name="Normal 3 11 19 13 2" xfId="25931" xr:uid="{00000000-0005-0000-0000-000066320000}"/>
    <cellStyle name="Normal 3 11 19 14" xfId="8298" xr:uid="{00000000-0005-0000-0000-000067320000}"/>
    <cellStyle name="Normal 3 11 19 14 2" xfId="25932" xr:uid="{00000000-0005-0000-0000-000068320000}"/>
    <cellStyle name="Normal 3 11 19 15" xfId="25927" xr:uid="{00000000-0005-0000-0000-000069320000}"/>
    <cellStyle name="Normal 3 11 19 2" xfId="8299" xr:uid="{00000000-0005-0000-0000-00006A320000}"/>
    <cellStyle name="Normal 3 11 19 2 2" xfId="25933" xr:uid="{00000000-0005-0000-0000-00006B320000}"/>
    <cellStyle name="Normal 3 11 19 3" xfId="8300" xr:uid="{00000000-0005-0000-0000-00006C320000}"/>
    <cellStyle name="Normal 3 11 19 3 2" xfId="25934" xr:uid="{00000000-0005-0000-0000-00006D320000}"/>
    <cellStyle name="Normal 3 11 19 4" xfId="8301" xr:uid="{00000000-0005-0000-0000-00006E320000}"/>
    <cellStyle name="Normal 3 11 19 4 2" xfId="25935" xr:uid="{00000000-0005-0000-0000-00006F320000}"/>
    <cellStyle name="Normal 3 11 19 5" xfId="8302" xr:uid="{00000000-0005-0000-0000-000070320000}"/>
    <cellStyle name="Normal 3 11 19 5 2" xfId="25936" xr:uid="{00000000-0005-0000-0000-000071320000}"/>
    <cellStyle name="Normal 3 11 19 6" xfId="8303" xr:uid="{00000000-0005-0000-0000-000072320000}"/>
    <cellStyle name="Normal 3 11 19 6 2" xfId="25937" xr:uid="{00000000-0005-0000-0000-000073320000}"/>
    <cellStyle name="Normal 3 11 19 7" xfId="8304" xr:uid="{00000000-0005-0000-0000-000074320000}"/>
    <cellStyle name="Normal 3 11 19 7 2" xfId="25938" xr:uid="{00000000-0005-0000-0000-000075320000}"/>
    <cellStyle name="Normal 3 11 19 8" xfId="8305" xr:uid="{00000000-0005-0000-0000-000076320000}"/>
    <cellStyle name="Normal 3 11 19 8 2" xfId="25939" xr:uid="{00000000-0005-0000-0000-000077320000}"/>
    <cellStyle name="Normal 3 11 19 9" xfId="8306" xr:uid="{00000000-0005-0000-0000-000078320000}"/>
    <cellStyle name="Normal 3 11 19 9 2" xfId="25940" xr:uid="{00000000-0005-0000-0000-000079320000}"/>
    <cellStyle name="Normal 3 11 2" xfId="8307" xr:uid="{00000000-0005-0000-0000-00007A320000}"/>
    <cellStyle name="Normal 3 11 20" xfId="8308" xr:uid="{00000000-0005-0000-0000-00007B320000}"/>
    <cellStyle name="Normal 3 11 20 10" xfId="8309" xr:uid="{00000000-0005-0000-0000-00007C320000}"/>
    <cellStyle name="Normal 3 11 20 10 2" xfId="25942" xr:uid="{00000000-0005-0000-0000-00007D320000}"/>
    <cellStyle name="Normal 3 11 20 11" xfId="8310" xr:uid="{00000000-0005-0000-0000-00007E320000}"/>
    <cellStyle name="Normal 3 11 20 11 2" xfId="25943" xr:uid="{00000000-0005-0000-0000-00007F320000}"/>
    <cellStyle name="Normal 3 11 20 12" xfId="8311" xr:uid="{00000000-0005-0000-0000-000080320000}"/>
    <cellStyle name="Normal 3 11 20 12 2" xfId="25944" xr:uid="{00000000-0005-0000-0000-000081320000}"/>
    <cellStyle name="Normal 3 11 20 13" xfId="8312" xr:uid="{00000000-0005-0000-0000-000082320000}"/>
    <cellStyle name="Normal 3 11 20 13 2" xfId="25945" xr:uid="{00000000-0005-0000-0000-000083320000}"/>
    <cellStyle name="Normal 3 11 20 14" xfId="8313" xr:uid="{00000000-0005-0000-0000-000084320000}"/>
    <cellStyle name="Normal 3 11 20 14 2" xfId="25946" xr:uid="{00000000-0005-0000-0000-000085320000}"/>
    <cellStyle name="Normal 3 11 20 15" xfId="25941" xr:uid="{00000000-0005-0000-0000-000086320000}"/>
    <cellStyle name="Normal 3 11 20 2" xfId="8314" xr:uid="{00000000-0005-0000-0000-000087320000}"/>
    <cellStyle name="Normal 3 11 20 2 2" xfId="25947" xr:uid="{00000000-0005-0000-0000-000088320000}"/>
    <cellStyle name="Normal 3 11 20 3" xfId="8315" xr:uid="{00000000-0005-0000-0000-000089320000}"/>
    <cellStyle name="Normal 3 11 20 3 2" xfId="25948" xr:uid="{00000000-0005-0000-0000-00008A320000}"/>
    <cellStyle name="Normal 3 11 20 4" xfId="8316" xr:uid="{00000000-0005-0000-0000-00008B320000}"/>
    <cellStyle name="Normal 3 11 20 4 2" xfId="25949" xr:uid="{00000000-0005-0000-0000-00008C320000}"/>
    <cellStyle name="Normal 3 11 20 5" xfId="8317" xr:uid="{00000000-0005-0000-0000-00008D320000}"/>
    <cellStyle name="Normal 3 11 20 5 2" xfId="25950" xr:uid="{00000000-0005-0000-0000-00008E320000}"/>
    <cellStyle name="Normal 3 11 20 6" xfId="8318" xr:uid="{00000000-0005-0000-0000-00008F320000}"/>
    <cellStyle name="Normal 3 11 20 6 2" xfId="25951" xr:uid="{00000000-0005-0000-0000-000090320000}"/>
    <cellStyle name="Normal 3 11 20 7" xfId="8319" xr:uid="{00000000-0005-0000-0000-000091320000}"/>
    <cellStyle name="Normal 3 11 20 7 2" xfId="25952" xr:uid="{00000000-0005-0000-0000-000092320000}"/>
    <cellStyle name="Normal 3 11 20 8" xfId="8320" xr:uid="{00000000-0005-0000-0000-000093320000}"/>
    <cellStyle name="Normal 3 11 20 8 2" xfId="25953" xr:uid="{00000000-0005-0000-0000-000094320000}"/>
    <cellStyle name="Normal 3 11 20 9" xfId="8321" xr:uid="{00000000-0005-0000-0000-000095320000}"/>
    <cellStyle name="Normal 3 11 20 9 2" xfId="25954" xr:uid="{00000000-0005-0000-0000-000096320000}"/>
    <cellStyle name="Normal 3 11 21" xfId="8322" xr:uid="{00000000-0005-0000-0000-000097320000}"/>
    <cellStyle name="Normal 3 11 21 10" xfId="8323" xr:uid="{00000000-0005-0000-0000-000098320000}"/>
    <cellStyle name="Normal 3 11 21 10 2" xfId="25956" xr:uid="{00000000-0005-0000-0000-000099320000}"/>
    <cellStyle name="Normal 3 11 21 11" xfId="8324" xr:uid="{00000000-0005-0000-0000-00009A320000}"/>
    <cellStyle name="Normal 3 11 21 11 2" xfId="25957" xr:uid="{00000000-0005-0000-0000-00009B320000}"/>
    <cellStyle name="Normal 3 11 21 12" xfId="8325" xr:uid="{00000000-0005-0000-0000-00009C320000}"/>
    <cellStyle name="Normal 3 11 21 12 2" xfId="25958" xr:uid="{00000000-0005-0000-0000-00009D320000}"/>
    <cellStyle name="Normal 3 11 21 13" xfId="8326" xr:uid="{00000000-0005-0000-0000-00009E320000}"/>
    <cellStyle name="Normal 3 11 21 13 2" xfId="25959" xr:uid="{00000000-0005-0000-0000-00009F320000}"/>
    <cellStyle name="Normal 3 11 21 14" xfId="8327" xr:uid="{00000000-0005-0000-0000-0000A0320000}"/>
    <cellStyle name="Normal 3 11 21 14 2" xfId="25960" xr:uid="{00000000-0005-0000-0000-0000A1320000}"/>
    <cellStyle name="Normal 3 11 21 15" xfId="25955" xr:uid="{00000000-0005-0000-0000-0000A2320000}"/>
    <cellStyle name="Normal 3 11 21 2" xfId="8328" xr:uid="{00000000-0005-0000-0000-0000A3320000}"/>
    <cellStyle name="Normal 3 11 21 2 2" xfId="25961" xr:uid="{00000000-0005-0000-0000-0000A4320000}"/>
    <cellStyle name="Normal 3 11 21 3" xfId="8329" xr:uid="{00000000-0005-0000-0000-0000A5320000}"/>
    <cellStyle name="Normal 3 11 21 3 2" xfId="25962" xr:uid="{00000000-0005-0000-0000-0000A6320000}"/>
    <cellStyle name="Normal 3 11 21 4" xfId="8330" xr:uid="{00000000-0005-0000-0000-0000A7320000}"/>
    <cellStyle name="Normal 3 11 21 4 2" xfId="25963" xr:uid="{00000000-0005-0000-0000-0000A8320000}"/>
    <cellStyle name="Normal 3 11 21 5" xfId="8331" xr:uid="{00000000-0005-0000-0000-0000A9320000}"/>
    <cellStyle name="Normal 3 11 21 5 2" xfId="25964" xr:uid="{00000000-0005-0000-0000-0000AA320000}"/>
    <cellStyle name="Normal 3 11 21 6" xfId="8332" xr:uid="{00000000-0005-0000-0000-0000AB320000}"/>
    <cellStyle name="Normal 3 11 21 6 2" xfId="25965" xr:uid="{00000000-0005-0000-0000-0000AC320000}"/>
    <cellStyle name="Normal 3 11 21 7" xfId="8333" xr:uid="{00000000-0005-0000-0000-0000AD320000}"/>
    <cellStyle name="Normal 3 11 21 7 2" xfId="25966" xr:uid="{00000000-0005-0000-0000-0000AE320000}"/>
    <cellStyle name="Normal 3 11 21 8" xfId="8334" xr:uid="{00000000-0005-0000-0000-0000AF320000}"/>
    <cellStyle name="Normal 3 11 21 8 2" xfId="25967" xr:uid="{00000000-0005-0000-0000-0000B0320000}"/>
    <cellStyle name="Normal 3 11 21 9" xfId="8335" xr:uid="{00000000-0005-0000-0000-0000B1320000}"/>
    <cellStyle name="Normal 3 11 21 9 2" xfId="25968" xr:uid="{00000000-0005-0000-0000-0000B2320000}"/>
    <cellStyle name="Normal 3 11 22" xfId="8336" xr:uid="{00000000-0005-0000-0000-0000B3320000}"/>
    <cellStyle name="Normal 3 11 22 10" xfId="8337" xr:uid="{00000000-0005-0000-0000-0000B4320000}"/>
    <cellStyle name="Normal 3 11 22 10 2" xfId="25970" xr:uid="{00000000-0005-0000-0000-0000B5320000}"/>
    <cellStyle name="Normal 3 11 22 11" xfId="8338" xr:uid="{00000000-0005-0000-0000-0000B6320000}"/>
    <cellStyle name="Normal 3 11 22 11 2" xfId="25971" xr:uid="{00000000-0005-0000-0000-0000B7320000}"/>
    <cellStyle name="Normal 3 11 22 12" xfId="8339" xr:uid="{00000000-0005-0000-0000-0000B8320000}"/>
    <cellStyle name="Normal 3 11 22 12 2" xfId="25972" xr:uid="{00000000-0005-0000-0000-0000B9320000}"/>
    <cellStyle name="Normal 3 11 22 13" xfId="8340" xr:uid="{00000000-0005-0000-0000-0000BA320000}"/>
    <cellStyle name="Normal 3 11 22 13 2" xfId="25973" xr:uid="{00000000-0005-0000-0000-0000BB320000}"/>
    <cellStyle name="Normal 3 11 22 14" xfId="8341" xr:uid="{00000000-0005-0000-0000-0000BC320000}"/>
    <cellStyle name="Normal 3 11 22 14 2" xfId="25974" xr:uid="{00000000-0005-0000-0000-0000BD320000}"/>
    <cellStyle name="Normal 3 11 22 15" xfId="25969" xr:uid="{00000000-0005-0000-0000-0000BE320000}"/>
    <cellStyle name="Normal 3 11 22 2" xfId="8342" xr:uid="{00000000-0005-0000-0000-0000BF320000}"/>
    <cellStyle name="Normal 3 11 22 2 2" xfId="25975" xr:uid="{00000000-0005-0000-0000-0000C0320000}"/>
    <cellStyle name="Normal 3 11 22 3" xfId="8343" xr:uid="{00000000-0005-0000-0000-0000C1320000}"/>
    <cellStyle name="Normal 3 11 22 3 2" xfId="25976" xr:uid="{00000000-0005-0000-0000-0000C2320000}"/>
    <cellStyle name="Normal 3 11 22 4" xfId="8344" xr:uid="{00000000-0005-0000-0000-0000C3320000}"/>
    <cellStyle name="Normal 3 11 22 4 2" xfId="25977" xr:uid="{00000000-0005-0000-0000-0000C4320000}"/>
    <cellStyle name="Normal 3 11 22 5" xfId="8345" xr:uid="{00000000-0005-0000-0000-0000C5320000}"/>
    <cellStyle name="Normal 3 11 22 5 2" xfId="25978" xr:uid="{00000000-0005-0000-0000-0000C6320000}"/>
    <cellStyle name="Normal 3 11 22 6" xfId="8346" xr:uid="{00000000-0005-0000-0000-0000C7320000}"/>
    <cellStyle name="Normal 3 11 22 6 2" xfId="25979" xr:uid="{00000000-0005-0000-0000-0000C8320000}"/>
    <cellStyle name="Normal 3 11 22 7" xfId="8347" xr:uid="{00000000-0005-0000-0000-0000C9320000}"/>
    <cellStyle name="Normal 3 11 22 7 2" xfId="25980" xr:uid="{00000000-0005-0000-0000-0000CA320000}"/>
    <cellStyle name="Normal 3 11 22 8" xfId="8348" xr:uid="{00000000-0005-0000-0000-0000CB320000}"/>
    <cellStyle name="Normal 3 11 22 8 2" xfId="25981" xr:uid="{00000000-0005-0000-0000-0000CC320000}"/>
    <cellStyle name="Normal 3 11 22 9" xfId="8349" xr:uid="{00000000-0005-0000-0000-0000CD320000}"/>
    <cellStyle name="Normal 3 11 22 9 2" xfId="25982" xr:uid="{00000000-0005-0000-0000-0000CE320000}"/>
    <cellStyle name="Normal 3 11 23" xfId="8350" xr:uid="{00000000-0005-0000-0000-0000CF320000}"/>
    <cellStyle name="Normal 3 11 24" xfId="8351" xr:uid="{00000000-0005-0000-0000-0000D0320000}"/>
    <cellStyle name="Normal 3 11 25" xfId="8352" xr:uid="{00000000-0005-0000-0000-0000D1320000}"/>
    <cellStyle name="Normal 3 11 25 10" xfId="8353" xr:uid="{00000000-0005-0000-0000-0000D2320000}"/>
    <cellStyle name="Normal 3 11 25 10 2" xfId="25984" xr:uid="{00000000-0005-0000-0000-0000D3320000}"/>
    <cellStyle name="Normal 3 11 25 11" xfId="8354" xr:uid="{00000000-0005-0000-0000-0000D4320000}"/>
    <cellStyle name="Normal 3 11 25 11 2" xfId="25985" xr:uid="{00000000-0005-0000-0000-0000D5320000}"/>
    <cellStyle name="Normal 3 11 25 12" xfId="8355" xr:uid="{00000000-0005-0000-0000-0000D6320000}"/>
    <cellStyle name="Normal 3 11 25 12 2" xfId="25986" xr:uid="{00000000-0005-0000-0000-0000D7320000}"/>
    <cellStyle name="Normal 3 11 25 13" xfId="8356" xr:uid="{00000000-0005-0000-0000-0000D8320000}"/>
    <cellStyle name="Normal 3 11 25 13 2" xfId="25987" xr:uid="{00000000-0005-0000-0000-0000D9320000}"/>
    <cellStyle name="Normal 3 11 25 14" xfId="8357" xr:uid="{00000000-0005-0000-0000-0000DA320000}"/>
    <cellStyle name="Normal 3 11 25 14 2" xfId="25988" xr:uid="{00000000-0005-0000-0000-0000DB320000}"/>
    <cellStyle name="Normal 3 11 25 15" xfId="25983" xr:uid="{00000000-0005-0000-0000-0000DC320000}"/>
    <cellStyle name="Normal 3 11 25 2" xfId="8358" xr:uid="{00000000-0005-0000-0000-0000DD320000}"/>
    <cellStyle name="Normal 3 11 25 2 2" xfId="25989" xr:uid="{00000000-0005-0000-0000-0000DE320000}"/>
    <cellStyle name="Normal 3 11 25 3" xfId="8359" xr:uid="{00000000-0005-0000-0000-0000DF320000}"/>
    <cellStyle name="Normal 3 11 25 3 2" xfId="25990" xr:uid="{00000000-0005-0000-0000-0000E0320000}"/>
    <cellStyle name="Normal 3 11 25 4" xfId="8360" xr:uid="{00000000-0005-0000-0000-0000E1320000}"/>
    <cellStyle name="Normal 3 11 25 4 2" xfId="25991" xr:uid="{00000000-0005-0000-0000-0000E2320000}"/>
    <cellStyle name="Normal 3 11 25 5" xfId="8361" xr:uid="{00000000-0005-0000-0000-0000E3320000}"/>
    <cellStyle name="Normal 3 11 25 5 2" xfId="25992" xr:uid="{00000000-0005-0000-0000-0000E4320000}"/>
    <cellStyle name="Normal 3 11 25 6" xfId="8362" xr:uid="{00000000-0005-0000-0000-0000E5320000}"/>
    <cellStyle name="Normal 3 11 25 6 2" xfId="25993" xr:uid="{00000000-0005-0000-0000-0000E6320000}"/>
    <cellStyle name="Normal 3 11 25 7" xfId="8363" xr:uid="{00000000-0005-0000-0000-0000E7320000}"/>
    <cellStyle name="Normal 3 11 25 7 2" xfId="25994" xr:uid="{00000000-0005-0000-0000-0000E8320000}"/>
    <cellStyle name="Normal 3 11 25 8" xfId="8364" xr:uid="{00000000-0005-0000-0000-0000E9320000}"/>
    <cellStyle name="Normal 3 11 25 8 2" xfId="25995" xr:uid="{00000000-0005-0000-0000-0000EA320000}"/>
    <cellStyle name="Normal 3 11 25 9" xfId="8365" xr:uid="{00000000-0005-0000-0000-0000EB320000}"/>
    <cellStyle name="Normal 3 11 25 9 2" xfId="25996" xr:uid="{00000000-0005-0000-0000-0000EC320000}"/>
    <cellStyle name="Normal 3 11 26" xfId="8366" xr:uid="{00000000-0005-0000-0000-0000ED320000}"/>
    <cellStyle name="Normal 3 11 26 10" xfId="8367" xr:uid="{00000000-0005-0000-0000-0000EE320000}"/>
    <cellStyle name="Normal 3 11 26 10 2" xfId="25998" xr:uid="{00000000-0005-0000-0000-0000EF320000}"/>
    <cellStyle name="Normal 3 11 26 11" xfId="8368" xr:uid="{00000000-0005-0000-0000-0000F0320000}"/>
    <cellStyle name="Normal 3 11 26 11 2" xfId="25999" xr:uid="{00000000-0005-0000-0000-0000F1320000}"/>
    <cellStyle name="Normal 3 11 26 12" xfId="8369" xr:uid="{00000000-0005-0000-0000-0000F2320000}"/>
    <cellStyle name="Normal 3 11 26 12 2" xfId="26000" xr:uid="{00000000-0005-0000-0000-0000F3320000}"/>
    <cellStyle name="Normal 3 11 26 13" xfId="8370" xr:uid="{00000000-0005-0000-0000-0000F4320000}"/>
    <cellStyle name="Normal 3 11 26 13 2" xfId="26001" xr:uid="{00000000-0005-0000-0000-0000F5320000}"/>
    <cellStyle name="Normal 3 11 26 14" xfId="8371" xr:uid="{00000000-0005-0000-0000-0000F6320000}"/>
    <cellStyle name="Normal 3 11 26 14 2" xfId="26002" xr:uid="{00000000-0005-0000-0000-0000F7320000}"/>
    <cellStyle name="Normal 3 11 26 15" xfId="25997" xr:uid="{00000000-0005-0000-0000-0000F8320000}"/>
    <cellStyle name="Normal 3 11 26 2" xfId="8372" xr:uid="{00000000-0005-0000-0000-0000F9320000}"/>
    <cellStyle name="Normal 3 11 26 2 2" xfId="26003" xr:uid="{00000000-0005-0000-0000-0000FA320000}"/>
    <cellStyle name="Normal 3 11 26 3" xfId="8373" xr:uid="{00000000-0005-0000-0000-0000FB320000}"/>
    <cellStyle name="Normal 3 11 26 3 2" xfId="26004" xr:uid="{00000000-0005-0000-0000-0000FC320000}"/>
    <cellStyle name="Normal 3 11 26 4" xfId="8374" xr:uid="{00000000-0005-0000-0000-0000FD320000}"/>
    <cellStyle name="Normal 3 11 26 4 2" xfId="26005" xr:uid="{00000000-0005-0000-0000-0000FE320000}"/>
    <cellStyle name="Normal 3 11 26 5" xfId="8375" xr:uid="{00000000-0005-0000-0000-0000FF320000}"/>
    <cellStyle name="Normal 3 11 26 5 2" xfId="26006" xr:uid="{00000000-0005-0000-0000-000000330000}"/>
    <cellStyle name="Normal 3 11 26 6" xfId="8376" xr:uid="{00000000-0005-0000-0000-000001330000}"/>
    <cellStyle name="Normal 3 11 26 6 2" xfId="26007" xr:uid="{00000000-0005-0000-0000-000002330000}"/>
    <cellStyle name="Normal 3 11 26 7" xfId="8377" xr:uid="{00000000-0005-0000-0000-000003330000}"/>
    <cellStyle name="Normal 3 11 26 7 2" xfId="26008" xr:uid="{00000000-0005-0000-0000-000004330000}"/>
    <cellStyle name="Normal 3 11 26 8" xfId="8378" xr:uid="{00000000-0005-0000-0000-000005330000}"/>
    <cellStyle name="Normal 3 11 26 8 2" xfId="26009" xr:uid="{00000000-0005-0000-0000-000006330000}"/>
    <cellStyle name="Normal 3 11 26 9" xfId="8379" xr:uid="{00000000-0005-0000-0000-000007330000}"/>
    <cellStyle name="Normal 3 11 26 9 2" xfId="26010" xr:uid="{00000000-0005-0000-0000-000008330000}"/>
    <cellStyle name="Normal 3 11 3" xfId="8380" xr:uid="{00000000-0005-0000-0000-000009330000}"/>
    <cellStyle name="Normal 3 11 4" xfId="8381" xr:uid="{00000000-0005-0000-0000-00000A330000}"/>
    <cellStyle name="Normal 3 11 5" xfId="8382" xr:uid="{00000000-0005-0000-0000-00000B330000}"/>
    <cellStyle name="Normal 3 11 6" xfId="8383" xr:uid="{00000000-0005-0000-0000-00000C330000}"/>
    <cellStyle name="Normal 3 11 7" xfId="8384" xr:uid="{00000000-0005-0000-0000-00000D330000}"/>
    <cellStyle name="Normal 3 11 8" xfId="8385" xr:uid="{00000000-0005-0000-0000-00000E330000}"/>
    <cellStyle name="Normal 3 11 9" xfId="8386" xr:uid="{00000000-0005-0000-0000-00000F330000}"/>
    <cellStyle name="Normal 3 12" xfId="8387" xr:uid="{00000000-0005-0000-0000-000010330000}"/>
    <cellStyle name="Normal 3 12 10" xfId="8388" xr:uid="{00000000-0005-0000-0000-000011330000}"/>
    <cellStyle name="Normal 3 12 10 10" xfId="8389" xr:uid="{00000000-0005-0000-0000-000012330000}"/>
    <cellStyle name="Normal 3 12 10 10 2" xfId="26012" xr:uid="{00000000-0005-0000-0000-000013330000}"/>
    <cellStyle name="Normal 3 12 10 11" xfId="8390" xr:uid="{00000000-0005-0000-0000-000014330000}"/>
    <cellStyle name="Normal 3 12 10 11 2" xfId="26013" xr:uid="{00000000-0005-0000-0000-000015330000}"/>
    <cellStyle name="Normal 3 12 10 12" xfId="8391" xr:uid="{00000000-0005-0000-0000-000016330000}"/>
    <cellStyle name="Normal 3 12 10 12 2" xfId="26014" xr:uid="{00000000-0005-0000-0000-000017330000}"/>
    <cellStyle name="Normal 3 12 10 13" xfId="8392" xr:uid="{00000000-0005-0000-0000-000018330000}"/>
    <cellStyle name="Normal 3 12 10 13 2" xfId="26015" xr:uid="{00000000-0005-0000-0000-000019330000}"/>
    <cellStyle name="Normal 3 12 10 14" xfId="8393" xr:uid="{00000000-0005-0000-0000-00001A330000}"/>
    <cellStyle name="Normal 3 12 10 14 2" xfId="26016" xr:uid="{00000000-0005-0000-0000-00001B330000}"/>
    <cellStyle name="Normal 3 12 10 15" xfId="26011" xr:uid="{00000000-0005-0000-0000-00001C330000}"/>
    <cellStyle name="Normal 3 12 10 2" xfId="8394" xr:uid="{00000000-0005-0000-0000-00001D330000}"/>
    <cellStyle name="Normal 3 12 10 2 2" xfId="26017" xr:uid="{00000000-0005-0000-0000-00001E330000}"/>
    <cellStyle name="Normal 3 12 10 3" xfId="8395" xr:uid="{00000000-0005-0000-0000-00001F330000}"/>
    <cellStyle name="Normal 3 12 10 3 2" xfId="26018" xr:uid="{00000000-0005-0000-0000-000020330000}"/>
    <cellStyle name="Normal 3 12 10 4" xfId="8396" xr:uid="{00000000-0005-0000-0000-000021330000}"/>
    <cellStyle name="Normal 3 12 10 4 2" xfId="26019" xr:uid="{00000000-0005-0000-0000-000022330000}"/>
    <cellStyle name="Normal 3 12 10 5" xfId="8397" xr:uid="{00000000-0005-0000-0000-000023330000}"/>
    <cellStyle name="Normal 3 12 10 5 2" xfId="26020" xr:uid="{00000000-0005-0000-0000-000024330000}"/>
    <cellStyle name="Normal 3 12 10 6" xfId="8398" xr:uid="{00000000-0005-0000-0000-000025330000}"/>
    <cellStyle name="Normal 3 12 10 6 2" xfId="26021" xr:uid="{00000000-0005-0000-0000-000026330000}"/>
    <cellStyle name="Normal 3 12 10 7" xfId="8399" xr:uid="{00000000-0005-0000-0000-000027330000}"/>
    <cellStyle name="Normal 3 12 10 7 2" xfId="26022" xr:uid="{00000000-0005-0000-0000-000028330000}"/>
    <cellStyle name="Normal 3 12 10 8" xfId="8400" xr:uid="{00000000-0005-0000-0000-000029330000}"/>
    <cellStyle name="Normal 3 12 10 8 2" xfId="26023" xr:uid="{00000000-0005-0000-0000-00002A330000}"/>
    <cellStyle name="Normal 3 12 10 9" xfId="8401" xr:uid="{00000000-0005-0000-0000-00002B330000}"/>
    <cellStyle name="Normal 3 12 10 9 2" xfId="26024" xr:uid="{00000000-0005-0000-0000-00002C330000}"/>
    <cellStyle name="Normal 3 12 11" xfId="8402" xr:uid="{00000000-0005-0000-0000-00002D330000}"/>
    <cellStyle name="Normal 3 12 11 10" xfId="8403" xr:uid="{00000000-0005-0000-0000-00002E330000}"/>
    <cellStyle name="Normal 3 12 11 10 2" xfId="26026" xr:uid="{00000000-0005-0000-0000-00002F330000}"/>
    <cellStyle name="Normal 3 12 11 11" xfId="8404" xr:uid="{00000000-0005-0000-0000-000030330000}"/>
    <cellStyle name="Normal 3 12 11 11 2" xfId="26027" xr:uid="{00000000-0005-0000-0000-000031330000}"/>
    <cellStyle name="Normal 3 12 11 12" xfId="8405" xr:uid="{00000000-0005-0000-0000-000032330000}"/>
    <cellStyle name="Normal 3 12 11 12 2" xfId="26028" xr:uid="{00000000-0005-0000-0000-000033330000}"/>
    <cellStyle name="Normal 3 12 11 13" xfId="8406" xr:uid="{00000000-0005-0000-0000-000034330000}"/>
    <cellStyle name="Normal 3 12 11 13 2" xfId="26029" xr:uid="{00000000-0005-0000-0000-000035330000}"/>
    <cellStyle name="Normal 3 12 11 14" xfId="8407" xr:uid="{00000000-0005-0000-0000-000036330000}"/>
    <cellStyle name="Normal 3 12 11 14 2" xfId="26030" xr:uid="{00000000-0005-0000-0000-000037330000}"/>
    <cellStyle name="Normal 3 12 11 15" xfId="26025" xr:uid="{00000000-0005-0000-0000-000038330000}"/>
    <cellStyle name="Normal 3 12 11 2" xfId="8408" xr:uid="{00000000-0005-0000-0000-000039330000}"/>
    <cellStyle name="Normal 3 12 11 2 2" xfId="26031" xr:uid="{00000000-0005-0000-0000-00003A330000}"/>
    <cellStyle name="Normal 3 12 11 3" xfId="8409" xr:uid="{00000000-0005-0000-0000-00003B330000}"/>
    <cellStyle name="Normal 3 12 11 3 2" xfId="26032" xr:uid="{00000000-0005-0000-0000-00003C330000}"/>
    <cellStyle name="Normal 3 12 11 4" xfId="8410" xr:uid="{00000000-0005-0000-0000-00003D330000}"/>
    <cellStyle name="Normal 3 12 11 4 2" xfId="26033" xr:uid="{00000000-0005-0000-0000-00003E330000}"/>
    <cellStyle name="Normal 3 12 11 5" xfId="8411" xr:uid="{00000000-0005-0000-0000-00003F330000}"/>
    <cellStyle name="Normal 3 12 11 5 2" xfId="26034" xr:uid="{00000000-0005-0000-0000-000040330000}"/>
    <cellStyle name="Normal 3 12 11 6" xfId="8412" xr:uid="{00000000-0005-0000-0000-000041330000}"/>
    <cellStyle name="Normal 3 12 11 6 2" xfId="26035" xr:uid="{00000000-0005-0000-0000-000042330000}"/>
    <cellStyle name="Normal 3 12 11 7" xfId="8413" xr:uid="{00000000-0005-0000-0000-000043330000}"/>
    <cellStyle name="Normal 3 12 11 7 2" xfId="26036" xr:uid="{00000000-0005-0000-0000-000044330000}"/>
    <cellStyle name="Normal 3 12 11 8" xfId="8414" xr:uid="{00000000-0005-0000-0000-000045330000}"/>
    <cellStyle name="Normal 3 12 11 8 2" xfId="26037" xr:uid="{00000000-0005-0000-0000-000046330000}"/>
    <cellStyle name="Normal 3 12 11 9" xfId="8415" xr:uid="{00000000-0005-0000-0000-000047330000}"/>
    <cellStyle name="Normal 3 12 11 9 2" xfId="26038" xr:uid="{00000000-0005-0000-0000-000048330000}"/>
    <cellStyle name="Normal 3 12 12" xfId="8416" xr:uid="{00000000-0005-0000-0000-000049330000}"/>
    <cellStyle name="Normal 3 12 12 10" xfId="8417" xr:uid="{00000000-0005-0000-0000-00004A330000}"/>
    <cellStyle name="Normal 3 12 12 10 2" xfId="26040" xr:uid="{00000000-0005-0000-0000-00004B330000}"/>
    <cellStyle name="Normal 3 12 12 11" xfId="8418" xr:uid="{00000000-0005-0000-0000-00004C330000}"/>
    <cellStyle name="Normal 3 12 12 11 2" xfId="26041" xr:uid="{00000000-0005-0000-0000-00004D330000}"/>
    <cellStyle name="Normal 3 12 12 12" xfId="8419" xr:uid="{00000000-0005-0000-0000-00004E330000}"/>
    <cellStyle name="Normal 3 12 12 12 2" xfId="26042" xr:uid="{00000000-0005-0000-0000-00004F330000}"/>
    <cellStyle name="Normal 3 12 12 13" xfId="8420" xr:uid="{00000000-0005-0000-0000-000050330000}"/>
    <cellStyle name="Normal 3 12 12 13 2" xfId="26043" xr:uid="{00000000-0005-0000-0000-000051330000}"/>
    <cellStyle name="Normal 3 12 12 14" xfId="8421" xr:uid="{00000000-0005-0000-0000-000052330000}"/>
    <cellStyle name="Normal 3 12 12 14 2" xfId="26044" xr:uid="{00000000-0005-0000-0000-000053330000}"/>
    <cellStyle name="Normal 3 12 12 15" xfId="26039" xr:uid="{00000000-0005-0000-0000-000054330000}"/>
    <cellStyle name="Normal 3 12 12 2" xfId="8422" xr:uid="{00000000-0005-0000-0000-000055330000}"/>
    <cellStyle name="Normal 3 12 12 2 2" xfId="26045" xr:uid="{00000000-0005-0000-0000-000056330000}"/>
    <cellStyle name="Normal 3 12 12 3" xfId="8423" xr:uid="{00000000-0005-0000-0000-000057330000}"/>
    <cellStyle name="Normal 3 12 12 3 2" xfId="26046" xr:uid="{00000000-0005-0000-0000-000058330000}"/>
    <cellStyle name="Normal 3 12 12 4" xfId="8424" xr:uid="{00000000-0005-0000-0000-000059330000}"/>
    <cellStyle name="Normal 3 12 12 4 2" xfId="26047" xr:uid="{00000000-0005-0000-0000-00005A330000}"/>
    <cellStyle name="Normal 3 12 12 5" xfId="8425" xr:uid="{00000000-0005-0000-0000-00005B330000}"/>
    <cellStyle name="Normal 3 12 12 5 2" xfId="26048" xr:uid="{00000000-0005-0000-0000-00005C330000}"/>
    <cellStyle name="Normal 3 12 12 6" xfId="8426" xr:uid="{00000000-0005-0000-0000-00005D330000}"/>
    <cellStyle name="Normal 3 12 12 6 2" xfId="26049" xr:uid="{00000000-0005-0000-0000-00005E330000}"/>
    <cellStyle name="Normal 3 12 12 7" xfId="8427" xr:uid="{00000000-0005-0000-0000-00005F330000}"/>
    <cellStyle name="Normal 3 12 12 7 2" xfId="26050" xr:uid="{00000000-0005-0000-0000-000060330000}"/>
    <cellStyle name="Normal 3 12 12 8" xfId="8428" xr:uid="{00000000-0005-0000-0000-000061330000}"/>
    <cellStyle name="Normal 3 12 12 8 2" xfId="26051" xr:uid="{00000000-0005-0000-0000-000062330000}"/>
    <cellStyle name="Normal 3 12 12 9" xfId="8429" xr:uid="{00000000-0005-0000-0000-000063330000}"/>
    <cellStyle name="Normal 3 12 12 9 2" xfId="26052" xr:uid="{00000000-0005-0000-0000-000064330000}"/>
    <cellStyle name="Normal 3 12 13" xfId="8430" xr:uid="{00000000-0005-0000-0000-000065330000}"/>
    <cellStyle name="Normal 3 12 13 10" xfId="8431" xr:uid="{00000000-0005-0000-0000-000066330000}"/>
    <cellStyle name="Normal 3 12 13 10 2" xfId="26054" xr:uid="{00000000-0005-0000-0000-000067330000}"/>
    <cellStyle name="Normal 3 12 13 11" xfId="8432" xr:uid="{00000000-0005-0000-0000-000068330000}"/>
    <cellStyle name="Normal 3 12 13 11 2" xfId="26055" xr:uid="{00000000-0005-0000-0000-000069330000}"/>
    <cellStyle name="Normal 3 12 13 12" xfId="8433" xr:uid="{00000000-0005-0000-0000-00006A330000}"/>
    <cellStyle name="Normal 3 12 13 12 2" xfId="26056" xr:uid="{00000000-0005-0000-0000-00006B330000}"/>
    <cellStyle name="Normal 3 12 13 13" xfId="8434" xr:uid="{00000000-0005-0000-0000-00006C330000}"/>
    <cellStyle name="Normal 3 12 13 13 2" xfId="26057" xr:uid="{00000000-0005-0000-0000-00006D330000}"/>
    <cellStyle name="Normal 3 12 13 14" xfId="8435" xr:uid="{00000000-0005-0000-0000-00006E330000}"/>
    <cellStyle name="Normal 3 12 13 14 2" xfId="26058" xr:uid="{00000000-0005-0000-0000-00006F330000}"/>
    <cellStyle name="Normal 3 12 13 15" xfId="26053" xr:uid="{00000000-0005-0000-0000-000070330000}"/>
    <cellStyle name="Normal 3 12 13 2" xfId="8436" xr:uid="{00000000-0005-0000-0000-000071330000}"/>
    <cellStyle name="Normal 3 12 13 2 2" xfId="26059" xr:uid="{00000000-0005-0000-0000-000072330000}"/>
    <cellStyle name="Normal 3 12 13 3" xfId="8437" xr:uid="{00000000-0005-0000-0000-000073330000}"/>
    <cellStyle name="Normal 3 12 13 3 2" xfId="26060" xr:uid="{00000000-0005-0000-0000-000074330000}"/>
    <cellStyle name="Normal 3 12 13 4" xfId="8438" xr:uid="{00000000-0005-0000-0000-000075330000}"/>
    <cellStyle name="Normal 3 12 13 4 2" xfId="26061" xr:uid="{00000000-0005-0000-0000-000076330000}"/>
    <cellStyle name="Normal 3 12 13 5" xfId="8439" xr:uid="{00000000-0005-0000-0000-000077330000}"/>
    <cellStyle name="Normal 3 12 13 5 2" xfId="26062" xr:uid="{00000000-0005-0000-0000-000078330000}"/>
    <cellStyle name="Normal 3 12 13 6" xfId="8440" xr:uid="{00000000-0005-0000-0000-000079330000}"/>
    <cellStyle name="Normal 3 12 13 6 2" xfId="26063" xr:uid="{00000000-0005-0000-0000-00007A330000}"/>
    <cellStyle name="Normal 3 12 13 7" xfId="8441" xr:uid="{00000000-0005-0000-0000-00007B330000}"/>
    <cellStyle name="Normal 3 12 13 7 2" xfId="26064" xr:uid="{00000000-0005-0000-0000-00007C330000}"/>
    <cellStyle name="Normal 3 12 13 8" xfId="8442" xr:uid="{00000000-0005-0000-0000-00007D330000}"/>
    <cellStyle name="Normal 3 12 13 8 2" xfId="26065" xr:uid="{00000000-0005-0000-0000-00007E330000}"/>
    <cellStyle name="Normal 3 12 13 9" xfId="8443" xr:uid="{00000000-0005-0000-0000-00007F330000}"/>
    <cellStyle name="Normal 3 12 13 9 2" xfId="26066" xr:uid="{00000000-0005-0000-0000-000080330000}"/>
    <cellStyle name="Normal 3 12 14" xfId="8444" xr:uid="{00000000-0005-0000-0000-000081330000}"/>
    <cellStyle name="Normal 3 12 14 10" xfId="8445" xr:uid="{00000000-0005-0000-0000-000082330000}"/>
    <cellStyle name="Normal 3 12 14 10 2" xfId="26068" xr:uid="{00000000-0005-0000-0000-000083330000}"/>
    <cellStyle name="Normal 3 12 14 11" xfId="8446" xr:uid="{00000000-0005-0000-0000-000084330000}"/>
    <cellStyle name="Normal 3 12 14 11 2" xfId="26069" xr:uid="{00000000-0005-0000-0000-000085330000}"/>
    <cellStyle name="Normal 3 12 14 12" xfId="8447" xr:uid="{00000000-0005-0000-0000-000086330000}"/>
    <cellStyle name="Normal 3 12 14 12 2" xfId="26070" xr:uid="{00000000-0005-0000-0000-000087330000}"/>
    <cellStyle name="Normal 3 12 14 13" xfId="8448" xr:uid="{00000000-0005-0000-0000-000088330000}"/>
    <cellStyle name="Normal 3 12 14 13 2" xfId="26071" xr:uid="{00000000-0005-0000-0000-000089330000}"/>
    <cellStyle name="Normal 3 12 14 14" xfId="8449" xr:uid="{00000000-0005-0000-0000-00008A330000}"/>
    <cellStyle name="Normal 3 12 14 14 2" xfId="26072" xr:uid="{00000000-0005-0000-0000-00008B330000}"/>
    <cellStyle name="Normal 3 12 14 15" xfId="26067" xr:uid="{00000000-0005-0000-0000-00008C330000}"/>
    <cellStyle name="Normal 3 12 14 2" xfId="8450" xr:uid="{00000000-0005-0000-0000-00008D330000}"/>
    <cellStyle name="Normal 3 12 14 2 2" xfId="26073" xr:uid="{00000000-0005-0000-0000-00008E330000}"/>
    <cellStyle name="Normal 3 12 14 3" xfId="8451" xr:uid="{00000000-0005-0000-0000-00008F330000}"/>
    <cellStyle name="Normal 3 12 14 3 2" xfId="26074" xr:uid="{00000000-0005-0000-0000-000090330000}"/>
    <cellStyle name="Normal 3 12 14 4" xfId="8452" xr:uid="{00000000-0005-0000-0000-000091330000}"/>
    <cellStyle name="Normal 3 12 14 4 2" xfId="26075" xr:uid="{00000000-0005-0000-0000-000092330000}"/>
    <cellStyle name="Normal 3 12 14 5" xfId="8453" xr:uid="{00000000-0005-0000-0000-000093330000}"/>
    <cellStyle name="Normal 3 12 14 5 2" xfId="26076" xr:uid="{00000000-0005-0000-0000-000094330000}"/>
    <cellStyle name="Normal 3 12 14 6" xfId="8454" xr:uid="{00000000-0005-0000-0000-000095330000}"/>
    <cellStyle name="Normal 3 12 14 6 2" xfId="26077" xr:uid="{00000000-0005-0000-0000-000096330000}"/>
    <cellStyle name="Normal 3 12 14 7" xfId="8455" xr:uid="{00000000-0005-0000-0000-000097330000}"/>
    <cellStyle name="Normal 3 12 14 7 2" xfId="26078" xr:uid="{00000000-0005-0000-0000-000098330000}"/>
    <cellStyle name="Normal 3 12 14 8" xfId="8456" xr:uid="{00000000-0005-0000-0000-000099330000}"/>
    <cellStyle name="Normal 3 12 14 8 2" xfId="26079" xr:uid="{00000000-0005-0000-0000-00009A330000}"/>
    <cellStyle name="Normal 3 12 14 9" xfId="8457" xr:uid="{00000000-0005-0000-0000-00009B330000}"/>
    <cellStyle name="Normal 3 12 14 9 2" xfId="26080" xr:uid="{00000000-0005-0000-0000-00009C330000}"/>
    <cellStyle name="Normal 3 12 15" xfId="8458" xr:uid="{00000000-0005-0000-0000-00009D330000}"/>
    <cellStyle name="Normal 3 12 16" xfId="8459" xr:uid="{00000000-0005-0000-0000-00009E330000}"/>
    <cellStyle name="Normal 3 12 17" xfId="8460" xr:uid="{00000000-0005-0000-0000-00009F330000}"/>
    <cellStyle name="Normal 3 12 17 10" xfId="8461" xr:uid="{00000000-0005-0000-0000-0000A0330000}"/>
    <cellStyle name="Normal 3 12 17 10 2" xfId="26082" xr:uid="{00000000-0005-0000-0000-0000A1330000}"/>
    <cellStyle name="Normal 3 12 17 11" xfId="8462" xr:uid="{00000000-0005-0000-0000-0000A2330000}"/>
    <cellStyle name="Normal 3 12 17 11 2" xfId="26083" xr:uid="{00000000-0005-0000-0000-0000A3330000}"/>
    <cellStyle name="Normal 3 12 17 12" xfId="8463" xr:uid="{00000000-0005-0000-0000-0000A4330000}"/>
    <cellStyle name="Normal 3 12 17 12 2" xfId="26084" xr:uid="{00000000-0005-0000-0000-0000A5330000}"/>
    <cellStyle name="Normal 3 12 17 13" xfId="8464" xr:uid="{00000000-0005-0000-0000-0000A6330000}"/>
    <cellStyle name="Normal 3 12 17 13 2" xfId="26085" xr:uid="{00000000-0005-0000-0000-0000A7330000}"/>
    <cellStyle name="Normal 3 12 17 14" xfId="8465" xr:uid="{00000000-0005-0000-0000-0000A8330000}"/>
    <cellStyle name="Normal 3 12 17 14 2" xfId="26086" xr:uid="{00000000-0005-0000-0000-0000A9330000}"/>
    <cellStyle name="Normal 3 12 17 15" xfId="26081" xr:uid="{00000000-0005-0000-0000-0000AA330000}"/>
    <cellStyle name="Normal 3 12 17 2" xfId="8466" xr:uid="{00000000-0005-0000-0000-0000AB330000}"/>
    <cellStyle name="Normal 3 12 17 2 2" xfId="26087" xr:uid="{00000000-0005-0000-0000-0000AC330000}"/>
    <cellStyle name="Normal 3 12 17 3" xfId="8467" xr:uid="{00000000-0005-0000-0000-0000AD330000}"/>
    <cellStyle name="Normal 3 12 17 3 2" xfId="26088" xr:uid="{00000000-0005-0000-0000-0000AE330000}"/>
    <cellStyle name="Normal 3 12 17 4" xfId="8468" xr:uid="{00000000-0005-0000-0000-0000AF330000}"/>
    <cellStyle name="Normal 3 12 17 4 2" xfId="26089" xr:uid="{00000000-0005-0000-0000-0000B0330000}"/>
    <cellStyle name="Normal 3 12 17 5" xfId="8469" xr:uid="{00000000-0005-0000-0000-0000B1330000}"/>
    <cellStyle name="Normal 3 12 17 5 2" xfId="26090" xr:uid="{00000000-0005-0000-0000-0000B2330000}"/>
    <cellStyle name="Normal 3 12 17 6" xfId="8470" xr:uid="{00000000-0005-0000-0000-0000B3330000}"/>
    <cellStyle name="Normal 3 12 17 6 2" xfId="26091" xr:uid="{00000000-0005-0000-0000-0000B4330000}"/>
    <cellStyle name="Normal 3 12 17 7" xfId="8471" xr:uid="{00000000-0005-0000-0000-0000B5330000}"/>
    <cellStyle name="Normal 3 12 17 7 2" xfId="26092" xr:uid="{00000000-0005-0000-0000-0000B6330000}"/>
    <cellStyle name="Normal 3 12 17 8" xfId="8472" xr:uid="{00000000-0005-0000-0000-0000B7330000}"/>
    <cellStyle name="Normal 3 12 17 8 2" xfId="26093" xr:uid="{00000000-0005-0000-0000-0000B8330000}"/>
    <cellStyle name="Normal 3 12 17 9" xfId="8473" xr:uid="{00000000-0005-0000-0000-0000B9330000}"/>
    <cellStyle name="Normal 3 12 17 9 2" xfId="26094" xr:uid="{00000000-0005-0000-0000-0000BA330000}"/>
    <cellStyle name="Normal 3 12 18" xfId="8474" xr:uid="{00000000-0005-0000-0000-0000BB330000}"/>
    <cellStyle name="Normal 3 12 18 10" xfId="8475" xr:uid="{00000000-0005-0000-0000-0000BC330000}"/>
    <cellStyle name="Normal 3 12 18 10 2" xfId="26096" xr:uid="{00000000-0005-0000-0000-0000BD330000}"/>
    <cellStyle name="Normal 3 12 18 11" xfId="8476" xr:uid="{00000000-0005-0000-0000-0000BE330000}"/>
    <cellStyle name="Normal 3 12 18 11 2" xfId="26097" xr:uid="{00000000-0005-0000-0000-0000BF330000}"/>
    <cellStyle name="Normal 3 12 18 12" xfId="8477" xr:uid="{00000000-0005-0000-0000-0000C0330000}"/>
    <cellStyle name="Normal 3 12 18 12 2" xfId="26098" xr:uid="{00000000-0005-0000-0000-0000C1330000}"/>
    <cellStyle name="Normal 3 12 18 13" xfId="8478" xr:uid="{00000000-0005-0000-0000-0000C2330000}"/>
    <cellStyle name="Normal 3 12 18 13 2" xfId="26099" xr:uid="{00000000-0005-0000-0000-0000C3330000}"/>
    <cellStyle name="Normal 3 12 18 14" xfId="8479" xr:uid="{00000000-0005-0000-0000-0000C4330000}"/>
    <cellStyle name="Normal 3 12 18 14 2" xfId="26100" xr:uid="{00000000-0005-0000-0000-0000C5330000}"/>
    <cellStyle name="Normal 3 12 18 15" xfId="26095" xr:uid="{00000000-0005-0000-0000-0000C6330000}"/>
    <cellStyle name="Normal 3 12 18 2" xfId="8480" xr:uid="{00000000-0005-0000-0000-0000C7330000}"/>
    <cellStyle name="Normal 3 12 18 2 2" xfId="26101" xr:uid="{00000000-0005-0000-0000-0000C8330000}"/>
    <cellStyle name="Normal 3 12 18 3" xfId="8481" xr:uid="{00000000-0005-0000-0000-0000C9330000}"/>
    <cellStyle name="Normal 3 12 18 3 2" xfId="26102" xr:uid="{00000000-0005-0000-0000-0000CA330000}"/>
    <cellStyle name="Normal 3 12 18 4" xfId="8482" xr:uid="{00000000-0005-0000-0000-0000CB330000}"/>
    <cellStyle name="Normal 3 12 18 4 2" xfId="26103" xr:uid="{00000000-0005-0000-0000-0000CC330000}"/>
    <cellStyle name="Normal 3 12 18 5" xfId="8483" xr:uid="{00000000-0005-0000-0000-0000CD330000}"/>
    <cellStyle name="Normal 3 12 18 5 2" xfId="26104" xr:uid="{00000000-0005-0000-0000-0000CE330000}"/>
    <cellStyle name="Normal 3 12 18 6" xfId="8484" xr:uid="{00000000-0005-0000-0000-0000CF330000}"/>
    <cellStyle name="Normal 3 12 18 6 2" xfId="26105" xr:uid="{00000000-0005-0000-0000-0000D0330000}"/>
    <cellStyle name="Normal 3 12 18 7" xfId="8485" xr:uid="{00000000-0005-0000-0000-0000D1330000}"/>
    <cellStyle name="Normal 3 12 18 7 2" xfId="26106" xr:uid="{00000000-0005-0000-0000-0000D2330000}"/>
    <cellStyle name="Normal 3 12 18 8" xfId="8486" xr:uid="{00000000-0005-0000-0000-0000D3330000}"/>
    <cellStyle name="Normal 3 12 18 8 2" xfId="26107" xr:uid="{00000000-0005-0000-0000-0000D4330000}"/>
    <cellStyle name="Normal 3 12 18 9" xfId="8487" xr:uid="{00000000-0005-0000-0000-0000D5330000}"/>
    <cellStyle name="Normal 3 12 18 9 2" xfId="26108" xr:uid="{00000000-0005-0000-0000-0000D6330000}"/>
    <cellStyle name="Normal 3 12 2" xfId="8488" xr:uid="{00000000-0005-0000-0000-0000D7330000}"/>
    <cellStyle name="Normal 3 12 2 10" xfId="8489" xr:uid="{00000000-0005-0000-0000-0000D8330000}"/>
    <cellStyle name="Normal 3 12 2 10 2" xfId="26110" xr:uid="{00000000-0005-0000-0000-0000D9330000}"/>
    <cellStyle name="Normal 3 12 2 11" xfId="8490" xr:uid="{00000000-0005-0000-0000-0000DA330000}"/>
    <cellStyle name="Normal 3 12 2 11 2" xfId="26111" xr:uid="{00000000-0005-0000-0000-0000DB330000}"/>
    <cellStyle name="Normal 3 12 2 12" xfId="8491" xr:uid="{00000000-0005-0000-0000-0000DC330000}"/>
    <cellStyle name="Normal 3 12 2 12 2" xfId="26112" xr:uid="{00000000-0005-0000-0000-0000DD330000}"/>
    <cellStyle name="Normal 3 12 2 13" xfId="8492" xr:uid="{00000000-0005-0000-0000-0000DE330000}"/>
    <cellStyle name="Normal 3 12 2 13 2" xfId="26113" xr:uid="{00000000-0005-0000-0000-0000DF330000}"/>
    <cellStyle name="Normal 3 12 2 14" xfId="8493" xr:uid="{00000000-0005-0000-0000-0000E0330000}"/>
    <cellStyle name="Normal 3 12 2 14 2" xfId="26114" xr:uid="{00000000-0005-0000-0000-0000E1330000}"/>
    <cellStyle name="Normal 3 12 2 15" xfId="8494" xr:uid="{00000000-0005-0000-0000-0000E2330000}"/>
    <cellStyle name="Normal 3 12 2 15 2" xfId="26115" xr:uid="{00000000-0005-0000-0000-0000E3330000}"/>
    <cellStyle name="Normal 3 12 2 16" xfId="8495" xr:uid="{00000000-0005-0000-0000-0000E4330000}"/>
    <cellStyle name="Normal 3 12 2 16 2" xfId="26116" xr:uid="{00000000-0005-0000-0000-0000E5330000}"/>
    <cellStyle name="Normal 3 12 2 17" xfId="8496" xr:uid="{00000000-0005-0000-0000-0000E6330000}"/>
    <cellStyle name="Normal 3 12 2 17 2" xfId="26117" xr:uid="{00000000-0005-0000-0000-0000E7330000}"/>
    <cellStyle name="Normal 3 12 2 18" xfId="26109" xr:uid="{00000000-0005-0000-0000-0000E8330000}"/>
    <cellStyle name="Normal 3 12 2 2" xfId="8497" xr:uid="{00000000-0005-0000-0000-0000E9330000}"/>
    <cellStyle name="Normal 3 12 2 3" xfId="8498" xr:uid="{00000000-0005-0000-0000-0000EA330000}"/>
    <cellStyle name="Normal 3 12 2 4" xfId="8499" xr:uid="{00000000-0005-0000-0000-0000EB330000}"/>
    <cellStyle name="Normal 3 12 2 5" xfId="8500" xr:uid="{00000000-0005-0000-0000-0000EC330000}"/>
    <cellStyle name="Normal 3 12 2 5 2" xfId="26118" xr:uid="{00000000-0005-0000-0000-0000ED330000}"/>
    <cellStyle name="Normal 3 12 2 6" xfId="8501" xr:uid="{00000000-0005-0000-0000-0000EE330000}"/>
    <cellStyle name="Normal 3 12 2 6 2" xfId="26119" xr:uid="{00000000-0005-0000-0000-0000EF330000}"/>
    <cellStyle name="Normal 3 12 2 7" xfId="8502" xr:uid="{00000000-0005-0000-0000-0000F0330000}"/>
    <cellStyle name="Normal 3 12 2 7 2" xfId="26120" xr:uid="{00000000-0005-0000-0000-0000F1330000}"/>
    <cellStyle name="Normal 3 12 2 8" xfId="8503" xr:uid="{00000000-0005-0000-0000-0000F2330000}"/>
    <cellStyle name="Normal 3 12 2 8 2" xfId="26121" xr:uid="{00000000-0005-0000-0000-0000F3330000}"/>
    <cellStyle name="Normal 3 12 2 9" xfId="8504" xr:uid="{00000000-0005-0000-0000-0000F4330000}"/>
    <cellStyle name="Normal 3 12 2 9 2" xfId="26122" xr:uid="{00000000-0005-0000-0000-0000F5330000}"/>
    <cellStyle name="Normal 3 12 3" xfId="8505" xr:uid="{00000000-0005-0000-0000-0000F6330000}"/>
    <cellStyle name="Normal 3 12 4" xfId="8506" xr:uid="{00000000-0005-0000-0000-0000F7330000}"/>
    <cellStyle name="Normal 3 12 5" xfId="8507" xr:uid="{00000000-0005-0000-0000-0000F8330000}"/>
    <cellStyle name="Normal 3 12 6" xfId="8508" xr:uid="{00000000-0005-0000-0000-0000F9330000}"/>
    <cellStyle name="Normal 3 12 6 10" xfId="8509" xr:uid="{00000000-0005-0000-0000-0000FA330000}"/>
    <cellStyle name="Normal 3 12 6 10 2" xfId="26124" xr:uid="{00000000-0005-0000-0000-0000FB330000}"/>
    <cellStyle name="Normal 3 12 6 11" xfId="8510" xr:uid="{00000000-0005-0000-0000-0000FC330000}"/>
    <cellStyle name="Normal 3 12 6 11 2" xfId="26125" xr:uid="{00000000-0005-0000-0000-0000FD330000}"/>
    <cellStyle name="Normal 3 12 6 12" xfId="8511" xr:uid="{00000000-0005-0000-0000-0000FE330000}"/>
    <cellStyle name="Normal 3 12 6 12 2" xfId="26126" xr:uid="{00000000-0005-0000-0000-0000FF330000}"/>
    <cellStyle name="Normal 3 12 6 13" xfId="8512" xr:uid="{00000000-0005-0000-0000-000000340000}"/>
    <cellStyle name="Normal 3 12 6 13 2" xfId="26127" xr:uid="{00000000-0005-0000-0000-000001340000}"/>
    <cellStyle name="Normal 3 12 6 14" xfId="8513" xr:uid="{00000000-0005-0000-0000-000002340000}"/>
    <cellStyle name="Normal 3 12 6 14 2" xfId="26128" xr:uid="{00000000-0005-0000-0000-000003340000}"/>
    <cellStyle name="Normal 3 12 6 15" xfId="8514" xr:uid="{00000000-0005-0000-0000-000004340000}"/>
    <cellStyle name="Normal 3 12 6 15 2" xfId="26129" xr:uid="{00000000-0005-0000-0000-000005340000}"/>
    <cellStyle name="Normal 3 12 6 16" xfId="26123" xr:uid="{00000000-0005-0000-0000-000006340000}"/>
    <cellStyle name="Normal 3 12 6 2" xfId="8515" xr:uid="{00000000-0005-0000-0000-000007340000}"/>
    <cellStyle name="Normal 3 12 6 2 10" xfId="8516" xr:uid="{00000000-0005-0000-0000-000008340000}"/>
    <cellStyle name="Normal 3 12 6 2 10 2" xfId="26131" xr:uid="{00000000-0005-0000-0000-000009340000}"/>
    <cellStyle name="Normal 3 12 6 2 11" xfId="8517" xr:uid="{00000000-0005-0000-0000-00000A340000}"/>
    <cellStyle name="Normal 3 12 6 2 11 2" xfId="26132" xr:uid="{00000000-0005-0000-0000-00000B340000}"/>
    <cellStyle name="Normal 3 12 6 2 12" xfId="8518" xr:uid="{00000000-0005-0000-0000-00000C340000}"/>
    <cellStyle name="Normal 3 12 6 2 12 2" xfId="26133" xr:uid="{00000000-0005-0000-0000-00000D340000}"/>
    <cellStyle name="Normal 3 12 6 2 13" xfId="8519" xr:uid="{00000000-0005-0000-0000-00000E340000}"/>
    <cellStyle name="Normal 3 12 6 2 13 2" xfId="26134" xr:uid="{00000000-0005-0000-0000-00000F340000}"/>
    <cellStyle name="Normal 3 12 6 2 14" xfId="8520" xr:uid="{00000000-0005-0000-0000-000010340000}"/>
    <cellStyle name="Normal 3 12 6 2 14 2" xfId="26135" xr:uid="{00000000-0005-0000-0000-000011340000}"/>
    <cellStyle name="Normal 3 12 6 2 15" xfId="26130" xr:uid="{00000000-0005-0000-0000-000012340000}"/>
    <cellStyle name="Normal 3 12 6 2 2" xfId="8521" xr:uid="{00000000-0005-0000-0000-000013340000}"/>
    <cellStyle name="Normal 3 12 6 2 2 2" xfId="26136" xr:uid="{00000000-0005-0000-0000-000014340000}"/>
    <cellStyle name="Normal 3 12 6 2 3" xfId="8522" xr:uid="{00000000-0005-0000-0000-000015340000}"/>
    <cellStyle name="Normal 3 12 6 2 3 2" xfId="26137" xr:uid="{00000000-0005-0000-0000-000016340000}"/>
    <cellStyle name="Normal 3 12 6 2 4" xfId="8523" xr:uid="{00000000-0005-0000-0000-000017340000}"/>
    <cellStyle name="Normal 3 12 6 2 4 2" xfId="26138" xr:uid="{00000000-0005-0000-0000-000018340000}"/>
    <cellStyle name="Normal 3 12 6 2 5" xfId="8524" xr:uid="{00000000-0005-0000-0000-000019340000}"/>
    <cellStyle name="Normal 3 12 6 2 5 2" xfId="26139" xr:uid="{00000000-0005-0000-0000-00001A340000}"/>
    <cellStyle name="Normal 3 12 6 2 6" xfId="8525" xr:uid="{00000000-0005-0000-0000-00001B340000}"/>
    <cellStyle name="Normal 3 12 6 2 6 2" xfId="26140" xr:uid="{00000000-0005-0000-0000-00001C340000}"/>
    <cellStyle name="Normal 3 12 6 2 7" xfId="8526" xr:uid="{00000000-0005-0000-0000-00001D340000}"/>
    <cellStyle name="Normal 3 12 6 2 7 2" xfId="26141" xr:uid="{00000000-0005-0000-0000-00001E340000}"/>
    <cellStyle name="Normal 3 12 6 2 8" xfId="8527" xr:uid="{00000000-0005-0000-0000-00001F340000}"/>
    <cellStyle name="Normal 3 12 6 2 8 2" xfId="26142" xr:uid="{00000000-0005-0000-0000-000020340000}"/>
    <cellStyle name="Normal 3 12 6 2 9" xfId="8528" xr:uid="{00000000-0005-0000-0000-000021340000}"/>
    <cellStyle name="Normal 3 12 6 2 9 2" xfId="26143" xr:uid="{00000000-0005-0000-0000-000022340000}"/>
    <cellStyle name="Normal 3 12 6 3" xfId="8529" xr:uid="{00000000-0005-0000-0000-000023340000}"/>
    <cellStyle name="Normal 3 12 6 3 2" xfId="26144" xr:uid="{00000000-0005-0000-0000-000024340000}"/>
    <cellStyle name="Normal 3 12 6 4" xfId="8530" xr:uid="{00000000-0005-0000-0000-000025340000}"/>
    <cellStyle name="Normal 3 12 6 4 2" xfId="26145" xr:uid="{00000000-0005-0000-0000-000026340000}"/>
    <cellStyle name="Normal 3 12 6 5" xfId="8531" xr:uid="{00000000-0005-0000-0000-000027340000}"/>
    <cellStyle name="Normal 3 12 6 5 2" xfId="26146" xr:uid="{00000000-0005-0000-0000-000028340000}"/>
    <cellStyle name="Normal 3 12 6 6" xfId="8532" xr:uid="{00000000-0005-0000-0000-000029340000}"/>
    <cellStyle name="Normal 3 12 6 6 2" xfId="26147" xr:uid="{00000000-0005-0000-0000-00002A340000}"/>
    <cellStyle name="Normal 3 12 6 7" xfId="8533" xr:uid="{00000000-0005-0000-0000-00002B340000}"/>
    <cellStyle name="Normal 3 12 6 7 2" xfId="26148" xr:uid="{00000000-0005-0000-0000-00002C340000}"/>
    <cellStyle name="Normal 3 12 6 8" xfId="8534" xr:uid="{00000000-0005-0000-0000-00002D340000}"/>
    <cellStyle name="Normal 3 12 6 8 2" xfId="26149" xr:uid="{00000000-0005-0000-0000-00002E340000}"/>
    <cellStyle name="Normal 3 12 6 9" xfId="8535" xr:uid="{00000000-0005-0000-0000-00002F340000}"/>
    <cellStyle name="Normal 3 12 6 9 2" xfId="26150" xr:uid="{00000000-0005-0000-0000-000030340000}"/>
    <cellStyle name="Normal 3 12 7" xfId="8536" xr:uid="{00000000-0005-0000-0000-000031340000}"/>
    <cellStyle name="Normal 3 12 7 10" xfId="8537" xr:uid="{00000000-0005-0000-0000-000032340000}"/>
    <cellStyle name="Normal 3 12 7 10 2" xfId="26152" xr:uid="{00000000-0005-0000-0000-000033340000}"/>
    <cellStyle name="Normal 3 12 7 11" xfId="8538" xr:uid="{00000000-0005-0000-0000-000034340000}"/>
    <cellStyle name="Normal 3 12 7 11 2" xfId="26153" xr:uid="{00000000-0005-0000-0000-000035340000}"/>
    <cellStyle name="Normal 3 12 7 12" xfId="8539" xr:uid="{00000000-0005-0000-0000-000036340000}"/>
    <cellStyle name="Normal 3 12 7 12 2" xfId="26154" xr:uid="{00000000-0005-0000-0000-000037340000}"/>
    <cellStyle name="Normal 3 12 7 13" xfId="8540" xr:uid="{00000000-0005-0000-0000-000038340000}"/>
    <cellStyle name="Normal 3 12 7 13 2" xfId="26155" xr:uid="{00000000-0005-0000-0000-000039340000}"/>
    <cellStyle name="Normal 3 12 7 14" xfId="8541" xr:uid="{00000000-0005-0000-0000-00003A340000}"/>
    <cellStyle name="Normal 3 12 7 14 2" xfId="26156" xr:uid="{00000000-0005-0000-0000-00003B340000}"/>
    <cellStyle name="Normal 3 12 7 15" xfId="8542" xr:uid="{00000000-0005-0000-0000-00003C340000}"/>
    <cellStyle name="Normal 3 12 7 15 2" xfId="26157" xr:uid="{00000000-0005-0000-0000-00003D340000}"/>
    <cellStyle name="Normal 3 12 7 16" xfId="26151" xr:uid="{00000000-0005-0000-0000-00003E340000}"/>
    <cellStyle name="Normal 3 12 7 2" xfId="8543" xr:uid="{00000000-0005-0000-0000-00003F340000}"/>
    <cellStyle name="Normal 3 12 7 2 10" xfId="8544" xr:uid="{00000000-0005-0000-0000-000040340000}"/>
    <cellStyle name="Normal 3 12 7 2 10 2" xfId="26159" xr:uid="{00000000-0005-0000-0000-000041340000}"/>
    <cellStyle name="Normal 3 12 7 2 11" xfId="8545" xr:uid="{00000000-0005-0000-0000-000042340000}"/>
    <cellStyle name="Normal 3 12 7 2 11 2" xfId="26160" xr:uid="{00000000-0005-0000-0000-000043340000}"/>
    <cellStyle name="Normal 3 12 7 2 12" xfId="8546" xr:uid="{00000000-0005-0000-0000-000044340000}"/>
    <cellStyle name="Normal 3 12 7 2 12 2" xfId="26161" xr:uid="{00000000-0005-0000-0000-000045340000}"/>
    <cellStyle name="Normal 3 12 7 2 13" xfId="8547" xr:uid="{00000000-0005-0000-0000-000046340000}"/>
    <cellStyle name="Normal 3 12 7 2 13 2" xfId="26162" xr:uid="{00000000-0005-0000-0000-000047340000}"/>
    <cellStyle name="Normal 3 12 7 2 14" xfId="8548" xr:uid="{00000000-0005-0000-0000-000048340000}"/>
    <cellStyle name="Normal 3 12 7 2 14 2" xfId="26163" xr:uid="{00000000-0005-0000-0000-000049340000}"/>
    <cellStyle name="Normal 3 12 7 2 15" xfId="26158" xr:uid="{00000000-0005-0000-0000-00004A340000}"/>
    <cellStyle name="Normal 3 12 7 2 2" xfId="8549" xr:uid="{00000000-0005-0000-0000-00004B340000}"/>
    <cellStyle name="Normal 3 12 7 2 2 2" xfId="26164" xr:uid="{00000000-0005-0000-0000-00004C340000}"/>
    <cellStyle name="Normal 3 12 7 2 3" xfId="8550" xr:uid="{00000000-0005-0000-0000-00004D340000}"/>
    <cellStyle name="Normal 3 12 7 2 3 2" xfId="26165" xr:uid="{00000000-0005-0000-0000-00004E340000}"/>
    <cellStyle name="Normal 3 12 7 2 4" xfId="8551" xr:uid="{00000000-0005-0000-0000-00004F340000}"/>
    <cellStyle name="Normal 3 12 7 2 4 2" xfId="26166" xr:uid="{00000000-0005-0000-0000-000050340000}"/>
    <cellStyle name="Normal 3 12 7 2 5" xfId="8552" xr:uid="{00000000-0005-0000-0000-000051340000}"/>
    <cellStyle name="Normal 3 12 7 2 5 2" xfId="26167" xr:uid="{00000000-0005-0000-0000-000052340000}"/>
    <cellStyle name="Normal 3 12 7 2 6" xfId="8553" xr:uid="{00000000-0005-0000-0000-000053340000}"/>
    <cellStyle name="Normal 3 12 7 2 6 2" xfId="26168" xr:uid="{00000000-0005-0000-0000-000054340000}"/>
    <cellStyle name="Normal 3 12 7 2 7" xfId="8554" xr:uid="{00000000-0005-0000-0000-000055340000}"/>
    <cellStyle name="Normal 3 12 7 2 7 2" xfId="26169" xr:uid="{00000000-0005-0000-0000-000056340000}"/>
    <cellStyle name="Normal 3 12 7 2 8" xfId="8555" xr:uid="{00000000-0005-0000-0000-000057340000}"/>
    <cellStyle name="Normal 3 12 7 2 8 2" xfId="26170" xr:uid="{00000000-0005-0000-0000-000058340000}"/>
    <cellStyle name="Normal 3 12 7 2 9" xfId="8556" xr:uid="{00000000-0005-0000-0000-000059340000}"/>
    <cellStyle name="Normal 3 12 7 2 9 2" xfId="26171" xr:uid="{00000000-0005-0000-0000-00005A340000}"/>
    <cellStyle name="Normal 3 12 7 3" xfId="8557" xr:uid="{00000000-0005-0000-0000-00005B340000}"/>
    <cellStyle name="Normal 3 12 7 3 2" xfId="26172" xr:uid="{00000000-0005-0000-0000-00005C340000}"/>
    <cellStyle name="Normal 3 12 7 4" xfId="8558" xr:uid="{00000000-0005-0000-0000-00005D340000}"/>
    <cellStyle name="Normal 3 12 7 4 2" xfId="26173" xr:uid="{00000000-0005-0000-0000-00005E340000}"/>
    <cellStyle name="Normal 3 12 7 5" xfId="8559" xr:uid="{00000000-0005-0000-0000-00005F340000}"/>
    <cellStyle name="Normal 3 12 7 5 2" xfId="26174" xr:uid="{00000000-0005-0000-0000-000060340000}"/>
    <cellStyle name="Normal 3 12 7 6" xfId="8560" xr:uid="{00000000-0005-0000-0000-000061340000}"/>
    <cellStyle name="Normal 3 12 7 6 2" xfId="26175" xr:uid="{00000000-0005-0000-0000-000062340000}"/>
    <cellStyle name="Normal 3 12 7 7" xfId="8561" xr:uid="{00000000-0005-0000-0000-000063340000}"/>
    <cellStyle name="Normal 3 12 7 7 2" xfId="26176" xr:uid="{00000000-0005-0000-0000-000064340000}"/>
    <cellStyle name="Normal 3 12 7 8" xfId="8562" xr:uid="{00000000-0005-0000-0000-000065340000}"/>
    <cellStyle name="Normal 3 12 7 8 2" xfId="26177" xr:uid="{00000000-0005-0000-0000-000066340000}"/>
    <cellStyle name="Normal 3 12 7 9" xfId="8563" xr:uid="{00000000-0005-0000-0000-000067340000}"/>
    <cellStyle name="Normal 3 12 7 9 2" xfId="26178" xr:uid="{00000000-0005-0000-0000-000068340000}"/>
    <cellStyle name="Normal 3 12 8" xfId="8564" xr:uid="{00000000-0005-0000-0000-000069340000}"/>
    <cellStyle name="Normal 3 12 8 10" xfId="8565" xr:uid="{00000000-0005-0000-0000-00006A340000}"/>
    <cellStyle name="Normal 3 12 8 10 2" xfId="26180" xr:uid="{00000000-0005-0000-0000-00006B340000}"/>
    <cellStyle name="Normal 3 12 8 11" xfId="8566" xr:uid="{00000000-0005-0000-0000-00006C340000}"/>
    <cellStyle name="Normal 3 12 8 11 2" xfId="26181" xr:uid="{00000000-0005-0000-0000-00006D340000}"/>
    <cellStyle name="Normal 3 12 8 12" xfId="8567" xr:uid="{00000000-0005-0000-0000-00006E340000}"/>
    <cellStyle name="Normal 3 12 8 12 2" xfId="26182" xr:uid="{00000000-0005-0000-0000-00006F340000}"/>
    <cellStyle name="Normal 3 12 8 13" xfId="8568" xr:uid="{00000000-0005-0000-0000-000070340000}"/>
    <cellStyle name="Normal 3 12 8 13 2" xfId="26183" xr:uid="{00000000-0005-0000-0000-000071340000}"/>
    <cellStyle name="Normal 3 12 8 14" xfId="8569" xr:uid="{00000000-0005-0000-0000-000072340000}"/>
    <cellStyle name="Normal 3 12 8 14 2" xfId="26184" xr:uid="{00000000-0005-0000-0000-000073340000}"/>
    <cellStyle name="Normal 3 12 8 15" xfId="8570" xr:uid="{00000000-0005-0000-0000-000074340000}"/>
    <cellStyle name="Normal 3 12 8 15 2" xfId="26185" xr:uid="{00000000-0005-0000-0000-000075340000}"/>
    <cellStyle name="Normal 3 12 8 16" xfId="26179" xr:uid="{00000000-0005-0000-0000-000076340000}"/>
    <cellStyle name="Normal 3 12 8 2" xfId="8571" xr:uid="{00000000-0005-0000-0000-000077340000}"/>
    <cellStyle name="Normal 3 12 8 2 10" xfId="8572" xr:uid="{00000000-0005-0000-0000-000078340000}"/>
    <cellStyle name="Normal 3 12 8 2 10 2" xfId="26187" xr:uid="{00000000-0005-0000-0000-000079340000}"/>
    <cellStyle name="Normal 3 12 8 2 11" xfId="8573" xr:uid="{00000000-0005-0000-0000-00007A340000}"/>
    <cellStyle name="Normal 3 12 8 2 11 2" xfId="26188" xr:uid="{00000000-0005-0000-0000-00007B340000}"/>
    <cellStyle name="Normal 3 12 8 2 12" xfId="8574" xr:uid="{00000000-0005-0000-0000-00007C340000}"/>
    <cellStyle name="Normal 3 12 8 2 12 2" xfId="26189" xr:uid="{00000000-0005-0000-0000-00007D340000}"/>
    <cellStyle name="Normal 3 12 8 2 13" xfId="8575" xr:uid="{00000000-0005-0000-0000-00007E340000}"/>
    <cellStyle name="Normal 3 12 8 2 13 2" xfId="26190" xr:uid="{00000000-0005-0000-0000-00007F340000}"/>
    <cellStyle name="Normal 3 12 8 2 14" xfId="8576" xr:uid="{00000000-0005-0000-0000-000080340000}"/>
    <cellStyle name="Normal 3 12 8 2 14 2" xfId="26191" xr:uid="{00000000-0005-0000-0000-000081340000}"/>
    <cellStyle name="Normal 3 12 8 2 15" xfId="26186" xr:uid="{00000000-0005-0000-0000-000082340000}"/>
    <cellStyle name="Normal 3 12 8 2 2" xfId="8577" xr:uid="{00000000-0005-0000-0000-000083340000}"/>
    <cellStyle name="Normal 3 12 8 2 2 2" xfId="26192" xr:uid="{00000000-0005-0000-0000-000084340000}"/>
    <cellStyle name="Normal 3 12 8 2 3" xfId="8578" xr:uid="{00000000-0005-0000-0000-000085340000}"/>
    <cellStyle name="Normal 3 12 8 2 3 2" xfId="26193" xr:uid="{00000000-0005-0000-0000-000086340000}"/>
    <cellStyle name="Normal 3 12 8 2 4" xfId="8579" xr:uid="{00000000-0005-0000-0000-000087340000}"/>
    <cellStyle name="Normal 3 12 8 2 4 2" xfId="26194" xr:uid="{00000000-0005-0000-0000-000088340000}"/>
    <cellStyle name="Normal 3 12 8 2 5" xfId="8580" xr:uid="{00000000-0005-0000-0000-000089340000}"/>
    <cellStyle name="Normal 3 12 8 2 5 2" xfId="26195" xr:uid="{00000000-0005-0000-0000-00008A340000}"/>
    <cellStyle name="Normal 3 12 8 2 6" xfId="8581" xr:uid="{00000000-0005-0000-0000-00008B340000}"/>
    <cellStyle name="Normal 3 12 8 2 6 2" xfId="26196" xr:uid="{00000000-0005-0000-0000-00008C340000}"/>
    <cellStyle name="Normal 3 12 8 2 7" xfId="8582" xr:uid="{00000000-0005-0000-0000-00008D340000}"/>
    <cellStyle name="Normal 3 12 8 2 7 2" xfId="26197" xr:uid="{00000000-0005-0000-0000-00008E340000}"/>
    <cellStyle name="Normal 3 12 8 2 8" xfId="8583" xr:uid="{00000000-0005-0000-0000-00008F340000}"/>
    <cellStyle name="Normal 3 12 8 2 8 2" xfId="26198" xr:uid="{00000000-0005-0000-0000-000090340000}"/>
    <cellStyle name="Normal 3 12 8 2 9" xfId="8584" xr:uid="{00000000-0005-0000-0000-000091340000}"/>
    <cellStyle name="Normal 3 12 8 2 9 2" xfId="26199" xr:uid="{00000000-0005-0000-0000-000092340000}"/>
    <cellStyle name="Normal 3 12 8 3" xfId="8585" xr:uid="{00000000-0005-0000-0000-000093340000}"/>
    <cellStyle name="Normal 3 12 8 3 2" xfId="26200" xr:uid="{00000000-0005-0000-0000-000094340000}"/>
    <cellStyle name="Normal 3 12 8 4" xfId="8586" xr:uid="{00000000-0005-0000-0000-000095340000}"/>
    <cellStyle name="Normal 3 12 8 4 2" xfId="26201" xr:uid="{00000000-0005-0000-0000-000096340000}"/>
    <cellStyle name="Normal 3 12 8 5" xfId="8587" xr:uid="{00000000-0005-0000-0000-000097340000}"/>
    <cellStyle name="Normal 3 12 8 5 2" xfId="26202" xr:uid="{00000000-0005-0000-0000-000098340000}"/>
    <cellStyle name="Normal 3 12 8 6" xfId="8588" xr:uid="{00000000-0005-0000-0000-000099340000}"/>
    <cellStyle name="Normal 3 12 8 6 2" xfId="26203" xr:uid="{00000000-0005-0000-0000-00009A340000}"/>
    <cellStyle name="Normal 3 12 8 7" xfId="8589" xr:uid="{00000000-0005-0000-0000-00009B340000}"/>
    <cellStyle name="Normal 3 12 8 7 2" xfId="26204" xr:uid="{00000000-0005-0000-0000-00009C340000}"/>
    <cellStyle name="Normal 3 12 8 8" xfId="8590" xr:uid="{00000000-0005-0000-0000-00009D340000}"/>
    <cellStyle name="Normal 3 12 8 8 2" xfId="26205" xr:uid="{00000000-0005-0000-0000-00009E340000}"/>
    <cellStyle name="Normal 3 12 8 9" xfId="8591" xr:uid="{00000000-0005-0000-0000-00009F340000}"/>
    <cellStyle name="Normal 3 12 8 9 2" xfId="26206" xr:uid="{00000000-0005-0000-0000-0000A0340000}"/>
    <cellStyle name="Normal 3 12 9" xfId="8592" xr:uid="{00000000-0005-0000-0000-0000A1340000}"/>
    <cellStyle name="Normal 3 12 9 10" xfId="8593" xr:uid="{00000000-0005-0000-0000-0000A2340000}"/>
    <cellStyle name="Normal 3 12 9 10 2" xfId="26208" xr:uid="{00000000-0005-0000-0000-0000A3340000}"/>
    <cellStyle name="Normal 3 12 9 11" xfId="8594" xr:uid="{00000000-0005-0000-0000-0000A4340000}"/>
    <cellStyle name="Normal 3 12 9 11 2" xfId="26209" xr:uid="{00000000-0005-0000-0000-0000A5340000}"/>
    <cellStyle name="Normal 3 12 9 12" xfId="8595" xr:uid="{00000000-0005-0000-0000-0000A6340000}"/>
    <cellStyle name="Normal 3 12 9 12 2" xfId="26210" xr:uid="{00000000-0005-0000-0000-0000A7340000}"/>
    <cellStyle name="Normal 3 12 9 13" xfId="8596" xr:uid="{00000000-0005-0000-0000-0000A8340000}"/>
    <cellStyle name="Normal 3 12 9 13 2" xfId="26211" xr:uid="{00000000-0005-0000-0000-0000A9340000}"/>
    <cellStyle name="Normal 3 12 9 14" xfId="8597" xr:uid="{00000000-0005-0000-0000-0000AA340000}"/>
    <cellStyle name="Normal 3 12 9 14 2" xfId="26212" xr:uid="{00000000-0005-0000-0000-0000AB340000}"/>
    <cellStyle name="Normal 3 12 9 15" xfId="26207" xr:uid="{00000000-0005-0000-0000-0000AC340000}"/>
    <cellStyle name="Normal 3 12 9 2" xfId="8598" xr:uid="{00000000-0005-0000-0000-0000AD340000}"/>
    <cellStyle name="Normal 3 12 9 2 2" xfId="26213" xr:uid="{00000000-0005-0000-0000-0000AE340000}"/>
    <cellStyle name="Normal 3 12 9 3" xfId="8599" xr:uid="{00000000-0005-0000-0000-0000AF340000}"/>
    <cellStyle name="Normal 3 12 9 3 2" xfId="26214" xr:uid="{00000000-0005-0000-0000-0000B0340000}"/>
    <cellStyle name="Normal 3 12 9 4" xfId="8600" xr:uid="{00000000-0005-0000-0000-0000B1340000}"/>
    <cellStyle name="Normal 3 12 9 4 2" xfId="26215" xr:uid="{00000000-0005-0000-0000-0000B2340000}"/>
    <cellStyle name="Normal 3 12 9 5" xfId="8601" xr:uid="{00000000-0005-0000-0000-0000B3340000}"/>
    <cellStyle name="Normal 3 12 9 5 2" xfId="26216" xr:uid="{00000000-0005-0000-0000-0000B4340000}"/>
    <cellStyle name="Normal 3 12 9 6" xfId="8602" xr:uid="{00000000-0005-0000-0000-0000B5340000}"/>
    <cellStyle name="Normal 3 12 9 6 2" xfId="26217" xr:uid="{00000000-0005-0000-0000-0000B6340000}"/>
    <cellStyle name="Normal 3 12 9 7" xfId="8603" xr:uid="{00000000-0005-0000-0000-0000B7340000}"/>
    <cellStyle name="Normal 3 12 9 7 2" xfId="26218" xr:uid="{00000000-0005-0000-0000-0000B8340000}"/>
    <cellStyle name="Normal 3 12 9 8" xfId="8604" xr:uid="{00000000-0005-0000-0000-0000B9340000}"/>
    <cellStyle name="Normal 3 12 9 8 2" xfId="26219" xr:uid="{00000000-0005-0000-0000-0000BA340000}"/>
    <cellStyle name="Normal 3 12 9 9" xfId="8605" xr:uid="{00000000-0005-0000-0000-0000BB340000}"/>
    <cellStyle name="Normal 3 12 9 9 2" xfId="26220" xr:uid="{00000000-0005-0000-0000-0000BC340000}"/>
    <cellStyle name="Normal 3 13" xfId="8606" xr:uid="{00000000-0005-0000-0000-0000BD340000}"/>
    <cellStyle name="Normal 3 13 10" xfId="8607" xr:uid="{00000000-0005-0000-0000-0000BE340000}"/>
    <cellStyle name="Normal 3 13 10 10" xfId="8608" xr:uid="{00000000-0005-0000-0000-0000BF340000}"/>
    <cellStyle name="Normal 3 13 10 10 2" xfId="26222" xr:uid="{00000000-0005-0000-0000-0000C0340000}"/>
    <cellStyle name="Normal 3 13 10 11" xfId="8609" xr:uid="{00000000-0005-0000-0000-0000C1340000}"/>
    <cellStyle name="Normal 3 13 10 11 2" xfId="26223" xr:uid="{00000000-0005-0000-0000-0000C2340000}"/>
    <cellStyle name="Normal 3 13 10 12" xfId="8610" xr:uid="{00000000-0005-0000-0000-0000C3340000}"/>
    <cellStyle name="Normal 3 13 10 12 2" xfId="26224" xr:uid="{00000000-0005-0000-0000-0000C4340000}"/>
    <cellStyle name="Normal 3 13 10 13" xfId="8611" xr:uid="{00000000-0005-0000-0000-0000C5340000}"/>
    <cellStyle name="Normal 3 13 10 13 2" xfId="26225" xr:uid="{00000000-0005-0000-0000-0000C6340000}"/>
    <cellStyle name="Normal 3 13 10 14" xfId="8612" xr:uid="{00000000-0005-0000-0000-0000C7340000}"/>
    <cellStyle name="Normal 3 13 10 14 2" xfId="26226" xr:uid="{00000000-0005-0000-0000-0000C8340000}"/>
    <cellStyle name="Normal 3 13 10 15" xfId="26221" xr:uid="{00000000-0005-0000-0000-0000C9340000}"/>
    <cellStyle name="Normal 3 13 10 2" xfId="8613" xr:uid="{00000000-0005-0000-0000-0000CA340000}"/>
    <cellStyle name="Normal 3 13 10 2 2" xfId="26227" xr:uid="{00000000-0005-0000-0000-0000CB340000}"/>
    <cellStyle name="Normal 3 13 10 3" xfId="8614" xr:uid="{00000000-0005-0000-0000-0000CC340000}"/>
    <cellStyle name="Normal 3 13 10 3 2" xfId="26228" xr:uid="{00000000-0005-0000-0000-0000CD340000}"/>
    <cellStyle name="Normal 3 13 10 4" xfId="8615" xr:uid="{00000000-0005-0000-0000-0000CE340000}"/>
    <cellStyle name="Normal 3 13 10 4 2" xfId="26229" xr:uid="{00000000-0005-0000-0000-0000CF340000}"/>
    <cellStyle name="Normal 3 13 10 5" xfId="8616" xr:uid="{00000000-0005-0000-0000-0000D0340000}"/>
    <cellStyle name="Normal 3 13 10 5 2" xfId="26230" xr:uid="{00000000-0005-0000-0000-0000D1340000}"/>
    <cellStyle name="Normal 3 13 10 6" xfId="8617" xr:uid="{00000000-0005-0000-0000-0000D2340000}"/>
    <cellStyle name="Normal 3 13 10 6 2" xfId="26231" xr:uid="{00000000-0005-0000-0000-0000D3340000}"/>
    <cellStyle name="Normal 3 13 10 7" xfId="8618" xr:uid="{00000000-0005-0000-0000-0000D4340000}"/>
    <cellStyle name="Normal 3 13 10 7 2" xfId="26232" xr:uid="{00000000-0005-0000-0000-0000D5340000}"/>
    <cellStyle name="Normal 3 13 10 8" xfId="8619" xr:uid="{00000000-0005-0000-0000-0000D6340000}"/>
    <cellStyle name="Normal 3 13 10 8 2" xfId="26233" xr:uid="{00000000-0005-0000-0000-0000D7340000}"/>
    <cellStyle name="Normal 3 13 10 9" xfId="8620" xr:uid="{00000000-0005-0000-0000-0000D8340000}"/>
    <cellStyle name="Normal 3 13 10 9 2" xfId="26234" xr:uid="{00000000-0005-0000-0000-0000D9340000}"/>
    <cellStyle name="Normal 3 13 11" xfId="8621" xr:uid="{00000000-0005-0000-0000-0000DA340000}"/>
    <cellStyle name="Normal 3 13 11 10" xfId="8622" xr:uid="{00000000-0005-0000-0000-0000DB340000}"/>
    <cellStyle name="Normal 3 13 11 10 2" xfId="26236" xr:uid="{00000000-0005-0000-0000-0000DC340000}"/>
    <cellStyle name="Normal 3 13 11 11" xfId="8623" xr:uid="{00000000-0005-0000-0000-0000DD340000}"/>
    <cellStyle name="Normal 3 13 11 11 2" xfId="26237" xr:uid="{00000000-0005-0000-0000-0000DE340000}"/>
    <cellStyle name="Normal 3 13 11 12" xfId="8624" xr:uid="{00000000-0005-0000-0000-0000DF340000}"/>
    <cellStyle name="Normal 3 13 11 12 2" xfId="26238" xr:uid="{00000000-0005-0000-0000-0000E0340000}"/>
    <cellStyle name="Normal 3 13 11 13" xfId="8625" xr:uid="{00000000-0005-0000-0000-0000E1340000}"/>
    <cellStyle name="Normal 3 13 11 13 2" xfId="26239" xr:uid="{00000000-0005-0000-0000-0000E2340000}"/>
    <cellStyle name="Normal 3 13 11 14" xfId="8626" xr:uid="{00000000-0005-0000-0000-0000E3340000}"/>
    <cellStyle name="Normal 3 13 11 14 2" xfId="26240" xr:uid="{00000000-0005-0000-0000-0000E4340000}"/>
    <cellStyle name="Normal 3 13 11 15" xfId="26235" xr:uid="{00000000-0005-0000-0000-0000E5340000}"/>
    <cellStyle name="Normal 3 13 11 2" xfId="8627" xr:uid="{00000000-0005-0000-0000-0000E6340000}"/>
    <cellStyle name="Normal 3 13 11 2 2" xfId="26241" xr:uid="{00000000-0005-0000-0000-0000E7340000}"/>
    <cellStyle name="Normal 3 13 11 3" xfId="8628" xr:uid="{00000000-0005-0000-0000-0000E8340000}"/>
    <cellStyle name="Normal 3 13 11 3 2" xfId="26242" xr:uid="{00000000-0005-0000-0000-0000E9340000}"/>
    <cellStyle name="Normal 3 13 11 4" xfId="8629" xr:uid="{00000000-0005-0000-0000-0000EA340000}"/>
    <cellStyle name="Normal 3 13 11 4 2" xfId="26243" xr:uid="{00000000-0005-0000-0000-0000EB340000}"/>
    <cellStyle name="Normal 3 13 11 5" xfId="8630" xr:uid="{00000000-0005-0000-0000-0000EC340000}"/>
    <cellStyle name="Normal 3 13 11 5 2" xfId="26244" xr:uid="{00000000-0005-0000-0000-0000ED340000}"/>
    <cellStyle name="Normal 3 13 11 6" xfId="8631" xr:uid="{00000000-0005-0000-0000-0000EE340000}"/>
    <cellStyle name="Normal 3 13 11 6 2" xfId="26245" xr:uid="{00000000-0005-0000-0000-0000EF340000}"/>
    <cellStyle name="Normal 3 13 11 7" xfId="8632" xr:uid="{00000000-0005-0000-0000-0000F0340000}"/>
    <cellStyle name="Normal 3 13 11 7 2" xfId="26246" xr:uid="{00000000-0005-0000-0000-0000F1340000}"/>
    <cellStyle name="Normal 3 13 11 8" xfId="8633" xr:uid="{00000000-0005-0000-0000-0000F2340000}"/>
    <cellStyle name="Normal 3 13 11 8 2" xfId="26247" xr:uid="{00000000-0005-0000-0000-0000F3340000}"/>
    <cellStyle name="Normal 3 13 11 9" xfId="8634" xr:uid="{00000000-0005-0000-0000-0000F4340000}"/>
    <cellStyle name="Normal 3 13 11 9 2" xfId="26248" xr:uid="{00000000-0005-0000-0000-0000F5340000}"/>
    <cellStyle name="Normal 3 13 12" xfId="8635" xr:uid="{00000000-0005-0000-0000-0000F6340000}"/>
    <cellStyle name="Normal 3 13 12 10" xfId="8636" xr:uid="{00000000-0005-0000-0000-0000F7340000}"/>
    <cellStyle name="Normal 3 13 12 10 2" xfId="26250" xr:uid="{00000000-0005-0000-0000-0000F8340000}"/>
    <cellStyle name="Normal 3 13 12 11" xfId="8637" xr:uid="{00000000-0005-0000-0000-0000F9340000}"/>
    <cellStyle name="Normal 3 13 12 11 2" xfId="26251" xr:uid="{00000000-0005-0000-0000-0000FA340000}"/>
    <cellStyle name="Normal 3 13 12 12" xfId="8638" xr:uid="{00000000-0005-0000-0000-0000FB340000}"/>
    <cellStyle name="Normal 3 13 12 12 2" xfId="26252" xr:uid="{00000000-0005-0000-0000-0000FC340000}"/>
    <cellStyle name="Normal 3 13 12 13" xfId="8639" xr:uid="{00000000-0005-0000-0000-0000FD340000}"/>
    <cellStyle name="Normal 3 13 12 13 2" xfId="26253" xr:uid="{00000000-0005-0000-0000-0000FE340000}"/>
    <cellStyle name="Normal 3 13 12 14" xfId="8640" xr:uid="{00000000-0005-0000-0000-0000FF340000}"/>
    <cellStyle name="Normal 3 13 12 14 2" xfId="26254" xr:uid="{00000000-0005-0000-0000-000000350000}"/>
    <cellStyle name="Normal 3 13 12 15" xfId="26249" xr:uid="{00000000-0005-0000-0000-000001350000}"/>
    <cellStyle name="Normal 3 13 12 2" xfId="8641" xr:uid="{00000000-0005-0000-0000-000002350000}"/>
    <cellStyle name="Normal 3 13 12 2 2" xfId="26255" xr:uid="{00000000-0005-0000-0000-000003350000}"/>
    <cellStyle name="Normal 3 13 12 3" xfId="8642" xr:uid="{00000000-0005-0000-0000-000004350000}"/>
    <cellStyle name="Normal 3 13 12 3 2" xfId="26256" xr:uid="{00000000-0005-0000-0000-000005350000}"/>
    <cellStyle name="Normal 3 13 12 4" xfId="8643" xr:uid="{00000000-0005-0000-0000-000006350000}"/>
    <cellStyle name="Normal 3 13 12 4 2" xfId="26257" xr:uid="{00000000-0005-0000-0000-000007350000}"/>
    <cellStyle name="Normal 3 13 12 5" xfId="8644" xr:uid="{00000000-0005-0000-0000-000008350000}"/>
    <cellStyle name="Normal 3 13 12 5 2" xfId="26258" xr:uid="{00000000-0005-0000-0000-000009350000}"/>
    <cellStyle name="Normal 3 13 12 6" xfId="8645" xr:uid="{00000000-0005-0000-0000-00000A350000}"/>
    <cellStyle name="Normal 3 13 12 6 2" xfId="26259" xr:uid="{00000000-0005-0000-0000-00000B350000}"/>
    <cellStyle name="Normal 3 13 12 7" xfId="8646" xr:uid="{00000000-0005-0000-0000-00000C350000}"/>
    <cellStyle name="Normal 3 13 12 7 2" xfId="26260" xr:uid="{00000000-0005-0000-0000-00000D350000}"/>
    <cellStyle name="Normal 3 13 12 8" xfId="8647" xr:uid="{00000000-0005-0000-0000-00000E350000}"/>
    <cellStyle name="Normal 3 13 12 8 2" xfId="26261" xr:uid="{00000000-0005-0000-0000-00000F350000}"/>
    <cellStyle name="Normal 3 13 12 9" xfId="8648" xr:uid="{00000000-0005-0000-0000-000010350000}"/>
    <cellStyle name="Normal 3 13 12 9 2" xfId="26262" xr:uid="{00000000-0005-0000-0000-000011350000}"/>
    <cellStyle name="Normal 3 13 13" xfId="8649" xr:uid="{00000000-0005-0000-0000-000012350000}"/>
    <cellStyle name="Normal 3 13 13 10" xfId="8650" xr:uid="{00000000-0005-0000-0000-000013350000}"/>
    <cellStyle name="Normal 3 13 13 10 2" xfId="26264" xr:uid="{00000000-0005-0000-0000-000014350000}"/>
    <cellStyle name="Normal 3 13 13 11" xfId="8651" xr:uid="{00000000-0005-0000-0000-000015350000}"/>
    <cellStyle name="Normal 3 13 13 11 2" xfId="26265" xr:uid="{00000000-0005-0000-0000-000016350000}"/>
    <cellStyle name="Normal 3 13 13 12" xfId="8652" xr:uid="{00000000-0005-0000-0000-000017350000}"/>
    <cellStyle name="Normal 3 13 13 12 2" xfId="26266" xr:uid="{00000000-0005-0000-0000-000018350000}"/>
    <cellStyle name="Normal 3 13 13 13" xfId="8653" xr:uid="{00000000-0005-0000-0000-000019350000}"/>
    <cellStyle name="Normal 3 13 13 13 2" xfId="26267" xr:uid="{00000000-0005-0000-0000-00001A350000}"/>
    <cellStyle name="Normal 3 13 13 14" xfId="8654" xr:uid="{00000000-0005-0000-0000-00001B350000}"/>
    <cellStyle name="Normal 3 13 13 14 2" xfId="26268" xr:uid="{00000000-0005-0000-0000-00001C350000}"/>
    <cellStyle name="Normal 3 13 13 15" xfId="26263" xr:uid="{00000000-0005-0000-0000-00001D350000}"/>
    <cellStyle name="Normal 3 13 13 2" xfId="8655" xr:uid="{00000000-0005-0000-0000-00001E350000}"/>
    <cellStyle name="Normal 3 13 13 2 2" xfId="26269" xr:uid="{00000000-0005-0000-0000-00001F350000}"/>
    <cellStyle name="Normal 3 13 13 3" xfId="8656" xr:uid="{00000000-0005-0000-0000-000020350000}"/>
    <cellStyle name="Normal 3 13 13 3 2" xfId="26270" xr:uid="{00000000-0005-0000-0000-000021350000}"/>
    <cellStyle name="Normal 3 13 13 4" xfId="8657" xr:uid="{00000000-0005-0000-0000-000022350000}"/>
    <cellStyle name="Normal 3 13 13 4 2" xfId="26271" xr:uid="{00000000-0005-0000-0000-000023350000}"/>
    <cellStyle name="Normal 3 13 13 5" xfId="8658" xr:uid="{00000000-0005-0000-0000-000024350000}"/>
    <cellStyle name="Normal 3 13 13 5 2" xfId="26272" xr:uid="{00000000-0005-0000-0000-000025350000}"/>
    <cellStyle name="Normal 3 13 13 6" xfId="8659" xr:uid="{00000000-0005-0000-0000-000026350000}"/>
    <cellStyle name="Normal 3 13 13 6 2" xfId="26273" xr:uid="{00000000-0005-0000-0000-000027350000}"/>
    <cellStyle name="Normal 3 13 13 7" xfId="8660" xr:uid="{00000000-0005-0000-0000-000028350000}"/>
    <cellStyle name="Normal 3 13 13 7 2" xfId="26274" xr:uid="{00000000-0005-0000-0000-000029350000}"/>
    <cellStyle name="Normal 3 13 13 8" xfId="8661" xr:uid="{00000000-0005-0000-0000-00002A350000}"/>
    <cellStyle name="Normal 3 13 13 8 2" xfId="26275" xr:uid="{00000000-0005-0000-0000-00002B350000}"/>
    <cellStyle name="Normal 3 13 13 9" xfId="8662" xr:uid="{00000000-0005-0000-0000-00002C350000}"/>
    <cellStyle name="Normal 3 13 13 9 2" xfId="26276" xr:uid="{00000000-0005-0000-0000-00002D350000}"/>
    <cellStyle name="Normal 3 13 14" xfId="8663" xr:uid="{00000000-0005-0000-0000-00002E350000}"/>
    <cellStyle name="Normal 3 13 14 10" xfId="8664" xr:uid="{00000000-0005-0000-0000-00002F350000}"/>
    <cellStyle name="Normal 3 13 14 10 2" xfId="26278" xr:uid="{00000000-0005-0000-0000-000030350000}"/>
    <cellStyle name="Normal 3 13 14 11" xfId="8665" xr:uid="{00000000-0005-0000-0000-000031350000}"/>
    <cellStyle name="Normal 3 13 14 11 2" xfId="26279" xr:uid="{00000000-0005-0000-0000-000032350000}"/>
    <cellStyle name="Normal 3 13 14 12" xfId="8666" xr:uid="{00000000-0005-0000-0000-000033350000}"/>
    <cellStyle name="Normal 3 13 14 12 2" xfId="26280" xr:uid="{00000000-0005-0000-0000-000034350000}"/>
    <cellStyle name="Normal 3 13 14 13" xfId="8667" xr:uid="{00000000-0005-0000-0000-000035350000}"/>
    <cellStyle name="Normal 3 13 14 13 2" xfId="26281" xr:uid="{00000000-0005-0000-0000-000036350000}"/>
    <cellStyle name="Normal 3 13 14 14" xfId="8668" xr:uid="{00000000-0005-0000-0000-000037350000}"/>
    <cellStyle name="Normal 3 13 14 14 2" xfId="26282" xr:uid="{00000000-0005-0000-0000-000038350000}"/>
    <cellStyle name="Normal 3 13 14 15" xfId="26277" xr:uid="{00000000-0005-0000-0000-000039350000}"/>
    <cellStyle name="Normal 3 13 14 2" xfId="8669" xr:uid="{00000000-0005-0000-0000-00003A350000}"/>
    <cellStyle name="Normal 3 13 14 2 2" xfId="26283" xr:uid="{00000000-0005-0000-0000-00003B350000}"/>
    <cellStyle name="Normal 3 13 14 3" xfId="8670" xr:uid="{00000000-0005-0000-0000-00003C350000}"/>
    <cellStyle name="Normal 3 13 14 3 2" xfId="26284" xr:uid="{00000000-0005-0000-0000-00003D350000}"/>
    <cellStyle name="Normal 3 13 14 4" xfId="8671" xr:uid="{00000000-0005-0000-0000-00003E350000}"/>
    <cellStyle name="Normal 3 13 14 4 2" xfId="26285" xr:uid="{00000000-0005-0000-0000-00003F350000}"/>
    <cellStyle name="Normal 3 13 14 5" xfId="8672" xr:uid="{00000000-0005-0000-0000-000040350000}"/>
    <cellStyle name="Normal 3 13 14 5 2" xfId="26286" xr:uid="{00000000-0005-0000-0000-000041350000}"/>
    <cellStyle name="Normal 3 13 14 6" xfId="8673" xr:uid="{00000000-0005-0000-0000-000042350000}"/>
    <cellStyle name="Normal 3 13 14 6 2" xfId="26287" xr:uid="{00000000-0005-0000-0000-000043350000}"/>
    <cellStyle name="Normal 3 13 14 7" xfId="8674" xr:uid="{00000000-0005-0000-0000-000044350000}"/>
    <cellStyle name="Normal 3 13 14 7 2" xfId="26288" xr:uid="{00000000-0005-0000-0000-000045350000}"/>
    <cellStyle name="Normal 3 13 14 8" xfId="8675" xr:uid="{00000000-0005-0000-0000-000046350000}"/>
    <cellStyle name="Normal 3 13 14 8 2" xfId="26289" xr:uid="{00000000-0005-0000-0000-000047350000}"/>
    <cellStyle name="Normal 3 13 14 9" xfId="8676" xr:uid="{00000000-0005-0000-0000-000048350000}"/>
    <cellStyle name="Normal 3 13 14 9 2" xfId="26290" xr:uid="{00000000-0005-0000-0000-000049350000}"/>
    <cellStyle name="Normal 3 13 15" xfId="8677" xr:uid="{00000000-0005-0000-0000-00004A350000}"/>
    <cellStyle name="Normal 3 13 16" xfId="8678" xr:uid="{00000000-0005-0000-0000-00004B350000}"/>
    <cellStyle name="Normal 3 13 17" xfId="8679" xr:uid="{00000000-0005-0000-0000-00004C350000}"/>
    <cellStyle name="Normal 3 13 17 10" xfId="8680" xr:uid="{00000000-0005-0000-0000-00004D350000}"/>
    <cellStyle name="Normal 3 13 17 10 2" xfId="26292" xr:uid="{00000000-0005-0000-0000-00004E350000}"/>
    <cellStyle name="Normal 3 13 17 11" xfId="8681" xr:uid="{00000000-0005-0000-0000-00004F350000}"/>
    <cellStyle name="Normal 3 13 17 11 2" xfId="26293" xr:uid="{00000000-0005-0000-0000-000050350000}"/>
    <cellStyle name="Normal 3 13 17 12" xfId="8682" xr:uid="{00000000-0005-0000-0000-000051350000}"/>
    <cellStyle name="Normal 3 13 17 12 2" xfId="26294" xr:uid="{00000000-0005-0000-0000-000052350000}"/>
    <cellStyle name="Normal 3 13 17 13" xfId="8683" xr:uid="{00000000-0005-0000-0000-000053350000}"/>
    <cellStyle name="Normal 3 13 17 13 2" xfId="26295" xr:uid="{00000000-0005-0000-0000-000054350000}"/>
    <cellStyle name="Normal 3 13 17 14" xfId="8684" xr:uid="{00000000-0005-0000-0000-000055350000}"/>
    <cellStyle name="Normal 3 13 17 14 2" xfId="26296" xr:uid="{00000000-0005-0000-0000-000056350000}"/>
    <cellStyle name="Normal 3 13 17 15" xfId="26291" xr:uid="{00000000-0005-0000-0000-000057350000}"/>
    <cellStyle name="Normal 3 13 17 2" xfId="8685" xr:uid="{00000000-0005-0000-0000-000058350000}"/>
    <cellStyle name="Normal 3 13 17 2 2" xfId="26297" xr:uid="{00000000-0005-0000-0000-000059350000}"/>
    <cellStyle name="Normal 3 13 17 3" xfId="8686" xr:uid="{00000000-0005-0000-0000-00005A350000}"/>
    <cellStyle name="Normal 3 13 17 3 2" xfId="26298" xr:uid="{00000000-0005-0000-0000-00005B350000}"/>
    <cellStyle name="Normal 3 13 17 4" xfId="8687" xr:uid="{00000000-0005-0000-0000-00005C350000}"/>
    <cellStyle name="Normal 3 13 17 4 2" xfId="26299" xr:uid="{00000000-0005-0000-0000-00005D350000}"/>
    <cellStyle name="Normal 3 13 17 5" xfId="8688" xr:uid="{00000000-0005-0000-0000-00005E350000}"/>
    <cellStyle name="Normal 3 13 17 5 2" xfId="26300" xr:uid="{00000000-0005-0000-0000-00005F350000}"/>
    <cellStyle name="Normal 3 13 17 6" xfId="8689" xr:uid="{00000000-0005-0000-0000-000060350000}"/>
    <cellStyle name="Normal 3 13 17 6 2" xfId="26301" xr:uid="{00000000-0005-0000-0000-000061350000}"/>
    <cellStyle name="Normal 3 13 17 7" xfId="8690" xr:uid="{00000000-0005-0000-0000-000062350000}"/>
    <cellStyle name="Normal 3 13 17 7 2" xfId="26302" xr:uid="{00000000-0005-0000-0000-000063350000}"/>
    <cellStyle name="Normal 3 13 17 8" xfId="8691" xr:uid="{00000000-0005-0000-0000-000064350000}"/>
    <cellStyle name="Normal 3 13 17 8 2" xfId="26303" xr:uid="{00000000-0005-0000-0000-000065350000}"/>
    <cellStyle name="Normal 3 13 17 9" xfId="8692" xr:uid="{00000000-0005-0000-0000-000066350000}"/>
    <cellStyle name="Normal 3 13 17 9 2" xfId="26304" xr:uid="{00000000-0005-0000-0000-000067350000}"/>
    <cellStyle name="Normal 3 13 18" xfId="8693" xr:uid="{00000000-0005-0000-0000-000068350000}"/>
    <cellStyle name="Normal 3 13 18 10" xfId="8694" xr:uid="{00000000-0005-0000-0000-000069350000}"/>
    <cellStyle name="Normal 3 13 18 10 2" xfId="26306" xr:uid="{00000000-0005-0000-0000-00006A350000}"/>
    <cellStyle name="Normal 3 13 18 11" xfId="8695" xr:uid="{00000000-0005-0000-0000-00006B350000}"/>
    <cellStyle name="Normal 3 13 18 11 2" xfId="26307" xr:uid="{00000000-0005-0000-0000-00006C350000}"/>
    <cellStyle name="Normal 3 13 18 12" xfId="8696" xr:uid="{00000000-0005-0000-0000-00006D350000}"/>
    <cellStyle name="Normal 3 13 18 12 2" xfId="26308" xr:uid="{00000000-0005-0000-0000-00006E350000}"/>
    <cellStyle name="Normal 3 13 18 13" xfId="8697" xr:uid="{00000000-0005-0000-0000-00006F350000}"/>
    <cellStyle name="Normal 3 13 18 13 2" xfId="26309" xr:uid="{00000000-0005-0000-0000-000070350000}"/>
    <cellStyle name="Normal 3 13 18 14" xfId="8698" xr:uid="{00000000-0005-0000-0000-000071350000}"/>
    <cellStyle name="Normal 3 13 18 14 2" xfId="26310" xr:uid="{00000000-0005-0000-0000-000072350000}"/>
    <cellStyle name="Normal 3 13 18 15" xfId="26305" xr:uid="{00000000-0005-0000-0000-000073350000}"/>
    <cellStyle name="Normal 3 13 18 2" xfId="8699" xr:uid="{00000000-0005-0000-0000-000074350000}"/>
    <cellStyle name="Normal 3 13 18 2 2" xfId="26311" xr:uid="{00000000-0005-0000-0000-000075350000}"/>
    <cellStyle name="Normal 3 13 18 3" xfId="8700" xr:uid="{00000000-0005-0000-0000-000076350000}"/>
    <cellStyle name="Normal 3 13 18 3 2" xfId="26312" xr:uid="{00000000-0005-0000-0000-000077350000}"/>
    <cellStyle name="Normal 3 13 18 4" xfId="8701" xr:uid="{00000000-0005-0000-0000-000078350000}"/>
    <cellStyle name="Normal 3 13 18 4 2" xfId="26313" xr:uid="{00000000-0005-0000-0000-000079350000}"/>
    <cellStyle name="Normal 3 13 18 5" xfId="8702" xr:uid="{00000000-0005-0000-0000-00007A350000}"/>
    <cellStyle name="Normal 3 13 18 5 2" xfId="26314" xr:uid="{00000000-0005-0000-0000-00007B350000}"/>
    <cellStyle name="Normal 3 13 18 6" xfId="8703" xr:uid="{00000000-0005-0000-0000-00007C350000}"/>
    <cellStyle name="Normal 3 13 18 6 2" xfId="26315" xr:uid="{00000000-0005-0000-0000-00007D350000}"/>
    <cellStyle name="Normal 3 13 18 7" xfId="8704" xr:uid="{00000000-0005-0000-0000-00007E350000}"/>
    <cellStyle name="Normal 3 13 18 7 2" xfId="26316" xr:uid="{00000000-0005-0000-0000-00007F350000}"/>
    <cellStyle name="Normal 3 13 18 8" xfId="8705" xr:uid="{00000000-0005-0000-0000-000080350000}"/>
    <cellStyle name="Normal 3 13 18 8 2" xfId="26317" xr:uid="{00000000-0005-0000-0000-000081350000}"/>
    <cellStyle name="Normal 3 13 18 9" xfId="8706" xr:uid="{00000000-0005-0000-0000-000082350000}"/>
    <cellStyle name="Normal 3 13 18 9 2" xfId="26318" xr:uid="{00000000-0005-0000-0000-000083350000}"/>
    <cellStyle name="Normal 3 13 2" xfId="8707" xr:uid="{00000000-0005-0000-0000-000084350000}"/>
    <cellStyle name="Normal 3 13 2 10" xfId="8708" xr:uid="{00000000-0005-0000-0000-000085350000}"/>
    <cellStyle name="Normal 3 13 2 10 2" xfId="26320" xr:uid="{00000000-0005-0000-0000-000086350000}"/>
    <cellStyle name="Normal 3 13 2 11" xfId="8709" xr:uid="{00000000-0005-0000-0000-000087350000}"/>
    <cellStyle name="Normal 3 13 2 11 2" xfId="26321" xr:uid="{00000000-0005-0000-0000-000088350000}"/>
    <cellStyle name="Normal 3 13 2 12" xfId="8710" xr:uid="{00000000-0005-0000-0000-000089350000}"/>
    <cellStyle name="Normal 3 13 2 12 2" xfId="26322" xr:uid="{00000000-0005-0000-0000-00008A350000}"/>
    <cellStyle name="Normal 3 13 2 13" xfId="8711" xr:uid="{00000000-0005-0000-0000-00008B350000}"/>
    <cellStyle name="Normal 3 13 2 13 2" xfId="26323" xr:uid="{00000000-0005-0000-0000-00008C350000}"/>
    <cellStyle name="Normal 3 13 2 14" xfId="8712" xr:uid="{00000000-0005-0000-0000-00008D350000}"/>
    <cellStyle name="Normal 3 13 2 14 2" xfId="26324" xr:uid="{00000000-0005-0000-0000-00008E350000}"/>
    <cellStyle name="Normal 3 13 2 15" xfId="8713" xr:uid="{00000000-0005-0000-0000-00008F350000}"/>
    <cellStyle name="Normal 3 13 2 15 2" xfId="26325" xr:uid="{00000000-0005-0000-0000-000090350000}"/>
    <cellStyle name="Normal 3 13 2 16" xfId="8714" xr:uid="{00000000-0005-0000-0000-000091350000}"/>
    <cellStyle name="Normal 3 13 2 16 2" xfId="26326" xr:uid="{00000000-0005-0000-0000-000092350000}"/>
    <cellStyle name="Normal 3 13 2 17" xfId="8715" xr:uid="{00000000-0005-0000-0000-000093350000}"/>
    <cellStyle name="Normal 3 13 2 17 2" xfId="26327" xr:uid="{00000000-0005-0000-0000-000094350000}"/>
    <cellStyle name="Normal 3 13 2 18" xfId="26319" xr:uid="{00000000-0005-0000-0000-000095350000}"/>
    <cellStyle name="Normal 3 13 2 2" xfId="8716" xr:uid="{00000000-0005-0000-0000-000096350000}"/>
    <cellStyle name="Normal 3 13 2 3" xfId="8717" xr:uid="{00000000-0005-0000-0000-000097350000}"/>
    <cellStyle name="Normal 3 13 2 4" xfId="8718" xr:uid="{00000000-0005-0000-0000-000098350000}"/>
    <cellStyle name="Normal 3 13 2 5" xfId="8719" xr:uid="{00000000-0005-0000-0000-000099350000}"/>
    <cellStyle name="Normal 3 13 2 5 2" xfId="26328" xr:uid="{00000000-0005-0000-0000-00009A350000}"/>
    <cellStyle name="Normal 3 13 2 6" xfId="8720" xr:uid="{00000000-0005-0000-0000-00009B350000}"/>
    <cellStyle name="Normal 3 13 2 6 2" xfId="26329" xr:uid="{00000000-0005-0000-0000-00009C350000}"/>
    <cellStyle name="Normal 3 13 2 7" xfId="8721" xr:uid="{00000000-0005-0000-0000-00009D350000}"/>
    <cellStyle name="Normal 3 13 2 7 2" xfId="26330" xr:uid="{00000000-0005-0000-0000-00009E350000}"/>
    <cellStyle name="Normal 3 13 2 8" xfId="8722" xr:uid="{00000000-0005-0000-0000-00009F350000}"/>
    <cellStyle name="Normal 3 13 2 8 2" xfId="26331" xr:uid="{00000000-0005-0000-0000-0000A0350000}"/>
    <cellStyle name="Normal 3 13 2 9" xfId="8723" xr:uid="{00000000-0005-0000-0000-0000A1350000}"/>
    <cellStyle name="Normal 3 13 2 9 2" xfId="26332" xr:uid="{00000000-0005-0000-0000-0000A2350000}"/>
    <cellStyle name="Normal 3 13 3" xfId="8724" xr:uid="{00000000-0005-0000-0000-0000A3350000}"/>
    <cellStyle name="Normal 3 13 4" xfId="8725" xr:uid="{00000000-0005-0000-0000-0000A4350000}"/>
    <cellStyle name="Normal 3 13 5" xfId="8726" xr:uid="{00000000-0005-0000-0000-0000A5350000}"/>
    <cellStyle name="Normal 3 13 6" xfId="8727" xr:uid="{00000000-0005-0000-0000-0000A6350000}"/>
    <cellStyle name="Normal 3 13 6 10" xfId="8728" xr:uid="{00000000-0005-0000-0000-0000A7350000}"/>
    <cellStyle name="Normal 3 13 6 10 2" xfId="26334" xr:uid="{00000000-0005-0000-0000-0000A8350000}"/>
    <cellStyle name="Normal 3 13 6 11" xfId="8729" xr:uid="{00000000-0005-0000-0000-0000A9350000}"/>
    <cellStyle name="Normal 3 13 6 11 2" xfId="26335" xr:uid="{00000000-0005-0000-0000-0000AA350000}"/>
    <cellStyle name="Normal 3 13 6 12" xfId="8730" xr:uid="{00000000-0005-0000-0000-0000AB350000}"/>
    <cellStyle name="Normal 3 13 6 12 2" xfId="26336" xr:uid="{00000000-0005-0000-0000-0000AC350000}"/>
    <cellStyle name="Normal 3 13 6 13" xfId="8731" xr:uid="{00000000-0005-0000-0000-0000AD350000}"/>
    <cellStyle name="Normal 3 13 6 13 2" xfId="26337" xr:uid="{00000000-0005-0000-0000-0000AE350000}"/>
    <cellStyle name="Normal 3 13 6 14" xfId="8732" xr:uid="{00000000-0005-0000-0000-0000AF350000}"/>
    <cellStyle name="Normal 3 13 6 14 2" xfId="26338" xr:uid="{00000000-0005-0000-0000-0000B0350000}"/>
    <cellStyle name="Normal 3 13 6 15" xfId="8733" xr:uid="{00000000-0005-0000-0000-0000B1350000}"/>
    <cellStyle name="Normal 3 13 6 15 2" xfId="26339" xr:uid="{00000000-0005-0000-0000-0000B2350000}"/>
    <cellStyle name="Normal 3 13 6 16" xfId="26333" xr:uid="{00000000-0005-0000-0000-0000B3350000}"/>
    <cellStyle name="Normal 3 13 6 2" xfId="8734" xr:uid="{00000000-0005-0000-0000-0000B4350000}"/>
    <cellStyle name="Normal 3 13 6 2 10" xfId="8735" xr:uid="{00000000-0005-0000-0000-0000B5350000}"/>
    <cellStyle name="Normal 3 13 6 2 10 2" xfId="26341" xr:uid="{00000000-0005-0000-0000-0000B6350000}"/>
    <cellStyle name="Normal 3 13 6 2 11" xfId="8736" xr:uid="{00000000-0005-0000-0000-0000B7350000}"/>
    <cellStyle name="Normal 3 13 6 2 11 2" xfId="26342" xr:uid="{00000000-0005-0000-0000-0000B8350000}"/>
    <cellStyle name="Normal 3 13 6 2 12" xfId="8737" xr:uid="{00000000-0005-0000-0000-0000B9350000}"/>
    <cellStyle name="Normal 3 13 6 2 12 2" xfId="26343" xr:uid="{00000000-0005-0000-0000-0000BA350000}"/>
    <cellStyle name="Normal 3 13 6 2 13" xfId="8738" xr:uid="{00000000-0005-0000-0000-0000BB350000}"/>
    <cellStyle name="Normal 3 13 6 2 13 2" xfId="26344" xr:uid="{00000000-0005-0000-0000-0000BC350000}"/>
    <cellStyle name="Normal 3 13 6 2 14" xfId="8739" xr:uid="{00000000-0005-0000-0000-0000BD350000}"/>
    <cellStyle name="Normal 3 13 6 2 14 2" xfId="26345" xr:uid="{00000000-0005-0000-0000-0000BE350000}"/>
    <cellStyle name="Normal 3 13 6 2 15" xfId="26340" xr:uid="{00000000-0005-0000-0000-0000BF350000}"/>
    <cellStyle name="Normal 3 13 6 2 2" xfId="8740" xr:uid="{00000000-0005-0000-0000-0000C0350000}"/>
    <cellStyle name="Normal 3 13 6 2 2 2" xfId="26346" xr:uid="{00000000-0005-0000-0000-0000C1350000}"/>
    <cellStyle name="Normal 3 13 6 2 3" xfId="8741" xr:uid="{00000000-0005-0000-0000-0000C2350000}"/>
    <cellStyle name="Normal 3 13 6 2 3 2" xfId="26347" xr:uid="{00000000-0005-0000-0000-0000C3350000}"/>
    <cellStyle name="Normal 3 13 6 2 4" xfId="8742" xr:uid="{00000000-0005-0000-0000-0000C4350000}"/>
    <cellStyle name="Normal 3 13 6 2 4 2" xfId="26348" xr:uid="{00000000-0005-0000-0000-0000C5350000}"/>
    <cellStyle name="Normal 3 13 6 2 5" xfId="8743" xr:uid="{00000000-0005-0000-0000-0000C6350000}"/>
    <cellStyle name="Normal 3 13 6 2 5 2" xfId="26349" xr:uid="{00000000-0005-0000-0000-0000C7350000}"/>
    <cellStyle name="Normal 3 13 6 2 6" xfId="8744" xr:uid="{00000000-0005-0000-0000-0000C8350000}"/>
    <cellStyle name="Normal 3 13 6 2 6 2" xfId="26350" xr:uid="{00000000-0005-0000-0000-0000C9350000}"/>
    <cellStyle name="Normal 3 13 6 2 7" xfId="8745" xr:uid="{00000000-0005-0000-0000-0000CA350000}"/>
    <cellStyle name="Normal 3 13 6 2 7 2" xfId="26351" xr:uid="{00000000-0005-0000-0000-0000CB350000}"/>
    <cellStyle name="Normal 3 13 6 2 8" xfId="8746" xr:uid="{00000000-0005-0000-0000-0000CC350000}"/>
    <cellStyle name="Normal 3 13 6 2 8 2" xfId="26352" xr:uid="{00000000-0005-0000-0000-0000CD350000}"/>
    <cellStyle name="Normal 3 13 6 2 9" xfId="8747" xr:uid="{00000000-0005-0000-0000-0000CE350000}"/>
    <cellStyle name="Normal 3 13 6 2 9 2" xfId="26353" xr:uid="{00000000-0005-0000-0000-0000CF350000}"/>
    <cellStyle name="Normal 3 13 6 3" xfId="8748" xr:uid="{00000000-0005-0000-0000-0000D0350000}"/>
    <cellStyle name="Normal 3 13 6 3 2" xfId="26354" xr:uid="{00000000-0005-0000-0000-0000D1350000}"/>
    <cellStyle name="Normal 3 13 6 4" xfId="8749" xr:uid="{00000000-0005-0000-0000-0000D2350000}"/>
    <cellStyle name="Normal 3 13 6 4 2" xfId="26355" xr:uid="{00000000-0005-0000-0000-0000D3350000}"/>
    <cellStyle name="Normal 3 13 6 5" xfId="8750" xr:uid="{00000000-0005-0000-0000-0000D4350000}"/>
    <cellStyle name="Normal 3 13 6 5 2" xfId="26356" xr:uid="{00000000-0005-0000-0000-0000D5350000}"/>
    <cellStyle name="Normal 3 13 6 6" xfId="8751" xr:uid="{00000000-0005-0000-0000-0000D6350000}"/>
    <cellStyle name="Normal 3 13 6 6 2" xfId="26357" xr:uid="{00000000-0005-0000-0000-0000D7350000}"/>
    <cellStyle name="Normal 3 13 6 7" xfId="8752" xr:uid="{00000000-0005-0000-0000-0000D8350000}"/>
    <cellStyle name="Normal 3 13 6 7 2" xfId="26358" xr:uid="{00000000-0005-0000-0000-0000D9350000}"/>
    <cellStyle name="Normal 3 13 6 8" xfId="8753" xr:uid="{00000000-0005-0000-0000-0000DA350000}"/>
    <cellStyle name="Normal 3 13 6 8 2" xfId="26359" xr:uid="{00000000-0005-0000-0000-0000DB350000}"/>
    <cellStyle name="Normal 3 13 6 9" xfId="8754" xr:uid="{00000000-0005-0000-0000-0000DC350000}"/>
    <cellStyle name="Normal 3 13 6 9 2" xfId="26360" xr:uid="{00000000-0005-0000-0000-0000DD350000}"/>
    <cellStyle name="Normal 3 13 7" xfId="8755" xr:uid="{00000000-0005-0000-0000-0000DE350000}"/>
    <cellStyle name="Normal 3 13 7 10" xfId="8756" xr:uid="{00000000-0005-0000-0000-0000DF350000}"/>
    <cellStyle name="Normal 3 13 7 10 2" xfId="26362" xr:uid="{00000000-0005-0000-0000-0000E0350000}"/>
    <cellStyle name="Normal 3 13 7 11" xfId="8757" xr:uid="{00000000-0005-0000-0000-0000E1350000}"/>
    <cellStyle name="Normal 3 13 7 11 2" xfId="26363" xr:uid="{00000000-0005-0000-0000-0000E2350000}"/>
    <cellStyle name="Normal 3 13 7 12" xfId="8758" xr:uid="{00000000-0005-0000-0000-0000E3350000}"/>
    <cellStyle name="Normal 3 13 7 12 2" xfId="26364" xr:uid="{00000000-0005-0000-0000-0000E4350000}"/>
    <cellStyle name="Normal 3 13 7 13" xfId="8759" xr:uid="{00000000-0005-0000-0000-0000E5350000}"/>
    <cellStyle name="Normal 3 13 7 13 2" xfId="26365" xr:uid="{00000000-0005-0000-0000-0000E6350000}"/>
    <cellStyle name="Normal 3 13 7 14" xfId="8760" xr:uid="{00000000-0005-0000-0000-0000E7350000}"/>
    <cellStyle name="Normal 3 13 7 14 2" xfId="26366" xr:uid="{00000000-0005-0000-0000-0000E8350000}"/>
    <cellStyle name="Normal 3 13 7 15" xfId="8761" xr:uid="{00000000-0005-0000-0000-0000E9350000}"/>
    <cellStyle name="Normal 3 13 7 15 2" xfId="26367" xr:uid="{00000000-0005-0000-0000-0000EA350000}"/>
    <cellStyle name="Normal 3 13 7 16" xfId="26361" xr:uid="{00000000-0005-0000-0000-0000EB350000}"/>
    <cellStyle name="Normal 3 13 7 2" xfId="8762" xr:uid="{00000000-0005-0000-0000-0000EC350000}"/>
    <cellStyle name="Normal 3 13 7 2 10" xfId="8763" xr:uid="{00000000-0005-0000-0000-0000ED350000}"/>
    <cellStyle name="Normal 3 13 7 2 10 2" xfId="26369" xr:uid="{00000000-0005-0000-0000-0000EE350000}"/>
    <cellStyle name="Normal 3 13 7 2 11" xfId="8764" xr:uid="{00000000-0005-0000-0000-0000EF350000}"/>
    <cellStyle name="Normal 3 13 7 2 11 2" xfId="26370" xr:uid="{00000000-0005-0000-0000-0000F0350000}"/>
    <cellStyle name="Normal 3 13 7 2 12" xfId="8765" xr:uid="{00000000-0005-0000-0000-0000F1350000}"/>
    <cellStyle name="Normal 3 13 7 2 12 2" xfId="26371" xr:uid="{00000000-0005-0000-0000-0000F2350000}"/>
    <cellStyle name="Normal 3 13 7 2 13" xfId="8766" xr:uid="{00000000-0005-0000-0000-0000F3350000}"/>
    <cellStyle name="Normal 3 13 7 2 13 2" xfId="26372" xr:uid="{00000000-0005-0000-0000-0000F4350000}"/>
    <cellStyle name="Normal 3 13 7 2 14" xfId="8767" xr:uid="{00000000-0005-0000-0000-0000F5350000}"/>
    <cellStyle name="Normal 3 13 7 2 14 2" xfId="26373" xr:uid="{00000000-0005-0000-0000-0000F6350000}"/>
    <cellStyle name="Normal 3 13 7 2 15" xfId="26368" xr:uid="{00000000-0005-0000-0000-0000F7350000}"/>
    <cellStyle name="Normal 3 13 7 2 2" xfId="8768" xr:uid="{00000000-0005-0000-0000-0000F8350000}"/>
    <cellStyle name="Normal 3 13 7 2 2 2" xfId="26374" xr:uid="{00000000-0005-0000-0000-0000F9350000}"/>
    <cellStyle name="Normal 3 13 7 2 3" xfId="8769" xr:uid="{00000000-0005-0000-0000-0000FA350000}"/>
    <cellStyle name="Normal 3 13 7 2 3 2" xfId="26375" xr:uid="{00000000-0005-0000-0000-0000FB350000}"/>
    <cellStyle name="Normal 3 13 7 2 4" xfId="8770" xr:uid="{00000000-0005-0000-0000-0000FC350000}"/>
    <cellStyle name="Normal 3 13 7 2 4 2" xfId="26376" xr:uid="{00000000-0005-0000-0000-0000FD350000}"/>
    <cellStyle name="Normal 3 13 7 2 5" xfId="8771" xr:uid="{00000000-0005-0000-0000-0000FE350000}"/>
    <cellStyle name="Normal 3 13 7 2 5 2" xfId="26377" xr:uid="{00000000-0005-0000-0000-0000FF350000}"/>
    <cellStyle name="Normal 3 13 7 2 6" xfId="8772" xr:uid="{00000000-0005-0000-0000-000000360000}"/>
    <cellStyle name="Normal 3 13 7 2 6 2" xfId="26378" xr:uid="{00000000-0005-0000-0000-000001360000}"/>
    <cellStyle name="Normal 3 13 7 2 7" xfId="8773" xr:uid="{00000000-0005-0000-0000-000002360000}"/>
    <cellStyle name="Normal 3 13 7 2 7 2" xfId="26379" xr:uid="{00000000-0005-0000-0000-000003360000}"/>
    <cellStyle name="Normal 3 13 7 2 8" xfId="8774" xr:uid="{00000000-0005-0000-0000-000004360000}"/>
    <cellStyle name="Normal 3 13 7 2 8 2" xfId="26380" xr:uid="{00000000-0005-0000-0000-000005360000}"/>
    <cellStyle name="Normal 3 13 7 2 9" xfId="8775" xr:uid="{00000000-0005-0000-0000-000006360000}"/>
    <cellStyle name="Normal 3 13 7 2 9 2" xfId="26381" xr:uid="{00000000-0005-0000-0000-000007360000}"/>
    <cellStyle name="Normal 3 13 7 3" xfId="8776" xr:uid="{00000000-0005-0000-0000-000008360000}"/>
    <cellStyle name="Normal 3 13 7 3 2" xfId="26382" xr:uid="{00000000-0005-0000-0000-000009360000}"/>
    <cellStyle name="Normal 3 13 7 4" xfId="8777" xr:uid="{00000000-0005-0000-0000-00000A360000}"/>
    <cellStyle name="Normal 3 13 7 4 2" xfId="26383" xr:uid="{00000000-0005-0000-0000-00000B360000}"/>
    <cellStyle name="Normal 3 13 7 5" xfId="8778" xr:uid="{00000000-0005-0000-0000-00000C360000}"/>
    <cellStyle name="Normal 3 13 7 5 2" xfId="26384" xr:uid="{00000000-0005-0000-0000-00000D360000}"/>
    <cellStyle name="Normal 3 13 7 6" xfId="8779" xr:uid="{00000000-0005-0000-0000-00000E360000}"/>
    <cellStyle name="Normal 3 13 7 6 2" xfId="26385" xr:uid="{00000000-0005-0000-0000-00000F360000}"/>
    <cellStyle name="Normal 3 13 7 7" xfId="8780" xr:uid="{00000000-0005-0000-0000-000010360000}"/>
    <cellStyle name="Normal 3 13 7 7 2" xfId="26386" xr:uid="{00000000-0005-0000-0000-000011360000}"/>
    <cellStyle name="Normal 3 13 7 8" xfId="8781" xr:uid="{00000000-0005-0000-0000-000012360000}"/>
    <cellStyle name="Normal 3 13 7 8 2" xfId="26387" xr:uid="{00000000-0005-0000-0000-000013360000}"/>
    <cellStyle name="Normal 3 13 7 9" xfId="8782" xr:uid="{00000000-0005-0000-0000-000014360000}"/>
    <cellStyle name="Normal 3 13 7 9 2" xfId="26388" xr:uid="{00000000-0005-0000-0000-000015360000}"/>
    <cellStyle name="Normal 3 13 8" xfId="8783" xr:uid="{00000000-0005-0000-0000-000016360000}"/>
    <cellStyle name="Normal 3 13 8 10" xfId="8784" xr:uid="{00000000-0005-0000-0000-000017360000}"/>
    <cellStyle name="Normal 3 13 8 10 2" xfId="26390" xr:uid="{00000000-0005-0000-0000-000018360000}"/>
    <cellStyle name="Normal 3 13 8 11" xfId="8785" xr:uid="{00000000-0005-0000-0000-000019360000}"/>
    <cellStyle name="Normal 3 13 8 11 2" xfId="26391" xr:uid="{00000000-0005-0000-0000-00001A360000}"/>
    <cellStyle name="Normal 3 13 8 12" xfId="8786" xr:uid="{00000000-0005-0000-0000-00001B360000}"/>
    <cellStyle name="Normal 3 13 8 12 2" xfId="26392" xr:uid="{00000000-0005-0000-0000-00001C360000}"/>
    <cellStyle name="Normal 3 13 8 13" xfId="8787" xr:uid="{00000000-0005-0000-0000-00001D360000}"/>
    <cellStyle name="Normal 3 13 8 13 2" xfId="26393" xr:uid="{00000000-0005-0000-0000-00001E360000}"/>
    <cellStyle name="Normal 3 13 8 14" xfId="8788" xr:uid="{00000000-0005-0000-0000-00001F360000}"/>
    <cellStyle name="Normal 3 13 8 14 2" xfId="26394" xr:uid="{00000000-0005-0000-0000-000020360000}"/>
    <cellStyle name="Normal 3 13 8 15" xfId="8789" xr:uid="{00000000-0005-0000-0000-000021360000}"/>
    <cellStyle name="Normal 3 13 8 15 2" xfId="26395" xr:uid="{00000000-0005-0000-0000-000022360000}"/>
    <cellStyle name="Normal 3 13 8 16" xfId="26389" xr:uid="{00000000-0005-0000-0000-000023360000}"/>
    <cellStyle name="Normal 3 13 8 2" xfId="8790" xr:uid="{00000000-0005-0000-0000-000024360000}"/>
    <cellStyle name="Normal 3 13 8 2 10" xfId="8791" xr:uid="{00000000-0005-0000-0000-000025360000}"/>
    <cellStyle name="Normal 3 13 8 2 10 2" xfId="26397" xr:uid="{00000000-0005-0000-0000-000026360000}"/>
    <cellStyle name="Normal 3 13 8 2 11" xfId="8792" xr:uid="{00000000-0005-0000-0000-000027360000}"/>
    <cellStyle name="Normal 3 13 8 2 11 2" xfId="26398" xr:uid="{00000000-0005-0000-0000-000028360000}"/>
    <cellStyle name="Normal 3 13 8 2 12" xfId="8793" xr:uid="{00000000-0005-0000-0000-000029360000}"/>
    <cellStyle name="Normal 3 13 8 2 12 2" xfId="26399" xr:uid="{00000000-0005-0000-0000-00002A360000}"/>
    <cellStyle name="Normal 3 13 8 2 13" xfId="8794" xr:uid="{00000000-0005-0000-0000-00002B360000}"/>
    <cellStyle name="Normal 3 13 8 2 13 2" xfId="26400" xr:uid="{00000000-0005-0000-0000-00002C360000}"/>
    <cellStyle name="Normal 3 13 8 2 14" xfId="8795" xr:uid="{00000000-0005-0000-0000-00002D360000}"/>
    <cellStyle name="Normal 3 13 8 2 14 2" xfId="26401" xr:uid="{00000000-0005-0000-0000-00002E360000}"/>
    <cellStyle name="Normal 3 13 8 2 15" xfId="26396" xr:uid="{00000000-0005-0000-0000-00002F360000}"/>
    <cellStyle name="Normal 3 13 8 2 2" xfId="8796" xr:uid="{00000000-0005-0000-0000-000030360000}"/>
    <cellStyle name="Normal 3 13 8 2 2 2" xfId="26402" xr:uid="{00000000-0005-0000-0000-000031360000}"/>
    <cellStyle name="Normal 3 13 8 2 3" xfId="8797" xr:uid="{00000000-0005-0000-0000-000032360000}"/>
    <cellStyle name="Normal 3 13 8 2 3 2" xfId="26403" xr:uid="{00000000-0005-0000-0000-000033360000}"/>
    <cellStyle name="Normal 3 13 8 2 4" xfId="8798" xr:uid="{00000000-0005-0000-0000-000034360000}"/>
    <cellStyle name="Normal 3 13 8 2 4 2" xfId="26404" xr:uid="{00000000-0005-0000-0000-000035360000}"/>
    <cellStyle name="Normal 3 13 8 2 5" xfId="8799" xr:uid="{00000000-0005-0000-0000-000036360000}"/>
    <cellStyle name="Normal 3 13 8 2 5 2" xfId="26405" xr:uid="{00000000-0005-0000-0000-000037360000}"/>
    <cellStyle name="Normal 3 13 8 2 6" xfId="8800" xr:uid="{00000000-0005-0000-0000-000038360000}"/>
    <cellStyle name="Normal 3 13 8 2 6 2" xfId="26406" xr:uid="{00000000-0005-0000-0000-000039360000}"/>
    <cellStyle name="Normal 3 13 8 2 7" xfId="8801" xr:uid="{00000000-0005-0000-0000-00003A360000}"/>
    <cellStyle name="Normal 3 13 8 2 7 2" xfId="26407" xr:uid="{00000000-0005-0000-0000-00003B360000}"/>
    <cellStyle name="Normal 3 13 8 2 8" xfId="8802" xr:uid="{00000000-0005-0000-0000-00003C360000}"/>
    <cellStyle name="Normal 3 13 8 2 8 2" xfId="26408" xr:uid="{00000000-0005-0000-0000-00003D360000}"/>
    <cellStyle name="Normal 3 13 8 2 9" xfId="8803" xr:uid="{00000000-0005-0000-0000-00003E360000}"/>
    <cellStyle name="Normal 3 13 8 2 9 2" xfId="26409" xr:uid="{00000000-0005-0000-0000-00003F360000}"/>
    <cellStyle name="Normal 3 13 8 3" xfId="8804" xr:uid="{00000000-0005-0000-0000-000040360000}"/>
    <cellStyle name="Normal 3 13 8 3 2" xfId="26410" xr:uid="{00000000-0005-0000-0000-000041360000}"/>
    <cellStyle name="Normal 3 13 8 4" xfId="8805" xr:uid="{00000000-0005-0000-0000-000042360000}"/>
    <cellStyle name="Normal 3 13 8 4 2" xfId="26411" xr:uid="{00000000-0005-0000-0000-000043360000}"/>
    <cellStyle name="Normal 3 13 8 5" xfId="8806" xr:uid="{00000000-0005-0000-0000-000044360000}"/>
    <cellStyle name="Normal 3 13 8 5 2" xfId="26412" xr:uid="{00000000-0005-0000-0000-000045360000}"/>
    <cellStyle name="Normal 3 13 8 6" xfId="8807" xr:uid="{00000000-0005-0000-0000-000046360000}"/>
    <cellStyle name="Normal 3 13 8 6 2" xfId="26413" xr:uid="{00000000-0005-0000-0000-000047360000}"/>
    <cellStyle name="Normal 3 13 8 7" xfId="8808" xr:uid="{00000000-0005-0000-0000-000048360000}"/>
    <cellStyle name="Normal 3 13 8 7 2" xfId="26414" xr:uid="{00000000-0005-0000-0000-000049360000}"/>
    <cellStyle name="Normal 3 13 8 8" xfId="8809" xr:uid="{00000000-0005-0000-0000-00004A360000}"/>
    <cellStyle name="Normal 3 13 8 8 2" xfId="26415" xr:uid="{00000000-0005-0000-0000-00004B360000}"/>
    <cellStyle name="Normal 3 13 8 9" xfId="8810" xr:uid="{00000000-0005-0000-0000-00004C360000}"/>
    <cellStyle name="Normal 3 13 8 9 2" xfId="26416" xr:uid="{00000000-0005-0000-0000-00004D360000}"/>
    <cellStyle name="Normal 3 13 9" xfId="8811" xr:uid="{00000000-0005-0000-0000-00004E360000}"/>
    <cellStyle name="Normal 3 13 9 10" xfId="8812" xr:uid="{00000000-0005-0000-0000-00004F360000}"/>
    <cellStyle name="Normal 3 13 9 10 2" xfId="26418" xr:uid="{00000000-0005-0000-0000-000050360000}"/>
    <cellStyle name="Normal 3 13 9 11" xfId="8813" xr:uid="{00000000-0005-0000-0000-000051360000}"/>
    <cellStyle name="Normal 3 13 9 11 2" xfId="26419" xr:uid="{00000000-0005-0000-0000-000052360000}"/>
    <cellStyle name="Normal 3 13 9 12" xfId="8814" xr:uid="{00000000-0005-0000-0000-000053360000}"/>
    <cellStyle name="Normal 3 13 9 12 2" xfId="26420" xr:uid="{00000000-0005-0000-0000-000054360000}"/>
    <cellStyle name="Normal 3 13 9 13" xfId="8815" xr:uid="{00000000-0005-0000-0000-000055360000}"/>
    <cellStyle name="Normal 3 13 9 13 2" xfId="26421" xr:uid="{00000000-0005-0000-0000-000056360000}"/>
    <cellStyle name="Normal 3 13 9 14" xfId="8816" xr:uid="{00000000-0005-0000-0000-000057360000}"/>
    <cellStyle name="Normal 3 13 9 14 2" xfId="26422" xr:uid="{00000000-0005-0000-0000-000058360000}"/>
    <cellStyle name="Normal 3 13 9 15" xfId="26417" xr:uid="{00000000-0005-0000-0000-000059360000}"/>
    <cellStyle name="Normal 3 13 9 2" xfId="8817" xr:uid="{00000000-0005-0000-0000-00005A360000}"/>
    <cellStyle name="Normal 3 13 9 2 2" xfId="26423" xr:uid="{00000000-0005-0000-0000-00005B360000}"/>
    <cellStyle name="Normal 3 13 9 3" xfId="8818" xr:uid="{00000000-0005-0000-0000-00005C360000}"/>
    <cellStyle name="Normal 3 13 9 3 2" xfId="26424" xr:uid="{00000000-0005-0000-0000-00005D360000}"/>
    <cellStyle name="Normal 3 13 9 4" xfId="8819" xr:uid="{00000000-0005-0000-0000-00005E360000}"/>
    <cellStyle name="Normal 3 13 9 4 2" xfId="26425" xr:uid="{00000000-0005-0000-0000-00005F360000}"/>
    <cellStyle name="Normal 3 13 9 5" xfId="8820" xr:uid="{00000000-0005-0000-0000-000060360000}"/>
    <cellStyle name="Normal 3 13 9 5 2" xfId="26426" xr:uid="{00000000-0005-0000-0000-000061360000}"/>
    <cellStyle name="Normal 3 13 9 6" xfId="8821" xr:uid="{00000000-0005-0000-0000-000062360000}"/>
    <cellStyle name="Normal 3 13 9 6 2" xfId="26427" xr:uid="{00000000-0005-0000-0000-000063360000}"/>
    <cellStyle name="Normal 3 13 9 7" xfId="8822" xr:uid="{00000000-0005-0000-0000-000064360000}"/>
    <cellStyle name="Normal 3 13 9 7 2" xfId="26428" xr:uid="{00000000-0005-0000-0000-000065360000}"/>
    <cellStyle name="Normal 3 13 9 8" xfId="8823" xr:uid="{00000000-0005-0000-0000-000066360000}"/>
    <cellStyle name="Normal 3 13 9 8 2" xfId="26429" xr:uid="{00000000-0005-0000-0000-000067360000}"/>
    <cellStyle name="Normal 3 13 9 9" xfId="8824" xr:uid="{00000000-0005-0000-0000-000068360000}"/>
    <cellStyle name="Normal 3 13 9 9 2" xfId="26430" xr:uid="{00000000-0005-0000-0000-000069360000}"/>
    <cellStyle name="Normal 3 14" xfId="8825" xr:uid="{00000000-0005-0000-0000-00006A360000}"/>
    <cellStyle name="Normal 3 14 10" xfId="8826" xr:uid="{00000000-0005-0000-0000-00006B360000}"/>
    <cellStyle name="Normal 3 14 10 10" xfId="8827" xr:uid="{00000000-0005-0000-0000-00006C360000}"/>
    <cellStyle name="Normal 3 14 10 10 2" xfId="26432" xr:uid="{00000000-0005-0000-0000-00006D360000}"/>
    <cellStyle name="Normal 3 14 10 11" xfId="8828" xr:uid="{00000000-0005-0000-0000-00006E360000}"/>
    <cellStyle name="Normal 3 14 10 11 2" xfId="26433" xr:uid="{00000000-0005-0000-0000-00006F360000}"/>
    <cellStyle name="Normal 3 14 10 12" xfId="8829" xr:uid="{00000000-0005-0000-0000-000070360000}"/>
    <cellStyle name="Normal 3 14 10 12 2" xfId="26434" xr:uid="{00000000-0005-0000-0000-000071360000}"/>
    <cellStyle name="Normal 3 14 10 13" xfId="8830" xr:uid="{00000000-0005-0000-0000-000072360000}"/>
    <cellStyle name="Normal 3 14 10 13 2" xfId="26435" xr:uid="{00000000-0005-0000-0000-000073360000}"/>
    <cellStyle name="Normal 3 14 10 14" xfId="8831" xr:uid="{00000000-0005-0000-0000-000074360000}"/>
    <cellStyle name="Normal 3 14 10 14 2" xfId="26436" xr:uid="{00000000-0005-0000-0000-000075360000}"/>
    <cellStyle name="Normal 3 14 10 15" xfId="26431" xr:uid="{00000000-0005-0000-0000-000076360000}"/>
    <cellStyle name="Normal 3 14 10 2" xfId="8832" xr:uid="{00000000-0005-0000-0000-000077360000}"/>
    <cellStyle name="Normal 3 14 10 2 2" xfId="26437" xr:uid="{00000000-0005-0000-0000-000078360000}"/>
    <cellStyle name="Normal 3 14 10 3" xfId="8833" xr:uid="{00000000-0005-0000-0000-000079360000}"/>
    <cellStyle name="Normal 3 14 10 3 2" xfId="26438" xr:uid="{00000000-0005-0000-0000-00007A360000}"/>
    <cellStyle name="Normal 3 14 10 4" xfId="8834" xr:uid="{00000000-0005-0000-0000-00007B360000}"/>
    <cellStyle name="Normal 3 14 10 4 2" xfId="26439" xr:uid="{00000000-0005-0000-0000-00007C360000}"/>
    <cellStyle name="Normal 3 14 10 5" xfId="8835" xr:uid="{00000000-0005-0000-0000-00007D360000}"/>
    <cellStyle name="Normal 3 14 10 5 2" xfId="26440" xr:uid="{00000000-0005-0000-0000-00007E360000}"/>
    <cellStyle name="Normal 3 14 10 6" xfId="8836" xr:uid="{00000000-0005-0000-0000-00007F360000}"/>
    <cellStyle name="Normal 3 14 10 6 2" xfId="26441" xr:uid="{00000000-0005-0000-0000-000080360000}"/>
    <cellStyle name="Normal 3 14 10 7" xfId="8837" xr:uid="{00000000-0005-0000-0000-000081360000}"/>
    <cellStyle name="Normal 3 14 10 7 2" xfId="26442" xr:uid="{00000000-0005-0000-0000-000082360000}"/>
    <cellStyle name="Normal 3 14 10 8" xfId="8838" xr:uid="{00000000-0005-0000-0000-000083360000}"/>
    <cellStyle name="Normal 3 14 10 8 2" xfId="26443" xr:uid="{00000000-0005-0000-0000-000084360000}"/>
    <cellStyle name="Normal 3 14 10 9" xfId="8839" xr:uid="{00000000-0005-0000-0000-000085360000}"/>
    <cellStyle name="Normal 3 14 10 9 2" xfId="26444" xr:uid="{00000000-0005-0000-0000-000086360000}"/>
    <cellStyle name="Normal 3 14 11" xfId="8840" xr:uid="{00000000-0005-0000-0000-000087360000}"/>
    <cellStyle name="Normal 3 14 11 10" xfId="8841" xr:uid="{00000000-0005-0000-0000-000088360000}"/>
    <cellStyle name="Normal 3 14 11 10 2" xfId="26446" xr:uid="{00000000-0005-0000-0000-000089360000}"/>
    <cellStyle name="Normal 3 14 11 11" xfId="8842" xr:uid="{00000000-0005-0000-0000-00008A360000}"/>
    <cellStyle name="Normal 3 14 11 11 2" xfId="26447" xr:uid="{00000000-0005-0000-0000-00008B360000}"/>
    <cellStyle name="Normal 3 14 11 12" xfId="8843" xr:uid="{00000000-0005-0000-0000-00008C360000}"/>
    <cellStyle name="Normal 3 14 11 12 2" xfId="26448" xr:uid="{00000000-0005-0000-0000-00008D360000}"/>
    <cellStyle name="Normal 3 14 11 13" xfId="8844" xr:uid="{00000000-0005-0000-0000-00008E360000}"/>
    <cellStyle name="Normal 3 14 11 13 2" xfId="26449" xr:uid="{00000000-0005-0000-0000-00008F360000}"/>
    <cellStyle name="Normal 3 14 11 14" xfId="8845" xr:uid="{00000000-0005-0000-0000-000090360000}"/>
    <cellStyle name="Normal 3 14 11 14 2" xfId="26450" xr:uid="{00000000-0005-0000-0000-000091360000}"/>
    <cellStyle name="Normal 3 14 11 15" xfId="26445" xr:uid="{00000000-0005-0000-0000-000092360000}"/>
    <cellStyle name="Normal 3 14 11 2" xfId="8846" xr:uid="{00000000-0005-0000-0000-000093360000}"/>
    <cellStyle name="Normal 3 14 11 2 2" xfId="26451" xr:uid="{00000000-0005-0000-0000-000094360000}"/>
    <cellStyle name="Normal 3 14 11 3" xfId="8847" xr:uid="{00000000-0005-0000-0000-000095360000}"/>
    <cellStyle name="Normal 3 14 11 3 2" xfId="26452" xr:uid="{00000000-0005-0000-0000-000096360000}"/>
    <cellStyle name="Normal 3 14 11 4" xfId="8848" xr:uid="{00000000-0005-0000-0000-000097360000}"/>
    <cellStyle name="Normal 3 14 11 4 2" xfId="26453" xr:uid="{00000000-0005-0000-0000-000098360000}"/>
    <cellStyle name="Normal 3 14 11 5" xfId="8849" xr:uid="{00000000-0005-0000-0000-000099360000}"/>
    <cellStyle name="Normal 3 14 11 5 2" xfId="26454" xr:uid="{00000000-0005-0000-0000-00009A360000}"/>
    <cellStyle name="Normal 3 14 11 6" xfId="8850" xr:uid="{00000000-0005-0000-0000-00009B360000}"/>
    <cellStyle name="Normal 3 14 11 6 2" xfId="26455" xr:uid="{00000000-0005-0000-0000-00009C360000}"/>
    <cellStyle name="Normal 3 14 11 7" xfId="8851" xr:uid="{00000000-0005-0000-0000-00009D360000}"/>
    <cellStyle name="Normal 3 14 11 7 2" xfId="26456" xr:uid="{00000000-0005-0000-0000-00009E360000}"/>
    <cellStyle name="Normal 3 14 11 8" xfId="8852" xr:uid="{00000000-0005-0000-0000-00009F360000}"/>
    <cellStyle name="Normal 3 14 11 8 2" xfId="26457" xr:uid="{00000000-0005-0000-0000-0000A0360000}"/>
    <cellStyle name="Normal 3 14 11 9" xfId="8853" xr:uid="{00000000-0005-0000-0000-0000A1360000}"/>
    <cellStyle name="Normal 3 14 11 9 2" xfId="26458" xr:uid="{00000000-0005-0000-0000-0000A2360000}"/>
    <cellStyle name="Normal 3 14 12" xfId="8854" xr:uid="{00000000-0005-0000-0000-0000A3360000}"/>
    <cellStyle name="Normal 3 14 12 10" xfId="8855" xr:uid="{00000000-0005-0000-0000-0000A4360000}"/>
    <cellStyle name="Normal 3 14 12 10 2" xfId="26460" xr:uid="{00000000-0005-0000-0000-0000A5360000}"/>
    <cellStyle name="Normal 3 14 12 11" xfId="8856" xr:uid="{00000000-0005-0000-0000-0000A6360000}"/>
    <cellStyle name="Normal 3 14 12 11 2" xfId="26461" xr:uid="{00000000-0005-0000-0000-0000A7360000}"/>
    <cellStyle name="Normal 3 14 12 12" xfId="8857" xr:uid="{00000000-0005-0000-0000-0000A8360000}"/>
    <cellStyle name="Normal 3 14 12 12 2" xfId="26462" xr:uid="{00000000-0005-0000-0000-0000A9360000}"/>
    <cellStyle name="Normal 3 14 12 13" xfId="8858" xr:uid="{00000000-0005-0000-0000-0000AA360000}"/>
    <cellStyle name="Normal 3 14 12 13 2" xfId="26463" xr:uid="{00000000-0005-0000-0000-0000AB360000}"/>
    <cellStyle name="Normal 3 14 12 14" xfId="8859" xr:uid="{00000000-0005-0000-0000-0000AC360000}"/>
    <cellStyle name="Normal 3 14 12 14 2" xfId="26464" xr:uid="{00000000-0005-0000-0000-0000AD360000}"/>
    <cellStyle name="Normal 3 14 12 15" xfId="26459" xr:uid="{00000000-0005-0000-0000-0000AE360000}"/>
    <cellStyle name="Normal 3 14 12 2" xfId="8860" xr:uid="{00000000-0005-0000-0000-0000AF360000}"/>
    <cellStyle name="Normal 3 14 12 2 2" xfId="26465" xr:uid="{00000000-0005-0000-0000-0000B0360000}"/>
    <cellStyle name="Normal 3 14 12 3" xfId="8861" xr:uid="{00000000-0005-0000-0000-0000B1360000}"/>
    <cellStyle name="Normal 3 14 12 3 2" xfId="26466" xr:uid="{00000000-0005-0000-0000-0000B2360000}"/>
    <cellStyle name="Normal 3 14 12 4" xfId="8862" xr:uid="{00000000-0005-0000-0000-0000B3360000}"/>
    <cellStyle name="Normal 3 14 12 4 2" xfId="26467" xr:uid="{00000000-0005-0000-0000-0000B4360000}"/>
    <cellStyle name="Normal 3 14 12 5" xfId="8863" xr:uid="{00000000-0005-0000-0000-0000B5360000}"/>
    <cellStyle name="Normal 3 14 12 5 2" xfId="26468" xr:uid="{00000000-0005-0000-0000-0000B6360000}"/>
    <cellStyle name="Normal 3 14 12 6" xfId="8864" xr:uid="{00000000-0005-0000-0000-0000B7360000}"/>
    <cellStyle name="Normal 3 14 12 6 2" xfId="26469" xr:uid="{00000000-0005-0000-0000-0000B8360000}"/>
    <cellStyle name="Normal 3 14 12 7" xfId="8865" xr:uid="{00000000-0005-0000-0000-0000B9360000}"/>
    <cellStyle name="Normal 3 14 12 7 2" xfId="26470" xr:uid="{00000000-0005-0000-0000-0000BA360000}"/>
    <cellStyle name="Normal 3 14 12 8" xfId="8866" xr:uid="{00000000-0005-0000-0000-0000BB360000}"/>
    <cellStyle name="Normal 3 14 12 8 2" xfId="26471" xr:uid="{00000000-0005-0000-0000-0000BC360000}"/>
    <cellStyle name="Normal 3 14 12 9" xfId="8867" xr:uid="{00000000-0005-0000-0000-0000BD360000}"/>
    <cellStyle name="Normal 3 14 12 9 2" xfId="26472" xr:uid="{00000000-0005-0000-0000-0000BE360000}"/>
    <cellStyle name="Normal 3 14 13" xfId="8868" xr:uid="{00000000-0005-0000-0000-0000BF360000}"/>
    <cellStyle name="Normal 3 14 13 10" xfId="8869" xr:uid="{00000000-0005-0000-0000-0000C0360000}"/>
    <cellStyle name="Normal 3 14 13 10 2" xfId="26474" xr:uid="{00000000-0005-0000-0000-0000C1360000}"/>
    <cellStyle name="Normal 3 14 13 11" xfId="8870" xr:uid="{00000000-0005-0000-0000-0000C2360000}"/>
    <cellStyle name="Normal 3 14 13 11 2" xfId="26475" xr:uid="{00000000-0005-0000-0000-0000C3360000}"/>
    <cellStyle name="Normal 3 14 13 12" xfId="8871" xr:uid="{00000000-0005-0000-0000-0000C4360000}"/>
    <cellStyle name="Normal 3 14 13 12 2" xfId="26476" xr:uid="{00000000-0005-0000-0000-0000C5360000}"/>
    <cellStyle name="Normal 3 14 13 13" xfId="8872" xr:uid="{00000000-0005-0000-0000-0000C6360000}"/>
    <cellStyle name="Normal 3 14 13 13 2" xfId="26477" xr:uid="{00000000-0005-0000-0000-0000C7360000}"/>
    <cellStyle name="Normal 3 14 13 14" xfId="8873" xr:uid="{00000000-0005-0000-0000-0000C8360000}"/>
    <cellStyle name="Normal 3 14 13 14 2" xfId="26478" xr:uid="{00000000-0005-0000-0000-0000C9360000}"/>
    <cellStyle name="Normal 3 14 13 15" xfId="26473" xr:uid="{00000000-0005-0000-0000-0000CA360000}"/>
    <cellStyle name="Normal 3 14 13 2" xfId="8874" xr:uid="{00000000-0005-0000-0000-0000CB360000}"/>
    <cellStyle name="Normal 3 14 13 2 2" xfId="26479" xr:uid="{00000000-0005-0000-0000-0000CC360000}"/>
    <cellStyle name="Normal 3 14 13 3" xfId="8875" xr:uid="{00000000-0005-0000-0000-0000CD360000}"/>
    <cellStyle name="Normal 3 14 13 3 2" xfId="26480" xr:uid="{00000000-0005-0000-0000-0000CE360000}"/>
    <cellStyle name="Normal 3 14 13 4" xfId="8876" xr:uid="{00000000-0005-0000-0000-0000CF360000}"/>
    <cellStyle name="Normal 3 14 13 4 2" xfId="26481" xr:uid="{00000000-0005-0000-0000-0000D0360000}"/>
    <cellStyle name="Normal 3 14 13 5" xfId="8877" xr:uid="{00000000-0005-0000-0000-0000D1360000}"/>
    <cellStyle name="Normal 3 14 13 5 2" xfId="26482" xr:uid="{00000000-0005-0000-0000-0000D2360000}"/>
    <cellStyle name="Normal 3 14 13 6" xfId="8878" xr:uid="{00000000-0005-0000-0000-0000D3360000}"/>
    <cellStyle name="Normal 3 14 13 6 2" xfId="26483" xr:uid="{00000000-0005-0000-0000-0000D4360000}"/>
    <cellStyle name="Normal 3 14 13 7" xfId="8879" xr:uid="{00000000-0005-0000-0000-0000D5360000}"/>
    <cellStyle name="Normal 3 14 13 7 2" xfId="26484" xr:uid="{00000000-0005-0000-0000-0000D6360000}"/>
    <cellStyle name="Normal 3 14 13 8" xfId="8880" xr:uid="{00000000-0005-0000-0000-0000D7360000}"/>
    <cellStyle name="Normal 3 14 13 8 2" xfId="26485" xr:uid="{00000000-0005-0000-0000-0000D8360000}"/>
    <cellStyle name="Normal 3 14 13 9" xfId="8881" xr:uid="{00000000-0005-0000-0000-0000D9360000}"/>
    <cellStyle name="Normal 3 14 13 9 2" xfId="26486" xr:uid="{00000000-0005-0000-0000-0000DA360000}"/>
    <cellStyle name="Normal 3 14 14" xfId="8882" xr:uid="{00000000-0005-0000-0000-0000DB360000}"/>
    <cellStyle name="Normal 3 14 14 10" xfId="8883" xr:uid="{00000000-0005-0000-0000-0000DC360000}"/>
    <cellStyle name="Normal 3 14 14 10 2" xfId="26488" xr:uid="{00000000-0005-0000-0000-0000DD360000}"/>
    <cellStyle name="Normal 3 14 14 11" xfId="8884" xr:uid="{00000000-0005-0000-0000-0000DE360000}"/>
    <cellStyle name="Normal 3 14 14 11 2" xfId="26489" xr:uid="{00000000-0005-0000-0000-0000DF360000}"/>
    <cellStyle name="Normal 3 14 14 12" xfId="8885" xr:uid="{00000000-0005-0000-0000-0000E0360000}"/>
    <cellStyle name="Normal 3 14 14 12 2" xfId="26490" xr:uid="{00000000-0005-0000-0000-0000E1360000}"/>
    <cellStyle name="Normal 3 14 14 13" xfId="8886" xr:uid="{00000000-0005-0000-0000-0000E2360000}"/>
    <cellStyle name="Normal 3 14 14 13 2" xfId="26491" xr:uid="{00000000-0005-0000-0000-0000E3360000}"/>
    <cellStyle name="Normal 3 14 14 14" xfId="8887" xr:uid="{00000000-0005-0000-0000-0000E4360000}"/>
    <cellStyle name="Normal 3 14 14 14 2" xfId="26492" xr:uid="{00000000-0005-0000-0000-0000E5360000}"/>
    <cellStyle name="Normal 3 14 14 15" xfId="26487" xr:uid="{00000000-0005-0000-0000-0000E6360000}"/>
    <cellStyle name="Normal 3 14 14 2" xfId="8888" xr:uid="{00000000-0005-0000-0000-0000E7360000}"/>
    <cellStyle name="Normal 3 14 14 2 2" xfId="26493" xr:uid="{00000000-0005-0000-0000-0000E8360000}"/>
    <cellStyle name="Normal 3 14 14 3" xfId="8889" xr:uid="{00000000-0005-0000-0000-0000E9360000}"/>
    <cellStyle name="Normal 3 14 14 3 2" xfId="26494" xr:uid="{00000000-0005-0000-0000-0000EA360000}"/>
    <cellStyle name="Normal 3 14 14 4" xfId="8890" xr:uid="{00000000-0005-0000-0000-0000EB360000}"/>
    <cellStyle name="Normal 3 14 14 4 2" xfId="26495" xr:uid="{00000000-0005-0000-0000-0000EC360000}"/>
    <cellStyle name="Normal 3 14 14 5" xfId="8891" xr:uid="{00000000-0005-0000-0000-0000ED360000}"/>
    <cellStyle name="Normal 3 14 14 5 2" xfId="26496" xr:uid="{00000000-0005-0000-0000-0000EE360000}"/>
    <cellStyle name="Normal 3 14 14 6" xfId="8892" xr:uid="{00000000-0005-0000-0000-0000EF360000}"/>
    <cellStyle name="Normal 3 14 14 6 2" xfId="26497" xr:uid="{00000000-0005-0000-0000-0000F0360000}"/>
    <cellStyle name="Normal 3 14 14 7" xfId="8893" xr:uid="{00000000-0005-0000-0000-0000F1360000}"/>
    <cellStyle name="Normal 3 14 14 7 2" xfId="26498" xr:uid="{00000000-0005-0000-0000-0000F2360000}"/>
    <cellStyle name="Normal 3 14 14 8" xfId="8894" xr:uid="{00000000-0005-0000-0000-0000F3360000}"/>
    <cellStyle name="Normal 3 14 14 8 2" xfId="26499" xr:uid="{00000000-0005-0000-0000-0000F4360000}"/>
    <cellStyle name="Normal 3 14 14 9" xfId="8895" xr:uid="{00000000-0005-0000-0000-0000F5360000}"/>
    <cellStyle name="Normal 3 14 14 9 2" xfId="26500" xr:uid="{00000000-0005-0000-0000-0000F6360000}"/>
    <cellStyle name="Normal 3 14 15" xfId="8896" xr:uid="{00000000-0005-0000-0000-0000F7360000}"/>
    <cellStyle name="Normal 3 14 16" xfId="8897" xr:uid="{00000000-0005-0000-0000-0000F8360000}"/>
    <cellStyle name="Normal 3 14 17" xfId="8898" xr:uid="{00000000-0005-0000-0000-0000F9360000}"/>
    <cellStyle name="Normal 3 14 17 10" xfId="8899" xr:uid="{00000000-0005-0000-0000-0000FA360000}"/>
    <cellStyle name="Normal 3 14 17 10 2" xfId="26502" xr:uid="{00000000-0005-0000-0000-0000FB360000}"/>
    <cellStyle name="Normal 3 14 17 11" xfId="8900" xr:uid="{00000000-0005-0000-0000-0000FC360000}"/>
    <cellStyle name="Normal 3 14 17 11 2" xfId="26503" xr:uid="{00000000-0005-0000-0000-0000FD360000}"/>
    <cellStyle name="Normal 3 14 17 12" xfId="8901" xr:uid="{00000000-0005-0000-0000-0000FE360000}"/>
    <cellStyle name="Normal 3 14 17 12 2" xfId="26504" xr:uid="{00000000-0005-0000-0000-0000FF360000}"/>
    <cellStyle name="Normal 3 14 17 13" xfId="8902" xr:uid="{00000000-0005-0000-0000-000000370000}"/>
    <cellStyle name="Normal 3 14 17 13 2" xfId="26505" xr:uid="{00000000-0005-0000-0000-000001370000}"/>
    <cellStyle name="Normal 3 14 17 14" xfId="8903" xr:uid="{00000000-0005-0000-0000-000002370000}"/>
    <cellStyle name="Normal 3 14 17 14 2" xfId="26506" xr:uid="{00000000-0005-0000-0000-000003370000}"/>
    <cellStyle name="Normal 3 14 17 15" xfId="26501" xr:uid="{00000000-0005-0000-0000-000004370000}"/>
    <cellStyle name="Normal 3 14 17 2" xfId="8904" xr:uid="{00000000-0005-0000-0000-000005370000}"/>
    <cellStyle name="Normal 3 14 17 2 2" xfId="26507" xr:uid="{00000000-0005-0000-0000-000006370000}"/>
    <cellStyle name="Normal 3 14 17 3" xfId="8905" xr:uid="{00000000-0005-0000-0000-000007370000}"/>
    <cellStyle name="Normal 3 14 17 3 2" xfId="26508" xr:uid="{00000000-0005-0000-0000-000008370000}"/>
    <cellStyle name="Normal 3 14 17 4" xfId="8906" xr:uid="{00000000-0005-0000-0000-000009370000}"/>
    <cellStyle name="Normal 3 14 17 4 2" xfId="26509" xr:uid="{00000000-0005-0000-0000-00000A370000}"/>
    <cellStyle name="Normal 3 14 17 5" xfId="8907" xr:uid="{00000000-0005-0000-0000-00000B370000}"/>
    <cellStyle name="Normal 3 14 17 5 2" xfId="26510" xr:uid="{00000000-0005-0000-0000-00000C370000}"/>
    <cellStyle name="Normal 3 14 17 6" xfId="8908" xr:uid="{00000000-0005-0000-0000-00000D370000}"/>
    <cellStyle name="Normal 3 14 17 6 2" xfId="26511" xr:uid="{00000000-0005-0000-0000-00000E370000}"/>
    <cellStyle name="Normal 3 14 17 7" xfId="8909" xr:uid="{00000000-0005-0000-0000-00000F370000}"/>
    <cellStyle name="Normal 3 14 17 7 2" xfId="26512" xr:uid="{00000000-0005-0000-0000-000010370000}"/>
    <cellStyle name="Normal 3 14 17 8" xfId="8910" xr:uid="{00000000-0005-0000-0000-000011370000}"/>
    <cellStyle name="Normal 3 14 17 8 2" xfId="26513" xr:uid="{00000000-0005-0000-0000-000012370000}"/>
    <cellStyle name="Normal 3 14 17 9" xfId="8911" xr:uid="{00000000-0005-0000-0000-000013370000}"/>
    <cellStyle name="Normal 3 14 17 9 2" xfId="26514" xr:uid="{00000000-0005-0000-0000-000014370000}"/>
    <cellStyle name="Normal 3 14 18" xfId="8912" xr:uid="{00000000-0005-0000-0000-000015370000}"/>
    <cellStyle name="Normal 3 14 18 10" xfId="8913" xr:uid="{00000000-0005-0000-0000-000016370000}"/>
    <cellStyle name="Normal 3 14 18 10 2" xfId="26516" xr:uid="{00000000-0005-0000-0000-000017370000}"/>
    <cellStyle name="Normal 3 14 18 11" xfId="8914" xr:uid="{00000000-0005-0000-0000-000018370000}"/>
    <cellStyle name="Normal 3 14 18 11 2" xfId="26517" xr:uid="{00000000-0005-0000-0000-000019370000}"/>
    <cellStyle name="Normal 3 14 18 12" xfId="8915" xr:uid="{00000000-0005-0000-0000-00001A370000}"/>
    <cellStyle name="Normal 3 14 18 12 2" xfId="26518" xr:uid="{00000000-0005-0000-0000-00001B370000}"/>
    <cellStyle name="Normal 3 14 18 13" xfId="8916" xr:uid="{00000000-0005-0000-0000-00001C370000}"/>
    <cellStyle name="Normal 3 14 18 13 2" xfId="26519" xr:uid="{00000000-0005-0000-0000-00001D370000}"/>
    <cellStyle name="Normal 3 14 18 14" xfId="8917" xr:uid="{00000000-0005-0000-0000-00001E370000}"/>
    <cellStyle name="Normal 3 14 18 14 2" xfId="26520" xr:uid="{00000000-0005-0000-0000-00001F370000}"/>
    <cellStyle name="Normal 3 14 18 15" xfId="26515" xr:uid="{00000000-0005-0000-0000-000020370000}"/>
    <cellStyle name="Normal 3 14 18 2" xfId="8918" xr:uid="{00000000-0005-0000-0000-000021370000}"/>
    <cellStyle name="Normal 3 14 18 2 2" xfId="26521" xr:uid="{00000000-0005-0000-0000-000022370000}"/>
    <cellStyle name="Normal 3 14 18 3" xfId="8919" xr:uid="{00000000-0005-0000-0000-000023370000}"/>
    <cellStyle name="Normal 3 14 18 3 2" xfId="26522" xr:uid="{00000000-0005-0000-0000-000024370000}"/>
    <cellStyle name="Normal 3 14 18 4" xfId="8920" xr:uid="{00000000-0005-0000-0000-000025370000}"/>
    <cellStyle name="Normal 3 14 18 4 2" xfId="26523" xr:uid="{00000000-0005-0000-0000-000026370000}"/>
    <cellStyle name="Normal 3 14 18 5" xfId="8921" xr:uid="{00000000-0005-0000-0000-000027370000}"/>
    <cellStyle name="Normal 3 14 18 5 2" xfId="26524" xr:uid="{00000000-0005-0000-0000-000028370000}"/>
    <cellStyle name="Normal 3 14 18 6" xfId="8922" xr:uid="{00000000-0005-0000-0000-000029370000}"/>
    <cellStyle name="Normal 3 14 18 6 2" xfId="26525" xr:uid="{00000000-0005-0000-0000-00002A370000}"/>
    <cellStyle name="Normal 3 14 18 7" xfId="8923" xr:uid="{00000000-0005-0000-0000-00002B370000}"/>
    <cellStyle name="Normal 3 14 18 7 2" xfId="26526" xr:uid="{00000000-0005-0000-0000-00002C370000}"/>
    <cellStyle name="Normal 3 14 18 8" xfId="8924" xr:uid="{00000000-0005-0000-0000-00002D370000}"/>
    <cellStyle name="Normal 3 14 18 8 2" xfId="26527" xr:uid="{00000000-0005-0000-0000-00002E370000}"/>
    <cellStyle name="Normal 3 14 18 9" xfId="8925" xr:uid="{00000000-0005-0000-0000-00002F370000}"/>
    <cellStyle name="Normal 3 14 18 9 2" xfId="26528" xr:uid="{00000000-0005-0000-0000-000030370000}"/>
    <cellStyle name="Normal 3 14 2" xfId="8926" xr:uid="{00000000-0005-0000-0000-000031370000}"/>
    <cellStyle name="Normal 3 14 2 10" xfId="8927" xr:uid="{00000000-0005-0000-0000-000032370000}"/>
    <cellStyle name="Normal 3 14 2 10 2" xfId="26530" xr:uid="{00000000-0005-0000-0000-000033370000}"/>
    <cellStyle name="Normal 3 14 2 11" xfId="8928" xr:uid="{00000000-0005-0000-0000-000034370000}"/>
    <cellStyle name="Normal 3 14 2 11 2" xfId="26531" xr:uid="{00000000-0005-0000-0000-000035370000}"/>
    <cellStyle name="Normal 3 14 2 12" xfId="8929" xr:uid="{00000000-0005-0000-0000-000036370000}"/>
    <cellStyle name="Normal 3 14 2 12 2" xfId="26532" xr:uid="{00000000-0005-0000-0000-000037370000}"/>
    <cellStyle name="Normal 3 14 2 13" xfId="8930" xr:uid="{00000000-0005-0000-0000-000038370000}"/>
    <cellStyle name="Normal 3 14 2 13 2" xfId="26533" xr:uid="{00000000-0005-0000-0000-000039370000}"/>
    <cellStyle name="Normal 3 14 2 14" xfId="8931" xr:uid="{00000000-0005-0000-0000-00003A370000}"/>
    <cellStyle name="Normal 3 14 2 14 2" xfId="26534" xr:uid="{00000000-0005-0000-0000-00003B370000}"/>
    <cellStyle name="Normal 3 14 2 15" xfId="8932" xr:uid="{00000000-0005-0000-0000-00003C370000}"/>
    <cellStyle name="Normal 3 14 2 15 2" xfId="26535" xr:uid="{00000000-0005-0000-0000-00003D370000}"/>
    <cellStyle name="Normal 3 14 2 16" xfId="8933" xr:uid="{00000000-0005-0000-0000-00003E370000}"/>
    <cellStyle name="Normal 3 14 2 16 2" xfId="26536" xr:uid="{00000000-0005-0000-0000-00003F370000}"/>
    <cellStyle name="Normal 3 14 2 17" xfId="8934" xr:uid="{00000000-0005-0000-0000-000040370000}"/>
    <cellStyle name="Normal 3 14 2 17 2" xfId="26537" xr:uid="{00000000-0005-0000-0000-000041370000}"/>
    <cellStyle name="Normal 3 14 2 18" xfId="26529" xr:uid="{00000000-0005-0000-0000-000042370000}"/>
    <cellStyle name="Normal 3 14 2 2" xfId="8935" xr:uid="{00000000-0005-0000-0000-000043370000}"/>
    <cellStyle name="Normal 3 14 2 3" xfId="8936" xr:uid="{00000000-0005-0000-0000-000044370000}"/>
    <cellStyle name="Normal 3 14 2 4" xfId="8937" xr:uid="{00000000-0005-0000-0000-000045370000}"/>
    <cellStyle name="Normal 3 14 2 5" xfId="8938" xr:uid="{00000000-0005-0000-0000-000046370000}"/>
    <cellStyle name="Normal 3 14 2 5 2" xfId="26538" xr:uid="{00000000-0005-0000-0000-000047370000}"/>
    <cellStyle name="Normal 3 14 2 6" xfId="8939" xr:uid="{00000000-0005-0000-0000-000048370000}"/>
    <cellStyle name="Normal 3 14 2 6 2" xfId="26539" xr:uid="{00000000-0005-0000-0000-000049370000}"/>
    <cellStyle name="Normal 3 14 2 7" xfId="8940" xr:uid="{00000000-0005-0000-0000-00004A370000}"/>
    <cellStyle name="Normal 3 14 2 7 2" xfId="26540" xr:uid="{00000000-0005-0000-0000-00004B370000}"/>
    <cellStyle name="Normal 3 14 2 8" xfId="8941" xr:uid="{00000000-0005-0000-0000-00004C370000}"/>
    <cellStyle name="Normal 3 14 2 8 2" xfId="26541" xr:uid="{00000000-0005-0000-0000-00004D370000}"/>
    <cellStyle name="Normal 3 14 2 9" xfId="8942" xr:uid="{00000000-0005-0000-0000-00004E370000}"/>
    <cellStyle name="Normal 3 14 2 9 2" xfId="26542" xr:uid="{00000000-0005-0000-0000-00004F370000}"/>
    <cellStyle name="Normal 3 14 3" xfId="8943" xr:uid="{00000000-0005-0000-0000-000050370000}"/>
    <cellStyle name="Normal 3 14 4" xfId="8944" xr:uid="{00000000-0005-0000-0000-000051370000}"/>
    <cellStyle name="Normal 3 14 5" xfId="8945" xr:uid="{00000000-0005-0000-0000-000052370000}"/>
    <cellStyle name="Normal 3 14 6" xfId="8946" xr:uid="{00000000-0005-0000-0000-000053370000}"/>
    <cellStyle name="Normal 3 14 6 10" xfId="8947" xr:uid="{00000000-0005-0000-0000-000054370000}"/>
    <cellStyle name="Normal 3 14 6 10 2" xfId="26544" xr:uid="{00000000-0005-0000-0000-000055370000}"/>
    <cellStyle name="Normal 3 14 6 11" xfId="8948" xr:uid="{00000000-0005-0000-0000-000056370000}"/>
    <cellStyle name="Normal 3 14 6 11 2" xfId="26545" xr:uid="{00000000-0005-0000-0000-000057370000}"/>
    <cellStyle name="Normal 3 14 6 12" xfId="8949" xr:uid="{00000000-0005-0000-0000-000058370000}"/>
    <cellStyle name="Normal 3 14 6 12 2" xfId="26546" xr:uid="{00000000-0005-0000-0000-000059370000}"/>
    <cellStyle name="Normal 3 14 6 13" xfId="8950" xr:uid="{00000000-0005-0000-0000-00005A370000}"/>
    <cellStyle name="Normal 3 14 6 13 2" xfId="26547" xr:uid="{00000000-0005-0000-0000-00005B370000}"/>
    <cellStyle name="Normal 3 14 6 14" xfId="8951" xr:uid="{00000000-0005-0000-0000-00005C370000}"/>
    <cellStyle name="Normal 3 14 6 14 2" xfId="26548" xr:uid="{00000000-0005-0000-0000-00005D370000}"/>
    <cellStyle name="Normal 3 14 6 15" xfId="8952" xr:uid="{00000000-0005-0000-0000-00005E370000}"/>
    <cellStyle name="Normal 3 14 6 15 2" xfId="26549" xr:uid="{00000000-0005-0000-0000-00005F370000}"/>
    <cellStyle name="Normal 3 14 6 16" xfId="26543" xr:uid="{00000000-0005-0000-0000-000060370000}"/>
    <cellStyle name="Normal 3 14 6 2" xfId="8953" xr:uid="{00000000-0005-0000-0000-000061370000}"/>
    <cellStyle name="Normal 3 14 6 2 10" xfId="8954" xr:uid="{00000000-0005-0000-0000-000062370000}"/>
    <cellStyle name="Normal 3 14 6 2 10 2" xfId="26551" xr:uid="{00000000-0005-0000-0000-000063370000}"/>
    <cellStyle name="Normal 3 14 6 2 11" xfId="8955" xr:uid="{00000000-0005-0000-0000-000064370000}"/>
    <cellStyle name="Normal 3 14 6 2 11 2" xfId="26552" xr:uid="{00000000-0005-0000-0000-000065370000}"/>
    <cellStyle name="Normal 3 14 6 2 12" xfId="8956" xr:uid="{00000000-0005-0000-0000-000066370000}"/>
    <cellStyle name="Normal 3 14 6 2 12 2" xfId="26553" xr:uid="{00000000-0005-0000-0000-000067370000}"/>
    <cellStyle name="Normal 3 14 6 2 13" xfId="8957" xr:uid="{00000000-0005-0000-0000-000068370000}"/>
    <cellStyle name="Normal 3 14 6 2 13 2" xfId="26554" xr:uid="{00000000-0005-0000-0000-000069370000}"/>
    <cellStyle name="Normal 3 14 6 2 14" xfId="8958" xr:uid="{00000000-0005-0000-0000-00006A370000}"/>
    <cellStyle name="Normal 3 14 6 2 14 2" xfId="26555" xr:uid="{00000000-0005-0000-0000-00006B370000}"/>
    <cellStyle name="Normal 3 14 6 2 15" xfId="26550" xr:uid="{00000000-0005-0000-0000-00006C370000}"/>
    <cellStyle name="Normal 3 14 6 2 2" xfId="8959" xr:uid="{00000000-0005-0000-0000-00006D370000}"/>
    <cellStyle name="Normal 3 14 6 2 2 2" xfId="26556" xr:uid="{00000000-0005-0000-0000-00006E370000}"/>
    <cellStyle name="Normal 3 14 6 2 3" xfId="8960" xr:uid="{00000000-0005-0000-0000-00006F370000}"/>
    <cellStyle name="Normal 3 14 6 2 3 2" xfId="26557" xr:uid="{00000000-0005-0000-0000-000070370000}"/>
    <cellStyle name="Normal 3 14 6 2 4" xfId="8961" xr:uid="{00000000-0005-0000-0000-000071370000}"/>
    <cellStyle name="Normal 3 14 6 2 4 2" xfId="26558" xr:uid="{00000000-0005-0000-0000-000072370000}"/>
    <cellStyle name="Normal 3 14 6 2 5" xfId="8962" xr:uid="{00000000-0005-0000-0000-000073370000}"/>
    <cellStyle name="Normal 3 14 6 2 5 2" xfId="26559" xr:uid="{00000000-0005-0000-0000-000074370000}"/>
    <cellStyle name="Normal 3 14 6 2 6" xfId="8963" xr:uid="{00000000-0005-0000-0000-000075370000}"/>
    <cellStyle name="Normal 3 14 6 2 6 2" xfId="26560" xr:uid="{00000000-0005-0000-0000-000076370000}"/>
    <cellStyle name="Normal 3 14 6 2 7" xfId="8964" xr:uid="{00000000-0005-0000-0000-000077370000}"/>
    <cellStyle name="Normal 3 14 6 2 7 2" xfId="26561" xr:uid="{00000000-0005-0000-0000-000078370000}"/>
    <cellStyle name="Normal 3 14 6 2 8" xfId="8965" xr:uid="{00000000-0005-0000-0000-000079370000}"/>
    <cellStyle name="Normal 3 14 6 2 8 2" xfId="26562" xr:uid="{00000000-0005-0000-0000-00007A370000}"/>
    <cellStyle name="Normal 3 14 6 2 9" xfId="8966" xr:uid="{00000000-0005-0000-0000-00007B370000}"/>
    <cellStyle name="Normal 3 14 6 2 9 2" xfId="26563" xr:uid="{00000000-0005-0000-0000-00007C370000}"/>
    <cellStyle name="Normal 3 14 6 3" xfId="8967" xr:uid="{00000000-0005-0000-0000-00007D370000}"/>
    <cellStyle name="Normal 3 14 6 3 2" xfId="26564" xr:uid="{00000000-0005-0000-0000-00007E370000}"/>
    <cellStyle name="Normal 3 14 6 4" xfId="8968" xr:uid="{00000000-0005-0000-0000-00007F370000}"/>
    <cellStyle name="Normal 3 14 6 4 2" xfId="26565" xr:uid="{00000000-0005-0000-0000-000080370000}"/>
    <cellStyle name="Normal 3 14 6 5" xfId="8969" xr:uid="{00000000-0005-0000-0000-000081370000}"/>
    <cellStyle name="Normal 3 14 6 5 2" xfId="26566" xr:uid="{00000000-0005-0000-0000-000082370000}"/>
    <cellStyle name="Normal 3 14 6 6" xfId="8970" xr:uid="{00000000-0005-0000-0000-000083370000}"/>
    <cellStyle name="Normal 3 14 6 6 2" xfId="26567" xr:uid="{00000000-0005-0000-0000-000084370000}"/>
    <cellStyle name="Normal 3 14 6 7" xfId="8971" xr:uid="{00000000-0005-0000-0000-000085370000}"/>
    <cellStyle name="Normal 3 14 6 7 2" xfId="26568" xr:uid="{00000000-0005-0000-0000-000086370000}"/>
    <cellStyle name="Normal 3 14 6 8" xfId="8972" xr:uid="{00000000-0005-0000-0000-000087370000}"/>
    <cellStyle name="Normal 3 14 6 8 2" xfId="26569" xr:uid="{00000000-0005-0000-0000-000088370000}"/>
    <cellStyle name="Normal 3 14 6 9" xfId="8973" xr:uid="{00000000-0005-0000-0000-000089370000}"/>
    <cellStyle name="Normal 3 14 6 9 2" xfId="26570" xr:uid="{00000000-0005-0000-0000-00008A370000}"/>
    <cellStyle name="Normal 3 14 7" xfId="8974" xr:uid="{00000000-0005-0000-0000-00008B370000}"/>
    <cellStyle name="Normal 3 14 7 10" xfId="8975" xr:uid="{00000000-0005-0000-0000-00008C370000}"/>
    <cellStyle name="Normal 3 14 7 10 2" xfId="26572" xr:uid="{00000000-0005-0000-0000-00008D370000}"/>
    <cellStyle name="Normal 3 14 7 11" xfId="8976" xr:uid="{00000000-0005-0000-0000-00008E370000}"/>
    <cellStyle name="Normal 3 14 7 11 2" xfId="26573" xr:uid="{00000000-0005-0000-0000-00008F370000}"/>
    <cellStyle name="Normal 3 14 7 12" xfId="8977" xr:uid="{00000000-0005-0000-0000-000090370000}"/>
    <cellStyle name="Normal 3 14 7 12 2" xfId="26574" xr:uid="{00000000-0005-0000-0000-000091370000}"/>
    <cellStyle name="Normal 3 14 7 13" xfId="8978" xr:uid="{00000000-0005-0000-0000-000092370000}"/>
    <cellStyle name="Normal 3 14 7 13 2" xfId="26575" xr:uid="{00000000-0005-0000-0000-000093370000}"/>
    <cellStyle name="Normal 3 14 7 14" xfId="8979" xr:uid="{00000000-0005-0000-0000-000094370000}"/>
    <cellStyle name="Normal 3 14 7 14 2" xfId="26576" xr:uid="{00000000-0005-0000-0000-000095370000}"/>
    <cellStyle name="Normal 3 14 7 15" xfId="8980" xr:uid="{00000000-0005-0000-0000-000096370000}"/>
    <cellStyle name="Normal 3 14 7 15 2" xfId="26577" xr:uid="{00000000-0005-0000-0000-000097370000}"/>
    <cellStyle name="Normal 3 14 7 16" xfId="26571" xr:uid="{00000000-0005-0000-0000-000098370000}"/>
    <cellStyle name="Normal 3 14 7 2" xfId="8981" xr:uid="{00000000-0005-0000-0000-000099370000}"/>
    <cellStyle name="Normal 3 14 7 2 10" xfId="8982" xr:uid="{00000000-0005-0000-0000-00009A370000}"/>
    <cellStyle name="Normal 3 14 7 2 10 2" xfId="26579" xr:uid="{00000000-0005-0000-0000-00009B370000}"/>
    <cellStyle name="Normal 3 14 7 2 11" xfId="8983" xr:uid="{00000000-0005-0000-0000-00009C370000}"/>
    <cellStyle name="Normal 3 14 7 2 11 2" xfId="26580" xr:uid="{00000000-0005-0000-0000-00009D370000}"/>
    <cellStyle name="Normal 3 14 7 2 12" xfId="8984" xr:uid="{00000000-0005-0000-0000-00009E370000}"/>
    <cellStyle name="Normal 3 14 7 2 12 2" xfId="26581" xr:uid="{00000000-0005-0000-0000-00009F370000}"/>
    <cellStyle name="Normal 3 14 7 2 13" xfId="8985" xr:uid="{00000000-0005-0000-0000-0000A0370000}"/>
    <cellStyle name="Normal 3 14 7 2 13 2" xfId="26582" xr:uid="{00000000-0005-0000-0000-0000A1370000}"/>
    <cellStyle name="Normal 3 14 7 2 14" xfId="8986" xr:uid="{00000000-0005-0000-0000-0000A2370000}"/>
    <cellStyle name="Normal 3 14 7 2 14 2" xfId="26583" xr:uid="{00000000-0005-0000-0000-0000A3370000}"/>
    <cellStyle name="Normal 3 14 7 2 15" xfId="26578" xr:uid="{00000000-0005-0000-0000-0000A4370000}"/>
    <cellStyle name="Normal 3 14 7 2 2" xfId="8987" xr:uid="{00000000-0005-0000-0000-0000A5370000}"/>
    <cellStyle name="Normal 3 14 7 2 2 2" xfId="26584" xr:uid="{00000000-0005-0000-0000-0000A6370000}"/>
    <cellStyle name="Normal 3 14 7 2 3" xfId="8988" xr:uid="{00000000-0005-0000-0000-0000A7370000}"/>
    <cellStyle name="Normal 3 14 7 2 3 2" xfId="26585" xr:uid="{00000000-0005-0000-0000-0000A8370000}"/>
    <cellStyle name="Normal 3 14 7 2 4" xfId="8989" xr:uid="{00000000-0005-0000-0000-0000A9370000}"/>
    <cellStyle name="Normal 3 14 7 2 4 2" xfId="26586" xr:uid="{00000000-0005-0000-0000-0000AA370000}"/>
    <cellStyle name="Normal 3 14 7 2 5" xfId="8990" xr:uid="{00000000-0005-0000-0000-0000AB370000}"/>
    <cellStyle name="Normal 3 14 7 2 5 2" xfId="26587" xr:uid="{00000000-0005-0000-0000-0000AC370000}"/>
    <cellStyle name="Normal 3 14 7 2 6" xfId="8991" xr:uid="{00000000-0005-0000-0000-0000AD370000}"/>
    <cellStyle name="Normal 3 14 7 2 6 2" xfId="26588" xr:uid="{00000000-0005-0000-0000-0000AE370000}"/>
    <cellStyle name="Normal 3 14 7 2 7" xfId="8992" xr:uid="{00000000-0005-0000-0000-0000AF370000}"/>
    <cellStyle name="Normal 3 14 7 2 7 2" xfId="26589" xr:uid="{00000000-0005-0000-0000-0000B0370000}"/>
    <cellStyle name="Normal 3 14 7 2 8" xfId="8993" xr:uid="{00000000-0005-0000-0000-0000B1370000}"/>
    <cellStyle name="Normal 3 14 7 2 8 2" xfId="26590" xr:uid="{00000000-0005-0000-0000-0000B2370000}"/>
    <cellStyle name="Normal 3 14 7 2 9" xfId="8994" xr:uid="{00000000-0005-0000-0000-0000B3370000}"/>
    <cellStyle name="Normal 3 14 7 2 9 2" xfId="26591" xr:uid="{00000000-0005-0000-0000-0000B4370000}"/>
    <cellStyle name="Normal 3 14 7 3" xfId="8995" xr:uid="{00000000-0005-0000-0000-0000B5370000}"/>
    <cellStyle name="Normal 3 14 7 3 2" xfId="26592" xr:uid="{00000000-0005-0000-0000-0000B6370000}"/>
    <cellStyle name="Normal 3 14 7 4" xfId="8996" xr:uid="{00000000-0005-0000-0000-0000B7370000}"/>
    <cellStyle name="Normal 3 14 7 4 2" xfId="26593" xr:uid="{00000000-0005-0000-0000-0000B8370000}"/>
    <cellStyle name="Normal 3 14 7 5" xfId="8997" xr:uid="{00000000-0005-0000-0000-0000B9370000}"/>
    <cellStyle name="Normal 3 14 7 5 2" xfId="26594" xr:uid="{00000000-0005-0000-0000-0000BA370000}"/>
    <cellStyle name="Normal 3 14 7 6" xfId="8998" xr:uid="{00000000-0005-0000-0000-0000BB370000}"/>
    <cellStyle name="Normal 3 14 7 6 2" xfId="26595" xr:uid="{00000000-0005-0000-0000-0000BC370000}"/>
    <cellStyle name="Normal 3 14 7 7" xfId="8999" xr:uid="{00000000-0005-0000-0000-0000BD370000}"/>
    <cellStyle name="Normal 3 14 7 7 2" xfId="26596" xr:uid="{00000000-0005-0000-0000-0000BE370000}"/>
    <cellStyle name="Normal 3 14 7 8" xfId="9000" xr:uid="{00000000-0005-0000-0000-0000BF370000}"/>
    <cellStyle name="Normal 3 14 7 8 2" xfId="26597" xr:uid="{00000000-0005-0000-0000-0000C0370000}"/>
    <cellStyle name="Normal 3 14 7 9" xfId="9001" xr:uid="{00000000-0005-0000-0000-0000C1370000}"/>
    <cellStyle name="Normal 3 14 7 9 2" xfId="26598" xr:uid="{00000000-0005-0000-0000-0000C2370000}"/>
    <cellStyle name="Normal 3 14 8" xfId="9002" xr:uid="{00000000-0005-0000-0000-0000C3370000}"/>
    <cellStyle name="Normal 3 14 8 10" xfId="9003" xr:uid="{00000000-0005-0000-0000-0000C4370000}"/>
    <cellStyle name="Normal 3 14 8 10 2" xfId="26600" xr:uid="{00000000-0005-0000-0000-0000C5370000}"/>
    <cellStyle name="Normal 3 14 8 11" xfId="9004" xr:uid="{00000000-0005-0000-0000-0000C6370000}"/>
    <cellStyle name="Normal 3 14 8 11 2" xfId="26601" xr:uid="{00000000-0005-0000-0000-0000C7370000}"/>
    <cellStyle name="Normal 3 14 8 12" xfId="9005" xr:uid="{00000000-0005-0000-0000-0000C8370000}"/>
    <cellStyle name="Normal 3 14 8 12 2" xfId="26602" xr:uid="{00000000-0005-0000-0000-0000C9370000}"/>
    <cellStyle name="Normal 3 14 8 13" xfId="9006" xr:uid="{00000000-0005-0000-0000-0000CA370000}"/>
    <cellStyle name="Normal 3 14 8 13 2" xfId="26603" xr:uid="{00000000-0005-0000-0000-0000CB370000}"/>
    <cellStyle name="Normal 3 14 8 14" xfId="9007" xr:uid="{00000000-0005-0000-0000-0000CC370000}"/>
    <cellStyle name="Normal 3 14 8 14 2" xfId="26604" xr:uid="{00000000-0005-0000-0000-0000CD370000}"/>
    <cellStyle name="Normal 3 14 8 15" xfId="9008" xr:uid="{00000000-0005-0000-0000-0000CE370000}"/>
    <cellStyle name="Normal 3 14 8 15 2" xfId="26605" xr:uid="{00000000-0005-0000-0000-0000CF370000}"/>
    <cellStyle name="Normal 3 14 8 16" xfId="26599" xr:uid="{00000000-0005-0000-0000-0000D0370000}"/>
    <cellStyle name="Normal 3 14 8 2" xfId="9009" xr:uid="{00000000-0005-0000-0000-0000D1370000}"/>
    <cellStyle name="Normal 3 14 8 2 10" xfId="9010" xr:uid="{00000000-0005-0000-0000-0000D2370000}"/>
    <cellStyle name="Normal 3 14 8 2 10 2" xfId="26607" xr:uid="{00000000-0005-0000-0000-0000D3370000}"/>
    <cellStyle name="Normal 3 14 8 2 11" xfId="9011" xr:uid="{00000000-0005-0000-0000-0000D4370000}"/>
    <cellStyle name="Normal 3 14 8 2 11 2" xfId="26608" xr:uid="{00000000-0005-0000-0000-0000D5370000}"/>
    <cellStyle name="Normal 3 14 8 2 12" xfId="9012" xr:uid="{00000000-0005-0000-0000-0000D6370000}"/>
    <cellStyle name="Normal 3 14 8 2 12 2" xfId="26609" xr:uid="{00000000-0005-0000-0000-0000D7370000}"/>
    <cellStyle name="Normal 3 14 8 2 13" xfId="9013" xr:uid="{00000000-0005-0000-0000-0000D8370000}"/>
    <cellStyle name="Normal 3 14 8 2 13 2" xfId="26610" xr:uid="{00000000-0005-0000-0000-0000D9370000}"/>
    <cellStyle name="Normal 3 14 8 2 14" xfId="9014" xr:uid="{00000000-0005-0000-0000-0000DA370000}"/>
    <cellStyle name="Normal 3 14 8 2 14 2" xfId="26611" xr:uid="{00000000-0005-0000-0000-0000DB370000}"/>
    <cellStyle name="Normal 3 14 8 2 15" xfId="26606" xr:uid="{00000000-0005-0000-0000-0000DC370000}"/>
    <cellStyle name="Normal 3 14 8 2 2" xfId="9015" xr:uid="{00000000-0005-0000-0000-0000DD370000}"/>
    <cellStyle name="Normal 3 14 8 2 2 2" xfId="26612" xr:uid="{00000000-0005-0000-0000-0000DE370000}"/>
    <cellStyle name="Normal 3 14 8 2 3" xfId="9016" xr:uid="{00000000-0005-0000-0000-0000DF370000}"/>
    <cellStyle name="Normal 3 14 8 2 3 2" xfId="26613" xr:uid="{00000000-0005-0000-0000-0000E0370000}"/>
    <cellStyle name="Normal 3 14 8 2 4" xfId="9017" xr:uid="{00000000-0005-0000-0000-0000E1370000}"/>
    <cellStyle name="Normal 3 14 8 2 4 2" xfId="26614" xr:uid="{00000000-0005-0000-0000-0000E2370000}"/>
    <cellStyle name="Normal 3 14 8 2 5" xfId="9018" xr:uid="{00000000-0005-0000-0000-0000E3370000}"/>
    <cellStyle name="Normal 3 14 8 2 5 2" xfId="26615" xr:uid="{00000000-0005-0000-0000-0000E4370000}"/>
    <cellStyle name="Normal 3 14 8 2 6" xfId="9019" xr:uid="{00000000-0005-0000-0000-0000E5370000}"/>
    <cellStyle name="Normal 3 14 8 2 6 2" xfId="26616" xr:uid="{00000000-0005-0000-0000-0000E6370000}"/>
    <cellStyle name="Normal 3 14 8 2 7" xfId="9020" xr:uid="{00000000-0005-0000-0000-0000E7370000}"/>
    <cellStyle name="Normal 3 14 8 2 7 2" xfId="26617" xr:uid="{00000000-0005-0000-0000-0000E8370000}"/>
    <cellStyle name="Normal 3 14 8 2 8" xfId="9021" xr:uid="{00000000-0005-0000-0000-0000E9370000}"/>
    <cellStyle name="Normal 3 14 8 2 8 2" xfId="26618" xr:uid="{00000000-0005-0000-0000-0000EA370000}"/>
    <cellStyle name="Normal 3 14 8 2 9" xfId="9022" xr:uid="{00000000-0005-0000-0000-0000EB370000}"/>
    <cellStyle name="Normal 3 14 8 2 9 2" xfId="26619" xr:uid="{00000000-0005-0000-0000-0000EC370000}"/>
    <cellStyle name="Normal 3 14 8 3" xfId="9023" xr:uid="{00000000-0005-0000-0000-0000ED370000}"/>
    <cellStyle name="Normal 3 14 8 3 2" xfId="26620" xr:uid="{00000000-0005-0000-0000-0000EE370000}"/>
    <cellStyle name="Normal 3 14 8 4" xfId="9024" xr:uid="{00000000-0005-0000-0000-0000EF370000}"/>
    <cellStyle name="Normal 3 14 8 4 2" xfId="26621" xr:uid="{00000000-0005-0000-0000-0000F0370000}"/>
    <cellStyle name="Normal 3 14 8 5" xfId="9025" xr:uid="{00000000-0005-0000-0000-0000F1370000}"/>
    <cellStyle name="Normal 3 14 8 5 2" xfId="26622" xr:uid="{00000000-0005-0000-0000-0000F2370000}"/>
    <cellStyle name="Normal 3 14 8 6" xfId="9026" xr:uid="{00000000-0005-0000-0000-0000F3370000}"/>
    <cellStyle name="Normal 3 14 8 6 2" xfId="26623" xr:uid="{00000000-0005-0000-0000-0000F4370000}"/>
    <cellStyle name="Normal 3 14 8 7" xfId="9027" xr:uid="{00000000-0005-0000-0000-0000F5370000}"/>
    <cellStyle name="Normal 3 14 8 7 2" xfId="26624" xr:uid="{00000000-0005-0000-0000-0000F6370000}"/>
    <cellStyle name="Normal 3 14 8 8" xfId="9028" xr:uid="{00000000-0005-0000-0000-0000F7370000}"/>
    <cellStyle name="Normal 3 14 8 8 2" xfId="26625" xr:uid="{00000000-0005-0000-0000-0000F8370000}"/>
    <cellStyle name="Normal 3 14 8 9" xfId="9029" xr:uid="{00000000-0005-0000-0000-0000F9370000}"/>
    <cellStyle name="Normal 3 14 8 9 2" xfId="26626" xr:uid="{00000000-0005-0000-0000-0000FA370000}"/>
    <cellStyle name="Normal 3 14 9" xfId="9030" xr:uid="{00000000-0005-0000-0000-0000FB370000}"/>
    <cellStyle name="Normal 3 14 9 10" xfId="9031" xr:uid="{00000000-0005-0000-0000-0000FC370000}"/>
    <cellStyle name="Normal 3 14 9 10 2" xfId="26628" xr:uid="{00000000-0005-0000-0000-0000FD370000}"/>
    <cellStyle name="Normal 3 14 9 11" xfId="9032" xr:uid="{00000000-0005-0000-0000-0000FE370000}"/>
    <cellStyle name="Normal 3 14 9 11 2" xfId="26629" xr:uid="{00000000-0005-0000-0000-0000FF370000}"/>
    <cellStyle name="Normal 3 14 9 12" xfId="9033" xr:uid="{00000000-0005-0000-0000-000000380000}"/>
    <cellStyle name="Normal 3 14 9 12 2" xfId="26630" xr:uid="{00000000-0005-0000-0000-000001380000}"/>
    <cellStyle name="Normal 3 14 9 13" xfId="9034" xr:uid="{00000000-0005-0000-0000-000002380000}"/>
    <cellStyle name="Normal 3 14 9 13 2" xfId="26631" xr:uid="{00000000-0005-0000-0000-000003380000}"/>
    <cellStyle name="Normal 3 14 9 14" xfId="9035" xr:uid="{00000000-0005-0000-0000-000004380000}"/>
    <cellStyle name="Normal 3 14 9 14 2" xfId="26632" xr:uid="{00000000-0005-0000-0000-000005380000}"/>
    <cellStyle name="Normal 3 14 9 15" xfId="26627" xr:uid="{00000000-0005-0000-0000-000006380000}"/>
    <cellStyle name="Normal 3 14 9 2" xfId="9036" xr:uid="{00000000-0005-0000-0000-000007380000}"/>
    <cellStyle name="Normal 3 14 9 2 2" xfId="26633" xr:uid="{00000000-0005-0000-0000-000008380000}"/>
    <cellStyle name="Normal 3 14 9 3" xfId="9037" xr:uid="{00000000-0005-0000-0000-000009380000}"/>
    <cellStyle name="Normal 3 14 9 3 2" xfId="26634" xr:uid="{00000000-0005-0000-0000-00000A380000}"/>
    <cellStyle name="Normal 3 14 9 4" xfId="9038" xr:uid="{00000000-0005-0000-0000-00000B380000}"/>
    <cellStyle name="Normal 3 14 9 4 2" xfId="26635" xr:uid="{00000000-0005-0000-0000-00000C380000}"/>
    <cellStyle name="Normal 3 14 9 5" xfId="9039" xr:uid="{00000000-0005-0000-0000-00000D380000}"/>
    <cellStyle name="Normal 3 14 9 5 2" xfId="26636" xr:uid="{00000000-0005-0000-0000-00000E380000}"/>
    <cellStyle name="Normal 3 14 9 6" xfId="9040" xr:uid="{00000000-0005-0000-0000-00000F380000}"/>
    <cellStyle name="Normal 3 14 9 6 2" xfId="26637" xr:uid="{00000000-0005-0000-0000-000010380000}"/>
    <cellStyle name="Normal 3 14 9 7" xfId="9041" xr:uid="{00000000-0005-0000-0000-000011380000}"/>
    <cellStyle name="Normal 3 14 9 7 2" xfId="26638" xr:uid="{00000000-0005-0000-0000-000012380000}"/>
    <cellStyle name="Normal 3 14 9 8" xfId="9042" xr:uid="{00000000-0005-0000-0000-000013380000}"/>
    <cellStyle name="Normal 3 14 9 8 2" xfId="26639" xr:uid="{00000000-0005-0000-0000-000014380000}"/>
    <cellStyle name="Normal 3 14 9 9" xfId="9043" xr:uid="{00000000-0005-0000-0000-000015380000}"/>
    <cellStyle name="Normal 3 14 9 9 2" xfId="26640" xr:uid="{00000000-0005-0000-0000-000016380000}"/>
    <cellStyle name="Normal 3 15" xfId="9044" xr:uid="{00000000-0005-0000-0000-000017380000}"/>
    <cellStyle name="Normal 3 15 10" xfId="9045" xr:uid="{00000000-0005-0000-0000-000018380000}"/>
    <cellStyle name="Normal 3 15 10 10" xfId="9046" xr:uid="{00000000-0005-0000-0000-000019380000}"/>
    <cellStyle name="Normal 3 15 10 10 2" xfId="26642" xr:uid="{00000000-0005-0000-0000-00001A380000}"/>
    <cellStyle name="Normal 3 15 10 11" xfId="9047" xr:uid="{00000000-0005-0000-0000-00001B380000}"/>
    <cellStyle name="Normal 3 15 10 11 2" xfId="26643" xr:uid="{00000000-0005-0000-0000-00001C380000}"/>
    <cellStyle name="Normal 3 15 10 12" xfId="9048" xr:uid="{00000000-0005-0000-0000-00001D380000}"/>
    <cellStyle name="Normal 3 15 10 12 2" xfId="26644" xr:uid="{00000000-0005-0000-0000-00001E380000}"/>
    <cellStyle name="Normal 3 15 10 13" xfId="9049" xr:uid="{00000000-0005-0000-0000-00001F380000}"/>
    <cellStyle name="Normal 3 15 10 13 2" xfId="26645" xr:uid="{00000000-0005-0000-0000-000020380000}"/>
    <cellStyle name="Normal 3 15 10 14" xfId="9050" xr:uid="{00000000-0005-0000-0000-000021380000}"/>
    <cellStyle name="Normal 3 15 10 14 2" xfId="26646" xr:uid="{00000000-0005-0000-0000-000022380000}"/>
    <cellStyle name="Normal 3 15 10 15" xfId="26641" xr:uid="{00000000-0005-0000-0000-000023380000}"/>
    <cellStyle name="Normal 3 15 10 2" xfId="9051" xr:uid="{00000000-0005-0000-0000-000024380000}"/>
    <cellStyle name="Normal 3 15 10 2 2" xfId="26647" xr:uid="{00000000-0005-0000-0000-000025380000}"/>
    <cellStyle name="Normal 3 15 10 3" xfId="9052" xr:uid="{00000000-0005-0000-0000-000026380000}"/>
    <cellStyle name="Normal 3 15 10 3 2" xfId="26648" xr:uid="{00000000-0005-0000-0000-000027380000}"/>
    <cellStyle name="Normal 3 15 10 4" xfId="9053" xr:uid="{00000000-0005-0000-0000-000028380000}"/>
    <cellStyle name="Normal 3 15 10 4 2" xfId="26649" xr:uid="{00000000-0005-0000-0000-000029380000}"/>
    <cellStyle name="Normal 3 15 10 5" xfId="9054" xr:uid="{00000000-0005-0000-0000-00002A380000}"/>
    <cellStyle name="Normal 3 15 10 5 2" xfId="26650" xr:uid="{00000000-0005-0000-0000-00002B380000}"/>
    <cellStyle name="Normal 3 15 10 6" xfId="9055" xr:uid="{00000000-0005-0000-0000-00002C380000}"/>
    <cellStyle name="Normal 3 15 10 6 2" xfId="26651" xr:uid="{00000000-0005-0000-0000-00002D380000}"/>
    <cellStyle name="Normal 3 15 10 7" xfId="9056" xr:uid="{00000000-0005-0000-0000-00002E380000}"/>
    <cellStyle name="Normal 3 15 10 7 2" xfId="26652" xr:uid="{00000000-0005-0000-0000-00002F380000}"/>
    <cellStyle name="Normal 3 15 10 8" xfId="9057" xr:uid="{00000000-0005-0000-0000-000030380000}"/>
    <cellStyle name="Normal 3 15 10 8 2" xfId="26653" xr:uid="{00000000-0005-0000-0000-000031380000}"/>
    <cellStyle name="Normal 3 15 10 9" xfId="9058" xr:uid="{00000000-0005-0000-0000-000032380000}"/>
    <cellStyle name="Normal 3 15 10 9 2" xfId="26654" xr:uid="{00000000-0005-0000-0000-000033380000}"/>
    <cellStyle name="Normal 3 15 11" xfId="9059" xr:uid="{00000000-0005-0000-0000-000034380000}"/>
    <cellStyle name="Normal 3 15 11 10" xfId="9060" xr:uid="{00000000-0005-0000-0000-000035380000}"/>
    <cellStyle name="Normal 3 15 11 10 2" xfId="26656" xr:uid="{00000000-0005-0000-0000-000036380000}"/>
    <cellStyle name="Normal 3 15 11 11" xfId="9061" xr:uid="{00000000-0005-0000-0000-000037380000}"/>
    <cellStyle name="Normal 3 15 11 11 2" xfId="26657" xr:uid="{00000000-0005-0000-0000-000038380000}"/>
    <cellStyle name="Normal 3 15 11 12" xfId="9062" xr:uid="{00000000-0005-0000-0000-000039380000}"/>
    <cellStyle name="Normal 3 15 11 12 2" xfId="26658" xr:uid="{00000000-0005-0000-0000-00003A380000}"/>
    <cellStyle name="Normal 3 15 11 13" xfId="9063" xr:uid="{00000000-0005-0000-0000-00003B380000}"/>
    <cellStyle name="Normal 3 15 11 13 2" xfId="26659" xr:uid="{00000000-0005-0000-0000-00003C380000}"/>
    <cellStyle name="Normal 3 15 11 14" xfId="9064" xr:uid="{00000000-0005-0000-0000-00003D380000}"/>
    <cellStyle name="Normal 3 15 11 14 2" xfId="26660" xr:uid="{00000000-0005-0000-0000-00003E380000}"/>
    <cellStyle name="Normal 3 15 11 15" xfId="26655" xr:uid="{00000000-0005-0000-0000-00003F380000}"/>
    <cellStyle name="Normal 3 15 11 2" xfId="9065" xr:uid="{00000000-0005-0000-0000-000040380000}"/>
    <cellStyle name="Normal 3 15 11 2 2" xfId="26661" xr:uid="{00000000-0005-0000-0000-000041380000}"/>
    <cellStyle name="Normal 3 15 11 3" xfId="9066" xr:uid="{00000000-0005-0000-0000-000042380000}"/>
    <cellStyle name="Normal 3 15 11 3 2" xfId="26662" xr:uid="{00000000-0005-0000-0000-000043380000}"/>
    <cellStyle name="Normal 3 15 11 4" xfId="9067" xr:uid="{00000000-0005-0000-0000-000044380000}"/>
    <cellStyle name="Normal 3 15 11 4 2" xfId="26663" xr:uid="{00000000-0005-0000-0000-000045380000}"/>
    <cellStyle name="Normal 3 15 11 5" xfId="9068" xr:uid="{00000000-0005-0000-0000-000046380000}"/>
    <cellStyle name="Normal 3 15 11 5 2" xfId="26664" xr:uid="{00000000-0005-0000-0000-000047380000}"/>
    <cellStyle name="Normal 3 15 11 6" xfId="9069" xr:uid="{00000000-0005-0000-0000-000048380000}"/>
    <cellStyle name="Normal 3 15 11 6 2" xfId="26665" xr:uid="{00000000-0005-0000-0000-000049380000}"/>
    <cellStyle name="Normal 3 15 11 7" xfId="9070" xr:uid="{00000000-0005-0000-0000-00004A380000}"/>
    <cellStyle name="Normal 3 15 11 7 2" xfId="26666" xr:uid="{00000000-0005-0000-0000-00004B380000}"/>
    <cellStyle name="Normal 3 15 11 8" xfId="9071" xr:uid="{00000000-0005-0000-0000-00004C380000}"/>
    <cellStyle name="Normal 3 15 11 8 2" xfId="26667" xr:uid="{00000000-0005-0000-0000-00004D380000}"/>
    <cellStyle name="Normal 3 15 11 9" xfId="9072" xr:uid="{00000000-0005-0000-0000-00004E380000}"/>
    <cellStyle name="Normal 3 15 11 9 2" xfId="26668" xr:uid="{00000000-0005-0000-0000-00004F380000}"/>
    <cellStyle name="Normal 3 15 12" xfId="9073" xr:uid="{00000000-0005-0000-0000-000050380000}"/>
    <cellStyle name="Normal 3 15 12 10" xfId="9074" xr:uid="{00000000-0005-0000-0000-000051380000}"/>
    <cellStyle name="Normal 3 15 12 10 2" xfId="26670" xr:uid="{00000000-0005-0000-0000-000052380000}"/>
    <cellStyle name="Normal 3 15 12 11" xfId="9075" xr:uid="{00000000-0005-0000-0000-000053380000}"/>
    <cellStyle name="Normal 3 15 12 11 2" xfId="26671" xr:uid="{00000000-0005-0000-0000-000054380000}"/>
    <cellStyle name="Normal 3 15 12 12" xfId="9076" xr:uid="{00000000-0005-0000-0000-000055380000}"/>
    <cellStyle name="Normal 3 15 12 12 2" xfId="26672" xr:uid="{00000000-0005-0000-0000-000056380000}"/>
    <cellStyle name="Normal 3 15 12 13" xfId="9077" xr:uid="{00000000-0005-0000-0000-000057380000}"/>
    <cellStyle name="Normal 3 15 12 13 2" xfId="26673" xr:uid="{00000000-0005-0000-0000-000058380000}"/>
    <cellStyle name="Normal 3 15 12 14" xfId="9078" xr:uid="{00000000-0005-0000-0000-000059380000}"/>
    <cellStyle name="Normal 3 15 12 14 2" xfId="26674" xr:uid="{00000000-0005-0000-0000-00005A380000}"/>
    <cellStyle name="Normal 3 15 12 15" xfId="26669" xr:uid="{00000000-0005-0000-0000-00005B380000}"/>
    <cellStyle name="Normal 3 15 12 2" xfId="9079" xr:uid="{00000000-0005-0000-0000-00005C380000}"/>
    <cellStyle name="Normal 3 15 12 2 2" xfId="26675" xr:uid="{00000000-0005-0000-0000-00005D380000}"/>
    <cellStyle name="Normal 3 15 12 3" xfId="9080" xr:uid="{00000000-0005-0000-0000-00005E380000}"/>
    <cellStyle name="Normal 3 15 12 3 2" xfId="26676" xr:uid="{00000000-0005-0000-0000-00005F380000}"/>
    <cellStyle name="Normal 3 15 12 4" xfId="9081" xr:uid="{00000000-0005-0000-0000-000060380000}"/>
    <cellStyle name="Normal 3 15 12 4 2" xfId="26677" xr:uid="{00000000-0005-0000-0000-000061380000}"/>
    <cellStyle name="Normal 3 15 12 5" xfId="9082" xr:uid="{00000000-0005-0000-0000-000062380000}"/>
    <cellStyle name="Normal 3 15 12 5 2" xfId="26678" xr:uid="{00000000-0005-0000-0000-000063380000}"/>
    <cellStyle name="Normal 3 15 12 6" xfId="9083" xr:uid="{00000000-0005-0000-0000-000064380000}"/>
    <cellStyle name="Normal 3 15 12 6 2" xfId="26679" xr:uid="{00000000-0005-0000-0000-000065380000}"/>
    <cellStyle name="Normal 3 15 12 7" xfId="9084" xr:uid="{00000000-0005-0000-0000-000066380000}"/>
    <cellStyle name="Normal 3 15 12 7 2" xfId="26680" xr:uid="{00000000-0005-0000-0000-000067380000}"/>
    <cellStyle name="Normal 3 15 12 8" xfId="9085" xr:uid="{00000000-0005-0000-0000-000068380000}"/>
    <cellStyle name="Normal 3 15 12 8 2" xfId="26681" xr:uid="{00000000-0005-0000-0000-000069380000}"/>
    <cellStyle name="Normal 3 15 12 9" xfId="9086" xr:uid="{00000000-0005-0000-0000-00006A380000}"/>
    <cellStyle name="Normal 3 15 12 9 2" xfId="26682" xr:uid="{00000000-0005-0000-0000-00006B380000}"/>
    <cellStyle name="Normal 3 15 13" xfId="9087" xr:uid="{00000000-0005-0000-0000-00006C380000}"/>
    <cellStyle name="Normal 3 15 13 10" xfId="9088" xr:uid="{00000000-0005-0000-0000-00006D380000}"/>
    <cellStyle name="Normal 3 15 13 10 2" xfId="26684" xr:uid="{00000000-0005-0000-0000-00006E380000}"/>
    <cellStyle name="Normal 3 15 13 11" xfId="9089" xr:uid="{00000000-0005-0000-0000-00006F380000}"/>
    <cellStyle name="Normal 3 15 13 11 2" xfId="26685" xr:uid="{00000000-0005-0000-0000-000070380000}"/>
    <cellStyle name="Normal 3 15 13 12" xfId="9090" xr:uid="{00000000-0005-0000-0000-000071380000}"/>
    <cellStyle name="Normal 3 15 13 12 2" xfId="26686" xr:uid="{00000000-0005-0000-0000-000072380000}"/>
    <cellStyle name="Normal 3 15 13 13" xfId="9091" xr:uid="{00000000-0005-0000-0000-000073380000}"/>
    <cellStyle name="Normal 3 15 13 13 2" xfId="26687" xr:uid="{00000000-0005-0000-0000-000074380000}"/>
    <cellStyle name="Normal 3 15 13 14" xfId="9092" xr:uid="{00000000-0005-0000-0000-000075380000}"/>
    <cellStyle name="Normal 3 15 13 14 2" xfId="26688" xr:uid="{00000000-0005-0000-0000-000076380000}"/>
    <cellStyle name="Normal 3 15 13 15" xfId="26683" xr:uid="{00000000-0005-0000-0000-000077380000}"/>
    <cellStyle name="Normal 3 15 13 2" xfId="9093" xr:uid="{00000000-0005-0000-0000-000078380000}"/>
    <cellStyle name="Normal 3 15 13 2 2" xfId="26689" xr:uid="{00000000-0005-0000-0000-000079380000}"/>
    <cellStyle name="Normal 3 15 13 3" xfId="9094" xr:uid="{00000000-0005-0000-0000-00007A380000}"/>
    <cellStyle name="Normal 3 15 13 3 2" xfId="26690" xr:uid="{00000000-0005-0000-0000-00007B380000}"/>
    <cellStyle name="Normal 3 15 13 4" xfId="9095" xr:uid="{00000000-0005-0000-0000-00007C380000}"/>
    <cellStyle name="Normal 3 15 13 4 2" xfId="26691" xr:uid="{00000000-0005-0000-0000-00007D380000}"/>
    <cellStyle name="Normal 3 15 13 5" xfId="9096" xr:uid="{00000000-0005-0000-0000-00007E380000}"/>
    <cellStyle name="Normal 3 15 13 5 2" xfId="26692" xr:uid="{00000000-0005-0000-0000-00007F380000}"/>
    <cellStyle name="Normal 3 15 13 6" xfId="9097" xr:uid="{00000000-0005-0000-0000-000080380000}"/>
    <cellStyle name="Normal 3 15 13 6 2" xfId="26693" xr:uid="{00000000-0005-0000-0000-000081380000}"/>
    <cellStyle name="Normal 3 15 13 7" xfId="9098" xr:uid="{00000000-0005-0000-0000-000082380000}"/>
    <cellStyle name="Normal 3 15 13 7 2" xfId="26694" xr:uid="{00000000-0005-0000-0000-000083380000}"/>
    <cellStyle name="Normal 3 15 13 8" xfId="9099" xr:uid="{00000000-0005-0000-0000-000084380000}"/>
    <cellStyle name="Normal 3 15 13 8 2" xfId="26695" xr:uid="{00000000-0005-0000-0000-000085380000}"/>
    <cellStyle name="Normal 3 15 13 9" xfId="9100" xr:uid="{00000000-0005-0000-0000-000086380000}"/>
    <cellStyle name="Normal 3 15 13 9 2" xfId="26696" xr:uid="{00000000-0005-0000-0000-000087380000}"/>
    <cellStyle name="Normal 3 15 14" xfId="9101" xr:uid="{00000000-0005-0000-0000-000088380000}"/>
    <cellStyle name="Normal 3 15 14 10" xfId="9102" xr:uid="{00000000-0005-0000-0000-000089380000}"/>
    <cellStyle name="Normal 3 15 14 10 2" xfId="26698" xr:uid="{00000000-0005-0000-0000-00008A380000}"/>
    <cellStyle name="Normal 3 15 14 11" xfId="9103" xr:uid="{00000000-0005-0000-0000-00008B380000}"/>
    <cellStyle name="Normal 3 15 14 11 2" xfId="26699" xr:uid="{00000000-0005-0000-0000-00008C380000}"/>
    <cellStyle name="Normal 3 15 14 12" xfId="9104" xr:uid="{00000000-0005-0000-0000-00008D380000}"/>
    <cellStyle name="Normal 3 15 14 12 2" xfId="26700" xr:uid="{00000000-0005-0000-0000-00008E380000}"/>
    <cellStyle name="Normal 3 15 14 13" xfId="9105" xr:uid="{00000000-0005-0000-0000-00008F380000}"/>
    <cellStyle name="Normal 3 15 14 13 2" xfId="26701" xr:uid="{00000000-0005-0000-0000-000090380000}"/>
    <cellStyle name="Normal 3 15 14 14" xfId="9106" xr:uid="{00000000-0005-0000-0000-000091380000}"/>
    <cellStyle name="Normal 3 15 14 14 2" xfId="26702" xr:uid="{00000000-0005-0000-0000-000092380000}"/>
    <cellStyle name="Normal 3 15 14 15" xfId="26697" xr:uid="{00000000-0005-0000-0000-000093380000}"/>
    <cellStyle name="Normal 3 15 14 2" xfId="9107" xr:uid="{00000000-0005-0000-0000-000094380000}"/>
    <cellStyle name="Normal 3 15 14 2 2" xfId="26703" xr:uid="{00000000-0005-0000-0000-000095380000}"/>
    <cellStyle name="Normal 3 15 14 3" xfId="9108" xr:uid="{00000000-0005-0000-0000-000096380000}"/>
    <cellStyle name="Normal 3 15 14 3 2" xfId="26704" xr:uid="{00000000-0005-0000-0000-000097380000}"/>
    <cellStyle name="Normal 3 15 14 4" xfId="9109" xr:uid="{00000000-0005-0000-0000-000098380000}"/>
    <cellStyle name="Normal 3 15 14 4 2" xfId="26705" xr:uid="{00000000-0005-0000-0000-000099380000}"/>
    <cellStyle name="Normal 3 15 14 5" xfId="9110" xr:uid="{00000000-0005-0000-0000-00009A380000}"/>
    <cellStyle name="Normal 3 15 14 5 2" xfId="26706" xr:uid="{00000000-0005-0000-0000-00009B380000}"/>
    <cellStyle name="Normal 3 15 14 6" xfId="9111" xr:uid="{00000000-0005-0000-0000-00009C380000}"/>
    <cellStyle name="Normal 3 15 14 6 2" xfId="26707" xr:uid="{00000000-0005-0000-0000-00009D380000}"/>
    <cellStyle name="Normal 3 15 14 7" xfId="9112" xr:uid="{00000000-0005-0000-0000-00009E380000}"/>
    <cellStyle name="Normal 3 15 14 7 2" xfId="26708" xr:uid="{00000000-0005-0000-0000-00009F380000}"/>
    <cellStyle name="Normal 3 15 14 8" xfId="9113" xr:uid="{00000000-0005-0000-0000-0000A0380000}"/>
    <cellStyle name="Normal 3 15 14 8 2" xfId="26709" xr:uid="{00000000-0005-0000-0000-0000A1380000}"/>
    <cellStyle name="Normal 3 15 14 9" xfId="9114" xr:uid="{00000000-0005-0000-0000-0000A2380000}"/>
    <cellStyle name="Normal 3 15 14 9 2" xfId="26710" xr:uid="{00000000-0005-0000-0000-0000A3380000}"/>
    <cellStyle name="Normal 3 15 15" xfId="9115" xr:uid="{00000000-0005-0000-0000-0000A4380000}"/>
    <cellStyle name="Normal 3 15 16" xfId="9116" xr:uid="{00000000-0005-0000-0000-0000A5380000}"/>
    <cellStyle name="Normal 3 15 17" xfId="9117" xr:uid="{00000000-0005-0000-0000-0000A6380000}"/>
    <cellStyle name="Normal 3 15 17 10" xfId="9118" xr:uid="{00000000-0005-0000-0000-0000A7380000}"/>
    <cellStyle name="Normal 3 15 17 10 2" xfId="26712" xr:uid="{00000000-0005-0000-0000-0000A8380000}"/>
    <cellStyle name="Normal 3 15 17 11" xfId="9119" xr:uid="{00000000-0005-0000-0000-0000A9380000}"/>
    <cellStyle name="Normal 3 15 17 11 2" xfId="26713" xr:uid="{00000000-0005-0000-0000-0000AA380000}"/>
    <cellStyle name="Normal 3 15 17 12" xfId="9120" xr:uid="{00000000-0005-0000-0000-0000AB380000}"/>
    <cellStyle name="Normal 3 15 17 12 2" xfId="26714" xr:uid="{00000000-0005-0000-0000-0000AC380000}"/>
    <cellStyle name="Normal 3 15 17 13" xfId="9121" xr:uid="{00000000-0005-0000-0000-0000AD380000}"/>
    <cellStyle name="Normal 3 15 17 13 2" xfId="26715" xr:uid="{00000000-0005-0000-0000-0000AE380000}"/>
    <cellStyle name="Normal 3 15 17 14" xfId="9122" xr:uid="{00000000-0005-0000-0000-0000AF380000}"/>
    <cellStyle name="Normal 3 15 17 14 2" xfId="26716" xr:uid="{00000000-0005-0000-0000-0000B0380000}"/>
    <cellStyle name="Normal 3 15 17 15" xfId="26711" xr:uid="{00000000-0005-0000-0000-0000B1380000}"/>
    <cellStyle name="Normal 3 15 17 2" xfId="9123" xr:uid="{00000000-0005-0000-0000-0000B2380000}"/>
    <cellStyle name="Normal 3 15 17 2 2" xfId="26717" xr:uid="{00000000-0005-0000-0000-0000B3380000}"/>
    <cellStyle name="Normal 3 15 17 3" xfId="9124" xr:uid="{00000000-0005-0000-0000-0000B4380000}"/>
    <cellStyle name="Normal 3 15 17 3 2" xfId="26718" xr:uid="{00000000-0005-0000-0000-0000B5380000}"/>
    <cellStyle name="Normal 3 15 17 4" xfId="9125" xr:uid="{00000000-0005-0000-0000-0000B6380000}"/>
    <cellStyle name="Normal 3 15 17 4 2" xfId="26719" xr:uid="{00000000-0005-0000-0000-0000B7380000}"/>
    <cellStyle name="Normal 3 15 17 5" xfId="9126" xr:uid="{00000000-0005-0000-0000-0000B8380000}"/>
    <cellStyle name="Normal 3 15 17 5 2" xfId="26720" xr:uid="{00000000-0005-0000-0000-0000B9380000}"/>
    <cellStyle name="Normal 3 15 17 6" xfId="9127" xr:uid="{00000000-0005-0000-0000-0000BA380000}"/>
    <cellStyle name="Normal 3 15 17 6 2" xfId="26721" xr:uid="{00000000-0005-0000-0000-0000BB380000}"/>
    <cellStyle name="Normal 3 15 17 7" xfId="9128" xr:uid="{00000000-0005-0000-0000-0000BC380000}"/>
    <cellStyle name="Normal 3 15 17 7 2" xfId="26722" xr:uid="{00000000-0005-0000-0000-0000BD380000}"/>
    <cellStyle name="Normal 3 15 17 8" xfId="9129" xr:uid="{00000000-0005-0000-0000-0000BE380000}"/>
    <cellStyle name="Normal 3 15 17 8 2" xfId="26723" xr:uid="{00000000-0005-0000-0000-0000BF380000}"/>
    <cellStyle name="Normal 3 15 17 9" xfId="9130" xr:uid="{00000000-0005-0000-0000-0000C0380000}"/>
    <cellStyle name="Normal 3 15 17 9 2" xfId="26724" xr:uid="{00000000-0005-0000-0000-0000C1380000}"/>
    <cellStyle name="Normal 3 15 18" xfId="9131" xr:uid="{00000000-0005-0000-0000-0000C2380000}"/>
    <cellStyle name="Normal 3 15 18 10" xfId="9132" xr:uid="{00000000-0005-0000-0000-0000C3380000}"/>
    <cellStyle name="Normal 3 15 18 10 2" xfId="26726" xr:uid="{00000000-0005-0000-0000-0000C4380000}"/>
    <cellStyle name="Normal 3 15 18 11" xfId="9133" xr:uid="{00000000-0005-0000-0000-0000C5380000}"/>
    <cellStyle name="Normal 3 15 18 11 2" xfId="26727" xr:uid="{00000000-0005-0000-0000-0000C6380000}"/>
    <cellStyle name="Normal 3 15 18 12" xfId="9134" xr:uid="{00000000-0005-0000-0000-0000C7380000}"/>
    <cellStyle name="Normal 3 15 18 12 2" xfId="26728" xr:uid="{00000000-0005-0000-0000-0000C8380000}"/>
    <cellStyle name="Normal 3 15 18 13" xfId="9135" xr:uid="{00000000-0005-0000-0000-0000C9380000}"/>
    <cellStyle name="Normal 3 15 18 13 2" xfId="26729" xr:uid="{00000000-0005-0000-0000-0000CA380000}"/>
    <cellStyle name="Normal 3 15 18 14" xfId="9136" xr:uid="{00000000-0005-0000-0000-0000CB380000}"/>
    <cellStyle name="Normal 3 15 18 14 2" xfId="26730" xr:uid="{00000000-0005-0000-0000-0000CC380000}"/>
    <cellStyle name="Normal 3 15 18 15" xfId="26725" xr:uid="{00000000-0005-0000-0000-0000CD380000}"/>
    <cellStyle name="Normal 3 15 18 2" xfId="9137" xr:uid="{00000000-0005-0000-0000-0000CE380000}"/>
    <cellStyle name="Normal 3 15 18 2 2" xfId="26731" xr:uid="{00000000-0005-0000-0000-0000CF380000}"/>
    <cellStyle name="Normal 3 15 18 3" xfId="9138" xr:uid="{00000000-0005-0000-0000-0000D0380000}"/>
    <cellStyle name="Normal 3 15 18 3 2" xfId="26732" xr:uid="{00000000-0005-0000-0000-0000D1380000}"/>
    <cellStyle name="Normal 3 15 18 4" xfId="9139" xr:uid="{00000000-0005-0000-0000-0000D2380000}"/>
    <cellStyle name="Normal 3 15 18 4 2" xfId="26733" xr:uid="{00000000-0005-0000-0000-0000D3380000}"/>
    <cellStyle name="Normal 3 15 18 5" xfId="9140" xr:uid="{00000000-0005-0000-0000-0000D4380000}"/>
    <cellStyle name="Normal 3 15 18 5 2" xfId="26734" xr:uid="{00000000-0005-0000-0000-0000D5380000}"/>
    <cellStyle name="Normal 3 15 18 6" xfId="9141" xr:uid="{00000000-0005-0000-0000-0000D6380000}"/>
    <cellStyle name="Normal 3 15 18 6 2" xfId="26735" xr:uid="{00000000-0005-0000-0000-0000D7380000}"/>
    <cellStyle name="Normal 3 15 18 7" xfId="9142" xr:uid="{00000000-0005-0000-0000-0000D8380000}"/>
    <cellStyle name="Normal 3 15 18 7 2" xfId="26736" xr:uid="{00000000-0005-0000-0000-0000D9380000}"/>
    <cellStyle name="Normal 3 15 18 8" xfId="9143" xr:uid="{00000000-0005-0000-0000-0000DA380000}"/>
    <cellStyle name="Normal 3 15 18 8 2" xfId="26737" xr:uid="{00000000-0005-0000-0000-0000DB380000}"/>
    <cellStyle name="Normal 3 15 18 9" xfId="9144" xr:uid="{00000000-0005-0000-0000-0000DC380000}"/>
    <cellStyle name="Normal 3 15 18 9 2" xfId="26738" xr:uid="{00000000-0005-0000-0000-0000DD380000}"/>
    <cellStyle name="Normal 3 15 2" xfId="9145" xr:uid="{00000000-0005-0000-0000-0000DE380000}"/>
    <cellStyle name="Normal 3 15 2 10" xfId="9146" xr:uid="{00000000-0005-0000-0000-0000DF380000}"/>
    <cellStyle name="Normal 3 15 2 10 2" xfId="26740" xr:uid="{00000000-0005-0000-0000-0000E0380000}"/>
    <cellStyle name="Normal 3 15 2 11" xfId="9147" xr:uid="{00000000-0005-0000-0000-0000E1380000}"/>
    <cellStyle name="Normal 3 15 2 11 2" xfId="26741" xr:uid="{00000000-0005-0000-0000-0000E2380000}"/>
    <cellStyle name="Normal 3 15 2 12" xfId="9148" xr:uid="{00000000-0005-0000-0000-0000E3380000}"/>
    <cellStyle name="Normal 3 15 2 12 2" xfId="26742" xr:uid="{00000000-0005-0000-0000-0000E4380000}"/>
    <cellStyle name="Normal 3 15 2 13" xfId="9149" xr:uid="{00000000-0005-0000-0000-0000E5380000}"/>
    <cellStyle name="Normal 3 15 2 13 2" xfId="26743" xr:uid="{00000000-0005-0000-0000-0000E6380000}"/>
    <cellStyle name="Normal 3 15 2 14" xfId="9150" xr:uid="{00000000-0005-0000-0000-0000E7380000}"/>
    <cellStyle name="Normal 3 15 2 14 2" xfId="26744" xr:uid="{00000000-0005-0000-0000-0000E8380000}"/>
    <cellStyle name="Normal 3 15 2 15" xfId="9151" xr:uid="{00000000-0005-0000-0000-0000E9380000}"/>
    <cellStyle name="Normal 3 15 2 15 2" xfId="26745" xr:uid="{00000000-0005-0000-0000-0000EA380000}"/>
    <cellStyle name="Normal 3 15 2 16" xfId="9152" xr:uid="{00000000-0005-0000-0000-0000EB380000}"/>
    <cellStyle name="Normal 3 15 2 16 2" xfId="26746" xr:uid="{00000000-0005-0000-0000-0000EC380000}"/>
    <cellStyle name="Normal 3 15 2 17" xfId="9153" xr:uid="{00000000-0005-0000-0000-0000ED380000}"/>
    <cellStyle name="Normal 3 15 2 17 2" xfId="26747" xr:uid="{00000000-0005-0000-0000-0000EE380000}"/>
    <cellStyle name="Normal 3 15 2 18" xfId="26739" xr:uid="{00000000-0005-0000-0000-0000EF380000}"/>
    <cellStyle name="Normal 3 15 2 2" xfId="9154" xr:uid="{00000000-0005-0000-0000-0000F0380000}"/>
    <cellStyle name="Normal 3 15 2 3" xfId="9155" xr:uid="{00000000-0005-0000-0000-0000F1380000}"/>
    <cellStyle name="Normal 3 15 2 4" xfId="9156" xr:uid="{00000000-0005-0000-0000-0000F2380000}"/>
    <cellStyle name="Normal 3 15 2 5" xfId="9157" xr:uid="{00000000-0005-0000-0000-0000F3380000}"/>
    <cellStyle name="Normal 3 15 2 5 2" xfId="26748" xr:uid="{00000000-0005-0000-0000-0000F4380000}"/>
    <cellStyle name="Normal 3 15 2 6" xfId="9158" xr:uid="{00000000-0005-0000-0000-0000F5380000}"/>
    <cellStyle name="Normal 3 15 2 6 2" xfId="26749" xr:uid="{00000000-0005-0000-0000-0000F6380000}"/>
    <cellStyle name="Normal 3 15 2 7" xfId="9159" xr:uid="{00000000-0005-0000-0000-0000F7380000}"/>
    <cellStyle name="Normal 3 15 2 7 2" xfId="26750" xr:uid="{00000000-0005-0000-0000-0000F8380000}"/>
    <cellStyle name="Normal 3 15 2 8" xfId="9160" xr:uid="{00000000-0005-0000-0000-0000F9380000}"/>
    <cellStyle name="Normal 3 15 2 8 2" xfId="26751" xr:uid="{00000000-0005-0000-0000-0000FA380000}"/>
    <cellStyle name="Normal 3 15 2 9" xfId="9161" xr:uid="{00000000-0005-0000-0000-0000FB380000}"/>
    <cellStyle name="Normal 3 15 2 9 2" xfId="26752" xr:uid="{00000000-0005-0000-0000-0000FC380000}"/>
    <cellStyle name="Normal 3 15 3" xfId="9162" xr:uid="{00000000-0005-0000-0000-0000FD380000}"/>
    <cellStyle name="Normal 3 15 4" xfId="9163" xr:uid="{00000000-0005-0000-0000-0000FE380000}"/>
    <cellStyle name="Normal 3 15 5" xfId="9164" xr:uid="{00000000-0005-0000-0000-0000FF380000}"/>
    <cellStyle name="Normal 3 15 6" xfId="9165" xr:uid="{00000000-0005-0000-0000-000000390000}"/>
    <cellStyle name="Normal 3 15 6 10" xfId="9166" xr:uid="{00000000-0005-0000-0000-000001390000}"/>
    <cellStyle name="Normal 3 15 6 10 2" xfId="26754" xr:uid="{00000000-0005-0000-0000-000002390000}"/>
    <cellStyle name="Normal 3 15 6 11" xfId="9167" xr:uid="{00000000-0005-0000-0000-000003390000}"/>
    <cellStyle name="Normal 3 15 6 11 2" xfId="26755" xr:uid="{00000000-0005-0000-0000-000004390000}"/>
    <cellStyle name="Normal 3 15 6 12" xfId="9168" xr:uid="{00000000-0005-0000-0000-000005390000}"/>
    <cellStyle name="Normal 3 15 6 12 2" xfId="26756" xr:uid="{00000000-0005-0000-0000-000006390000}"/>
    <cellStyle name="Normal 3 15 6 13" xfId="9169" xr:uid="{00000000-0005-0000-0000-000007390000}"/>
    <cellStyle name="Normal 3 15 6 13 2" xfId="26757" xr:uid="{00000000-0005-0000-0000-000008390000}"/>
    <cellStyle name="Normal 3 15 6 14" xfId="9170" xr:uid="{00000000-0005-0000-0000-000009390000}"/>
    <cellStyle name="Normal 3 15 6 14 2" xfId="26758" xr:uid="{00000000-0005-0000-0000-00000A390000}"/>
    <cellStyle name="Normal 3 15 6 15" xfId="9171" xr:uid="{00000000-0005-0000-0000-00000B390000}"/>
    <cellStyle name="Normal 3 15 6 15 2" xfId="26759" xr:uid="{00000000-0005-0000-0000-00000C390000}"/>
    <cellStyle name="Normal 3 15 6 16" xfId="26753" xr:uid="{00000000-0005-0000-0000-00000D390000}"/>
    <cellStyle name="Normal 3 15 6 2" xfId="9172" xr:uid="{00000000-0005-0000-0000-00000E390000}"/>
    <cellStyle name="Normal 3 15 6 2 10" xfId="9173" xr:uid="{00000000-0005-0000-0000-00000F390000}"/>
    <cellStyle name="Normal 3 15 6 2 10 2" xfId="26761" xr:uid="{00000000-0005-0000-0000-000010390000}"/>
    <cellStyle name="Normal 3 15 6 2 11" xfId="9174" xr:uid="{00000000-0005-0000-0000-000011390000}"/>
    <cellStyle name="Normal 3 15 6 2 11 2" xfId="26762" xr:uid="{00000000-0005-0000-0000-000012390000}"/>
    <cellStyle name="Normal 3 15 6 2 12" xfId="9175" xr:uid="{00000000-0005-0000-0000-000013390000}"/>
    <cellStyle name="Normal 3 15 6 2 12 2" xfId="26763" xr:uid="{00000000-0005-0000-0000-000014390000}"/>
    <cellStyle name="Normal 3 15 6 2 13" xfId="9176" xr:uid="{00000000-0005-0000-0000-000015390000}"/>
    <cellStyle name="Normal 3 15 6 2 13 2" xfId="26764" xr:uid="{00000000-0005-0000-0000-000016390000}"/>
    <cellStyle name="Normal 3 15 6 2 14" xfId="9177" xr:uid="{00000000-0005-0000-0000-000017390000}"/>
    <cellStyle name="Normal 3 15 6 2 14 2" xfId="26765" xr:uid="{00000000-0005-0000-0000-000018390000}"/>
    <cellStyle name="Normal 3 15 6 2 15" xfId="26760" xr:uid="{00000000-0005-0000-0000-000019390000}"/>
    <cellStyle name="Normal 3 15 6 2 2" xfId="9178" xr:uid="{00000000-0005-0000-0000-00001A390000}"/>
    <cellStyle name="Normal 3 15 6 2 2 2" xfId="26766" xr:uid="{00000000-0005-0000-0000-00001B390000}"/>
    <cellStyle name="Normal 3 15 6 2 3" xfId="9179" xr:uid="{00000000-0005-0000-0000-00001C390000}"/>
    <cellStyle name="Normal 3 15 6 2 3 2" xfId="26767" xr:uid="{00000000-0005-0000-0000-00001D390000}"/>
    <cellStyle name="Normal 3 15 6 2 4" xfId="9180" xr:uid="{00000000-0005-0000-0000-00001E390000}"/>
    <cellStyle name="Normal 3 15 6 2 4 2" xfId="26768" xr:uid="{00000000-0005-0000-0000-00001F390000}"/>
    <cellStyle name="Normal 3 15 6 2 5" xfId="9181" xr:uid="{00000000-0005-0000-0000-000020390000}"/>
    <cellStyle name="Normal 3 15 6 2 5 2" xfId="26769" xr:uid="{00000000-0005-0000-0000-000021390000}"/>
    <cellStyle name="Normal 3 15 6 2 6" xfId="9182" xr:uid="{00000000-0005-0000-0000-000022390000}"/>
    <cellStyle name="Normal 3 15 6 2 6 2" xfId="26770" xr:uid="{00000000-0005-0000-0000-000023390000}"/>
    <cellStyle name="Normal 3 15 6 2 7" xfId="9183" xr:uid="{00000000-0005-0000-0000-000024390000}"/>
    <cellStyle name="Normal 3 15 6 2 7 2" xfId="26771" xr:uid="{00000000-0005-0000-0000-000025390000}"/>
    <cellStyle name="Normal 3 15 6 2 8" xfId="9184" xr:uid="{00000000-0005-0000-0000-000026390000}"/>
    <cellStyle name="Normal 3 15 6 2 8 2" xfId="26772" xr:uid="{00000000-0005-0000-0000-000027390000}"/>
    <cellStyle name="Normal 3 15 6 2 9" xfId="9185" xr:uid="{00000000-0005-0000-0000-000028390000}"/>
    <cellStyle name="Normal 3 15 6 2 9 2" xfId="26773" xr:uid="{00000000-0005-0000-0000-000029390000}"/>
    <cellStyle name="Normal 3 15 6 3" xfId="9186" xr:uid="{00000000-0005-0000-0000-00002A390000}"/>
    <cellStyle name="Normal 3 15 6 3 2" xfId="26774" xr:uid="{00000000-0005-0000-0000-00002B390000}"/>
    <cellStyle name="Normal 3 15 6 4" xfId="9187" xr:uid="{00000000-0005-0000-0000-00002C390000}"/>
    <cellStyle name="Normal 3 15 6 4 2" xfId="26775" xr:uid="{00000000-0005-0000-0000-00002D390000}"/>
    <cellStyle name="Normal 3 15 6 5" xfId="9188" xr:uid="{00000000-0005-0000-0000-00002E390000}"/>
    <cellStyle name="Normal 3 15 6 5 2" xfId="26776" xr:uid="{00000000-0005-0000-0000-00002F390000}"/>
    <cellStyle name="Normal 3 15 6 6" xfId="9189" xr:uid="{00000000-0005-0000-0000-000030390000}"/>
    <cellStyle name="Normal 3 15 6 6 2" xfId="26777" xr:uid="{00000000-0005-0000-0000-000031390000}"/>
    <cellStyle name="Normal 3 15 6 7" xfId="9190" xr:uid="{00000000-0005-0000-0000-000032390000}"/>
    <cellStyle name="Normal 3 15 6 7 2" xfId="26778" xr:uid="{00000000-0005-0000-0000-000033390000}"/>
    <cellStyle name="Normal 3 15 6 8" xfId="9191" xr:uid="{00000000-0005-0000-0000-000034390000}"/>
    <cellStyle name="Normal 3 15 6 8 2" xfId="26779" xr:uid="{00000000-0005-0000-0000-000035390000}"/>
    <cellStyle name="Normal 3 15 6 9" xfId="9192" xr:uid="{00000000-0005-0000-0000-000036390000}"/>
    <cellStyle name="Normal 3 15 6 9 2" xfId="26780" xr:uid="{00000000-0005-0000-0000-000037390000}"/>
    <cellStyle name="Normal 3 15 7" xfId="9193" xr:uid="{00000000-0005-0000-0000-000038390000}"/>
    <cellStyle name="Normal 3 15 7 10" xfId="9194" xr:uid="{00000000-0005-0000-0000-000039390000}"/>
    <cellStyle name="Normal 3 15 7 10 2" xfId="26782" xr:uid="{00000000-0005-0000-0000-00003A390000}"/>
    <cellStyle name="Normal 3 15 7 11" xfId="9195" xr:uid="{00000000-0005-0000-0000-00003B390000}"/>
    <cellStyle name="Normal 3 15 7 11 2" xfId="26783" xr:uid="{00000000-0005-0000-0000-00003C390000}"/>
    <cellStyle name="Normal 3 15 7 12" xfId="9196" xr:uid="{00000000-0005-0000-0000-00003D390000}"/>
    <cellStyle name="Normal 3 15 7 12 2" xfId="26784" xr:uid="{00000000-0005-0000-0000-00003E390000}"/>
    <cellStyle name="Normal 3 15 7 13" xfId="9197" xr:uid="{00000000-0005-0000-0000-00003F390000}"/>
    <cellStyle name="Normal 3 15 7 13 2" xfId="26785" xr:uid="{00000000-0005-0000-0000-000040390000}"/>
    <cellStyle name="Normal 3 15 7 14" xfId="9198" xr:uid="{00000000-0005-0000-0000-000041390000}"/>
    <cellStyle name="Normal 3 15 7 14 2" xfId="26786" xr:uid="{00000000-0005-0000-0000-000042390000}"/>
    <cellStyle name="Normal 3 15 7 15" xfId="9199" xr:uid="{00000000-0005-0000-0000-000043390000}"/>
    <cellStyle name="Normal 3 15 7 15 2" xfId="26787" xr:uid="{00000000-0005-0000-0000-000044390000}"/>
    <cellStyle name="Normal 3 15 7 16" xfId="26781" xr:uid="{00000000-0005-0000-0000-000045390000}"/>
    <cellStyle name="Normal 3 15 7 2" xfId="9200" xr:uid="{00000000-0005-0000-0000-000046390000}"/>
    <cellStyle name="Normal 3 15 7 2 10" xfId="9201" xr:uid="{00000000-0005-0000-0000-000047390000}"/>
    <cellStyle name="Normal 3 15 7 2 10 2" xfId="26789" xr:uid="{00000000-0005-0000-0000-000048390000}"/>
    <cellStyle name="Normal 3 15 7 2 11" xfId="9202" xr:uid="{00000000-0005-0000-0000-000049390000}"/>
    <cellStyle name="Normal 3 15 7 2 11 2" xfId="26790" xr:uid="{00000000-0005-0000-0000-00004A390000}"/>
    <cellStyle name="Normal 3 15 7 2 12" xfId="9203" xr:uid="{00000000-0005-0000-0000-00004B390000}"/>
    <cellStyle name="Normal 3 15 7 2 12 2" xfId="26791" xr:uid="{00000000-0005-0000-0000-00004C390000}"/>
    <cellStyle name="Normal 3 15 7 2 13" xfId="9204" xr:uid="{00000000-0005-0000-0000-00004D390000}"/>
    <cellStyle name="Normal 3 15 7 2 13 2" xfId="26792" xr:uid="{00000000-0005-0000-0000-00004E390000}"/>
    <cellStyle name="Normal 3 15 7 2 14" xfId="9205" xr:uid="{00000000-0005-0000-0000-00004F390000}"/>
    <cellStyle name="Normal 3 15 7 2 14 2" xfId="26793" xr:uid="{00000000-0005-0000-0000-000050390000}"/>
    <cellStyle name="Normal 3 15 7 2 15" xfId="26788" xr:uid="{00000000-0005-0000-0000-000051390000}"/>
    <cellStyle name="Normal 3 15 7 2 2" xfId="9206" xr:uid="{00000000-0005-0000-0000-000052390000}"/>
    <cellStyle name="Normal 3 15 7 2 2 2" xfId="26794" xr:uid="{00000000-0005-0000-0000-000053390000}"/>
    <cellStyle name="Normal 3 15 7 2 3" xfId="9207" xr:uid="{00000000-0005-0000-0000-000054390000}"/>
    <cellStyle name="Normal 3 15 7 2 3 2" xfId="26795" xr:uid="{00000000-0005-0000-0000-000055390000}"/>
    <cellStyle name="Normal 3 15 7 2 4" xfId="9208" xr:uid="{00000000-0005-0000-0000-000056390000}"/>
    <cellStyle name="Normal 3 15 7 2 4 2" xfId="26796" xr:uid="{00000000-0005-0000-0000-000057390000}"/>
    <cellStyle name="Normal 3 15 7 2 5" xfId="9209" xr:uid="{00000000-0005-0000-0000-000058390000}"/>
    <cellStyle name="Normal 3 15 7 2 5 2" xfId="26797" xr:uid="{00000000-0005-0000-0000-000059390000}"/>
    <cellStyle name="Normal 3 15 7 2 6" xfId="9210" xr:uid="{00000000-0005-0000-0000-00005A390000}"/>
    <cellStyle name="Normal 3 15 7 2 6 2" xfId="26798" xr:uid="{00000000-0005-0000-0000-00005B390000}"/>
    <cellStyle name="Normal 3 15 7 2 7" xfId="9211" xr:uid="{00000000-0005-0000-0000-00005C390000}"/>
    <cellStyle name="Normal 3 15 7 2 7 2" xfId="26799" xr:uid="{00000000-0005-0000-0000-00005D390000}"/>
    <cellStyle name="Normal 3 15 7 2 8" xfId="9212" xr:uid="{00000000-0005-0000-0000-00005E390000}"/>
    <cellStyle name="Normal 3 15 7 2 8 2" xfId="26800" xr:uid="{00000000-0005-0000-0000-00005F390000}"/>
    <cellStyle name="Normal 3 15 7 2 9" xfId="9213" xr:uid="{00000000-0005-0000-0000-000060390000}"/>
    <cellStyle name="Normal 3 15 7 2 9 2" xfId="26801" xr:uid="{00000000-0005-0000-0000-000061390000}"/>
    <cellStyle name="Normal 3 15 7 3" xfId="9214" xr:uid="{00000000-0005-0000-0000-000062390000}"/>
    <cellStyle name="Normal 3 15 7 3 2" xfId="26802" xr:uid="{00000000-0005-0000-0000-000063390000}"/>
    <cellStyle name="Normal 3 15 7 4" xfId="9215" xr:uid="{00000000-0005-0000-0000-000064390000}"/>
    <cellStyle name="Normal 3 15 7 4 2" xfId="26803" xr:uid="{00000000-0005-0000-0000-000065390000}"/>
    <cellStyle name="Normal 3 15 7 5" xfId="9216" xr:uid="{00000000-0005-0000-0000-000066390000}"/>
    <cellStyle name="Normal 3 15 7 5 2" xfId="26804" xr:uid="{00000000-0005-0000-0000-000067390000}"/>
    <cellStyle name="Normal 3 15 7 6" xfId="9217" xr:uid="{00000000-0005-0000-0000-000068390000}"/>
    <cellStyle name="Normal 3 15 7 6 2" xfId="26805" xr:uid="{00000000-0005-0000-0000-000069390000}"/>
    <cellStyle name="Normal 3 15 7 7" xfId="9218" xr:uid="{00000000-0005-0000-0000-00006A390000}"/>
    <cellStyle name="Normal 3 15 7 7 2" xfId="26806" xr:uid="{00000000-0005-0000-0000-00006B390000}"/>
    <cellStyle name="Normal 3 15 7 8" xfId="9219" xr:uid="{00000000-0005-0000-0000-00006C390000}"/>
    <cellStyle name="Normal 3 15 7 8 2" xfId="26807" xr:uid="{00000000-0005-0000-0000-00006D390000}"/>
    <cellStyle name="Normal 3 15 7 9" xfId="9220" xr:uid="{00000000-0005-0000-0000-00006E390000}"/>
    <cellStyle name="Normal 3 15 7 9 2" xfId="26808" xr:uid="{00000000-0005-0000-0000-00006F390000}"/>
    <cellStyle name="Normal 3 15 8" xfId="9221" xr:uid="{00000000-0005-0000-0000-000070390000}"/>
    <cellStyle name="Normal 3 15 8 10" xfId="9222" xr:uid="{00000000-0005-0000-0000-000071390000}"/>
    <cellStyle name="Normal 3 15 8 10 2" xfId="26810" xr:uid="{00000000-0005-0000-0000-000072390000}"/>
    <cellStyle name="Normal 3 15 8 11" xfId="9223" xr:uid="{00000000-0005-0000-0000-000073390000}"/>
    <cellStyle name="Normal 3 15 8 11 2" xfId="26811" xr:uid="{00000000-0005-0000-0000-000074390000}"/>
    <cellStyle name="Normal 3 15 8 12" xfId="9224" xr:uid="{00000000-0005-0000-0000-000075390000}"/>
    <cellStyle name="Normal 3 15 8 12 2" xfId="26812" xr:uid="{00000000-0005-0000-0000-000076390000}"/>
    <cellStyle name="Normal 3 15 8 13" xfId="9225" xr:uid="{00000000-0005-0000-0000-000077390000}"/>
    <cellStyle name="Normal 3 15 8 13 2" xfId="26813" xr:uid="{00000000-0005-0000-0000-000078390000}"/>
    <cellStyle name="Normal 3 15 8 14" xfId="9226" xr:uid="{00000000-0005-0000-0000-000079390000}"/>
    <cellStyle name="Normal 3 15 8 14 2" xfId="26814" xr:uid="{00000000-0005-0000-0000-00007A390000}"/>
    <cellStyle name="Normal 3 15 8 15" xfId="9227" xr:uid="{00000000-0005-0000-0000-00007B390000}"/>
    <cellStyle name="Normal 3 15 8 15 2" xfId="26815" xr:uid="{00000000-0005-0000-0000-00007C390000}"/>
    <cellStyle name="Normal 3 15 8 16" xfId="26809" xr:uid="{00000000-0005-0000-0000-00007D390000}"/>
    <cellStyle name="Normal 3 15 8 2" xfId="9228" xr:uid="{00000000-0005-0000-0000-00007E390000}"/>
    <cellStyle name="Normal 3 15 8 2 10" xfId="9229" xr:uid="{00000000-0005-0000-0000-00007F390000}"/>
    <cellStyle name="Normal 3 15 8 2 10 2" xfId="26817" xr:uid="{00000000-0005-0000-0000-000080390000}"/>
    <cellStyle name="Normal 3 15 8 2 11" xfId="9230" xr:uid="{00000000-0005-0000-0000-000081390000}"/>
    <cellStyle name="Normal 3 15 8 2 11 2" xfId="26818" xr:uid="{00000000-0005-0000-0000-000082390000}"/>
    <cellStyle name="Normal 3 15 8 2 12" xfId="9231" xr:uid="{00000000-0005-0000-0000-000083390000}"/>
    <cellStyle name="Normal 3 15 8 2 12 2" xfId="26819" xr:uid="{00000000-0005-0000-0000-000084390000}"/>
    <cellStyle name="Normal 3 15 8 2 13" xfId="9232" xr:uid="{00000000-0005-0000-0000-000085390000}"/>
    <cellStyle name="Normal 3 15 8 2 13 2" xfId="26820" xr:uid="{00000000-0005-0000-0000-000086390000}"/>
    <cellStyle name="Normal 3 15 8 2 14" xfId="9233" xr:uid="{00000000-0005-0000-0000-000087390000}"/>
    <cellStyle name="Normal 3 15 8 2 14 2" xfId="26821" xr:uid="{00000000-0005-0000-0000-000088390000}"/>
    <cellStyle name="Normal 3 15 8 2 15" xfId="26816" xr:uid="{00000000-0005-0000-0000-000089390000}"/>
    <cellStyle name="Normal 3 15 8 2 2" xfId="9234" xr:uid="{00000000-0005-0000-0000-00008A390000}"/>
    <cellStyle name="Normal 3 15 8 2 2 2" xfId="26822" xr:uid="{00000000-0005-0000-0000-00008B390000}"/>
    <cellStyle name="Normal 3 15 8 2 3" xfId="9235" xr:uid="{00000000-0005-0000-0000-00008C390000}"/>
    <cellStyle name="Normal 3 15 8 2 3 2" xfId="26823" xr:uid="{00000000-0005-0000-0000-00008D390000}"/>
    <cellStyle name="Normal 3 15 8 2 4" xfId="9236" xr:uid="{00000000-0005-0000-0000-00008E390000}"/>
    <cellStyle name="Normal 3 15 8 2 4 2" xfId="26824" xr:uid="{00000000-0005-0000-0000-00008F390000}"/>
    <cellStyle name="Normal 3 15 8 2 5" xfId="9237" xr:uid="{00000000-0005-0000-0000-000090390000}"/>
    <cellStyle name="Normal 3 15 8 2 5 2" xfId="26825" xr:uid="{00000000-0005-0000-0000-000091390000}"/>
    <cellStyle name="Normal 3 15 8 2 6" xfId="9238" xr:uid="{00000000-0005-0000-0000-000092390000}"/>
    <cellStyle name="Normal 3 15 8 2 6 2" xfId="26826" xr:uid="{00000000-0005-0000-0000-000093390000}"/>
    <cellStyle name="Normal 3 15 8 2 7" xfId="9239" xr:uid="{00000000-0005-0000-0000-000094390000}"/>
    <cellStyle name="Normal 3 15 8 2 7 2" xfId="26827" xr:uid="{00000000-0005-0000-0000-000095390000}"/>
    <cellStyle name="Normal 3 15 8 2 8" xfId="9240" xr:uid="{00000000-0005-0000-0000-000096390000}"/>
    <cellStyle name="Normal 3 15 8 2 8 2" xfId="26828" xr:uid="{00000000-0005-0000-0000-000097390000}"/>
    <cellStyle name="Normal 3 15 8 2 9" xfId="9241" xr:uid="{00000000-0005-0000-0000-000098390000}"/>
    <cellStyle name="Normal 3 15 8 2 9 2" xfId="26829" xr:uid="{00000000-0005-0000-0000-000099390000}"/>
    <cellStyle name="Normal 3 15 8 3" xfId="9242" xr:uid="{00000000-0005-0000-0000-00009A390000}"/>
    <cellStyle name="Normal 3 15 8 3 2" xfId="26830" xr:uid="{00000000-0005-0000-0000-00009B390000}"/>
    <cellStyle name="Normal 3 15 8 4" xfId="9243" xr:uid="{00000000-0005-0000-0000-00009C390000}"/>
    <cellStyle name="Normal 3 15 8 4 2" xfId="26831" xr:uid="{00000000-0005-0000-0000-00009D390000}"/>
    <cellStyle name="Normal 3 15 8 5" xfId="9244" xr:uid="{00000000-0005-0000-0000-00009E390000}"/>
    <cellStyle name="Normal 3 15 8 5 2" xfId="26832" xr:uid="{00000000-0005-0000-0000-00009F390000}"/>
    <cellStyle name="Normal 3 15 8 6" xfId="9245" xr:uid="{00000000-0005-0000-0000-0000A0390000}"/>
    <cellStyle name="Normal 3 15 8 6 2" xfId="26833" xr:uid="{00000000-0005-0000-0000-0000A1390000}"/>
    <cellStyle name="Normal 3 15 8 7" xfId="9246" xr:uid="{00000000-0005-0000-0000-0000A2390000}"/>
    <cellStyle name="Normal 3 15 8 7 2" xfId="26834" xr:uid="{00000000-0005-0000-0000-0000A3390000}"/>
    <cellStyle name="Normal 3 15 8 8" xfId="9247" xr:uid="{00000000-0005-0000-0000-0000A4390000}"/>
    <cellStyle name="Normal 3 15 8 8 2" xfId="26835" xr:uid="{00000000-0005-0000-0000-0000A5390000}"/>
    <cellStyle name="Normal 3 15 8 9" xfId="9248" xr:uid="{00000000-0005-0000-0000-0000A6390000}"/>
    <cellStyle name="Normal 3 15 8 9 2" xfId="26836" xr:uid="{00000000-0005-0000-0000-0000A7390000}"/>
    <cellStyle name="Normal 3 15 9" xfId="9249" xr:uid="{00000000-0005-0000-0000-0000A8390000}"/>
    <cellStyle name="Normal 3 15 9 10" xfId="9250" xr:uid="{00000000-0005-0000-0000-0000A9390000}"/>
    <cellStyle name="Normal 3 15 9 10 2" xfId="26838" xr:uid="{00000000-0005-0000-0000-0000AA390000}"/>
    <cellStyle name="Normal 3 15 9 11" xfId="9251" xr:uid="{00000000-0005-0000-0000-0000AB390000}"/>
    <cellStyle name="Normal 3 15 9 11 2" xfId="26839" xr:uid="{00000000-0005-0000-0000-0000AC390000}"/>
    <cellStyle name="Normal 3 15 9 12" xfId="9252" xr:uid="{00000000-0005-0000-0000-0000AD390000}"/>
    <cellStyle name="Normal 3 15 9 12 2" xfId="26840" xr:uid="{00000000-0005-0000-0000-0000AE390000}"/>
    <cellStyle name="Normal 3 15 9 13" xfId="9253" xr:uid="{00000000-0005-0000-0000-0000AF390000}"/>
    <cellStyle name="Normal 3 15 9 13 2" xfId="26841" xr:uid="{00000000-0005-0000-0000-0000B0390000}"/>
    <cellStyle name="Normal 3 15 9 14" xfId="9254" xr:uid="{00000000-0005-0000-0000-0000B1390000}"/>
    <cellStyle name="Normal 3 15 9 14 2" xfId="26842" xr:uid="{00000000-0005-0000-0000-0000B2390000}"/>
    <cellStyle name="Normal 3 15 9 15" xfId="26837" xr:uid="{00000000-0005-0000-0000-0000B3390000}"/>
    <cellStyle name="Normal 3 15 9 2" xfId="9255" xr:uid="{00000000-0005-0000-0000-0000B4390000}"/>
    <cellStyle name="Normal 3 15 9 2 2" xfId="26843" xr:uid="{00000000-0005-0000-0000-0000B5390000}"/>
    <cellStyle name="Normal 3 15 9 3" xfId="9256" xr:uid="{00000000-0005-0000-0000-0000B6390000}"/>
    <cellStyle name="Normal 3 15 9 3 2" xfId="26844" xr:uid="{00000000-0005-0000-0000-0000B7390000}"/>
    <cellStyle name="Normal 3 15 9 4" xfId="9257" xr:uid="{00000000-0005-0000-0000-0000B8390000}"/>
    <cellStyle name="Normal 3 15 9 4 2" xfId="26845" xr:uid="{00000000-0005-0000-0000-0000B9390000}"/>
    <cellStyle name="Normal 3 15 9 5" xfId="9258" xr:uid="{00000000-0005-0000-0000-0000BA390000}"/>
    <cellStyle name="Normal 3 15 9 5 2" xfId="26846" xr:uid="{00000000-0005-0000-0000-0000BB390000}"/>
    <cellStyle name="Normal 3 15 9 6" xfId="9259" xr:uid="{00000000-0005-0000-0000-0000BC390000}"/>
    <cellStyle name="Normal 3 15 9 6 2" xfId="26847" xr:uid="{00000000-0005-0000-0000-0000BD390000}"/>
    <cellStyle name="Normal 3 15 9 7" xfId="9260" xr:uid="{00000000-0005-0000-0000-0000BE390000}"/>
    <cellStyle name="Normal 3 15 9 7 2" xfId="26848" xr:uid="{00000000-0005-0000-0000-0000BF390000}"/>
    <cellStyle name="Normal 3 15 9 8" xfId="9261" xr:uid="{00000000-0005-0000-0000-0000C0390000}"/>
    <cellStyle name="Normal 3 15 9 8 2" xfId="26849" xr:uid="{00000000-0005-0000-0000-0000C1390000}"/>
    <cellStyle name="Normal 3 15 9 9" xfId="9262" xr:uid="{00000000-0005-0000-0000-0000C2390000}"/>
    <cellStyle name="Normal 3 15 9 9 2" xfId="26850" xr:uid="{00000000-0005-0000-0000-0000C3390000}"/>
    <cellStyle name="Normal 3 16" xfId="9263" xr:uid="{00000000-0005-0000-0000-0000C4390000}"/>
    <cellStyle name="Normal 3 16 10" xfId="9264" xr:uid="{00000000-0005-0000-0000-0000C5390000}"/>
    <cellStyle name="Normal 3 16 10 10" xfId="9265" xr:uid="{00000000-0005-0000-0000-0000C6390000}"/>
    <cellStyle name="Normal 3 16 10 10 2" xfId="26852" xr:uid="{00000000-0005-0000-0000-0000C7390000}"/>
    <cellStyle name="Normal 3 16 10 11" xfId="9266" xr:uid="{00000000-0005-0000-0000-0000C8390000}"/>
    <cellStyle name="Normal 3 16 10 11 2" xfId="26853" xr:uid="{00000000-0005-0000-0000-0000C9390000}"/>
    <cellStyle name="Normal 3 16 10 12" xfId="9267" xr:uid="{00000000-0005-0000-0000-0000CA390000}"/>
    <cellStyle name="Normal 3 16 10 12 2" xfId="26854" xr:uid="{00000000-0005-0000-0000-0000CB390000}"/>
    <cellStyle name="Normal 3 16 10 13" xfId="9268" xr:uid="{00000000-0005-0000-0000-0000CC390000}"/>
    <cellStyle name="Normal 3 16 10 13 2" xfId="26855" xr:uid="{00000000-0005-0000-0000-0000CD390000}"/>
    <cellStyle name="Normal 3 16 10 14" xfId="9269" xr:uid="{00000000-0005-0000-0000-0000CE390000}"/>
    <cellStyle name="Normal 3 16 10 14 2" xfId="26856" xr:uid="{00000000-0005-0000-0000-0000CF390000}"/>
    <cellStyle name="Normal 3 16 10 15" xfId="26851" xr:uid="{00000000-0005-0000-0000-0000D0390000}"/>
    <cellStyle name="Normal 3 16 10 2" xfId="9270" xr:uid="{00000000-0005-0000-0000-0000D1390000}"/>
    <cellStyle name="Normal 3 16 10 2 2" xfId="26857" xr:uid="{00000000-0005-0000-0000-0000D2390000}"/>
    <cellStyle name="Normal 3 16 10 3" xfId="9271" xr:uid="{00000000-0005-0000-0000-0000D3390000}"/>
    <cellStyle name="Normal 3 16 10 3 2" xfId="26858" xr:uid="{00000000-0005-0000-0000-0000D4390000}"/>
    <cellStyle name="Normal 3 16 10 4" xfId="9272" xr:uid="{00000000-0005-0000-0000-0000D5390000}"/>
    <cellStyle name="Normal 3 16 10 4 2" xfId="26859" xr:uid="{00000000-0005-0000-0000-0000D6390000}"/>
    <cellStyle name="Normal 3 16 10 5" xfId="9273" xr:uid="{00000000-0005-0000-0000-0000D7390000}"/>
    <cellStyle name="Normal 3 16 10 5 2" xfId="26860" xr:uid="{00000000-0005-0000-0000-0000D8390000}"/>
    <cellStyle name="Normal 3 16 10 6" xfId="9274" xr:uid="{00000000-0005-0000-0000-0000D9390000}"/>
    <cellStyle name="Normal 3 16 10 6 2" xfId="26861" xr:uid="{00000000-0005-0000-0000-0000DA390000}"/>
    <cellStyle name="Normal 3 16 10 7" xfId="9275" xr:uid="{00000000-0005-0000-0000-0000DB390000}"/>
    <cellStyle name="Normal 3 16 10 7 2" xfId="26862" xr:uid="{00000000-0005-0000-0000-0000DC390000}"/>
    <cellStyle name="Normal 3 16 10 8" xfId="9276" xr:uid="{00000000-0005-0000-0000-0000DD390000}"/>
    <cellStyle name="Normal 3 16 10 8 2" xfId="26863" xr:uid="{00000000-0005-0000-0000-0000DE390000}"/>
    <cellStyle name="Normal 3 16 10 9" xfId="9277" xr:uid="{00000000-0005-0000-0000-0000DF390000}"/>
    <cellStyle name="Normal 3 16 10 9 2" xfId="26864" xr:uid="{00000000-0005-0000-0000-0000E0390000}"/>
    <cellStyle name="Normal 3 16 11" xfId="9278" xr:uid="{00000000-0005-0000-0000-0000E1390000}"/>
    <cellStyle name="Normal 3 16 11 10" xfId="9279" xr:uid="{00000000-0005-0000-0000-0000E2390000}"/>
    <cellStyle name="Normal 3 16 11 10 2" xfId="26866" xr:uid="{00000000-0005-0000-0000-0000E3390000}"/>
    <cellStyle name="Normal 3 16 11 11" xfId="9280" xr:uid="{00000000-0005-0000-0000-0000E4390000}"/>
    <cellStyle name="Normal 3 16 11 11 2" xfId="26867" xr:uid="{00000000-0005-0000-0000-0000E5390000}"/>
    <cellStyle name="Normal 3 16 11 12" xfId="9281" xr:uid="{00000000-0005-0000-0000-0000E6390000}"/>
    <cellStyle name="Normal 3 16 11 12 2" xfId="26868" xr:uid="{00000000-0005-0000-0000-0000E7390000}"/>
    <cellStyle name="Normal 3 16 11 13" xfId="9282" xr:uid="{00000000-0005-0000-0000-0000E8390000}"/>
    <cellStyle name="Normal 3 16 11 13 2" xfId="26869" xr:uid="{00000000-0005-0000-0000-0000E9390000}"/>
    <cellStyle name="Normal 3 16 11 14" xfId="9283" xr:uid="{00000000-0005-0000-0000-0000EA390000}"/>
    <cellStyle name="Normal 3 16 11 14 2" xfId="26870" xr:uid="{00000000-0005-0000-0000-0000EB390000}"/>
    <cellStyle name="Normal 3 16 11 15" xfId="26865" xr:uid="{00000000-0005-0000-0000-0000EC390000}"/>
    <cellStyle name="Normal 3 16 11 2" xfId="9284" xr:uid="{00000000-0005-0000-0000-0000ED390000}"/>
    <cellStyle name="Normal 3 16 11 2 2" xfId="26871" xr:uid="{00000000-0005-0000-0000-0000EE390000}"/>
    <cellStyle name="Normal 3 16 11 3" xfId="9285" xr:uid="{00000000-0005-0000-0000-0000EF390000}"/>
    <cellStyle name="Normal 3 16 11 3 2" xfId="26872" xr:uid="{00000000-0005-0000-0000-0000F0390000}"/>
    <cellStyle name="Normal 3 16 11 4" xfId="9286" xr:uid="{00000000-0005-0000-0000-0000F1390000}"/>
    <cellStyle name="Normal 3 16 11 4 2" xfId="26873" xr:uid="{00000000-0005-0000-0000-0000F2390000}"/>
    <cellStyle name="Normal 3 16 11 5" xfId="9287" xr:uid="{00000000-0005-0000-0000-0000F3390000}"/>
    <cellStyle name="Normal 3 16 11 5 2" xfId="26874" xr:uid="{00000000-0005-0000-0000-0000F4390000}"/>
    <cellStyle name="Normal 3 16 11 6" xfId="9288" xr:uid="{00000000-0005-0000-0000-0000F5390000}"/>
    <cellStyle name="Normal 3 16 11 6 2" xfId="26875" xr:uid="{00000000-0005-0000-0000-0000F6390000}"/>
    <cellStyle name="Normal 3 16 11 7" xfId="9289" xr:uid="{00000000-0005-0000-0000-0000F7390000}"/>
    <cellStyle name="Normal 3 16 11 7 2" xfId="26876" xr:uid="{00000000-0005-0000-0000-0000F8390000}"/>
    <cellStyle name="Normal 3 16 11 8" xfId="9290" xr:uid="{00000000-0005-0000-0000-0000F9390000}"/>
    <cellStyle name="Normal 3 16 11 8 2" xfId="26877" xr:uid="{00000000-0005-0000-0000-0000FA390000}"/>
    <cellStyle name="Normal 3 16 11 9" xfId="9291" xr:uid="{00000000-0005-0000-0000-0000FB390000}"/>
    <cellStyle name="Normal 3 16 11 9 2" xfId="26878" xr:uid="{00000000-0005-0000-0000-0000FC390000}"/>
    <cellStyle name="Normal 3 16 12" xfId="9292" xr:uid="{00000000-0005-0000-0000-0000FD390000}"/>
    <cellStyle name="Normal 3 16 12 10" xfId="9293" xr:uid="{00000000-0005-0000-0000-0000FE390000}"/>
    <cellStyle name="Normal 3 16 12 10 2" xfId="26880" xr:uid="{00000000-0005-0000-0000-0000FF390000}"/>
    <cellStyle name="Normal 3 16 12 11" xfId="9294" xr:uid="{00000000-0005-0000-0000-0000003A0000}"/>
    <cellStyle name="Normal 3 16 12 11 2" xfId="26881" xr:uid="{00000000-0005-0000-0000-0000013A0000}"/>
    <cellStyle name="Normal 3 16 12 12" xfId="9295" xr:uid="{00000000-0005-0000-0000-0000023A0000}"/>
    <cellStyle name="Normal 3 16 12 12 2" xfId="26882" xr:uid="{00000000-0005-0000-0000-0000033A0000}"/>
    <cellStyle name="Normal 3 16 12 13" xfId="9296" xr:uid="{00000000-0005-0000-0000-0000043A0000}"/>
    <cellStyle name="Normal 3 16 12 13 2" xfId="26883" xr:uid="{00000000-0005-0000-0000-0000053A0000}"/>
    <cellStyle name="Normal 3 16 12 14" xfId="9297" xr:uid="{00000000-0005-0000-0000-0000063A0000}"/>
    <cellStyle name="Normal 3 16 12 14 2" xfId="26884" xr:uid="{00000000-0005-0000-0000-0000073A0000}"/>
    <cellStyle name="Normal 3 16 12 15" xfId="26879" xr:uid="{00000000-0005-0000-0000-0000083A0000}"/>
    <cellStyle name="Normal 3 16 12 2" xfId="9298" xr:uid="{00000000-0005-0000-0000-0000093A0000}"/>
    <cellStyle name="Normal 3 16 12 2 2" xfId="26885" xr:uid="{00000000-0005-0000-0000-00000A3A0000}"/>
    <cellStyle name="Normal 3 16 12 3" xfId="9299" xr:uid="{00000000-0005-0000-0000-00000B3A0000}"/>
    <cellStyle name="Normal 3 16 12 3 2" xfId="26886" xr:uid="{00000000-0005-0000-0000-00000C3A0000}"/>
    <cellStyle name="Normal 3 16 12 4" xfId="9300" xr:uid="{00000000-0005-0000-0000-00000D3A0000}"/>
    <cellStyle name="Normal 3 16 12 4 2" xfId="26887" xr:uid="{00000000-0005-0000-0000-00000E3A0000}"/>
    <cellStyle name="Normal 3 16 12 5" xfId="9301" xr:uid="{00000000-0005-0000-0000-00000F3A0000}"/>
    <cellStyle name="Normal 3 16 12 5 2" xfId="26888" xr:uid="{00000000-0005-0000-0000-0000103A0000}"/>
    <cellStyle name="Normal 3 16 12 6" xfId="9302" xr:uid="{00000000-0005-0000-0000-0000113A0000}"/>
    <cellStyle name="Normal 3 16 12 6 2" xfId="26889" xr:uid="{00000000-0005-0000-0000-0000123A0000}"/>
    <cellStyle name="Normal 3 16 12 7" xfId="9303" xr:uid="{00000000-0005-0000-0000-0000133A0000}"/>
    <cellStyle name="Normal 3 16 12 7 2" xfId="26890" xr:uid="{00000000-0005-0000-0000-0000143A0000}"/>
    <cellStyle name="Normal 3 16 12 8" xfId="9304" xr:uid="{00000000-0005-0000-0000-0000153A0000}"/>
    <cellStyle name="Normal 3 16 12 8 2" xfId="26891" xr:uid="{00000000-0005-0000-0000-0000163A0000}"/>
    <cellStyle name="Normal 3 16 12 9" xfId="9305" xr:uid="{00000000-0005-0000-0000-0000173A0000}"/>
    <cellStyle name="Normal 3 16 12 9 2" xfId="26892" xr:uid="{00000000-0005-0000-0000-0000183A0000}"/>
    <cellStyle name="Normal 3 16 13" xfId="9306" xr:uid="{00000000-0005-0000-0000-0000193A0000}"/>
    <cellStyle name="Normal 3 16 13 10" xfId="9307" xr:uid="{00000000-0005-0000-0000-00001A3A0000}"/>
    <cellStyle name="Normal 3 16 13 10 2" xfId="26894" xr:uid="{00000000-0005-0000-0000-00001B3A0000}"/>
    <cellStyle name="Normal 3 16 13 11" xfId="9308" xr:uid="{00000000-0005-0000-0000-00001C3A0000}"/>
    <cellStyle name="Normal 3 16 13 11 2" xfId="26895" xr:uid="{00000000-0005-0000-0000-00001D3A0000}"/>
    <cellStyle name="Normal 3 16 13 12" xfId="9309" xr:uid="{00000000-0005-0000-0000-00001E3A0000}"/>
    <cellStyle name="Normal 3 16 13 12 2" xfId="26896" xr:uid="{00000000-0005-0000-0000-00001F3A0000}"/>
    <cellStyle name="Normal 3 16 13 13" xfId="9310" xr:uid="{00000000-0005-0000-0000-0000203A0000}"/>
    <cellStyle name="Normal 3 16 13 13 2" xfId="26897" xr:uid="{00000000-0005-0000-0000-0000213A0000}"/>
    <cellStyle name="Normal 3 16 13 14" xfId="9311" xr:uid="{00000000-0005-0000-0000-0000223A0000}"/>
    <cellStyle name="Normal 3 16 13 14 2" xfId="26898" xr:uid="{00000000-0005-0000-0000-0000233A0000}"/>
    <cellStyle name="Normal 3 16 13 15" xfId="26893" xr:uid="{00000000-0005-0000-0000-0000243A0000}"/>
    <cellStyle name="Normal 3 16 13 2" xfId="9312" xr:uid="{00000000-0005-0000-0000-0000253A0000}"/>
    <cellStyle name="Normal 3 16 13 2 2" xfId="26899" xr:uid="{00000000-0005-0000-0000-0000263A0000}"/>
    <cellStyle name="Normal 3 16 13 3" xfId="9313" xr:uid="{00000000-0005-0000-0000-0000273A0000}"/>
    <cellStyle name="Normal 3 16 13 3 2" xfId="26900" xr:uid="{00000000-0005-0000-0000-0000283A0000}"/>
    <cellStyle name="Normal 3 16 13 4" xfId="9314" xr:uid="{00000000-0005-0000-0000-0000293A0000}"/>
    <cellStyle name="Normal 3 16 13 4 2" xfId="26901" xr:uid="{00000000-0005-0000-0000-00002A3A0000}"/>
    <cellStyle name="Normal 3 16 13 5" xfId="9315" xr:uid="{00000000-0005-0000-0000-00002B3A0000}"/>
    <cellStyle name="Normal 3 16 13 5 2" xfId="26902" xr:uid="{00000000-0005-0000-0000-00002C3A0000}"/>
    <cellStyle name="Normal 3 16 13 6" xfId="9316" xr:uid="{00000000-0005-0000-0000-00002D3A0000}"/>
    <cellStyle name="Normal 3 16 13 6 2" xfId="26903" xr:uid="{00000000-0005-0000-0000-00002E3A0000}"/>
    <cellStyle name="Normal 3 16 13 7" xfId="9317" xr:uid="{00000000-0005-0000-0000-00002F3A0000}"/>
    <cellStyle name="Normal 3 16 13 7 2" xfId="26904" xr:uid="{00000000-0005-0000-0000-0000303A0000}"/>
    <cellStyle name="Normal 3 16 13 8" xfId="9318" xr:uid="{00000000-0005-0000-0000-0000313A0000}"/>
    <cellStyle name="Normal 3 16 13 8 2" xfId="26905" xr:uid="{00000000-0005-0000-0000-0000323A0000}"/>
    <cellStyle name="Normal 3 16 13 9" xfId="9319" xr:uid="{00000000-0005-0000-0000-0000333A0000}"/>
    <cellStyle name="Normal 3 16 13 9 2" xfId="26906" xr:uid="{00000000-0005-0000-0000-0000343A0000}"/>
    <cellStyle name="Normal 3 16 14" xfId="9320" xr:uid="{00000000-0005-0000-0000-0000353A0000}"/>
    <cellStyle name="Normal 3 16 14 10" xfId="9321" xr:uid="{00000000-0005-0000-0000-0000363A0000}"/>
    <cellStyle name="Normal 3 16 14 10 2" xfId="26908" xr:uid="{00000000-0005-0000-0000-0000373A0000}"/>
    <cellStyle name="Normal 3 16 14 11" xfId="9322" xr:uid="{00000000-0005-0000-0000-0000383A0000}"/>
    <cellStyle name="Normal 3 16 14 11 2" xfId="26909" xr:uid="{00000000-0005-0000-0000-0000393A0000}"/>
    <cellStyle name="Normal 3 16 14 12" xfId="9323" xr:uid="{00000000-0005-0000-0000-00003A3A0000}"/>
    <cellStyle name="Normal 3 16 14 12 2" xfId="26910" xr:uid="{00000000-0005-0000-0000-00003B3A0000}"/>
    <cellStyle name="Normal 3 16 14 13" xfId="9324" xr:uid="{00000000-0005-0000-0000-00003C3A0000}"/>
    <cellStyle name="Normal 3 16 14 13 2" xfId="26911" xr:uid="{00000000-0005-0000-0000-00003D3A0000}"/>
    <cellStyle name="Normal 3 16 14 14" xfId="9325" xr:uid="{00000000-0005-0000-0000-00003E3A0000}"/>
    <cellStyle name="Normal 3 16 14 14 2" xfId="26912" xr:uid="{00000000-0005-0000-0000-00003F3A0000}"/>
    <cellStyle name="Normal 3 16 14 15" xfId="26907" xr:uid="{00000000-0005-0000-0000-0000403A0000}"/>
    <cellStyle name="Normal 3 16 14 2" xfId="9326" xr:uid="{00000000-0005-0000-0000-0000413A0000}"/>
    <cellStyle name="Normal 3 16 14 2 2" xfId="26913" xr:uid="{00000000-0005-0000-0000-0000423A0000}"/>
    <cellStyle name="Normal 3 16 14 3" xfId="9327" xr:uid="{00000000-0005-0000-0000-0000433A0000}"/>
    <cellStyle name="Normal 3 16 14 3 2" xfId="26914" xr:uid="{00000000-0005-0000-0000-0000443A0000}"/>
    <cellStyle name="Normal 3 16 14 4" xfId="9328" xr:uid="{00000000-0005-0000-0000-0000453A0000}"/>
    <cellStyle name="Normal 3 16 14 4 2" xfId="26915" xr:uid="{00000000-0005-0000-0000-0000463A0000}"/>
    <cellStyle name="Normal 3 16 14 5" xfId="9329" xr:uid="{00000000-0005-0000-0000-0000473A0000}"/>
    <cellStyle name="Normal 3 16 14 5 2" xfId="26916" xr:uid="{00000000-0005-0000-0000-0000483A0000}"/>
    <cellStyle name="Normal 3 16 14 6" xfId="9330" xr:uid="{00000000-0005-0000-0000-0000493A0000}"/>
    <cellStyle name="Normal 3 16 14 6 2" xfId="26917" xr:uid="{00000000-0005-0000-0000-00004A3A0000}"/>
    <cellStyle name="Normal 3 16 14 7" xfId="9331" xr:uid="{00000000-0005-0000-0000-00004B3A0000}"/>
    <cellStyle name="Normal 3 16 14 7 2" xfId="26918" xr:uid="{00000000-0005-0000-0000-00004C3A0000}"/>
    <cellStyle name="Normal 3 16 14 8" xfId="9332" xr:uid="{00000000-0005-0000-0000-00004D3A0000}"/>
    <cellStyle name="Normal 3 16 14 8 2" xfId="26919" xr:uid="{00000000-0005-0000-0000-00004E3A0000}"/>
    <cellStyle name="Normal 3 16 14 9" xfId="9333" xr:uid="{00000000-0005-0000-0000-00004F3A0000}"/>
    <cellStyle name="Normal 3 16 14 9 2" xfId="26920" xr:uid="{00000000-0005-0000-0000-0000503A0000}"/>
    <cellStyle name="Normal 3 16 15" xfId="9334" xr:uid="{00000000-0005-0000-0000-0000513A0000}"/>
    <cellStyle name="Normal 3 16 16" xfId="9335" xr:uid="{00000000-0005-0000-0000-0000523A0000}"/>
    <cellStyle name="Normal 3 16 17" xfId="9336" xr:uid="{00000000-0005-0000-0000-0000533A0000}"/>
    <cellStyle name="Normal 3 16 17 10" xfId="9337" xr:uid="{00000000-0005-0000-0000-0000543A0000}"/>
    <cellStyle name="Normal 3 16 17 10 2" xfId="26922" xr:uid="{00000000-0005-0000-0000-0000553A0000}"/>
    <cellStyle name="Normal 3 16 17 11" xfId="9338" xr:uid="{00000000-0005-0000-0000-0000563A0000}"/>
    <cellStyle name="Normal 3 16 17 11 2" xfId="26923" xr:uid="{00000000-0005-0000-0000-0000573A0000}"/>
    <cellStyle name="Normal 3 16 17 12" xfId="9339" xr:uid="{00000000-0005-0000-0000-0000583A0000}"/>
    <cellStyle name="Normal 3 16 17 12 2" xfId="26924" xr:uid="{00000000-0005-0000-0000-0000593A0000}"/>
    <cellStyle name="Normal 3 16 17 13" xfId="9340" xr:uid="{00000000-0005-0000-0000-00005A3A0000}"/>
    <cellStyle name="Normal 3 16 17 13 2" xfId="26925" xr:uid="{00000000-0005-0000-0000-00005B3A0000}"/>
    <cellStyle name="Normal 3 16 17 14" xfId="9341" xr:uid="{00000000-0005-0000-0000-00005C3A0000}"/>
    <cellStyle name="Normal 3 16 17 14 2" xfId="26926" xr:uid="{00000000-0005-0000-0000-00005D3A0000}"/>
    <cellStyle name="Normal 3 16 17 15" xfId="26921" xr:uid="{00000000-0005-0000-0000-00005E3A0000}"/>
    <cellStyle name="Normal 3 16 17 2" xfId="9342" xr:uid="{00000000-0005-0000-0000-00005F3A0000}"/>
    <cellStyle name="Normal 3 16 17 2 2" xfId="26927" xr:uid="{00000000-0005-0000-0000-0000603A0000}"/>
    <cellStyle name="Normal 3 16 17 3" xfId="9343" xr:uid="{00000000-0005-0000-0000-0000613A0000}"/>
    <cellStyle name="Normal 3 16 17 3 2" xfId="26928" xr:uid="{00000000-0005-0000-0000-0000623A0000}"/>
    <cellStyle name="Normal 3 16 17 4" xfId="9344" xr:uid="{00000000-0005-0000-0000-0000633A0000}"/>
    <cellStyle name="Normal 3 16 17 4 2" xfId="26929" xr:uid="{00000000-0005-0000-0000-0000643A0000}"/>
    <cellStyle name="Normal 3 16 17 5" xfId="9345" xr:uid="{00000000-0005-0000-0000-0000653A0000}"/>
    <cellStyle name="Normal 3 16 17 5 2" xfId="26930" xr:uid="{00000000-0005-0000-0000-0000663A0000}"/>
    <cellStyle name="Normal 3 16 17 6" xfId="9346" xr:uid="{00000000-0005-0000-0000-0000673A0000}"/>
    <cellStyle name="Normal 3 16 17 6 2" xfId="26931" xr:uid="{00000000-0005-0000-0000-0000683A0000}"/>
    <cellStyle name="Normal 3 16 17 7" xfId="9347" xr:uid="{00000000-0005-0000-0000-0000693A0000}"/>
    <cellStyle name="Normal 3 16 17 7 2" xfId="26932" xr:uid="{00000000-0005-0000-0000-00006A3A0000}"/>
    <cellStyle name="Normal 3 16 17 8" xfId="9348" xr:uid="{00000000-0005-0000-0000-00006B3A0000}"/>
    <cellStyle name="Normal 3 16 17 8 2" xfId="26933" xr:uid="{00000000-0005-0000-0000-00006C3A0000}"/>
    <cellStyle name="Normal 3 16 17 9" xfId="9349" xr:uid="{00000000-0005-0000-0000-00006D3A0000}"/>
    <cellStyle name="Normal 3 16 17 9 2" xfId="26934" xr:uid="{00000000-0005-0000-0000-00006E3A0000}"/>
    <cellStyle name="Normal 3 16 18" xfId="9350" xr:uid="{00000000-0005-0000-0000-00006F3A0000}"/>
    <cellStyle name="Normal 3 16 18 10" xfId="9351" xr:uid="{00000000-0005-0000-0000-0000703A0000}"/>
    <cellStyle name="Normal 3 16 18 10 2" xfId="26936" xr:uid="{00000000-0005-0000-0000-0000713A0000}"/>
    <cellStyle name="Normal 3 16 18 11" xfId="9352" xr:uid="{00000000-0005-0000-0000-0000723A0000}"/>
    <cellStyle name="Normal 3 16 18 11 2" xfId="26937" xr:uid="{00000000-0005-0000-0000-0000733A0000}"/>
    <cellStyle name="Normal 3 16 18 12" xfId="9353" xr:uid="{00000000-0005-0000-0000-0000743A0000}"/>
    <cellStyle name="Normal 3 16 18 12 2" xfId="26938" xr:uid="{00000000-0005-0000-0000-0000753A0000}"/>
    <cellStyle name="Normal 3 16 18 13" xfId="9354" xr:uid="{00000000-0005-0000-0000-0000763A0000}"/>
    <cellStyle name="Normal 3 16 18 13 2" xfId="26939" xr:uid="{00000000-0005-0000-0000-0000773A0000}"/>
    <cellStyle name="Normal 3 16 18 14" xfId="9355" xr:uid="{00000000-0005-0000-0000-0000783A0000}"/>
    <cellStyle name="Normal 3 16 18 14 2" xfId="26940" xr:uid="{00000000-0005-0000-0000-0000793A0000}"/>
    <cellStyle name="Normal 3 16 18 15" xfId="26935" xr:uid="{00000000-0005-0000-0000-00007A3A0000}"/>
    <cellStyle name="Normal 3 16 18 2" xfId="9356" xr:uid="{00000000-0005-0000-0000-00007B3A0000}"/>
    <cellStyle name="Normal 3 16 18 2 2" xfId="26941" xr:uid="{00000000-0005-0000-0000-00007C3A0000}"/>
    <cellStyle name="Normal 3 16 18 3" xfId="9357" xr:uid="{00000000-0005-0000-0000-00007D3A0000}"/>
    <cellStyle name="Normal 3 16 18 3 2" xfId="26942" xr:uid="{00000000-0005-0000-0000-00007E3A0000}"/>
    <cellStyle name="Normal 3 16 18 4" xfId="9358" xr:uid="{00000000-0005-0000-0000-00007F3A0000}"/>
    <cellStyle name="Normal 3 16 18 4 2" xfId="26943" xr:uid="{00000000-0005-0000-0000-0000803A0000}"/>
    <cellStyle name="Normal 3 16 18 5" xfId="9359" xr:uid="{00000000-0005-0000-0000-0000813A0000}"/>
    <cellStyle name="Normal 3 16 18 5 2" xfId="26944" xr:uid="{00000000-0005-0000-0000-0000823A0000}"/>
    <cellStyle name="Normal 3 16 18 6" xfId="9360" xr:uid="{00000000-0005-0000-0000-0000833A0000}"/>
    <cellStyle name="Normal 3 16 18 6 2" xfId="26945" xr:uid="{00000000-0005-0000-0000-0000843A0000}"/>
    <cellStyle name="Normal 3 16 18 7" xfId="9361" xr:uid="{00000000-0005-0000-0000-0000853A0000}"/>
    <cellStyle name="Normal 3 16 18 7 2" xfId="26946" xr:uid="{00000000-0005-0000-0000-0000863A0000}"/>
    <cellStyle name="Normal 3 16 18 8" xfId="9362" xr:uid="{00000000-0005-0000-0000-0000873A0000}"/>
    <cellStyle name="Normal 3 16 18 8 2" xfId="26947" xr:uid="{00000000-0005-0000-0000-0000883A0000}"/>
    <cellStyle name="Normal 3 16 18 9" xfId="9363" xr:uid="{00000000-0005-0000-0000-0000893A0000}"/>
    <cellStyle name="Normal 3 16 18 9 2" xfId="26948" xr:uid="{00000000-0005-0000-0000-00008A3A0000}"/>
    <cellStyle name="Normal 3 16 2" xfId="9364" xr:uid="{00000000-0005-0000-0000-00008B3A0000}"/>
    <cellStyle name="Normal 3 16 2 10" xfId="9365" xr:uid="{00000000-0005-0000-0000-00008C3A0000}"/>
    <cellStyle name="Normal 3 16 2 10 2" xfId="26950" xr:uid="{00000000-0005-0000-0000-00008D3A0000}"/>
    <cellStyle name="Normal 3 16 2 11" xfId="9366" xr:uid="{00000000-0005-0000-0000-00008E3A0000}"/>
    <cellStyle name="Normal 3 16 2 11 2" xfId="26951" xr:uid="{00000000-0005-0000-0000-00008F3A0000}"/>
    <cellStyle name="Normal 3 16 2 12" xfId="9367" xr:uid="{00000000-0005-0000-0000-0000903A0000}"/>
    <cellStyle name="Normal 3 16 2 12 2" xfId="26952" xr:uid="{00000000-0005-0000-0000-0000913A0000}"/>
    <cellStyle name="Normal 3 16 2 13" xfId="9368" xr:uid="{00000000-0005-0000-0000-0000923A0000}"/>
    <cellStyle name="Normal 3 16 2 13 2" xfId="26953" xr:uid="{00000000-0005-0000-0000-0000933A0000}"/>
    <cellStyle name="Normal 3 16 2 14" xfId="9369" xr:uid="{00000000-0005-0000-0000-0000943A0000}"/>
    <cellStyle name="Normal 3 16 2 14 2" xfId="26954" xr:uid="{00000000-0005-0000-0000-0000953A0000}"/>
    <cellStyle name="Normal 3 16 2 15" xfId="9370" xr:uid="{00000000-0005-0000-0000-0000963A0000}"/>
    <cellStyle name="Normal 3 16 2 15 2" xfId="26955" xr:uid="{00000000-0005-0000-0000-0000973A0000}"/>
    <cellStyle name="Normal 3 16 2 16" xfId="9371" xr:uid="{00000000-0005-0000-0000-0000983A0000}"/>
    <cellStyle name="Normal 3 16 2 16 2" xfId="26956" xr:uid="{00000000-0005-0000-0000-0000993A0000}"/>
    <cellStyle name="Normal 3 16 2 17" xfId="9372" xr:uid="{00000000-0005-0000-0000-00009A3A0000}"/>
    <cellStyle name="Normal 3 16 2 17 2" xfId="26957" xr:uid="{00000000-0005-0000-0000-00009B3A0000}"/>
    <cellStyle name="Normal 3 16 2 18" xfId="26949" xr:uid="{00000000-0005-0000-0000-00009C3A0000}"/>
    <cellStyle name="Normal 3 16 2 2" xfId="9373" xr:uid="{00000000-0005-0000-0000-00009D3A0000}"/>
    <cellStyle name="Normal 3 16 2 3" xfId="9374" xr:uid="{00000000-0005-0000-0000-00009E3A0000}"/>
    <cellStyle name="Normal 3 16 2 4" xfId="9375" xr:uid="{00000000-0005-0000-0000-00009F3A0000}"/>
    <cellStyle name="Normal 3 16 2 5" xfId="9376" xr:uid="{00000000-0005-0000-0000-0000A03A0000}"/>
    <cellStyle name="Normal 3 16 2 5 2" xfId="26958" xr:uid="{00000000-0005-0000-0000-0000A13A0000}"/>
    <cellStyle name="Normal 3 16 2 6" xfId="9377" xr:uid="{00000000-0005-0000-0000-0000A23A0000}"/>
    <cellStyle name="Normal 3 16 2 6 2" xfId="26959" xr:uid="{00000000-0005-0000-0000-0000A33A0000}"/>
    <cellStyle name="Normal 3 16 2 7" xfId="9378" xr:uid="{00000000-0005-0000-0000-0000A43A0000}"/>
    <cellStyle name="Normal 3 16 2 7 2" xfId="26960" xr:uid="{00000000-0005-0000-0000-0000A53A0000}"/>
    <cellStyle name="Normal 3 16 2 8" xfId="9379" xr:uid="{00000000-0005-0000-0000-0000A63A0000}"/>
    <cellStyle name="Normal 3 16 2 8 2" xfId="26961" xr:uid="{00000000-0005-0000-0000-0000A73A0000}"/>
    <cellStyle name="Normal 3 16 2 9" xfId="9380" xr:uid="{00000000-0005-0000-0000-0000A83A0000}"/>
    <cellStyle name="Normal 3 16 2 9 2" xfId="26962" xr:uid="{00000000-0005-0000-0000-0000A93A0000}"/>
    <cellStyle name="Normal 3 16 3" xfId="9381" xr:uid="{00000000-0005-0000-0000-0000AA3A0000}"/>
    <cellStyle name="Normal 3 16 4" xfId="9382" xr:uid="{00000000-0005-0000-0000-0000AB3A0000}"/>
    <cellStyle name="Normal 3 16 5" xfId="9383" xr:uid="{00000000-0005-0000-0000-0000AC3A0000}"/>
    <cellStyle name="Normal 3 16 6" xfId="9384" xr:uid="{00000000-0005-0000-0000-0000AD3A0000}"/>
    <cellStyle name="Normal 3 16 6 10" xfId="9385" xr:uid="{00000000-0005-0000-0000-0000AE3A0000}"/>
    <cellStyle name="Normal 3 16 6 10 2" xfId="26964" xr:uid="{00000000-0005-0000-0000-0000AF3A0000}"/>
    <cellStyle name="Normal 3 16 6 11" xfId="9386" xr:uid="{00000000-0005-0000-0000-0000B03A0000}"/>
    <cellStyle name="Normal 3 16 6 11 2" xfId="26965" xr:uid="{00000000-0005-0000-0000-0000B13A0000}"/>
    <cellStyle name="Normal 3 16 6 12" xfId="9387" xr:uid="{00000000-0005-0000-0000-0000B23A0000}"/>
    <cellStyle name="Normal 3 16 6 12 2" xfId="26966" xr:uid="{00000000-0005-0000-0000-0000B33A0000}"/>
    <cellStyle name="Normal 3 16 6 13" xfId="9388" xr:uid="{00000000-0005-0000-0000-0000B43A0000}"/>
    <cellStyle name="Normal 3 16 6 13 2" xfId="26967" xr:uid="{00000000-0005-0000-0000-0000B53A0000}"/>
    <cellStyle name="Normal 3 16 6 14" xfId="9389" xr:uid="{00000000-0005-0000-0000-0000B63A0000}"/>
    <cellStyle name="Normal 3 16 6 14 2" xfId="26968" xr:uid="{00000000-0005-0000-0000-0000B73A0000}"/>
    <cellStyle name="Normal 3 16 6 15" xfId="9390" xr:uid="{00000000-0005-0000-0000-0000B83A0000}"/>
    <cellStyle name="Normal 3 16 6 15 2" xfId="26969" xr:uid="{00000000-0005-0000-0000-0000B93A0000}"/>
    <cellStyle name="Normal 3 16 6 16" xfId="26963" xr:uid="{00000000-0005-0000-0000-0000BA3A0000}"/>
    <cellStyle name="Normal 3 16 6 2" xfId="9391" xr:uid="{00000000-0005-0000-0000-0000BB3A0000}"/>
    <cellStyle name="Normal 3 16 6 2 10" xfId="9392" xr:uid="{00000000-0005-0000-0000-0000BC3A0000}"/>
    <cellStyle name="Normal 3 16 6 2 10 2" xfId="26971" xr:uid="{00000000-0005-0000-0000-0000BD3A0000}"/>
    <cellStyle name="Normal 3 16 6 2 11" xfId="9393" xr:uid="{00000000-0005-0000-0000-0000BE3A0000}"/>
    <cellStyle name="Normal 3 16 6 2 11 2" xfId="26972" xr:uid="{00000000-0005-0000-0000-0000BF3A0000}"/>
    <cellStyle name="Normal 3 16 6 2 12" xfId="9394" xr:uid="{00000000-0005-0000-0000-0000C03A0000}"/>
    <cellStyle name="Normal 3 16 6 2 12 2" xfId="26973" xr:uid="{00000000-0005-0000-0000-0000C13A0000}"/>
    <cellStyle name="Normal 3 16 6 2 13" xfId="9395" xr:uid="{00000000-0005-0000-0000-0000C23A0000}"/>
    <cellStyle name="Normal 3 16 6 2 13 2" xfId="26974" xr:uid="{00000000-0005-0000-0000-0000C33A0000}"/>
    <cellStyle name="Normal 3 16 6 2 14" xfId="9396" xr:uid="{00000000-0005-0000-0000-0000C43A0000}"/>
    <cellStyle name="Normal 3 16 6 2 14 2" xfId="26975" xr:uid="{00000000-0005-0000-0000-0000C53A0000}"/>
    <cellStyle name="Normal 3 16 6 2 15" xfId="26970" xr:uid="{00000000-0005-0000-0000-0000C63A0000}"/>
    <cellStyle name="Normal 3 16 6 2 2" xfId="9397" xr:uid="{00000000-0005-0000-0000-0000C73A0000}"/>
    <cellStyle name="Normal 3 16 6 2 2 2" xfId="26976" xr:uid="{00000000-0005-0000-0000-0000C83A0000}"/>
    <cellStyle name="Normal 3 16 6 2 3" xfId="9398" xr:uid="{00000000-0005-0000-0000-0000C93A0000}"/>
    <cellStyle name="Normal 3 16 6 2 3 2" xfId="26977" xr:uid="{00000000-0005-0000-0000-0000CA3A0000}"/>
    <cellStyle name="Normal 3 16 6 2 4" xfId="9399" xr:uid="{00000000-0005-0000-0000-0000CB3A0000}"/>
    <cellStyle name="Normal 3 16 6 2 4 2" xfId="26978" xr:uid="{00000000-0005-0000-0000-0000CC3A0000}"/>
    <cellStyle name="Normal 3 16 6 2 5" xfId="9400" xr:uid="{00000000-0005-0000-0000-0000CD3A0000}"/>
    <cellStyle name="Normal 3 16 6 2 5 2" xfId="26979" xr:uid="{00000000-0005-0000-0000-0000CE3A0000}"/>
    <cellStyle name="Normal 3 16 6 2 6" xfId="9401" xr:uid="{00000000-0005-0000-0000-0000CF3A0000}"/>
    <cellStyle name="Normal 3 16 6 2 6 2" xfId="26980" xr:uid="{00000000-0005-0000-0000-0000D03A0000}"/>
    <cellStyle name="Normal 3 16 6 2 7" xfId="9402" xr:uid="{00000000-0005-0000-0000-0000D13A0000}"/>
    <cellStyle name="Normal 3 16 6 2 7 2" xfId="26981" xr:uid="{00000000-0005-0000-0000-0000D23A0000}"/>
    <cellStyle name="Normal 3 16 6 2 8" xfId="9403" xr:uid="{00000000-0005-0000-0000-0000D33A0000}"/>
    <cellStyle name="Normal 3 16 6 2 8 2" xfId="26982" xr:uid="{00000000-0005-0000-0000-0000D43A0000}"/>
    <cellStyle name="Normal 3 16 6 2 9" xfId="9404" xr:uid="{00000000-0005-0000-0000-0000D53A0000}"/>
    <cellStyle name="Normal 3 16 6 2 9 2" xfId="26983" xr:uid="{00000000-0005-0000-0000-0000D63A0000}"/>
    <cellStyle name="Normal 3 16 6 3" xfId="9405" xr:uid="{00000000-0005-0000-0000-0000D73A0000}"/>
    <cellStyle name="Normal 3 16 6 3 2" xfId="26984" xr:uid="{00000000-0005-0000-0000-0000D83A0000}"/>
    <cellStyle name="Normal 3 16 6 4" xfId="9406" xr:uid="{00000000-0005-0000-0000-0000D93A0000}"/>
    <cellStyle name="Normal 3 16 6 4 2" xfId="26985" xr:uid="{00000000-0005-0000-0000-0000DA3A0000}"/>
    <cellStyle name="Normal 3 16 6 5" xfId="9407" xr:uid="{00000000-0005-0000-0000-0000DB3A0000}"/>
    <cellStyle name="Normal 3 16 6 5 2" xfId="26986" xr:uid="{00000000-0005-0000-0000-0000DC3A0000}"/>
    <cellStyle name="Normal 3 16 6 6" xfId="9408" xr:uid="{00000000-0005-0000-0000-0000DD3A0000}"/>
    <cellStyle name="Normal 3 16 6 6 2" xfId="26987" xr:uid="{00000000-0005-0000-0000-0000DE3A0000}"/>
    <cellStyle name="Normal 3 16 6 7" xfId="9409" xr:uid="{00000000-0005-0000-0000-0000DF3A0000}"/>
    <cellStyle name="Normal 3 16 6 7 2" xfId="26988" xr:uid="{00000000-0005-0000-0000-0000E03A0000}"/>
    <cellStyle name="Normal 3 16 6 8" xfId="9410" xr:uid="{00000000-0005-0000-0000-0000E13A0000}"/>
    <cellStyle name="Normal 3 16 6 8 2" xfId="26989" xr:uid="{00000000-0005-0000-0000-0000E23A0000}"/>
    <cellStyle name="Normal 3 16 6 9" xfId="9411" xr:uid="{00000000-0005-0000-0000-0000E33A0000}"/>
    <cellStyle name="Normal 3 16 6 9 2" xfId="26990" xr:uid="{00000000-0005-0000-0000-0000E43A0000}"/>
    <cellStyle name="Normal 3 16 7" xfId="9412" xr:uid="{00000000-0005-0000-0000-0000E53A0000}"/>
    <cellStyle name="Normal 3 16 7 10" xfId="9413" xr:uid="{00000000-0005-0000-0000-0000E63A0000}"/>
    <cellStyle name="Normal 3 16 7 10 2" xfId="26992" xr:uid="{00000000-0005-0000-0000-0000E73A0000}"/>
    <cellStyle name="Normal 3 16 7 11" xfId="9414" xr:uid="{00000000-0005-0000-0000-0000E83A0000}"/>
    <cellStyle name="Normal 3 16 7 11 2" xfId="26993" xr:uid="{00000000-0005-0000-0000-0000E93A0000}"/>
    <cellStyle name="Normal 3 16 7 12" xfId="9415" xr:uid="{00000000-0005-0000-0000-0000EA3A0000}"/>
    <cellStyle name="Normal 3 16 7 12 2" xfId="26994" xr:uid="{00000000-0005-0000-0000-0000EB3A0000}"/>
    <cellStyle name="Normal 3 16 7 13" xfId="9416" xr:uid="{00000000-0005-0000-0000-0000EC3A0000}"/>
    <cellStyle name="Normal 3 16 7 13 2" xfId="26995" xr:uid="{00000000-0005-0000-0000-0000ED3A0000}"/>
    <cellStyle name="Normal 3 16 7 14" xfId="9417" xr:uid="{00000000-0005-0000-0000-0000EE3A0000}"/>
    <cellStyle name="Normal 3 16 7 14 2" xfId="26996" xr:uid="{00000000-0005-0000-0000-0000EF3A0000}"/>
    <cellStyle name="Normal 3 16 7 15" xfId="9418" xr:uid="{00000000-0005-0000-0000-0000F03A0000}"/>
    <cellStyle name="Normal 3 16 7 15 2" xfId="26997" xr:uid="{00000000-0005-0000-0000-0000F13A0000}"/>
    <cellStyle name="Normal 3 16 7 16" xfId="26991" xr:uid="{00000000-0005-0000-0000-0000F23A0000}"/>
    <cellStyle name="Normal 3 16 7 2" xfId="9419" xr:uid="{00000000-0005-0000-0000-0000F33A0000}"/>
    <cellStyle name="Normal 3 16 7 2 10" xfId="9420" xr:uid="{00000000-0005-0000-0000-0000F43A0000}"/>
    <cellStyle name="Normal 3 16 7 2 10 2" xfId="26999" xr:uid="{00000000-0005-0000-0000-0000F53A0000}"/>
    <cellStyle name="Normal 3 16 7 2 11" xfId="9421" xr:uid="{00000000-0005-0000-0000-0000F63A0000}"/>
    <cellStyle name="Normal 3 16 7 2 11 2" xfId="27000" xr:uid="{00000000-0005-0000-0000-0000F73A0000}"/>
    <cellStyle name="Normal 3 16 7 2 12" xfId="9422" xr:uid="{00000000-0005-0000-0000-0000F83A0000}"/>
    <cellStyle name="Normal 3 16 7 2 12 2" xfId="27001" xr:uid="{00000000-0005-0000-0000-0000F93A0000}"/>
    <cellStyle name="Normal 3 16 7 2 13" xfId="9423" xr:uid="{00000000-0005-0000-0000-0000FA3A0000}"/>
    <cellStyle name="Normal 3 16 7 2 13 2" xfId="27002" xr:uid="{00000000-0005-0000-0000-0000FB3A0000}"/>
    <cellStyle name="Normal 3 16 7 2 14" xfId="9424" xr:uid="{00000000-0005-0000-0000-0000FC3A0000}"/>
    <cellStyle name="Normal 3 16 7 2 14 2" xfId="27003" xr:uid="{00000000-0005-0000-0000-0000FD3A0000}"/>
    <cellStyle name="Normal 3 16 7 2 15" xfId="26998" xr:uid="{00000000-0005-0000-0000-0000FE3A0000}"/>
    <cellStyle name="Normal 3 16 7 2 2" xfId="9425" xr:uid="{00000000-0005-0000-0000-0000FF3A0000}"/>
    <cellStyle name="Normal 3 16 7 2 2 2" xfId="27004" xr:uid="{00000000-0005-0000-0000-0000003B0000}"/>
    <cellStyle name="Normal 3 16 7 2 3" xfId="9426" xr:uid="{00000000-0005-0000-0000-0000013B0000}"/>
    <cellStyle name="Normal 3 16 7 2 3 2" xfId="27005" xr:uid="{00000000-0005-0000-0000-0000023B0000}"/>
    <cellStyle name="Normal 3 16 7 2 4" xfId="9427" xr:uid="{00000000-0005-0000-0000-0000033B0000}"/>
    <cellStyle name="Normal 3 16 7 2 4 2" xfId="27006" xr:uid="{00000000-0005-0000-0000-0000043B0000}"/>
    <cellStyle name="Normal 3 16 7 2 5" xfId="9428" xr:uid="{00000000-0005-0000-0000-0000053B0000}"/>
    <cellStyle name="Normal 3 16 7 2 5 2" xfId="27007" xr:uid="{00000000-0005-0000-0000-0000063B0000}"/>
    <cellStyle name="Normal 3 16 7 2 6" xfId="9429" xr:uid="{00000000-0005-0000-0000-0000073B0000}"/>
    <cellStyle name="Normal 3 16 7 2 6 2" xfId="27008" xr:uid="{00000000-0005-0000-0000-0000083B0000}"/>
    <cellStyle name="Normal 3 16 7 2 7" xfId="9430" xr:uid="{00000000-0005-0000-0000-0000093B0000}"/>
    <cellStyle name="Normal 3 16 7 2 7 2" xfId="27009" xr:uid="{00000000-0005-0000-0000-00000A3B0000}"/>
    <cellStyle name="Normal 3 16 7 2 8" xfId="9431" xr:uid="{00000000-0005-0000-0000-00000B3B0000}"/>
    <cellStyle name="Normal 3 16 7 2 8 2" xfId="27010" xr:uid="{00000000-0005-0000-0000-00000C3B0000}"/>
    <cellStyle name="Normal 3 16 7 2 9" xfId="9432" xr:uid="{00000000-0005-0000-0000-00000D3B0000}"/>
    <cellStyle name="Normal 3 16 7 2 9 2" xfId="27011" xr:uid="{00000000-0005-0000-0000-00000E3B0000}"/>
    <cellStyle name="Normal 3 16 7 3" xfId="9433" xr:uid="{00000000-0005-0000-0000-00000F3B0000}"/>
    <cellStyle name="Normal 3 16 7 3 2" xfId="27012" xr:uid="{00000000-0005-0000-0000-0000103B0000}"/>
    <cellStyle name="Normal 3 16 7 4" xfId="9434" xr:uid="{00000000-0005-0000-0000-0000113B0000}"/>
    <cellStyle name="Normal 3 16 7 4 2" xfId="27013" xr:uid="{00000000-0005-0000-0000-0000123B0000}"/>
    <cellStyle name="Normal 3 16 7 5" xfId="9435" xr:uid="{00000000-0005-0000-0000-0000133B0000}"/>
    <cellStyle name="Normal 3 16 7 5 2" xfId="27014" xr:uid="{00000000-0005-0000-0000-0000143B0000}"/>
    <cellStyle name="Normal 3 16 7 6" xfId="9436" xr:uid="{00000000-0005-0000-0000-0000153B0000}"/>
    <cellStyle name="Normal 3 16 7 6 2" xfId="27015" xr:uid="{00000000-0005-0000-0000-0000163B0000}"/>
    <cellStyle name="Normal 3 16 7 7" xfId="9437" xr:uid="{00000000-0005-0000-0000-0000173B0000}"/>
    <cellStyle name="Normal 3 16 7 7 2" xfId="27016" xr:uid="{00000000-0005-0000-0000-0000183B0000}"/>
    <cellStyle name="Normal 3 16 7 8" xfId="9438" xr:uid="{00000000-0005-0000-0000-0000193B0000}"/>
    <cellStyle name="Normal 3 16 7 8 2" xfId="27017" xr:uid="{00000000-0005-0000-0000-00001A3B0000}"/>
    <cellStyle name="Normal 3 16 7 9" xfId="9439" xr:uid="{00000000-0005-0000-0000-00001B3B0000}"/>
    <cellStyle name="Normal 3 16 7 9 2" xfId="27018" xr:uid="{00000000-0005-0000-0000-00001C3B0000}"/>
    <cellStyle name="Normal 3 16 8" xfId="9440" xr:uid="{00000000-0005-0000-0000-00001D3B0000}"/>
    <cellStyle name="Normal 3 16 8 10" xfId="9441" xr:uid="{00000000-0005-0000-0000-00001E3B0000}"/>
    <cellStyle name="Normal 3 16 8 10 2" xfId="27020" xr:uid="{00000000-0005-0000-0000-00001F3B0000}"/>
    <cellStyle name="Normal 3 16 8 11" xfId="9442" xr:uid="{00000000-0005-0000-0000-0000203B0000}"/>
    <cellStyle name="Normal 3 16 8 11 2" xfId="27021" xr:uid="{00000000-0005-0000-0000-0000213B0000}"/>
    <cellStyle name="Normal 3 16 8 12" xfId="9443" xr:uid="{00000000-0005-0000-0000-0000223B0000}"/>
    <cellStyle name="Normal 3 16 8 12 2" xfId="27022" xr:uid="{00000000-0005-0000-0000-0000233B0000}"/>
    <cellStyle name="Normal 3 16 8 13" xfId="9444" xr:uid="{00000000-0005-0000-0000-0000243B0000}"/>
    <cellStyle name="Normal 3 16 8 13 2" xfId="27023" xr:uid="{00000000-0005-0000-0000-0000253B0000}"/>
    <cellStyle name="Normal 3 16 8 14" xfId="9445" xr:uid="{00000000-0005-0000-0000-0000263B0000}"/>
    <cellStyle name="Normal 3 16 8 14 2" xfId="27024" xr:uid="{00000000-0005-0000-0000-0000273B0000}"/>
    <cellStyle name="Normal 3 16 8 15" xfId="9446" xr:uid="{00000000-0005-0000-0000-0000283B0000}"/>
    <cellStyle name="Normal 3 16 8 15 2" xfId="27025" xr:uid="{00000000-0005-0000-0000-0000293B0000}"/>
    <cellStyle name="Normal 3 16 8 16" xfId="27019" xr:uid="{00000000-0005-0000-0000-00002A3B0000}"/>
    <cellStyle name="Normal 3 16 8 2" xfId="9447" xr:uid="{00000000-0005-0000-0000-00002B3B0000}"/>
    <cellStyle name="Normal 3 16 8 2 10" xfId="9448" xr:uid="{00000000-0005-0000-0000-00002C3B0000}"/>
    <cellStyle name="Normal 3 16 8 2 10 2" xfId="27027" xr:uid="{00000000-0005-0000-0000-00002D3B0000}"/>
    <cellStyle name="Normal 3 16 8 2 11" xfId="9449" xr:uid="{00000000-0005-0000-0000-00002E3B0000}"/>
    <cellStyle name="Normal 3 16 8 2 11 2" xfId="27028" xr:uid="{00000000-0005-0000-0000-00002F3B0000}"/>
    <cellStyle name="Normal 3 16 8 2 12" xfId="9450" xr:uid="{00000000-0005-0000-0000-0000303B0000}"/>
    <cellStyle name="Normal 3 16 8 2 12 2" xfId="27029" xr:uid="{00000000-0005-0000-0000-0000313B0000}"/>
    <cellStyle name="Normal 3 16 8 2 13" xfId="9451" xr:uid="{00000000-0005-0000-0000-0000323B0000}"/>
    <cellStyle name="Normal 3 16 8 2 13 2" xfId="27030" xr:uid="{00000000-0005-0000-0000-0000333B0000}"/>
    <cellStyle name="Normal 3 16 8 2 14" xfId="9452" xr:uid="{00000000-0005-0000-0000-0000343B0000}"/>
    <cellStyle name="Normal 3 16 8 2 14 2" xfId="27031" xr:uid="{00000000-0005-0000-0000-0000353B0000}"/>
    <cellStyle name="Normal 3 16 8 2 15" xfId="27026" xr:uid="{00000000-0005-0000-0000-0000363B0000}"/>
    <cellStyle name="Normal 3 16 8 2 2" xfId="9453" xr:uid="{00000000-0005-0000-0000-0000373B0000}"/>
    <cellStyle name="Normal 3 16 8 2 2 2" xfId="27032" xr:uid="{00000000-0005-0000-0000-0000383B0000}"/>
    <cellStyle name="Normal 3 16 8 2 3" xfId="9454" xr:uid="{00000000-0005-0000-0000-0000393B0000}"/>
    <cellStyle name="Normal 3 16 8 2 3 2" xfId="27033" xr:uid="{00000000-0005-0000-0000-00003A3B0000}"/>
    <cellStyle name="Normal 3 16 8 2 4" xfId="9455" xr:uid="{00000000-0005-0000-0000-00003B3B0000}"/>
    <cellStyle name="Normal 3 16 8 2 4 2" xfId="27034" xr:uid="{00000000-0005-0000-0000-00003C3B0000}"/>
    <cellStyle name="Normal 3 16 8 2 5" xfId="9456" xr:uid="{00000000-0005-0000-0000-00003D3B0000}"/>
    <cellStyle name="Normal 3 16 8 2 5 2" xfId="27035" xr:uid="{00000000-0005-0000-0000-00003E3B0000}"/>
    <cellStyle name="Normal 3 16 8 2 6" xfId="9457" xr:uid="{00000000-0005-0000-0000-00003F3B0000}"/>
    <cellStyle name="Normal 3 16 8 2 6 2" xfId="27036" xr:uid="{00000000-0005-0000-0000-0000403B0000}"/>
    <cellStyle name="Normal 3 16 8 2 7" xfId="9458" xr:uid="{00000000-0005-0000-0000-0000413B0000}"/>
    <cellStyle name="Normal 3 16 8 2 7 2" xfId="27037" xr:uid="{00000000-0005-0000-0000-0000423B0000}"/>
    <cellStyle name="Normal 3 16 8 2 8" xfId="9459" xr:uid="{00000000-0005-0000-0000-0000433B0000}"/>
    <cellStyle name="Normal 3 16 8 2 8 2" xfId="27038" xr:uid="{00000000-0005-0000-0000-0000443B0000}"/>
    <cellStyle name="Normal 3 16 8 2 9" xfId="9460" xr:uid="{00000000-0005-0000-0000-0000453B0000}"/>
    <cellStyle name="Normal 3 16 8 2 9 2" xfId="27039" xr:uid="{00000000-0005-0000-0000-0000463B0000}"/>
    <cellStyle name="Normal 3 16 8 3" xfId="9461" xr:uid="{00000000-0005-0000-0000-0000473B0000}"/>
    <cellStyle name="Normal 3 16 8 3 2" xfId="27040" xr:uid="{00000000-0005-0000-0000-0000483B0000}"/>
    <cellStyle name="Normal 3 16 8 4" xfId="9462" xr:uid="{00000000-0005-0000-0000-0000493B0000}"/>
    <cellStyle name="Normal 3 16 8 4 2" xfId="27041" xr:uid="{00000000-0005-0000-0000-00004A3B0000}"/>
    <cellStyle name="Normal 3 16 8 5" xfId="9463" xr:uid="{00000000-0005-0000-0000-00004B3B0000}"/>
    <cellStyle name="Normal 3 16 8 5 2" xfId="27042" xr:uid="{00000000-0005-0000-0000-00004C3B0000}"/>
    <cellStyle name="Normal 3 16 8 6" xfId="9464" xr:uid="{00000000-0005-0000-0000-00004D3B0000}"/>
    <cellStyle name="Normal 3 16 8 6 2" xfId="27043" xr:uid="{00000000-0005-0000-0000-00004E3B0000}"/>
    <cellStyle name="Normal 3 16 8 7" xfId="9465" xr:uid="{00000000-0005-0000-0000-00004F3B0000}"/>
    <cellStyle name="Normal 3 16 8 7 2" xfId="27044" xr:uid="{00000000-0005-0000-0000-0000503B0000}"/>
    <cellStyle name="Normal 3 16 8 8" xfId="9466" xr:uid="{00000000-0005-0000-0000-0000513B0000}"/>
    <cellStyle name="Normal 3 16 8 8 2" xfId="27045" xr:uid="{00000000-0005-0000-0000-0000523B0000}"/>
    <cellStyle name="Normal 3 16 8 9" xfId="9467" xr:uid="{00000000-0005-0000-0000-0000533B0000}"/>
    <cellStyle name="Normal 3 16 8 9 2" xfId="27046" xr:uid="{00000000-0005-0000-0000-0000543B0000}"/>
    <cellStyle name="Normal 3 16 9" xfId="9468" xr:uid="{00000000-0005-0000-0000-0000553B0000}"/>
    <cellStyle name="Normal 3 16 9 10" xfId="9469" xr:uid="{00000000-0005-0000-0000-0000563B0000}"/>
    <cellStyle name="Normal 3 16 9 10 2" xfId="27048" xr:uid="{00000000-0005-0000-0000-0000573B0000}"/>
    <cellStyle name="Normal 3 16 9 11" xfId="9470" xr:uid="{00000000-0005-0000-0000-0000583B0000}"/>
    <cellStyle name="Normal 3 16 9 11 2" xfId="27049" xr:uid="{00000000-0005-0000-0000-0000593B0000}"/>
    <cellStyle name="Normal 3 16 9 12" xfId="9471" xr:uid="{00000000-0005-0000-0000-00005A3B0000}"/>
    <cellStyle name="Normal 3 16 9 12 2" xfId="27050" xr:uid="{00000000-0005-0000-0000-00005B3B0000}"/>
    <cellStyle name="Normal 3 16 9 13" xfId="9472" xr:uid="{00000000-0005-0000-0000-00005C3B0000}"/>
    <cellStyle name="Normal 3 16 9 13 2" xfId="27051" xr:uid="{00000000-0005-0000-0000-00005D3B0000}"/>
    <cellStyle name="Normal 3 16 9 14" xfId="9473" xr:uid="{00000000-0005-0000-0000-00005E3B0000}"/>
    <cellStyle name="Normal 3 16 9 14 2" xfId="27052" xr:uid="{00000000-0005-0000-0000-00005F3B0000}"/>
    <cellStyle name="Normal 3 16 9 15" xfId="27047" xr:uid="{00000000-0005-0000-0000-0000603B0000}"/>
    <cellStyle name="Normal 3 16 9 2" xfId="9474" xr:uid="{00000000-0005-0000-0000-0000613B0000}"/>
    <cellStyle name="Normal 3 16 9 2 2" xfId="27053" xr:uid="{00000000-0005-0000-0000-0000623B0000}"/>
    <cellStyle name="Normal 3 16 9 3" xfId="9475" xr:uid="{00000000-0005-0000-0000-0000633B0000}"/>
    <cellStyle name="Normal 3 16 9 3 2" xfId="27054" xr:uid="{00000000-0005-0000-0000-0000643B0000}"/>
    <cellStyle name="Normal 3 16 9 4" xfId="9476" xr:uid="{00000000-0005-0000-0000-0000653B0000}"/>
    <cellStyle name="Normal 3 16 9 4 2" xfId="27055" xr:uid="{00000000-0005-0000-0000-0000663B0000}"/>
    <cellStyle name="Normal 3 16 9 5" xfId="9477" xr:uid="{00000000-0005-0000-0000-0000673B0000}"/>
    <cellStyle name="Normal 3 16 9 5 2" xfId="27056" xr:uid="{00000000-0005-0000-0000-0000683B0000}"/>
    <cellStyle name="Normal 3 16 9 6" xfId="9478" xr:uid="{00000000-0005-0000-0000-0000693B0000}"/>
    <cellStyle name="Normal 3 16 9 6 2" xfId="27057" xr:uid="{00000000-0005-0000-0000-00006A3B0000}"/>
    <cellStyle name="Normal 3 16 9 7" xfId="9479" xr:uid="{00000000-0005-0000-0000-00006B3B0000}"/>
    <cellStyle name="Normal 3 16 9 7 2" xfId="27058" xr:uid="{00000000-0005-0000-0000-00006C3B0000}"/>
    <cellStyle name="Normal 3 16 9 8" xfId="9480" xr:uid="{00000000-0005-0000-0000-00006D3B0000}"/>
    <cellStyle name="Normal 3 16 9 8 2" xfId="27059" xr:uid="{00000000-0005-0000-0000-00006E3B0000}"/>
    <cellStyle name="Normal 3 16 9 9" xfId="9481" xr:uid="{00000000-0005-0000-0000-00006F3B0000}"/>
    <cellStyle name="Normal 3 16 9 9 2" xfId="27060" xr:uid="{00000000-0005-0000-0000-0000703B0000}"/>
    <cellStyle name="Normal 3 17" xfId="9482" xr:uid="{00000000-0005-0000-0000-0000713B0000}"/>
    <cellStyle name="Normal 3 17 10" xfId="9483" xr:uid="{00000000-0005-0000-0000-0000723B0000}"/>
    <cellStyle name="Normal 3 17 10 10" xfId="9484" xr:uid="{00000000-0005-0000-0000-0000733B0000}"/>
    <cellStyle name="Normal 3 17 10 10 2" xfId="27062" xr:uid="{00000000-0005-0000-0000-0000743B0000}"/>
    <cellStyle name="Normal 3 17 10 11" xfId="9485" xr:uid="{00000000-0005-0000-0000-0000753B0000}"/>
    <cellStyle name="Normal 3 17 10 11 2" xfId="27063" xr:uid="{00000000-0005-0000-0000-0000763B0000}"/>
    <cellStyle name="Normal 3 17 10 12" xfId="9486" xr:uid="{00000000-0005-0000-0000-0000773B0000}"/>
    <cellStyle name="Normal 3 17 10 12 2" xfId="27064" xr:uid="{00000000-0005-0000-0000-0000783B0000}"/>
    <cellStyle name="Normal 3 17 10 13" xfId="9487" xr:uid="{00000000-0005-0000-0000-0000793B0000}"/>
    <cellStyle name="Normal 3 17 10 13 2" xfId="27065" xr:uid="{00000000-0005-0000-0000-00007A3B0000}"/>
    <cellStyle name="Normal 3 17 10 14" xfId="9488" xr:uid="{00000000-0005-0000-0000-00007B3B0000}"/>
    <cellStyle name="Normal 3 17 10 14 2" xfId="27066" xr:uid="{00000000-0005-0000-0000-00007C3B0000}"/>
    <cellStyle name="Normal 3 17 10 15" xfId="27061" xr:uid="{00000000-0005-0000-0000-00007D3B0000}"/>
    <cellStyle name="Normal 3 17 10 2" xfId="9489" xr:uid="{00000000-0005-0000-0000-00007E3B0000}"/>
    <cellStyle name="Normal 3 17 10 2 2" xfId="27067" xr:uid="{00000000-0005-0000-0000-00007F3B0000}"/>
    <cellStyle name="Normal 3 17 10 3" xfId="9490" xr:uid="{00000000-0005-0000-0000-0000803B0000}"/>
    <cellStyle name="Normal 3 17 10 3 2" xfId="27068" xr:uid="{00000000-0005-0000-0000-0000813B0000}"/>
    <cellStyle name="Normal 3 17 10 4" xfId="9491" xr:uid="{00000000-0005-0000-0000-0000823B0000}"/>
    <cellStyle name="Normal 3 17 10 4 2" xfId="27069" xr:uid="{00000000-0005-0000-0000-0000833B0000}"/>
    <cellStyle name="Normal 3 17 10 5" xfId="9492" xr:uid="{00000000-0005-0000-0000-0000843B0000}"/>
    <cellStyle name="Normal 3 17 10 5 2" xfId="27070" xr:uid="{00000000-0005-0000-0000-0000853B0000}"/>
    <cellStyle name="Normal 3 17 10 6" xfId="9493" xr:uid="{00000000-0005-0000-0000-0000863B0000}"/>
    <cellStyle name="Normal 3 17 10 6 2" xfId="27071" xr:uid="{00000000-0005-0000-0000-0000873B0000}"/>
    <cellStyle name="Normal 3 17 10 7" xfId="9494" xr:uid="{00000000-0005-0000-0000-0000883B0000}"/>
    <cellStyle name="Normal 3 17 10 7 2" xfId="27072" xr:uid="{00000000-0005-0000-0000-0000893B0000}"/>
    <cellStyle name="Normal 3 17 10 8" xfId="9495" xr:uid="{00000000-0005-0000-0000-00008A3B0000}"/>
    <cellStyle name="Normal 3 17 10 8 2" xfId="27073" xr:uid="{00000000-0005-0000-0000-00008B3B0000}"/>
    <cellStyle name="Normal 3 17 10 9" xfId="9496" xr:uid="{00000000-0005-0000-0000-00008C3B0000}"/>
    <cellStyle name="Normal 3 17 10 9 2" xfId="27074" xr:uid="{00000000-0005-0000-0000-00008D3B0000}"/>
    <cellStyle name="Normal 3 17 11" xfId="9497" xr:uid="{00000000-0005-0000-0000-00008E3B0000}"/>
    <cellStyle name="Normal 3 17 11 10" xfId="9498" xr:uid="{00000000-0005-0000-0000-00008F3B0000}"/>
    <cellStyle name="Normal 3 17 11 10 2" xfId="27076" xr:uid="{00000000-0005-0000-0000-0000903B0000}"/>
    <cellStyle name="Normal 3 17 11 11" xfId="9499" xr:uid="{00000000-0005-0000-0000-0000913B0000}"/>
    <cellStyle name="Normal 3 17 11 11 2" xfId="27077" xr:uid="{00000000-0005-0000-0000-0000923B0000}"/>
    <cellStyle name="Normal 3 17 11 12" xfId="9500" xr:uid="{00000000-0005-0000-0000-0000933B0000}"/>
    <cellStyle name="Normal 3 17 11 12 2" xfId="27078" xr:uid="{00000000-0005-0000-0000-0000943B0000}"/>
    <cellStyle name="Normal 3 17 11 13" xfId="9501" xr:uid="{00000000-0005-0000-0000-0000953B0000}"/>
    <cellStyle name="Normal 3 17 11 13 2" xfId="27079" xr:uid="{00000000-0005-0000-0000-0000963B0000}"/>
    <cellStyle name="Normal 3 17 11 14" xfId="9502" xr:uid="{00000000-0005-0000-0000-0000973B0000}"/>
    <cellStyle name="Normal 3 17 11 14 2" xfId="27080" xr:uid="{00000000-0005-0000-0000-0000983B0000}"/>
    <cellStyle name="Normal 3 17 11 15" xfId="27075" xr:uid="{00000000-0005-0000-0000-0000993B0000}"/>
    <cellStyle name="Normal 3 17 11 2" xfId="9503" xr:uid="{00000000-0005-0000-0000-00009A3B0000}"/>
    <cellStyle name="Normal 3 17 11 2 2" xfId="27081" xr:uid="{00000000-0005-0000-0000-00009B3B0000}"/>
    <cellStyle name="Normal 3 17 11 3" xfId="9504" xr:uid="{00000000-0005-0000-0000-00009C3B0000}"/>
    <cellStyle name="Normal 3 17 11 3 2" xfId="27082" xr:uid="{00000000-0005-0000-0000-00009D3B0000}"/>
    <cellStyle name="Normal 3 17 11 4" xfId="9505" xr:uid="{00000000-0005-0000-0000-00009E3B0000}"/>
    <cellStyle name="Normal 3 17 11 4 2" xfId="27083" xr:uid="{00000000-0005-0000-0000-00009F3B0000}"/>
    <cellStyle name="Normal 3 17 11 5" xfId="9506" xr:uid="{00000000-0005-0000-0000-0000A03B0000}"/>
    <cellStyle name="Normal 3 17 11 5 2" xfId="27084" xr:uid="{00000000-0005-0000-0000-0000A13B0000}"/>
    <cellStyle name="Normal 3 17 11 6" xfId="9507" xr:uid="{00000000-0005-0000-0000-0000A23B0000}"/>
    <cellStyle name="Normal 3 17 11 6 2" xfId="27085" xr:uid="{00000000-0005-0000-0000-0000A33B0000}"/>
    <cellStyle name="Normal 3 17 11 7" xfId="9508" xr:uid="{00000000-0005-0000-0000-0000A43B0000}"/>
    <cellStyle name="Normal 3 17 11 7 2" xfId="27086" xr:uid="{00000000-0005-0000-0000-0000A53B0000}"/>
    <cellStyle name="Normal 3 17 11 8" xfId="9509" xr:uid="{00000000-0005-0000-0000-0000A63B0000}"/>
    <cellStyle name="Normal 3 17 11 8 2" xfId="27087" xr:uid="{00000000-0005-0000-0000-0000A73B0000}"/>
    <cellStyle name="Normal 3 17 11 9" xfId="9510" xr:uid="{00000000-0005-0000-0000-0000A83B0000}"/>
    <cellStyle name="Normal 3 17 11 9 2" xfId="27088" xr:uid="{00000000-0005-0000-0000-0000A93B0000}"/>
    <cellStyle name="Normal 3 17 12" xfId="9511" xr:uid="{00000000-0005-0000-0000-0000AA3B0000}"/>
    <cellStyle name="Normal 3 17 12 10" xfId="9512" xr:uid="{00000000-0005-0000-0000-0000AB3B0000}"/>
    <cellStyle name="Normal 3 17 12 10 2" xfId="27090" xr:uid="{00000000-0005-0000-0000-0000AC3B0000}"/>
    <cellStyle name="Normal 3 17 12 11" xfId="9513" xr:uid="{00000000-0005-0000-0000-0000AD3B0000}"/>
    <cellStyle name="Normal 3 17 12 11 2" xfId="27091" xr:uid="{00000000-0005-0000-0000-0000AE3B0000}"/>
    <cellStyle name="Normal 3 17 12 12" xfId="9514" xr:uid="{00000000-0005-0000-0000-0000AF3B0000}"/>
    <cellStyle name="Normal 3 17 12 12 2" xfId="27092" xr:uid="{00000000-0005-0000-0000-0000B03B0000}"/>
    <cellStyle name="Normal 3 17 12 13" xfId="9515" xr:uid="{00000000-0005-0000-0000-0000B13B0000}"/>
    <cellStyle name="Normal 3 17 12 13 2" xfId="27093" xr:uid="{00000000-0005-0000-0000-0000B23B0000}"/>
    <cellStyle name="Normal 3 17 12 14" xfId="9516" xr:uid="{00000000-0005-0000-0000-0000B33B0000}"/>
    <cellStyle name="Normal 3 17 12 14 2" xfId="27094" xr:uid="{00000000-0005-0000-0000-0000B43B0000}"/>
    <cellStyle name="Normal 3 17 12 15" xfId="27089" xr:uid="{00000000-0005-0000-0000-0000B53B0000}"/>
    <cellStyle name="Normal 3 17 12 2" xfId="9517" xr:uid="{00000000-0005-0000-0000-0000B63B0000}"/>
    <cellStyle name="Normal 3 17 12 2 2" xfId="27095" xr:uid="{00000000-0005-0000-0000-0000B73B0000}"/>
    <cellStyle name="Normal 3 17 12 3" xfId="9518" xr:uid="{00000000-0005-0000-0000-0000B83B0000}"/>
    <cellStyle name="Normal 3 17 12 3 2" xfId="27096" xr:uid="{00000000-0005-0000-0000-0000B93B0000}"/>
    <cellStyle name="Normal 3 17 12 4" xfId="9519" xr:uid="{00000000-0005-0000-0000-0000BA3B0000}"/>
    <cellStyle name="Normal 3 17 12 4 2" xfId="27097" xr:uid="{00000000-0005-0000-0000-0000BB3B0000}"/>
    <cellStyle name="Normal 3 17 12 5" xfId="9520" xr:uid="{00000000-0005-0000-0000-0000BC3B0000}"/>
    <cellStyle name="Normal 3 17 12 5 2" xfId="27098" xr:uid="{00000000-0005-0000-0000-0000BD3B0000}"/>
    <cellStyle name="Normal 3 17 12 6" xfId="9521" xr:uid="{00000000-0005-0000-0000-0000BE3B0000}"/>
    <cellStyle name="Normal 3 17 12 6 2" xfId="27099" xr:uid="{00000000-0005-0000-0000-0000BF3B0000}"/>
    <cellStyle name="Normal 3 17 12 7" xfId="9522" xr:uid="{00000000-0005-0000-0000-0000C03B0000}"/>
    <cellStyle name="Normal 3 17 12 7 2" xfId="27100" xr:uid="{00000000-0005-0000-0000-0000C13B0000}"/>
    <cellStyle name="Normal 3 17 12 8" xfId="9523" xr:uid="{00000000-0005-0000-0000-0000C23B0000}"/>
    <cellStyle name="Normal 3 17 12 8 2" xfId="27101" xr:uid="{00000000-0005-0000-0000-0000C33B0000}"/>
    <cellStyle name="Normal 3 17 12 9" xfId="9524" xr:uid="{00000000-0005-0000-0000-0000C43B0000}"/>
    <cellStyle name="Normal 3 17 12 9 2" xfId="27102" xr:uid="{00000000-0005-0000-0000-0000C53B0000}"/>
    <cellStyle name="Normal 3 17 13" xfId="9525" xr:uid="{00000000-0005-0000-0000-0000C63B0000}"/>
    <cellStyle name="Normal 3 17 13 10" xfId="9526" xr:uid="{00000000-0005-0000-0000-0000C73B0000}"/>
    <cellStyle name="Normal 3 17 13 10 2" xfId="27104" xr:uid="{00000000-0005-0000-0000-0000C83B0000}"/>
    <cellStyle name="Normal 3 17 13 11" xfId="9527" xr:uid="{00000000-0005-0000-0000-0000C93B0000}"/>
    <cellStyle name="Normal 3 17 13 11 2" xfId="27105" xr:uid="{00000000-0005-0000-0000-0000CA3B0000}"/>
    <cellStyle name="Normal 3 17 13 12" xfId="9528" xr:uid="{00000000-0005-0000-0000-0000CB3B0000}"/>
    <cellStyle name="Normal 3 17 13 12 2" xfId="27106" xr:uid="{00000000-0005-0000-0000-0000CC3B0000}"/>
    <cellStyle name="Normal 3 17 13 13" xfId="9529" xr:uid="{00000000-0005-0000-0000-0000CD3B0000}"/>
    <cellStyle name="Normal 3 17 13 13 2" xfId="27107" xr:uid="{00000000-0005-0000-0000-0000CE3B0000}"/>
    <cellStyle name="Normal 3 17 13 14" xfId="9530" xr:uid="{00000000-0005-0000-0000-0000CF3B0000}"/>
    <cellStyle name="Normal 3 17 13 14 2" xfId="27108" xr:uid="{00000000-0005-0000-0000-0000D03B0000}"/>
    <cellStyle name="Normal 3 17 13 15" xfId="27103" xr:uid="{00000000-0005-0000-0000-0000D13B0000}"/>
    <cellStyle name="Normal 3 17 13 2" xfId="9531" xr:uid="{00000000-0005-0000-0000-0000D23B0000}"/>
    <cellStyle name="Normal 3 17 13 2 2" xfId="27109" xr:uid="{00000000-0005-0000-0000-0000D33B0000}"/>
    <cellStyle name="Normal 3 17 13 3" xfId="9532" xr:uid="{00000000-0005-0000-0000-0000D43B0000}"/>
    <cellStyle name="Normal 3 17 13 3 2" xfId="27110" xr:uid="{00000000-0005-0000-0000-0000D53B0000}"/>
    <cellStyle name="Normal 3 17 13 4" xfId="9533" xr:uid="{00000000-0005-0000-0000-0000D63B0000}"/>
    <cellStyle name="Normal 3 17 13 4 2" xfId="27111" xr:uid="{00000000-0005-0000-0000-0000D73B0000}"/>
    <cellStyle name="Normal 3 17 13 5" xfId="9534" xr:uid="{00000000-0005-0000-0000-0000D83B0000}"/>
    <cellStyle name="Normal 3 17 13 5 2" xfId="27112" xr:uid="{00000000-0005-0000-0000-0000D93B0000}"/>
    <cellStyle name="Normal 3 17 13 6" xfId="9535" xr:uid="{00000000-0005-0000-0000-0000DA3B0000}"/>
    <cellStyle name="Normal 3 17 13 6 2" xfId="27113" xr:uid="{00000000-0005-0000-0000-0000DB3B0000}"/>
    <cellStyle name="Normal 3 17 13 7" xfId="9536" xr:uid="{00000000-0005-0000-0000-0000DC3B0000}"/>
    <cellStyle name="Normal 3 17 13 7 2" xfId="27114" xr:uid="{00000000-0005-0000-0000-0000DD3B0000}"/>
    <cellStyle name="Normal 3 17 13 8" xfId="9537" xr:uid="{00000000-0005-0000-0000-0000DE3B0000}"/>
    <cellStyle name="Normal 3 17 13 8 2" xfId="27115" xr:uid="{00000000-0005-0000-0000-0000DF3B0000}"/>
    <cellStyle name="Normal 3 17 13 9" xfId="9538" xr:uid="{00000000-0005-0000-0000-0000E03B0000}"/>
    <cellStyle name="Normal 3 17 13 9 2" xfId="27116" xr:uid="{00000000-0005-0000-0000-0000E13B0000}"/>
    <cellStyle name="Normal 3 17 14" xfId="9539" xr:uid="{00000000-0005-0000-0000-0000E23B0000}"/>
    <cellStyle name="Normal 3 17 14 10" xfId="9540" xr:uid="{00000000-0005-0000-0000-0000E33B0000}"/>
    <cellStyle name="Normal 3 17 14 10 2" xfId="27118" xr:uid="{00000000-0005-0000-0000-0000E43B0000}"/>
    <cellStyle name="Normal 3 17 14 11" xfId="9541" xr:uid="{00000000-0005-0000-0000-0000E53B0000}"/>
    <cellStyle name="Normal 3 17 14 11 2" xfId="27119" xr:uid="{00000000-0005-0000-0000-0000E63B0000}"/>
    <cellStyle name="Normal 3 17 14 12" xfId="9542" xr:uid="{00000000-0005-0000-0000-0000E73B0000}"/>
    <cellStyle name="Normal 3 17 14 12 2" xfId="27120" xr:uid="{00000000-0005-0000-0000-0000E83B0000}"/>
    <cellStyle name="Normal 3 17 14 13" xfId="9543" xr:uid="{00000000-0005-0000-0000-0000E93B0000}"/>
    <cellStyle name="Normal 3 17 14 13 2" xfId="27121" xr:uid="{00000000-0005-0000-0000-0000EA3B0000}"/>
    <cellStyle name="Normal 3 17 14 14" xfId="9544" xr:uid="{00000000-0005-0000-0000-0000EB3B0000}"/>
    <cellStyle name="Normal 3 17 14 14 2" xfId="27122" xr:uid="{00000000-0005-0000-0000-0000EC3B0000}"/>
    <cellStyle name="Normal 3 17 14 15" xfId="27117" xr:uid="{00000000-0005-0000-0000-0000ED3B0000}"/>
    <cellStyle name="Normal 3 17 14 2" xfId="9545" xr:uid="{00000000-0005-0000-0000-0000EE3B0000}"/>
    <cellStyle name="Normal 3 17 14 2 2" xfId="27123" xr:uid="{00000000-0005-0000-0000-0000EF3B0000}"/>
    <cellStyle name="Normal 3 17 14 3" xfId="9546" xr:uid="{00000000-0005-0000-0000-0000F03B0000}"/>
    <cellStyle name="Normal 3 17 14 3 2" xfId="27124" xr:uid="{00000000-0005-0000-0000-0000F13B0000}"/>
    <cellStyle name="Normal 3 17 14 4" xfId="9547" xr:uid="{00000000-0005-0000-0000-0000F23B0000}"/>
    <cellStyle name="Normal 3 17 14 4 2" xfId="27125" xr:uid="{00000000-0005-0000-0000-0000F33B0000}"/>
    <cellStyle name="Normal 3 17 14 5" xfId="9548" xr:uid="{00000000-0005-0000-0000-0000F43B0000}"/>
    <cellStyle name="Normal 3 17 14 5 2" xfId="27126" xr:uid="{00000000-0005-0000-0000-0000F53B0000}"/>
    <cellStyle name="Normal 3 17 14 6" xfId="9549" xr:uid="{00000000-0005-0000-0000-0000F63B0000}"/>
    <cellStyle name="Normal 3 17 14 6 2" xfId="27127" xr:uid="{00000000-0005-0000-0000-0000F73B0000}"/>
    <cellStyle name="Normal 3 17 14 7" xfId="9550" xr:uid="{00000000-0005-0000-0000-0000F83B0000}"/>
    <cellStyle name="Normal 3 17 14 7 2" xfId="27128" xr:uid="{00000000-0005-0000-0000-0000F93B0000}"/>
    <cellStyle name="Normal 3 17 14 8" xfId="9551" xr:uid="{00000000-0005-0000-0000-0000FA3B0000}"/>
    <cellStyle name="Normal 3 17 14 8 2" xfId="27129" xr:uid="{00000000-0005-0000-0000-0000FB3B0000}"/>
    <cellStyle name="Normal 3 17 14 9" xfId="9552" xr:uid="{00000000-0005-0000-0000-0000FC3B0000}"/>
    <cellStyle name="Normal 3 17 14 9 2" xfId="27130" xr:uid="{00000000-0005-0000-0000-0000FD3B0000}"/>
    <cellStyle name="Normal 3 17 15" xfId="9553" xr:uid="{00000000-0005-0000-0000-0000FE3B0000}"/>
    <cellStyle name="Normal 3 17 16" xfId="9554" xr:uid="{00000000-0005-0000-0000-0000FF3B0000}"/>
    <cellStyle name="Normal 3 17 17" xfId="9555" xr:uid="{00000000-0005-0000-0000-0000003C0000}"/>
    <cellStyle name="Normal 3 17 17 10" xfId="9556" xr:uid="{00000000-0005-0000-0000-0000013C0000}"/>
    <cellStyle name="Normal 3 17 17 10 2" xfId="27132" xr:uid="{00000000-0005-0000-0000-0000023C0000}"/>
    <cellStyle name="Normal 3 17 17 11" xfId="9557" xr:uid="{00000000-0005-0000-0000-0000033C0000}"/>
    <cellStyle name="Normal 3 17 17 11 2" xfId="27133" xr:uid="{00000000-0005-0000-0000-0000043C0000}"/>
    <cellStyle name="Normal 3 17 17 12" xfId="9558" xr:uid="{00000000-0005-0000-0000-0000053C0000}"/>
    <cellStyle name="Normal 3 17 17 12 2" xfId="27134" xr:uid="{00000000-0005-0000-0000-0000063C0000}"/>
    <cellStyle name="Normal 3 17 17 13" xfId="9559" xr:uid="{00000000-0005-0000-0000-0000073C0000}"/>
    <cellStyle name="Normal 3 17 17 13 2" xfId="27135" xr:uid="{00000000-0005-0000-0000-0000083C0000}"/>
    <cellStyle name="Normal 3 17 17 14" xfId="9560" xr:uid="{00000000-0005-0000-0000-0000093C0000}"/>
    <cellStyle name="Normal 3 17 17 14 2" xfId="27136" xr:uid="{00000000-0005-0000-0000-00000A3C0000}"/>
    <cellStyle name="Normal 3 17 17 15" xfId="27131" xr:uid="{00000000-0005-0000-0000-00000B3C0000}"/>
    <cellStyle name="Normal 3 17 17 2" xfId="9561" xr:uid="{00000000-0005-0000-0000-00000C3C0000}"/>
    <cellStyle name="Normal 3 17 17 2 2" xfId="27137" xr:uid="{00000000-0005-0000-0000-00000D3C0000}"/>
    <cellStyle name="Normal 3 17 17 3" xfId="9562" xr:uid="{00000000-0005-0000-0000-00000E3C0000}"/>
    <cellStyle name="Normal 3 17 17 3 2" xfId="27138" xr:uid="{00000000-0005-0000-0000-00000F3C0000}"/>
    <cellStyle name="Normal 3 17 17 4" xfId="9563" xr:uid="{00000000-0005-0000-0000-0000103C0000}"/>
    <cellStyle name="Normal 3 17 17 4 2" xfId="27139" xr:uid="{00000000-0005-0000-0000-0000113C0000}"/>
    <cellStyle name="Normal 3 17 17 5" xfId="9564" xr:uid="{00000000-0005-0000-0000-0000123C0000}"/>
    <cellStyle name="Normal 3 17 17 5 2" xfId="27140" xr:uid="{00000000-0005-0000-0000-0000133C0000}"/>
    <cellStyle name="Normal 3 17 17 6" xfId="9565" xr:uid="{00000000-0005-0000-0000-0000143C0000}"/>
    <cellStyle name="Normal 3 17 17 6 2" xfId="27141" xr:uid="{00000000-0005-0000-0000-0000153C0000}"/>
    <cellStyle name="Normal 3 17 17 7" xfId="9566" xr:uid="{00000000-0005-0000-0000-0000163C0000}"/>
    <cellStyle name="Normal 3 17 17 7 2" xfId="27142" xr:uid="{00000000-0005-0000-0000-0000173C0000}"/>
    <cellStyle name="Normal 3 17 17 8" xfId="9567" xr:uid="{00000000-0005-0000-0000-0000183C0000}"/>
    <cellStyle name="Normal 3 17 17 8 2" xfId="27143" xr:uid="{00000000-0005-0000-0000-0000193C0000}"/>
    <cellStyle name="Normal 3 17 17 9" xfId="9568" xr:uid="{00000000-0005-0000-0000-00001A3C0000}"/>
    <cellStyle name="Normal 3 17 17 9 2" xfId="27144" xr:uid="{00000000-0005-0000-0000-00001B3C0000}"/>
    <cellStyle name="Normal 3 17 18" xfId="9569" xr:uid="{00000000-0005-0000-0000-00001C3C0000}"/>
    <cellStyle name="Normal 3 17 18 10" xfId="9570" xr:uid="{00000000-0005-0000-0000-00001D3C0000}"/>
    <cellStyle name="Normal 3 17 18 10 2" xfId="27146" xr:uid="{00000000-0005-0000-0000-00001E3C0000}"/>
    <cellStyle name="Normal 3 17 18 11" xfId="9571" xr:uid="{00000000-0005-0000-0000-00001F3C0000}"/>
    <cellStyle name="Normal 3 17 18 11 2" xfId="27147" xr:uid="{00000000-0005-0000-0000-0000203C0000}"/>
    <cellStyle name="Normal 3 17 18 12" xfId="9572" xr:uid="{00000000-0005-0000-0000-0000213C0000}"/>
    <cellStyle name="Normal 3 17 18 12 2" xfId="27148" xr:uid="{00000000-0005-0000-0000-0000223C0000}"/>
    <cellStyle name="Normal 3 17 18 13" xfId="9573" xr:uid="{00000000-0005-0000-0000-0000233C0000}"/>
    <cellStyle name="Normal 3 17 18 13 2" xfId="27149" xr:uid="{00000000-0005-0000-0000-0000243C0000}"/>
    <cellStyle name="Normal 3 17 18 14" xfId="9574" xr:uid="{00000000-0005-0000-0000-0000253C0000}"/>
    <cellStyle name="Normal 3 17 18 14 2" xfId="27150" xr:uid="{00000000-0005-0000-0000-0000263C0000}"/>
    <cellStyle name="Normal 3 17 18 15" xfId="27145" xr:uid="{00000000-0005-0000-0000-0000273C0000}"/>
    <cellStyle name="Normal 3 17 18 2" xfId="9575" xr:uid="{00000000-0005-0000-0000-0000283C0000}"/>
    <cellStyle name="Normal 3 17 18 2 2" xfId="27151" xr:uid="{00000000-0005-0000-0000-0000293C0000}"/>
    <cellStyle name="Normal 3 17 18 3" xfId="9576" xr:uid="{00000000-0005-0000-0000-00002A3C0000}"/>
    <cellStyle name="Normal 3 17 18 3 2" xfId="27152" xr:uid="{00000000-0005-0000-0000-00002B3C0000}"/>
    <cellStyle name="Normal 3 17 18 4" xfId="9577" xr:uid="{00000000-0005-0000-0000-00002C3C0000}"/>
    <cellStyle name="Normal 3 17 18 4 2" xfId="27153" xr:uid="{00000000-0005-0000-0000-00002D3C0000}"/>
    <cellStyle name="Normal 3 17 18 5" xfId="9578" xr:uid="{00000000-0005-0000-0000-00002E3C0000}"/>
    <cellStyle name="Normal 3 17 18 5 2" xfId="27154" xr:uid="{00000000-0005-0000-0000-00002F3C0000}"/>
    <cellStyle name="Normal 3 17 18 6" xfId="9579" xr:uid="{00000000-0005-0000-0000-0000303C0000}"/>
    <cellStyle name="Normal 3 17 18 6 2" xfId="27155" xr:uid="{00000000-0005-0000-0000-0000313C0000}"/>
    <cellStyle name="Normal 3 17 18 7" xfId="9580" xr:uid="{00000000-0005-0000-0000-0000323C0000}"/>
    <cellStyle name="Normal 3 17 18 7 2" xfId="27156" xr:uid="{00000000-0005-0000-0000-0000333C0000}"/>
    <cellStyle name="Normal 3 17 18 8" xfId="9581" xr:uid="{00000000-0005-0000-0000-0000343C0000}"/>
    <cellStyle name="Normal 3 17 18 8 2" xfId="27157" xr:uid="{00000000-0005-0000-0000-0000353C0000}"/>
    <cellStyle name="Normal 3 17 18 9" xfId="9582" xr:uid="{00000000-0005-0000-0000-0000363C0000}"/>
    <cellStyle name="Normal 3 17 18 9 2" xfId="27158" xr:uid="{00000000-0005-0000-0000-0000373C0000}"/>
    <cellStyle name="Normal 3 17 2" xfId="9583" xr:uid="{00000000-0005-0000-0000-0000383C0000}"/>
    <cellStyle name="Normal 3 17 2 10" xfId="9584" xr:uid="{00000000-0005-0000-0000-0000393C0000}"/>
    <cellStyle name="Normal 3 17 2 10 2" xfId="27160" xr:uid="{00000000-0005-0000-0000-00003A3C0000}"/>
    <cellStyle name="Normal 3 17 2 11" xfId="9585" xr:uid="{00000000-0005-0000-0000-00003B3C0000}"/>
    <cellStyle name="Normal 3 17 2 11 2" xfId="27161" xr:uid="{00000000-0005-0000-0000-00003C3C0000}"/>
    <cellStyle name="Normal 3 17 2 12" xfId="9586" xr:uid="{00000000-0005-0000-0000-00003D3C0000}"/>
    <cellStyle name="Normal 3 17 2 12 2" xfId="27162" xr:uid="{00000000-0005-0000-0000-00003E3C0000}"/>
    <cellStyle name="Normal 3 17 2 13" xfId="9587" xr:uid="{00000000-0005-0000-0000-00003F3C0000}"/>
    <cellStyle name="Normal 3 17 2 13 2" xfId="27163" xr:uid="{00000000-0005-0000-0000-0000403C0000}"/>
    <cellStyle name="Normal 3 17 2 14" xfId="9588" xr:uid="{00000000-0005-0000-0000-0000413C0000}"/>
    <cellStyle name="Normal 3 17 2 14 2" xfId="27164" xr:uid="{00000000-0005-0000-0000-0000423C0000}"/>
    <cellStyle name="Normal 3 17 2 15" xfId="9589" xr:uid="{00000000-0005-0000-0000-0000433C0000}"/>
    <cellStyle name="Normal 3 17 2 15 2" xfId="27165" xr:uid="{00000000-0005-0000-0000-0000443C0000}"/>
    <cellStyle name="Normal 3 17 2 16" xfId="9590" xr:uid="{00000000-0005-0000-0000-0000453C0000}"/>
    <cellStyle name="Normal 3 17 2 16 2" xfId="27166" xr:uid="{00000000-0005-0000-0000-0000463C0000}"/>
    <cellStyle name="Normal 3 17 2 17" xfId="9591" xr:uid="{00000000-0005-0000-0000-0000473C0000}"/>
    <cellStyle name="Normal 3 17 2 17 2" xfId="27167" xr:uid="{00000000-0005-0000-0000-0000483C0000}"/>
    <cellStyle name="Normal 3 17 2 18" xfId="27159" xr:uid="{00000000-0005-0000-0000-0000493C0000}"/>
    <cellStyle name="Normal 3 17 2 2" xfId="9592" xr:uid="{00000000-0005-0000-0000-00004A3C0000}"/>
    <cellStyle name="Normal 3 17 2 3" xfId="9593" xr:uid="{00000000-0005-0000-0000-00004B3C0000}"/>
    <cellStyle name="Normal 3 17 2 4" xfId="9594" xr:uid="{00000000-0005-0000-0000-00004C3C0000}"/>
    <cellStyle name="Normal 3 17 2 5" xfId="9595" xr:uid="{00000000-0005-0000-0000-00004D3C0000}"/>
    <cellStyle name="Normal 3 17 2 5 2" xfId="27168" xr:uid="{00000000-0005-0000-0000-00004E3C0000}"/>
    <cellStyle name="Normal 3 17 2 6" xfId="9596" xr:uid="{00000000-0005-0000-0000-00004F3C0000}"/>
    <cellStyle name="Normal 3 17 2 6 2" xfId="27169" xr:uid="{00000000-0005-0000-0000-0000503C0000}"/>
    <cellStyle name="Normal 3 17 2 7" xfId="9597" xr:uid="{00000000-0005-0000-0000-0000513C0000}"/>
    <cellStyle name="Normal 3 17 2 7 2" xfId="27170" xr:uid="{00000000-0005-0000-0000-0000523C0000}"/>
    <cellStyle name="Normal 3 17 2 8" xfId="9598" xr:uid="{00000000-0005-0000-0000-0000533C0000}"/>
    <cellStyle name="Normal 3 17 2 8 2" xfId="27171" xr:uid="{00000000-0005-0000-0000-0000543C0000}"/>
    <cellStyle name="Normal 3 17 2 9" xfId="9599" xr:uid="{00000000-0005-0000-0000-0000553C0000}"/>
    <cellStyle name="Normal 3 17 2 9 2" xfId="27172" xr:uid="{00000000-0005-0000-0000-0000563C0000}"/>
    <cellStyle name="Normal 3 17 3" xfId="9600" xr:uid="{00000000-0005-0000-0000-0000573C0000}"/>
    <cellStyle name="Normal 3 17 4" xfId="9601" xr:uid="{00000000-0005-0000-0000-0000583C0000}"/>
    <cellStyle name="Normal 3 17 5" xfId="9602" xr:uid="{00000000-0005-0000-0000-0000593C0000}"/>
    <cellStyle name="Normal 3 17 6" xfId="9603" xr:uid="{00000000-0005-0000-0000-00005A3C0000}"/>
    <cellStyle name="Normal 3 17 6 10" xfId="9604" xr:uid="{00000000-0005-0000-0000-00005B3C0000}"/>
    <cellStyle name="Normal 3 17 6 10 2" xfId="27174" xr:uid="{00000000-0005-0000-0000-00005C3C0000}"/>
    <cellStyle name="Normal 3 17 6 11" xfId="9605" xr:uid="{00000000-0005-0000-0000-00005D3C0000}"/>
    <cellStyle name="Normal 3 17 6 11 2" xfId="27175" xr:uid="{00000000-0005-0000-0000-00005E3C0000}"/>
    <cellStyle name="Normal 3 17 6 12" xfId="9606" xr:uid="{00000000-0005-0000-0000-00005F3C0000}"/>
    <cellStyle name="Normal 3 17 6 12 2" xfId="27176" xr:uid="{00000000-0005-0000-0000-0000603C0000}"/>
    <cellStyle name="Normal 3 17 6 13" xfId="9607" xr:uid="{00000000-0005-0000-0000-0000613C0000}"/>
    <cellStyle name="Normal 3 17 6 13 2" xfId="27177" xr:uid="{00000000-0005-0000-0000-0000623C0000}"/>
    <cellStyle name="Normal 3 17 6 14" xfId="9608" xr:uid="{00000000-0005-0000-0000-0000633C0000}"/>
    <cellStyle name="Normal 3 17 6 14 2" xfId="27178" xr:uid="{00000000-0005-0000-0000-0000643C0000}"/>
    <cellStyle name="Normal 3 17 6 15" xfId="9609" xr:uid="{00000000-0005-0000-0000-0000653C0000}"/>
    <cellStyle name="Normal 3 17 6 15 2" xfId="27179" xr:uid="{00000000-0005-0000-0000-0000663C0000}"/>
    <cellStyle name="Normal 3 17 6 16" xfId="27173" xr:uid="{00000000-0005-0000-0000-0000673C0000}"/>
    <cellStyle name="Normal 3 17 6 2" xfId="9610" xr:uid="{00000000-0005-0000-0000-0000683C0000}"/>
    <cellStyle name="Normal 3 17 6 2 10" xfId="9611" xr:uid="{00000000-0005-0000-0000-0000693C0000}"/>
    <cellStyle name="Normal 3 17 6 2 10 2" xfId="27181" xr:uid="{00000000-0005-0000-0000-00006A3C0000}"/>
    <cellStyle name="Normal 3 17 6 2 11" xfId="9612" xr:uid="{00000000-0005-0000-0000-00006B3C0000}"/>
    <cellStyle name="Normal 3 17 6 2 11 2" xfId="27182" xr:uid="{00000000-0005-0000-0000-00006C3C0000}"/>
    <cellStyle name="Normal 3 17 6 2 12" xfId="9613" xr:uid="{00000000-0005-0000-0000-00006D3C0000}"/>
    <cellStyle name="Normal 3 17 6 2 12 2" xfId="27183" xr:uid="{00000000-0005-0000-0000-00006E3C0000}"/>
    <cellStyle name="Normal 3 17 6 2 13" xfId="9614" xr:uid="{00000000-0005-0000-0000-00006F3C0000}"/>
    <cellStyle name="Normal 3 17 6 2 13 2" xfId="27184" xr:uid="{00000000-0005-0000-0000-0000703C0000}"/>
    <cellStyle name="Normal 3 17 6 2 14" xfId="9615" xr:uid="{00000000-0005-0000-0000-0000713C0000}"/>
    <cellStyle name="Normal 3 17 6 2 14 2" xfId="27185" xr:uid="{00000000-0005-0000-0000-0000723C0000}"/>
    <cellStyle name="Normal 3 17 6 2 15" xfId="27180" xr:uid="{00000000-0005-0000-0000-0000733C0000}"/>
    <cellStyle name="Normal 3 17 6 2 2" xfId="9616" xr:uid="{00000000-0005-0000-0000-0000743C0000}"/>
    <cellStyle name="Normal 3 17 6 2 2 2" xfId="27186" xr:uid="{00000000-0005-0000-0000-0000753C0000}"/>
    <cellStyle name="Normal 3 17 6 2 3" xfId="9617" xr:uid="{00000000-0005-0000-0000-0000763C0000}"/>
    <cellStyle name="Normal 3 17 6 2 3 2" xfId="27187" xr:uid="{00000000-0005-0000-0000-0000773C0000}"/>
    <cellStyle name="Normal 3 17 6 2 4" xfId="9618" xr:uid="{00000000-0005-0000-0000-0000783C0000}"/>
    <cellStyle name="Normal 3 17 6 2 4 2" xfId="27188" xr:uid="{00000000-0005-0000-0000-0000793C0000}"/>
    <cellStyle name="Normal 3 17 6 2 5" xfId="9619" xr:uid="{00000000-0005-0000-0000-00007A3C0000}"/>
    <cellStyle name="Normal 3 17 6 2 5 2" xfId="27189" xr:uid="{00000000-0005-0000-0000-00007B3C0000}"/>
    <cellStyle name="Normal 3 17 6 2 6" xfId="9620" xr:uid="{00000000-0005-0000-0000-00007C3C0000}"/>
    <cellStyle name="Normal 3 17 6 2 6 2" xfId="27190" xr:uid="{00000000-0005-0000-0000-00007D3C0000}"/>
    <cellStyle name="Normal 3 17 6 2 7" xfId="9621" xr:uid="{00000000-0005-0000-0000-00007E3C0000}"/>
    <cellStyle name="Normal 3 17 6 2 7 2" xfId="27191" xr:uid="{00000000-0005-0000-0000-00007F3C0000}"/>
    <cellStyle name="Normal 3 17 6 2 8" xfId="9622" xr:uid="{00000000-0005-0000-0000-0000803C0000}"/>
    <cellStyle name="Normal 3 17 6 2 8 2" xfId="27192" xr:uid="{00000000-0005-0000-0000-0000813C0000}"/>
    <cellStyle name="Normal 3 17 6 2 9" xfId="9623" xr:uid="{00000000-0005-0000-0000-0000823C0000}"/>
    <cellStyle name="Normal 3 17 6 2 9 2" xfId="27193" xr:uid="{00000000-0005-0000-0000-0000833C0000}"/>
    <cellStyle name="Normal 3 17 6 3" xfId="9624" xr:uid="{00000000-0005-0000-0000-0000843C0000}"/>
    <cellStyle name="Normal 3 17 6 3 2" xfId="27194" xr:uid="{00000000-0005-0000-0000-0000853C0000}"/>
    <cellStyle name="Normal 3 17 6 4" xfId="9625" xr:uid="{00000000-0005-0000-0000-0000863C0000}"/>
    <cellStyle name="Normal 3 17 6 4 2" xfId="27195" xr:uid="{00000000-0005-0000-0000-0000873C0000}"/>
    <cellStyle name="Normal 3 17 6 5" xfId="9626" xr:uid="{00000000-0005-0000-0000-0000883C0000}"/>
    <cellStyle name="Normal 3 17 6 5 2" xfId="27196" xr:uid="{00000000-0005-0000-0000-0000893C0000}"/>
    <cellStyle name="Normal 3 17 6 6" xfId="9627" xr:uid="{00000000-0005-0000-0000-00008A3C0000}"/>
    <cellStyle name="Normal 3 17 6 6 2" xfId="27197" xr:uid="{00000000-0005-0000-0000-00008B3C0000}"/>
    <cellStyle name="Normal 3 17 6 7" xfId="9628" xr:uid="{00000000-0005-0000-0000-00008C3C0000}"/>
    <cellStyle name="Normal 3 17 6 7 2" xfId="27198" xr:uid="{00000000-0005-0000-0000-00008D3C0000}"/>
    <cellStyle name="Normal 3 17 6 8" xfId="9629" xr:uid="{00000000-0005-0000-0000-00008E3C0000}"/>
    <cellStyle name="Normal 3 17 6 8 2" xfId="27199" xr:uid="{00000000-0005-0000-0000-00008F3C0000}"/>
    <cellStyle name="Normal 3 17 6 9" xfId="9630" xr:uid="{00000000-0005-0000-0000-0000903C0000}"/>
    <cellStyle name="Normal 3 17 6 9 2" xfId="27200" xr:uid="{00000000-0005-0000-0000-0000913C0000}"/>
    <cellStyle name="Normal 3 17 7" xfId="9631" xr:uid="{00000000-0005-0000-0000-0000923C0000}"/>
    <cellStyle name="Normal 3 17 7 10" xfId="9632" xr:uid="{00000000-0005-0000-0000-0000933C0000}"/>
    <cellStyle name="Normal 3 17 7 10 2" xfId="27202" xr:uid="{00000000-0005-0000-0000-0000943C0000}"/>
    <cellStyle name="Normal 3 17 7 11" xfId="9633" xr:uid="{00000000-0005-0000-0000-0000953C0000}"/>
    <cellStyle name="Normal 3 17 7 11 2" xfId="27203" xr:uid="{00000000-0005-0000-0000-0000963C0000}"/>
    <cellStyle name="Normal 3 17 7 12" xfId="9634" xr:uid="{00000000-0005-0000-0000-0000973C0000}"/>
    <cellStyle name="Normal 3 17 7 12 2" xfId="27204" xr:uid="{00000000-0005-0000-0000-0000983C0000}"/>
    <cellStyle name="Normal 3 17 7 13" xfId="9635" xr:uid="{00000000-0005-0000-0000-0000993C0000}"/>
    <cellStyle name="Normal 3 17 7 13 2" xfId="27205" xr:uid="{00000000-0005-0000-0000-00009A3C0000}"/>
    <cellStyle name="Normal 3 17 7 14" xfId="9636" xr:uid="{00000000-0005-0000-0000-00009B3C0000}"/>
    <cellStyle name="Normal 3 17 7 14 2" xfId="27206" xr:uid="{00000000-0005-0000-0000-00009C3C0000}"/>
    <cellStyle name="Normal 3 17 7 15" xfId="9637" xr:uid="{00000000-0005-0000-0000-00009D3C0000}"/>
    <cellStyle name="Normal 3 17 7 15 2" xfId="27207" xr:uid="{00000000-0005-0000-0000-00009E3C0000}"/>
    <cellStyle name="Normal 3 17 7 16" xfId="27201" xr:uid="{00000000-0005-0000-0000-00009F3C0000}"/>
    <cellStyle name="Normal 3 17 7 2" xfId="9638" xr:uid="{00000000-0005-0000-0000-0000A03C0000}"/>
    <cellStyle name="Normal 3 17 7 2 10" xfId="9639" xr:uid="{00000000-0005-0000-0000-0000A13C0000}"/>
    <cellStyle name="Normal 3 17 7 2 10 2" xfId="27209" xr:uid="{00000000-0005-0000-0000-0000A23C0000}"/>
    <cellStyle name="Normal 3 17 7 2 11" xfId="9640" xr:uid="{00000000-0005-0000-0000-0000A33C0000}"/>
    <cellStyle name="Normal 3 17 7 2 11 2" xfId="27210" xr:uid="{00000000-0005-0000-0000-0000A43C0000}"/>
    <cellStyle name="Normal 3 17 7 2 12" xfId="9641" xr:uid="{00000000-0005-0000-0000-0000A53C0000}"/>
    <cellStyle name="Normal 3 17 7 2 12 2" xfId="27211" xr:uid="{00000000-0005-0000-0000-0000A63C0000}"/>
    <cellStyle name="Normal 3 17 7 2 13" xfId="9642" xr:uid="{00000000-0005-0000-0000-0000A73C0000}"/>
    <cellStyle name="Normal 3 17 7 2 13 2" xfId="27212" xr:uid="{00000000-0005-0000-0000-0000A83C0000}"/>
    <cellStyle name="Normal 3 17 7 2 14" xfId="9643" xr:uid="{00000000-0005-0000-0000-0000A93C0000}"/>
    <cellStyle name="Normal 3 17 7 2 14 2" xfId="27213" xr:uid="{00000000-0005-0000-0000-0000AA3C0000}"/>
    <cellStyle name="Normal 3 17 7 2 15" xfId="27208" xr:uid="{00000000-0005-0000-0000-0000AB3C0000}"/>
    <cellStyle name="Normal 3 17 7 2 2" xfId="9644" xr:uid="{00000000-0005-0000-0000-0000AC3C0000}"/>
    <cellStyle name="Normal 3 17 7 2 2 2" xfId="27214" xr:uid="{00000000-0005-0000-0000-0000AD3C0000}"/>
    <cellStyle name="Normal 3 17 7 2 3" xfId="9645" xr:uid="{00000000-0005-0000-0000-0000AE3C0000}"/>
    <cellStyle name="Normal 3 17 7 2 3 2" xfId="27215" xr:uid="{00000000-0005-0000-0000-0000AF3C0000}"/>
    <cellStyle name="Normal 3 17 7 2 4" xfId="9646" xr:uid="{00000000-0005-0000-0000-0000B03C0000}"/>
    <cellStyle name="Normal 3 17 7 2 4 2" xfId="27216" xr:uid="{00000000-0005-0000-0000-0000B13C0000}"/>
    <cellStyle name="Normal 3 17 7 2 5" xfId="9647" xr:uid="{00000000-0005-0000-0000-0000B23C0000}"/>
    <cellStyle name="Normal 3 17 7 2 5 2" xfId="27217" xr:uid="{00000000-0005-0000-0000-0000B33C0000}"/>
    <cellStyle name="Normal 3 17 7 2 6" xfId="9648" xr:uid="{00000000-0005-0000-0000-0000B43C0000}"/>
    <cellStyle name="Normal 3 17 7 2 6 2" xfId="27218" xr:uid="{00000000-0005-0000-0000-0000B53C0000}"/>
    <cellStyle name="Normal 3 17 7 2 7" xfId="9649" xr:uid="{00000000-0005-0000-0000-0000B63C0000}"/>
    <cellStyle name="Normal 3 17 7 2 7 2" xfId="27219" xr:uid="{00000000-0005-0000-0000-0000B73C0000}"/>
    <cellStyle name="Normal 3 17 7 2 8" xfId="9650" xr:uid="{00000000-0005-0000-0000-0000B83C0000}"/>
    <cellStyle name="Normal 3 17 7 2 8 2" xfId="27220" xr:uid="{00000000-0005-0000-0000-0000B93C0000}"/>
    <cellStyle name="Normal 3 17 7 2 9" xfId="9651" xr:uid="{00000000-0005-0000-0000-0000BA3C0000}"/>
    <cellStyle name="Normal 3 17 7 2 9 2" xfId="27221" xr:uid="{00000000-0005-0000-0000-0000BB3C0000}"/>
    <cellStyle name="Normal 3 17 7 3" xfId="9652" xr:uid="{00000000-0005-0000-0000-0000BC3C0000}"/>
    <cellStyle name="Normal 3 17 7 3 2" xfId="27222" xr:uid="{00000000-0005-0000-0000-0000BD3C0000}"/>
    <cellStyle name="Normal 3 17 7 4" xfId="9653" xr:uid="{00000000-0005-0000-0000-0000BE3C0000}"/>
    <cellStyle name="Normal 3 17 7 4 2" xfId="27223" xr:uid="{00000000-0005-0000-0000-0000BF3C0000}"/>
    <cellStyle name="Normal 3 17 7 5" xfId="9654" xr:uid="{00000000-0005-0000-0000-0000C03C0000}"/>
    <cellStyle name="Normal 3 17 7 5 2" xfId="27224" xr:uid="{00000000-0005-0000-0000-0000C13C0000}"/>
    <cellStyle name="Normal 3 17 7 6" xfId="9655" xr:uid="{00000000-0005-0000-0000-0000C23C0000}"/>
    <cellStyle name="Normal 3 17 7 6 2" xfId="27225" xr:uid="{00000000-0005-0000-0000-0000C33C0000}"/>
    <cellStyle name="Normal 3 17 7 7" xfId="9656" xr:uid="{00000000-0005-0000-0000-0000C43C0000}"/>
    <cellStyle name="Normal 3 17 7 7 2" xfId="27226" xr:uid="{00000000-0005-0000-0000-0000C53C0000}"/>
    <cellStyle name="Normal 3 17 7 8" xfId="9657" xr:uid="{00000000-0005-0000-0000-0000C63C0000}"/>
    <cellStyle name="Normal 3 17 7 8 2" xfId="27227" xr:uid="{00000000-0005-0000-0000-0000C73C0000}"/>
    <cellStyle name="Normal 3 17 7 9" xfId="9658" xr:uid="{00000000-0005-0000-0000-0000C83C0000}"/>
    <cellStyle name="Normal 3 17 7 9 2" xfId="27228" xr:uid="{00000000-0005-0000-0000-0000C93C0000}"/>
    <cellStyle name="Normal 3 17 8" xfId="9659" xr:uid="{00000000-0005-0000-0000-0000CA3C0000}"/>
    <cellStyle name="Normal 3 17 8 10" xfId="9660" xr:uid="{00000000-0005-0000-0000-0000CB3C0000}"/>
    <cellStyle name="Normal 3 17 8 10 2" xfId="27230" xr:uid="{00000000-0005-0000-0000-0000CC3C0000}"/>
    <cellStyle name="Normal 3 17 8 11" xfId="9661" xr:uid="{00000000-0005-0000-0000-0000CD3C0000}"/>
    <cellStyle name="Normal 3 17 8 11 2" xfId="27231" xr:uid="{00000000-0005-0000-0000-0000CE3C0000}"/>
    <cellStyle name="Normal 3 17 8 12" xfId="9662" xr:uid="{00000000-0005-0000-0000-0000CF3C0000}"/>
    <cellStyle name="Normal 3 17 8 12 2" xfId="27232" xr:uid="{00000000-0005-0000-0000-0000D03C0000}"/>
    <cellStyle name="Normal 3 17 8 13" xfId="9663" xr:uid="{00000000-0005-0000-0000-0000D13C0000}"/>
    <cellStyle name="Normal 3 17 8 13 2" xfId="27233" xr:uid="{00000000-0005-0000-0000-0000D23C0000}"/>
    <cellStyle name="Normal 3 17 8 14" xfId="9664" xr:uid="{00000000-0005-0000-0000-0000D33C0000}"/>
    <cellStyle name="Normal 3 17 8 14 2" xfId="27234" xr:uid="{00000000-0005-0000-0000-0000D43C0000}"/>
    <cellStyle name="Normal 3 17 8 15" xfId="9665" xr:uid="{00000000-0005-0000-0000-0000D53C0000}"/>
    <cellStyle name="Normal 3 17 8 15 2" xfId="27235" xr:uid="{00000000-0005-0000-0000-0000D63C0000}"/>
    <cellStyle name="Normal 3 17 8 16" xfId="27229" xr:uid="{00000000-0005-0000-0000-0000D73C0000}"/>
    <cellStyle name="Normal 3 17 8 2" xfId="9666" xr:uid="{00000000-0005-0000-0000-0000D83C0000}"/>
    <cellStyle name="Normal 3 17 8 2 10" xfId="9667" xr:uid="{00000000-0005-0000-0000-0000D93C0000}"/>
    <cellStyle name="Normal 3 17 8 2 10 2" xfId="27237" xr:uid="{00000000-0005-0000-0000-0000DA3C0000}"/>
    <cellStyle name="Normal 3 17 8 2 11" xfId="9668" xr:uid="{00000000-0005-0000-0000-0000DB3C0000}"/>
    <cellStyle name="Normal 3 17 8 2 11 2" xfId="27238" xr:uid="{00000000-0005-0000-0000-0000DC3C0000}"/>
    <cellStyle name="Normal 3 17 8 2 12" xfId="9669" xr:uid="{00000000-0005-0000-0000-0000DD3C0000}"/>
    <cellStyle name="Normal 3 17 8 2 12 2" xfId="27239" xr:uid="{00000000-0005-0000-0000-0000DE3C0000}"/>
    <cellStyle name="Normal 3 17 8 2 13" xfId="9670" xr:uid="{00000000-0005-0000-0000-0000DF3C0000}"/>
    <cellStyle name="Normal 3 17 8 2 13 2" xfId="27240" xr:uid="{00000000-0005-0000-0000-0000E03C0000}"/>
    <cellStyle name="Normal 3 17 8 2 14" xfId="9671" xr:uid="{00000000-0005-0000-0000-0000E13C0000}"/>
    <cellStyle name="Normal 3 17 8 2 14 2" xfId="27241" xr:uid="{00000000-0005-0000-0000-0000E23C0000}"/>
    <cellStyle name="Normal 3 17 8 2 15" xfId="27236" xr:uid="{00000000-0005-0000-0000-0000E33C0000}"/>
    <cellStyle name="Normal 3 17 8 2 2" xfId="9672" xr:uid="{00000000-0005-0000-0000-0000E43C0000}"/>
    <cellStyle name="Normal 3 17 8 2 2 2" xfId="27242" xr:uid="{00000000-0005-0000-0000-0000E53C0000}"/>
    <cellStyle name="Normal 3 17 8 2 3" xfId="9673" xr:uid="{00000000-0005-0000-0000-0000E63C0000}"/>
    <cellStyle name="Normal 3 17 8 2 3 2" xfId="27243" xr:uid="{00000000-0005-0000-0000-0000E73C0000}"/>
    <cellStyle name="Normal 3 17 8 2 4" xfId="9674" xr:uid="{00000000-0005-0000-0000-0000E83C0000}"/>
    <cellStyle name="Normal 3 17 8 2 4 2" xfId="27244" xr:uid="{00000000-0005-0000-0000-0000E93C0000}"/>
    <cellStyle name="Normal 3 17 8 2 5" xfId="9675" xr:uid="{00000000-0005-0000-0000-0000EA3C0000}"/>
    <cellStyle name="Normal 3 17 8 2 5 2" xfId="27245" xr:uid="{00000000-0005-0000-0000-0000EB3C0000}"/>
    <cellStyle name="Normal 3 17 8 2 6" xfId="9676" xr:uid="{00000000-0005-0000-0000-0000EC3C0000}"/>
    <cellStyle name="Normal 3 17 8 2 6 2" xfId="27246" xr:uid="{00000000-0005-0000-0000-0000ED3C0000}"/>
    <cellStyle name="Normal 3 17 8 2 7" xfId="9677" xr:uid="{00000000-0005-0000-0000-0000EE3C0000}"/>
    <cellStyle name="Normal 3 17 8 2 7 2" xfId="27247" xr:uid="{00000000-0005-0000-0000-0000EF3C0000}"/>
    <cellStyle name="Normal 3 17 8 2 8" xfId="9678" xr:uid="{00000000-0005-0000-0000-0000F03C0000}"/>
    <cellStyle name="Normal 3 17 8 2 8 2" xfId="27248" xr:uid="{00000000-0005-0000-0000-0000F13C0000}"/>
    <cellStyle name="Normal 3 17 8 2 9" xfId="9679" xr:uid="{00000000-0005-0000-0000-0000F23C0000}"/>
    <cellStyle name="Normal 3 17 8 2 9 2" xfId="27249" xr:uid="{00000000-0005-0000-0000-0000F33C0000}"/>
    <cellStyle name="Normal 3 17 8 3" xfId="9680" xr:uid="{00000000-0005-0000-0000-0000F43C0000}"/>
    <cellStyle name="Normal 3 17 8 3 2" xfId="27250" xr:uid="{00000000-0005-0000-0000-0000F53C0000}"/>
    <cellStyle name="Normal 3 17 8 4" xfId="9681" xr:uid="{00000000-0005-0000-0000-0000F63C0000}"/>
    <cellStyle name="Normal 3 17 8 4 2" xfId="27251" xr:uid="{00000000-0005-0000-0000-0000F73C0000}"/>
    <cellStyle name="Normal 3 17 8 5" xfId="9682" xr:uid="{00000000-0005-0000-0000-0000F83C0000}"/>
    <cellStyle name="Normal 3 17 8 5 2" xfId="27252" xr:uid="{00000000-0005-0000-0000-0000F93C0000}"/>
    <cellStyle name="Normal 3 17 8 6" xfId="9683" xr:uid="{00000000-0005-0000-0000-0000FA3C0000}"/>
    <cellStyle name="Normal 3 17 8 6 2" xfId="27253" xr:uid="{00000000-0005-0000-0000-0000FB3C0000}"/>
    <cellStyle name="Normal 3 17 8 7" xfId="9684" xr:uid="{00000000-0005-0000-0000-0000FC3C0000}"/>
    <cellStyle name="Normal 3 17 8 7 2" xfId="27254" xr:uid="{00000000-0005-0000-0000-0000FD3C0000}"/>
    <cellStyle name="Normal 3 17 8 8" xfId="9685" xr:uid="{00000000-0005-0000-0000-0000FE3C0000}"/>
    <cellStyle name="Normal 3 17 8 8 2" xfId="27255" xr:uid="{00000000-0005-0000-0000-0000FF3C0000}"/>
    <cellStyle name="Normal 3 17 8 9" xfId="9686" xr:uid="{00000000-0005-0000-0000-0000003D0000}"/>
    <cellStyle name="Normal 3 17 8 9 2" xfId="27256" xr:uid="{00000000-0005-0000-0000-0000013D0000}"/>
    <cellStyle name="Normal 3 17 9" xfId="9687" xr:uid="{00000000-0005-0000-0000-0000023D0000}"/>
    <cellStyle name="Normal 3 17 9 10" xfId="9688" xr:uid="{00000000-0005-0000-0000-0000033D0000}"/>
    <cellStyle name="Normal 3 17 9 10 2" xfId="27258" xr:uid="{00000000-0005-0000-0000-0000043D0000}"/>
    <cellStyle name="Normal 3 17 9 11" xfId="9689" xr:uid="{00000000-0005-0000-0000-0000053D0000}"/>
    <cellStyle name="Normal 3 17 9 11 2" xfId="27259" xr:uid="{00000000-0005-0000-0000-0000063D0000}"/>
    <cellStyle name="Normal 3 17 9 12" xfId="9690" xr:uid="{00000000-0005-0000-0000-0000073D0000}"/>
    <cellStyle name="Normal 3 17 9 12 2" xfId="27260" xr:uid="{00000000-0005-0000-0000-0000083D0000}"/>
    <cellStyle name="Normal 3 17 9 13" xfId="9691" xr:uid="{00000000-0005-0000-0000-0000093D0000}"/>
    <cellStyle name="Normal 3 17 9 13 2" xfId="27261" xr:uid="{00000000-0005-0000-0000-00000A3D0000}"/>
    <cellStyle name="Normal 3 17 9 14" xfId="9692" xr:uid="{00000000-0005-0000-0000-00000B3D0000}"/>
    <cellStyle name="Normal 3 17 9 14 2" xfId="27262" xr:uid="{00000000-0005-0000-0000-00000C3D0000}"/>
    <cellStyle name="Normal 3 17 9 15" xfId="27257" xr:uid="{00000000-0005-0000-0000-00000D3D0000}"/>
    <cellStyle name="Normal 3 17 9 2" xfId="9693" xr:uid="{00000000-0005-0000-0000-00000E3D0000}"/>
    <cellStyle name="Normal 3 17 9 2 2" xfId="27263" xr:uid="{00000000-0005-0000-0000-00000F3D0000}"/>
    <cellStyle name="Normal 3 17 9 3" xfId="9694" xr:uid="{00000000-0005-0000-0000-0000103D0000}"/>
    <cellStyle name="Normal 3 17 9 3 2" xfId="27264" xr:uid="{00000000-0005-0000-0000-0000113D0000}"/>
    <cellStyle name="Normal 3 17 9 4" xfId="9695" xr:uid="{00000000-0005-0000-0000-0000123D0000}"/>
    <cellStyle name="Normal 3 17 9 4 2" xfId="27265" xr:uid="{00000000-0005-0000-0000-0000133D0000}"/>
    <cellStyle name="Normal 3 17 9 5" xfId="9696" xr:uid="{00000000-0005-0000-0000-0000143D0000}"/>
    <cellStyle name="Normal 3 17 9 5 2" xfId="27266" xr:uid="{00000000-0005-0000-0000-0000153D0000}"/>
    <cellStyle name="Normal 3 17 9 6" xfId="9697" xr:uid="{00000000-0005-0000-0000-0000163D0000}"/>
    <cellStyle name="Normal 3 17 9 6 2" xfId="27267" xr:uid="{00000000-0005-0000-0000-0000173D0000}"/>
    <cellStyle name="Normal 3 17 9 7" xfId="9698" xr:uid="{00000000-0005-0000-0000-0000183D0000}"/>
    <cellStyle name="Normal 3 17 9 7 2" xfId="27268" xr:uid="{00000000-0005-0000-0000-0000193D0000}"/>
    <cellStyle name="Normal 3 17 9 8" xfId="9699" xr:uid="{00000000-0005-0000-0000-00001A3D0000}"/>
    <cellStyle name="Normal 3 17 9 8 2" xfId="27269" xr:uid="{00000000-0005-0000-0000-00001B3D0000}"/>
    <cellStyle name="Normal 3 17 9 9" xfId="9700" xr:uid="{00000000-0005-0000-0000-00001C3D0000}"/>
    <cellStyle name="Normal 3 17 9 9 2" xfId="27270" xr:uid="{00000000-0005-0000-0000-00001D3D0000}"/>
    <cellStyle name="Normal 3 18" xfId="9701" xr:uid="{00000000-0005-0000-0000-00001E3D0000}"/>
    <cellStyle name="Normal 3 18 10" xfId="9702" xr:uid="{00000000-0005-0000-0000-00001F3D0000}"/>
    <cellStyle name="Normal 3 18 10 10" xfId="9703" xr:uid="{00000000-0005-0000-0000-0000203D0000}"/>
    <cellStyle name="Normal 3 18 10 10 2" xfId="27273" xr:uid="{00000000-0005-0000-0000-0000213D0000}"/>
    <cellStyle name="Normal 3 18 10 11" xfId="9704" xr:uid="{00000000-0005-0000-0000-0000223D0000}"/>
    <cellStyle name="Normal 3 18 10 11 2" xfId="27274" xr:uid="{00000000-0005-0000-0000-0000233D0000}"/>
    <cellStyle name="Normal 3 18 10 12" xfId="9705" xr:uid="{00000000-0005-0000-0000-0000243D0000}"/>
    <cellStyle name="Normal 3 18 10 12 2" xfId="27275" xr:uid="{00000000-0005-0000-0000-0000253D0000}"/>
    <cellStyle name="Normal 3 18 10 13" xfId="9706" xr:uid="{00000000-0005-0000-0000-0000263D0000}"/>
    <cellStyle name="Normal 3 18 10 13 2" xfId="27276" xr:uid="{00000000-0005-0000-0000-0000273D0000}"/>
    <cellStyle name="Normal 3 18 10 14" xfId="9707" xr:uid="{00000000-0005-0000-0000-0000283D0000}"/>
    <cellStyle name="Normal 3 18 10 14 2" xfId="27277" xr:uid="{00000000-0005-0000-0000-0000293D0000}"/>
    <cellStyle name="Normal 3 18 10 15" xfId="27272" xr:uid="{00000000-0005-0000-0000-00002A3D0000}"/>
    <cellStyle name="Normal 3 18 10 2" xfId="9708" xr:uid="{00000000-0005-0000-0000-00002B3D0000}"/>
    <cellStyle name="Normal 3 18 10 2 2" xfId="27278" xr:uid="{00000000-0005-0000-0000-00002C3D0000}"/>
    <cellStyle name="Normal 3 18 10 3" xfId="9709" xr:uid="{00000000-0005-0000-0000-00002D3D0000}"/>
    <cellStyle name="Normal 3 18 10 3 2" xfId="27279" xr:uid="{00000000-0005-0000-0000-00002E3D0000}"/>
    <cellStyle name="Normal 3 18 10 4" xfId="9710" xr:uid="{00000000-0005-0000-0000-00002F3D0000}"/>
    <cellStyle name="Normal 3 18 10 4 2" xfId="27280" xr:uid="{00000000-0005-0000-0000-0000303D0000}"/>
    <cellStyle name="Normal 3 18 10 5" xfId="9711" xr:uid="{00000000-0005-0000-0000-0000313D0000}"/>
    <cellStyle name="Normal 3 18 10 5 2" xfId="27281" xr:uid="{00000000-0005-0000-0000-0000323D0000}"/>
    <cellStyle name="Normal 3 18 10 6" xfId="9712" xr:uid="{00000000-0005-0000-0000-0000333D0000}"/>
    <cellStyle name="Normal 3 18 10 6 2" xfId="27282" xr:uid="{00000000-0005-0000-0000-0000343D0000}"/>
    <cellStyle name="Normal 3 18 10 7" xfId="9713" xr:uid="{00000000-0005-0000-0000-0000353D0000}"/>
    <cellStyle name="Normal 3 18 10 7 2" xfId="27283" xr:uid="{00000000-0005-0000-0000-0000363D0000}"/>
    <cellStyle name="Normal 3 18 10 8" xfId="9714" xr:uid="{00000000-0005-0000-0000-0000373D0000}"/>
    <cellStyle name="Normal 3 18 10 8 2" xfId="27284" xr:uid="{00000000-0005-0000-0000-0000383D0000}"/>
    <cellStyle name="Normal 3 18 10 9" xfId="9715" xr:uid="{00000000-0005-0000-0000-0000393D0000}"/>
    <cellStyle name="Normal 3 18 10 9 2" xfId="27285" xr:uid="{00000000-0005-0000-0000-00003A3D0000}"/>
    <cellStyle name="Normal 3 18 11" xfId="9716" xr:uid="{00000000-0005-0000-0000-00003B3D0000}"/>
    <cellStyle name="Normal 3 18 11 10" xfId="9717" xr:uid="{00000000-0005-0000-0000-00003C3D0000}"/>
    <cellStyle name="Normal 3 18 11 10 2" xfId="27287" xr:uid="{00000000-0005-0000-0000-00003D3D0000}"/>
    <cellStyle name="Normal 3 18 11 11" xfId="9718" xr:uid="{00000000-0005-0000-0000-00003E3D0000}"/>
    <cellStyle name="Normal 3 18 11 11 2" xfId="27288" xr:uid="{00000000-0005-0000-0000-00003F3D0000}"/>
    <cellStyle name="Normal 3 18 11 12" xfId="9719" xr:uid="{00000000-0005-0000-0000-0000403D0000}"/>
    <cellStyle name="Normal 3 18 11 12 2" xfId="27289" xr:uid="{00000000-0005-0000-0000-0000413D0000}"/>
    <cellStyle name="Normal 3 18 11 13" xfId="9720" xr:uid="{00000000-0005-0000-0000-0000423D0000}"/>
    <cellStyle name="Normal 3 18 11 13 2" xfId="27290" xr:uid="{00000000-0005-0000-0000-0000433D0000}"/>
    <cellStyle name="Normal 3 18 11 14" xfId="9721" xr:uid="{00000000-0005-0000-0000-0000443D0000}"/>
    <cellStyle name="Normal 3 18 11 14 2" xfId="27291" xr:uid="{00000000-0005-0000-0000-0000453D0000}"/>
    <cellStyle name="Normal 3 18 11 15" xfId="27286" xr:uid="{00000000-0005-0000-0000-0000463D0000}"/>
    <cellStyle name="Normal 3 18 11 2" xfId="9722" xr:uid="{00000000-0005-0000-0000-0000473D0000}"/>
    <cellStyle name="Normal 3 18 11 2 2" xfId="27292" xr:uid="{00000000-0005-0000-0000-0000483D0000}"/>
    <cellStyle name="Normal 3 18 11 3" xfId="9723" xr:uid="{00000000-0005-0000-0000-0000493D0000}"/>
    <cellStyle name="Normal 3 18 11 3 2" xfId="27293" xr:uid="{00000000-0005-0000-0000-00004A3D0000}"/>
    <cellStyle name="Normal 3 18 11 4" xfId="9724" xr:uid="{00000000-0005-0000-0000-00004B3D0000}"/>
    <cellStyle name="Normal 3 18 11 4 2" xfId="27294" xr:uid="{00000000-0005-0000-0000-00004C3D0000}"/>
    <cellStyle name="Normal 3 18 11 5" xfId="9725" xr:uid="{00000000-0005-0000-0000-00004D3D0000}"/>
    <cellStyle name="Normal 3 18 11 5 2" xfId="27295" xr:uid="{00000000-0005-0000-0000-00004E3D0000}"/>
    <cellStyle name="Normal 3 18 11 6" xfId="9726" xr:uid="{00000000-0005-0000-0000-00004F3D0000}"/>
    <cellStyle name="Normal 3 18 11 6 2" xfId="27296" xr:uid="{00000000-0005-0000-0000-0000503D0000}"/>
    <cellStyle name="Normal 3 18 11 7" xfId="9727" xr:uid="{00000000-0005-0000-0000-0000513D0000}"/>
    <cellStyle name="Normal 3 18 11 7 2" xfId="27297" xr:uid="{00000000-0005-0000-0000-0000523D0000}"/>
    <cellStyle name="Normal 3 18 11 8" xfId="9728" xr:uid="{00000000-0005-0000-0000-0000533D0000}"/>
    <cellStyle name="Normal 3 18 11 8 2" xfId="27298" xr:uid="{00000000-0005-0000-0000-0000543D0000}"/>
    <cellStyle name="Normal 3 18 11 9" xfId="9729" xr:uid="{00000000-0005-0000-0000-0000553D0000}"/>
    <cellStyle name="Normal 3 18 11 9 2" xfId="27299" xr:uid="{00000000-0005-0000-0000-0000563D0000}"/>
    <cellStyle name="Normal 3 18 12" xfId="9730" xr:uid="{00000000-0005-0000-0000-0000573D0000}"/>
    <cellStyle name="Normal 3 18 12 10" xfId="9731" xr:uid="{00000000-0005-0000-0000-0000583D0000}"/>
    <cellStyle name="Normal 3 18 12 10 2" xfId="27301" xr:uid="{00000000-0005-0000-0000-0000593D0000}"/>
    <cellStyle name="Normal 3 18 12 11" xfId="9732" xr:uid="{00000000-0005-0000-0000-00005A3D0000}"/>
    <cellStyle name="Normal 3 18 12 11 2" xfId="27302" xr:uid="{00000000-0005-0000-0000-00005B3D0000}"/>
    <cellStyle name="Normal 3 18 12 12" xfId="9733" xr:uid="{00000000-0005-0000-0000-00005C3D0000}"/>
    <cellStyle name="Normal 3 18 12 12 2" xfId="27303" xr:uid="{00000000-0005-0000-0000-00005D3D0000}"/>
    <cellStyle name="Normal 3 18 12 13" xfId="9734" xr:uid="{00000000-0005-0000-0000-00005E3D0000}"/>
    <cellStyle name="Normal 3 18 12 13 2" xfId="27304" xr:uid="{00000000-0005-0000-0000-00005F3D0000}"/>
    <cellStyle name="Normal 3 18 12 14" xfId="9735" xr:uid="{00000000-0005-0000-0000-0000603D0000}"/>
    <cellStyle name="Normal 3 18 12 14 2" xfId="27305" xr:uid="{00000000-0005-0000-0000-0000613D0000}"/>
    <cellStyle name="Normal 3 18 12 15" xfId="27300" xr:uid="{00000000-0005-0000-0000-0000623D0000}"/>
    <cellStyle name="Normal 3 18 12 2" xfId="9736" xr:uid="{00000000-0005-0000-0000-0000633D0000}"/>
    <cellStyle name="Normal 3 18 12 2 2" xfId="27306" xr:uid="{00000000-0005-0000-0000-0000643D0000}"/>
    <cellStyle name="Normal 3 18 12 3" xfId="9737" xr:uid="{00000000-0005-0000-0000-0000653D0000}"/>
    <cellStyle name="Normal 3 18 12 3 2" xfId="27307" xr:uid="{00000000-0005-0000-0000-0000663D0000}"/>
    <cellStyle name="Normal 3 18 12 4" xfId="9738" xr:uid="{00000000-0005-0000-0000-0000673D0000}"/>
    <cellStyle name="Normal 3 18 12 4 2" xfId="27308" xr:uid="{00000000-0005-0000-0000-0000683D0000}"/>
    <cellStyle name="Normal 3 18 12 5" xfId="9739" xr:uid="{00000000-0005-0000-0000-0000693D0000}"/>
    <cellStyle name="Normal 3 18 12 5 2" xfId="27309" xr:uid="{00000000-0005-0000-0000-00006A3D0000}"/>
    <cellStyle name="Normal 3 18 12 6" xfId="9740" xr:uid="{00000000-0005-0000-0000-00006B3D0000}"/>
    <cellStyle name="Normal 3 18 12 6 2" xfId="27310" xr:uid="{00000000-0005-0000-0000-00006C3D0000}"/>
    <cellStyle name="Normal 3 18 12 7" xfId="9741" xr:uid="{00000000-0005-0000-0000-00006D3D0000}"/>
    <cellStyle name="Normal 3 18 12 7 2" xfId="27311" xr:uid="{00000000-0005-0000-0000-00006E3D0000}"/>
    <cellStyle name="Normal 3 18 12 8" xfId="9742" xr:uid="{00000000-0005-0000-0000-00006F3D0000}"/>
    <cellStyle name="Normal 3 18 12 8 2" xfId="27312" xr:uid="{00000000-0005-0000-0000-0000703D0000}"/>
    <cellStyle name="Normal 3 18 12 9" xfId="9743" xr:uid="{00000000-0005-0000-0000-0000713D0000}"/>
    <cellStyle name="Normal 3 18 12 9 2" xfId="27313" xr:uid="{00000000-0005-0000-0000-0000723D0000}"/>
    <cellStyle name="Normal 3 18 13" xfId="9744" xr:uid="{00000000-0005-0000-0000-0000733D0000}"/>
    <cellStyle name="Normal 3 18 13 10" xfId="9745" xr:uid="{00000000-0005-0000-0000-0000743D0000}"/>
    <cellStyle name="Normal 3 18 13 10 2" xfId="27315" xr:uid="{00000000-0005-0000-0000-0000753D0000}"/>
    <cellStyle name="Normal 3 18 13 11" xfId="9746" xr:uid="{00000000-0005-0000-0000-0000763D0000}"/>
    <cellStyle name="Normal 3 18 13 11 2" xfId="27316" xr:uid="{00000000-0005-0000-0000-0000773D0000}"/>
    <cellStyle name="Normal 3 18 13 12" xfId="9747" xr:uid="{00000000-0005-0000-0000-0000783D0000}"/>
    <cellStyle name="Normal 3 18 13 12 2" xfId="27317" xr:uid="{00000000-0005-0000-0000-0000793D0000}"/>
    <cellStyle name="Normal 3 18 13 13" xfId="9748" xr:uid="{00000000-0005-0000-0000-00007A3D0000}"/>
    <cellStyle name="Normal 3 18 13 13 2" xfId="27318" xr:uid="{00000000-0005-0000-0000-00007B3D0000}"/>
    <cellStyle name="Normal 3 18 13 14" xfId="9749" xr:uid="{00000000-0005-0000-0000-00007C3D0000}"/>
    <cellStyle name="Normal 3 18 13 14 2" xfId="27319" xr:uid="{00000000-0005-0000-0000-00007D3D0000}"/>
    <cellStyle name="Normal 3 18 13 15" xfId="27314" xr:uid="{00000000-0005-0000-0000-00007E3D0000}"/>
    <cellStyle name="Normal 3 18 13 2" xfId="9750" xr:uid="{00000000-0005-0000-0000-00007F3D0000}"/>
    <cellStyle name="Normal 3 18 13 2 2" xfId="27320" xr:uid="{00000000-0005-0000-0000-0000803D0000}"/>
    <cellStyle name="Normal 3 18 13 3" xfId="9751" xr:uid="{00000000-0005-0000-0000-0000813D0000}"/>
    <cellStyle name="Normal 3 18 13 3 2" xfId="27321" xr:uid="{00000000-0005-0000-0000-0000823D0000}"/>
    <cellStyle name="Normal 3 18 13 4" xfId="9752" xr:uid="{00000000-0005-0000-0000-0000833D0000}"/>
    <cellStyle name="Normal 3 18 13 4 2" xfId="27322" xr:uid="{00000000-0005-0000-0000-0000843D0000}"/>
    <cellStyle name="Normal 3 18 13 5" xfId="9753" xr:uid="{00000000-0005-0000-0000-0000853D0000}"/>
    <cellStyle name="Normal 3 18 13 5 2" xfId="27323" xr:uid="{00000000-0005-0000-0000-0000863D0000}"/>
    <cellStyle name="Normal 3 18 13 6" xfId="9754" xr:uid="{00000000-0005-0000-0000-0000873D0000}"/>
    <cellStyle name="Normal 3 18 13 6 2" xfId="27324" xr:uid="{00000000-0005-0000-0000-0000883D0000}"/>
    <cellStyle name="Normal 3 18 13 7" xfId="9755" xr:uid="{00000000-0005-0000-0000-0000893D0000}"/>
    <cellStyle name="Normal 3 18 13 7 2" xfId="27325" xr:uid="{00000000-0005-0000-0000-00008A3D0000}"/>
    <cellStyle name="Normal 3 18 13 8" xfId="9756" xr:uid="{00000000-0005-0000-0000-00008B3D0000}"/>
    <cellStyle name="Normal 3 18 13 8 2" xfId="27326" xr:uid="{00000000-0005-0000-0000-00008C3D0000}"/>
    <cellStyle name="Normal 3 18 13 9" xfId="9757" xr:uid="{00000000-0005-0000-0000-00008D3D0000}"/>
    <cellStyle name="Normal 3 18 13 9 2" xfId="27327" xr:uid="{00000000-0005-0000-0000-00008E3D0000}"/>
    <cellStyle name="Normal 3 18 14" xfId="9758" xr:uid="{00000000-0005-0000-0000-00008F3D0000}"/>
    <cellStyle name="Normal 3 18 14 10" xfId="9759" xr:uid="{00000000-0005-0000-0000-0000903D0000}"/>
    <cellStyle name="Normal 3 18 14 10 2" xfId="27329" xr:uid="{00000000-0005-0000-0000-0000913D0000}"/>
    <cellStyle name="Normal 3 18 14 11" xfId="9760" xr:uid="{00000000-0005-0000-0000-0000923D0000}"/>
    <cellStyle name="Normal 3 18 14 11 2" xfId="27330" xr:uid="{00000000-0005-0000-0000-0000933D0000}"/>
    <cellStyle name="Normal 3 18 14 12" xfId="9761" xr:uid="{00000000-0005-0000-0000-0000943D0000}"/>
    <cellStyle name="Normal 3 18 14 12 2" xfId="27331" xr:uid="{00000000-0005-0000-0000-0000953D0000}"/>
    <cellStyle name="Normal 3 18 14 13" xfId="9762" xr:uid="{00000000-0005-0000-0000-0000963D0000}"/>
    <cellStyle name="Normal 3 18 14 13 2" xfId="27332" xr:uid="{00000000-0005-0000-0000-0000973D0000}"/>
    <cellStyle name="Normal 3 18 14 14" xfId="9763" xr:uid="{00000000-0005-0000-0000-0000983D0000}"/>
    <cellStyle name="Normal 3 18 14 14 2" xfId="27333" xr:uid="{00000000-0005-0000-0000-0000993D0000}"/>
    <cellStyle name="Normal 3 18 14 15" xfId="27328" xr:uid="{00000000-0005-0000-0000-00009A3D0000}"/>
    <cellStyle name="Normal 3 18 14 2" xfId="9764" xr:uid="{00000000-0005-0000-0000-00009B3D0000}"/>
    <cellStyle name="Normal 3 18 14 2 2" xfId="27334" xr:uid="{00000000-0005-0000-0000-00009C3D0000}"/>
    <cellStyle name="Normal 3 18 14 3" xfId="9765" xr:uid="{00000000-0005-0000-0000-00009D3D0000}"/>
    <cellStyle name="Normal 3 18 14 3 2" xfId="27335" xr:uid="{00000000-0005-0000-0000-00009E3D0000}"/>
    <cellStyle name="Normal 3 18 14 4" xfId="9766" xr:uid="{00000000-0005-0000-0000-00009F3D0000}"/>
    <cellStyle name="Normal 3 18 14 4 2" xfId="27336" xr:uid="{00000000-0005-0000-0000-0000A03D0000}"/>
    <cellStyle name="Normal 3 18 14 5" xfId="9767" xr:uid="{00000000-0005-0000-0000-0000A13D0000}"/>
    <cellStyle name="Normal 3 18 14 5 2" xfId="27337" xr:uid="{00000000-0005-0000-0000-0000A23D0000}"/>
    <cellStyle name="Normal 3 18 14 6" xfId="9768" xr:uid="{00000000-0005-0000-0000-0000A33D0000}"/>
    <cellStyle name="Normal 3 18 14 6 2" xfId="27338" xr:uid="{00000000-0005-0000-0000-0000A43D0000}"/>
    <cellStyle name="Normal 3 18 14 7" xfId="9769" xr:uid="{00000000-0005-0000-0000-0000A53D0000}"/>
    <cellStyle name="Normal 3 18 14 7 2" xfId="27339" xr:uid="{00000000-0005-0000-0000-0000A63D0000}"/>
    <cellStyle name="Normal 3 18 14 8" xfId="9770" xr:uid="{00000000-0005-0000-0000-0000A73D0000}"/>
    <cellStyle name="Normal 3 18 14 8 2" xfId="27340" xr:uid="{00000000-0005-0000-0000-0000A83D0000}"/>
    <cellStyle name="Normal 3 18 14 9" xfId="9771" xr:uid="{00000000-0005-0000-0000-0000A93D0000}"/>
    <cellStyle name="Normal 3 18 14 9 2" xfId="27341" xr:uid="{00000000-0005-0000-0000-0000AA3D0000}"/>
    <cellStyle name="Normal 3 18 15" xfId="9772" xr:uid="{00000000-0005-0000-0000-0000AB3D0000}"/>
    <cellStyle name="Normal 3 18 15 2" xfId="27342" xr:uid="{00000000-0005-0000-0000-0000AC3D0000}"/>
    <cellStyle name="Normal 3 18 16" xfId="9773" xr:uid="{00000000-0005-0000-0000-0000AD3D0000}"/>
    <cellStyle name="Normal 3 18 16 2" xfId="27343" xr:uid="{00000000-0005-0000-0000-0000AE3D0000}"/>
    <cellStyle name="Normal 3 18 17" xfId="9774" xr:uid="{00000000-0005-0000-0000-0000AF3D0000}"/>
    <cellStyle name="Normal 3 18 17 2" xfId="27344" xr:uid="{00000000-0005-0000-0000-0000B03D0000}"/>
    <cellStyle name="Normal 3 18 18" xfId="9775" xr:uid="{00000000-0005-0000-0000-0000B13D0000}"/>
    <cellStyle name="Normal 3 18 18 2" xfId="27345" xr:uid="{00000000-0005-0000-0000-0000B23D0000}"/>
    <cellStyle name="Normal 3 18 19" xfId="9776" xr:uid="{00000000-0005-0000-0000-0000B33D0000}"/>
    <cellStyle name="Normal 3 18 19 2" xfId="27346" xr:uid="{00000000-0005-0000-0000-0000B43D0000}"/>
    <cellStyle name="Normal 3 18 2" xfId="9777" xr:uid="{00000000-0005-0000-0000-0000B53D0000}"/>
    <cellStyle name="Normal 3 18 20" xfId="9778" xr:uid="{00000000-0005-0000-0000-0000B63D0000}"/>
    <cellStyle name="Normal 3 18 20 2" xfId="27347" xr:uid="{00000000-0005-0000-0000-0000B73D0000}"/>
    <cellStyle name="Normal 3 18 21" xfId="9779" xr:uid="{00000000-0005-0000-0000-0000B83D0000}"/>
    <cellStyle name="Normal 3 18 21 2" xfId="27348" xr:uid="{00000000-0005-0000-0000-0000B93D0000}"/>
    <cellStyle name="Normal 3 18 22" xfId="9780" xr:uid="{00000000-0005-0000-0000-0000BA3D0000}"/>
    <cellStyle name="Normal 3 18 22 2" xfId="27349" xr:uid="{00000000-0005-0000-0000-0000BB3D0000}"/>
    <cellStyle name="Normal 3 18 23" xfId="9781" xr:uid="{00000000-0005-0000-0000-0000BC3D0000}"/>
    <cellStyle name="Normal 3 18 23 2" xfId="27350" xr:uid="{00000000-0005-0000-0000-0000BD3D0000}"/>
    <cellStyle name="Normal 3 18 24" xfId="9782" xr:uid="{00000000-0005-0000-0000-0000BE3D0000}"/>
    <cellStyle name="Normal 3 18 24 2" xfId="27351" xr:uid="{00000000-0005-0000-0000-0000BF3D0000}"/>
    <cellStyle name="Normal 3 18 25" xfId="9783" xr:uid="{00000000-0005-0000-0000-0000C03D0000}"/>
    <cellStyle name="Normal 3 18 25 2" xfId="27352" xr:uid="{00000000-0005-0000-0000-0000C13D0000}"/>
    <cellStyle name="Normal 3 18 26" xfId="9784" xr:uid="{00000000-0005-0000-0000-0000C23D0000}"/>
    <cellStyle name="Normal 3 18 26 2" xfId="27353" xr:uid="{00000000-0005-0000-0000-0000C33D0000}"/>
    <cellStyle name="Normal 3 18 27" xfId="9785" xr:uid="{00000000-0005-0000-0000-0000C43D0000}"/>
    <cellStyle name="Normal 3 18 27 2" xfId="27354" xr:uid="{00000000-0005-0000-0000-0000C53D0000}"/>
    <cellStyle name="Normal 3 18 28" xfId="27271" xr:uid="{00000000-0005-0000-0000-0000C63D0000}"/>
    <cellStyle name="Normal 3 18 3" xfId="9786" xr:uid="{00000000-0005-0000-0000-0000C73D0000}"/>
    <cellStyle name="Normal 3 18 4" xfId="9787" xr:uid="{00000000-0005-0000-0000-0000C83D0000}"/>
    <cellStyle name="Normal 3 18 5" xfId="9788" xr:uid="{00000000-0005-0000-0000-0000C93D0000}"/>
    <cellStyle name="Normal 3 18 6" xfId="9789" xr:uid="{00000000-0005-0000-0000-0000CA3D0000}"/>
    <cellStyle name="Normal 3 18 6 10" xfId="9790" xr:uid="{00000000-0005-0000-0000-0000CB3D0000}"/>
    <cellStyle name="Normal 3 18 6 10 2" xfId="27356" xr:uid="{00000000-0005-0000-0000-0000CC3D0000}"/>
    <cellStyle name="Normal 3 18 6 11" xfId="9791" xr:uid="{00000000-0005-0000-0000-0000CD3D0000}"/>
    <cellStyle name="Normal 3 18 6 11 2" xfId="27357" xr:uid="{00000000-0005-0000-0000-0000CE3D0000}"/>
    <cellStyle name="Normal 3 18 6 12" xfId="9792" xr:uid="{00000000-0005-0000-0000-0000CF3D0000}"/>
    <cellStyle name="Normal 3 18 6 12 2" xfId="27358" xr:uid="{00000000-0005-0000-0000-0000D03D0000}"/>
    <cellStyle name="Normal 3 18 6 13" xfId="9793" xr:uid="{00000000-0005-0000-0000-0000D13D0000}"/>
    <cellStyle name="Normal 3 18 6 13 2" xfId="27359" xr:uid="{00000000-0005-0000-0000-0000D23D0000}"/>
    <cellStyle name="Normal 3 18 6 14" xfId="9794" xr:uid="{00000000-0005-0000-0000-0000D33D0000}"/>
    <cellStyle name="Normal 3 18 6 14 2" xfId="27360" xr:uid="{00000000-0005-0000-0000-0000D43D0000}"/>
    <cellStyle name="Normal 3 18 6 15" xfId="9795" xr:uid="{00000000-0005-0000-0000-0000D53D0000}"/>
    <cellStyle name="Normal 3 18 6 15 2" xfId="27361" xr:uid="{00000000-0005-0000-0000-0000D63D0000}"/>
    <cellStyle name="Normal 3 18 6 16" xfId="27355" xr:uid="{00000000-0005-0000-0000-0000D73D0000}"/>
    <cellStyle name="Normal 3 18 6 2" xfId="9796" xr:uid="{00000000-0005-0000-0000-0000D83D0000}"/>
    <cellStyle name="Normal 3 18 6 2 10" xfId="9797" xr:uid="{00000000-0005-0000-0000-0000D93D0000}"/>
    <cellStyle name="Normal 3 18 6 2 10 2" xfId="27363" xr:uid="{00000000-0005-0000-0000-0000DA3D0000}"/>
    <cellStyle name="Normal 3 18 6 2 11" xfId="9798" xr:uid="{00000000-0005-0000-0000-0000DB3D0000}"/>
    <cellStyle name="Normal 3 18 6 2 11 2" xfId="27364" xr:uid="{00000000-0005-0000-0000-0000DC3D0000}"/>
    <cellStyle name="Normal 3 18 6 2 12" xfId="9799" xr:uid="{00000000-0005-0000-0000-0000DD3D0000}"/>
    <cellStyle name="Normal 3 18 6 2 12 2" xfId="27365" xr:uid="{00000000-0005-0000-0000-0000DE3D0000}"/>
    <cellStyle name="Normal 3 18 6 2 13" xfId="9800" xr:uid="{00000000-0005-0000-0000-0000DF3D0000}"/>
    <cellStyle name="Normal 3 18 6 2 13 2" xfId="27366" xr:uid="{00000000-0005-0000-0000-0000E03D0000}"/>
    <cellStyle name="Normal 3 18 6 2 14" xfId="9801" xr:uid="{00000000-0005-0000-0000-0000E13D0000}"/>
    <cellStyle name="Normal 3 18 6 2 14 2" xfId="27367" xr:uid="{00000000-0005-0000-0000-0000E23D0000}"/>
    <cellStyle name="Normal 3 18 6 2 15" xfId="27362" xr:uid="{00000000-0005-0000-0000-0000E33D0000}"/>
    <cellStyle name="Normal 3 18 6 2 2" xfId="9802" xr:uid="{00000000-0005-0000-0000-0000E43D0000}"/>
    <cellStyle name="Normal 3 18 6 2 2 2" xfId="27368" xr:uid="{00000000-0005-0000-0000-0000E53D0000}"/>
    <cellStyle name="Normal 3 18 6 2 3" xfId="9803" xr:uid="{00000000-0005-0000-0000-0000E63D0000}"/>
    <cellStyle name="Normal 3 18 6 2 3 2" xfId="27369" xr:uid="{00000000-0005-0000-0000-0000E73D0000}"/>
    <cellStyle name="Normal 3 18 6 2 4" xfId="9804" xr:uid="{00000000-0005-0000-0000-0000E83D0000}"/>
    <cellStyle name="Normal 3 18 6 2 4 2" xfId="27370" xr:uid="{00000000-0005-0000-0000-0000E93D0000}"/>
    <cellStyle name="Normal 3 18 6 2 5" xfId="9805" xr:uid="{00000000-0005-0000-0000-0000EA3D0000}"/>
    <cellStyle name="Normal 3 18 6 2 5 2" xfId="27371" xr:uid="{00000000-0005-0000-0000-0000EB3D0000}"/>
    <cellStyle name="Normal 3 18 6 2 6" xfId="9806" xr:uid="{00000000-0005-0000-0000-0000EC3D0000}"/>
    <cellStyle name="Normal 3 18 6 2 6 2" xfId="27372" xr:uid="{00000000-0005-0000-0000-0000ED3D0000}"/>
    <cellStyle name="Normal 3 18 6 2 7" xfId="9807" xr:uid="{00000000-0005-0000-0000-0000EE3D0000}"/>
    <cellStyle name="Normal 3 18 6 2 7 2" xfId="27373" xr:uid="{00000000-0005-0000-0000-0000EF3D0000}"/>
    <cellStyle name="Normal 3 18 6 2 8" xfId="9808" xr:uid="{00000000-0005-0000-0000-0000F03D0000}"/>
    <cellStyle name="Normal 3 18 6 2 8 2" xfId="27374" xr:uid="{00000000-0005-0000-0000-0000F13D0000}"/>
    <cellStyle name="Normal 3 18 6 2 9" xfId="9809" xr:uid="{00000000-0005-0000-0000-0000F23D0000}"/>
    <cellStyle name="Normal 3 18 6 2 9 2" xfId="27375" xr:uid="{00000000-0005-0000-0000-0000F33D0000}"/>
    <cellStyle name="Normal 3 18 6 3" xfId="9810" xr:uid="{00000000-0005-0000-0000-0000F43D0000}"/>
    <cellStyle name="Normal 3 18 6 3 2" xfId="27376" xr:uid="{00000000-0005-0000-0000-0000F53D0000}"/>
    <cellStyle name="Normal 3 18 6 4" xfId="9811" xr:uid="{00000000-0005-0000-0000-0000F63D0000}"/>
    <cellStyle name="Normal 3 18 6 4 2" xfId="27377" xr:uid="{00000000-0005-0000-0000-0000F73D0000}"/>
    <cellStyle name="Normal 3 18 6 5" xfId="9812" xr:uid="{00000000-0005-0000-0000-0000F83D0000}"/>
    <cellStyle name="Normal 3 18 6 5 2" xfId="27378" xr:uid="{00000000-0005-0000-0000-0000F93D0000}"/>
    <cellStyle name="Normal 3 18 6 6" xfId="9813" xr:uid="{00000000-0005-0000-0000-0000FA3D0000}"/>
    <cellStyle name="Normal 3 18 6 6 2" xfId="27379" xr:uid="{00000000-0005-0000-0000-0000FB3D0000}"/>
    <cellStyle name="Normal 3 18 6 7" xfId="9814" xr:uid="{00000000-0005-0000-0000-0000FC3D0000}"/>
    <cellStyle name="Normal 3 18 6 7 2" xfId="27380" xr:uid="{00000000-0005-0000-0000-0000FD3D0000}"/>
    <cellStyle name="Normal 3 18 6 8" xfId="9815" xr:uid="{00000000-0005-0000-0000-0000FE3D0000}"/>
    <cellStyle name="Normal 3 18 6 8 2" xfId="27381" xr:uid="{00000000-0005-0000-0000-0000FF3D0000}"/>
    <cellStyle name="Normal 3 18 6 9" xfId="9816" xr:uid="{00000000-0005-0000-0000-0000003E0000}"/>
    <cellStyle name="Normal 3 18 6 9 2" xfId="27382" xr:uid="{00000000-0005-0000-0000-0000013E0000}"/>
    <cellStyle name="Normal 3 18 7" xfId="9817" xr:uid="{00000000-0005-0000-0000-0000023E0000}"/>
    <cellStyle name="Normal 3 18 7 10" xfId="9818" xr:uid="{00000000-0005-0000-0000-0000033E0000}"/>
    <cellStyle name="Normal 3 18 7 10 2" xfId="27384" xr:uid="{00000000-0005-0000-0000-0000043E0000}"/>
    <cellStyle name="Normal 3 18 7 11" xfId="9819" xr:uid="{00000000-0005-0000-0000-0000053E0000}"/>
    <cellStyle name="Normal 3 18 7 11 2" xfId="27385" xr:uid="{00000000-0005-0000-0000-0000063E0000}"/>
    <cellStyle name="Normal 3 18 7 12" xfId="9820" xr:uid="{00000000-0005-0000-0000-0000073E0000}"/>
    <cellStyle name="Normal 3 18 7 12 2" xfId="27386" xr:uid="{00000000-0005-0000-0000-0000083E0000}"/>
    <cellStyle name="Normal 3 18 7 13" xfId="9821" xr:uid="{00000000-0005-0000-0000-0000093E0000}"/>
    <cellStyle name="Normal 3 18 7 13 2" xfId="27387" xr:uid="{00000000-0005-0000-0000-00000A3E0000}"/>
    <cellStyle name="Normal 3 18 7 14" xfId="9822" xr:uid="{00000000-0005-0000-0000-00000B3E0000}"/>
    <cellStyle name="Normal 3 18 7 14 2" xfId="27388" xr:uid="{00000000-0005-0000-0000-00000C3E0000}"/>
    <cellStyle name="Normal 3 18 7 15" xfId="9823" xr:uid="{00000000-0005-0000-0000-00000D3E0000}"/>
    <cellStyle name="Normal 3 18 7 15 2" xfId="27389" xr:uid="{00000000-0005-0000-0000-00000E3E0000}"/>
    <cellStyle name="Normal 3 18 7 16" xfId="27383" xr:uid="{00000000-0005-0000-0000-00000F3E0000}"/>
    <cellStyle name="Normal 3 18 7 2" xfId="9824" xr:uid="{00000000-0005-0000-0000-0000103E0000}"/>
    <cellStyle name="Normal 3 18 7 2 10" xfId="9825" xr:uid="{00000000-0005-0000-0000-0000113E0000}"/>
    <cellStyle name="Normal 3 18 7 2 10 2" xfId="27391" xr:uid="{00000000-0005-0000-0000-0000123E0000}"/>
    <cellStyle name="Normal 3 18 7 2 11" xfId="9826" xr:uid="{00000000-0005-0000-0000-0000133E0000}"/>
    <cellStyle name="Normal 3 18 7 2 11 2" xfId="27392" xr:uid="{00000000-0005-0000-0000-0000143E0000}"/>
    <cellStyle name="Normal 3 18 7 2 12" xfId="9827" xr:uid="{00000000-0005-0000-0000-0000153E0000}"/>
    <cellStyle name="Normal 3 18 7 2 12 2" xfId="27393" xr:uid="{00000000-0005-0000-0000-0000163E0000}"/>
    <cellStyle name="Normal 3 18 7 2 13" xfId="9828" xr:uid="{00000000-0005-0000-0000-0000173E0000}"/>
    <cellStyle name="Normal 3 18 7 2 13 2" xfId="27394" xr:uid="{00000000-0005-0000-0000-0000183E0000}"/>
    <cellStyle name="Normal 3 18 7 2 14" xfId="9829" xr:uid="{00000000-0005-0000-0000-0000193E0000}"/>
    <cellStyle name="Normal 3 18 7 2 14 2" xfId="27395" xr:uid="{00000000-0005-0000-0000-00001A3E0000}"/>
    <cellStyle name="Normal 3 18 7 2 15" xfId="27390" xr:uid="{00000000-0005-0000-0000-00001B3E0000}"/>
    <cellStyle name="Normal 3 18 7 2 2" xfId="9830" xr:uid="{00000000-0005-0000-0000-00001C3E0000}"/>
    <cellStyle name="Normal 3 18 7 2 2 2" xfId="27396" xr:uid="{00000000-0005-0000-0000-00001D3E0000}"/>
    <cellStyle name="Normal 3 18 7 2 3" xfId="9831" xr:uid="{00000000-0005-0000-0000-00001E3E0000}"/>
    <cellStyle name="Normal 3 18 7 2 3 2" xfId="27397" xr:uid="{00000000-0005-0000-0000-00001F3E0000}"/>
    <cellStyle name="Normal 3 18 7 2 4" xfId="9832" xr:uid="{00000000-0005-0000-0000-0000203E0000}"/>
    <cellStyle name="Normal 3 18 7 2 4 2" xfId="27398" xr:uid="{00000000-0005-0000-0000-0000213E0000}"/>
    <cellStyle name="Normal 3 18 7 2 5" xfId="9833" xr:uid="{00000000-0005-0000-0000-0000223E0000}"/>
    <cellStyle name="Normal 3 18 7 2 5 2" xfId="27399" xr:uid="{00000000-0005-0000-0000-0000233E0000}"/>
    <cellStyle name="Normal 3 18 7 2 6" xfId="9834" xr:uid="{00000000-0005-0000-0000-0000243E0000}"/>
    <cellStyle name="Normal 3 18 7 2 6 2" xfId="27400" xr:uid="{00000000-0005-0000-0000-0000253E0000}"/>
    <cellStyle name="Normal 3 18 7 2 7" xfId="9835" xr:uid="{00000000-0005-0000-0000-0000263E0000}"/>
    <cellStyle name="Normal 3 18 7 2 7 2" xfId="27401" xr:uid="{00000000-0005-0000-0000-0000273E0000}"/>
    <cellStyle name="Normal 3 18 7 2 8" xfId="9836" xr:uid="{00000000-0005-0000-0000-0000283E0000}"/>
    <cellStyle name="Normal 3 18 7 2 8 2" xfId="27402" xr:uid="{00000000-0005-0000-0000-0000293E0000}"/>
    <cellStyle name="Normal 3 18 7 2 9" xfId="9837" xr:uid="{00000000-0005-0000-0000-00002A3E0000}"/>
    <cellStyle name="Normal 3 18 7 2 9 2" xfId="27403" xr:uid="{00000000-0005-0000-0000-00002B3E0000}"/>
    <cellStyle name="Normal 3 18 7 3" xfId="9838" xr:uid="{00000000-0005-0000-0000-00002C3E0000}"/>
    <cellStyle name="Normal 3 18 7 3 2" xfId="27404" xr:uid="{00000000-0005-0000-0000-00002D3E0000}"/>
    <cellStyle name="Normal 3 18 7 4" xfId="9839" xr:uid="{00000000-0005-0000-0000-00002E3E0000}"/>
    <cellStyle name="Normal 3 18 7 4 2" xfId="27405" xr:uid="{00000000-0005-0000-0000-00002F3E0000}"/>
    <cellStyle name="Normal 3 18 7 5" xfId="9840" xr:uid="{00000000-0005-0000-0000-0000303E0000}"/>
    <cellStyle name="Normal 3 18 7 5 2" xfId="27406" xr:uid="{00000000-0005-0000-0000-0000313E0000}"/>
    <cellStyle name="Normal 3 18 7 6" xfId="9841" xr:uid="{00000000-0005-0000-0000-0000323E0000}"/>
    <cellStyle name="Normal 3 18 7 6 2" xfId="27407" xr:uid="{00000000-0005-0000-0000-0000333E0000}"/>
    <cellStyle name="Normal 3 18 7 7" xfId="9842" xr:uid="{00000000-0005-0000-0000-0000343E0000}"/>
    <cellStyle name="Normal 3 18 7 7 2" xfId="27408" xr:uid="{00000000-0005-0000-0000-0000353E0000}"/>
    <cellStyle name="Normal 3 18 7 8" xfId="9843" xr:uid="{00000000-0005-0000-0000-0000363E0000}"/>
    <cellStyle name="Normal 3 18 7 8 2" xfId="27409" xr:uid="{00000000-0005-0000-0000-0000373E0000}"/>
    <cellStyle name="Normal 3 18 7 9" xfId="9844" xr:uid="{00000000-0005-0000-0000-0000383E0000}"/>
    <cellStyle name="Normal 3 18 7 9 2" xfId="27410" xr:uid="{00000000-0005-0000-0000-0000393E0000}"/>
    <cellStyle name="Normal 3 18 8" xfId="9845" xr:uid="{00000000-0005-0000-0000-00003A3E0000}"/>
    <cellStyle name="Normal 3 18 8 10" xfId="9846" xr:uid="{00000000-0005-0000-0000-00003B3E0000}"/>
    <cellStyle name="Normal 3 18 8 10 2" xfId="27412" xr:uid="{00000000-0005-0000-0000-00003C3E0000}"/>
    <cellStyle name="Normal 3 18 8 11" xfId="9847" xr:uid="{00000000-0005-0000-0000-00003D3E0000}"/>
    <cellStyle name="Normal 3 18 8 11 2" xfId="27413" xr:uid="{00000000-0005-0000-0000-00003E3E0000}"/>
    <cellStyle name="Normal 3 18 8 12" xfId="9848" xr:uid="{00000000-0005-0000-0000-00003F3E0000}"/>
    <cellStyle name="Normal 3 18 8 12 2" xfId="27414" xr:uid="{00000000-0005-0000-0000-0000403E0000}"/>
    <cellStyle name="Normal 3 18 8 13" xfId="9849" xr:uid="{00000000-0005-0000-0000-0000413E0000}"/>
    <cellStyle name="Normal 3 18 8 13 2" xfId="27415" xr:uid="{00000000-0005-0000-0000-0000423E0000}"/>
    <cellStyle name="Normal 3 18 8 14" xfId="9850" xr:uid="{00000000-0005-0000-0000-0000433E0000}"/>
    <cellStyle name="Normal 3 18 8 14 2" xfId="27416" xr:uid="{00000000-0005-0000-0000-0000443E0000}"/>
    <cellStyle name="Normal 3 18 8 15" xfId="9851" xr:uid="{00000000-0005-0000-0000-0000453E0000}"/>
    <cellStyle name="Normal 3 18 8 15 2" xfId="27417" xr:uid="{00000000-0005-0000-0000-0000463E0000}"/>
    <cellStyle name="Normal 3 18 8 16" xfId="27411" xr:uid="{00000000-0005-0000-0000-0000473E0000}"/>
    <cellStyle name="Normal 3 18 8 2" xfId="9852" xr:uid="{00000000-0005-0000-0000-0000483E0000}"/>
    <cellStyle name="Normal 3 18 8 2 10" xfId="9853" xr:uid="{00000000-0005-0000-0000-0000493E0000}"/>
    <cellStyle name="Normal 3 18 8 2 10 2" xfId="27419" xr:uid="{00000000-0005-0000-0000-00004A3E0000}"/>
    <cellStyle name="Normal 3 18 8 2 11" xfId="9854" xr:uid="{00000000-0005-0000-0000-00004B3E0000}"/>
    <cellStyle name="Normal 3 18 8 2 11 2" xfId="27420" xr:uid="{00000000-0005-0000-0000-00004C3E0000}"/>
    <cellStyle name="Normal 3 18 8 2 12" xfId="9855" xr:uid="{00000000-0005-0000-0000-00004D3E0000}"/>
    <cellStyle name="Normal 3 18 8 2 12 2" xfId="27421" xr:uid="{00000000-0005-0000-0000-00004E3E0000}"/>
    <cellStyle name="Normal 3 18 8 2 13" xfId="9856" xr:uid="{00000000-0005-0000-0000-00004F3E0000}"/>
    <cellStyle name="Normal 3 18 8 2 13 2" xfId="27422" xr:uid="{00000000-0005-0000-0000-0000503E0000}"/>
    <cellStyle name="Normal 3 18 8 2 14" xfId="9857" xr:uid="{00000000-0005-0000-0000-0000513E0000}"/>
    <cellStyle name="Normal 3 18 8 2 14 2" xfId="27423" xr:uid="{00000000-0005-0000-0000-0000523E0000}"/>
    <cellStyle name="Normal 3 18 8 2 15" xfId="27418" xr:uid="{00000000-0005-0000-0000-0000533E0000}"/>
    <cellStyle name="Normal 3 18 8 2 2" xfId="9858" xr:uid="{00000000-0005-0000-0000-0000543E0000}"/>
    <cellStyle name="Normal 3 18 8 2 2 2" xfId="27424" xr:uid="{00000000-0005-0000-0000-0000553E0000}"/>
    <cellStyle name="Normal 3 18 8 2 3" xfId="9859" xr:uid="{00000000-0005-0000-0000-0000563E0000}"/>
    <cellStyle name="Normal 3 18 8 2 3 2" xfId="27425" xr:uid="{00000000-0005-0000-0000-0000573E0000}"/>
    <cellStyle name="Normal 3 18 8 2 4" xfId="9860" xr:uid="{00000000-0005-0000-0000-0000583E0000}"/>
    <cellStyle name="Normal 3 18 8 2 4 2" xfId="27426" xr:uid="{00000000-0005-0000-0000-0000593E0000}"/>
    <cellStyle name="Normal 3 18 8 2 5" xfId="9861" xr:uid="{00000000-0005-0000-0000-00005A3E0000}"/>
    <cellStyle name="Normal 3 18 8 2 5 2" xfId="27427" xr:uid="{00000000-0005-0000-0000-00005B3E0000}"/>
    <cellStyle name="Normal 3 18 8 2 6" xfId="9862" xr:uid="{00000000-0005-0000-0000-00005C3E0000}"/>
    <cellStyle name="Normal 3 18 8 2 6 2" xfId="27428" xr:uid="{00000000-0005-0000-0000-00005D3E0000}"/>
    <cellStyle name="Normal 3 18 8 2 7" xfId="9863" xr:uid="{00000000-0005-0000-0000-00005E3E0000}"/>
    <cellStyle name="Normal 3 18 8 2 7 2" xfId="27429" xr:uid="{00000000-0005-0000-0000-00005F3E0000}"/>
    <cellStyle name="Normal 3 18 8 2 8" xfId="9864" xr:uid="{00000000-0005-0000-0000-0000603E0000}"/>
    <cellStyle name="Normal 3 18 8 2 8 2" xfId="27430" xr:uid="{00000000-0005-0000-0000-0000613E0000}"/>
    <cellStyle name="Normal 3 18 8 2 9" xfId="9865" xr:uid="{00000000-0005-0000-0000-0000623E0000}"/>
    <cellStyle name="Normal 3 18 8 2 9 2" xfId="27431" xr:uid="{00000000-0005-0000-0000-0000633E0000}"/>
    <cellStyle name="Normal 3 18 8 3" xfId="9866" xr:uid="{00000000-0005-0000-0000-0000643E0000}"/>
    <cellStyle name="Normal 3 18 8 3 2" xfId="27432" xr:uid="{00000000-0005-0000-0000-0000653E0000}"/>
    <cellStyle name="Normal 3 18 8 4" xfId="9867" xr:uid="{00000000-0005-0000-0000-0000663E0000}"/>
    <cellStyle name="Normal 3 18 8 4 2" xfId="27433" xr:uid="{00000000-0005-0000-0000-0000673E0000}"/>
    <cellStyle name="Normal 3 18 8 5" xfId="9868" xr:uid="{00000000-0005-0000-0000-0000683E0000}"/>
    <cellStyle name="Normal 3 18 8 5 2" xfId="27434" xr:uid="{00000000-0005-0000-0000-0000693E0000}"/>
    <cellStyle name="Normal 3 18 8 6" xfId="9869" xr:uid="{00000000-0005-0000-0000-00006A3E0000}"/>
    <cellStyle name="Normal 3 18 8 6 2" xfId="27435" xr:uid="{00000000-0005-0000-0000-00006B3E0000}"/>
    <cellStyle name="Normal 3 18 8 7" xfId="9870" xr:uid="{00000000-0005-0000-0000-00006C3E0000}"/>
    <cellStyle name="Normal 3 18 8 7 2" xfId="27436" xr:uid="{00000000-0005-0000-0000-00006D3E0000}"/>
    <cellStyle name="Normal 3 18 8 8" xfId="9871" xr:uid="{00000000-0005-0000-0000-00006E3E0000}"/>
    <cellStyle name="Normal 3 18 8 8 2" xfId="27437" xr:uid="{00000000-0005-0000-0000-00006F3E0000}"/>
    <cellStyle name="Normal 3 18 8 9" xfId="9872" xr:uid="{00000000-0005-0000-0000-0000703E0000}"/>
    <cellStyle name="Normal 3 18 8 9 2" xfId="27438" xr:uid="{00000000-0005-0000-0000-0000713E0000}"/>
    <cellStyle name="Normal 3 18 9" xfId="9873" xr:uid="{00000000-0005-0000-0000-0000723E0000}"/>
    <cellStyle name="Normal 3 18 9 10" xfId="9874" xr:uid="{00000000-0005-0000-0000-0000733E0000}"/>
    <cellStyle name="Normal 3 18 9 10 2" xfId="27440" xr:uid="{00000000-0005-0000-0000-0000743E0000}"/>
    <cellStyle name="Normal 3 18 9 11" xfId="9875" xr:uid="{00000000-0005-0000-0000-0000753E0000}"/>
    <cellStyle name="Normal 3 18 9 11 2" xfId="27441" xr:uid="{00000000-0005-0000-0000-0000763E0000}"/>
    <cellStyle name="Normal 3 18 9 12" xfId="9876" xr:uid="{00000000-0005-0000-0000-0000773E0000}"/>
    <cellStyle name="Normal 3 18 9 12 2" xfId="27442" xr:uid="{00000000-0005-0000-0000-0000783E0000}"/>
    <cellStyle name="Normal 3 18 9 13" xfId="9877" xr:uid="{00000000-0005-0000-0000-0000793E0000}"/>
    <cellStyle name="Normal 3 18 9 13 2" xfId="27443" xr:uid="{00000000-0005-0000-0000-00007A3E0000}"/>
    <cellStyle name="Normal 3 18 9 14" xfId="9878" xr:uid="{00000000-0005-0000-0000-00007B3E0000}"/>
    <cellStyle name="Normal 3 18 9 14 2" xfId="27444" xr:uid="{00000000-0005-0000-0000-00007C3E0000}"/>
    <cellStyle name="Normal 3 18 9 15" xfId="27439" xr:uid="{00000000-0005-0000-0000-00007D3E0000}"/>
    <cellStyle name="Normal 3 18 9 2" xfId="9879" xr:uid="{00000000-0005-0000-0000-00007E3E0000}"/>
    <cellStyle name="Normal 3 18 9 2 2" xfId="27445" xr:uid="{00000000-0005-0000-0000-00007F3E0000}"/>
    <cellStyle name="Normal 3 18 9 3" xfId="9880" xr:uid="{00000000-0005-0000-0000-0000803E0000}"/>
    <cellStyle name="Normal 3 18 9 3 2" xfId="27446" xr:uid="{00000000-0005-0000-0000-0000813E0000}"/>
    <cellStyle name="Normal 3 18 9 4" xfId="9881" xr:uid="{00000000-0005-0000-0000-0000823E0000}"/>
    <cellStyle name="Normal 3 18 9 4 2" xfId="27447" xr:uid="{00000000-0005-0000-0000-0000833E0000}"/>
    <cellStyle name="Normal 3 18 9 5" xfId="9882" xr:uid="{00000000-0005-0000-0000-0000843E0000}"/>
    <cellStyle name="Normal 3 18 9 5 2" xfId="27448" xr:uid="{00000000-0005-0000-0000-0000853E0000}"/>
    <cellStyle name="Normal 3 18 9 6" xfId="9883" xr:uid="{00000000-0005-0000-0000-0000863E0000}"/>
    <cellStyle name="Normal 3 18 9 6 2" xfId="27449" xr:uid="{00000000-0005-0000-0000-0000873E0000}"/>
    <cellStyle name="Normal 3 18 9 7" xfId="9884" xr:uid="{00000000-0005-0000-0000-0000883E0000}"/>
    <cellStyle name="Normal 3 18 9 7 2" xfId="27450" xr:uid="{00000000-0005-0000-0000-0000893E0000}"/>
    <cellStyle name="Normal 3 18 9 8" xfId="9885" xr:uid="{00000000-0005-0000-0000-00008A3E0000}"/>
    <cellStyle name="Normal 3 18 9 8 2" xfId="27451" xr:uid="{00000000-0005-0000-0000-00008B3E0000}"/>
    <cellStyle name="Normal 3 18 9 9" xfId="9886" xr:uid="{00000000-0005-0000-0000-00008C3E0000}"/>
    <cellStyle name="Normal 3 18 9 9 2" xfId="27452" xr:uid="{00000000-0005-0000-0000-00008D3E0000}"/>
    <cellStyle name="Normal 3 19" xfId="9887" xr:uid="{00000000-0005-0000-0000-00008E3E0000}"/>
    <cellStyle name="Normal 3 19 10" xfId="9888" xr:uid="{00000000-0005-0000-0000-00008F3E0000}"/>
    <cellStyle name="Normal 3 19 10 10" xfId="9889" xr:uid="{00000000-0005-0000-0000-0000903E0000}"/>
    <cellStyle name="Normal 3 19 10 10 2" xfId="27455" xr:uid="{00000000-0005-0000-0000-0000913E0000}"/>
    <cellStyle name="Normal 3 19 10 11" xfId="9890" xr:uid="{00000000-0005-0000-0000-0000923E0000}"/>
    <cellStyle name="Normal 3 19 10 11 2" xfId="27456" xr:uid="{00000000-0005-0000-0000-0000933E0000}"/>
    <cellStyle name="Normal 3 19 10 12" xfId="9891" xr:uid="{00000000-0005-0000-0000-0000943E0000}"/>
    <cellStyle name="Normal 3 19 10 12 2" xfId="27457" xr:uid="{00000000-0005-0000-0000-0000953E0000}"/>
    <cellStyle name="Normal 3 19 10 13" xfId="9892" xr:uid="{00000000-0005-0000-0000-0000963E0000}"/>
    <cellStyle name="Normal 3 19 10 13 2" xfId="27458" xr:uid="{00000000-0005-0000-0000-0000973E0000}"/>
    <cellStyle name="Normal 3 19 10 14" xfId="9893" xr:uid="{00000000-0005-0000-0000-0000983E0000}"/>
    <cellStyle name="Normal 3 19 10 14 2" xfId="27459" xr:uid="{00000000-0005-0000-0000-0000993E0000}"/>
    <cellStyle name="Normal 3 19 10 15" xfId="27454" xr:uid="{00000000-0005-0000-0000-00009A3E0000}"/>
    <cellStyle name="Normal 3 19 10 2" xfId="9894" xr:uid="{00000000-0005-0000-0000-00009B3E0000}"/>
    <cellStyle name="Normal 3 19 10 2 2" xfId="27460" xr:uid="{00000000-0005-0000-0000-00009C3E0000}"/>
    <cellStyle name="Normal 3 19 10 3" xfId="9895" xr:uid="{00000000-0005-0000-0000-00009D3E0000}"/>
    <cellStyle name="Normal 3 19 10 3 2" xfId="27461" xr:uid="{00000000-0005-0000-0000-00009E3E0000}"/>
    <cellStyle name="Normal 3 19 10 4" xfId="9896" xr:uid="{00000000-0005-0000-0000-00009F3E0000}"/>
    <cellStyle name="Normal 3 19 10 4 2" xfId="27462" xr:uid="{00000000-0005-0000-0000-0000A03E0000}"/>
    <cellStyle name="Normal 3 19 10 5" xfId="9897" xr:uid="{00000000-0005-0000-0000-0000A13E0000}"/>
    <cellStyle name="Normal 3 19 10 5 2" xfId="27463" xr:uid="{00000000-0005-0000-0000-0000A23E0000}"/>
    <cellStyle name="Normal 3 19 10 6" xfId="9898" xr:uid="{00000000-0005-0000-0000-0000A33E0000}"/>
    <cellStyle name="Normal 3 19 10 6 2" xfId="27464" xr:uid="{00000000-0005-0000-0000-0000A43E0000}"/>
    <cellStyle name="Normal 3 19 10 7" xfId="9899" xr:uid="{00000000-0005-0000-0000-0000A53E0000}"/>
    <cellStyle name="Normal 3 19 10 7 2" xfId="27465" xr:uid="{00000000-0005-0000-0000-0000A63E0000}"/>
    <cellStyle name="Normal 3 19 10 8" xfId="9900" xr:uid="{00000000-0005-0000-0000-0000A73E0000}"/>
    <cellStyle name="Normal 3 19 10 8 2" xfId="27466" xr:uid="{00000000-0005-0000-0000-0000A83E0000}"/>
    <cellStyle name="Normal 3 19 10 9" xfId="9901" xr:uid="{00000000-0005-0000-0000-0000A93E0000}"/>
    <cellStyle name="Normal 3 19 10 9 2" xfId="27467" xr:uid="{00000000-0005-0000-0000-0000AA3E0000}"/>
    <cellStyle name="Normal 3 19 11" xfId="9902" xr:uid="{00000000-0005-0000-0000-0000AB3E0000}"/>
    <cellStyle name="Normal 3 19 11 10" xfId="9903" xr:uid="{00000000-0005-0000-0000-0000AC3E0000}"/>
    <cellStyle name="Normal 3 19 11 10 2" xfId="27469" xr:uid="{00000000-0005-0000-0000-0000AD3E0000}"/>
    <cellStyle name="Normal 3 19 11 11" xfId="9904" xr:uid="{00000000-0005-0000-0000-0000AE3E0000}"/>
    <cellStyle name="Normal 3 19 11 11 2" xfId="27470" xr:uid="{00000000-0005-0000-0000-0000AF3E0000}"/>
    <cellStyle name="Normal 3 19 11 12" xfId="9905" xr:uid="{00000000-0005-0000-0000-0000B03E0000}"/>
    <cellStyle name="Normal 3 19 11 12 2" xfId="27471" xr:uid="{00000000-0005-0000-0000-0000B13E0000}"/>
    <cellStyle name="Normal 3 19 11 13" xfId="9906" xr:uid="{00000000-0005-0000-0000-0000B23E0000}"/>
    <cellStyle name="Normal 3 19 11 13 2" xfId="27472" xr:uid="{00000000-0005-0000-0000-0000B33E0000}"/>
    <cellStyle name="Normal 3 19 11 14" xfId="9907" xr:uid="{00000000-0005-0000-0000-0000B43E0000}"/>
    <cellStyle name="Normal 3 19 11 14 2" xfId="27473" xr:uid="{00000000-0005-0000-0000-0000B53E0000}"/>
    <cellStyle name="Normal 3 19 11 15" xfId="27468" xr:uid="{00000000-0005-0000-0000-0000B63E0000}"/>
    <cellStyle name="Normal 3 19 11 2" xfId="9908" xr:uid="{00000000-0005-0000-0000-0000B73E0000}"/>
    <cellStyle name="Normal 3 19 11 2 2" xfId="27474" xr:uid="{00000000-0005-0000-0000-0000B83E0000}"/>
    <cellStyle name="Normal 3 19 11 3" xfId="9909" xr:uid="{00000000-0005-0000-0000-0000B93E0000}"/>
    <cellStyle name="Normal 3 19 11 3 2" xfId="27475" xr:uid="{00000000-0005-0000-0000-0000BA3E0000}"/>
    <cellStyle name="Normal 3 19 11 4" xfId="9910" xr:uid="{00000000-0005-0000-0000-0000BB3E0000}"/>
    <cellStyle name="Normal 3 19 11 4 2" xfId="27476" xr:uid="{00000000-0005-0000-0000-0000BC3E0000}"/>
    <cellStyle name="Normal 3 19 11 5" xfId="9911" xr:uid="{00000000-0005-0000-0000-0000BD3E0000}"/>
    <cellStyle name="Normal 3 19 11 5 2" xfId="27477" xr:uid="{00000000-0005-0000-0000-0000BE3E0000}"/>
    <cellStyle name="Normal 3 19 11 6" xfId="9912" xr:uid="{00000000-0005-0000-0000-0000BF3E0000}"/>
    <cellStyle name="Normal 3 19 11 6 2" xfId="27478" xr:uid="{00000000-0005-0000-0000-0000C03E0000}"/>
    <cellStyle name="Normal 3 19 11 7" xfId="9913" xr:uid="{00000000-0005-0000-0000-0000C13E0000}"/>
    <cellStyle name="Normal 3 19 11 7 2" xfId="27479" xr:uid="{00000000-0005-0000-0000-0000C23E0000}"/>
    <cellStyle name="Normal 3 19 11 8" xfId="9914" xr:uid="{00000000-0005-0000-0000-0000C33E0000}"/>
    <cellStyle name="Normal 3 19 11 8 2" xfId="27480" xr:uid="{00000000-0005-0000-0000-0000C43E0000}"/>
    <cellStyle name="Normal 3 19 11 9" xfId="9915" xr:uid="{00000000-0005-0000-0000-0000C53E0000}"/>
    <cellStyle name="Normal 3 19 11 9 2" xfId="27481" xr:uid="{00000000-0005-0000-0000-0000C63E0000}"/>
    <cellStyle name="Normal 3 19 12" xfId="9916" xr:uid="{00000000-0005-0000-0000-0000C73E0000}"/>
    <cellStyle name="Normal 3 19 12 10" xfId="9917" xr:uid="{00000000-0005-0000-0000-0000C83E0000}"/>
    <cellStyle name="Normal 3 19 12 10 2" xfId="27483" xr:uid="{00000000-0005-0000-0000-0000C93E0000}"/>
    <cellStyle name="Normal 3 19 12 11" xfId="9918" xr:uid="{00000000-0005-0000-0000-0000CA3E0000}"/>
    <cellStyle name="Normal 3 19 12 11 2" xfId="27484" xr:uid="{00000000-0005-0000-0000-0000CB3E0000}"/>
    <cellStyle name="Normal 3 19 12 12" xfId="9919" xr:uid="{00000000-0005-0000-0000-0000CC3E0000}"/>
    <cellStyle name="Normal 3 19 12 12 2" xfId="27485" xr:uid="{00000000-0005-0000-0000-0000CD3E0000}"/>
    <cellStyle name="Normal 3 19 12 13" xfId="9920" xr:uid="{00000000-0005-0000-0000-0000CE3E0000}"/>
    <cellStyle name="Normal 3 19 12 13 2" xfId="27486" xr:uid="{00000000-0005-0000-0000-0000CF3E0000}"/>
    <cellStyle name="Normal 3 19 12 14" xfId="9921" xr:uid="{00000000-0005-0000-0000-0000D03E0000}"/>
    <cellStyle name="Normal 3 19 12 14 2" xfId="27487" xr:uid="{00000000-0005-0000-0000-0000D13E0000}"/>
    <cellStyle name="Normal 3 19 12 15" xfId="27482" xr:uid="{00000000-0005-0000-0000-0000D23E0000}"/>
    <cellStyle name="Normal 3 19 12 2" xfId="9922" xr:uid="{00000000-0005-0000-0000-0000D33E0000}"/>
    <cellStyle name="Normal 3 19 12 2 2" xfId="27488" xr:uid="{00000000-0005-0000-0000-0000D43E0000}"/>
    <cellStyle name="Normal 3 19 12 3" xfId="9923" xr:uid="{00000000-0005-0000-0000-0000D53E0000}"/>
    <cellStyle name="Normal 3 19 12 3 2" xfId="27489" xr:uid="{00000000-0005-0000-0000-0000D63E0000}"/>
    <cellStyle name="Normal 3 19 12 4" xfId="9924" xr:uid="{00000000-0005-0000-0000-0000D73E0000}"/>
    <cellStyle name="Normal 3 19 12 4 2" xfId="27490" xr:uid="{00000000-0005-0000-0000-0000D83E0000}"/>
    <cellStyle name="Normal 3 19 12 5" xfId="9925" xr:uid="{00000000-0005-0000-0000-0000D93E0000}"/>
    <cellStyle name="Normal 3 19 12 5 2" xfId="27491" xr:uid="{00000000-0005-0000-0000-0000DA3E0000}"/>
    <cellStyle name="Normal 3 19 12 6" xfId="9926" xr:uid="{00000000-0005-0000-0000-0000DB3E0000}"/>
    <cellStyle name="Normal 3 19 12 6 2" xfId="27492" xr:uid="{00000000-0005-0000-0000-0000DC3E0000}"/>
    <cellStyle name="Normal 3 19 12 7" xfId="9927" xr:uid="{00000000-0005-0000-0000-0000DD3E0000}"/>
    <cellStyle name="Normal 3 19 12 7 2" xfId="27493" xr:uid="{00000000-0005-0000-0000-0000DE3E0000}"/>
    <cellStyle name="Normal 3 19 12 8" xfId="9928" xr:uid="{00000000-0005-0000-0000-0000DF3E0000}"/>
    <cellStyle name="Normal 3 19 12 8 2" xfId="27494" xr:uid="{00000000-0005-0000-0000-0000E03E0000}"/>
    <cellStyle name="Normal 3 19 12 9" xfId="9929" xr:uid="{00000000-0005-0000-0000-0000E13E0000}"/>
    <cellStyle name="Normal 3 19 12 9 2" xfId="27495" xr:uid="{00000000-0005-0000-0000-0000E23E0000}"/>
    <cellStyle name="Normal 3 19 13" xfId="9930" xr:uid="{00000000-0005-0000-0000-0000E33E0000}"/>
    <cellStyle name="Normal 3 19 13 10" xfId="9931" xr:uid="{00000000-0005-0000-0000-0000E43E0000}"/>
    <cellStyle name="Normal 3 19 13 10 2" xfId="27497" xr:uid="{00000000-0005-0000-0000-0000E53E0000}"/>
    <cellStyle name="Normal 3 19 13 11" xfId="9932" xr:uid="{00000000-0005-0000-0000-0000E63E0000}"/>
    <cellStyle name="Normal 3 19 13 11 2" xfId="27498" xr:uid="{00000000-0005-0000-0000-0000E73E0000}"/>
    <cellStyle name="Normal 3 19 13 12" xfId="9933" xr:uid="{00000000-0005-0000-0000-0000E83E0000}"/>
    <cellStyle name="Normal 3 19 13 12 2" xfId="27499" xr:uid="{00000000-0005-0000-0000-0000E93E0000}"/>
    <cellStyle name="Normal 3 19 13 13" xfId="9934" xr:uid="{00000000-0005-0000-0000-0000EA3E0000}"/>
    <cellStyle name="Normal 3 19 13 13 2" xfId="27500" xr:uid="{00000000-0005-0000-0000-0000EB3E0000}"/>
    <cellStyle name="Normal 3 19 13 14" xfId="9935" xr:uid="{00000000-0005-0000-0000-0000EC3E0000}"/>
    <cellStyle name="Normal 3 19 13 14 2" xfId="27501" xr:uid="{00000000-0005-0000-0000-0000ED3E0000}"/>
    <cellStyle name="Normal 3 19 13 15" xfId="27496" xr:uid="{00000000-0005-0000-0000-0000EE3E0000}"/>
    <cellStyle name="Normal 3 19 13 2" xfId="9936" xr:uid="{00000000-0005-0000-0000-0000EF3E0000}"/>
    <cellStyle name="Normal 3 19 13 2 2" xfId="27502" xr:uid="{00000000-0005-0000-0000-0000F03E0000}"/>
    <cellStyle name="Normal 3 19 13 3" xfId="9937" xr:uid="{00000000-0005-0000-0000-0000F13E0000}"/>
    <cellStyle name="Normal 3 19 13 3 2" xfId="27503" xr:uid="{00000000-0005-0000-0000-0000F23E0000}"/>
    <cellStyle name="Normal 3 19 13 4" xfId="9938" xr:uid="{00000000-0005-0000-0000-0000F33E0000}"/>
    <cellStyle name="Normal 3 19 13 4 2" xfId="27504" xr:uid="{00000000-0005-0000-0000-0000F43E0000}"/>
    <cellStyle name="Normal 3 19 13 5" xfId="9939" xr:uid="{00000000-0005-0000-0000-0000F53E0000}"/>
    <cellStyle name="Normal 3 19 13 5 2" xfId="27505" xr:uid="{00000000-0005-0000-0000-0000F63E0000}"/>
    <cellStyle name="Normal 3 19 13 6" xfId="9940" xr:uid="{00000000-0005-0000-0000-0000F73E0000}"/>
    <cellStyle name="Normal 3 19 13 6 2" xfId="27506" xr:uid="{00000000-0005-0000-0000-0000F83E0000}"/>
    <cellStyle name="Normal 3 19 13 7" xfId="9941" xr:uid="{00000000-0005-0000-0000-0000F93E0000}"/>
    <cellStyle name="Normal 3 19 13 7 2" xfId="27507" xr:uid="{00000000-0005-0000-0000-0000FA3E0000}"/>
    <cellStyle name="Normal 3 19 13 8" xfId="9942" xr:uid="{00000000-0005-0000-0000-0000FB3E0000}"/>
    <cellStyle name="Normal 3 19 13 8 2" xfId="27508" xr:uid="{00000000-0005-0000-0000-0000FC3E0000}"/>
    <cellStyle name="Normal 3 19 13 9" xfId="9943" xr:uid="{00000000-0005-0000-0000-0000FD3E0000}"/>
    <cellStyle name="Normal 3 19 13 9 2" xfId="27509" xr:uid="{00000000-0005-0000-0000-0000FE3E0000}"/>
    <cellStyle name="Normal 3 19 14" xfId="9944" xr:uid="{00000000-0005-0000-0000-0000FF3E0000}"/>
    <cellStyle name="Normal 3 19 14 10" xfId="9945" xr:uid="{00000000-0005-0000-0000-0000003F0000}"/>
    <cellStyle name="Normal 3 19 14 10 2" xfId="27511" xr:uid="{00000000-0005-0000-0000-0000013F0000}"/>
    <cellStyle name="Normal 3 19 14 11" xfId="9946" xr:uid="{00000000-0005-0000-0000-0000023F0000}"/>
    <cellStyle name="Normal 3 19 14 11 2" xfId="27512" xr:uid="{00000000-0005-0000-0000-0000033F0000}"/>
    <cellStyle name="Normal 3 19 14 12" xfId="9947" xr:uid="{00000000-0005-0000-0000-0000043F0000}"/>
    <cellStyle name="Normal 3 19 14 12 2" xfId="27513" xr:uid="{00000000-0005-0000-0000-0000053F0000}"/>
    <cellStyle name="Normal 3 19 14 13" xfId="9948" xr:uid="{00000000-0005-0000-0000-0000063F0000}"/>
    <cellStyle name="Normal 3 19 14 13 2" xfId="27514" xr:uid="{00000000-0005-0000-0000-0000073F0000}"/>
    <cellStyle name="Normal 3 19 14 14" xfId="9949" xr:uid="{00000000-0005-0000-0000-0000083F0000}"/>
    <cellStyle name="Normal 3 19 14 14 2" xfId="27515" xr:uid="{00000000-0005-0000-0000-0000093F0000}"/>
    <cellStyle name="Normal 3 19 14 15" xfId="27510" xr:uid="{00000000-0005-0000-0000-00000A3F0000}"/>
    <cellStyle name="Normal 3 19 14 2" xfId="9950" xr:uid="{00000000-0005-0000-0000-00000B3F0000}"/>
    <cellStyle name="Normal 3 19 14 2 2" xfId="27516" xr:uid="{00000000-0005-0000-0000-00000C3F0000}"/>
    <cellStyle name="Normal 3 19 14 3" xfId="9951" xr:uid="{00000000-0005-0000-0000-00000D3F0000}"/>
    <cellStyle name="Normal 3 19 14 3 2" xfId="27517" xr:uid="{00000000-0005-0000-0000-00000E3F0000}"/>
    <cellStyle name="Normal 3 19 14 4" xfId="9952" xr:uid="{00000000-0005-0000-0000-00000F3F0000}"/>
    <cellStyle name="Normal 3 19 14 4 2" xfId="27518" xr:uid="{00000000-0005-0000-0000-0000103F0000}"/>
    <cellStyle name="Normal 3 19 14 5" xfId="9953" xr:uid="{00000000-0005-0000-0000-0000113F0000}"/>
    <cellStyle name="Normal 3 19 14 5 2" xfId="27519" xr:uid="{00000000-0005-0000-0000-0000123F0000}"/>
    <cellStyle name="Normal 3 19 14 6" xfId="9954" xr:uid="{00000000-0005-0000-0000-0000133F0000}"/>
    <cellStyle name="Normal 3 19 14 6 2" xfId="27520" xr:uid="{00000000-0005-0000-0000-0000143F0000}"/>
    <cellStyle name="Normal 3 19 14 7" xfId="9955" xr:uid="{00000000-0005-0000-0000-0000153F0000}"/>
    <cellStyle name="Normal 3 19 14 7 2" xfId="27521" xr:uid="{00000000-0005-0000-0000-0000163F0000}"/>
    <cellStyle name="Normal 3 19 14 8" xfId="9956" xr:uid="{00000000-0005-0000-0000-0000173F0000}"/>
    <cellStyle name="Normal 3 19 14 8 2" xfId="27522" xr:uid="{00000000-0005-0000-0000-0000183F0000}"/>
    <cellStyle name="Normal 3 19 14 9" xfId="9957" xr:uid="{00000000-0005-0000-0000-0000193F0000}"/>
    <cellStyle name="Normal 3 19 14 9 2" xfId="27523" xr:uid="{00000000-0005-0000-0000-00001A3F0000}"/>
    <cellStyle name="Normal 3 19 15" xfId="9958" xr:uid="{00000000-0005-0000-0000-00001B3F0000}"/>
    <cellStyle name="Normal 3 19 15 2" xfId="27524" xr:uid="{00000000-0005-0000-0000-00001C3F0000}"/>
    <cellStyle name="Normal 3 19 16" xfId="9959" xr:uid="{00000000-0005-0000-0000-00001D3F0000}"/>
    <cellStyle name="Normal 3 19 16 2" xfId="27525" xr:uid="{00000000-0005-0000-0000-00001E3F0000}"/>
    <cellStyle name="Normal 3 19 17" xfId="9960" xr:uid="{00000000-0005-0000-0000-00001F3F0000}"/>
    <cellStyle name="Normal 3 19 17 2" xfId="27526" xr:uid="{00000000-0005-0000-0000-0000203F0000}"/>
    <cellStyle name="Normal 3 19 18" xfId="9961" xr:uid="{00000000-0005-0000-0000-0000213F0000}"/>
    <cellStyle name="Normal 3 19 18 2" xfId="27527" xr:uid="{00000000-0005-0000-0000-0000223F0000}"/>
    <cellStyle name="Normal 3 19 19" xfId="9962" xr:uid="{00000000-0005-0000-0000-0000233F0000}"/>
    <cellStyle name="Normal 3 19 19 2" xfId="27528" xr:uid="{00000000-0005-0000-0000-0000243F0000}"/>
    <cellStyle name="Normal 3 19 2" xfId="9963" xr:uid="{00000000-0005-0000-0000-0000253F0000}"/>
    <cellStyle name="Normal 3 19 20" xfId="9964" xr:uid="{00000000-0005-0000-0000-0000263F0000}"/>
    <cellStyle name="Normal 3 19 20 2" xfId="27529" xr:uid="{00000000-0005-0000-0000-0000273F0000}"/>
    <cellStyle name="Normal 3 19 21" xfId="9965" xr:uid="{00000000-0005-0000-0000-0000283F0000}"/>
    <cellStyle name="Normal 3 19 21 2" xfId="27530" xr:uid="{00000000-0005-0000-0000-0000293F0000}"/>
    <cellStyle name="Normal 3 19 22" xfId="9966" xr:uid="{00000000-0005-0000-0000-00002A3F0000}"/>
    <cellStyle name="Normal 3 19 22 2" xfId="27531" xr:uid="{00000000-0005-0000-0000-00002B3F0000}"/>
    <cellStyle name="Normal 3 19 23" xfId="9967" xr:uid="{00000000-0005-0000-0000-00002C3F0000}"/>
    <cellStyle name="Normal 3 19 23 2" xfId="27532" xr:uid="{00000000-0005-0000-0000-00002D3F0000}"/>
    <cellStyle name="Normal 3 19 24" xfId="9968" xr:uid="{00000000-0005-0000-0000-00002E3F0000}"/>
    <cellStyle name="Normal 3 19 24 2" xfId="27533" xr:uid="{00000000-0005-0000-0000-00002F3F0000}"/>
    <cellStyle name="Normal 3 19 25" xfId="9969" xr:uid="{00000000-0005-0000-0000-0000303F0000}"/>
    <cellStyle name="Normal 3 19 25 2" xfId="27534" xr:uid="{00000000-0005-0000-0000-0000313F0000}"/>
    <cellStyle name="Normal 3 19 26" xfId="9970" xr:uid="{00000000-0005-0000-0000-0000323F0000}"/>
    <cellStyle name="Normal 3 19 26 2" xfId="27535" xr:uid="{00000000-0005-0000-0000-0000333F0000}"/>
    <cellStyle name="Normal 3 19 27" xfId="9971" xr:uid="{00000000-0005-0000-0000-0000343F0000}"/>
    <cellStyle name="Normal 3 19 27 2" xfId="27536" xr:uid="{00000000-0005-0000-0000-0000353F0000}"/>
    <cellStyle name="Normal 3 19 28" xfId="27453" xr:uid="{00000000-0005-0000-0000-0000363F0000}"/>
    <cellStyle name="Normal 3 19 3" xfId="9972" xr:uid="{00000000-0005-0000-0000-0000373F0000}"/>
    <cellStyle name="Normal 3 19 4" xfId="9973" xr:uid="{00000000-0005-0000-0000-0000383F0000}"/>
    <cellStyle name="Normal 3 19 5" xfId="9974" xr:uid="{00000000-0005-0000-0000-0000393F0000}"/>
    <cellStyle name="Normal 3 19 6" xfId="9975" xr:uid="{00000000-0005-0000-0000-00003A3F0000}"/>
    <cellStyle name="Normal 3 19 6 10" xfId="9976" xr:uid="{00000000-0005-0000-0000-00003B3F0000}"/>
    <cellStyle name="Normal 3 19 6 10 2" xfId="27538" xr:uid="{00000000-0005-0000-0000-00003C3F0000}"/>
    <cellStyle name="Normal 3 19 6 11" xfId="9977" xr:uid="{00000000-0005-0000-0000-00003D3F0000}"/>
    <cellStyle name="Normal 3 19 6 11 2" xfId="27539" xr:uid="{00000000-0005-0000-0000-00003E3F0000}"/>
    <cellStyle name="Normal 3 19 6 12" xfId="9978" xr:uid="{00000000-0005-0000-0000-00003F3F0000}"/>
    <cellStyle name="Normal 3 19 6 12 2" xfId="27540" xr:uid="{00000000-0005-0000-0000-0000403F0000}"/>
    <cellStyle name="Normal 3 19 6 13" xfId="9979" xr:uid="{00000000-0005-0000-0000-0000413F0000}"/>
    <cellStyle name="Normal 3 19 6 13 2" xfId="27541" xr:uid="{00000000-0005-0000-0000-0000423F0000}"/>
    <cellStyle name="Normal 3 19 6 14" xfId="9980" xr:uid="{00000000-0005-0000-0000-0000433F0000}"/>
    <cellStyle name="Normal 3 19 6 14 2" xfId="27542" xr:uid="{00000000-0005-0000-0000-0000443F0000}"/>
    <cellStyle name="Normal 3 19 6 15" xfId="9981" xr:uid="{00000000-0005-0000-0000-0000453F0000}"/>
    <cellStyle name="Normal 3 19 6 15 2" xfId="27543" xr:uid="{00000000-0005-0000-0000-0000463F0000}"/>
    <cellStyle name="Normal 3 19 6 16" xfId="27537" xr:uid="{00000000-0005-0000-0000-0000473F0000}"/>
    <cellStyle name="Normal 3 19 6 2" xfId="9982" xr:uid="{00000000-0005-0000-0000-0000483F0000}"/>
    <cellStyle name="Normal 3 19 6 2 10" xfId="9983" xr:uid="{00000000-0005-0000-0000-0000493F0000}"/>
    <cellStyle name="Normal 3 19 6 2 10 2" xfId="27545" xr:uid="{00000000-0005-0000-0000-00004A3F0000}"/>
    <cellStyle name="Normal 3 19 6 2 11" xfId="9984" xr:uid="{00000000-0005-0000-0000-00004B3F0000}"/>
    <cellStyle name="Normal 3 19 6 2 11 2" xfId="27546" xr:uid="{00000000-0005-0000-0000-00004C3F0000}"/>
    <cellStyle name="Normal 3 19 6 2 12" xfId="9985" xr:uid="{00000000-0005-0000-0000-00004D3F0000}"/>
    <cellStyle name="Normal 3 19 6 2 12 2" xfId="27547" xr:uid="{00000000-0005-0000-0000-00004E3F0000}"/>
    <cellStyle name="Normal 3 19 6 2 13" xfId="9986" xr:uid="{00000000-0005-0000-0000-00004F3F0000}"/>
    <cellStyle name="Normal 3 19 6 2 13 2" xfId="27548" xr:uid="{00000000-0005-0000-0000-0000503F0000}"/>
    <cellStyle name="Normal 3 19 6 2 14" xfId="9987" xr:uid="{00000000-0005-0000-0000-0000513F0000}"/>
    <cellStyle name="Normal 3 19 6 2 14 2" xfId="27549" xr:uid="{00000000-0005-0000-0000-0000523F0000}"/>
    <cellStyle name="Normal 3 19 6 2 15" xfId="27544" xr:uid="{00000000-0005-0000-0000-0000533F0000}"/>
    <cellStyle name="Normal 3 19 6 2 2" xfId="9988" xr:uid="{00000000-0005-0000-0000-0000543F0000}"/>
    <cellStyle name="Normal 3 19 6 2 2 2" xfId="27550" xr:uid="{00000000-0005-0000-0000-0000553F0000}"/>
    <cellStyle name="Normal 3 19 6 2 3" xfId="9989" xr:uid="{00000000-0005-0000-0000-0000563F0000}"/>
    <cellStyle name="Normal 3 19 6 2 3 2" xfId="27551" xr:uid="{00000000-0005-0000-0000-0000573F0000}"/>
    <cellStyle name="Normal 3 19 6 2 4" xfId="9990" xr:uid="{00000000-0005-0000-0000-0000583F0000}"/>
    <cellStyle name="Normal 3 19 6 2 4 2" xfId="27552" xr:uid="{00000000-0005-0000-0000-0000593F0000}"/>
    <cellStyle name="Normal 3 19 6 2 5" xfId="9991" xr:uid="{00000000-0005-0000-0000-00005A3F0000}"/>
    <cellStyle name="Normal 3 19 6 2 5 2" xfId="27553" xr:uid="{00000000-0005-0000-0000-00005B3F0000}"/>
    <cellStyle name="Normal 3 19 6 2 6" xfId="9992" xr:uid="{00000000-0005-0000-0000-00005C3F0000}"/>
    <cellStyle name="Normal 3 19 6 2 6 2" xfId="27554" xr:uid="{00000000-0005-0000-0000-00005D3F0000}"/>
    <cellStyle name="Normal 3 19 6 2 7" xfId="9993" xr:uid="{00000000-0005-0000-0000-00005E3F0000}"/>
    <cellStyle name="Normal 3 19 6 2 7 2" xfId="27555" xr:uid="{00000000-0005-0000-0000-00005F3F0000}"/>
    <cellStyle name="Normal 3 19 6 2 8" xfId="9994" xr:uid="{00000000-0005-0000-0000-0000603F0000}"/>
    <cellStyle name="Normal 3 19 6 2 8 2" xfId="27556" xr:uid="{00000000-0005-0000-0000-0000613F0000}"/>
    <cellStyle name="Normal 3 19 6 2 9" xfId="9995" xr:uid="{00000000-0005-0000-0000-0000623F0000}"/>
    <cellStyle name="Normal 3 19 6 2 9 2" xfId="27557" xr:uid="{00000000-0005-0000-0000-0000633F0000}"/>
    <cellStyle name="Normal 3 19 6 3" xfId="9996" xr:uid="{00000000-0005-0000-0000-0000643F0000}"/>
    <cellStyle name="Normal 3 19 6 3 2" xfId="27558" xr:uid="{00000000-0005-0000-0000-0000653F0000}"/>
    <cellStyle name="Normal 3 19 6 4" xfId="9997" xr:uid="{00000000-0005-0000-0000-0000663F0000}"/>
    <cellStyle name="Normal 3 19 6 4 2" xfId="27559" xr:uid="{00000000-0005-0000-0000-0000673F0000}"/>
    <cellStyle name="Normal 3 19 6 5" xfId="9998" xr:uid="{00000000-0005-0000-0000-0000683F0000}"/>
    <cellStyle name="Normal 3 19 6 5 2" xfId="27560" xr:uid="{00000000-0005-0000-0000-0000693F0000}"/>
    <cellStyle name="Normal 3 19 6 6" xfId="9999" xr:uid="{00000000-0005-0000-0000-00006A3F0000}"/>
    <cellStyle name="Normal 3 19 6 6 2" xfId="27561" xr:uid="{00000000-0005-0000-0000-00006B3F0000}"/>
    <cellStyle name="Normal 3 19 6 7" xfId="10000" xr:uid="{00000000-0005-0000-0000-00006C3F0000}"/>
    <cellStyle name="Normal 3 19 6 7 2" xfId="27562" xr:uid="{00000000-0005-0000-0000-00006D3F0000}"/>
    <cellStyle name="Normal 3 19 6 8" xfId="10001" xr:uid="{00000000-0005-0000-0000-00006E3F0000}"/>
    <cellStyle name="Normal 3 19 6 8 2" xfId="27563" xr:uid="{00000000-0005-0000-0000-00006F3F0000}"/>
    <cellStyle name="Normal 3 19 6 9" xfId="10002" xr:uid="{00000000-0005-0000-0000-0000703F0000}"/>
    <cellStyle name="Normal 3 19 6 9 2" xfId="27564" xr:uid="{00000000-0005-0000-0000-0000713F0000}"/>
    <cellStyle name="Normal 3 19 7" xfId="10003" xr:uid="{00000000-0005-0000-0000-0000723F0000}"/>
    <cellStyle name="Normal 3 19 7 10" xfId="10004" xr:uid="{00000000-0005-0000-0000-0000733F0000}"/>
    <cellStyle name="Normal 3 19 7 10 2" xfId="27566" xr:uid="{00000000-0005-0000-0000-0000743F0000}"/>
    <cellStyle name="Normal 3 19 7 11" xfId="10005" xr:uid="{00000000-0005-0000-0000-0000753F0000}"/>
    <cellStyle name="Normal 3 19 7 11 2" xfId="27567" xr:uid="{00000000-0005-0000-0000-0000763F0000}"/>
    <cellStyle name="Normal 3 19 7 12" xfId="10006" xr:uid="{00000000-0005-0000-0000-0000773F0000}"/>
    <cellStyle name="Normal 3 19 7 12 2" xfId="27568" xr:uid="{00000000-0005-0000-0000-0000783F0000}"/>
    <cellStyle name="Normal 3 19 7 13" xfId="10007" xr:uid="{00000000-0005-0000-0000-0000793F0000}"/>
    <cellStyle name="Normal 3 19 7 13 2" xfId="27569" xr:uid="{00000000-0005-0000-0000-00007A3F0000}"/>
    <cellStyle name="Normal 3 19 7 14" xfId="10008" xr:uid="{00000000-0005-0000-0000-00007B3F0000}"/>
    <cellStyle name="Normal 3 19 7 14 2" xfId="27570" xr:uid="{00000000-0005-0000-0000-00007C3F0000}"/>
    <cellStyle name="Normal 3 19 7 15" xfId="10009" xr:uid="{00000000-0005-0000-0000-00007D3F0000}"/>
    <cellStyle name="Normal 3 19 7 15 2" xfId="27571" xr:uid="{00000000-0005-0000-0000-00007E3F0000}"/>
    <cellStyle name="Normal 3 19 7 16" xfId="27565" xr:uid="{00000000-0005-0000-0000-00007F3F0000}"/>
    <cellStyle name="Normal 3 19 7 2" xfId="10010" xr:uid="{00000000-0005-0000-0000-0000803F0000}"/>
    <cellStyle name="Normal 3 19 7 2 10" xfId="10011" xr:uid="{00000000-0005-0000-0000-0000813F0000}"/>
    <cellStyle name="Normal 3 19 7 2 10 2" xfId="27573" xr:uid="{00000000-0005-0000-0000-0000823F0000}"/>
    <cellStyle name="Normal 3 19 7 2 11" xfId="10012" xr:uid="{00000000-0005-0000-0000-0000833F0000}"/>
    <cellStyle name="Normal 3 19 7 2 11 2" xfId="27574" xr:uid="{00000000-0005-0000-0000-0000843F0000}"/>
    <cellStyle name="Normal 3 19 7 2 12" xfId="10013" xr:uid="{00000000-0005-0000-0000-0000853F0000}"/>
    <cellStyle name="Normal 3 19 7 2 12 2" xfId="27575" xr:uid="{00000000-0005-0000-0000-0000863F0000}"/>
    <cellStyle name="Normal 3 19 7 2 13" xfId="10014" xr:uid="{00000000-0005-0000-0000-0000873F0000}"/>
    <cellStyle name="Normal 3 19 7 2 13 2" xfId="27576" xr:uid="{00000000-0005-0000-0000-0000883F0000}"/>
    <cellStyle name="Normal 3 19 7 2 14" xfId="10015" xr:uid="{00000000-0005-0000-0000-0000893F0000}"/>
    <cellStyle name="Normal 3 19 7 2 14 2" xfId="27577" xr:uid="{00000000-0005-0000-0000-00008A3F0000}"/>
    <cellStyle name="Normal 3 19 7 2 15" xfId="27572" xr:uid="{00000000-0005-0000-0000-00008B3F0000}"/>
    <cellStyle name="Normal 3 19 7 2 2" xfId="10016" xr:uid="{00000000-0005-0000-0000-00008C3F0000}"/>
    <cellStyle name="Normal 3 19 7 2 2 2" xfId="27578" xr:uid="{00000000-0005-0000-0000-00008D3F0000}"/>
    <cellStyle name="Normal 3 19 7 2 3" xfId="10017" xr:uid="{00000000-0005-0000-0000-00008E3F0000}"/>
    <cellStyle name="Normal 3 19 7 2 3 2" xfId="27579" xr:uid="{00000000-0005-0000-0000-00008F3F0000}"/>
    <cellStyle name="Normal 3 19 7 2 4" xfId="10018" xr:uid="{00000000-0005-0000-0000-0000903F0000}"/>
    <cellStyle name="Normal 3 19 7 2 4 2" xfId="27580" xr:uid="{00000000-0005-0000-0000-0000913F0000}"/>
    <cellStyle name="Normal 3 19 7 2 5" xfId="10019" xr:uid="{00000000-0005-0000-0000-0000923F0000}"/>
    <cellStyle name="Normal 3 19 7 2 5 2" xfId="27581" xr:uid="{00000000-0005-0000-0000-0000933F0000}"/>
    <cellStyle name="Normal 3 19 7 2 6" xfId="10020" xr:uid="{00000000-0005-0000-0000-0000943F0000}"/>
    <cellStyle name="Normal 3 19 7 2 6 2" xfId="27582" xr:uid="{00000000-0005-0000-0000-0000953F0000}"/>
    <cellStyle name="Normal 3 19 7 2 7" xfId="10021" xr:uid="{00000000-0005-0000-0000-0000963F0000}"/>
    <cellStyle name="Normal 3 19 7 2 7 2" xfId="27583" xr:uid="{00000000-0005-0000-0000-0000973F0000}"/>
    <cellStyle name="Normal 3 19 7 2 8" xfId="10022" xr:uid="{00000000-0005-0000-0000-0000983F0000}"/>
    <cellStyle name="Normal 3 19 7 2 8 2" xfId="27584" xr:uid="{00000000-0005-0000-0000-0000993F0000}"/>
    <cellStyle name="Normal 3 19 7 2 9" xfId="10023" xr:uid="{00000000-0005-0000-0000-00009A3F0000}"/>
    <cellStyle name="Normal 3 19 7 2 9 2" xfId="27585" xr:uid="{00000000-0005-0000-0000-00009B3F0000}"/>
    <cellStyle name="Normal 3 19 7 3" xfId="10024" xr:uid="{00000000-0005-0000-0000-00009C3F0000}"/>
    <cellStyle name="Normal 3 19 7 3 2" xfId="27586" xr:uid="{00000000-0005-0000-0000-00009D3F0000}"/>
    <cellStyle name="Normal 3 19 7 4" xfId="10025" xr:uid="{00000000-0005-0000-0000-00009E3F0000}"/>
    <cellStyle name="Normal 3 19 7 4 2" xfId="27587" xr:uid="{00000000-0005-0000-0000-00009F3F0000}"/>
    <cellStyle name="Normal 3 19 7 5" xfId="10026" xr:uid="{00000000-0005-0000-0000-0000A03F0000}"/>
    <cellStyle name="Normal 3 19 7 5 2" xfId="27588" xr:uid="{00000000-0005-0000-0000-0000A13F0000}"/>
    <cellStyle name="Normal 3 19 7 6" xfId="10027" xr:uid="{00000000-0005-0000-0000-0000A23F0000}"/>
    <cellStyle name="Normal 3 19 7 6 2" xfId="27589" xr:uid="{00000000-0005-0000-0000-0000A33F0000}"/>
    <cellStyle name="Normal 3 19 7 7" xfId="10028" xr:uid="{00000000-0005-0000-0000-0000A43F0000}"/>
    <cellStyle name="Normal 3 19 7 7 2" xfId="27590" xr:uid="{00000000-0005-0000-0000-0000A53F0000}"/>
    <cellStyle name="Normal 3 19 7 8" xfId="10029" xr:uid="{00000000-0005-0000-0000-0000A63F0000}"/>
    <cellStyle name="Normal 3 19 7 8 2" xfId="27591" xr:uid="{00000000-0005-0000-0000-0000A73F0000}"/>
    <cellStyle name="Normal 3 19 7 9" xfId="10030" xr:uid="{00000000-0005-0000-0000-0000A83F0000}"/>
    <cellStyle name="Normal 3 19 7 9 2" xfId="27592" xr:uid="{00000000-0005-0000-0000-0000A93F0000}"/>
    <cellStyle name="Normal 3 19 8" xfId="10031" xr:uid="{00000000-0005-0000-0000-0000AA3F0000}"/>
    <cellStyle name="Normal 3 19 8 10" xfId="10032" xr:uid="{00000000-0005-0000-0000-0000AB3F0000}"/>
    <cellStyle name="Normal 3 19 8 10 2" xfId="27594" xr:uid="{00000000-0005-0000-0000-0000AC3F0000}"/>
    <cellStyle name="Normal 3 19 8 11" xfId="10033" xr:uid="{00000000-0005-0000-0000-0000AD3F0000}"/>
    <cellStyle name="Normal 3 19 8 11 2" xfId="27595" xr:uid="{00000000-0005-0000-0000-0000AE3F0000}"/>
    <cellStyle name="Normal 3 19 8 12" xfId="10034" xr:uid="{00000000-0005-0000-0000-0000AF3F0000}"/>
    <cellStyle name="Normal 3 19 8 12 2" xfId="27596" xr:uid="{00000000-0005-0000-0000-0000B03F0000}"/>
    <cellStyle name="Normal 3 19 8 13" xfId="10035" xr:uid="{00000000-0005-0000-0000-0000B13F0000}"/>
    <cellStyle name="Normal 3 19 8 13 2" xfId="27597" xr:uid="{00000000-0005-0000-0000-0000B23F0000}"/>
    <cellStyle name="Normal 3 19 8 14" xfId="10036" xr:uid="{00000000-0005-0000-0000-0000B33F0000}"/>
    <cellStyle name="Normal 3 19 8 14 2" xfId="27598" xr:uid="{00000000-0005-0000-0000-0000B43F0000}"/>
    <cellStyle name="Normal 3 19 8 15" xfId="10037" xr:uid="{00000000-0005-0000-0000-0000B53F0000}"/>
    <cellStyle name="Normal 3 19 8 15 2" xfId="27599" xr:uid="{00000000-0005-0000-0000-0000B63F0000}"/>
    <cellStyle name="Normal 3 19 8 16" xfId="27593" xr:uid="{00000000-0005-0000-0000-0000B73F0000}"/>
    <cellStyle name="Normal 3 19 8 2" xfId="10038" xr:uid="{00000000-0005-0000-0000-0000B83F0000}"/>
    <cellStyle name="Normal 3 19 8 2 10" xfId="10039" xr:uid="{00000000-0005-0000-0000-0000B93F0000}"/>
    <cellStyle name="Normal 3 19 8 2 10 2" xfId="27601" xr:uid="{00000000-0005-0000-0000-0000BA3F0000}"/>
    <cellStyle name="Normal 3 19 8 2 11" xfId="10040" xr:uid="{00000000-0005-0000-0000-0000BB3F0000}"/>
    <cellStyle name="Normal 3 19 8 2 11 2" xfId="27602" xr:uid="{00000000-0005-0000-0000-0000BC3F0000}"/>
    <cellStyle name="Normal 3 19 8 2 12" xfId="10041" xr:uid="{00000000-0005-0000-0000-0000BD3F0000}"/>
    <cellStyle name="Normal 3 19 8 2 12 2" xfId="27603" xr:uid="{00000000-0005-0000-0000-0000BE3F0000}"/>
    <cellStyle name="Normal 3 19 8 2 13" xfId="10042" xr:uid="{00000000-0005-0000-0000-0000BF3F0000}"/>
    <cellStyle name="Normal 3 19 8 2 13 2" xfId="27604" xr:uid="{00000000-0005-0000-0000-0000C03F0000}"/>
    <cellStyle name="Normal 3 19 8 2 14" xfId="10043" xr:uid="{00000000-0005-0000-0000-0000C13F0000}"/>
    <cellStyle name="Normal 3 19 8 2 14 2" xfId="27605" xr:uid="{00000000-0005-0000-0000-0000C23F0000}"/>
    <cellStyle name="Normal 3 19 8 2 15" xfId="27600" xr:uid="{00000000-0005-0000-0000-0000C33F0000}"/>
    <cellStyle name="Normal 3 19 8 2 2" xfId="10044" xr:uid="{00000000-0005-0000-0000-0000C43F0000}"/>
    <cellStyle name="Normal 3 19 8 2 2 2" xfId="27606" xr:uid="{00000000-0005-0000-0000-0000C53F0000}"/>
    <cellStyle name="Normal 3 19 8 2 3" xfId="10045" xr:uid="{00000000-0005-0000-0000-0000C63F0000}"/>
    <cellStyle name="Normal 3 19 8 2 3 2" xfId="27607" xr:uid="{00000000-0005-0000-0000-0000C73F0000}"/>
    <cellStyle name="Normal 3 19 8 2 4" xfId="10046" xr:uid="{00000000-0005-0000-0000-0000C83F0000}"/>
    <cellStyle name="Normal 3 19 8 2 4 2" xfId="27608" xr:uid="{00000000-0005-0000-0000-0000C93F0000}"/>
    <cellStyle name="Normal 3 19 8 2 5" xfId="10047" xr:uid="{00000000-0005-0000-0000-0000CA3F0000}"/>
    <cellStyle name="Normal 3 19 8 2 5 2" xfId="27609" xr:uid="{00000000-0005-0000-0000-0000CB3F0000}"/>
    <cellStyle name="Normal 3 19 8 2 6" xfId="10048" xr:uid="{00000000-0005-0000-0000-0000CC3F0000}"/>
    <cellStyle name="Normal 3 19 8 2 6 2" xfId="27610" xr:uid="{00000000-0005-0000-0000-0000CD3F0000}"/>
    <cellStyle name="Normal 3 19 8 2 7" xfId="10049" xr:uid="{00000000-0005-0000-0000-0000CE3F0000}"/>
    <cellStyle name="Normal 3 19 8 2 7 2" xfId="27611" xr:uid="{00000000-0005-0000-0000-0000CF3F0000}"/>
    <cellStyle name="Normal 3 19 8 2 8" xfId="10050" xr:uid="{00000000-0005-0000-0000-0000D03F0000}"/>
    <cellStyle name="Normal 3 19 8 2 8 2" xfId="27612" xr:uid="{00000000-0005-0000-0000-0000D13F0000}"/>
    <cellStyle name="Normal 3 19 8 2 9" xfId="10051" xr:uid="{00000000-0005-0000-0000-0000D23F0000}"/>
    <cellStyle name="Normal 3 19 8 2 9 2" xfId="27613" xr:uid="{00000000-0005-0000-0000-0000D33F0000}"/>
    <cellStyle name="Normal 3 19 8 3" xfId="10052" xr:uid="{00000000-0005-0000-0000-0000D43F0000}"/>
    <cellStyle name="Normal 3 19 8 3 2" xfId="27614" xr:uid="{00000000-0005-0000-0000-0000D53F0000}"/>
    <cellStyle name="Normal 3 19 8 4" xfId="10053" xr:uid="{00000000-0005-0000-0000-0000D63F0000}"/>
    <cellStyle name="Normal 3 19 8 4 2" xfId="27615" xr:uid="{00000000-0005-0000-0000-0000D73F0000}"/>
    <cellStyle name="Normal 3 19 8 5" xfId="10054" xr:uid="{00000000-0005-0000-0000-0000D83F0000}"/>
    <cellStyle name="Normal 3 19 8 5 2" xfId="27616" xr:uid="{00000000-0005-0000-0000-0000D93F0000}"/>
    <cellStyle name="Normal 3 19 8 6" xfId="10055" xr:uid="{00000000-0005-0000-0000-0000DA3F0000}"/>
    <cellStyle name="Normal 3 19 8 6 2" xfId="27617" xr:uid="{00000000-0005-0000-0000-0000DB3F0000}"/>
    <cellStyle name="Normal 3 19 8 7" xfId="10056" xr:uid="{00000000-0005-0000-0000-0000DC3F0000}"/>
    <cellStyle name="Normal 3 19 8 7 2" xfId="27618" xr:uid="{00000000-0005-0000-0000-0000DD3F0000}"/>
    <cellStyle name="Normal 3 19 8 8" xfId="10057" xr:uid="{00000000-0005-0000-0000-0000DE3F0000}"/>
    <cellStyle name="Normal 3 19 8 8 2" xfId="27619" xr:uid="{00000000-0005-0000-0000-0000DF3F0000}"/>
    <cellStyle name="Normal 3 19 8 9" xfId="10058" xr:uid="{00000000-0005-0000-0000-0000E03F0000}"/>
    <cellStyle name="Normal 3 19 8 9 2" xfId="27620" xr:uid="{00000000-0005-0000-0000-0000E13F0000}"/>
    <cellStyle name="Normal 3 19 9" xfId="10059" xr:uid="{00000000-0005-0000-0000-0000E23F0000}"/>
    <cellStyle name="Normal 3 19 9 10" xfId="10060" xr:uid="{00000000-0005-0000-0000-0000E33F0000}"/>
    <cellStyle name="Normal 3 19 9 10 2" xfId="27622" xr:uid="{00000000-0005-0000-0000-0000E43F0000}"/>
    <cellStyle name="Normal 3 19 9 11" xfId="10061" xr:uid="{00000000-0005-0000-0000-0000E53F0000}"/>
    <cellStyle name="Normal 3 19 9 11 2" xfId="27623" xr:uid="{00000000-0005-0000-0000-0000E63F0000}"/>
    <cellStyle name="Normal 3 19 9 12" xfId="10062" xr:uid="{00000000-0005-0000-0000-0000E73F0000}"/>
    <cellStyle name="Normal 3 19 9 12 2" xfId="27624" xr:uid="{00000000-0005-0000-0000-0000E83F0000}"/>
    <cellStyle name="Normal 3 19 9 13" xfId="10063" xr:uid="{00000000-0005-0000-0000-0000E93F0000}"/>
    <cellStyle name="Normal 3 19 9 13 2" xfId="27625" xr:uid="{00000000-0005-0000-0000-0000EA3F0000}"/>
    <cellStyle name="Normal 3 19 9 14" xfId="10064" xr:uid="{00000000-0005-0000-0000-0000EB3F0000}"/>
    <cellStyle name="Normal 3 19 9 14 2" xfId="27626" xr:uid="{00000000-0005-0000-0000-0000EC3F0000}"/>
    <cellStyle name="Normal 3 19 9 15" xfId="27621" xr:uid="{00000000-0005-0000-0000-0000ED3F0000}"/>
    <cellStyle name="Normal 3 19 9 2" xfId="10065" xr:uid="{00000000-0005-0000-0000-0000EE3F0000}"/>
    <cellStyle name="Normal 3 19 9 2 2" xfId="27627" xr:uid="{00000000-0005-0000-0000-0000EF3F0000}"/>
    <cellStyle name="Normal 3 19 9 3" xfId="10066" xr:uid="{00000000-0005-0000-0000-0000F03F0000}"/>
    <cellStyle name="Normal 3 19 9 3 2" xfId="27628" xr:uid="{00000000-0005-0000-0000-0000F13F0000}"/>
    <cellStyle name="Normal 3 19 9 4" xfId="10067" xr:uid="{00000000-0005-0000-0000-0000F23F0000}"/>
    <cellStyle name="Normal 3 19 9 4 2" xfId="27629" xr:uid="{00000000-0005-0000-0000-0000F33F0000}"/>
    <cellStyle name="Normal 3 19 9 5" xfId="10068" xr:uid="{00000000-0005-0000-0000-0000F43F0000}"/>
    <cellStyle name="Normal 3 19 9 5 2" xfId="27630" xr:uid="{00000000-0005-0000-0000-0000F53F0000}"/>
    <cellStyle name="Normal 3 19 9 6" xfId="10069" xr:uid="{00000000-0005-0000-0000-0000F63F0000}"/>
    <cellStyle name="Normal 3 19 9 6 2" xfId="27631" xr:uid="{00000000-0005-0000-0000-0000F73F0000}"/>
    <cellStyle name="Normal 3 19 9 7" xfId="10070" xr:uid="{00000000-0005-0000-0000-0000F83F0000}"/>
    <cellStyle name="Normal 3 19 9 7 2" xfId="27632" xr:uid="{00000000-0005-0000-0000-0000F93F0000}"/>
    <cellStyle name="Normal 3 19 9 8" xfId="10071" xr:uid="{00000000-0005-0000-0000-0000FA3F0000}"/>
    <cellStyle name="Normal 3 19 9 8 2" xfId="27633" xr:uid="{00000000-0005-0000-0000-0000FB3F0000}"/>
    <cellStyle name="Normal 3 19 9 9" xfId="10072" xr:uid="{00000000-0005-0000-0000-0000FC3F0000}"/>
    <cellStyle name="Normal 3 19 9 9 2" xfId="27634" xr:uid="{00000000-0005-0000-0000-0000FD3F0000}"/>
    <cellStyle name="Normal 3 2" xfId="53" xr:uid="{00000000-0005-0000-0000-0000FE3F0000}"/>
    <cellStyle name="Normal 3 2 10" xfId="177" xr:uid="{00000000-0005-0000-0000-0000FF3F0000}"/>
    <cellStyle name="Normal 3 2 10 2" xfId="502" xr:uid="{00000000-0005-0000-0000-000000400000}"/>
    <cellStyle name="Normal 3 2 11" xfId="10073" xr:uid="{00000000-0005-0000-0000-000001400000}"/>
    <cellStyle name="Normal 3 2 12" xfId="10074" xr:uid="{00000000-0005-0000-0000-000002400000}"/>
    <cellStyle name="Normal 3 2 13" xfId="10075" xr:uid="{00000000-0005-0000-0000-000003400000}"/>
    <cellStyle name="Normal 3 2 14" xfId="10076" xr:uid="{00000000-0005-0000-0000-000004400000}"/>
    <cellStyle name="Normal 3 2 15" xfId="10077" xr:uid="{00000000-0005-0000-0000-000005400000}"/>
    <cellStyle name="Normal 3 2 16" xfId="10078" xr:uid="{00000000-0005-0000-0000-000006400000}"/>
    <cellStyle name="Normal 3 2 17" xfId="10079" xr:uid="{00000000-0005-0000-0000-000007400000}"/>
    <cellStyle name="Normal 3 2 18" xfId="10080" xr:uid="{00000000-0005-0000-0000-000008400000}"/>
    <cellStyle name="Normal 3 2 19" xfId="10081" xr:uid="{00000000-0005-0000-0000-000009400000}"/>
    <cellStyle name="Normal 3 2 2" xfId="54" xr:uid="{00000000-0005-0000-0000-00000A400000}"/>
    <cellStyle name="Normal 3 2 2 2" xfId="37668" xr:uid="{00000000-0005-0000-0000-00000B400000}"/>
    <cellStyle name="Normal 3 2 2 3" xfId="27635" xr:uid="{00000000-0005-0000-0000-00000C400000}"/>
    <cellStyle name="Normal 3 2 20" xfId="10082" xr:uid="{00000000-0005-0000-0000-00000D400000}"/>
    <cellStyle name="Normal 3 2 21" xfId="10083" xr:uid="{00000000-0005-0000-0000-00000E400000}"/>
    <cellStyle name="Normal 3 2 22" xfId="10084" xr:uid="{00000000-0005-0000-0000-00000F400000}"/>
    <cellStyle name="Normal 3 2 23" xfId="10085" xr:uid="{00000000-0005-0000-0000-000010400000}"/>
    <cellStyle name="Normal 3 2 24" xfId="10086" xr:uid="{00000000-0005-0000-0000-000011400000}"/>
    <cellStyle name="Normal 3 2 25" xfId="10087" xr:uid="{00000000-0005-0000-0000-000012400000}"/>
    <cellStyle name="Normal 3 2 25 10" xfId="10088" xr:uid="{00000000-0005-0000-0000-000013400000}"/>
    <cellStyle name="Normal 3 2 25 10 2" xfId="27637" xr:uid="{00000000-0005-0000-0000-000014400000}"/>
    <cellStyle name="Normal 3 2 25 11" xfId="10089" xr:uid="{00000000-0005-0000-0000-000015400000}"/>
    <cellStyle name="Normal 3 2 25 11 2" xfId="27638" xr:uid="{00000000-0005-0000-0000-000016400000}"/>
    <cellStyle name="Normal 3 2 25 12" xfId="10090" xr:uid="{00000000-0005-0000-0000-000017400000}"/>
    <cellStyle name="Normal 3 2 25 12 2" xfId="27639" xr:uid="{00000000-0005-0000-0000-000018400000}"/>
    <cellStyle name="Normal 3 2 25 13" xfId="10091" xr:uid="{00000000-0005-0000-0000-000019400000}"/>
    <cellStyle name="Normal 3 2 25 13 2" xfId="27640" xr:uid="{00000000-0005-0000-0000-00001A400000}"/>
    <cellStyle name="Normal 3 2 25 14" xfId="10092" xr:uid="{00000000-0005-0000-0000-00001B400000}"/>
    <cellStyle name="Normal 3 2 25 14 2" xfId="27641" xr:uid="{00000000-0005-0000-0000-00001C400000}"/>
    <cellStyle name="Normal 3 2 25 15" xfId="10093" xr:uid="{00000000-0005-0000-0000-00001D400000}"/>
    <cellStyle name="Normal 3 2 25 15 2" xfId="27642" xr:uid="{00000000-0005-0000-0000-00001E400000}"/>
    <cellStyle name="Normal 3 2 25 16" xfId="27636" xr:uid="{00000000-0005-0000-0000-00001F400000}"/>
    <cellStyle name="Normal 3 2 25 2" xfId="10094" xr:uid="{00000000-0005-0000-0000-000020400000}"/>
    <cellStyle name="Normal 3 2 25 2 10" xfId="10095" xr:uid="{00000000-0005-0000-0000-000021400000}"/>
    <cellStyle name="Normal 3 2 25 2 10 2" xfId="27644" xr:uid="{00000000-0005-0000-0000-000022400000}"/>
    <cellStyle name="Normal 3 2 25 2 11" xfId="10096" xr:uid="{00000000-0005-0000-0000-000023400000}"/>
    <cellStyle name="Normal 3 2 25 2 11 2" xfId="27645" xr:uid="{00000000-0005-0000-0000-000024400000}"/>
    <cellStyle name="Normal 3 2 25 2 12" xfId="10097" xr:uid="{00000000-0005-0000-0000-000025400000}"/>
    <cellStyle name="Normal 3 2 25 2 12 2" xfId="27646" xr:uid="{00000000-0005-0000-0000-000026400000}"/>
    <cellStyle name="Normal 3 2 25 2 13" xfId="10098" xr:uid="{00000000-0005-0000-0000-000027400000}"/>
    <cellStyle name="Normal 3 2 25 2 13 2" xfId="27647" xr:uid="{00000000-0005-0000-0000-000028400000}"/>
    <cellStyle name="Normal 3 2 25 2 14" xfId="10099" xr:uid="{00000000-0005-0000-0000-000029400000}"/>
    <cellStyle name="Normal 3 2 25 2 14 2" xfId="27648" xr:uid="{00000000-0005-0000-0000-00002A400000}"/>
    <cellStyle name="Normal 3 2 25 2 15" xfId="27643" xr:uid="{00000000-0005-0000-0000-00002B400000}"/>
    <cellStyle name="Normal 3 2 25 2 2" xfId="10100" xr:uid="{00000000-0005-0000-0000-00002C400000}"/>
    <cellStyle name="Normal 3 2 25 2 2 2" xfId="27649" xr:uid="{00000000-0005-0000-0000-00002D400000}"/>
    <cellStyle name="Normal 3 2 25 2 3" xfId="10101" xr:uid="{00000000-0005-0000-0000-00002E400000}"/>
    <cellStyle name="Normal 3 2 25 2 3 2" xfId="27650" xr:uid="{00000000-0005-0000-0000-00002F400000}"/>
    <cellStyle name="Normal 3 2 25 2 4" xfId="10102" xr:uid="{00000000-0005-0000-0000-000030400000}"/>
    <cellStyle name="Normal 3 2 25 2 4 2" xfId="27651" xr:uid="{00000000-0005-0000-0000-000031400000}"/>
    <cellStyle name="Normal 3 2 25 2 5" xfId="10103" xr:uid="{00000000-0005-0000-0000-000032400000}"/>
    <cellStyle name="Normal 3 2 25 2 5 2" xfId="27652" xr:uid="{00000000-0005-0000-0000-000033400000}"/>
    <cellStyle name="Normal 3 2 25 2 6" xfId="10104" xr:uid="{00000000-0005-0000-0000-000034400000}"/>
    <cellStyle name="Normal 3 2 25 2 6 2" xfId="27653" xr:uid="{00000000-0005-0000-0000-000035400000}"/>
    <cellStyle name="Normal 3 2 25 2 7" xfId="10105" xr:uid="{00000000-0005-0000-0000-000036400000}"/>
    <cellStyle name="Normal 3 2 25 2 7 2" xfId="27654" xr:uid="{00000000-0005-0000-0000-000037400000}"/>
    <cellStyle name="Normal 3 2 25 2 8" xfId="10106" xr:uid="{00000000-0005-0000-0000-000038400000}"/>
    <cellStyle name="Normal 3 2 25 2 8 2" xfId="27655" xr:uid="{00000000-0005-0000-0000-000039400000}"/>
    <cellStyle name="Normal 3 2 25 2 9" xfId="10107" xr:uid="{00000000-0005-0000-0000-00003A400000}"/>
    <cellStyle name="Normal 3 2 25 2 9 2" xfId="27656" xr:uid="{00000000-0005-0000-0000-00003B400000}"/>
    <cellStyle name="Normal 3 2 25 3" xfId="10108" xr:uid="{00000000-0005-0000-0000-00003C400000}"/>
    <cellStyle name="Normal 3 2 25 3 2" xfId="27657" xr:uid="{00000000-0005-0000-0000-00003D400000}"/>
    <cellStyle name="Normal 3 2 25 4" xfId="10109" xr:uid="{00000000-0005-0000-0000-00003E400000}"/>
    <cellStyle name="Normal 3 2 25 4 2" xfId="27658" xr:uid="{00000000-0005-0000-0000-00003F400000}"/>
    <cellStyle name="Normal 3 2 25 5" xfId="10110" xr:uid="{00000000-0005-0000-0000-000040400000}"/>
    <cellStyle name="Normal 3 2 25 5 2" xfId="27659" xr:uid="{00000000-0005-0000-0000-000041400000}"/>
    <cellStyle name="Normal 3 2 25 6" xfId="10111" xr:uid="{00000000-0005-0000-0000-000042400000}"/>
    <cellStyle name="Normal 3 2 25 6 2" xfId="27660" xr:uid="{00000000-0005-0000-0000-000043400000}"/>
    <cellStyle name="Normal 3 2 25 7" xfId="10112" xr:uid="{00000000-0005-0000-0000-000044400000}"/>
    <cellStyle name="Normal 3 2 25 7 2" xfId="27661" xr:uid="{00000000-0005-0000-0000-000045400000}"/>
    <cellStyle name="Normal 3 2 25 8" xfId="10113" xr:uid="{00000000-0005-0000-0000-000046400000}"/>
    <cellStyle name="Normal 3 2 25 8 2" xfId="27662" xr:uid="{00000000-0005-0000-0000-000047400000}"/>
    <cellStyle name="Normal 3 2 25 9" xfId="10114" xr:uid="{00000000-0005-0000-0000-000048400000}"/>
    <cellStyle name="Normal 3 2 25 9 2" xfId="27663" xr:uid="{00000000-0005-0000-0000-000049400000}"/>
    <cellStyle name="Normal 3 2 26" xfId="10115" xr:uid="{00000000-0005-0000-0000-00004A400000}"/>
    <cellStyle name="Normal 3 2 26 10" xfId="10116" xr:uid="{00000000-0005-0000-0000-00004B400000}"/>
    <cellStyle name="Normal 3 2 26 10 2" xfId="27665" xr:uid="{00000000-0005-0000-0000-00004C400000}"/>
    <cellStyle name="Normal 3 2 26 11" xfId="10117" xr:uid="{00000000-0005-0000-0000-00004D400000}"/>
    <cellStyle name="Normal 3 2 26 11 2" xfId="27666" xr:uid="{00000000-0005-0000-0000-00004E400000}"/>
    <cellStyle name="Normal 3 2 26 12" xfId="10118" xr:uid="{00000000-0005-0000-0000-00004F400000}"/>
    <cellStyle name="Normal 3 2 26 12 2" xfId="27667" xr:uid="{00000000-0005-0000-0000-000050400000}"/>
    <cellStyle name="Normal 3 2 26 13" xfId="10119" xr:uid="{00000000-0005-0000-0000-000051400000}"/>
    <cellStyle name="Normal 3 2 26 13 2" xfId="27668" xr:uid="{00000000-0005-0000-0000-000052400000}"/>
    <cellStyle name="Normal 3 2 26 14" xfId="10120" xr:uid="{00000000-0005-0000-0000-000053400000}"/>
    <cellStyle name="Normal 3 2 26 14 2" xfId="27669" xr:uid="{00000000-0005-0000-0000-000054400000}"/>
    <cellStyle name="Normal 3 2 26 15" xfId="10121" xr:uid="{00000000-0005-0000-0000-000055400000}"/>
    <cellStyle name="Normal 3 2 26 15 2" xfId="27670" xr:uid="{00000000-0005-0000-0000-000056400000}"/>
    <cellStyle name="Normal 3 2 26 16" xfId="27664" xr:uid="{00000000-0005-0000-0000-000057400000}"/>
    <cellStyle name="Normal 3 2 26 2" xfId="10122" xr:uid="{00000000-0005-0000-0000-000058400000}"/>
    <cellStyle name="Normal 3 2 26 2 10" xfId="10123" xr:uid="{00000000-0005-0000-0000-000059400000}"/>
    <cellStyle name="Normal 3 2 26 2 10 2" xfId="27672" xr:uid="{00000000-0005-0000-0000-00005A400000}"/>
    <cellStyle name="Normal 3 2 26 2 11" xfId="10124" xr:uid="{00000000-0005-0000-0000-00005B400000}"/>
    <cellStyle name="Normal 3 2 26 2 11 2" xfId="27673" xr:uid="{00000000-0005-0000-0000-00005C400000}"/>
    <cellStyle name="Normal 3 2 26 2 12" xfId="10125" xr:uid="{00000000-0005-0000-0000-00005D400000}"/>
    <cellStyle name="Normal 3 2 26 2 12 2" xfId="27674" xr:uid="{00000000-0005-0000-0000-00005E400000}"/>
    <cellStyle name="Normal 3 2 26 2 13" xfId="10126" xr:uid="{00000000-0005-0000-0000-00005F400000}"/>
    <cellStyle name="Normal 3 2 26 2 13 2" xfId="27675" xr:uid="{00000000-0005-0000-0000-000060400000}"/>
    <cellStyle name="Normal 3 2 26 2 14" xfId="10127" xr:uid="{00000000-0005-0000-0000-000061400000}"/>
    <cellStyle name="Normal 3 2 26 2 14 2" xfId="27676" xr:uid="{00000000-0005-0000-0000-000062400000}"/>
    <cellStyle name="Normal 3 2 26 2 15" xfId="27671" xr:uid="{00000000-0005-0000-0000-000063400000}"/>
    <cellStyle name="Normal 3 2 26 2 2" xfId="10128" xr:uid="{00000000-0005-0000-0000-000064400000}"/>
    <cellStyle name="Normal 3 2 26 2 2 2" xfId="27677" xr:uid="{00000000-0005-0000-0000-000065400000}"/>
    <cellStyle name="Normal 3 2 26 2 3" xfId="10129" xr:uid="{00000000-0005-0000-0000-000066400000}"/>
    <cellStyle name="Normal 3 2 26 2 3 2" xfId="27678" xr:uid="{00000000-0005-0000-0000-000067400000}"/>
    <cellStyle name="Normal 3 2 26 2 4" xfId="10130" xr:uid="{00000000-0005-0000-0000-000068400000}"/>
    <cellStyle name="Normal 3 2 26 2 4 2" xfId="27679" xr:uid="{00000000-0005-0000-0000-000069400000}"/>
    <cellStyle name="Normal 3 2 26 2 5" xfId="10131" xr:uid="{00000000-0005-0000-0000-00006A400000}"/>
    <cellStyle name="Normal 3 2 26 2 5 2" xfId="27680" xr:uid="{00000000-0005-0000-0000-00006B400000}"/>
    <cellStyle name="Normal 3 2 26 2 6" xfId="10132" xr:uid="{00000000-0005-0000-0000-00006C400000}"/>
    <cellStyle name="Normal 3 2 26 2 6 2" xfId="27681" xr:uid="{00000000-0005-0000-0000-00006D400000}"/>
    <cellStyle name="Normal 3 2 26 2 7" xfId="10133" xr:uid="{00000000-0005-0000-0000-00006E400000}"/>
    <cellStyle name="Normal 3 2 26 2 7 2" xfId="27682" xr:uid="{00000000-0005-0000-0000-00006F400000}"/>
    <cellStyle name="Normal 3 2 26 2 8" xfId="10134" xr:uid="{00000000-0005-0000-0000-000070400000}"/>
    <cellStyle name="Normal 3 2 26 2 8 2" xfId="27683" xr:uid="{00000000-0005-0000-0000-000071400000}"/>
    <cellStyle name="Normal 3 2 26 2 9" xfId="10135" xr:uid="{00000000-0005-0000-0000-000072400000}"/>
    <cellStyle name="Normal 3 2 26 2 9 2" xfId="27684" xr:uid="{00000000-0005-0000-0000-000073400000}"/>
    <cellStyle name="Normal 3 2 26 3" xfId="10136" xr:uid="{00000000-0005-0000-0000-000074400000}"/>
    <cellStyle name="Normal 3 2 26 3 2" xfId="27685" xr:uid="{00000000-0005-0000-0000-000075400000}"/>
    <cellStyle name="Normal 3 2 26 4" xfId="10137" xr:uid="{00000000-0005-0000-0000-000076400000}"/>
    <cellStyle name="Normal 3 2 26 4 2" xfId="27686" xr:uid="{00000000-0005-0000-0000-000077400000}"/>
    <cellStyle name="Normal 3 2 26 5" xfId="10138" xr:uid="{00000000-0005-0000-0000-000078400000}"/>
    <cellStyle name="Normal 3 2 26 5 2" xfId="27687" xr:uid="{00000000-0005-0000-0000-000079400000}"/>
    <cellStyle name="Normal 3 2 26 6" xfId="10139" xr:uid="{00000000-0005-0000-0000-00007A400000}"/>
    <cellStyle name="Normal 3 2 26 6 2" xfId="27688" xr:uid="{00000000-0005-0000-0000-00007B400000}"/>
    <cellStyle name="Normal 3 2 26 7" xfId="10140" xr:uid="{00000000-0005-0000-0000-00007C400000}"/>
    <cellStyle name="Normal 3 2 26 7 2" xfId="27689" xr:uid="{00000000-0005-0000-0000-00007D400000}"/>
    <cellStyle name="Normal 3 2 26 8" xfId="10141" xr:uid="{00000000-0005-0000-0000-00007E400000}"/>
    <cellStyle name="Normal 3 2 26 8 2" xfId="27690" xr:uid="{00000000-0005-0000-0000-00007F400000}"/>
    <cellStyle name="Normal 3 2 26 9" xfId="10142" xr:uid="{00000000-0005-0000-0000-000080400000}"/>
    <cellStyle name="Normal 3 2 26 9 2" xfId="27691" xr:uid="{00000000-0005-0000-0000-000081400000}"/>
    <cellStyle name="Normal 3 2 27" xfId="10143" xr:uid="{00000000-0005-0000-0000-000082400000}"/>
    <cellStyle name="Normal 3 2 27 10" xfId="10144" xr:uid="{00000000-0005-0000-0000-000083400000}"/>
    <cellStyle name="Normal 3 2 27 10 2" xfId="27693" xr:uid="{00000000-0005-0000-0000-000084400000}"/>
    <cellStyle name="Normal 3 2 27 11" xfId="10145" xr:uid="{00000000-0005-0000-0000-000085400000}"/>
    <cellStyle name="Normal 3 2 27 11 2" xfId="27694" xr:uid="{00000000-0005-0000-0000-000086400000}"/>
    <cellStyle name="Normal 3 2 27 12" xfId="10146" xr:uid="{00000000-0005-0000-0000-000087400000}"/>
    <cellStyle name="Normal 3 2 27 12 2" xfId="27695" xr:uid="{00000000-0005-0000-0000-000088400000}"/>
    <cellStyle name="Normal 3 2 27 13" xfId="10147" xr:uid="{00000000-0005-0000-0000-000089400000}"/>
    <cellStyle name="Normal 3 2 27 13 2" xfId="27696" xr:uid="{00000000-0005-0000-0000-00008A400000}"/>
    <cellStyle name="Normal 3 2 27 14" xfId="10148" xr:uid="{00000000-0005-0000-0000-00008B400000}"/>
    <cellStyle name="Normal 3 2 27 14 2" xfId="27697" xr:uid="{00000000-0005-0000-0000-00008C400000}"/>
    <cellStyle name="Normal 3 2 27 15" xfId="10149" xr:uid="{00000000-0005-0000-0000-00008D400000}"/>
    <cellStyle name="Normal 3 2 27 15 2" xfId="27698" xr:uid="{00000000-0005-0000-0000-00008E400000}"/>
    <cellStyle name="Normal 3 2 27 16" xfId="27692" xr:uid="{00000000-0005-0000-0000-00008F400000}"/>
    <cellStyle name="Normal 3 2 27 2" xfId="10150" xr:uid="{00000000-0005-0000-0000-000090400000}"/>
    <cellStyle name="Normal 3 2 27 2 10" xfId="10151" xr:uid="{00000000-0005-0000-0000-000091400000}"/>
    <cellStyle name="Normal 3 2 27 2 10 2" xfId="27700" xr:uid="{00000000-0005-0000-0000-000092400000}"/>
    <cellStyle name="Normal 3 2 27 2 11" xfId="10152" xr:uid="{00000000-0005-0000-0000-000093400000}"/>
    <cellStyle name="Normal 3 2 27 2 11 2" xfId="27701" xr:uid="{00000000-0005-0000-0000-000094400000}"/>
    <cellStyle name="Normal 3 2 27 2 12" xfId="10153" xr:uid="{00000000-0005-0000-0000-000095400000}"/>
    <cellStyle name="Normal 3 2 27 2 12 2" xfId="27702" xr:uid="{00000000-0005-0000-0000-000096400000}"/>
    <cellStyle name="Normal 3 2 27 2 13" xfId="10154" xr:uid="{00000000-0005-0000-0000-000097400000}"/>
    <cellStyle name="Normal 3 2 27 2 13 2" xfId="27703" xr:uid="{00000000-0005-0000-0000-000098400000}"/>
    <cellStyle name="Normal 3 2 27 2 14" xfId="10155" xr:uid="{00000000-0005-0000-0000-000099400000}"/>
    <cellStyle name="Normal 3 2 27 2 14 2" xfId="27704" xr:uid="{00000000-0005-0000-0000-00009A400000}"/>
    <cellStyle name="Normal 3 2 27 2 15" xfId="27699" xr:uid="{00000000-0005-0000-0000-00009B400000}"/>
    <cellStyle name="Normal 3 2 27 2 2" xfId="10156" xr:uid="{00000000-0005-0000-0000-00009C400000}"/>
    <cellStyle name="Normal 3 2 27 2 2 2" xfId="27705" xr:uid="{00000000-0005-0000-0000-00009D400000}"/>
    <cellStyle name="Normal 3 2 27 2 3" xfId="10157" xr:uid="{00000000-0005-0000-0000-00009E400000}"/>
    <cellStyle name="Normal 3 2 27 2 3 2" xfId="27706" xr:uid="{00000000-0005-0000-0000-00009F400000}"/>
    <cellStyle name="Normal 3 2 27 2 4" xfId="10158" xr:uid="{00000000-0005-0000-0000-0000A0400000}"/>
    <cellStyle name="Normal 3 2 27 2 4 2" xfId="27707" xr:uid="{00000000-0005-0000-0000-0000A1400000}"/>
    <cellStyle name="Normal 3 2 27 2 5" xfId="10159" xr:uid="{00000000-0005-0000-0000-0000A2400000}"/>
    <cellStyle name="Normal 3 2 27 2 5 2" xfId="27708" xr:uid="{00000000-0005-0000-0000-0000A3400000}"/>
    <cellStyle name="Normal 3 2 27 2 6" xfId="10160" xr:uid="{00000000-0005-0000-0000-0000A4400000}"/>
    <cellStyle name="Normal 3 2 27 2 6 2" xfId="27709" xr:uid="{00000000-0005-0000-0000-0000A5400000}"/>
    <cellStyle name="Normal 3 2 27 2 7" xfId="10161" xr:uid="{00000000-0005-0000-0000-0000A6400000}"/>
    <cellStyle name="Normal 3 2 27 2 7 2" xfId="27710" xr:uid="{00000000-0005-0000-0000-0000A7400000}"/>
    <cellStyle name="Normal 3 2 27 2 8" xfId="10162" xr:uid="{00000000-0005-0000-0000-0000A8400000}"/>
    <cellStyle name="Normal 3 2 27 2 8 2" xfId="27711" xr:uid="{00000000-0005-0000-0000-0000A9400000}"/>
    <cellStyle name="Normal 3 2 27 2 9" xfId="10163" xr:uid="{00000000-0005-0000-0000-0000AA400000}"/>
    <cellStyle name="Normal 3 2 27 2 9 2" xfId="27712" xr:uid="{00000000-0005-0000-0000-0000AB400000}"/>
    <cellStyle name="Normal 3 2 27 3" xfId="10164" xr:uid="{00000000-0005-0000-0000-0000AC400000}"/>
    <cellStyle name="Normal 3 2 27 3 2" xfId="27713" xr:uid="{00000000-0005-0000-0000-0000AD400000}"/>
    <cellStyle name="Normal 3 2 27 4" xfId="10165" xr:uid="{00000000-0005-0000-0000-0000AE400000}"/>
    <cellStyle name="Normal 3 2 27 4 2" xfId="27714" xr:uid="{00000000-0005-0000-0000-0000AF400000}"/>
    <cellStyle name="Normal 3 2 27 5" xfId="10166" xr:uid="{00000000-0005-0000-0000-0000B0400000}"/>
    <cellStyle name="Normal 3 2 27 5 2" xfId="27715" xr:uid="{00000000-0005-0000-0000-0000B1400000}"/>
    <cellStyle name="Normal 3 2 27 6" xfId="10167" xr:uid="{00000000-0005-0000-0000-0000B2400000}"/>
    <cellStyle name="Normal 3 2 27 6 2" xfId="27716" xr:uid="{00000000-0005-0000-0000-0000B3400000}"/>
    <cellStyle name="Normal 3 2 27 7" xfId="10168" xr:uid="{00000000-0005-0000-0000-0000B4400000}"/>
    <cellStyle name="Normal 3 2 27 7 2" xfId="27717" xr:uid="{00000000-0005-0000-0000-0000B5400000}"/>
    <cellStyle name="Normal 3 2 27 8" xfId="10169" xr:uid="{00000000-0005-0000-0000-0000B6400000}"/>
    <cellStyle name="Normal 3 2 27 8 2" xfId="27718" xr:uid="{00000000-0005-0000-0000-0000B7400000}"/>
    <cellStyle name="Normal 3 2 27 9" xfId="10170" xr:uid="{00000000-0005-0000-0000-0000B8400000}"/>
    <cellStyle name="Normal 3 2 27 9 2" xfId="27719" xr:uid="{00000000-0005-0000-0000-0000B9400000}"/>
    <cellStyle name="Normal 3 2 28" xfId="10171" xr:uid="{00000000-0005-0000-0000-0000BA400000}"/>
    <cellStyle name="Normal 3 2 28 10" xfId="10172" xr:uid="{00000000-0005-0000-0000-0000BB400000}"/>
    <cellStyle name="Normal 3 2 28 10 2" xfId="27721" xr:uid="{00000000-0005-0000-0000-0000BC400000}"/>
    <cellStyle name="Normal 3 2 28 11" xfId="10173" xr:uid="{00000000-0005-0000-0000-0000BD400000}"/>
    <cellStyle name="Normal 3 2 28 11 2" xfId="27722" xr:uid="{00000000-0005-0000-0000-0000BE400000}"/>
    <cellStyle name="Normal 3 2 28 12" xfId="10174" xr:uid="{00000000-0005-0000-0000-0000BF400000}"/>
    <cellStyle name="Normal 3 2 28 12 2" xfId="27723" xr:uid="{00000000-0005-0000-0000-0000C0400000}"/>
    <cellStyle name="Normal 3 2 28 13" xfId="10175" xr:uid="{00000000-0005-0000-0000-0000C1400000}"/>
    <cellStyle name="Normal 3 2 28 13 2" xfId="27724" xr:uid="{00000000-0005-0000-0000-0000C2400000}"/>
    <cellStyle name="Normal 3 2 28 14" xfId="10176" xr:uid="{00000000-0005-0000-0000-0000C3400000}"/>
    <cellStyle name="Normal 3 2 28 14 2" xfId="27725" xr:uid="{00000000-0005-0000-0000-0000C4400000}"/>
    <cellStyle name="Normal 3 2 28 15" xfId="27720" xr:uid="{00000000-0005-0000-0000-0000C5400000}"/>
    <cellStyle name="Normal 3 2 28 2" xfId="10177" xr:uid="{00000000-0005-0000-0000-0000C6400000}"/>
    <cellStyle name="Normal 3 2 28 2 2" xfId="27726" xr:uid="{00000000-0005-0000-0000-0000C7400000}"/>
    <cellStyle name="Normal 3 2 28 3" xfId="10178" xr:uid="{00000000-0005-0000-0000-0000C8400000}"/>
    <cellStyle name="Normal 3 2 28 3 2" xfId="27727" xr:uid="{00000000-0005-0000-0000-0000C9400000}"/>
    <cellStyle name="Normal 3 2 28 4" xfId="10179" xr:uid="{00000000-0005-0000-0000-0000CA400000}"/>
    <cellStyle name="Normal 3 2 28 4 2" xfId="27728" xr:uid="{00000000-0005-0000-0000-0000CB400000}"/>
    <cellStyle name="Normal 3 2 28 5" xfId="10180" xr:uid="{00000000-0005-0000-0000-0000CC400000}"/>
    <cellStyle name="Normal 3 2 28 5 2" xfId="27729" xr:uid="{00000000-0005-0000-0000-0000CD400000}"/>
    <cellStyle name="Normal 3 2 28 6" xfId="10181" xr:uid="{00000000-0005-0000-0000-0000CE400000}"/>
    <cellStyle name="Normal 3 2 28 6 2" xfId="27730" xr:uid="{00000000-0005-0000-0000-0000CF400000}"/>
    <cellStyle name="Normal 3 2 28 7" xfId="10182" xr:uid="{00000000-0005-0000-0000-0000D0400000}"/>
    <cellStyle name="Normal 3 2 28 7 2" xfId="27731" xr:uid="{00000000-0005-0000-0000-0000D1400000}"/>
    <cellStyle name="Normal 3 2 28 8" xfId="10183" xr:uid="{00000000-0005-0000-0000-0000D2400000}"/>
    <cellStyle name="Normal 3 2 28 8 2" xfId="27732" xr:uid="{00000000-0005-0000-0000-0000D3400000}"/>
    <cellStyle name="Normal 3 2 28 9" xfId="10184" xr:uid="{00000000-0005-0000-0000-0000D4400000}"/>
    <cellStyle name="Normal 3 2 28 9 2" xfId="27733" xr:uid="{00000000-0005-0000-0000-0000D5400000}"/>
    <cellStyle name="Normal 3 2 29" xfId="10185" xr:uid="{00000000-0005-0000-0000-0000D6400000}"/>
    <cellStyle name="Normal 3 2 29 10" xfId="10186" xr:uid="{00000000-0005-0000-0000-0000D7400000}"/>
    <cellStyle name="Normal 3 2 29 10 2" xfId="27735" xr:uid="{00000000-0005-0000-0000-0000D8400000}"/>
    <cellStyle name="Normal 3 2 29 11" xfId="10187" xr:uid="{00000000-0005-0000-0000-0000D9400000}"/>
    <cellStyle name="Normal 3 2 29 11 2" xfId="27736" xr:uid="{00000000-0005-0000-0000-0000DA400000}"/>
    <cellStyle name="Normal 3 2 29 12" xfId="10188" xr:uid="{00000000-0005-0000-0000-0000DB400000}"/>
    <cellStyle name="Normal 3 2 29 12 2" xfId="27737" xr:uid="{00000000-0005-0000-0000-0000DC400000}"/>
    <cellStyle name="Normal 3 2 29 13" xfId="10189" xr:uid="{00000000-0005-0000-0000-0000DD400000}"/>
    <cellStyle name="Normal 3 2 29 13 2" xfId="27738" xr:uid="{00000000-0005-0000-0000-0000DE400000}"/>
    <cellStyle name="Normal 3 2 29 14" xfId="10190" xr:uid="{00000000-0005-0000-0000-0000DF400000}"/>
    <cellStyle name="Normal 3 2 29 14 2" xfId="27739" xr:uid="{00000000-0005-0000-0000-0000E0400000}"/>
    <cellStyle name="Normal 3 2 29 15" xfId="27734" xr:uid="{00000000-0005-0000-0000-0000E1400000}"/>
    <cellStyle name="Normal 3 2 29 2" xfId="10191" xr:uid="{00000000-0005-0000-0000-0000E2400000}"/>
    <cellStyle name="Normal 3 2 29 2 2" xfId="27740" xr:uid="{00000000-0005-0000-0000-0000E3400000}"/>
    <cellStyle name="Normal 3 2 29 3" xfId="10192" xr:uid="{00000000-0005-0000-0000-0000E4400000}"/>
    <cellStyle name="Normal 3 2 29 3 2" xfId="27741" xr:uid="{00000000-0005-0000-0000-0000E5400000}"/>
    <cellStyle name="Normal 3 2 29 4" xfId="10193" xr:uid="{00000000-0005-0000-0000-0000E6400000}"/>
    <cellStyle name="Normal 3 2 29 4 2" xfId="27742" xr:uid="{00000000-0005-0000-0000-0000E7400000}"/>
    <cellStyle name="Normal 3 2 29 5" xfId="10194" xr:uid="{00000000-0005-0000-0000-0000E8400000}"/>
    <cellStyle name="Normal 3 2 29 5 2" xfId="27743" xr:uid="{00000000-0005-0000-0000-0000E9400000}"/>
    <cellStyle name="Normal 3 2 29 6" xfId="10195" xr:uid="{00000000-0005-0000-0000-0000EA400000}"/>
    <cellStyle name="Normal 3 2 29 6 2" xfId="27744" xr:uid="{00000000-0005-0000-0000-0000EB400000}"/>
    <cellStyle name="Normal 3 2 29 7" xfId="10196" xr:uid="{00000000-0005-0000-0000-0000EC400000}"/>
    <cellStyle name="Normal 3 2 29 7 2" xfId="27745" xr:uid="{00000000-0005-0000-0000-0000ED400000}"/>
    <cellStyle name="Normal 3 2 29 8" xfId="10197" xr:uid="{00000000-0005-0000-0000-0000EE400000}"/>
    <cellStyle name="Normal 3 2 29 8 2" xfId="27746" xr:uid="{00000000-0005-0000-0000-0000EF400000}"/>
    <cellStyle name="Normal 3 2 29 9" xfId="10198" xr:uid="{00000000-0005-0000-0000-0000F0400000}"/>
    <cellStyle name="Normal 3 2 29 9 2" xfId="27747" xr:uid="{00000000-0005-0000-0000-0000F1400000}"/>
    <cellStyle name="Normal 3 2 3" xfId="55" xr:uid="{00000000-0005-0000-0000-0000F2400000}"/>
    <cellStyle name="Normal 3 2 3 10" xfId="10199" xr:uid="{00000000-0005-0000-0000-0000F3400000}"/>
    <cellStyle name="Normal 3 2 3 10 2" xfId="27749" xr:uid="{00000000-0005-0000-0000-0000F4400000}"/>
    <cellStyle name="Normal 3 2 3 11" xfId="10200" xr:uid="{00000000-0005-0000-0000-0000F5400000}"/>
    <cellStyle name="Normal 3 2 3 11 2" xfId="27750" xr:uid="{00000000-0005-0000-0000-0000F6400000}"/>
    <cellStyle name="Normal 3 2 3 12" xfId="10201" xr:uid="{00000000-0005-0000-0000-0000F7400000}"/>
    <cellStyle name="Normal 3 2 3 12 2" xfId="27751" xr:uid="{00000000-0005-0000-0000-0000F8400000}"/>
    <cellStyle name="Normal 3 2 3 13" xfId="10202" xr:uid="{00000000-0005-0000-0000-0000F9400000}"/>
    <cellStyle name="Normal 3 2 3 13 2" xfId="27752" xr:uid="{00000000-0005-0000-0000-0000FA400000}"/>
    <cellStyle name="Normal 3 2 3 14" xfId="10203" xr:uid="{00000000-0005-0000-0000-0000FB400000}"/>
    <cellStyle name="Normal 3 2 3 14 2" xfId="27753" xr:uid="{00000000-0005-0000-0000-0000FC400000}"/>
    <cellStyle name="Normal 3 2 3 15" xfId="10204" xr:uid="{00000000-0005-0000-0000-0000FD400000}"/>
    <cellStyle name="Normal 3 2 3 15 2" xfId="27754" xr:uid="{00000000-0005-0000-0000-0000FE400000}"/>
    <cellStyle name="Normal 3 2 3 16" xfId="10205" xr:uid="{00000000-0005-0000-0000-0000FF400000}"/>
    <cellStyle name="Normal 3 2 3 16 2" xfId="27755" xr:uid="{00000000-0005-0000-0000-000000410000}"/>
    <cellStyle name="Normal 3 2 3 17" xfId="10206" xr:uid="{00000000-0005-0000-0000-000001410000}"/>
    <cellStyle name="Normal 3 2 3 17 2" xfId="27756" xr:uid="{00000000-0005-0000-0000-000002410000}"/>
    <cellStyle name="Normal 3 2 3 18" xfId="37669" xr:uid="{00000000-0005-0000-0000-000003410000}"/>
    <cellStyle name="Normal 3 2 3 19" xfId="27748" xr:uid="{00000000-0005-0000-0000-000004410000}"/>
    <cellStyle name="Normal 3 2 3 2" xfId="10207" xr:uid="{00000000-0005-0000-0000-000005410000}"/>
    <cellStyle name="Normal 3 2 3 3" xfId="10208" xr:uid="{00000000-0005-0000-0000-000006410000}"/>
    <cellStyle name="Normal 3 2 3 4" xfId="10209" xr:uid="{00000000-0005-0000-0000-000007410000}"/>
    <cellStyle name="Normal 3 2 3 5" xfId="10210" xr:uid="{00000000-0005-0000-0000-000008410000}"/>
    <cellStyle name="Normal 3 2 3 5 2" xfId="27757" xr:uid="{00000000-0005-0000-0000-000009410000}"/>
    <cellStyle name="Normal 3 2 3 6" xfId="10211" xr:uid="{00000000-0005-0000-0000-00000A410000}"/>
    <cellStyle name="Normal 3 2 3 6 2" xfId="27758" xr:uid="{00000000-0005-0000-0000-00000B410000}"/>
    <cellStyle name="Normal 3 2 3 7" xfId="10212" xr:uid="{00000000-0005-0000-0000-00000C410000}"/>
    <cellStyle name="Normal 3 2 3 7 2" xfId="27759" xr:uid="{00000000-0005-0000-0000-00000D410000}"/>
    <cellStyle name="Normal 3 2 3 8" xfId="10213" xr:uid="{00000000-0005-0000-0000-00000E410000}"/>
    <cellStyle name="Normal 3 2 3 8 2" xfId="27760" xr:uid="{00000000-0005-0000-0000-00000F410000}"/>
    <cellStyle name="Normal 3 2 3 9" xfId="10214" xr:uid="{00000000-0005-0000-0000-000010410000}"/>
    <cellStyle name="Normal 3 2 3 9 2" xfId="27761" xr:uid="{00000000-0005-0000-0000-000011410000}"/>
    <cellStyle name="Normal 3 2 30" xfId="10215" xr:uid="{00000000-0005-0000-0000-000012410000}"/>
    <cellStyle name="Normal 3 2 30 10" xfId="10216" xr:uid="{00000000-0005-0000-0000-000013410000}"/>
    <cellStyle name="Normal 3 2 30 10 2" xfId="27763" xr:uid="{00000000-0005-0000-0000-000014410000}"/>
    <cellStyle name="Normal 3 2 30 11" xfId="10217" xr:uid="{00000000-0005-0000-0000-000015410000}"/>
    <cellStyle name="Normal 3 2 30 11 2" xfId="27764" xr:uid="{00000000-0005-0000-0000-000016410000}"/>
    <cellStyle name="Normal 3 2 30 12" xfId="10218" xr:uid="{00000000-0005-0000-0000-000017410000}"/>
    <cellStyle name="Normal 3 2 30 12 2" xfId="27765" xr:uid="{00000000-0005-0000-0000-000018410000}"/>
    <cellStyle name="Normal 3 2 30 13" xfId="10219" xr:uid="{00000000-0005-0000-0000-000019410000}"/>
    <cellStyle name="Normal 3 2 30 13 2" xfId="27766" xr:uid="{00000000-0005-0000-0000-00001A410000}"/>
    <cellStyle name="Normal 3 2 30 14" xfId="10220" xr:uid="{00000000-0005-0000-0000-00001B410000}"/>
    <cellStyle name="Normal 3 2 30 14 2" xfId="27767" xr:uid="{00000000-0005-0000-0000-00001C410000}"/>
    <cellStyle name="Normal 3 2 30 15" xfId="27762" xr:uid="{00000000-0005-0000-0000-00001D410000}"/>
    <cellStyle name="Normal 3 2 30 2" xfId="10221" xr:uid="{00000000-0005-0000-0000-00001E410000}"/>
    <cellStyle name="Normal 3 2 30 2 2" xfId="27768" xr:uid="{00000000-0005-0000-0000-00001F410000}"/>
    <cellStyle name="Normal 3 2 30 3" xfId="10222" xr:uid="{00000000-0005-0000-0000-000020410000}"/>
    <cellStyle name="Normal 3 2 30 3 2" xfId="27769" xr:uid="{00000000-0005-0000-0000-000021410000}"/>
    <cellStyle name="Normal 3 2 30 4" xfId="10223" xr:uid="{00000000-0005-0000-0000-000022410000}"/>
    <cellStyle name="Normal 3 2 30 4 2" xfId="27770" xr:uid="{00000000-0005-0000-0000-000023410000}"/>
    <cellStyle name="Normal 3 2 30 5" xfId="10224" xr:uid="{00000000-0005-0000-0000-000024410000}"/>
    <cellStyle name="Normal 3 2 30 5 2" xfId="27771" xr:uid="{00000000-0005-0000-0000-000025410000}"/>
    <cellStyle name="Normal 3 2 30 6" xfId="10225" xr:uid="{00000000-0005-0000-0000-000026410000}"/>
    <cellStyle name="Normal 3 2 30 6 2" xfId="27772" xr:uid="{00000000-0005-0000-0000-000027410000}"/>
    <cellStyle name="Normal 3 2 30 7" xfId="10226" xr:uid="{00000000-0005-0000-0000-000028410000}"/>
    <cellStyle name="Normal 3 2 30 7 2" xfId="27773" xr:uid="{00000000-0005-0000-0000-000029410000}"/>
    <cellStyle name="Normal 3 2 30 8" xfId="10227" xr:uid="{00000000-0005-0000-0000-00002A410000}"/>
    <cellStyle name="Normal 3 2 30 8 2" xfId="27774" xr:uid="{00000000-0005-0000-0000-00002B410000}"/>
    <cellStyle name="Normal 3 2 30 9" xfId="10228" xr:uid="{00000000-0005-0000-0000-00002C410000}"/>
    <cellStyle name="Normal 3 2 30 9 2" xfId="27775" xr:uid="{00000000-0005-0000-0000-00002D410000}"/>
    <cellStyle name="Normal 3 2 31" xfId="10229" xr:uid="{00000000-0005-0000-0000-00002E410000}"/>
    <cellStyle name="Normal 3 2 31 10" xfId="10230" xr:uid="{00000000-0005-0000-0000-00002F410000}"/>
    <cellStyle name="Normal 3 2 31 10 2" xfId="27777" xr:uid="{00000000-0005-0000-0000-000030410000}"/>
    <cellStyle name="Normal 3 2 31 11" xfId="10231" xr:uid="{00000000-0005-0000-0000-000031410000}"/>
    <cellStyle name="Normal 3 2 31 11 2" xfId="27778" xr:uid="{00000000-0005-0000-0000-000032410000}"/>
    <cellStyle name="Normal 3 2 31 12" xfId="10232" xr:uid="{00000000-0005-0000-0000-000033410000}"/>
    <cellStyle name="Normal 3 2 31 12 2" xfId="27779" xr:uid="{00000000-0005-0000-0000-000034410000}"/>
    <cellStyle name="Normal 3 2 31 13" xfId="10233" xr:uid="{00000000-0005-0000-0000-000035410000}"/>
    <cellStyle name="Normal 3 2 31 13 2" xfId="27780" xr:uid="{00000000-0005-0000-0000-000036410000}"/>
    <cellStyle name="Normal 3 2 31 14" xfId="10234" xr:uid="{00000000-0005-0000-0000-000037410000}"/>
    <cellStyle name="Normal 3 2 31 14 2" xfId="27781" xr:uid="{00000000-0005-0000-0000-000038410000}"/>
    <cellStyle name="Normal 3 2 31 15" xfId="27776" xr:uid="{00000000-0005-0000-0000-000039410000}"/>
    <cellStyle name="Normal 3 2 31 2" xfId="10235" xr:uid="{00000000-0005-0000-0000-00003A410000}"/>
    <cellStyle name="Normal 3 2 31 2 2" xfId="27782" xr:uid="{00000000-0005-0000-0000-00003B410000}"/>
    <cellStyle name="Normal 3 2 31 3" xfId="10236" xr:uid="{00000000-0005-0000-0000-00003C410000}"/>
    <cellStyle name="Normal 3 2 31 3 2" xfId="27783" xr:uid="{00000000-0005-0000-0000-00003D410000}"/>
    <cellStyle name="Normal 3 2 31 4" xfId="10237" xr:uid="{00000000-0005-0000-0000-00003E410000}"/>
    <cellStyle name="Normal 3 2 31 4 2" xfId="27784" xr:uid="{00000000-0005-0000-0000-00003F410000}"/>
    <cellStyle name="Normal 3 2 31 5" xfId="10238" xr:uid="{00000000-0005-0000-0000-000040410000}"/>
    <cellStyle name="Normal 3 2 31 5 2" xfId="27785" xr:uid="{00000000-0005-0000-0000-000041410000}"/>
    <cellStyle name="Normal 3 2 31 6" xfId="10239" xr:uid="{00000000-0005-0000-0000-000042410000}"/>
    <cellStyle name="Normal 3 2 31 6 2" xfId="27786" xr:uid="{00000000-0005-0000-0000-000043410000}"/>
    <cellStyle name="Normal 3 2 31 7" xfId="10240" xr:uid="{00000000-0005-0000-0000-000044410000}"/>
    <cellStyle name="Normal 3 2 31 7 2" xfId="27787" xr:uid="{00000000-0005-0000-0000-000045410000}"/>
    <cellStyle name="Normal 3 2 31 8" xfId="10241" xr:uid="{00000000-0005-0000-0000-000046410000}"/>
    <cellStyle name="Normal 3 2 31 8 2" xfId="27788" xr:uid="{00000000-0005-0000-0000-000047410000}"/>
    <cellStyle name="Normal 3 2 31 9" xfId="10242" xr:uid="{00000000-0005-0000-0000-000048410000}"/>
    <cellStyle name="Normal 3 2 31 9 2" xfId="27789" xr:uid="{00000000-0005-0000-0000-000049410000}"/>
    <cellStyle name="Normal 3 2 32" xfId="10243" xr:uid="{00000000-0005-0000-0000-00004A410000}"/>
    <cellStyle name="Normal 3 2 32 10" xfId="10244" xr:uid="{00000000-0005-0000-0000-00004B410000}"/>
    <cellStyle name="Normal 3 2 32 10 2" xfId="27791" xr:uid="{00000000-0005-0000-0000-00004C410000}"/>
    <cellStyle name="Normal 3 2 32 11" xfId="10245" xr:uid="{00000000-0005-0000-0000-00004D410000}"/>
    <cellStyle name="Normal 3 2 32 11 2" xfId="27792" xr:uid="{00000000-0005-0000-0000-00004E410000}"/>
    <cellStyle name="Normal 3 2 32 12" xfId="10246" xr:uid="{00000000-0005-0000-0000-00004F410000}"/>
    <cellStyle name="Normal 3 2 32 12 2" xfId="27793" xr:uid="{00000000-0005-0000-0000-000050410000}"/>
    <cellStyle name="Normal 3 2 32 13" xfId="10247" xr:uid="{00000000-0005-0000-0000-000051410000}"/>
    <cellStyle name="Normal 3 2 32 13 2" xfId="27794" xr:uid="{00000000-0005-0000-0000-000052410000}"/>
    <cellStyle name="Normal 3 2 32 14" xfId="10248" xr:uid="{00000000-0005-0000-0000-000053410000}"/>
    <cellStyle name="Normal 3 2 32 14 2" xfId="27795" xr:uid="{00000000-0005-0000-0000-000054410000}"/>
    <cellStyle name="Normal 3 2 32 15" xfId="27790" xr:uid="{00000000-0005-0000-0000-000055410000}"/>
    <cellStyle name="Normal 3 2 32 2" xfId="10249" xr:uid="{00000000-0005-0000-0000-000056410000}"/>
    <cellStyle name="Normal 3 2 32 2 2" xfId="27796" xr:uid="{00000000-0005-0000-0000-000057410000}"/>
    <cellStyle name="Normal 3 2 32 3" xfId="10250" xr:uid="{00000000-0005-0000-0000-000058410000}"/>
    <cellStyle name="Normal 3 2 32 3 2" xfId="27797" xr:uid="{00000000-0005-0000-0000-000059410000}"/>
    <cellStyle name="Normal 3 2 32 4" xfId="10251" xr:uid="{00000000-0005-0000-0000-00005A410000}"/>
    <cellStyle name="Normal 3 2 32 4 2" xfId="27798" xr:uid="{00000000-0005-0000-0000-00005B410000}"/>
    <cellStyle name="Normal 3 2 32 5" xfId="10252" xr:uid="{00000000-0005-0000-0000-00005C410000}"/>
    <cellStyle name="Normal 3 2 32 5 2" xfId="27799" xr:uid="{00000000-0005-0000-0000-00005D410000}"/>
    <cellStyle name="Normal 3 2 32 6" xfId="10253" xr:uid="{00000000-0005-0000-0000-00005E410000}"/>
    <cellStyle name="Normal 3 2 32 6 2" xfId="27800" xr:uid="{00000000-0005-0000-0000-00005F410000}"/>
    <cellStyle name="Normal 3 2 32 7" xfId="10254" xr:uid="{00000000-0005-0000-0000-000060410000}"/>
    <cellStyle name="Normal 3 2 32 7 2" xfId="27801" xr:uid="{00000000-0005-0000-0000-000061410000}"/>
    <cellStyle name="Normal 3 2 32 8" xfId="10255" xr:uid="{00000000-0005-0000-0000-000062410000}"/>
    <cellStyle name="Normal 3 2 32 8 2" xfId="27802" xr:uid="{00000000-0005-0000-0000-000063410000}"/>
    <cellStyle name="Normal 3 2 32 9" xfId="10256" xr:uid="{00000000-0005-0000-0000-000064410000}"/>
    <cellStyle name="Normal 3 2 32 9 2" xfId="27803" xr:uid="{00000000-0005-0000-0000-000065410000}"/>
    <cellStyle name="Normal 3 2 33" xfId="10257" xr:uid="{00000000-0005-0000-0000-000066410000}"/>
    <cellStyle name="Normal 3 2 33 10" xfId="10258" xr:uid="{00000000-0005-0000-0000-000067410000}"/>
    <cellStyle name="Normal 3 2 33 10 2" xfId="27805" xr:uid="{00000000-0005-0000-0000-000068410000}"/>
    <cellStyle name="Normal 3 2 33 11" xfId="10259" xr:uid="{00000000-0005-0000-0000-000069410000}"/>
    <cellStyle name="Normal 3 2 33 11 2" xfId="27806" xr:uid="{00000000-0005-0000-0000-00006A410000}"/>
    <cellStyle name="Normal 3 2 33 12" xfId="10260" xr:uid="{00000000-0005-0000-0000-00006B410000}"/>
    <cellStyle name="Normal 3 2 33 12 2" xfId="27807" xr:uid="{00000000-0005-0000-0000-00006C410000}"/>
    <cellStyle name="Normal 3 2 33 13" xfId="10261" xr:uid="{00000000-0005-0000-0000-00006D410000}"/>
    <cellStyle name="Normal 3 2 33 13 2" xfId="27808" xr:uid="{00000000-0005-0000-0000-00006E410000}"/>
    <cellStyle name="Normal 3 2 33 14" xfId="10262" xr:uid="{00000000-0005-0000-0000-00006F410000}"/>
    <cellStyle name="Normal 3 2 33 14 2" xfId="27809" xr:uid="{00000000-0005-0000-0000-000070410000}"/>
    <cellStyle name="Normal 3 2 33 15" xfId="27804" xr:uid="{00000000-0005-0000-0000-000071410000}"/>
    <cellStyle name="Normal 3 2 33 2" xfId="10263" xr:uid="{00000000-0005-0000-0000-000072410000}"/>
    <cellStyle name="Normal 3 2 33 2 2" xfId="27810" xr:uid="{00000000-0005-0000-0000-000073410000}"/>
    <cellStyle name="Normal 3 2 33 3" xfId="10264" xr:uid="{00000000-0005-0000-0000-000074410000}"/>
    <cellStyle name="Normal 3 2 33 3 2" xfId="27811" xr:uid="{00000000-0005-0000-0000-000075410000}"/>
    <cellStyle name="Normal 3 2 33 4" xfId="10265" xr:uid="{00000000-0005-0000-0000-000076410000}"/>
    <cellStyle name="Normal 3 2 33 4 2" xfId="27812" xr:uid="{00000000-0005-0000-0000-000077410000}"/>
    <cellStyle name="Normal 3 2 33 5" xfId="10266" xr:uid="{00000000-0005-0000-0000-000078410000}"/>
    <cellStyle name="Normal 3 2 33 5 2" xfId="27813" xr:uid="{00000000-0005-0000-0000-000079410000}"/>
    <cellStyle name="Normal 3 2 33 6" xfId="10267" xr:uid="{00000000-0005-0000-0000-00007A410000}"/>
    <cellStyle name="Normal 3 2 33 6 2" xfId="27814" xr:uid="{00000000-0005-0000-0000-00007B410000}"/>
    <cellStyle name="Normal 3 2 33 7" xfId="10268" xr:uid="{00000000-0005-0000-0000-00007C410000}"/>
    <cellStyle name="Normal 3 2 33 7 2" xfId="27815" xr:uid="{00000000-0005-0000-0000-00007D410000}"/>
    <cellStyle name="Normal 3 2 33 8" xfId="10269" xr:uid="{00000000-0005-0000-0000-00007E410000}"/>
    <cellStyle name="Normal 3 2 33 8 2" xfId="27816" xr:uid="{00000000-0005-0000-0000-00007F410000}"/>
    <cellStyle name="Normal 3 2 33 9" xfId="10270" xr:uid="{00000000-0005-0000-0000-000080410000}"/>
    <cellStyle name="Normal 3 2 33 9 2" xfId="27817" xr:uid="{00000000-0005-0000-0000-000081410000}"/>
    <cellStyle name="Normal 3 2 34" xfId="10271" xr:uid="{00000000-0005-0000-0000-000082410000}"/>
    <cellStyle name="Normal 3 2 35" xfId="10272" xr:uid="{00000000-0005-0000-0000-000083410000}"/>
    <cellStyle name="Normal 3 2 36" xfId="10273" xr:uid="{00000000-0005-0000-0000-000084410000}"/>
    <cellStyle name="Normal 3 2 36 10" xfId="10274" xr:uid="{00000000-0005-0000-0000-000085410000}"/>
    <cellStyle name="Normal 3 2 36 10 2" xfId="27819" xr:uid="{00000000-0005-0000-0000-000086410000}"/>
    <cellStyle name="Normal 3 2 36 11" xfId="10275" xr:uid="{00000000-0005-0000-0000-000087410000}"/>
    <cellStyle name="Normal 3 2 36 11 2" xfId="27820" xr:uid="{00000000-0005-0000-0000-000088410000}"/>
    <cellStyle name="Normal 3 2 36 12" xfId="10276" xr:uid="{00000000-0005-0000-0000-000089410000}"/>
    <cellStyle name="Normal 3 2 36 12 2" xfId="27821" xr:uid="{00000000-0005-0000-0000-00008A410000}"/>
    <cellStyle name="Normal 3 2 36 13" xfId="10277" xr:uid="{00000000-0005-0000-0000-00008B410000}"/>
    <cellStyle name="Normal 3 2 36 13 2" xfId="27822" xr:uid="{00000000-0005-0000-0000-00008C410000}"/>
    <cellStyle name="Normal 3 2 36 14" xfId="10278" xr:uid="{00000000-0005-0000-0000-00008D410000}"/>
    <cellStyle name="Normal 3 2 36 14 2" xfId="27823" xr:uid="{00000000-0005-0000-0000-00008E410000}"/>
    <cellStyle name="Normal 3 2 36 15" xfId="27818" xr:uid="{00000000-0005-0000-0000-00008F410000}"/>
    <cellStyle name="Normal 3 2 36 2" xfId="10279" xr:uid="{00000000-0005-0000-0000-000090410000}"/>
    <cellStyle name="Normal 3 2 36 2 2" xfId="27824" xr:uid="{00000000-0005-0000-0000-000091410000}"/>
    <cellStyle name="Normal 3 2 36 3" xfId="10280" xr:uid="{00000000-0005-0000-0000-000092410000}"/>
    <cellStyle name="Normal 3 2 36 3 2" xfId="27825" xr:uid="{00000000-0005-0000-0000-000093410000}"/>
    <cellStyle name="Normal 3 2 36 4" xfId="10281" xr:uid="{00000000-0005-0000-0000-000094410000}"/>
    <cellStyle name="Normal 3 2 36 4 2" xfId="27826" xr:uid="{00000000-0005-0000-0000-000095410000}"/>
    <cellStyle name="Normal 3 2 36 5" xfId="10282" xr:uid="{00000000-0005-0000-0000-000096410000}"/>
    <cellStyle name="Normal 3 2 36 5 2" xfId="27827" xr:uid="{00000000-0005-0000-0000-000097410000}"/>
    <cellStyle name="Normal 3 2 36 6" xfId="10283" xr:uid="{00000000-0005-0000-0000-000098410000}"/>
    <cellStyle name="Normal 3 2 36 6 2" xfId="27828" xr:uid="{00000000-0005-0000-0000-000099410000}"/>
    <cellStyle name="Normal 3 2 36 7" xfId="10284" xr:uid="{00000000-0005-0000-0000-00009A410000}"/>
    <cellStyle name="Normal 3 2 36 7 2" xfId="27829" xr:uid="{00000000-0005-0000-0000-00009B410000}"/>
    <cellStyle name="Normal 3 2 36 8" xfId="10285" xr:uid="{00000000-0005-0000-0000-00009C410000}"/>
    <cellStyle name="Normal 3 2 36 8 2" xfId="27830" xr:uid="{00000000-0005-0000-0000-00009D410000}"/>
    <cellStyle name="Normal 3 2 36 9" xfId="10286" xr:uid="{00000000-0005-0000-0000-00009E410000}"/>
    <cellStyle name="Normal 3 2 36 9 2" xfId="27831" xr:uid="{00000000-0005-0000-0000-00009F410000}"/>
    <cellStyle name="Normal 3 2 37" xfId="10287" xr:uid="{00000000-0005-0000-0000-0000A0410000}"/>
    <cellStyle name="Normal 3 2 37 10" xfId="10288" xr:uid="{00000000-0005-0000-0000-0000A1410000}"/>
    <cellStyle name="Normal 3 2 37 10 2" xfId="27833" xr:uid="{00000000-0005-0000-0000-0000A2410000}"/>
    <cellStyle name="Normal 3 2 37 11" xfId="10289" xr:uid="{00000000-0005-0000-0000-0000A3410000}"/>
    <cellStyle name="Normal 3 2 37 11 2" xfId="27834" xr:uid="{00000000-0005-0000-0000-0000A4410000}"/>
    <cellStyle name="Normal 3 2 37 12" xfId="10290" xr:uid="{00000000-0005-0000-0000-0000A5410000}"/>
    <cellStyle name="Normal 3 2 37 12 2" xfId="27835" xr:uid="{00000000-0005-0000-0000-0000A6410000}"/>
    <cellStyle name="Normal 3 2 37 13" xfId="10291" xr:uid="{00000000-0005-0000-0000-0000A7410000}"/>
    <cellStyle name="Normal 3 2 37 13 2" xfId="27836" xr:uid="{00000000-0005-0000-0000-0000A8410000}"/>
    <cellStyle name="Normal 3 2 37 14" xfId="10292" xr:uid="{00000000-0005-0000-0000-0000A9410000}"/>
    <cellStyle name="Normal 3 2 37 14 2" xfId="27837" xr:uid="{00000000-0005-0000-0000-0000AA410000}"/>
    <cellStyle name="Normal 3 2 37 15" xfId="27832" xr:uid="{00000000-0005-0000-0000-0000AB410000}"/>
    <cellStyle name="Normal 3 2 37 2" xfId="10293" xr:uid="{00000000-0005-0000-0000-0000AC410000}"/>
    <cellStyle name="Normal 3 2 37 2 2" xfId="27838" xr:uid="{00000000-0005-0000-0000-0000AD410000}"/>
    <cellStyle name="Normal 3 2 37 3" xfId="10294" xr:uid="{00000000-0005-0000-0000-0000AE410000}"/>
    <cellStyle name="Normal 3 2 37 3 2" xfId="27839" xr:uid="{00000000-0005-0000-0000-0000AF410000}"/>
    <cellStyle name="Normal 3 2 37 4" xfId="10295" xr:uid="{00000000-0005-0000-0000-0000B0410000}"/>
    <cellStyle name="Normal 3 2 37 4 2" xfId="27840" xr:uid="{00000000-0005-0000-0000-0000B1410000}"/>
    <cellStyle name="Normal 3 2 37 5" xfId="10296" xr:uid="{00000000-0005-0000-0000-0000B2410000}"/>
    <cellStyle name="Normal 3 2 37 5 2" xfId="27841" xr:uid="{00000000-0005-0000-0000-0000B3410000}"/>
    <cellStyle name="Normal 3 2 37 6" xfId="10297" xr:uid="{00000000-0005-0000-0000-0000B4410000}"/>
    <cellStyle name="Normal 3 2 37 6 2" xfId="27842" xr:uid="{00000000-0005-0000-0000-0000B5410000}"/>
    <cellStyle name="Normal 3 2 37 7" xfId="10298" xr:uid="{00000000-0005-0000-0000-0000B6410000}"/>
    <cellStyle name="Normal 3 2 37 7 2" xfId="27843" xr:uid="{00000000-0005-0000-0000-0000B7410000}"/>
    <cellStyle name="Normal 3 2 37 8" xfId="10299" xr:uid="{00000000-0005-0000-0000-0000B8410000}"/>
    <cellStyle name="Normal 3 2 37 8 2" xfId="27844" xr:uid="{00000000-0005-0000-0000-0000B9410000}"/>
    <cellStyle name="Normal 3 2 37 9" xfId="10300" xr:uid="{00000000-0005-0000-0000-0000BA410000}"/>
    <cellStyle name="Normal 3 2 37 9 2" xfId="27845" xr:uid="{00000000-0005-0000-0000-0000BB410000}"/>
    <cellStyle name="Normal 3 2 38" xfId="37667" xr:uid="{00000000-0005-0000-0000-0000BC410000}"/>
    <cellStyle name="Normal 3 2 4" xfId="56" xr:uid="{00000000-0005-0000-0000-0000BD410000}"/>
    <cellStyle name="Normal 3 2 4 2" xfId="37670" xr:uid="{00000000-0005-0000-0000-0000BE410000}"/>
    <cellStyle name="Normal 3 2 4 3" xfId="27846" xr:uid="{00000000-0005-0000-0000-0000BF410000}"/>
    <cellStyle name="Normal 3 2 5" xfId="57" xr:uid="{00000000-0005-0000-0000-0000C0410000}"/>
    <cellStyle name="Normal 3 2 5 2" xfId="37671" xr:uid="{00000000-0005-0000-0000-0000C1410000}"/>
    <cellStyle name="Normal 3 2 5 3" xfId="27847" xr:uid="{00000000-0005-0000-0000-0000C2410000}"/>
    <cellStyle name="Normal 3 2 6" xfId="58" xr:uid="{00000000-0005-0000-0000-0000C3410000}"/>
    <cellStyle name="Normal 3 2 6 2" xfId="37672" xr:uid="{00000000-0005-0000-0000-0000C4410000}"/>
    <cellStyle name="Normal 3 2 6 3" xfId="27848" xr:uid="{00000000-0005-0000-0000-0000C5410000}"/>
    <cellStyle name="Normal 3 2 7" xfId="59" xr:uid="{00000000-0005-0000-0000-0000C6410000}"/>
    <cellStyle name="Normal 3 2 7 2" xfId="37673" xr:uid="{00000000-0005-0000-0000-0000C7410000}"/>
    <cellStyle name="Normal 3 2 7 3" xfId="27849" xr:uid="{00000000-0005-0000-0000-0000C8410000}"/>
    <cellStyle name="Normal 3 2 8" xfId="60" xr:uid="{00000000-0005-0000-0000-0000C9410000}"/>
    <cellStyle name="Normal 3 2 8 2" xfId="37674" xr:uid="{00000000-0005-0000-0000-0000CA410000}"/>
    <cellStyle name="Normal 3 2 8 3" xfId="27850" xr:uid="{00000000-0005-0000-0000-0000CB410000}"/>
    <cellStyle name="Normal 3 2 9" xfId="61" xr:uid="{00000000-0005-0000-0000-0000CC410000}"/>
    <cellStyle name="Normal 3 2 9 2" xfId="37675" xr:uid="{00000000-0005-0000-0000-0000CD410000}"/>
    <cellStyle name="Normal 3 2 9 3" xfId="27851" xr:uid="{00000000-0005-0000-0000-0000CE410000}"/>
    <cellStyle name="Normal 3 20" xfId="10301" xr:uid="{00000000-0005-0000-0000-0000CF410000}"/>
    <cellStyle name="Normal 3 20 10" xfId="10302" xr:uid="{00000000-0005-0000-0000-0000D0410000}"/>
    <cellStyle name="Normal 3 20 10 10" xfId="10303" xr:uid="{00000000-0005-0000-0000-0000D1410000}"/>
    <cellStyle name="Normal 3 20 10 10 2" xfId="27854" xr:uid="{00000000-0005-0000-0000-0000D2410000}"/>
    <cellStyle name="Normal 3 20 10 11" xfId="10304" xr:uid="{00000000-0005-0000-0000-0000D3410000}"/>
    <cellStyle name="Normal 3 20 10 11 2" xfId="27855" xr:uid="{00000000-0005-0000-0000-0000D4410000}"/>
    <cellStyle name="Normal 3 20 10 12" xfId="10305" xr:uid="{00000000-0005-0000-0000-0000D5410000}"/>
    <cellStyle name="Normal 3 20 10 12 2" xfId="27856" xr:uid="{00000000-0005-0000-0000-0000D6410000}"/>
    <cellStyle name="Normal 3 20 10 13" xfId="10306" xr:uid="{00000000-0005-0000-0000-0000D7410000}"/>
    <cellStyle name="Normal 3 20 10 13 2" xfId="27857" xr:uid="{00000000-0005-0000-0000-0000D8410000}"/>
    <cellStyle name="Normal 3 20 10 14" xfId="10307" xr:uid="{00000000-0005-0000-0000-0000D9410000}"/>
    <cellStyle name="Normal 3 20 10 14 2" xfId="27858" xr:uid="{00000000-0005-0000-0000-0000DA410000}"/>
    <cellStyle name="Normal 3 20 10 15" xfId="27853" xr:uid="{00000000-0005-0000-0000-0000DB410000}"/>
    <cellStyle name="Normal 3 20 10 2" xfId="10308" xr:uid="{00000000-0005-0000-0000-0000DC410000}"/>
    <cellStyle name="Normal 3 20 10 2 2" xfId="27859" xr:uid="{00000000-0005-0000-0000-0000DD410000}"/>
    <cellStyle name="Normal 3 20 10 3" xfId="10309" xr:uid="{00000000-0005-0000-0000-0000DE410000}"/>
    <cellStyle name="Normal 3 20 10 3 2" xfId="27860" xr:uid="{00000000-0005-0000-0000-0000DF410000}"/>
    <cellStyle name="Normal 3 20 10 4" xfId="10310" xr:uid="{00000000-0005-0000-0000-0000E0410000}"/>
    <cellStyle name="Normal 3 20 10 4 2" xfId="27861" xr:uid="{00000000-0005-0000-0000-0000E1410000}"/>
    <cellStyle name="Normal 3 20 10 5" xfId="10311" xr:uid="{00000000-0005-0000-0000-0000E2410000}"/>
    <cellStyle name="Normal 3 20 10 5 2" xfId="27862" xr:uid="{00000000-0005-0000-0000-0000E3410000}"/>
    <cellStyle name="Normal 3 20 10 6" xfId="10312" xr:uid="{00000000-0005-0000-0000-0000E4410000}"/>
    <cellStyle name="Normal 3 20 10 6 2" xfId="27863" xr:uid="{00000000-0005-0000-0000-0000E5410000}"/>
    <cellStyle name="Normal 3 20 10 7" xfId="10313" xr:uid="{00000000-0005-0000-0000-0000E6410000}"/>
    <cellStyle name="Normal 3 20 10 7 2" xfId="27864" xr:uid="{00000000-0005-0000-0000-0000E7410000}"/>
    <cellStyle name="Normal 3 20 10 8" xfId="10314" xr:uid="{00000000-0005-0000-0000-0000E8410000}"/>
    <cellStyle name="Normal 3 20 10 8 2" xfId="27865" xr:uid="{00000000-0005-0000-0000-0000E9410000}"/>
    <cellStyle name="Normal 3 20 10 9" xfId="10315" xr:uid="{00000000-0005-0000-0000-0000EA410000}"/>
    <cellStyle name="Normal 3 20 10 9 2" xfId="27866" xr:uid="{00000000-0005-0000-0000-0000EB410000}"/>
    <cellStyle name="Normal 3 20 11" xfId="10316" xr:uid="{00000000-0005-0000-0000-0000EC410000}"/>
    <cellStyle name="Normal 3 20 11 10" xfId="10317" xr:uid="{00000000-0005-0000-0000-0000ED410000}"/>
    <cellStyle name="Normal 3 20 11 10 2" xfId="27868" xr:uid="{00000000-0005-0000-0000-0000EE410000}"/>
    <cellStyle name="Normal 3 20 11 11" xfId="10318" xr:uid="{00000000-0005-0000-0000-0000EF410000}"/>
    <cellStyle name="Normal 3 20 11 11 2" xfId="27869" xr:uid="{00000000-0005-0000-0000-0000F0410000}"/>
    <cellStyle name="Normal 3 20 11 12" xfId="10319" xr:uid="{00000000-0005-0000-0000-0000F1410000}"/>
    <cellStyle name="Normal 3 20 11 12 2" xfId="27870" xr:uid="{00000000-0005-0000-0000-0000F2410000}"/>
    <cellStyle name="Normal 3 20 11 13" xfId="10320" xr:uid="{00000000-0005-0000-0000-0000F3410000}"/>
    <cellStyle name="Normal 3 20 11 13 2" xfId="27871" xr:uid="{00000000-0005-0000-0000-0000F4410000}"/>
    <cellStyle name="Normal 3 20 11 14" xfId="10321" xr:uid="{00000000-0005-0000-0000-0000F5410000}"/>
    <cellStyle name="Normal 3 20 11 14 2" xfId="27872" xr:uid="{00000000-0005-0000-0000-0000F6410000}"/>
    <cellStyle name="Normal 3 20 11 15" xfId="27867" xr:uid="{00000000-0005-0000-0000-0000F7410000}"/>
    <cellStyle name="Normal 3 20 11 2" xfId="10322" xr:uid="{00000000-0005-0000-0000-0000F8410000}"/>
    <cellStyle name="Normal 3 20 11 2 2" xfId="27873" xr:uid="{00000000-0005-0000-0000-0000F9410000}"/>
    <cellStyle name="Normal 3 20 11 3" xfId="10323" xr:uid="{00000000-0005-0000-0000-0000FA410000}"/>
    <cellStyle name="Normal 3 20 11 3 2" xfId="27874" xr:uid="{00000000-0005-0000-0000-0000FB410000}"/>
    <cellStyle name="Normal 3 20 11 4" xfId="10324" xr:uid="{00000000-0005-0000-0000-0000FC410000}"/>
    <cellStyle name="Normal 3 20 11 4 2" xfId="27875" xr:uid="{00000000-0005-0000-0000-0000FD410000}"/>
    <cellStyle name="Normal 3 20 11 5" xfId="10325" xr:uid="{00000000-0005-0000-0000-0000FE410000}"/>
    <cellStyle name="Normal 3 20 11 5 2" xfId="27876" xr:uid="{00000000-0005-0000-0000-0000FF410000}"/>
    <cellStyle name="Normal 3 20 11 6" xfId="10326" xr:uid="{00000000-0005-0000-0000-000000420000}"/>
    <cellStyle name="Normal 3 20 11 6 2" xfId="27877" xr:uid="{00000000-0005-0000-0000-000001420000}"/>
    <cellStyle name="Normal 3 20 11 7" xfId="10327" xr:uid="{00000000-0005-0000-0000-000002420000}"/>
    <cellStyle name="Normal 3 20 11 7 2" xfId="27878" xr:uid="{00000000-0005-0000-0000-000003420000}"/>
    <cellStyle name="Normal 3 20 11 8" xfId="10328" xr:uid="{00000000-0005-0000-0000-000004420000}"/>
    <cellStyle name="Normal 3 20 11 8 2" xfId="27879" xr:uid="{00000000-0005-0000-0000-000005420000}"/>
    <cellStyle name="Normal 3 20 11 9" xfId="10329" xr:uid="{00000000-0005-0000-0000-000006420000}"/>
    <cellStyle name="Normal 3 20 11 9 2" xfId="27880" xr:uid="{00000000-0005-0000-0000-000007420000}"/>
    <cellStyle name="Normal 3 20 12" xfId="10330" xr:uid="{00000000-0005-0000-0000-000008420000}"/>
    <cellStyle name="Normal 3 20 12 10" xfId="10331" xr:uid="{00000000-0005-0000-0000-000009420000}"/>
    <cellStyle name="Normal 3 20 12 10 2" xfId="27882" xr:uid="{00000000-0005-0000-0000-00000A420000}"/>
    <cellStyle name="Normal 3 20 12 11" xfId="10332" xr:uid="{00000000-0005-0000-0000-00000B420000}"/>
    <cellStyle name="Normal 3 20 12 11 2" xfId="27883" xr:uid="{00000000-0005-0000-0000-00000C420000}"/>
    <cellStyle name="Normal 3 20 12 12" xfId="10333" xr:uid="{00000000-0005-0000-0000-00000D420000}"/>
    <cellStyle name="Normal 3 20 12 12 2" xfId="27884" xr:uid="{00000000-0005-0000-0000-00000E420000}"/>
    <cellStyle name="Normal 3 20 12 13" xfId="10334" xr:uid="{00000000-0005-0000-0000-00000F420000}"/>
    <cellStyle name="Normal 3 20 12 13 2" xfId="27885" xr:uid="{00000000-0005-0000-0000-000010420000}"/>
    <cellStyle name="Normal 3 20 12 14" xfId="10335" xr:uid="{00000000-0005-0000-0000-000011420000}"/>
    <cellStyle name="Normal 3 20 12 14 2" xfId="27886" xr:uid="{00000000-0005-0000-0000-000012420000}"/>
    <cellStyle name="Normal 3 20 12 15" xfId="27881" xr:uid="{00000000-0005-0000-0000-000013420000}"/>
    <cellStyle name="Normal 3 20 12 2" xfId="10336" xr:uid="{00000000-0005-0000-0000-000014420000}"/>
    <cellStyle name="Normal 3 20 12 2 2" xfId="27887" xr:uid="{00000000-0005-0000-0000-000015420000}"/>
    <cellStyle name="Normal 3 20 12 3" xfId="10337" xr:uid="{00000000-0005-0000-0000-000016420000}"/>
    <cellStyle name="Normal 3 20 12 3 2" xfId="27888" xr:uid="{00000000-0005-0000-0000-000017420000}"/>
    <cellStyle name="Normal 3 20 12 4" xfId="10338" xr:uid="{00000000-0005-0000-0000-000018420000}"/>
    <cellStyle name="Normal 3 20 12 4 2" xfId="27889" xr:uid="{00000000-0005-0000-0000-000019420000}"/>
    <cellStyle name="Normal 3 20 12 5" xfId="10339" xr:uid="{00000000-0005-0000-0000-00001A420000}"/>
    <cellStyle name="Normal 3 20 12 5 2" xfId="27890" xr:uid="{00000000-0005-0000-0000-00001B420000}"/>
    <cellStyle name="Normal 3 20 12 6" xfId="10340" xr:uid="{00000000-0005-0000-0000-00001C420000}"/>
    <cellStyle name="Normal 3 20 12 6 2" xfId="27891" xr:uid="{00000000-0005-0000-0000-00001D420000}"/>
    <cellStyle name="Normal 3 20 12 7" xfId="10341" xr:uid="{00000000-0005-0000-0000-00001E420000}"/>
    <cellStyle name="Normal 3 20 12 7 2" xfId="27892" xr:uid="{00000000-0005-0000-0000-00001F420000}"/>
    <cellStyle name="Normal 3 20 12 8" xfId="10342" xr:uid="{00000000-0005-0000-0000-000020420000}"/>
    <cellStyle name="Normal 3 20 12 8 2" xfId="27893" xr:uid="{00000000-0005-0000-0000-000021420000}"/>
    <cellStyle name="Normal 3 20 12 9" xfId="10343" xr:uid="{00000000-0005-0000-0000-000022420000}"/>
    <cellStyle name="Normal 3 20 12 9 2" xfId="27894" xr:uid="{00000000-0005-0000-0000-000023420000}"/>
    <cellStyle name="Normal 3 20 13" xfId="10344" xr:uid="{00000000-0005-0000-0000-000024420000}"/>
    <cellStyle name="Normal 3 20 13 10" xfId="10345" xr:uid="{00000000-0005-0000-0000-000025420000}"/>
    <cellStyle name="Normal 3 20 13 10 2" xfId="27896" xr:uid="{00000000-0005-0000-0000-000026420000}"/>
    <cellStyle name="Normal 3 20 13 11" xfId="10346" xr:uid="{00000000-0005-0000-0000-000027420000}"/>
    <cellStyle name="Normal 3 20 13 11 2" xfId="27897" xr:uid="{00000000-0005-0000-0000-000028420000}"/>
    <cellStyle name="Normal 3 20 13 12" xfId="10347" xr:uid="{00000000-0005-0000-0000-000029420000}"/>
    <cellStyle name="Normal 3 20 13 12 2" xfId="27898" xr:uid="{00000000-0005-0000-0000-00002A420000}"/>
    <cellStyle name="Normal 3 20 13 13" xfId="10348" xr:uid="{00000000-0005-0000-0000-00002B420000}"/>
    <cellStyle name="Normal 3 20 13 13 2" xfId="27899" xr:uid="{00000000-0005-0000-0000-00002C420000}"/>
    <cellStyle name="Normal 3 20 13 14" xfId="10349" xr:uid="{00000000-0005-0000-0000-00002D420000}"/>
    <cellStyle name="Normal 3 20 13 14 2" xfId="27900" xr:uid="{00000000-0005-0000-0000-00002E420000}"/>
    <cellStyle name="Normal 3 20 13 15" xfId="27895" xr:uid="{00000000-0005-0000-0000-00002F420000}"/>
    <cellStyle name="Normal 3 20 13 2" xfId="10350" xr:uid="{00000000-0005-0000-0000-000030420000}"/>
    <cellStyle name="Normal 3 20 13 2 2" xfId="27901" xr:uid="{00000000-0005-0000-0000-000031420000}"/>
    <cellStyle name="Normal 3 20 13 3" xfId="10351" xr:uid="{00000000-0005-0000-0000-000032420000}"/>
    <cellStyle name="Normal 3 20 13 3 2" xfId="27902" xr:uid="{00000000-0005-0000-0000-000033420000}"/>
    <cellStyle name="Normal 3 20 13 4" xfId="10352" xr:uid="{00000000-0005-0000-0000-000034420000}"/>
    <cellStyle name="Normal 3 20 13 4 2" xfId="27903" xr:uid="{00000000-0005-0000-0000-000035420000}"/>
    <cellStyle name="Normal 3 20 13 5" xfId="10353" xr:uid="{00000000-0005-0000-0000-000036420000}"/>
    <cellStyle name="Normal 3 20 13 5 2" xfId="27904" xr:uid="{00000000-0005-0000-0000-000037420000}"/>
    <cellStyle name="Normal 3 20 13 6" xfId="10354" xr:uid="{00000000-0005-0000-0000-000038420000}"/>
    <cellStyle name="Normal 3 20 13 6 2" xfId="27905" xr:uid="{00000000-0005-0000-0000-000039420000}"/>
    <cellStyle name="Normal 3 20 13 7" xfId="10355" xr:uid="{00000000-0005-0000-0000-00003A420000}"/>
    <cellStyle name="Normal 3 20 13 7 2" xfId="27906" xr:uid="{00000000-0005-0000-0000-00003B420000}"/>
    <cellStyle name="Normal 3 20 13 8" xfId="10356" xr:uid="{00000000-0005-0000-0000-00003C420000}"/>
    <cellStyle name="Normal 3 20 13 8 2" xfId="27907" xr:uid="{00000000-0005-0000-0000-00003D420000}"/>
    <cellStyle name="Normal 3 20 13 9" xfId="10357" xr:uid="{00000000-0005-0000-0000-00003E420000}"/>
    <cellStyle name="Normal 3 20 13 9 2" xfId="27908" xr:uid="{00000000-0005-0000-0000-00003F420000}"/>
    <cellStyle name="Normal 3 20 14" xfId="10358" xr:uid="{00000000-0005-0000-0000-000040420000}"/>
    <cellStyle name="Normal 3 20 14 10" xfId="10359" xr:uid="{00000000-0005-0000-0000-000041420000}"/>
    <cellStyle name="Normal 3 20 14 10 2" xfId="27910" xr:uid="{00000000-0005-0000-0000-000042420000}"/>
    <cellStyle name="Normal 3 20 14 11" xfId="10360" xr:uid="{00000000-0005-0000-0000-000043420000}"/>
    <cellStyle name="Normal 3 20 14 11 2" xfId="27911" xr:uid="{00000000-0005-0000-0000-000044420000}"/>
    <cellStyle name="Normal 3 20 14 12" xfId="10361" xr:uid="{00000000-0005-0000-0000-000045420000}"/>
    <cellStyle name="Normal 3 20 14 12 2" xfId="27912" xr:uid="{00000000-0005-0000-0000-000046420000}"/>
    <cellStyle name="Normal 3 20 14 13" xfId="10362" xr:uid="{00000000-0005-0000-0000-000047420000}"/>
    <cellStyle name="Normal 3 20 14 13 2" xfId="27913" xr:uid="{00000000-0005-0000-0000-000048420000}"/>
    <cellStyle name="Normal 3 20 14 14" xfId="10363" xr:uid="{00000000-0005-0000-0000-000049420000}"/>
    <cellStyle name="Normal 3 20 14 14 2" xfId="27914" xr:uid="{00000000-0005-0000-0000-00004A420000}"/>
    <cellStyle name="Normal 3 20 14 15" xfId="27909" xr:uid="{00000000-0005-0000-0000-00004B420000}"/>
    <cellStyle name="Normal 3 20 14 2" xfId="10364" xr:uid="{00000000-0005-0000-0000-00004C420000}"/>
    <cellStyle name="Normal 3 20 14 2 2" xfId="27915" xr:uid="{00000000-0005-0000-0000-00004D420000}"/>
    <cellStyle name="Normal 3 20 14 3" xfId="10365" xr:uid="{00000000-0005-0000-0000-00004E420000}"/>
    <cellStyle name="Normal 3 20 14 3 2" xfId="27916" xr:uid="{00000000-0005-0000-0000-00004F420000}"/>
    <cellStyle name="Normal 3 20 14 4" xfId="10366" xr:uid="{00000000-0005-0000-0000-000050420000}"/>
    <cellStyle name="Normal 3 20 14 4 2" xfId="27917" xr:uid="{00000000-0005-0000-0000-000051420000}"/>
    <cellStyle name="Normal 3 20 14 5" xfId="10367" xr:uid="{00000000-0005-0000-0000-000052420000}"/>
    <cellStyle name="Normal 3 20 14 5 2" xfId="27918" xr:uid="{00000000-0005-0000-0000-000053420000}"/>
    <cellStyle name="Normal 3 20 14 6" xfId="10368" xr:uid="{00000000-0005-0000-0000-000054420000}"/>
    <cellStyle name="Normal 3 20 14 6 2" xfId="27919" xr:uid="{00000000-0005-0000-0000-000055420000}"/>
    <cellStyle name="Normal 3 20 14 7" xfId="10369" xr:uid="{00000000-0005-0000-0000-000056420000}"/>
    <cellStyle name="Normal 3 20 14 7 2" xfId="27920" xr:uid="{00000000-0005-0000-0000-000057420000}"/>
    <cellStyle name="Normal 3 20 14 8" xfId="10370" xr:uid="{00000000-0005-0000-0000-000058420000}"/>
    <cellStyle name="Normal 3 20 14 8 2" xfId="27921" xr:uid="{00000000-0005-0000-0000-000059420000}"/>
    <cellStyle name="Normal 3 20 14 9" xfId="10371" xr:uid="{00000000-0005-0000-0000-00005A420000}"/>
    <cellStyle name="Normal 3 20 14 9 2" xfId="27922" xr:uid="{00000000-0005-0000-0000-00005B420000}"/>
    <cellStyle name="Normal 3 20 15" xfId="10372" xr:uid="{00000000-0005-0000-0000-00005C420000}"/>
    <cellStyle name="Normal 3 20 15 2" xfId="27923" xr:uid="{00000000-0005-0000-0000-00005D420000}"/>
    <cellStyle name="Normal 3 20 16" xfId="10373" xr:uid="{00000000-0005-0000-0000-00005E420000}"/>
    <cellStyle name="Normal 3 20 16 2" xfId="27924" xr:uid="{00000000-0005-0000-0000-00005F420000}"/>
    <cellStyle name="Normal 3 20 17" xfId="10374" xr:uid="{00000000-0005-0000-0000-000060420000}"/>
    <cellStyle name="Normal 3 20 17 2" xfId="27925" xr:uid="{00000000-0005-0000-0000-000061420000}"/>
    <cellStyle name="Normal 3 20 18" xfId="10375" xr:uid="{00000000-0005-0000-0000-000062420000}"/>
    <cellStyle name="Normal 3 20 18 2" xfId="27926" xr:uid="{00000000-0005-0000-0000-000063420000}"/>
    <cellStyle name="Normal 3 20 19" xfId="10376" xr:uid="{00000000-0005-0000-0000-000064420000}"/>
    <cellStyle name="Normal 3 20 19 2" xfId="27927" xr:uid="{00000000-0005-0000-0000-000065420000}"/>
    <cellStyle name="Normal 3 20 2" xfId="10377" xr:uid="{00000000-0005-0000-0000-000066420000}"/>
    <cellStyle name="Normal 3 20 20" xfId="10378" xr:uid="{00000000-0005-0000-0000-000067420000}"/>
    <cellStyle name="Normal 3 20 20 2" xfId="27928" xr:uid="{00000000-0005-0000-0000-000068420000}"/>
    <cellStyle name="Normal 3 20 21" xfId="10379" xr:uid="{00000000-0005-0000-0000-000069420000}"/>
    <cellStyle name="Normal 3 20 21 2" xfId="27929" xr:uid="{00000000-0005-0000-0000-00006A420000}"/>
    <cellStyle name="Normal 3 20 22" xfId="10380" xr:uid="{00000000-0005-0000-0000-00006B420000}"/>
    <cellStyle name="Normal 3 20 22 2" xfId="27930" xr:uid="{00000000-0005-0000-0000-00006C420000}"/>
    <cellStyle name="Normal 3 20 23" xfId="10381" xr:uid="{00000000-0005-0000-0000-00006D420000}"/>
    <cellStyle name="Normal 3 20 23 2" xfId="27931" xr:uid="{00000000-0005-0000-0000-00006E420000}"/>
    <cellStyle name="Normal 3 20 24" xfId="10382" xr:uid="{00000000-0005-0000-0000-00006F420000}"/>
    <cellStyle name="Normal 3 20 24 2" xfId="27932" xr:uid="{00000000-0005-0000-0000-000070420000}"/>
    <cellStyle name="Normal 3 20 25" xfId="10383" xr:uid="{00000000-0005-0000-0000-000071420000}"/>
    <cellStyle name="Normal 3 20 25 2" xfId="27933" xr:uid="{00000000-0005-0000-0000-000072420000}"/>
    <cellStyle name="Normal 3 20 26" xfId="10384" xr:uid="{00000000-0005-0000-0000-000073420000}"/>
    <cellStyle name="Normal 3 20 26 2" xfId="27934" xr:uid="{00000000-0005-0000-0000-000074420000}"/>
    <cellStyle name="Normal 3 20 27" xfId="10385" xr:uid="{00000000-0005-0000-0000-000075420000}"/>
    <cellStyle name="Normal 3 20 27 2" xfId="27935" xr:uid="{00000000-0005-0000-0000-000076420000}"/>
    <cellStyle name="Normal 3 20 28" xfId="27852" xr:uid="{00000000-0005-0000-0000-000077420000}"/>
    <cellStyle name="Normal 3 20 3" xfId="10386" xr:uid="{00000000-0005-0000-0000-000078420000}"/>
    <cellStyle name="Normal 3 20 4" xfId="10387" xr:uid="{00000000-0005-0000-0000-000079420000}"/>
    <cellStyle name="Normal 3 20 5" xfId="10388" xr:uid="{00000000-0005-0000-0000-00007A420000}"/>
    <cellStyle name="Normal 3 20 6" xfId="10389" xr:uid="{00000000-0005-0000-0000-00007B420000}"/>
    <cellStyle name="Normal 3 20 6 10" xfId="10390" xr:uid="{00000000-0005-0000-0000-00007C420000}"/>
    <cellStyle name="Normal 3 20 6 10 2" xfId="27937" xr:uid="{00000000-0005-0000-0000-00007D420000}"/>
    <cellStyle name="Normal 3 20 6 11" xfId="10391" xr:uid="{00000000-0005-0000-0000-00007E420000}"/>
    <cellStyle name="Normal 3 20 6 11 2" xfId="27938" xr:uid="{00000000-0005-0000-0000-00007F420000}"/>
    <cellStyle name="Normal 3 20 6 12" xfId="10392" xr:uid="{00000000-0005-0000-0000-000080420000}"/>
    <cellStyle name="Normal 3 20 6 12 2" xfId="27939" xr:uid="{00000000-0005-0000-0000-000081420000}"/>
    <cellStyle name="Normal 3 20 6 13" xfId="10393" xr:uid="{00000000-0005-0000-0000-000082420000}"/>
    <cellStyle name="Normal 3 20 6 13 2" xfId="27940" xr:uid="{00000000-0005-0000-0000-000083420000}"/>
    <cellStyle name="Normal 3 20 6 14" xfId="10394" xr:uid="{00000000-0005-0000-0000-000084420000}"/>
    <cellStyle name="Normal 3 20 6 14 2" xfId="27941" xr:uid="{00000000-0005-0000-0000-000085420000}"/>
    <cellStyle name="Normal 3 20 6 15" xfId="10395" xr:uid="{00000000-0005-0000-0000-000086420000}"/>
    <cellStyle name="Normal 3 20 6 15 2" xfId="27942" xr:uid="{00000000-0005-0000-0000-000087420000}"/>
    <cellStyle name="Normal 3 20 6 16" xfId="27936" xr:uid="{00000000-0005-0000-0000-000088420000}"/>
    <cellStyle name="Normal 3 20 6 2" xfId="10396" xr:uid="{00000000-0005-0000-0000-000089420000}"/>
    <cellStyle name="Normal 3 20 6 2 10" xfId="10397" xr:uid="{00000000-0005-0000-0000-00008A420000}"/>
    <cellStyle name="Normal 3 20 6 2 10 2" xfId="27944" xr:uid="{00000000-0005-0000-0000-00008B420000}"/>
    <cellStyle name="Normal 3 20 6 2 11" xfId="10398" xr:uid="{00000000-0005-0000-0000-00008C420000}"/>
    <cellStyle name="Normal 3 20 6 2 11 2" xfId="27945" xr:uid="{00000000-0005-0000-0000-00008D420000}"/>
    <cellStyle name="Normal 3 20 6 2 12" xfId="10399" xr:uid="{00000000-0005-0000-0000-00008E420000}"/>
    <cellStyle name="Normal 3 20 6 2 12 2" xfId="27946" xr:uid="{00000000-0005-0000-0000-00008F420000}"/>
    <cellStyle name="Normal 3 20 6 2 13" xfId="10400" xr:uid="{00000000-0005-0000-0000-000090420000}"/>
    <cellStyle name="Normal 3 20 6 2 13 2" xfId="27947" xr:uid="{00000000-0005-0000-0000-000091420000}"/>
    <cellStyle name="Normal 3 20 6 2 14" xfId="10401" xr:uid="{00000000-0005-0000-0000-000092420000}"/>
    <cellStyle name="Normal 3 20 6 2 14 2" xfId="27948" xr:uid="{00000000-0005-0000-0000-000093420000}"/>
    <cellStyle name="Normal 3 20 6 2 15" xfId="27943" xr:uid="{00000000-0005-0000-0000-000094420000}"/>
    <cellStyle name="Normal 3 20 6 2 2" xfId="10402" xr:uid="{00000000-0005-0000-0000-000095420000}"/>
    <cellStyle name="Normal 3 20 6 2 2 2" xfId="27949" xr:uid="{00000000-0005-0000-0000-000096420000}"/>
    <cellStyle name="Normal 3 20 6 2 3" xfId="10403" xr:uid="{00000000-0005-0000-0000-000097420000}"/>
    <cellStyle name="Normal 3 20 6 2 3 2" xfId="27950" xr:uid="{00000000-0005-0000-0000-000098420000}"/>
    <cellStyle name="Normal 3 20 6 2 4" xfId="10404" xr:uid="{00000000-0005-0000-0000-000099420000}"/>
    <cellStyle name="Normal 3 20 6 2 4 2" xfId="27951" xr:uid="{00000000-0005-0000-0000-00009A420000}"/>
    <cellStyle name="Normal 3 20 6 2 5" xfId="10405" xr:uid="{00000000-0005-0000-0000-00009B420000}"/>
    <cellStyle name="Normal 3 20 6 2 5 2" xfId="27952" xr:uid="{00000000-0005-0000-0000-00009C420000}"/>
    <cellStyle name="Normal 3 20 6 2 6" xfId="10406" xr:uid="{00000000-0005-0000-0000-00009D420000}"/>
    <cellStyle name="Normal 3 20 6 2 6 2" xfId="27953" xr:uid="{00000000-0005-0000-0000-00009E420000}"/>
    <cellStyle name="Normal 3 20 6 2 7" xfId="10407" xr:uid="{00000000-0005-0000-0000-00009F420000}"/>
    <cellStyle name="Normal 3 20 6 2 7 2" xfId="27954" xr:uid="{00000000-0005-0000-0000-0000A0420000}"/>
    <cellStyle name="Normal 3 20 6 2 8" xfId="10408" xr:uid="{00000000-0005-0000-0000-0000A1420000}"/>
    <cellStyle name="Normal 3 20 6 2 8 2" xfId="27955" xr:uid="{00000000-0005-0000-0000-0000A2420000}"/>
    <cellStyle name="Normal 3 20 6 2 9" xfId="10409" xr:uid="{00000000-0005-0000-0000-0000A3420000}"/>
    <cellStyle name="Normal 3 20 6 2 9 2" xfId="27956" xr:uid="{00000000-0005-0000-0000-0000A4420000}"/>
    <cellStyle name="Normal 3 20 6 3" xfId="10410" xr:uid="{00000000-0005-0000-0000-0000A5420000}"/>
    <cellStyle name="Normal 3 20 6 3 2" xfId="27957" xr:uid="{00000000-0005-0000-0000-0000A6420000}"/>
    <cellStyle name="Normal 3 20 6 4" xfId="10411" xr:uid="{00000000-0005-0000-0000-0000A7420000}"/>
    <cellStyle name="Normal 3 20 6 4 2" xfId="27958" xr:uid="{00000000-0005-0000-0000-0000A8420000}"/>
    <cellStyle name="Normal 3 20 6 5" xfId="10412" xr:uid="{00000000-0005-0000-0000-0000A9420000}"/>
    <cellStyle name="Normal 3 20 6 5 2" xfId="27959" xr:uid="{00000000-0005-0000-0000-0000AA420000}"/>
    <cellStyle name="Normal 3 20 6 6" xfId="10413" xr:uid="{00000000-0005-0000-0000-0000AB420000}"/>
    <cellStyle name="Normal 3 20 6 6 2" xfId="27960" xr:uid="{00000000-0005-0000-0000-0000AC420000}"/>
    <cellStyle name="Normal 3 20 6 7" xfId="10414" xr:uid="{00000000-0005-0000-0000-0000AD420000}"/>
    <cellStyle name="Normal 3 20 6 7 2" xfId="27961" xr:uid="{00000000-0005-0000-0000-0000AE420000}"/>
    <cellStyle name="Normal 3 20 6 8" xfId="10415" xr:uid="{00000000-0005-0000-0000-0000AF420000}"/>
    <cellStyle name="Normal 3 20 6 8 2" xfId="27962" xr:uid="{00000000-0005-0000-0000-0000B0420000}"/>
    <cellStyle name="Normal 3 20 6 9" xfId="10416" xr:uid="{00000000-0005-0000-0000-0000B1420000}"/>
    <cellStyle name="Normal 3 20 6 9 2" xfId="27963" xr:uid="{00000000-0005-0000-0000-0000B2420000}"/>
    <cellStyle name="Normal 3 20 7" xfId="10417" xr:uid="{00000000-0005-0000-0000-0000B3420000}"/>
    <cellStyle name="Normal 3 20 7 10" xfId="10418" xr:uid="{00000000-0005-0000-0000-0000B4420000}"/>
    <cellStyle name="Normal 3 20 7 10 2" xfId="27965" xr:uid="{00000000-0005-0000-0000-0000B5420000}"/>
    <cellStyle name="Normal 3 20 7 11" xfId="10419" xr:uid="{00000000-0005-0000-0000-0000B6420000}"/>
    <cellStyle name="Normal 3 20 7 11 2" xfId="27966" xr:uid="{00000000-0005-0000-0000-0000B7420000}"/>
    <cellStyle name="Normal 3 20 7 12" xfId="10420" xr:uid="{00000000-0005-0000-0000-0000B8420000}"/>
    <cellStyle name="Normal 3 20 7 12 2" xfId="27967" xr:uid="{00000000-0005-0000-0000-0000B9420000}"/>
    <cellStyle name="Normal 3 20 7 13" xfId="10421" xr:uid="{00000000-0005-0000-0000-0000BA420000}"/>
    <cellStyle name="Normal 3 20 7 13 2" xfId="27968" xr:uid="{00000000-0005-0000-0000-0000BB420000}"/>
    <cellStyle name="Normal 3 20 7 14" xfId="10422" xr:uid="{00000000-0005-0000-0000-0000BC420000}"/>
    <cellStyle name="Normal 3 20 7 14 2" xfId="27969" xr:uid="{00000000-0005-0000-0000-0000BD420000}"/>
    <cellStyle name="Normal 3 20 7 15" xfId="10423" xr:uid="{00000000-0005-0000-0000-0000BE420000}"/>
    <cellStyle name="Normal 3 20 7 15 2" xfId="27970" xr:uid="{00000000-0005-0000-0000-0000BF420000}"/>
    <cellStyle name="Normal 3 20 7 16" xfId="27964" xr:uid="{00000000-0005-0000-0000-0000C0420000}"/>
    <cellStyle name="Normal 3 20 7 2" xfId="10424" xr:uid="{00000000-0005-0000-0000-0000C1420000}"/>
    <cellStyle name="Normal 3 20 7 2 10" xfId="10425" xr:uid="{00000000-0005-0000-0000-0000C2420000}"/>
    <cellStyle name="Normal 3 20 7 2 10 2" xfId="27972" xr:uid="{00000000-0005-0000-0000-0000C3420000}"/>
    <cellStyle name="Normal 3 20 7 2 11" xfId="10426" xr:uid="{00000000-0005-0000-0000-0000C4420000}"/>
    <cellStyle name="Normal 3 20 7 2 11 2" xfId="27973" xr:uid="{00000000-0005-0000-0000-0000C5420000}"/>
    <cellStyle name="Normal 3 20 7 2 12" xfId="10427" xr:uid="{00000000-0005-0000-0000-0000C6420000}"/>
    <cellStyle name="Normal 3 20 7 2 12 2" xfId="27974" xr:uid="{00000000-0005-0000-0000-0000C7420000}"/>
    <cellStyle name="Normal 3 20 7 2 13" xfId="10428" xr:uid="{00000000-0005-0000-0000-0000C8420000}"/>
    <cellStyle name="Normal 3 20 7 2 13 2" xfId="27975" xr:uid="{00000000-0005-0000-0000-0000C9420000}"/>
    <cellStyle name="Normal 3 20 7 2 14" xfId="10429" xr:uid="{00000000-0005-0000-0000-0000CA420000}"/>
    <cellStyle name="Normal 3 20 7 2 14 2" xfId="27976" xr:uid="{00000000-0005-0000-0000-0000CB420000}"/>
    <cellStyle name="Normal 3 20 7 2 15" xfId="27971" xr:uid="{00000000-0005-0000-0000-0000CC420000}"/>
    <cellStyle name="Normal 3 20 7 2 2" xfId="10430" xr:uid="{00000000-0005-0000-0000-0000CD420000}"/>
    <cellStyle name="Normal 3 20 7 2 2 2" xfId="27977" xr:uid="{00000000-0005-0000-0000-0000CE420000}"/>
    <cellStyle name="Normal 3 20 7 2 3" xfId="10431" xr:uid="{00000000-0005-0000-0000-0000CF420000}"/>
    <cellStyle name="Normal 3 20 7 2 3 2" xfId="27978" xr:uid="{00000000-0005-0000-0000-0000D0420000}"/>
    <cellStyle name="Normal 3 20 7 2 4" xfId="10432" xr:uid="{00000000-0005-0000-0000-0000D1420000}"/>
    <cellStyle name="Normal 3 20 7 2 4 2" xfId="27979" xr:uid="{00000000-0005-0000-0000-0000D2420000}"/>
    <cellStyle name="Normal 3 20 7 2 5" xfId="10433" xr:uid="{00000000-0005-0000-0000-0000D3420000}"/>
    <cellStyle name="Normal 3 20 7 2 5 2" xfId="27980" xr:uid="{00000000-0005-0000-0000-0000D4420000}"/>
    <cellStyle name="Normal 3 20 7 2 6" xfId="10434" xr:uid="{00000000-0005-0000-0000-0000D5420000}"/>
    <cellStyle name="Normal 3 20 7 2 6 2" xfId="27981" xr:uid="{00000000-0005-0000-0000-0000D6420000}"/>
    <cellStyle name="Normal 3 20 7 2 7" xfId="10435" xr:uid="{00000000-0005-0000-0000-0000D7420000}"/>
    <cellStyle name="Normal 3 20 7 2 7 2" xfId="27982" xr:uid="{00000000-0005-0000-0000-0000D8420000}"/>
    <cellStyle name="Normal 3 20 7 2 8" xfId="10436" xr:uid="{00000000-0005-0000-0000-0000D9420000}"/>
    <cellStyle name="Normal 3 20 7 2 8 2" xfId="27983" xr:uid="{00000000-0005-0000-0000-0000DA420000}"/>
    <cellStyle name="Normal 3 20 7 2 9" xfId="10437" xr:uid="{00000000-0005-0000-0000-0000DB420000}"/>
    <cellStyle name="Normal 3 20 7 2 9 2" xfId="27984" xr:uid="{00000000-0005-0000-0000-0000DC420000}"/>
    <cellStyle name="Normal 3 20 7 3" xfId="10438" xr:uid="{00000000-0005-0000-0000-0000DD420000}"/>
    <cellStyle name="Normal 3 20 7 3 2" xfId="27985" xr:uid="{00000000-0005-0000-0000-0000DE420000}"/>
    <cellStyle name="Normal 3 20 7 4" xfId="10439" xr:uid="{00000000-0005-0000-0000-0000DF420000}"/>
    <cellStyle name="Normal 3 20 7 4 2" xfId="27986" xr:uid="{00000000-0005-0000-0000-0000E0420000}"/>
    <cellStyle name="Normal 3 20 7 5" xfId="10440" xr:uid="{00000000-0005-0000-0000-0000E1420000}"/>
    <cellStyle name="Normal 3 20 7 5 2" xfId="27987" xr:uid="{00000000-0005-0000-0000-0000E2420000}"/>
    <cellStyle name="Normal 3 20 7 6" xfId="10441" xr:uid="{00000000-0005-0000-0000-0000E3420000}"/>
    <cellStyle name="Normal 3 20 7 6 2" xfId="27988" xr:uid="{00000000-0005-0000-0000-0000E4420000}"/>
    <cellStyle name="Normal 3 20 7 7" xfId="10442" xr:uid="{00000000-0005-0000-0000-0000E5420000}"/>
    <cellStyle name="Normal 3 20 7 7 2" xfId="27989" xr:uid="{00000000-0005-0000-0000-0000E6420000}"/>
    <cellStyle name="Normal 3 20 7 8" xfId="10443" xr:uid="{00000000-0005-0000-0000-0000E7420000}"/>
    <cellStyle name="Normal 3 20 7 8 2" xfId="27990" xr:uid="{00000000-0005-0000-0000-0000E8420000}"/>
    <cellStyle name="Normal 3 20 7 9" xfId="10444" xr:uid="{00000000-0005-0000-0000-0000E9420000}"/>
    <cellStyle name="Normal 3 20 7 9 2" xfId="27991" xr:uid="{00000000-0005-0000-0000-0000EA420000}"/>
    <cellStyle name="Normal 3 20 8" xfId="10445" xr:uid="{00000000-0005-0000-0000-0000EB420000}"/>
    <cellStyle name="Normal 3 20 8 10" xfId="10446" xr:uid="{00000000-0005-0000-0000-0000EC420000}"/>
    <cellStyle name="Normal 3 20 8 10 2" xfId="27993" xr:uid="{00000000-0005-0000-0000-0000ED420000}"/>
    <cellStyle name="Normal 3 20 8 11" xfId="10447" xr:uid="{00000000-0005-0000-0000-0000EE420000}"/>
    <cellStyle name="Normal 3 20 8 11 2" xfId="27994" xr:uid="{00000000-0005-0000-0000-0000EF420000}"/>
    <cellStyle name="Normal 3 20 8 12" xfId="10448" xr:uid="{00000000-0005-0000-0000-0000F0420000}"/>
    <cellStyle name="Normal 3 20 8 12 2" xfId="27995" xr:uid="{00000000-0005-0000-0000-0000F1420000}"/>
    <cellStyle name="Normal 3 20 8 13" xfId="10449" xr:uid="{00000000-0005-0000-0000-0000F2420000}"/>
    <cellStyle name="Normal 3 20 8 13 2" xfId="27996" xr:uid="{00000000-0005-0000-0000-0000F3420000}"/>
    <cellStyle name="Normal 3 20 8 14" xfId="10450" xr:uid="{00000000-0005-0000-0000-0000F4420000}"/>
    <cellStyle name="Normal 3 20 8 14 2" xfId="27997" xr:uid="{00000000-0005-0000-0000-0000F5420000}"/>
    <cellStyle name="Normal 3 20 8 15" xfId="10451" xr:uid="{00000000-0005-0000-0000-0000F6420000}"/>
    <cellStyle name="Normal 3 20 8 15 2" xfId="27998" xr:uid="{00000000-0005-0000-0000-0000F7420000}"/>
    <cellStyle name="Normal 3 20 8 16" xfId="27992" xr:uid="{00000000-0005-0000-0000-0000F8420000}"/>
    <cellStyle name="Normal 3 20 8 2" xfId="10452" xr:uid="{00000000-0005-0000-0000-0000F9420000}"/>
    <cellStyle name="Normal 3 20 8 2 10" xfId="10453" xr:uid="{00000000-0005-0000-0000-0000FA420000}"/>
    <cellStyle name="Normal 3 20 8 2 10 2" xfId="28000" xr:uid="{00000000-0005-0000-0000-0000FB420000}"/>
    <cellStyle name="Normal 3 20 8 2 11" xfId="10454" xr:uid="{00000000-0005-0000-0000-0000FC420000}"/>
    <cellStyle name="Normal 3 20 8 2 11 2" xfId="28001" xr:uid="{00000000-0005-0000-0000-0000FD420000}"/>
    <cellStyle name="Normal 3 20 8 2 12" xfId="10455" xr:uid="{00000000-0005-0000-0000-0000FE420000}"/>
    <cellStyle name="Normal 3 20 8 2 12 2" xfId="28002" xr:uid="{00000000-0005-0000-0000-0000FF420000}"/>
    <cellStyle name="Normal 3 20 8 2 13" xfId="10456" xr:uid="{00000000-0005-0000-0000-000000430000}"/>
    <cellStyle name="Normal 3 20 8 2 13 2" xfId="28003" xr:uid="{00000000-0005-0000-0000-000001430000}"/>
    <cellStyle name="Normal 3 20 8 2 14" xfId="10457" xr:uid="{00000000-0005-0000-0000-000002430000}"/>
    <cellStyle name="Normal 3 20 8 2 14 2" xfId="28004" xr:uid="{00000000-0005-0000-0000-000003430000}"/>
    <cellStyle name="Normal 3 20 8 2 15" xfId="27999" xr:uid="{00000000-0005-0000-0000-000004430000}"/>
    <cellStyle name="Normal 3 20 8 2 2" xfId="10458" xr:uid="{00000000-0005-0000-0000-000005430000}"/>
    <cellStyle name="Normal 3 20 8 2 2 2" xfId="28005" xr:uid="{00000000-0005-0000-0000-000006430000}"/>
    <cellStyle name="Normal 3 20 8 2 3" xfId="10459" xr:uid="{00000000-0005-0000-0000-000007430000}"/>
    <cellStyle name="Normal 3 20 8 2 3 2" xfId="28006" xr:uid="{00000000-0005-0000-0000-000008430000}"/>
    <cellStyle name="Normal 3 20 8 2 4" xfId="10460" xr:uid="{00000000-0005-0000-0000-000009430000}"/>
    <cellStyle name="Normal 3 20 8 2 4 2" xfId="28007" xr:uid="{00000000-0005-0000-0000-00000A430000}"/>
    <cellStyle name="Normal 3 20 8 2 5" xfId="10461" xr:uid="{00000000-0005-0000-0000-00000B430000}"/>
    <cellStyle name="Normal 3 20 8 2 5 2" xfId="28008" xr:uid="{00000000-0005-0000-0000-00000C430000}"/>
    <cellStyle name="Normal 3 20 8 2 6" xfId="10462" xr:uid="{00000000-0005-0000-0000-00000D430000}"/>
    <cellStyle name="Normal 3 20 8 2 6 2" xfId="28009" xr:uid="{00000000-0005-0000-0000-00000E430000}"/>
    <cellStyle name="Normal 3 20 8 2 7" xfId="10463" xr:uid="{00000000-0005-0000-0000-00000F430000}"/>
    <cellStyle name="Normal 3 20 8 2 7 2" xfId="28010" xr:uid="{00000000-0005-0000-0000-000010430000}"/>
    <cellStyle name="Normal 3 20 8 2 8" xfId="10464" xr:uid="{00000000-0005-0000-0000-000011430000}"/>
    <cellStyle name="Normal 3 20 8 2 8 2" xfId="28011" xr:uid="{00000000-0005-0000-0000-000012430000}"/>
    <cellStyle name="Normal 3 20 8 2 9" xfId="10465" xr:uid="{00000000-0005-0000-0000-000013430000}"/>
    <cellStyle name="Normal 3 20 8 2 9 2" xfId="28012" xr:uid="{00000000-0005-0000-0000-000014430000}"/>
    <cellStyle name="Normal 3 20 8 3" xfId="10466" xr:uid="{00000000-0005-0000-0000-000015430000}"/>
    <cellStyle name="Normal 3 20 8 3 2" xfId="28013" xr:uid="{00000000-0005-0000-0000-000016430000}"/>
    <cellStyle name="Normal 3 20 8 4" xfId="10467" xr:uid="{00000000-0005-0000-0000-000017430000}"/>
    <cellStyle name="Normal 3 20 8 4 2" xfId="28014" xr:uid="{00000000-0005-0000-0000-000018430000}"/>
    <cellStyle name="Normal 3 20 8 5" xfId="10468" xr:uid="{00000000-0005-0000-0000-000019430000}"/>
    <cellStyle name="Normal 3 20 8 5 2" xfId="28015" xr:uid="{00000000-0005-0000-0000-00001A430000}"/>
    <cellStyle name="Normal 3 20 8 6" xfId="10469" xr:uid="{00000000-0005-0000-0000-00001B430000}"/>
    <cellStyle name="Normal 3 20 8 6 2" xfId="28016" xr:uid="{00000000-0005-0000-0000-00001C430000}"/>
    <cellStyle name="Normal 3 20 8 7" xfId="10470" xr:uid="{00000000-0005-0000-0000-00001D430000}"/>
    <cellStyle name="Normal 3 20 8 7 2" xfId="28017" xr:uid="{00000000-0005-0000-0000-00001E430000}"/>
    <cellStyle name="Normal 3 20 8 8" xfId="10471" xr:uid="{00000000-0005-0000-0000-00001F430000}"/>
    <cellStyle name="Normal 3 20 8 8 2" xfId="28018" xr:uid="{00000000-0005-0000-0000-000020430000}"/>
    <cellStyle name="Normal 3 20 8 9" xfId="10472" xr:uid="{00000000-0005-0000-0000-000021430000}"/>
    <cellStyle name="Normal 3 20 8 9 2" xfId="28019" xr:uid="{00000000-0005-0000-0000-000022430000}"/>
    <cellStyle name="Normal 3 20 9" xfId="10473" xr:uid="{00000000-0005-0000-0000-000023430000}"/>
    <cellStyle name="Normal 3 20 9 10" xfId="10474" xr:uid="{00000000-0005-0000-0000-000024430000}"/>
    <cellStyle name="Normal 3 20 9 10 2" xfId="28021" xr:uid="{00000000-0005-0000-0000-000025430000}"/>
    <cellStyle name="Normal 3 20 9 11" xfId="10475" xr:uid="{00000000-0005-0000-0000-000026430000}"/>
    <cellStyle name="Normal 3 20 9 11 2" xfId="28022" xr:uid="{00000000-0005-0000-0000-000027430000}"/>
    <cellStyle name="Normal 3 20 9 12" xfId="10476" xr:uid="{00000000-0005-0000-0000-000028430000}"/>
    <cellStyle name="Normal 3 20 9 12 2" xfId="28023" xr:uid="{00000000-0005-0000-0000-000029430000}"/>
    <cellStyle name="Normal 3 20 9 13" xfId="10477" xr:uid="{00000000-0005-0000-0000-00002A430000}"/>
    <cellStyle name="Normal 3 20 9 13 2" xfId="28024" xr:uid="{00000000-0005-0000-0000-00002B430000}"/>
    <cellStyle name="Normal 3 20 9 14" xfId="10478" xr:uid="{00000000-0005-0000-0000-00002C430000}"/>
    <cellStyle name="Normal 3 20 9 14 2" xfId="28025" xr:uid="{00000000-0005-0000-0000-00002D430000}"/>
    <cellStyle name="Normal 3 20 9 15" xfId="28020" xr:uid="{00000000-0005-0000-0000-00002E430000}"/>
    <cellStyle name="Normal 3 20 9 2" xfId="10479" xr:uid="{00000000-0005-0000-0000-00002F430000}"/>
    <cellStyle name="Normal 3 20 9 2 2" xfId="28026" xr:uid="{00000000-0005-0000-0000-000030430000}"/>
    <cellStyle name="Normal 3 20 9 3" xfId="10480" xr:uid="{00000000-0005-0000-0000-000031430000}"/>
    <cellStyle name="Normal 3 20 9 3 2" xfId="28027" xr:uid="{00000000-0005-0000-0000-000032430000}"/>
    <cellStyle name="Normal 3 20 9 4" xfId="10481" xr:uid="{00000000-0005-0000-0000-000033430000}"/>
    <cellStyle name="Normal 3 20 9 4 2" xfId="28028" xr:uid="{00000000-0005-0000-0000-000034430000}"/>
    <cellStyle name="Normal 3 20 9 5" xfId="10482" xr:uid="{00000000-0005-0000-0000-000035430000}"/>
    <cellStyle name="Normal 3 20 9 5 2" xfId="28029" xr:uid="{00000000-0005-0000-0000-000036430000}"/>
    <cellStyle name="Normal 3 20 9 6" xfId="10483" xr:uid="{00000000-0005-0000-0000-000037430000}"/>
    <cellStyle name="Normal 3 20 9 6 2" xfId="28030" xr:uid="{00000000-0005-0000-0000-000038430000}"/>
    <cellStyle name="Normal 3 20 9 7" xfId="10484" xr:uid="{00000000-0005-0000-0000-000039430000}"/>
    <cellStyle name="Normal 3 20 9 7 2" xfId="28031" xr:uid="{00000000-0005-0000-0000-00003A430000}"/>
    <cellStyle name="Normal 3 20 9 8" xfId="10485" xr:uid="{00000000-0005-0000-0000-00003B430000}"/>
    <cellStyle name="Normal 3 20 9 8 2" xfId="28032" xr:uid="{00000000-0005-0000-0000-00003C430000}"/>
    <cellStyle name="Normal 3 20 9 9" xfId="10486" xr:uid="{00000000-0005-0000-0000-00003D430000}"/>
    <cellStyle name="Normal 3 20 9 9 2" xfId="28033" xr:uid="{00000000-0005-0000-0000-00003E430000}"/>
    <cellStyle name="Normal 3 21" xfId="10487" xr:uid="{00000000-0005-0000-0000-00003F430000}"/>
    <cellStyle name="Normal 3 21 10" xfId="10488" xr:uid="{00000000-0005-0000-0000-000040430000}"/>
    <cellStyle name="Normal 3 21 10 10" xfId="10489" xr:uid="{00000000-0005-0000-0000-000041430000}"/>
    <cellStyle name="Normal 3 21 10 10 2" xfId="28036" xr:uid="{00000000-0005-0000-0000-000042430000}"/>
    <cellStyle name="Normal 3 21 10 11" xfId="10490" xr:uid="{00000000-0005-0000-0000-000043430000}"/>
    <cellStyle name="Normal 3 21 10 11 2" xfId="28037" xr:uid="{00000000-0005-0000-0000-000044430000}"/>
    <cellStyle name="Normal 3 21 10 12" xfId="10491" xr:uid="{00000000-0005-0000-0000-000045430000}"/>
    <cellStyle name="Normal 3 21 10 12 2" xfId="28038" xr:uid="{00000000-0005-0000-0000-000046430000}"/>
    <cellStyle name="Normal 3 21 10 13" xfId="10492" xr:uid="{00000000-0005-0000-0000-000047430000}"/>
    <cellStyle name="Normal 3 21 10 13 2" xfId="28039" xr:uid="{00000000-0005-0000-0000-000048430000}"/>
    <cellStyle name="Normal 3 21 10 14" xfId="10493" xr:uid="{00000000-0005-0000-0000-000049430000}"/>
    <cellStyle name="Normal 3 21 10 14 2" xfId="28040" xr:uid="{00000000-0005-0000-0000-00004A430000}"/>
    <cellStyle name="Normal 3 21 10 15" xfId="28035" xr:uid="{00000000-0005-0000-0000-00004B430000}"/>
    <cellStyle name="Normal 3 21 10 2" xfId="10494" xr:uid="{00000000-0005-0000-0000-00004C430000}"/>
    <cellStyle name="Normal 3 21 10 2 2" xfId="28041" xr:uid="{00000000-0005-0000-0000-00004D430000}"/>
    <cellStyle name="Normal 3 21 10 3" xfId="10495" xr:uid="{00000000-0005-0000-0000-00004E430000}"/>
    <cellStyle name="Normal 3 21 10 3 2" xfId="28042" xr:uid="{00000000-0005-0000-0000-00004F430000}"/>
    <cellStyle name="Normal 3 21 10 4" xfId="10496" xr:uid="{00000000-0005-0000-0000-000050430000}"/>
    <cellStyle name="Normal 3 21 10 4 2" xfId="28043" xr:uid="{00000000-0005-0000-0000-000051430000}"/>
    <cellStyle name="Normal 3 21 10 5" xfId="10497" xr:uid="{00000000-0005-0000-0000-000052430000}"/>
    <cellStyle name="Normal 3 21 10 5 2" xfId="28044" xr:uid="{00000000-0005-0000-0000-000053430000}"/>
    <cellStyle name="Normal 3 21 10 6" xfId="10498" xr:uid="{00000000-0005-0000-0000-000054430000}"/>
    <cellStyle name="Normal 3 21 10 6 2" xfId="28045" xr:uid="{00000000-0005-0000-0000-000055430000}"/>
    <cellStyle name="Normal 3 21 10 7" xfId="10499" xr:uid="{00000000-0005-0000-0000-000056430000}"/>
    <cellStyle name="Normal 3 21 10 7 2" xfId="28046" xr:uid="{00000000-0005-0000-0000-000057430000}"/>
    <cellStyle name="Normal 3 21 10 8" xfId="10500" xr:uid="{00000000-0005-0000-0000-000058430000}"/>
    <cellStyle name="Normal 3 21 10 8 2" xfId="28047" xr:uid="{00000000-0005-0000-0000-000059430000}"/>
    <cellStyle name="Normal 3 21 10 9" xfId="10501" xr:uid="{00000000-0005-0000-0000-00005A430000}"/>
    <cellStyle name="Normal 3 21 10 9 2" xfId="28048" xr:uid="{00000000-0005-0000-0000-00005B430000}"/>
    <cellStyle name="Normal 3 21 11" xfId="10502" xr:uid="{00000000-0005-0000-0000-00005C430000}"/>
    <cellStyle name="Normal 3 21 11 10" xfId="10503" xr:uid="{00000000-0005-0000-0000-00005D430000}"/>
    <cellStyle name="Normal 3 21 11 10 2" xfId="28050" xr:uid="{00000000-0005-0000-0000-00005E430000}"/>
    <cellStyle name="Normal 3 21 11 11" xfId="10504" xr:uid="{00000000-0005-0000-0000-00005F430000}"/>
    <cellStyle name="Normal 3 21 11 11 2" xfId="28051" xr:uid="{00000000-0005-0000-0000-000060430000}"/>
    <cellStyle name="Normal 3 21 11 12" xfId="10505" xr:uid="{00000000-0005-0000-0000-000061430000}"/>
    <cellStyle name="Normal 3 21 11 12 2" xfId="28052" xr:uid="{00000000-0005-0000-0000-000062430000}"/>
    <cellStyle name="Normal 3 21 11 13" xfId="10506" xr:uid="{00000000-0005-0000-0000-000063430000}"/>
    <cellStyle name="Normal 3 21 11 13 2" xfId="28053" xr:uid="{00000000-0005-0000-0000-000064430000}"/>
    <cellStyle name="Normal 3 21 11 14" xfId="10507" xr:uid="{00000000-0005-0000-0000-000065430000}"/>
    <cellStyle name="Normal 3 21 11 14 2" xfId="28054" xr:uid="{00000000-0005-0000-0000-000066430000}"/>
    <cellStyle name="Normal 3 21 11 15" xfId="28049" xr:uid="{00000000-0005-0000-0000-000067430000}"/>
    <cellStyle name="Normal 3 21 11 2" xfId="10508" xr:uid="{00000000-0005-0000-0000-000068430000}"/>
    <cellStyle name="Normal 3 21 11 2 2" xfId="28055" xr:uid="{00000000-0005-0000-0000-000069430000}"/>
    <cellStyle name="Normal 3 21 11 3" xfId="10509" xr:uid="{00000000-0005-0000-0000-00006A430000}"/>
    <cellStyle name="Normal 3 21 11 3 2" xfId="28056" xr:uid="{00000000-0005-0000-0000-00006B430000}"/>
    <cellStyle name="Normal 3 21 11 4" xfId="10510" xr:uid="{00000000-0005-0000-0000-00006C430000}"/>
    <cellStyle name="Normal 3 21 11 4 2" xfId="28057" xr:uid="{00000000-0005-0000-0000-00006D430000}"/>
    <cellStyle name="Normal 3 21 11 5" xfId="10511" xr:uid="{00000000-0005-0000-0000-00006E430000}"/>
    <cellStyle name="Normal 3 21 11 5 2" xfId="28058" xr:uid="{00000000-0005-0000-0000-00006F430000}"/>
    <cellStyle name="Normal 3 21 11 6" xfId="10512" xr:uid="{00000000-0005-0000-0000-000070430000}"/>
    <cellStyle name="Normal 3 21 11 6 2" xfId="28059" xr:uid="{00000000-0005-0000-0000-000071430000}"/>
    <cellStyle name="Normal 3 21 11 7" xfId="10513" xr:uid="{00000000-0005-0000-0000-000072430000}"/>
    <cellStyle name="Normal 3 21 11 7 2" xfId="28060" xr:uid="{00000000-0005-0000-0000-000073430000}"/>
    <cellStyle name="Normal 3 21 11 8" xfId="10514" xr:uid="{00000000-0005-0000-0000-000074430000}"/>
    <cellStyle name="Normal 3 21 11 8 2" xfId="28061" xr:uid="{00000000-0005-0000-0000-000075430000}"/>
    <cellStyle name="Normal 3 21 11 9" xfId="10515" xr:uid="{00000000-0005-0000-0000-000076430000}"/>
    <cellStyle name="Normal 3 21 11 9 2" xfId="28062" xr:uid="{00000000-0005-0000-0000-000077430000}"/>
    <cellStyle name="Normal 3 21 12" xfId="10516" xr:uid="{00000000-0005-0000-0000-000078430000}"/>
    <cellStyle name="Normal 3 21 12 10" xfId="10517" xr:uid="{00000000-0005-0000-0000-000079430000}"/>
    <cellStyle name="Normal 3 21 12 10 2" xfId="28064" xr:uid="{00000000-0005-0000-0000-00007A430000}"/>
    <cellStyle name="Normal 3 21 12 11" xfId="10518" xr:uid="{00000000-0005-0000-0000-00007B430000}"/>
    <cellStyle name="Normal 3 21 12 11 2" xfId="28065" xr:uid="{00000000-0005-0000-0000-00007C430000}"/>
    <cellStyle name="Normal 3 21 12 12" xfId="10519" xr:uid="{00000000-0005-0000-0000-00007D430000}"/>
    <cellStyle name="Normal 3 21 12 12 2" xfId="28066" xr:uid="{00000000-0005-0000-0000-00007E430000}"/>
    <cellStyle name="Normal 3 21 12 13" xfId="10520" xr:uid="{00000000-0005-0000-0000-00007F430000}"/>
    <cellStyle name="Normal 3 21 12 13 2" xfId="28067" xr:uid="{00000000-0005-0000-0000-000080430000}"/>
    <cellStyle name="Normal 3 21 12 14" xfId="10521" xr:uid="{00000000-0005-0000-0000-000081430000}"/>
    <cellStyle name="Normal 3 21 12 14 2" xfId="28068" xr:uid="{00000000-0005-0000-0000-000082430000}"/>
    <cellStyle name="Normal 3 21 12 15" xfId="28063" xr:uid="{00000000-0005-0000-0000-000083430000}"/>
    <cellStyle name="Normal 3 21 12 2" xfId="10522" xr:uid="{00000000-0005-0000-0000-000084430000}"/>
    <cellStyle name="Normal 3 21 12 2 2" xfId="28069" xr:uid="{00000000-0005-0000-0000-000085430000}"/>
    <cellStyle name="Normal 3 21 12 3" xfId="10523" xr:uid="{00000000-0005-0000-0000-000086430000}"/>
    <cellStyle name="Normal 3 21 12 3 2" xfId="28070" xr:uid="{00000000-0005-0000-0000-000087430000}"/>
    <cellStyle name="Normal 3 21 12 4" xfId="10524" xr:uid="{00000000-0005-0000-0000-000088430000}"/>
    <cellStyle name="Normal 3 21 12 4 2" xfId="28071" xr:uid="{00000000-0005-0000-0000-000089430000}"/>
    <cellStyle name="Normal 3 21 12 5" xfId="10525" xr:uid="{00000000-0005-0000-0000-00008A430000}"/>
    <cellStyle name="Normal 3 21 12 5 2" xfId="28072" xr:uid="{00000000-0005-0000-0000-00008B430000}"/>
    <cellStyle name="Normal 3 21 12 6" xfId="10526" xr:uid="{00000000-0005-0000-0000-00008C430000}"/>
    <cellStyle name="Normal 3 21 12 6 2" xfId="28073" xr:uid="{00000000-0005-0000-0000-00008D430000}"/>
    <cellStyle name="Normal 3 21 12 7" xfId="10527" xr:uid="{00000000-0005-0000-0000-00008E430000}"/>
    <cellStyle name="Normal 3 21 12 7 2" xfId="28074" xr:uid="{00000000-0005-0000-0000-00008F430000}"/>
    <cellStyle name="Normal 3 21 12 8" xfId="10528" xr:uid="{00000000-0005-0000-0000-000090430000}"/>
    <cellStyle name="Normal 3 21 12 8 2" xfId="28075" xr:uid="{00000000-0005-0000-0000-000091430000}"/>
    <cellStyle name="Normal 3 21 12 9" xfId="10529" xr:uid="{00000000-0005-0000-0000-000092430000}"/>
    <cellStyle name="Normal 3 21 12 9 2" xfId="28076" xr:uid="{00000000-0005-0000-0000-000093430000}"/>
    <cellStyle name="Normal 3 21 13" xfId="10530" xr:uid="{00000000-0005-0000-0000-000094430000}"/>
    <cellStyle name="Normal 3 21 13 10" xfId="10531" xr:uid="{00000000-0005-0000-0000-000095430000}"/>
    <cellStyle name="Normal 3 21 13 10 2" xfId="28078" xr:uid="{00000000-0005-0000-0000-000096430000}"/>
    <cellStyle name="Normal 3 21 13 11" xfId="10532" xr:uid="{00000000-0005-0000-0000-000097430000}"/>
    <cellStyle name="Normal 3 21 13 11 2" xfId="28079" xr:uid="{00000000-0005-0000-0000-000098430000}"/>
    <cellStyle name="Normal 3 21 13 12" xfId="10533" xr:uid="{00000000-0005-0000-0000-000099430000}"/>
    <cellStyle name="Normal 3 21 13 12 2" xfId="28080" xr:uid="{00000000-0005-0000-0000-00009A430000}"/>
    <cellStyle name="Normal 3 21 13 13" xfId="10534" xr:uid="{00000000-0005-0000-0000-00009B430000}"/>
    <cellStyle name="Normal 3 21 13 13 2" xfId="28081" xr:uid="{00000000-0005-0000-0000-00009C430000}"/>
    <cellStyle name="Normal 3 21 13 14" xfId="10535" xr:uid="{00000000-0005-0000-0000-00009D430000}"/>
    <cellStyle name="Normal 3 21 13 14 2" xfId="28082" xr:uid="{00000000-0005-0000-0000-00009E430000}"/>
    <cellStyle name="Normal 3 21 13 15" xfId="28077" xr:uid="{00000000-0005-0000-0000-00009F430000}"/>
    <cellStyle name="Normal 3 21 13 2" xfId="10536" xr:uid="{00000000-0005-0000-0000-0000A0430000}"/>
    <cellStyle name="Normal 3 21 13 2 2" xfId="28083" xr:uid="{00000000-0005-0000-0000-0000A1430000}"/>
    <cellStyle name="Normal 3 21 13 3" xfId="10537" xr:uid="{00000000-0005-0000-0000-0000A2430000}"/>
    <cellStyle name="Normal 3 21 13 3 2" xfId="28084" xr:uid="{00000000-0005-0000-0000-0000A3430000}"/>
    <cellStyle name="Normal 3 21 13 4" xfId="10538" xr:uid="{00000000-0005-0000-0000-0000A4430000}"/>
    <cellStyle name="Normal 3 21 13 4 2" xfId="28085" xr:uid="{00000000-0005-0000-0000-0000A5430000}"/>
    <cellStyle name="Normal 3 21 13 5" xfId="10539" xr:uid="{00000000-0005-0000-0000-0000A6430000}"/>
    <cellStyle name="Normal 3 21 13 5 2" xfId="28086" xr:uid="{00000000-0005-0000-0000-0000A7430000}"/>
    <cellStyle name="Normal 3 21 13 6" xfId="10540" xr:uid="{00000000-0005-0000-0000-0000A8430000}"/>
    <cellStyle name="Normal 3 21 13 6 2" xfId="28087" xr:uid="{00000000-0005-0000-0000-0000A9430000}"/>
    <cellStyle name="Normal 3 21 13 7" xfId="10541" xr:uid="{00000000-0005-0000-0000-0000AA430000}"/>
    <cellStyle name="Normal 3 21 13 7 2" xfId="28088" xr:uid="{00000000-0005-0000-0000-0000AB430000}"/>
    <cellStyle name="Normal 3 21 13 8" xfId="10542" xr:uid="{00000000-0005-0000-0000-0000AC430000}"/>
    <cellStyle name="Normal 3 21 13 8 2" xfId="28089" xr:uid="{00000000-0005-0000-0000-0000AD430000}"/>
    <cellStyle name="Normal 3 21 13 9" xfId="10543" xr:uid="{00000000-0005-0000-0000-0000AE430000}"/>
    <cellStyle name="Normal 3 21 13 9 2" xfId="28090" xr:uid="{00000000-0005-0000-0000-0000AF430000}"/>
    <cellStyle name="Normal 3 21 14" xfId="10544" xr:uid="{00000000-0005-0000-0000-0000B0430000}"/>
    <cellStyle name="Normal 3 21 14 10" xfId="10545" xr:uid="{00000000-0005-0000-0000-0000B1430000}"/>
    <cellStyle name="Normal 3 21 14 10 2" xfId="28092" xr:uid="{00000000-0005-0000-0000-0000B2430000}"/>
    <cellStyle name="Normal 3 21 14 11" xfId="10546" xr:uid="{00000000-0005-0000-0000-0000B3430000}"/>
    <cellStyle name="Normal 3 21 14 11 2" xfId="28093" xr:uid="{00000000-0005-0000-0000-0000B4430000}"/>
    <cellStyle name="Normal 3 21 14 12" xfId="10547" xr:uid="{00000000-0005-0000-0000-0000B5430000}"/>
    <cellStyle name="Normal 3 21 14 12 2" xfId="28094" xr:uid="{00000000-0005-0000-0000-0000B6430000}"/>
    <cellStyle name="Normal 3 21 14 13" xfId="10548" xr:uid="{00000000-0005-0000-0000-0000B7430000}"/>
    <cellStyle name="Normal 3 21 14 13 2" xfId="28095" xr:uid="{00000000-0005-0000-0000-0000B8430000}"/>
    <cellStyle name="Normal 3 21 14 14" xfId="10549" xr:uid="{00000000-0005-0000-0000-0000B9430000}"/>
    <cellStyle name="Normal 3 21 14 14 2" xfId="28096" xr:uid="{00000000-0005-0000-0000-0000BA430000}"/>
    <cellStyle name="Normal 3 21 14 15" xfId="28091" xr:uid="{00000000-0005-0000-0000-0000BB430000}"/>
    <cellStyle name="Normal 3 21 14 2" xfId="10550" xr:uid="{00000000-0005-0000-0000-0000BC430000}"/>
    <cellStyle name="Normal 3 21 14 2 2" xfId="28097" xr:uid="{00000000-0005-0000-0000-0000BD430000}"/>
    <cellStyle name="Normal 3 21 14 3" xfId="10551" xr:uid="{00000000-0005-0000-0000-0000BE430000}"/>
    <cellStyle name="Normal 3 21 14 3 2" xfId="28098" xr:uid="{00000000-0005-0000-0000-0000BF430000}"/>
    <cellStyle name="Normal 3 21 14 4" xfId="10552" xr:uid="{00000000-0005-0000-0000-0000C0430000}"/>
    <cellStyle name="Normal 3 21 14 4 2" xfId="28099" xr:uid="{00000000-0005-0000-0000-0000C1430000}"/>
    <cellStyle name="Normal 3 21 14 5" xfId="10553" xr:uid="{00000000-0005-0000-0000-0000C2430000}"/>
    <cellStyle name="Normal 3 21 14 5 2" xfId="28100" xr:uid="{00000000-0005-0000-0000-0000C3430000}"/>
    <cellStyle name="Normal 3 21 14 6" xfId="10554" xr:uid="{00000000-0005-0000-0000-0000C4430000}"/>
    <cellStyle name="Normal 3 21 14 6 2" xfId="28101" xr:uid="{00000000-0005-0000-0000-0000C5430000}"/>
    <cellStyle name="Normal 3 21 14 7" xfId="10555" xr:uid="{00000000-0005-0000-0000-0000C6430000}"/>
    <cellStyle name="Normal 3 21 14 7 2" xfId="28102" xr:uid="{00000000-0005-0000-0000-0000C7430000}"/>
    <cellStyle name="Normal 3 21 14 8" xfId="10556" xr:uid="{00000000-0005-0000-0000-0000C8430000}"/>
    <cellStyle name="Normal 3 21 14 8 2" xfId="28103" xr:uid="{00000000-0005-0000-0000-0000C9430000}"/>
    <cellStyle name="Normal 3 21 14 9" xfId="10557" xr:uid="{00000000-0005-0000-0000-0000CA430000}"/>
    <cellStyle name="Normal 3 21 14 9 2" xfId="28104" xr:uid="{00000000-0005-0000-0000-0000CB430000}"/>
    <cellStyle name="Normal 3 21 15" xfId="10558" xr:uid="{00000000-0005-0000-0000-0000CC430000}"/>
    <cellStyle name="Normal 3 21 15 2" xfId="28105" xr:uid="{00000000-0005-0000-0000-0000CD430000}"/>
    <cellStyle name="Normal 3 21 16" xfId="10559" xr:uid="{00000000-0005-0000-0000-0000CE430000}"/>
    <cellStyle name="Normal 3 21 16 2" xfId="28106" xr:uid="{00000000-0005-0000-0000-0000CF430000}"/>
    <cellStyle name="Normal 3 21 17" xfId="10560" xr:uid="{00000000-0005-0000-0000-0000D0430000}"/>
    <cellStyle name="Normal 3 21 17 2" xfId="28107" xr:uid="{00000000-0005-0000-0000-0000D1430000}"/>
    <cellStyle name="Normal 3 21 18" xfId="10561" xr:uid="{00000000-0005-0000-0000-0000D2430000}"/>
    <cellStyle name="Normal 3 21 18 2" xfId="28108" xr:uid="{00000000-0005-0000-0000-0000D3430000}"/>
    <cellStyle name="Normal 3 21 19" xfId="10562" xr:uid="{00000000-0005-0000-0000-0000D4430000}"/>
    <cellStyle name="Normal 3 21 19 2" xfId="28109" xr:uid="{00000000-0005-0000-0000-0000D5430000}"/>
    <cellStyle name="Normal 3 21 2" xfId="10563" xr:uid="{00000000-0005-0000-0000-0000D6430000}"/>
    <cellStyle name="Normal 3 21 20" xfId="10564" xr:uid="{00000000-0005-0000-0000-0000D7430000}"/>
    <cellStyle name="Normal 3 21 20 2" xfId="28110" xr:uid="{00000000-0005-0000-0000-0000D8430000}"/>
    <cellStyle name="Normal 3 21 21" xfId="10565" xr:uid="{00000000-0005-0000-0000-0000D9430000}"/>
    <cellStyle name="Normal 3 21 21 2" xfId="28111" xr:uid="{00000000-0005-0000-0000-0000DA430000}"/>
    <cellStyle name="Normal 3 21 22" xfId="10566" xr:uid="{00000000-0005-0000-0000-0000DB430000}"/>
    <cellStyle name="Normal 3 21 22 2" xfId="28112" xr:uid="{00000000-0005-0000-0000-0000DC430000}"/>
    <cellStyle name="Normal 3 21 23" xfId="10567" xr:uid="{00000000-0005-0000-0000-0000DD430000}"/>
    <cellStyle name="Normal 3 21 23 2" xfId="28113" xr:uid="{00000000-0005-0000-0000-0000DE430000}"/>
    <cellStyle name="Normal 3 21 24" xfId="10568" xr:uid="{00000000-0005-0000-0000-0000DF430000}"/>
    <cellStyle name="Normal 3 21 24 2" xfId="28114" xr:uid="{00000000-0005-0000-0000-0000E0430000}"/>
    <cellStyle name="Normal 3 21 25" xfId="10569" xr:uid="{00000000-0005-0000-0000-0000E1430000}"/>
    <cellStyle name="Normal 3 21 25 2" xfId="28115" xr:uid="{00000000-0005-0000-0000-0000E2430000}"/>
    <cellStyle name="Normal 3 21 26" xfId="10570" xr:uid="{00000000-0005-0000-0000-0000E3430000}"/>
    <cellStyle name="Normal 3 21 26 2" xfId="28116" xr:uid="{00000000-0005-0000-0000-0000E4430000}"/>
    <cellStyle name="Normal 3 21 27" xfId="10571" xr:uid="{00000000-0005-0000-0000-0000E5430000}"/>
    <cellStyle name="Normal 3 21 27 2" xfId="28117" xr:uid="{00000000-0005-0000-0000-0000E6430000}"/>
    <cellStyle name="Normal 3 21 28" xfId="28034" xr:uid="{00000000-0005-0000-0000-0000E7430000}"/>
    <cellStyle name="Normal 3 21 3" xfId="10572" xr:uid="{00000000-0005-0000-0000-0000E8430000}"/>
    <cellStyle name="Normal 3 21 4" xfId="10573" xr:uid="{00000000-0005-0000-0000-0000E9430000}"/>
    <cellStyle name="Normal 3 21 5" xfId="10574" xr:uid="{00000000-0005-0000-0000-0000EA430000}"/>
    <cellStyle name="Normal 3 21 6" xfId="10575" xr:uid="{00000000-0005-0000-0000-0000EB430000}"/>
    <cellStyle name="Normal 3 21 6 10" xfId="10576" xr:uid="{00000000-0005-0000-0000-0000EC430000}"/>
    <cellStyle name="Normal 3 21 6 10 2" xfId="28119" xr:uid="{00000000-0005-0000-0000-0000ED430000}"/>
    <cellStyle name="Normal 3 21 6 11" xfId="10577" xr:uid="{00000000-0005-0000-0000-0000EE430000}"/>
    <cellStyle name="Normal 3 21 6 11 2" xfId="28120" xr:uid="{00000000-0005-0000-0000-0000EF430000}"/>
    <cellStyle name="Normal 3 21 6 12" xfId="10578" xr:uid="{00000000-0005-0000-0000-0000F0430000}"/>
    <cellStyle name="Normal 3 21 6 12 2" xfId="28121" xr:uid="{00000000-0005-0000-0000-0000F1430000}"/>
    <cellStyle name="Normal 3 21 6 13" xfId="10579" xr:uid="{00000000-0005-0000-0000-0000F2430000}"/>
    <cellStyle name="Normal 3 21 6 13 2" xfId="28122" xr:uid="{00000000-0005-0000-0000-0000F3430000}"/>
    <cellStyle name="Normal 3 21 6 14" xfId="10580" xr:uid="{00000000-0005-0000-0000-0000F4430000}"/>
    <cellStyle name="Normal 3 21 6 14 2" xfId="28123" xr:uid="{00000000-0005-0000-0000-0000F5430000}"/>
    <cellStyle name="Normal 3 21 6 15" xfId="10581" xr:uid="{00000000-0005-0000-0000-0000F6430000}"/>
    <cellStyle name="Normal 3 21 6 15 2" xfId="28124" xr:uid="{00000000-0005-0000-0000-0000F7430000}"/>
    <cellStyle name="Normal 3 21 6 16" xfId="28118" xr:uid="{00000000-0005-0000-0000-0000F8430000}"/>
    <cellStyle name="Normal 3 21 6 2" xfId="10582" xr:uid="{00000000-0005-0000-0000-0000F9430000}"/>
    <cellStyle name="Normal 3 21 6 2 10" xfId="10583" xr:uid="{00000000-0005-0000-0000-0000FA430000}"/>
    <cellStyle name="Normal 3 21 6 2 10 2" xfId="28126" xr:uid="{00000000-0005-0000-0000-0000FB430000}"/>
    <cellStyle name="Normal 3 21 6 2 11" xfId="10584" xr:uid="{00000000-0005-0000-0000-0000FC430000}"/>
    <cellStyle name="Normal 3 21 6 2 11 2" xfId="28127" xr:uid="{00000000-0005-0000-0000-0000FD430000}"/>
    <cellStyle name="Normal 3 21 6 2 12" xfId="10585" xr:uid="{00000000-0005-0000-0000-0000FE430000}"/>
    <cellStyle name="Normal 3 21 6 2 12 2" xfId="28128" xr:uid="{00000000-0005-0000-0000-0000FF430000}"/>
    <cellStyle name="Normal 3 21 6 2 13" xfId="10586" xr:uid="{00000000-0005-0000-0000-000000440000}"/>
    <cellStyle name="Normal 3 21 6 2 13 2" xfId="28129" xr:uid="{00000000-0005-0000-0000-000001440000}"/>
    <cellStyle name="Normal 3 21 6 2 14" xfId="10587" xr:uid="{00000000-0005-0000-0000-000002440000}"/>
    <cellStyle name="Normal 3 21 6 2 14 2" xfId="28130" xr:uid="{00000000-0005-0000-0000-000003440000}"/>
    <cellStyle name="Normal 3 21 6 2 15" xfId="28125" xr:uid="{00000000-0005-0000-0000-000004440000}"/>
    <cellStyle name="Normal 3 21 6 2 2" xfId="10588" xr:uid="{00000000-0005-0000-0000-000005440000}"/>
    <cellStyle name="Normal 3 21 6 2 2 2" xfId="28131" xr:uid="{00000000-0005-0000-0000-000006440000}"/>
    <cellStyle name="Normal 3 21 6 2 3" xfId="10589" xr:uid="{00000000-0005-0000-0000-000007440000}"/>
    <cellStyle name="Normal 3 21 6 2 3 2" xfId="28132" xr:uid="{00000000-0005-0000-0000-000008440000}"/>
    <cellStyle name="Normal 3 21 6 2 4" xfId="10590" xr:uid="{00000000-0005-0000-0000-000009440000}"/>
    <cellStyle name="Normal 3 21 6 2 4 2" xfId="28133" xr:uid="{00000000-0005-0000-0000-00000A440000}"/>
    <cellStyle name="Normal 3 21 6 2 5" xfId="10591" xr:uid="{00000000-0005-0000-0000-00000B440000}"/>
    <cellStyle name="Normal 3 21 6 2 5 2" xfId="28134" xr:uid="{00000000-0005-0000-0000-00000C440000}"/>
    <cellStyle name="Normal 3 21 6 2 6" xfId="10592" xr:uid="{00000000-0005-0000-0000-00000D440000}"/>
    <cellStyle name="Normal 3 21 6 2 6 2" xfId="28135" xr:uid="{00000000-0005-0000-0000-00000E440000}"/>
    <cellStyle name="Normal 3 21 6 2 7" xfId="10593" xr:uid="{00000000-0005-0000-0000-00000F440000}"/>
    <cellStyle name="Normal 3 21 6 2 7 2" xfId="28136" xr:uid="{00000000-0005-0000-0000-000010440000}"/>
    <cellStyle name="Normal 3 21 6 2 8" xfId="10594" xr:uid="{00000000-0005-0000-0000-000011440000}"/>
    <cellStyle name="Normal 3 21 6 2 8 2" xfId="28137" xr:uid="{00000000-0005-0000-0000-000012440000}"/>
    <cellStyle name="Normal 3 21 6 2 9" xfId="10595" xr:uid="{00000000-0005-0000-0000-000013440000}"/>
    <cellStyle name="Normal 3 21 6 2 9 2" xfId="28138" xr:uid="{00000000-0005-0000-0000-000014440000}"/>
    <cellStyle name="Normal 3 21 6 3" xfId="10596" xr:uid="{00000000-0005-0000-0000-000015440000}"/>
    <cellStyle name="Normal 3 21 6 3 2" xfId="28139" xr:uid="{00000000-0005-0000-0000-000016440000}"/>
    <cellStyle name="Normal 3 21 6 4" xfId="10597" xr:uid="{00000000-0005-0000-0000-000017440000}"/>
    <cellStyle name="Normal 3 21 6 4 2" xfId="28140" xr:uid="{00000000-0005-0000-0000-000018440000}"/>
    <cellStyle name="Normal 3 21 6 5" xfId="10598" xr:uid="{00000000-0005-0000-0000-000019440000}"/>
    <cellStyle name="Normal 3 21 6 5 2" xfId="28141" xr:uid="{00000000-0005-0000-0000-00001A440000}"/>
    <cellStyle name="Normal 3 21 6 6" xfId="10599" xr:uid="{00000000-0005-0000-0000-00001B440000}"/>
    <cellStyle name="Normal 3 21 6 6 2" xfId="28142" xr:uid="{00000000-0005-0000-0000-00001C440000}"/>
    <cellStyle name="Normal 3 21 6 7" xfId="10600" xr:uid="{00000000-0005-0000-0000-00001D440000}"/>
    <cellStyle name="Normal 3 21 6 7 2" xfId="28143" xr:uid="{00000000-0005-0000-0000-00001E440000}"/>
    <cellStyle name="Normal 3 21 6 8" xfId="10601" xr:uid="{00000000-0005-0000-0000-00001F440000}"/>
    <cellStyle name="Normal 3 21 6 8 2" xfId="28144" xr:uid="{00000000-0005-0000-0000-000020440000}"/>
    <cellStyle name="Normal 3 21 6 9" xfId="10602" xr:uid="{00000000-0005-0000-0000-000021440000}"/>
    <cellStyle name="Normal 3 21 6 9 2" xfId="28145" xr:uid="{00000000-0005-0000-0000-000022440000}"/>
    <cellStyle name="Normal 3 21 7" xfId="10603" xr:uid="{00000000-0005-0000-0000-000023440000}"/>
    <cellStyle name="Normal 3 21 7 10" xfId="10604" xr:uid="{00000000-0005-0000-0000-000024440000}"/>
    <cellStyle name="Normal 3 21 7 10 2" xfId="28147" xr:uid="{00000000-0005-0000-0000-000025440000}"/>
    <cellStyle name="Normal 3 21 7 11" xfId="10605" xr:uid="{00000000-0005-0000-0000-000026440000}"/>
    <cellStyle name="Normal 3 21 7 11 2" xfId="28148" xr:uid="{00000000-0005-0000-0000-000027440000}"/>
    <cellStyle name="Normal 3 21 7 12" xfId="10606" xr:uid="{00000000-0005-0000-0000-000028440000}"/>
    <cellStyle name="Normal 3 21 7 12 2" xfId="28149" xr:uid="{00000000-0005-0000-0000-000029440000}"/>
    <cellStyle name="Normal 3 21 7 13" xfId="10607" xr:uid="{00000000-0005-0000-0000-00002A440000}"/>
    <cellStyle name="Normal 3 21 7 13 2" xfId="28150" xr:uid="{00000000-0005-0000-0000-00002B440000}"/>
    <cellStyle name="Normal 3 21 7 14" xfId="10608" xr:uid="{00000000-0005-0000-0000-00002C440000}"/>
    <cellStyle name="Normal 3 21 7 14 2" xfId="28151" xr:uid="{00000000-0005-0000-0000-00002D440000}"/>
    <cellStyle name="Normal 3 21 7 15" xfId="10609" xr:uid="{00000000-0005-0000-0000-00002E440000}"/>
    <cellStyle name="Normal 3 21 7 15 2" xfId="28152" xr:uid="{00000000-0005-0000-0000-00002F440000}"/>
    <cellStyle name="Normal 3 21 7 16" xfId="28146" xr:uid="{00000000-0005-0000-0000-000030440000}"/>
    <cellStyle name="Normal 3 21 7 2" xfId="10610" xr:uid="{00000000-0005-0000-0000-000031440000}"/>
    <cellStyle name="Normal 3 21 7 2 10" xfId="10611" xr:uid="{00000000-0005-0000-0000-000032440000}"/>
    <cellStyle name="Normal 3 21 7 2 10 2" xfId="28154" xr:uid="{00000000-0005-0000-0000-000033440000}"/>
    <cellStyle name="Normal 3 21 7 2 11" xfId="10612" xr:uid="{00000000-0005-0000-0000-000034440000}"/>
    <cellStyle name="Normal 3 21 7 2 11 2" xfId="28155" xr:uid="{00000000-0005-0000-0000-000035440000}"/>
    <cellStyle name="Normal 3 21 7 2 12" xfId="10613" xr:uid="{00000000-0005-0000-0000-000036440000}"/>
    <cellStyle name="Normal 3 21 7 2 12 2" xfId="28156" xr:uid="{00000000-0005-0000-0000-000037440000}"/>
    <cellStyle name="Normal 3 21 7 2 13" xfId="10614" xr:uid="{00000000-0005-0000-0000-000038440000}"/>
    <cellStyle name="Normal 3 21 7 2 13 2" xfId="28157" xr:uid="{00000000-0005-0000-0000-000039440000}"/>
    <cellStyle name="Normal 3 21 7 2 14" xfId="10615" xr:uid="{00000000-0005-0000-0000-00003A440000}"/>
    <cellStyle name="Normal 3 21 7 2 14 2" xfId="28158" xr:uid="{00000000-0005-0000-0000-00003B440000}"/>
    <cellStyle name="Normal 3 21 7 2 15" xfId="28153" xr:uid="{00000000-0005-0000-0000-00003C440000}"/>
    <cellStyle name="Normal 3 21 7 2 2" xfId="10616" xr:uid="{00000000-0005-0000-0000-00003D440000}"/>
    <cellStyle name="Normal 3 21 7 2 2 2" xfId="28159" xr:uid="{00000000-0005-0000-0000-00003E440000}"/>
    <cellStyle name="Normal 3 21 7 2 3" xfId="10617" xr:uid="{00000000-0005-0000-0000-00003F440000}"/>
    <cellStyle name="Normal 3 21 7 2 3 2" xfId="28160" xr:uid="{00000000-0005-0000-0000-000040440000}"/>
    <cellStyle name="Normal 3 21 7 2 4" xfId="10618" xr:uid="{00000000-0005-0000-0000-000041440000}"/>
    <cellStyle name="Normal 3 21 7 2 4 2" xfId="28161" xr:uid="{00000000-0005-0000-0000-000042440000}"/>
    <cellStyle name="Normal 3 21 7 2 5" xfId="10619" xr:uid="{00000000-0005-0000-0000-000043440000}"/>
    <cellStyle name="Normal 3 21 7 2 5 2" xfId="28162" xr:uid="{00000000-0005-0000-0000-000044440000}"/>
    <cellStyle name="Normal 3 21 7 2 6" xfId="10620" xr:uid="{00000000-0005-0000-0000-000045440000}"/>
    <cellStyle name="Normal 3 21 7 2 6 2" xfId="28163" xr:uid="{00000000-0005-0000-0000-000046440000}"/>
    <cellStyle name="Normal 3 21 7 2 7" xfId="10621" xr:uid="{00000000-0005-0000-0000-000047440000}"/>
    <cellStyle name="Normal 3 21 7 2 7 2" xfId="28164" xr:uid="{00000000-0005-0000-0000-000048440000}"/>
    <cellStyle name="Normal 3 21 7 2 8" xfId="10622" xr:uid="{00000000-0005-0000-0000-000049440000}"/>
    <cellStyle name="Normal 3 21 7 2 8 2" xfId="28165" xr:uid="{00000000-0005-0000-0000-00004A440000}"/>
    <cellStyle name="Normal 3 21 7 2 9" xfId="10623" xr:uid="{00000000-0005-0000-0000-00004B440000}"/>
    <cellStyle name="Normal 3 21 7 2 9 2" xfId="28166" xr:uid="{00000000-0005-0000-0000-00004C440000}"/>
    <cellStyle name="Normal 3 21 7 3" xfId="10624" xr:uid="{00000000-0005-0000-0000-00004D440000}"/>
    <cellStyle name="Normal 3 21 7 3 2" xfId="28167" xr:uid="{00000000-0005-0000-0000-00004E440000}"/>
    <cellStyle name="Normal 3 21 7 4" xfId="10625" xr:uid="{00000000-0005-0000-0000-00004F440000}"/>
    <cellStyle name="Normal 3 21 7 4 2" xfId="28168" xr:uid="{00000000-0005-0000-0000-000050440000}"/>
    <cellStyle name="Normal 3 21 7 5" xfId="10626" xr:uid="{00000000-0005-0000-0000-000051440000}"/>
    <cellStyle name="Normal 3 21 7 5 2" xfId="28169" xr:uid="{00000000-0005-0000-0000-000052440000}"/>
    <cellStyle name="Normal 3 21 7 6" xfId="10627" xr:uid="{00000000-0005-0000-0000-000053440000}"/>
    <cellStyle name="Normal 3 21 7 6 2" xfId="28170" xr:uid="{00000000-0005-0000-0000-000054440000}"/>
    <cellStyle name="Normal 3 21 7 7" xfId="10628" xr:uid="{00000000-0005-0000-0000-000055440000}"/>
    <cellStyle name="Normal 3 21 7 7 2" xfId="28171" xr:uid="{00000000-0005-0000-0000-000056440000}"/>
    <cellStyle name="Normal 3 21 7 8" xfId="10629" xr:uid="{00000000-0005-0000-0000-000057440000}"/>
    <cellStyle name="Normal 3 21 7 8 2" xfId="28172" xr:uid="{00000000-0005-0000-0000-000058440000}"/>
    <cellStyle name="Normal 3 21 7 9" xfId="10630" xr:uid="{00000000-0005-0000-0000-000059440000}"/>
    <cellStyle name="Normal 3 21 7 9 2" xfId="28173" xr:uid="{00000000-0005-0000-0000-00005A440000}"/>
    <cellStyle name="Normal 3 21 8" xfId="10631" xr:uid="{00000000-0005-0000-0000-00005B440000}"/>
    <cellStyle name="Normal 3 21 8 10" xfId="10632" xr:uid="{00000000-0005-0000-0000-00005C440000}"/>
    <cellStyle name="Normal 3 21 8 10 2" xfId="28175" xr:uid="{00000000-0005-0000-0000-00005D440000}"/>
    <cellStyle name="Normal 3 21 8 11" xfId="10633" xr:uid="{00000000-0005-0000-0000-00005E440000}"/>
    <cellStyle name="Normal 3 21 8 11 2" xfId="28176" xr:uid="{00000000-0005-0000-0000-00005F440000}"/>
    <cellStyle name="Normal 3 21 8 12" xfId="10634" xr:uid="{00000000-0005-0000-0000-000060440000}"/>
    <cellStyle name="Normal 3 21 8 12 2" xfId="28177" xr:uid="{00000000-0005-0000-0000-000061440000}"/>
    <cellStyle name="Normal 3 21 8 13" xfId="10635" xr:uid="{00000000-0005-0000-0000-000062440000}"/>
    <cellStyle name="Normal 3 21 8 13 2" xfId="28178" xr:uid="{00000000-0005-0000-0000-000063440000}"/>
    <cellStyle name="Normal 3 21 8 14" xfId="10636" xr:uid="{00000000-0005-0000-0000-000064440000}"/>
    <cellStyle name="Normal 3 21 8 14 2" xfId="28179" xr:uid="{00000000-0005-0000-0000-000065440000}"/>
    <cellStyle name="Normal 3 21 8 15" xfId="10637" xr:uid="{00000000-0005-0000-0000-000066440000}"/>
    <cellStyle name="Normal 3 21 8 15 2" xfId="28180" xr:uid="{00000000-0005-0000-0000-000067440000}"/>
    <cellStyle name="Normal 3 21 8 16" xfId="28174" xr:uid="{00000000-0005-0000-0000-000068440000}"/>
    <cellStyle name="Normal 3 21 8 2" xfId="10638" xr:uid="{00000000-0005-0000-0000-000069440000}"/>
    <cellStyle name="Normal 3 21 8 2 10" xfId="10639" xr:uid="{00000000-0005-0000-0000-00006A440000}"/>
    <cellStyle name="Normal 3 21 8 2 10 2" xfId="28182" xr:uid="{00000000-0005-0000-0000-00006B440000}"/>
    <cellStyle name="Normal 3 21 8 2 11" xfId="10640" xr:uid="{00000000-0005-0000-0000-00006C440000}"/>
    <cellStyle name="Normal 3 21 8 2 11 2" xfId="28183" xr:uid="{00000000-0005-0000-0000-00006D440000}"/>
    <cellStyle name="Normal 3 21 8 2 12" xfId="10641" xr:uid="{00000000-0005-0000-0000-00006E440000}"/>
    <cellStyle name="Normal 3 21 8 2 12 2" xfId="28184" xr:uid="{00000000-0005-0000-0000-00006F440000}"/>
    <cellStyle name="Normal 3 21 8 2 13" xfId="10642" xr:uid="{00000000-0005-0000-0000-000070440000}"/>
    <cellStyle name="Normal 3 21 8 2 13 2" xfId="28185" xr:uid="{00000000-0005-0000-0000-000071440000}"/>
    <cellStyle name="Normal 3 21 8 2 14" xfId="10643" xr:uid="{00000000-0005-0000-0000-000072440000}"/>
    <cellStyle name="Normal 3 21 8 2 14 2" xfId="28186" xr:uid="{00000000-0005-0000-0000-000073440000}"/>
    <cellStyle name="Normal 3 21 8 2 15" xfId="28181" xr:uid="{00000000-0005-0000-0000-000074440000}"/>
    <cellStyle name="Normal 3 21 8 2 2" xfId="10644" xr:uid="{00000000-0005-0000-0000-000075440000}"/>
    <cellStyle name="Normal 3 21 8 2 2 2" xfId="28187" xr:uid="{00000000-0005-0000-0000-000076440000}"/>
    <cellStyle name="Normal 3 21 8 2 3" xfId="10645" xr:uid="{00000000-0005-0000-0000-000077440000}"/>
    <cellStyle name="Normal 3 21 8 2 3 2" xfId="28188" xr:uid="{00000000-0005-0000-0000-000078440000}"/>
    <cellStyle name="Normal 3 21 8 2 4" xfId="10646" xr:uid="{00000000-0005-0000-0000-000079440000}"/>
    <cellStyle name="Normal 3 21 8 2 4 2" xfId="28189" xr:uid="{00000000-0005-0000-0000-00007A440000}"/>
    <cellStyle name="Normal 3 21 8 2 5" xfId="10647" xr:uid="{00000000-0005-0000-0000-00007B440000}"/>
    <cellStyle name="Normal 3 21 8 2 5 2" xfId="28190" xr:uid="{00000000-0005-0000-0000-00007C440000}"/>
    <cellStyle name="Normal 3 21 8 2 6" xfId="10648" xr:uid="{00000000-0005-0000-0000-00007D440000}"/>
    <cellStyle name="Normal 3 21 8 2 6 2" xfId="28191" xr:uid="{00000000-0005-0000-0000-00007E440000}"/>
    <cellStyle name="Normal 3 21 8 2 7" xfId="10649" xr:uid="{00000000-0005-0000-0000-00007F440000}"/>
    <cellStyle name="Normal 3 21 8 2 7 2" xfId="28192" xr:uid="{00000000-0005-0000-0000-000080440000}"/>
    <cellStyle name="Normal 3 21 8 2 8" xfId="10650" xr:uid="{00000000-0005-0000-0000-000081440000}"/>
    <cellStyle name="Normal 3 21 8 2 8 2" xfId="28193" xr:uid="{00000000-0005-0000-0000-000082440000}"/>
    <cellStyle name="Normal 3 21 8 2 9" xfId="10651" xr:uid="{00000000-0005-0000-0000-000083440000}"/>
    <cellStyle name="Normal 3 21 8 2 9 2" xfId="28194" xr:uid="{00000000-0005-0000-0000-000084440000}"/>
    <cellStyle name="Normal 3 21 8 3" xfId="10652" xr:uid="{00000000-0005-0000-0000-000085440000}"/>
    <cellStyle name="Normal 3 21 8 3 2" xfId="28195" xr:uid="{00000000-0005-0000-0000-000086440000}"/>
    <cellStyle name="Normal 3 21 8 4" xfId="10653" xr:uid="{00000000-0005-0000-0000-000087440000}"/>
    <cellStyle name="Normal 3 21 8 4 2" xfId="28196" xr:uid="{00000000-0005-0000-0000-000088440000}"/>
    <cellStyle name="Normal 3 21 8 5" xfId="10654" xr:uid="{00000000-0005-0000-0000-000089440000}"/>
    <cellStyle name="Normal 3 21 8 5 2" xfId="28197" xr:uid="{00000000-0005-0000-0000-00008A440000}"/>
    <cellStyle name="Normal 3 21 8 6" xfId="10655" xr:uid="{00000000-0005-0000-0000-00008B440000}"/>
    <cellStyle name="Normal 3 21 8 6 2" xfId="28198" xr:uid="{00000000-0005-0000-0000-00008C440000}"/>
    <cellStyle name="Normal 3 21 8 7" xfId="10656" xr:uid="{00000000-0005-0000-0000-00008D440000}"/>
    <cellStyle name="Normal 3 21 8 7 2" xfId="28199" xr:uid="{00000000-0005-0000-0000-00008E440000}"/>
    <cellStyle name="Normal 3 21 8 8" xfId="10657" xr:uid="{00000000-0005-0000-0000-00008F440000}"/>
    <cellStyle name="Normal 3 21 8 8 2" xfId="28200" xr:uid="{00000000-0005-0000-0000-000090440000}"/>
    <cellStyle name="Normal 3 21 8 9" xfId="10658" xr:uid="{00000000-0005-0000-0000-000091440000}"/>
    <cellStyle name="Normal 3 21 8 9 2" xfId="28201" xr:uid="{00000000-0005-0000-0000-000092440000}"/>
    <cellStyle name="Normal 3 21 9" xfId="10659" xr:uid="{00000000-0005-0000-0000-000093440000}"/>
    <cellStyle name="Normal 3 21 9 10" xfId="10660" xr:uid="{00000000-0005-0000-0000-000094440000}"/>
    <cellStyle name="Normal 3 21 9 10 2" xfId="28203" xr:uid="{00000000-0005-0000-0000-000095440000}"/>
    <cellStyle name="Normal 3 21 9 11" xfId="10661" xr:uid="{00000000-0005-0000-0000-000096440000}"/>
    <cellStyle name="Normal 3 21 9 11 2" xfId="28204" xr:uid="{00000000-0005-0000-0000-000097440000}"/>
    <cellStyle name="Normal 3 21 9 12" xfId="10662" xr:uid="{00000000-0005-0000-0000-000098440000}"/>
    <cellStyle name="Normal 3 21 9 12 2" xfId="28205" xr:uid="{00000000-0005-0000-0000-000099440000}"/>
    <cellStyle name="Normal 3 21 9 13" xfId="10663" xr:uid="{00000000-0005-0000-0000-00009A440000}"/>
    <cellStyle name="Normal 3 21 9 13 2" xfId="28206" xr:uid="{00000000-0005-0000-0000-00009B440000}"/>
    <cellStyle name="Normal 3 21 9 14" xfId="10664" xr:uid="{00000000-0005-0000-0000-00009C440000}"/>
    <cellStyle name="Normal 3 21 9 14 2" xfId="28207" xr:uid="{00000000-0005-0000-0000-00009D440000}"/>
    <cellStyle name="Normal 3 21 9 15" xfId="28202" xr:uid="{00000000-0005-0000-0000-00009E440000}"/>
    <cellStyle name="Normal 3 21 9 2" xfId="10665" xr:uid="{00000000-0005-0000-0000-00009F440000}"/>
    <cellStyle name="Normal 3 21 9 2 2" xfId="28208" xr:uid="{00000000-0005-0000-0000-0000A0440000}"/>
    <cellStyle name="Normal 3 21 9 3" xfId="10666" xr:uid="{00000000-0005-0000-0000-0000A1440000}"/>
    <cellStyle name="Normal 3 21 9 3 2" xfId="28209" xr:uid="{00000000-0005-0000-0000-0000A2440000}"/>
    <cellStyle name="Normal 3 21 9 4" xfId="10667" xr:uid="{00000000-0005-0000-0000-0000A3440000}"/>
    <cellStyle name="Normal 3 21 9 4 2" xfId="28210" xr:uid="{00000000-0005-0000-0000-0000A4440000}"/>
    <cellStyle name="Normal 3 21 9 5" xfId="10668" xr:uid="{00000000-0005-0000-0000-0000A5440000}"/>
    <cellStyle name="Normal 3 21 9 5 2" xfId="28211" xr:uid="{00000000-0005-0000-0000-0000A6440000}"/>
    <cellStyle name="Normal 3 21 9 6" xfId="10669" xr:uid="{00000000-0005-0000-0000-0000A7440000}"/>
    <cellStyle name="Normal 3 21 9 6 2" xfId="28212" xr:uid="{00000000-0005-0000-0000-0000A8440000}"/>
    <cellStyle name="Normal 3 21 9 7" xfId="10670" xr:uid="{00000000-0005-0000-0000-0000A9440000}"/>
    <cellStyle name="Normal 3 21 9 7 2" xfId="28213" xr:uid="{00000000-0005-0000-0000-0000AA440000}"/>
    <cellStyle name="Normal 3 21 9 8" xfId="10671" xr:uid="{00000000-0005-0000-0000-0000AB440000}"/>
    <cellStyle name="Normal 3 21 9 8 2" xfId="28214" xr:uid="{00000000-0005-0000-0000-0000AC440000}"/>
    <cellStyle name="Normal 3 21 9 9" xfId="10672" xr:uid="{00000000-0005-0000-0000-0000AD440000}"/>
    <cellStyle name="Normal 3 21 9 9 2" xfId="28215" xr:uid="{00000000-0005-0000-0000-0000AE440000}"/>
    <cellStyle name="Normal 3 22" xfId="10673" xr:uid="{00000000-0005-0000-0000-0000AF440000}"/>
    <cellStyle name="Normal 3 22 10" xfId="10674" xr:uid="{00000000-0005-0000-0000-0000B0440000}"/>
    <cellStyle name="Normal 3 22 10 10" xfId="10675" xr:uid="{00000000-0005-0000-0000-0000B1440000}"/>
    <cellStyle name="Normal 3 22 10 10 2" xfId="28218" xr:uid="{00000000-0005-0000-0000-0000B2440000}"/>
    <cellStyle name="Normal 3 22 10 11" xfId="10676" xr:uid="{00000000-0005-0000-0000-0000B3440000}"/>
    <cellStyle name="Normal 3 22 10 11 2" xfId="28219" xr:uid="{00000000-0005-0000-0000-0000B4440000}"/>
    <cellStyle name="Normal 3 22 10 12" xfId="10677" xr:uid="{00000000-0005-0000-0000-0000B5440000}"/>
    <cellStyle name="Normal 3 22 10 12 2" xfId="28220" xr:uid="{00000000-0005-0000-0000-0000B6440000}"/>
    <cellStyle name="Normal 3 22 10 13" xfId="10678" xr:uid="{00000000-0005-0000-0000-0000B7440000}"/>
    <cellStyle name="Normal 3 22 10 13 2" xfId="28221" xr:uid="{00000000-0005-0000-0000-0000B8440000}"/>
    <cellStyle name="Normal 3 22 10 14" xfId="10679" xr:uid="{00000000-0005-0000-0000-0000B9440000}"/>
    <cellStyle name="Normal 3 22 10 14 2" xfId="28222" xr:uid="{00000000-0005-0000-0000-0000BA440000}"/>
    <cellStyle name="Normal 3 22 10 15" xfId="28217" xr:uid="{00000000-0005-0000-0000-0000BB440000}"/>
    <cellStyle name="Normal 3 22 10 2" xfId="10680" xr:uid="{00000000-0005-0000-0000-0000BC440000}"/>
    <cellStyle name="Normal 3 22 10 2 2" xfId="28223" xr:uid="{00000000-0005-0000-0000-0000BD440000}"/>
    <cellStyle name="Normal 3 22 10 3" xfId="10681" xr:uid="{00000000-0005-0000-0000-0000BE440000}"/>
    <cellStyle name="Normal 3 22 10 3 2" xfId="28224" xr:uid="{00000000-0005-0000-0000-0000BF440000}"/>
    <cellStyle name="Normal 3 22 10 4" xfId="10682" xr:uid="{00000000-0005-0000-0000-0000C0440000}"/>
    <cellStyle name="Normal 3 22 10 4 2" xfId="28225" xr:uid="{00000000-0005-0000-0000-0000C1440000}"/>
    <cellStyle name="Normal 3 22 10 5" xfId="10683" xr:uid="{00000000-0005-0000-0000-0000C2440000}"/>
    <cellStyle name="Normal 3 22 10 5 2" xfId="28226" xr:uid="{00000000-0005-0000-0000-0000C3440000}"/>
    <cellStyle name="Normal 3 22 10 6" xfId="10684" xr:uid="{00000000-0005-0000-0000-0000C4440000}"/>
    <cellStyle name="Normal 3 22 10 6 2" xfId="28227" xr:uid="{00000000-0005-0000-0000-0000C5440000}"/>
    <cellStyle name="Normal 3 22 10 7" xfId="10685" xr:uid="{00000000-0005-0000-0000-0000C6440000}"/>
    <cellStyle name="Normal 3 22 10 7 2" xfId="28228" xr:uid="{00000000-0005-0000-0000-0000C7440000}"/>
    <cellStyle name="Normal 3 22 10 8" xfId="10686" xr:uid="{00000000-0005-0000-0000-0000C8440000}"/>
    <cellStyle name="Normal 3 22 10 8 2" xfId="28229" xr:uid="{00000000-0005-0000-0000-0000C9440000}"/>
    <cellStyle name="Normal 3 22 10 9" xfId="10687" xr:uid="{00000000-0005-0000-0000-0000CA440000}"/>
    <cellStyle name="Normal 3 22 10 9 2" xfId="28230" xr:uid="{00000000-0005-0000-0000-0000CB440000}"/>
    <cellStyle name="Normal 3 22 11" xfId="10688" xr:uid="{00000000-0005-0000-0000-0000CC440000}"/>
    <cellStyle name="Normal 3 22 11 10" xfId="10689" xr:uid="{00000000-0005-0000-0000-0000CD440000}"/>
    <cellStyle name="Normal 3 22 11 10 2" xfId="28232" xr:uid="{00000000-0005-0000-0000-0000CE440000}"/>
    <cellStyle name="Normal 3 22 11 11" xfId="10690" xr:uid="{00000000-0005-0000-0000-0000CF440000}"/>
    <cellStyle name="Normal 3 22 11 11 2" xfId="28233" xr:uid="{00000000-0005-0000-0000-0000D0440000}"/>
    <cellStyle name="Normal 3 22 11 12" xfId="10691" xr:uid="{00000000-0005-0000-0000-0000D1440000}"/>
    <cellStyle name="Normal 3 22 11 12 2" xfId="28234" xr:uid="{00000000-0005-0000-0000-0000D2440000}"/>
    <cellStyle name="Normal 3 22 11 13" xfId="10692" xr:uid="{00000000-0005-0000-0000-0000D3440000}"/>
    <cellStyle name="Normal 3 22 11 13 2" xfId="28235" xr:uid="{00000000-0005-0000-0000-0000D4440000}"/>
    <cellStyle name="Normal 3 22 11 14" xfId="10693" xr:uid="{00000000-0005-0000-0000-0000D5440000}"/>
    <cellStyle name="Normal 3 22 11 14 2" xfId="28236" xr:uid="{00000000-0005-0000-0000-0000D6440000}"/>
    <cellStyle name="Normal 3 22 11 15" xfId="28231" xr:uid="{00000000-0005-0000-0000-0000D7440000}"/>
    <cellStyle name="Normal 3 22 11 2" xfId="10694" xr:uid="{00000000-0005-0000-0000-0000D8440000}"/>
    <cellStyle name="Normal 3 22 11 2 2" xfId="28237" xr:uid="{00000000-0005-0000-0000-0000D9440000}"/>
    <cellStyle name="Normal 3 22 11 3" xfId="10695" xr:uid="{00000000-0005-0000-0000-0000DA440000}"/>
    <cellStyle name="Normal 3 22 11 3 2" xfId="28238" xr:uid="{00000000-0005-0000-0000-0000DB440000}"/>
    <cellStyle name="Normal 3 22 11 4" xfId="10696" xr:uid="{00000000-0005-0000-0000-0000DC440000}"/>
    <cellStyle name="Normal 3 22 11 4 2" xfId="28239" xr:uid="{00000000-0005-0000-0000-0000DD440000}"/>
    <cellStyle name="Normal 3 22 11 5" xfId="10697" xr:uid="{00000000-0005-0000-0000-0000DE440000}"/>
    <cellStyle name="Normal 3 22 11 5 2" xfId="28240" xr:uid="{00000000-0005-0000-0000-0000DF440000}"/>
    <cellStyle name="Normal 3 22 11 6" xfId="10698" xr:uid="{00000000-0005-0000-0000-0000E0440000}"/>
    <cellStyle name="Normal 3 22 11 6 2" xfId="28241" xr:uid="{00000000-0005-0000-0000-0000E1440000}"/>
    <cellStyle name="Normal 3 22 11 7" xfId="10699" xr:uid="{00000000-0005-0000-0000-0000E2440000}"/>
    <cellStyle name="Normal 3 22 11 7 2" xfId="28242" xr:uid="{00000000-0005-0000-0000-0000E3440000}"/>
    <cellStyle name="Normal 3 22 11 8" xfId="10700" xr:uid="{00000000-0005-0000-0000-0000E4440000}"/>
    <cellStyle name="Normal 3 22 11 8 2" xfId="28243" xr:uid="{00000000-0005-0000-0000-0000E5440000}"/>
    <cellStyle name="Normal 3 22 11 9" xfId="10701" xr:uid="{00000000-0005-0000-0000-0000E6440000}"/>
    <cellStyle name="Normal 3 22 11 9 2" xfId="28244" xr:uid="{00000000-0005-0000-0000-0000E7440000}"/>
    <cellStyle name="Normal 3 22 12" xfId="10702" xr:uid="{00000000-0005-0000-0000-0000E8440000}"/>
    <cellStyle name="Normal 3 22 12 10" xfId="10703" xr:uid="{00000000-0005-0000-0000-0000E9440000}"/>
    <cellStyle name="Normal 3 22 12 10 2" xfId="28246" xr:uid="{00000000-0005-0000-0000-0000EA440000}"/>
    <cellStyle name="Normal 3 22 12 11" xfId="10704" xr:uid="{00000000-0005-0000-0000-0000EB440000}"/>
    <cellStyle name="Normal 3 22 12 11 2" xfId="28247" xr:uid="{00000000-0005-0000-0000-0000EC440000}"/>
    <cellStyle name="Normal 3 22 12 12" xfId="10705" xr:uid="{00000000-0005-0000-0000-0000ED440000}"/>
    <cellStyle name="Normal 3 22 12 12 2" xfId="28248" xr:uid="{00000000-0005-0000-0000-0000EE440000}"/>
    <cellStyle name="Normal 3 22 12 13" xfId="10706" xr:uid="{00000000-0005-0000-0000-0000EF440000}"/>
    <cellStyle name="Normal 3 22 12 13 2" xfId="28249" xr:uid="{00000000-0005-0000-0000-0000F0440000}"/>
    <cellStyle name="Normal 3 22 12 14" xfId="10707" xr:uid="{00000000-0005-0000-0000-0000F1440000}"/>
    <cellStyle name="Normal 3 22 12 14 2" xfId="28250" xr:uid="{00000000-0005-0000-0000-0000F2440000}"/>
    <cellStyle name="Normal 3 22 12 15" xfId="28245" xr:uid="{00000000-0005-0000-0000-0000F3440000}"/>
    <cellStyle name="Normal 3 22 12 2" xfId="10708" xr:uid="{00000000-0005-0000-0000-0000F4440000}"/>
    <cellStyle name="Normal 3 22 12 2 2" xfId="28251" xr:uid="{00000000-0005-0000-0000-0000F5440000}"/>
    <cellStyle name="Normal 3 22 12 3" xfId="10709" xr:uid="{00000000-0005-0000-0000-0000F6440000}"/>
    <cellStyle name="Normal 3 22 12 3 2" xfId="28252" xr:uid="{00000000-0005-0000-0000-0000F7440000}"/>
    <cellStyle name="Normal 3 22 12 4" xfId="10710" xr:uid="{00000000-0005-0000-0000-0000F8440000}"/>
    <cellStyle name="Normal 3 22 12 4 2" xfId="28253" xr:uid="{00000000-0005-0000-0000-0000F9440000}"/>
    <cellStyle name="Normal 3 22 12 5" xfId="10711" xr:uid="{00000000-0005-0000-0000-0000FA440000}"/>
    <cellStyle name="Normal 3 22 12 5 2" xfId="28254" xr:uid="{00000000-0005-0000-0000-0000FB440000}"/>
    <cellStyle name="Normal 3 22 12 6" xfId="10712" xr:uid="{00000000-0005-0000-0000-0000FC440000}"/>
    <cellStyle name="Normal 3 22 12 6 2" xfId="28255" xr:uid="{00000000-0005-0000-0000-0000FD440000}"/>
    <cellStyle name="Normal 3 22 12 7" xfId="10713" xr:uid="{00000000-0005-0000-0000-0000FE440000}"/>
    <cellStyle name="Normal 3 22 12 7 2" xfId="28256" xr:uid="{00000000-0005-0000-0000-0000FF440000}"/>
    <cellStyle name="Normal 3 22 12 8" xfId="10714" xr:uid="{00000000-0005-0000-0000-000000450000}"/>
    <cellStyle name="Normal 3 22 12 8 2" xfId="28257" xr:uid="{00000000-0005-0000-0000-000001450000}"/>
    <cellStyle name="Normal 3 22 12 9" xfId="10715" xr:uid="{00000000-0005-0000-0000-000002450000}"/>
    <cellStyle name="Normal 3 22 12 9 2" xfId="28258" xr:uid="{00000000-0005-0000-0000-000003450000}"/>
    <cellStyle name="Normal 3 22 13" xfId="10716" xr:uid="{00000000-0005-0000-0000-000004450000}"/>
    <cellStyle name="Normal 3 22 13 10" xfId="10717" xr:uid="{00000000-0005-0000-0000-000005450000}"/>
    <cellStyle name="Normal 3 22 13 10 2" xfId="28260" xr:uid="{00000000-0005-0000-0000-000006450000}"/>
    <cellStyle name="Normal 3 22 13 11" xfId="10718" xr:uid="{00000000-0005-0000-0000-000007450000}"/>
    <cellStyle name="Normal 3 22 13 11 2" xfId="28261" xr:uid="{00000000-0005-0000-0000-000008450000}"/>
    <cellStyle name="Normal 3 22 13 12" xfId="10719" xr:uid="{00000000-0005-0000-0000-000009450000}"/>
    <cellStyle name="Normal 3 22 13 12 2" xfId="28262" xr:uid="{00000000-0005-0000-0000-00000A450000}"/>
    <cellStyle name="Normal 3 22 13 13" xfId="10720" xr:uid="{00000000-0005-0000-0000-00000B450000}"/>
    <cellStyle name="Normal 3 22 13 13 2" xfId="28263" xr:uid="{00000000-0005-0000-0000-00000C450000}"/>
    <cellStyle name="Normal 3 22 13 14" xfId="10721" xr:uid="{00000000-0005-0000-0000-00000D450000}"/>
    <cellStyle name="Normal 3 22 13 14 2" xfId="28264" xr:uid="{00000000-0005-0000-0000-00000E450000}"/>
    <cellStyle name="Normal 3 22 13 15" xfId="28259" xr:uid="{00000000-0005-0000-0000-00000F450000}"/>
    <cellStyle name="Normal 3 22 13 2" xfId="10722" xr:uid="{00000000-0005-0000-0000-000010450000}"/>
    <cellStyle name="Normal 3 22 13 2 2" xfId="28265" xr:uid="{00000000-0005-0000-0000-000011450000}"/>
    <cellStyle name="Normal 3 22 13 3" xfId="10723" xr:uid="{00000000-0005-0000-0000-000012450000}"/>
    <cellStyle name="Normal 3 22 13 3 2" xfId="28266" xr:uid="{00000000-0005-0000-0000-000013450000}"/>
    <cellStyle name="Normal 3 22 13 4" xfId="10724" xr:uid="{00000000-0005-0000-0000-000014450000}"/>
    <cellStyle name="Normal 3 22 13 4 2" xfId="28267" xr:uid="{00000000-0005-0000-0000-000015450000}"/>
    <cellStyle name="Normal 3 22 13 5" xfId="10725" xr:uid="{00000000-0005-0000-0000-000016450000}"/>
    <cellStyle name="Normal 3 22 13 5 2" xfId="28268" xr:uid="{00000000-0005-0000-0000-000017450000}"/>
    <cellStyle name="Normal 3 22 13 6" xfId="10726" xr:uid="{00000000-0005-0000-0000-000018450000}"/>
    <cellStyle name="Normal 3 22 13 6 2" xfId="28269" xr:uid="{00000000-0005-0000-0000-000019450000}"/>
    <cellStyle name="Normal 3 22 13 7" xfId="10727" xr:uid="{00000000-0005-0000-0000-00001A450000}"/>
    <cellStyle name="Normal 3 22 13 7 2" xfId="28270" xr:uid="{00000000-0005-0000-0000-00001B450000}"/>
    <cellStyle name="Normal 3 22 13 8" xfId="10728" xr:uid="{00000000-0005-0000-0000-00001C450000}"/>
    <cellStyle name="Normal 3 22 13 8 2" xfId="28271" xr:uid="{00000000-0005-0000-0000-00001D450000}"/>
    <cellStyle name="Normal 3 22 13 9" xfId="10729" xr:uid="{00000000-0005-0000-0000-00001E450000}"/>
    <cellStyle name="Normal 3 22 13 9 2" xfId="28272" xr:uid="{00000000-0005-0000-0000-00001F450000}"/>
    <cellStyle name="Normal 3 22 14" xfId="10730" xr:uid="{00000000-0005-0000-0000-000020450000}"/>
    <cellStyle name="Normal 3 22 14 10" xfId="10731" xr:uid="{00000000-0005-0000-0000-000021450000}"/>
    <cellStyle name="Normal 3 22 14 10 2" xfId="28274" xr:uid="{00000000-0005-0000-0000-000022450000}"/>
    <cellStyle name="Normal 3 22 14 11" xfId="10732" xr:uid="{00000000-0005-0000-0000-000023450000}"/>
    <cellStyle name="Normal 3 22 14 11 2" xfId="28275" xr:uid="{00000000-0005-0000-0000-000024450000}"/>
    <cellStyle name="Normal 3 22 14 12" xfId="10733" xr:uid="{00000000-0005-0000-0000-000025450000}"/>
    <cellStyle name="Normal 3 22 14 12 2" xfId="28276" xr:uid="{00000000-0005-0000-0000-000026450000}"/>
    <cellStyle name="Normal 3 22 14 13" xfId="10734" xr:uid="{00000000-0005-0000-0000-000027450000}"/>
    <cellStyle name="Normal 3 22 14 13 2" xfId="28277" xr:uid="{00000000-0005-0000-0000-000028450000}"/>
    <cellStyle name="Normal 3 22 14 14" xfId="10735" xr:uid="{00000000-0005-0000-0000-000029450000}"/>
    <cellStyle name="Normal 3 22 14 14 2" xfId="28278" xr:uid="{00000000-0005-0000-0000-00002A450000}"/>
    <cellStyle name="Normal 3 22 14 15" xfId="28273" xr:uid="{00000000-0005-0000-0000-00002B450000}"/>
    <cellStyle name="Normal 3 22 14 2" xfId="10736" xr:uid="{00000000-0005-0000-0000-00002C450000}"/>
    <cellStyle name="Normal 3 22 14 2 2" xfId="28279" xr:uid="{00000000-0005-0000-0000-00002D450000}"/>
    <cellStyle name="Normal 3 22 14 3" xfId="10737" xr:uid="{00000000-0005-0000-0000-00002E450000}"/>
    <cellStyle name="Normal 3 22 14 3 2" xfId="28280" xr:uid="{00000000-0005-0000-0000-00002F450000}"/>
    <cellStyle name="Normal 3 22 14 4" xfId="10738" xr:uid="{00000000-0005-0000-0000-000030450000}"/>
    <cellStyle name="Normal 3 22 14 4 2" xfId="28281" xr:uid="{00000000-0005-0000-0000-000031450000}"/>
    <cellStyle name="Normal 3 22 14 5" xfId="10739" xr:uid="{00000000-0005-0000-0000-000032450000}"/>
    <cellStyle name="Normal 3 22 14 5 2" xfId="28282" xr:uid="{00000000-0005-0000-0000-000033450000}"/>
    <cellStyle name="Normal 3 22 14 6" xfId="10740" xr:uid="{00000000-0005-0000-0000-000034450000}"/>
    <cellStyle name="Normal 3 22 14 6 2" xfId="28283" xr:uid="{00000000-0005-0000-0000-000035450000}"/>
    <cellStyle name="Normal 3 22 14 7" xfId="10741" xr:uid="{00000000-0005-0000-0000-000036450000}"/>
    <cellStyle name="Normal 3 22 14 7 2" xfId="28284" xr:uid="{00000000-0005-0000-0000-000037450000}"/>
    <cellStyle name="Normal 3 22 14 8" xfId="10742" xr:uid="{00000000-0005-0000-0000-000038450000}"/>
    <cellStyle name="Normal 3 22 14 8 2" xfId="28285" xr:uid="{00000000-0005-0000-0000-000039450000}"/>
    <cellStyle name="Normal 3 22 14 9" xfId="10743" xr:uid="{00000000-0005-0000-0000-00003A450000}"/>
    <cellStyle name="Normal 3 22 14 9 2" xfId="28286" xr:uid="{00000000-0005-0000-0000-00003B450000}"/>
    <cellStyle name="Normal 3 22 15" xfId="10744" xr:uid="{00000000-0005-0000-0000-00003C450000}"/>
    <cellStyle name="Normal 3 22 15 2" xfId="28287" xr:uid="{00000000-0005-0000-0000-00003D450000}"/>
    <cellStyle name="Normal 3 22 16" xfId="10745" xr:uid="{00000000-0005-0000-0000-00003E450000}"/>
    <cellStyle name="Normal 3 22 16 2" xfId="28288" xr:uid="{00000000-0005-0000-0000-00003F450000}"/>
    <cellStyle name="Normal 3 22 17" xfId="10746" xr:uid="{00000000-0005-0000-0000-000040450000}"/>
    <cellStyle name="Normal 3 22 17 2" xfId="28289" xr:uid="{00000000-0005-0000-0000-000041450000}"/>
    <cellStyle name="Normal 3 22 18" xfId="10747" xr:uid="{00000000-0005-0000-0000-000042450000}"/>
    <cellStyle name="Normal 3 22 18 2" xfId="28290" xr:uid="{00000000-0005-0000-0000-000043450000}"/>
    <cellStyle name="Normal 3 22 19" xfId="10748" xr:uid="{00000000-0005-0000-0000-000044450000}"/>
    <cellStyle name="Normal 3 22 19 2" xfId="28291" xr:uid="{00000000-0005-0000-0000-000045450000}"/>
    <cellStyle name="Normal 3 22 2" xfId="10749" xr:uid="{00000000-0005-0000-0000-000046450000}"/>
    <cellStyle name="Normal 3 22 20" xfId="10750" xr:uid="{00000000-0005-0000-0000-000047450000}"/>
    <cellStyle name="Normal 3 22 20 2" xfId="28292" xr:uid="{00000000-0005-0000-0000-000048450000}"/>
    <cellStyle name="Normal 3 22 21" xfId="10751" xr:uid="{00000000-0005-0000-0000-000049450000}"/>
    <cellStyle name="Normal 3 22 21 2" xfId="28293" xr:uid="{00000000-0005-0000-0000-00004A450000}"/>
    <cellStyle name="Normal 3 22 22" xfId="10752" xr:uid="{00000000-0005-0000-0000-00004B450000}"/>
    <cellStyle name="Normal 3 22 22 2" xfId="28294" xr:uid="{00000000-0005-0000-0000-00004C450000}"/>
    <cellStyle name="Normal 3 22 23" xfId="10753" xr:uid="{00000000-0005-0000-0000-00004D450000}"/>
    <cellStyle name="Normal 3 22 23 2" xfId="28295" xr:uid="{00000000-0005-0000-0000-00004E450000}"/>
    <cellStyle name="Normal 3 22 24" xfId="10754" xr:uid="{00000000-0005-0000-0000-00004F450000}"/>
    <cellStyle name="Normal 3 22 24 2" xfId="28296" xr:uid="{00000000-0005-0000-0000-000050450000}"/>
    <cellStyle name="Normal 3 22 25" xfId="10755" xr:uid="{00000000-0005-0000-0000-000051450000}"/>
    <cellStyle name="Normal 3 22 25 2" xfId="28297" xr:uid="{00000000-0005-0000-0000-000052450000}"/>
    <cellStyle name="Normal 3 22 26" xfId="10756" xr:uid="{00000000-0005-0000-0000-000053450000}"/>
    <cellStyle name="Normal 3 22 26 2" xfId="28298" xr:uid="{00000000-0005-0000-0000-000054450000}"/>
    <cellStyle name="Normal 3 22 27" xfId="10757" xr:uid="{00000000-0005-0000-0000-000055450000}"/>
    <cellStyle name="Normal 3 22 27 2" xfId="28299" xr:uid="{00000000-0005-0000-0000-000056450000}"/>
    <cellStyle name="Normal 3 22 28" xfId="28216" xr:uid="{00000000-0005-0000-0000-000057450000}"/>
    <cellStyle name="Normal 3 22 3" xfId="10758" xr:uid="{00000000-0005-0000-0000-000058450000}"/>
    <cellStyle name="Normal 3 22 4" xfId="10759" xr:uid="{00000000-0005-0000-0000-000059450000}"/>
    <cellStyle name="Normal 3 22 5" xfId="10760" xr:uid="{00000000-0005-0000-0000-00005A450000}"/>
    <cellStyle name="Normal 3 22 6" xfId="10761" xr:uid="{00000000-0005-0000-0000-00005B450000}"/>
    <cellStyle name="Normal 3 22 6 10" xfId="10762" xr:uid="{00000000-0005-0000-0000-00005C450000}"/>
    <cellStyle name="Normal 3 22 6 10 2" xfId="28301" xr:uid="{00000000-0005-0000-0000-00005D450000}"/>
    <cellStyle name="Normal 3 22 6 11" xfId="10763" xr:uid="{00000000-0005-0000-0000-00005E450000}"/>
    <cellStyle name="Normal 3 22 6 11 2" xfId="28302" xr:uid="{00000000-0005-0000-0000-00005F450000}"/>
    <cellStyle name="Normal 3 22 6 12" xfId="10764" xr:uid="{00000000-0005-0000-0000-000060450000}"/>
    <cellStyle name="Normal 3 22 6 12 2" xfId="28303" xr:uid="{00000000-0005-0000-0000-000061450000}"/>
    <cellStyle name="Normal 3 22 6 13" xfId="10765" xr:uid="{00000000-0005-0000-0000-000062450000}"/>
    <cellStyle name="Normal 3 22 6 13 2" xfId="28304" xr:uid="{00000000-0005-0000-0000-000063450000}"/>
    <cellStyle name="Normal 3 22 6 14" xfId="10766" xr:uid="{00000000-0005-0000-0000-000064450000}"/>
    <cellStyle name="Normal 3 22 6 14 2" xfId="28305" xr:uid="{00000000-0005-0000-0000-000065450000}"/>
    <cellStyle name="Normal 3 22 6 15" xfId="10767" xr:uid="{00000000-0005-0000-0000-000066450000}"/>
    <cellStyle name="Normal 3 22 6 15 2" xfId="28306" xr:uid="{00000000-0005-0000-0000-000067450000}"/>
    <cellStyle name="Normal 3 22 6 16" xfId="28300" xr:uid="{00000000-0005-0000-0000-000068450000}"/>
    <cellStyle name="Normal 3 22 6 2" xfId="10768" xr:uid="{00000000-0005-0000-0000-000069450000}"/>
    <cellStyle name="Normal 3 22 6 2 10" xfId="10769" xr:uid="{00000000-0005-0000-0000-00006A450000}"/>
    <cellStyle name="Normal 3 22 6 2 10 2" xfId="28308" xr:uid="{00000000-0005-0000-0000-00006B450000}"/>
    <cellStyle name="Normal 3 22 6 2 11" xfId="10770" xr:uid="{00000000-0005-0000-0000-00006C450000}"/>
    <cellStyle name="Normal 3 22 6 2 11 2" xfId="28309" xr:uid="{00000000-0005-0000-0000-00006D450000}"/>
    <cellStyle name="Normal 3 22 6 2 12" xfId="10771" xr:uid="{00000000-0005-0000-0000-00006E450000}"/>
    <cellStyle name="Normal 3 22 6 2 12 2" xfId="28310" xr:uid="{00000000-0005-0000-0000-00006F450000}"/>
    <cellStyle name="Normal 3 22 6 2 13" xfId="10772" xr:uid="{00000000-0005-0000-0000-000070450000}"/>
    <cellStyle name="Normal 3 22 6 2 13 2" xfId="28311" xr:uid="{00000000-0005-0000-0000-000071450000}"/>
    <cellStyle name="Normal 3 22 6 2 14" xfId="10773" xr:uid="{00000000-0005-0000-0000-000072450000}"/>
    <cellStyle name="Normal 3 22 6 2 14 2" xfId="28312" xr:uid="{00000000-0005-0000-0000-000073450000}"/>
    <cellStyle name="Normal 3 22 6 2 15" xfId="28307" xr:uid="{00000000-0005-0000-0000-000074450000}"/>
    <cellStyle name="Normal 3 22 6 2 2" xfId="10774" xr:uid="{00000000-0005-0000-0000-000075450000}"/>
    <cellStyle name="Normal 3 22 6 2 2 2" xfId="28313" xr:uid="{00000000-0005-0000-0000-000076450000}"/>
    <cellStyle name="Normal 3 22 6 2 3" xfId="10775" xr:uid="{00000000-0005-0000-0000-000077450000}"/>
    <cellStyle name="Normal 3 22 6 2 3 2" xfId="28314" xr:uid="{00000000-0005-0000-0000-000078450000}"/>
    <cellStyle name="Normal 3 22 6 2 4" xfId="10776" xr:uid="{00000000-0005-0000-0000-000079450000}"/>
    <cellStyle name="Normal 3 22 6 2 4 2" xfId="28315" xr:uid="{00000000-0005-0000-0000-00007A450000}"/>
    <cellStyle name="Normal 3 22 6 2 5" xfId="10777" xr:uid="{00000000-0005-0000-0000-00007B450000}"/>
    <cellStyle name="Normal 3 22 6 2 5 2" xfId="28316" xr:uid="{00000000-0005-0000-0000-00007C450000}"/>
    <cellStyle name="Normal 3 22 6 2 6" xfId="10778" xr:uid="{00000000-0005-0000-0000-00007D450000}"/>
    <cellStyle name="Normal 3 22 6 2 6 2" xfId="28317" xr:uid="{00000000-0005-0000-0000-00007E450000}"/>
    <cellStyle name="Normal 3 22 6 2 7" xfId="10779" xr:uid="{00000000-0005-0000-0000-00007F450000}"/>
    <cellStyle name="Normal 3 22 6 2 7 2" xfId="28318" xr:uid="{00000000-0005-0000-0000-000080450000}"/>
    <cellStyle name="Normal 3 22 6 2 8" xfId="10780" xr:uid="{00000000-0005-0000-0000-000081450000}"/>
    <cellStyle name="Normal 3 22 6 2 8 2" xfId="28319" xr:uid="{00000000-0005-0000-0000-000082450000}"/>
    <cellStyle name="Normal 3 22 6 2 9" xfId="10781" xr:uid="{00000000-0005-0000-0000-000083450000}"/>
    <cellStyle name="Normal 3 22 6 2 9 2" xfId="28320" xr:uid="{00000000-0005-0000-0000-000084450000}"/>
    <cellStyle name="Normal 3 22 6 3" xfId="10782" xr:uid="{00000000-0005-0000-0000-000085450000}"/>
    <cellStyle name="Normal 3 22 6 3 2" xfId="28321" xr:uid="{00000000-0005-0000-0000-000086450000}"/>
    <cellStyle name="Normal 3 22 6 4" xfId="10783" xr:uid="{00000000-0005-0000-0000-000087450000}"/>
    <cellStyle name="Normal 3 22 6 4 2" xfId="28322" xr:uid="{00000000-0005-0000-0000-000088450000}"/>
    <cellStyle name="Normal 3 22 6 5" xfId="10784" xr:uid="{00000000-0005-0000-0000-000089450000}"/>
    <cellStyle name="Normal 3 22 6 5 2" xfId="28323" xr:uid="{00000000-0005-0000-0000-00008A450000}"/>
    <cellStyle name="Normal 3 22 6 6" xfId="10785" xr:uid="{00000000-0005-0000-0000-00008B450000}"/>
    <cellStyle name="Normal 3 22 6 6 2" xfId="28324" xr:uid="{00000000-0005-0000-0000-00008C450000}"/>
    <cellStyle name="Normal 3 22 6 7" xfId="10786" xr:uid="{00000000-0005-0000-0000-00008D450000}"/>
    <cellStyle name="Normal 3 22 6 7 2" xfId="28325" xr:uid="{00000000-0005-0000-0000-00008E450000}"/>
    <cellStyle name="Normal 3 22 6 8" xfId="10787" xr:uid="{00000000-0005-0000-0000-00008F450000}"/>
    <cellStyle name="Normal 3 22 6 8 2" xfId="28326" xr:uid="{00000000-0005-0000-0000-000090450000}"/>
    <cellStyle name="Normal 3 22 6 9" xfId="10788" xr:uid="{00000000-0005-0000-0000-000091450000}"/>
    <cellStyle name="Normal 3 22 6 9 2" xfId="28327" xr:uid="{00000000-0005-0000-0000-000092450000}"/>
    <cellStyle name="Normal 3 22 7" xfId="10789" xr:uid="{00000000-0005-0000-0000-000093450000}"/>
    <cellStyle name="Normal 3 22 7 10" xfId="10790" xr:uid="{00000000-0005-0000-0000-000094450000}"/>
    <cellStyle name="Normal 3 22 7 10 2" xfId="28329" xr:uid="{00000000-0005-0000-0000-000095450000}"/>
    <cellStyle name="Normal 3 22 7 11" xfId="10791" xr:uid="{00000000-0005-0000-0000-000096450000}"/>
    <cellStyle name="Normal 3 22 7 11 2" xfId="28330" xr:uid="{00000000-0005-0000-0000-000097450000}"/>
    <cellStyle name="Normal 3 22 7 12" xfId="10792" xr:uid="{00000000-0005-0000-0000-000098450000}"/>
    <cellStyle name="Normal 3 22 7 12 2" xfId="28331" xr:uid="{00000000-0005-0000-0000-000099450000}"/>
    <cellStyle name="Normal 3 22 7 13" xfId="10793" xr:uid="{00000000-0005-0000-0000-00009A450000}"/>
    <cellStyle name="Normal 3 22 7 13 2" xfId="28332" xr:uid="{00000000-0005-0000-0000-00009B450000}"/>
    <cellStyle name="Normal 3 22 7 14" xfId="10794" xr:uid="{00000000-0005-0000-0000-00009C450000}"/>
    <cellStyle name="Normal 3 22 7 14 2" xfId="28333" xr:uid="{00000000-0005-0000-0000-00009D450000}"/>
    <cellStyle name="Normal 3 22 7 15" xfId="10795" xr:uid="{00000000-0005-0000-0000-00009E450000}"/>
    <cellStyle name="Normal 3 22 7 15 2" xfId="28334" xr:uid="{00000000-0005-0000-0000-00009F450000}"/>
    <cellStyle name="Normal 3 22 7 16" xfId="28328" xr:uid="{00000000-0005-0000-0000-0000A0450000}"/>
    <cellStyle name="Normal 3 22 7 2" xfId="10796" xr:uid="{00000000-0005-0000-0000-0000A1450000}"/>
    <cellStyle name="Normal 3 22 7 2 10" xfId="10797" xr:uid="{00000000-0005-0000-0000-0000A2450000}"/>
    <cellStyle name="Normal 3 22 7 2 10 2" xfId="28336" xr:uid="{00000000-0005-0000-0000-0000A3450000}"/>
    <cellStyle name="Normal 3 22 7 2 11" xfId="10798" xr:uid="{00000000-0005-0000-0000-0000A4450000}"/>
    <cellStyle name="Normal 3 22 7 2 11 2" xfId="28337" xr:uid="{00000000-0005-0000-0000-0000A5450000}"/>
    <cellStyle name="Normal 3 22 7 2 12" xfId="10799" xr:uid="{00000000-0005-0000-0000-0000A6450000}"/>
    <cellStyle name="Normal 3 22 7 2 12 2" xfId="28338" xr:uid="{00000000-0005-0000-0000-0000A7450000}"/>
    <cellStyle name="Normal 3 22 7 2 13" xfId="10800" xr:uid="{00000000-0005-0000-0000-0000A8450000}"/>
    <cellStyle name="Normal 3 22 7 2 13 2" xfId="28339" xr:uid="{00000000-0005-0000-0000-0000A9450000}"/>
    <cellStyle name="Normal 3 22 7 2 14" xfId="10801" xr:uid="{00000000-0005-0000-0000-0000AA450000}"/>
    <cellStyle name="Normal 3 22 7 2 14 2" xfId="28340" xr:uid="{00000000-0005-0000-0000-0000AB450000}"/>
    <cellStyle name="Normal 3 22 7 2 15" xfId="28335" xr:uid="{00000000-0005-0000-0000-0000AC450000}"/>
    <cellStyle name="Normal 3 22 7 2 2" xfId="10802" xr:uid="{00000000-0005-0000-0000-0000AD450000}"/>
    <cellStyle name="Normal 3 22 7 2 2 2" xfId="28341" xr:uid="{00000000-0005-0000-0000-0000AE450000}"/>
    <cellStyle name="Normal 3 22 7 2 3" xfId="10803" xr:uid="{00000000-0005-0000-0000-0000AF450000}"/>
    <cellStyle name="Normal 3 22 7 2 3 2" xfId="28342" xr:uid="{00000000-0005-0000-0000-0000B0450000}"/>
    <cellStyle name="Normal 3 22 7 2 4" xfId="10804" xr:uid="{00000000-0005-0000-0000-0000B1450000}"/>
    <cellStyle name="Normal 3 22 7 2 4 2" xfId="28343" xr:uid="{00000000-0005-0000-0000-0000B2450000}"/>
    <cellStyle name="Normal 3 22 7 2 5" xfId="10805" xr:uid="{00000000-0005-0000-0000-0000B3450000}"/>
    <cellStyle name="Normal 3 22 7 2 5 2" xfId="28344" xr:uid="{00000000-0005-0000-0000-0000B4450000}"/>
    <cellStyle name="Normal 3 22 7 2 6" xfId="10806" xr:uid="{00000000-0005-0000-0000-0000B5450000}"/>
    <cellStyle name="Normal 3 22 7 2 6 2" xfId="28345" xr:uid="{00000000-0005-0000-0000-0000B6450000}"/>
    <cellStyle name="Normal 3 22 7 2 7" xfId="10807" xr:uid="{00000000-0005-0000-0000-0000B7450000}"/>
    <cellStyle name="Normal 3 22 7 2 7 2" xfId="28346" xr:uid="{00000000-0005-0000-0000-0000B8450000}"/>
    <cellStyle name="Normal 3 22 7 2 8" xfId="10808" xr:uid="{00000000-0005-0000-0000-0000B9450000}"/>
    <cellStyle name="Normal 3 22 7 2 8 2" xfId="28347" xr:uid="{00000000-0005-0000-0000-0000BA450000}"/>
    <cellStyle name="Normal 3 22 7 2 9" xfId="10809" xr:uid="{00000000-0005-0000-0000-0000BB450000}"/>
    <cellStyle name="Normal 3 22 7 2 9 2" xfId="28348" xr:uid="{00000000-0005-0000-0000-0000BC450000}"/>
    <cellStyle name="Normal 3 22 7 3" xfId="10810" xr:uid="{00000000-0005-0000-0000-0000BD450000}"/>
    <cellStyle name="Normal 3 22 7 3 2" xfId="28349" xr:uid="{00000000-0005-0000-0000-0000BE450000}"/>
    <cellStyle name="Normal 3 22 7 4" xfId="10811" xr:uid="{00000000-0005-0000-0000-0000BF450000}"/>
    <cellStyle name="Normal 3 22 7 4 2" xfId="28350" xr:uid="{00000000-0005-0000-0000-0000C0450000}"/>
    <cellStyle name="Normal 3 22 7 5" xfId="10812" xr:uid="{00000000-0005-0000-0000-0000C1450000}"/>
    <cellStyle name="Normal 3 22 7 5 2" xfId="28351" xr:uid="{00000000-0005-0000-0000-0000C2450000}"/>
    <cellStyle name="Normal 3 22 7 6" xfId="10813" xr:uid="{00000000-0005-0000-0000-0000C3450000}"/>
    <cellStyle name="Normal 3 22 7 6 2" xfId="28352" xr:uid="{00000000-0005-0000-0000-0000C4450000}"/>
    <cellStyle name="Normal 3 22 7 7" xfId="10814" xr:uid="{00000000-0005-0000-0000-0000C5450000}"/>
    <cellStyle name="Normal 3 22 7 7 2" xfId="28353" xr:uid="{00000000-0005-0000-0000-0000C6450000}"/>
    <cellStyle name="Normal 3 22 7 8" xfId="10815" xr:uid="{00000000-0005-0000-0000-0000C7450000}"/>
    <cellStyle name="Normal 3 22 7 8 2" xfId="28354" xr:uid="{00000000-0005-0000-0000-0000C8450000}"/>
    <cellStyle name="Normal 3 22 7 9" xfId="10816" xr:uid="{00000000-0005-0000-0000-0000C9450000}"/>
    <cellStyle name="Normal 3 22 7 9 2" xfId="28355" xr:uid="{00000000-0005-0000-0000-0000CA450000}"/>
    <cellStyle name="Normal 3 22 8" xfId="10817" xr:uid="{00000000-0005-0000-0000-0000CB450000}"/>
    <cellStyle name="Normal 3 22 8 10" xfId="10818" xr:uid="{00000000-0005-0000-0000-0000CC450000}"/>
    <cellStyle name="Normal 3 22 8 10 2" xfId="28357" xr:uid="{00000000-0005-0000-0000-0000CD450000}"/>
    <cellStyle name="Normal 3 22 8 11" xfId="10819" xr:uid="{00000000-0005-0000-0000-0000CE450000}"/>
    <cellStyle name="Normal 3 22 8 11 2" xfId="28358" xr:uid="{00000000-0005-0000-0000-0000CF450000}"/>
    <cellStyle name="Normal 3 22 8 12" xfId="10820" xr:uid="{00000000-0005-0000-0000-0000D0450000}"/>
    <cellStyle name="Normal 3 22 8 12 2" xfId="28359" xr:uid="{00000000-0005-0000-0000-0000D1450000}"/>
    <cellStyle name="Normal 3 22 8 13" xfId="10821" xr:uid="{00000000-0005-0000-0000-0000D2450000}"/>
    <cellStyle name="Normal 3 22 8 13 2" xfId="28360" xr:uid="{00000000-0005-0000-0000-0000D3450000}"/>
    <cellStyle name="Normal 3 22 8 14" xfId="10822" xr:uid="{00000000-0005-0000-0000-0000D4450000}"/>
    <cellStyle name="Normal 3 22 8 14 2" xfId="28361" xr:uid="{00000000-0005-0000-0000-0000D5450000}"/>
    <cellStyle name="Normal 3 22 8 15" xfId="10823" xr:uid="{00000000-0005-0000-0000-0000D6450000}"/>
    <cellStyle name="Normal 3 22 8 15 2" xfId="28362" xr:uid="{00000000-0005-0000-0000-0000D7450000}"/>
    <cellStyle name="Normal 3 22 8 16" xfId="28356" xr:uid="{00000000-0005-0000-0000-0000D8450000}"/>
    <cellStyle name="Normal 3 22 8 2" xfId="10824" xr:uid="{00000000-0005-0000-0000-0000D9450000}"/>
    <cellStyle name="Normal 3 22 8 2 10" xfId="10825" xr:uid="{00000000-0005-0000-0000-0000DA450000}"/>
    <cellStyle name="Normal 3 22 8 2 10 2" xfId="28364" xr:uid="{00000000-0005-0000-0000-0000DB450000}"/>
    <cellStyle name="Normal 3 22 8 2 11" xfId="10826" xr:uid="{00000000-0005-0000-0000-0000DC450000}"/>
    <cellStyle name="Normal 3 22 8 2 11 2" xfId="28365" xr:uid="{00000000-0005-0000-0000-0000DD450000}"/>
    <cellStyle name="Normal 3 22 8 2 12" xfId="10827" xr:uid="{00000000-0005-0000-0000-0000DE450000}"/>
    <cellStyle name="Normal 3 22 8 2 12 2" xfId="28366" xr:uid="{00000000-0005-0000-0000-0000DF450000}"/>
    <cellStyle name="Normal 3 22 8 2 13" xfId="10828" xr:uid="{00000000-0005-0000-0000-0000E0450000}"/>
    <cellStyle name="Normal 3 22 8 2 13 2" xfId="28367" xr:uid="{00000000-0005-0000-0000-0000E1450000}"/>
    <cellStyle name="Normal 3 22 8 2 14" xfId="10829" xr:uid="{00000000-0005-0000-0000-0000E2450000}"/>
    <cellStyle name="Normal 3 22 8 2 14 2" xfId="28368" xr:uid="{00000000-0005-0000-0000-0000E3450000}"/>
    <cellStyle name="Normal 3 22 8 2 15" xfId="28363" xr:uid="{00000000-0005-0000-0000-0000E4450000}"/>
    <cellStyle name="Normal 3 22 8 2 2" xfId="10830" xr:uid="{00000000-0005-0000-0000-0000E5450000}"/>
    <cellStyle name="Normal 3 22 8 2 2 2" xfId="28369" xr:uid="{00000000-0005-0000-0000-0000E6450000}"/>
    <cellStyle name="Normal 3 22 8 2 3" xfId="10831" xr:uid="{00000000-0005-0000-0000-0000E7450000}"/>
    <cellStyle name="Normal 3 22 8 2 3 2" xfId="28370" xr:uid="{00000000-0005-0000-0000-0000E8450000}"/>
    <cellStyle name="Normal 3 22 8 2 4" xfId="10832" xr:uid="{00000000-0005-0000-0000-0000E9450000}"/>
    <cellStyle name="Normal 3 22 8 2 4 2" xfId="28371" xr:uid="{00000000-0005-0000-0000-0000EA450000}"/>
    <cellStyle name="Normal 3 22 8 2 5" xfId="10833" xr:uid="{00000000-0005-0000-0000-0000EB450000}"/>
    <cellStyle name="Normal 3 22 8 2 5 2" xfId="28372" xr:uid="{00000000-0005-0000-0000-0000EC450000}"/>
    <cellStyle name="Normal 3 22 8 2 6" xfId="10834" xr:uid="{00000000-0005-0000-0000-0000ED450000}"/>
    <cellStyle name="Normal 3 22 8 2 6 2" xfId="28373" xr:uid="{00000000-0005-0000-0000-0000EE450000}"/>
    <cellStyle name="Normal 3 22 8 2 7" xfId="10835" xr:uid="{00000000-0005-0000-0000-0000EF450000}"/>
    <cellStyle name="Normal 3 22 8 2 7 2" xfId="28374" xr:uid="{00000000-0005-0000-0000-0000F0450000}"/>
    <cellStyle name="Normal 3 22 8 2 8" xfId="10836" xr:uid="{00000000-0005-0000-0000-0000F1450000}"/>
    <cellStyle name="Normal 3 22 8 2 8 2" xfId="28375" xr:uid="{00000000-0005-0000-0000-0000F2450000}"/>
    <cellStyle name="Normal 3 22 8 2 9" xfId="10837" xr:uid="{00000000-0005-0000-0000-0000F3450000}"/>
    <cellStyle name="Normal 3 22 8 2 9 2" xfId="28376" xr:uid="{00000000-0005-0000-0000-0000F4450000}"/>
    <cellStyle name="Normal 3 22 8 3" xfId="10838" xr:uid="{00000000-0005-0000-0000-0000F5450000}"/>
    <cellStyle name="Normal 3 22 8 3 2" xfId="28377" xr:uid="{00000000-0005-0000-0000-0000F6450000}"/>
    <cellStyle name="Normal 3 22 8 4" xfId="10839" xr:uid="{00000000-0005-0000-0000-0000F7450000}"/>
    <cellStyle name="Normal 3 22 8 4 2" xfId="28378" xr:uid="{00000000-0005-0000-0000-0000F8450000}"/>
    <cellStyle name="Normal 3 22 8 5" xfId="10840" xr:uid="{00000000-0005-0000-0000-0000F9450000}"/>
    <cellStyle name="Normal 3 22 8 5 2" xfId="28379" xr:uid="{00000000-0005-0000-0000-0000FA450000}"/>
    <cellStyle name="Normal 3 22 8 6" xfId="10841" xr:uid="{00000000-0005-0000-0000-0000FB450000}"/>
    <cellStyle name="Normal 3 22 8 6 2" xfId="28380" xr:uid="{00000000-0005-0000-0000-0000FC450000}"/>
    <cellStyle name="Normal 3 22 8 7" xfId="10842" xr:uid="{00000000-0005-0000-0000-0000FD450000}"/>
    <cellStyle name="Normal 3 22 8 7 2" xfId="28381" xr:uid="{00000000-0005-0000-0000-0000FE450000}"/>
    <cellStyle name="Normal 3 22 8 8" xfId="10843" xr:uid="{00000000-0005-0000-0000-0000FF450000}"/>
    <cellStyle name="Normal 3 22 8 8 2" xfId="28382" xr:uid="{00000000-0005-0000-0000-000000460000}"/>
    <cellStyle name="Normal 3 22 8 9" xfId="10844" xr:uid="{00000000-0005-0000-0000-000001460000}"/>
    <cellStyle name="Normal 3 22 8 9 2" xfId="28383" xr:uid="{00000000-0005-0000-0000-000002460000}"/>
    <cellStyle name="Normal 3 22 9" xfId="10845" xr:uid="{00000000-0005-0000-0000-000003460000}"/>
    <cellStyle name="Normal 3 22 9 10" xfId="10846" xr:uid="{00000000-0005-0000-0000-000004460000}"/>
    <cellStyle name="Normal 3 22 9 10 2" xfId="28385" xr:uid="{00000000-0005-0000-0000-000005460000}"/>
    <cellStyle name="Normal 3 22 9 11" xfId="10847" xr:uid="{00000000-0005-0000-0000-000006460000}"/>
    <cellStyle name="Normal 3 22 9 11 2" xfId="28386" xr:uid="{00000000-0005-0000-0000-000007460000}"/>
    <cellStyle name="Normal 3 22 9 12" xfId="10848" xr:uid="{00000000-0005-0000-0000-000008460000}"/>
    <cellStyle name="Normal 3 22 9 12 2" xfId="28387" xr:uid="{00000000-0005-0000-0000-000009460000}"/>
    <cellStyle name="Normal 3 22 9 13" xfId="10849" xr:uid="{00000000-0005-0000-0000-00000A460000}"/>
    <cellStyle name="Normal 3 22 9 13 2" xfId="28388" xr:uid="{00000000-0005-0000-0000-00000B460000}"/>
    <cellStyle name="Normal 3 22 9 14" xfId="10850" xr:uid="{00000000-0005-0000-0000-00000C460000}"/>
    <cellStyle name="Normal 3 22 9 14 2" xfId="28389" xr:uid="{00000000-0005-0000-0000-00000D460000}"/>
    <cellStyle name="Normal 3 22 9 15" xfId="28384" xr:uid="{00000000-0005-0000-0000-00000E460000}"/>
    <cellStyle name="Normal 3 22 9 2" xfId="10851" xr:uid="{00000000-0005-0000-0000-00000F460000}"/>
    <cellStyle name="Normal 3 22 9 2 2" xfId="28390" xr:uid="{00000000-0005-0000-0000-000010460000}"/>
    <cellStyle name="Normal 3 22 9 3" xfId="10852" xr:uid="{00000000-0005-0000-0000-000011460000}"/>
    <cellStyle name="Normal 3 22 9 3 2" xfId="28391" xr:uid="{00000000-0005-0000-0000-000012460000}"/>
    <cellStyle name="Normal 3 22 9 4" xfId="10853" xr:uid="{00000000-0005-0000-0000-000013460000}"/>
    <cellStyle name="Normal 3 22 9 4 2" xfId="28392" xr:uid="{00000000-0005-0000-0000-000014460000}"/>
    <cellStyle name="Normal 3 22 9 5" xfId="10854" xr:uid="{00000000-0005-0000-0000-000015460000}"/>
    <cellStyle name="Normal 3 22 9 5 2" xfId="28393" xr:uid="{00000000-0005-0000-0000-000016460000}"/>
    <cellStyle name="Normal 3 22 9 6" xfId="10855" xr:uid="{00000000-0005-0000-0000-000017460000}"/>
    <cellStyle name="Normal 3 22 9 6 2" xfId="28394" xr:uid="{00000000-0005-0000-0000-000018460000}"/>
    <cellStyle name="Normal 3 22 9 7" xfId="10856" xr:uid="{00000000-0005-0000-0000-000019460000}"/>
    <cellStyle name="Normal 3 22 9 7 2" xfId="28395" xr:uid="{00000000-0005-0000-0000-00001A460000}"/>
    <cellStyle name="Normal 3 22 9 8" xfId="10857" xr:uid="{00000000-0005-0000-0000-00001B460000}"/>
    <cellStyle name="Normal 3 22 9 8 2" xfId="28396" xr:uid="{00000000-0005-0000-0000-00001C460000}"/>
    <cellStyle name="Normal 3 22 9 9" xfId="10858" xr:uid="{00000000-0005-0000-0000-00001D460000}"/>
    <cellStyle name="Normal 3 22 9 9 2" xfId="28397" xr:uid="{00000000-0005-0000-0000-00001E460000}"/>
    <cellStyle name="Normal 3 23" xfId="10859" xr:uid="{00000000-0005-0000-0000-00001F460000}"/>
    <cellStyle name="Normal 3 24" xfId="10860" xr:uid="{00000000-0005-0000-0000-000020460000}"/>
    <cellStyle name="Normal 3 25" xfId="10861" xr:uid="{00000000-0005-0000-0000-000021460000}"/>
    <cellStyle name="Normal 3 26" xfId="10862" xr:uid="{00000000-0005-0000-0000-000022460000}"/>
    <cellStyle name="Normal 3 27" xfId="10863" xr:uid="{00000000-0005-0000-0000-000023460000}"/>
    <cellStyle name="Normal 3 28" xfId="10864" xr:uid="{00000000-0005-0000-0000-000024460000}"/>
    <cellStyle name="Normal 3 29" xfId="10865" xr:uid="{00000000-0005-0000-0000-000025460000}"/>
    <cellStyle name="Normal 3 3" xfId="62" xr:uid="{00000000-0005-0000-0000-000026460000}"/>
    <cellStyle name="Normal 3 3 10" xfId="10867" xr:uid="{00000000-0005-0000-0000-000027460000}"/>
    <cellStyle name="Normal 3 3 10 10" xfId="10868" xr:uid="{00000000-0005-0000-0000-000028460000}"/>
    <cellStyle name="Normal 3 3 10 10 10" xfId="10869" xr:uid="{00000000-0005-0000-0000-000029460000}"/>
    <cellStyle name="Normal 3 3 10 10 10 2" xfId="28400" xr:uid="{00000000-0005-0000-0000-00002A460000}"/>
    <cellStyle name="Normal 3 3 10 10 11" xfId="10870" xr:uid="{00000000-0005-0000-0000-00002B460000}"/>
    <cellStyle name="Normal 3 3 10 10 11 2" xfId="28401" xr:uid="{00000000-0005-0000-0000-00002C460000}"/>
    <cellStyle name="Normal 3 3 10 10 12" xfId="10871" xr:uid="{00000000-0005-0000-0000-00002D460000}"/>
    <cellStyle name="Normal 3 3 10 10 12 2" xfId="28402" xr:uid="{00000000-0005-0000-0000-00002E460000}"/>
    <cellStyle name="Normal 3 3 10 10 13" xfId="10872" xr:uid="{00000000-0005-0000-0000-00002F460000}"/>
    <cellStyle name="Normal 3 3 10 10 13 2" xfId="28403" xr:uid="{00000000-0005-0000-0000-000030460000}"/>
    <cellStyle name="Normal 3 3 10 10 14" xfId="10873" xr:uid="{00000000-0005-0000-0000-000031460000}"/>
    <cellStyle name="Normal 3 3 10 10 14 2" xfId="28404" xr:uid="{00000000-0005-0000-0000-000032460000}"/>
    <cellStyle name="Normal 3 3 10 10 15" xfId="28399" xr:uid="{00000000-0005-0000-0000-000033460000}"/>
    <cellStyle name="Normal 3 3 10 10 2" xfId="10874" xr:uid="{00000000-0005-0000-0000-000034460000}"/>
    <cellStyle name="Normal 3 3 10 10 2 2" xfId="28405" xr:uid="{00000000-0005-0000-0000-000035460000}"/>
    <cellStyle name="Normal 3 3 10 10 3" xfId="10875" xr:uid="{00000000-0005-0000-0000-000036460000}"/>
    <cellStyle name="Normal 3 3 10 10 3 2" xfId="28406" xr:uid="{00000000-0005-0000-0000-000037460000}"/>
    <cellStyle name="Normal 3 3 10 10 4" xfId="10876" xr:uid="{00000000-0005-0000-0000-000038460000}"/>
    <cellStyle name="Normal 3 3 10 10 4 2" xfId="28407" xr:uid="{00000000-0005-0000-0000-000039460000}"/>
    <cellStyle name="Normal 3 3 10 10 5" xfId="10877" xr:uid="{00000000-0005-0000-0000-00003A460000}"/>
    <cellStyle name="Normal 3 3 10 10 5 2" xfId="28408" xr:uid="{00000000-0005-0000-0000-00003B460000}"/>
    <cellStyle name="Normal 3 3 10 10 6" xfId="10878" xr:uid="{00000000-0005-0000-0000-00003C460000}"/>
    <cellStyle name="Normal 3 3 10 10 6 2" xfId="28409" xr:uid="{00000000-0005-0000-0000-00003D460000}"/>
    <cellStyle name="Normal 3 3 10 10 7" xfId="10879" xr:uid="{00000000-0005-0000-0000-00003E460000}"/>
    <cellStyle name="Normal 3 3 10 10 7 2" xfId="28410" xr:uid="{00000000-0005-0000-0000-00003F460000}"/>
    <cellStyle name="Normal 3 3 10 10 8" xfId="10880" xr:uid="{00000000-0005-0000-0000-000040460000}"/>
    <cellStyle name="Normal 3 3 10 10 8 2" xfId="28411" xr:uid="{00000000-0005-0000-0000-000041460000}"/>
    <cellStyle name="Normal 3 3 10 10 9" xfId="10881" xr:uid="{00000000-0005-0000-0000-000042460000}"/>
    <cellStyle name="Normal 3 3 10 10 9 2" xfId="28412" xr:uid="{00000000-0005-0000-0000-000043460000}"/>
    <cellStyle name="Normal 3 3 10 11" xfId="10882" xr:uid="{00000000-0005-0000-0000-000044460000}"/>
    <cellStyle name="Normal 3 3 10 11 2" xfId="28413" xr:uid="{00000000-0005-0000-0000-000045460000}"/>
    <cellStyle name="Normal 3 3 10 12" xfId="10883" xr:uid="{00000000-0005-0000-0000-000046460000}"/>
    <cellStyle name="Normal 3 3 10 12 2" xfId="28414" xr:uid="{00000000-0005-0000-0000-000047460000}"/>
    <cellStyle name="Normal 3 3 10 13" xfId="10884" xr:uid="{00000000-0005-0000-0000-000048460000}"/>
    <cellStyle name="Normal 3 3 10 13 2" xfId="28415" xr:uid="{00000000-0005-0000-0000-000049460000}"/>
    <cellStyle name="Normal 3 3 10 14" xfId="10885" xr:uid="{00000000-0005-0000-0000-00004A460000}"/>
    <cellStyle name="Normal 3 3 10 14 2" xfId="28416" xr:uid="{00000000-0005-0000-0000-00004B460000}"/>
    <cellStyle name="Normal 3 3 10 15" xfId="10886" xr:uid="{00000000-0005-0000-0000-00004C460000}"/>
    <cellStyle name="Normal 3 3 10 15 2" xfId="28417" xr:uid="{00000000-0005-0000-0000-00004D460000}"/>
    <cellStyle name="Normal 3 3 10 16" xfId="10887" xr:uid="{00000000-0005-0000-0000-00004E460000}"/>
    <cellStyle name="Normal 3 3 10 16 2" xfId="28418" xr:uid="{00000000-0005-0000-0000-00004F460000}"/>
    <cellStyle name="Normal 3 3 10 17" xfId="10888" xr:uid="{00000000-0005-0000-0000-000050460000}"/>
    <cellStyle name="Normal 3 3 10 17 2" xfId="28419" xr:uid="{00000000-0005-0000-0000-000051460000}"/>
    <cellStyle name="Normal 3 3 10 18" xfId="10889" xr:uid="{00000000-0005-0000-0000-000052460000}"/>
    <cellStyle name="Normal 3 3 10 18 2" xfId="28420" xr:uid="{00000000-0005-0000-0000-000053460000}"/>
    <cellStyle name="Normal 3 3 10 19" xfId="10890" xr:uid="{00000000-0005-0000-0000-000054460000}"/>
    <cellStyle name="Normal 3 3 10 19 2" xfId="28421" xr:uid="{00000000-0005-0000-0000-000055460000}"/>
    <cellStyle name="Normal 3 3 10 2" xfId="10891" xr:uid="{00000000-0005-0000-0000-000056460000}"/>
    <cellStyle name="Normal 3 3 10 2 10" xfId="10892" xr:uid="{00000000-0005-0000-0000-000057460000}"/>
    <cellStyle name="Normal 3 3 10 2 10 2" xfId="28423" xr:uid="{00000000-0005-0000-0000-000058460000}"/>
    <cellStyle name="Normal 3 3 10 2 11" xfId="10893" xr:uid="{00000000-0005-0000-0000-000059460000}"/>
    <cellStyle name="Normal 3 3 10 2 11 2" xfId="28424" xr:uid="{00000000-0005-0000-0000-00005A460000}"/>
    <cellStyle name="Normal 3 3 10 2 12" xfId="10894" xr:uid="{00000000-0005-0000-0000-00005B460000}"/>
    <cellStyle name="Normal 3 3 10 2 12 2" xfId="28425" xr:uid="{00000000-0005-0000-0000-00005C460000}"/>
    <cellStyle name="Normal 3 3 10 2 13" xfId="10895" xr:uid="{00000000-0005-0000-0000-00005D460000}"/>
    <cellStyle name="Normal 3 3 10 2 13 2" xfId="28426" xr:uid="{00000000-0005-0000-0000-00005E460000}"/>
    <cellStyle name="Normal 3 3 10 2 14" xfId="10896" xr:uid="{00000000-0005-0000-0000-00005F460000}"/>
    <cellStyle name="Normal 3 3 10 2 14 2" xfId="28427" xr:uid="{00000000-0005-0000-0000-000060460000}"/>
    <cellStyle name="Normal 3 3 10 2 15" xfId="10897" xr:uid="{00000000-0005-0000-0000-000061460000}"/>
    <cellStyle name="Normal 3 3 10 2 15 2" xfId="28428" xr:uid="{00000000-0005-0000-0000-000062460000}"/>
    <cellStyle name="Normal 3 3 10 2 16" xfId="28422" xr:uid="{00000000-0005-0000-0000-000063460000}"/>
    <cellStyle name="Normal 3 3 10 2 2" xfId="10898" xr:uid="{00000000-0005-0000-0000-000064460000}"/>
    <cellStyle name="Normal 3 3 10 2 2 10" xfId="10899" xr:uid="{00000000-0005-0000-0000-000065460000}"/>
    <cellStyle name="Normal 3 3 10 2 2 10 2" xfId="28430" xr:uid="{00000000-0005-0000-0000-000066460000}"/>
    <cellStyle name="Normal 3 3 10 2 2 11" xfId="10900" xr:uid="{00000000-0005-0000-0000-000067460000}"/>
    <cellStyle name="Normal 3 3 10 2 2 11 2" xfId="28431" xr:uid="{00000000-0005-0000-0000-000068460000}"/>
    <cellStyle name="Normal 3 3 10 2 2 12" xfId="10901" xr:uid="{00000000-0005-0000-0000-000069460000}"/>
    <cellStyle name="Normal 3 3 10 2 2 12 2" xfId="28432" xr:uid="{00000000-0005-0000-0000-00006A460000}"/>
    <cellStyle name="Normal 3 3 10 2 2 13" xfId="10902" xr:uid="{00000000-0005-0000-0000-00006B460000}"/>
    <cellStyle name="Normal 3 3 10 2 2 13 2" xfId="28433" xr:uid="{00000000-0005-0000-0000-00006C460000}"/>
    <cellStyle name="Normal 3 3 10 2 2 14" xfId="10903" xr:uid="{00000000-0005-0000-0000-00006D460000}"/>
    <cellStyle name="Normal 3 3 10 2 2 14 2" xfId="28434" xr:uid="{00000000-0005-0000-0000-00006E460000}"/>
    <cellStyle name="Normal 3 3 10 2 2 15" xfId="28429" xr:uid="{00000000-0005-0000-0000-00006F460000}"/>
    <cellStyle name="Normal 3 3 10 2 2 2" xfId="10904" xr:uid="{00000000-0005-0000-0000-000070460000}"/>
    <cellStyle name="Normal 3 3 10 2 2 2 2" xfId="28435" xr:uid="{00000000-0005-0000-0000-000071460000}"/>
    <cellStyle name="Normal 3 3 10 2 2 3" xfId="10905" xr:uid="{00000000-0005-0000-0000-000072460000}"/>
    <cellStyle name="Normal 3 3 10 2 2 3 2" xfId="28436" xr:uid="{00000000-0005-0000-0000-000073460000}"/>
    <cellStyle name="Normal 3 3 10 2 2 4" xfId="10906" xr:uid="{00000000-0005-0000-0000-000074460000}"/>
    <cellStyle name="Normal 3 3 10 2 2 4 2" xfId="28437" xr:uid="{00000000-0005-0000-0000-000075460000}"/>
    <cellStyle name="Normal 3 3 10 2 2 5" xfId="10907" xr:uid="{00000000-0005-0000-0000-000076460000}"/>
    <cellStyle name="Normal 3 3 10 2 2 5 2" xfId="28438" xr:uid="{00000000-0005-0000-0000-000077460000}"/>
    <cellStyle name="Normal 3 3 10 2 2 6" xfId="10908" xr:uid="{00000000-0005-0000-0000-000078460000}"/>
    <cellStyle name="Normal 3 3 10 2 2 6 2" xfId="28439" xr:uid="{00000000-0005-0000-0000-000079460000}"/>
    <cellStyle name="Normal 3 3 10 2 2 7" xfId="10909" xr:uid="{00000000-0005-0000-0000-00007A460000}"/>
    <cellStyle name="Normal 3 3 10 2 2 7 2" xfId="28440" xr:uid="{00000000-0005-0000-0000-00007B460000}"/>
    <cellStyle name="Normal 3 3 10 2 2 8" xfId="10910" xr:uid="{00000000-0005-0000-0000-00007C460000}"/>
    <cellStyle name="Normal 3 3 10 2 2 8 2" xfId="28441" xr:uid="{00000000-0005-0000-0000-00007D460000}"/>
    <cellStyle name="Normal 3 3 10 2 2 9" xfId="10911" xr:uid="{00000000-0005-0000-0000-00007E460000}"/>
    <cellStyle name="Normal 3 3 10 2 2 9 2" xfId="28442" xr:uid="{00000000-0005-0000-0000-00007F460000}"/>
    <cellStyle name="Normal 3 3 10 2 3" xfId="10912" xr:uid="{00000000-0005-0000-0000-000080460000}"/>
    <cellStyle name="Normal 3 3 10 2 3 2" xfId="28443" xr:uid="{00000000-0005-0000-0000-000081460000}"/>
    <cellStyle name="Normal 3 3 10 2 4" xfId="10913" xr:uid="{00000000-0005-0000-0000-000082460000}"/>
    <cellStyle name="Normal 3 3 10 2 4 2" xfId="28444" xr:uid="{00000000-0005-0000-0000-000083460000}"/>
    <cellStyle name="Normal 3 3 10 2 5" xfId="10914" xr:uid="{00000000-0005-0000-0000-000084460000}"/>
    <cellStyle name="Normal 3 3 10 2 5 2" xfId="28445" xr:uid="{00000000-0005-0000-0000-000085460000}"/>
    <cellStyle name="Normal 3 3 10 2 6" xfId="10915" xr:uid="{00000000-0005-0000-0000-000086460000}"/>
    <cellStyle name="Normal 3 3 10 2 6 2" xfId="28446" xr:uid="{00000000-0005-0000-0000-000087460000}"/>
    <cellStyle name="Normal 3 3 10 2 7" xfId="10916" xr:uid="{00000000-0005-0000-0000-000088460000}"/>
    <cellStyle name="Normal 3 3 10 2 7 2" xfId="28447" xr:uid="{00000000-0005-0000-0000-000089460000}"/>
    <cellStyle name="Normal 3 3 10 2 8" xfId="10917" xr:uid="{00000000-0005-0000-0000-00008A460000}"/>
    <cellStyle name="Normal 3 3 10 2 8 2" xfId="28448" xr:uid="{00000000-0005-0000-0000-00008B460000}"/>
    <cellStyle name="Normal 3 3 10 2 9" xfId="10918" xr:uid="{00000000-0005-0000-0000-00008C460000}"/>
    <cellStyle name="Normal 3 3 10 2 9 2" xfId="28449" xr:uid="{00000000-0005-0000-0000-00008D460000}"/>
    <cellStyle name="Normal 3 3 10 20" xfId="10919" xr:uid="{00000000-0005-0000-0000-00008E460000}"/>
    <cellStyle name="Normal 3 3 10 20 2" xfId="28450" xr:uid="{00000000-0005-0000-0000-00008F460000}"/>
    <cellStyle name="Normal 3 3 10 21" xfId="10920" xr:uid="{00000000-0005-0000-0000-000090460000}"/>
    <cellStyle name="Normal 3 3 10 21 2" xfId="28451" xr:uid="{00000000-0005-0000-0000-000091460000}"/>
    <cellStyle name="Normal 3 3 10 22" xfId="10921" xr:uid="{00000000-0005-0000-0000-000092460000}"/>
    <cellStyle name="Normal 3 3 10 22 2" xfId="28452" xr:uid="{00000000-0005-0000-0000-000093460000}"/>
    <cellStyle name="Normal 3 3 10 23" xfId="10922" xr:uid="{00000000-0005-0000-0000-000094460000}"/>
    <cellStyle name="Normal 3 3 10 23 2" xfId="28453" xr:uid="{00000000-0005-0000-0000-000095460000}"/>
    <cellStyle name="Normal 3 3 10 24" xfId="28398" xr:uid="{00000000-0005-0000-0000-000096460000}"/>
    <cellStyle name="Normal 3 3 10 3" xfId="10923" xr:uid="{00000000-0005-0000-0000-000097460000}"/>
    <cellStyle name="Normal 3 3 10 3 10" xfId="10924" xr:uid="{00000000-0005-0000-0000-000098460000}"/>
    <cellStyle name="Normal 3 3 10 3 10 2" xfId="28455" xr:uid="{00000000-0005-0000-0000-000099460000}"/>
    <cellStyle name="Normal 3 3 10 3 11" xfId="10925" xr:uid="{00000000-0005-0000-0000-00009A460000}"/>
    <cellStyle name="Normal 3 3 10 3 11 2" xfId="28456" xr:uid="{00000000-0005-0000-0000-00009B460000}"/>
    <cellStyle name="Normal 3 3 10 3 12" xfId="10926" xr:uid="{00000000-0005-0000-0000-00009C460000}"/>
    <cellStyle name="Normal 3 3 10 3 12 2" xfId="28457" xr:uid="{00000000-0005-0000-0000-00009D460000}"/>
    <cellStyle name="Normal 3 3 10 3 13" xfId="10927" xr:uid="{00000000-0005-0000-0000-00009E460000}"/>
    <cellStyle name="Normal 3 3 10 3 13 2" xfId="28458" xr:uid="{00000000-0005-0000-0000-00009F460000}"/>
    <cellStyle name="Normal 3 3 10 3 14" xfId="10928" xr:uid="{00000000-0005-0000-0000-0000A0460000}"/>
    <cellStyle name="Normal 3 3 10 3 14 2" xfId="28459" xr:uid="{00000000-0005-0000-0000-0000A1460000}"/>
    <cellStyle name="Normal 3 3 10 3 15" xfId="10929" xr:uid="{00000000-0005-0000-0000-0000A2460000}"/>
    <cellStyle name="Normal 3 3 10 3 15 2" xfId="28460" xr:uid="{00000000-0005-0000-0000-0000A3460000}"/>
    <cellStyle name="Normal 3 3 10 3 16" xfId="28454" xr:uid="{00000000-0005-0000-0000-0000A4460000}"/>
    <cellStyle name="Normal 3 3 10 3 2" xfId="10930" xr:uid="{00000000-0005-0000-0000-0000A5460000}"/>
    <cellStyle name="Normal 3 3 10 3 2 10" xfId="10931" xr:uid="{00000000-0005-0000-0000-0000A6460000}"/>
    <cellStyle name="Normal 3 3 10 3 2 10 2" xfId="28462" xr:uid="{00000000-0005-0000-0000-0000A7460000}"/>
    <cellStyle name="Normal 3 3 10 3 2 11" xfId="10932" xr:uid="{00000000-0005-0000-0000-0000A8460000}"/>
    <cellStyle name="Normal 3 3 10 3 2 11 2" xfId="28463" xr:uid="{00000000-0005-0000-0000-0000A9460000}"/>
    <cellStyle name="Normal 3 3 10 3 2 12" xfId="10933" xr:uid="{00000000-0005-0000-0000-0000AA460000}"/>
    <cellStyle name="Normal 3 3 10 3 2 12 2" xfId="28464" xr:uid="{00000000-0005-0000-0000-0000AB460000}"/>
    <cellStyle name="Normal 3 3 10 3 2 13" xfId="10934" xr:uid="{00000000-0005-0000-0000-0000AC460000}"/>
    <cellStyle name="Normal 3 3 10 3 2 13 2" xfId="28465" xr:uid="{00000000-0005-0000-0000-0000AD460000}"/>
    <cellStyle name="Normal 3 3 10 3 2 14" xfId="10935" xr:uid="{00000000-0005-0000-0000-0000AE460000}"/>
    <cellStyle name="Normal 3 3 10 3 2 14 2" xfId="28466" xr:uid="{00000000-0005-0000-0000-0000AF460000}"/>
    <cellStyle name="Normal 3 3 10 3 2 15" xfId="28461" xr:uid="{00000000-0005-0000-0000-0000B0460000}"/>
    <cellStyle name="Normal 3 3 10 3 2 2" xfId="10936" xr:uid="{00000000-0005-0000-0000-0000B1460000}"/>
    <cellStyle name="Normal 3 3 10 3 2 2 2" xfId="28467" xr:uid="{00000000-0005-0000-0000-0000B2460000}"/>
    <cellStyle name="Normal 3 3 10 3 2 3" xfId="10937" xr:uid="{00000000-0005-0000-0000-0000B3460000}"/>
    <cellStyle name="Normal 3 3 10 3 2 3 2" xfId="28468" xr:uid="{00000000-0005-0000-0000-0000B4460000}"/>
    <cellStyle name="Normal 3 3 10 3 2 4" xfId="10938" xr:uid="{00000000-0005-0000-0000-0000B5460000}"/>
    <cellStyle name="Normal 3 3 10 3 2 4 2" xfId="28469" xr:uid="{00000000-0005-0000-0000-0000B6460000}"/>
    <cellStyle name="Normal 3 3 10 3 2 5" xfId="10939" xr:uid="{00000000-0005-0000-0000-0000B7460000}"/>
    <cellStyle name="Normal 3 3 10 3 2 5 2" xfId="28470" xr:uid="{00000000-0005-0000-0000-0000B8460000}"/>
    <cellStyle name="Normal 3 3 10 3 2 6" xfId="10940" xr:uid="{00000000-0005-0000-0000-0000B9460000}"/>
    <cellStyle name="Normal 3 3 10 3 2 6 2" xfId="28471" xr:uid="{00000000-0005-0000-0000-0000BA460000}"/>
    <cellStyle name="Normal 3 3 10 3 2 7" xfId="10941" xr:uid="{00000000-0005-0000-0000-0000BB460000}"/>
    <cellStyle name="Normal 3 3 10 3 2 7 2" xfId="28472" xr:uid="{00000000-0005-0000-0000-0000BC460000}"/>
    <cellStyle name="Normal 3 3 10 3 2 8" xfId="10942" xr:uid="{00000000-0005-0000-0000-0000BD460000}"/>
    <cellStyle name="Normal 3 3 10 3 2 8 2" xfId="28473" xr:uid="{00000000-0005-0000-0000-0000BE460000}"/>
    <cellStyle name="Normal 3 3 10 3 2 9" xfId="10943" xr:uid="{00000000-0005-0000-0000-0000BF460000}"/>
    <cellStyle name="Normal 3 3 10 3 2 9 2" xfId="28474" xr:uid="{00000000-0005-0000-0000-0000C0460000}"/>
    <cellStyle name="Normal 3 3 10 3 3" xfId="10944" xr:uid="{00000000-0005-0000-0000-0000C1460000}"/>
    <cellStyle name="Normal 3 3 10 3 3 2" xfId="28475" xr:uid="{00000000-0005-0000-0000-0000C2460000}"/>
    <cellStyle name="Normal 3 3 10 3 4" xfId="10945" xr:uid="{00000000-0005-0000-0000-0000C3460000}"/>
    <cellStyle name="Normal 3 3 10 3 4 2" xfId="28476" xr:uid="{00000000-0005-0000-0000-0000C4460000}"/>
    <cellStyle name="Normal 3 3 10 3 5" xfId="10946" xr:uid="{00000000-0005-0000-0000-0000C5460000}"/>
    <cellStyle name="Normal 3 3 10 3 5 2" xfId="28477" xr:uid="{00000000-0005-0000-0000-0000C6460000}"/>
    <cellStyle name="Normal 3 3 10 3 6" xfId="10947" xr:uid="{00000000-0005-0000-0000-0000C7460000}"/>
    <cellStyle name="Normal 3 3 10 3 6 2" xfId="28478" xr:uid="{00000000-0005-0000-0000-0000C8460000}"/>
    <cellStyle name="Normal 3 3 10 3 7" xfId="10948" xr:uid="{00000000-0005-0000-0000-0000C9460000}"/>
    <cellStyle name="Normal 3 3 10 3 7 2" xfId="28479" xr:uid="{00000000-0005-0000-0000-0000CA460000}"/>
    <cellStyle name="Normal 3 3 10 3 8" xfId="10949" xr:uid="{00000000-0005-0000-0000-0000CB460000}"/>
    <cellStyle name="Normal 3 3 10 3 8 2" xfId="28480" xr:uid="{00000000-0005-0000-0000-0000CC460000}"/>
    <cellStyle name="Normal 3 3 10 3 9" xfId="10950" xr:uid="{00000000-0005-0000-0000-0000CD460000}"/>
    <cellStyle name="Normal 3 3 10 3 9 2" xfId="28481" xr:uid="{00000000-0005-0000-0000-0000CE460000}"/>
    <cellStyle name="Normal 3 3 10 4" xfId="10951" xr:uid="{00000000-0005-0000-0000-0000CF460000}"/>
    <cellStyle name="Normal 3 3 10 4 10" xfId="10952" xr:uid="{00000000-0005-0000-0000-0000D0460000}"/>
    <cellStyle name="Normal 3 3 10 4 10 2" xfId="28483" xr:uid="{00000000-0005-0000-0000-0000D1460000}"/>
    <cellStyle name="Normal 3 3 10 4 11" xfId="10953" xr:uid="{00000000-0005-0000-0000-0000D2460000}"/>
    <cellStyle name="Normal 3 3 10 4 11 2" xfId="28484" xr:uid="{00000000-0005-0000-0000-0000D3460000}"/>
    <cellStyle name="Normal 3 3 10 4 12" xfId="10954" xr:uid="{00000000-0005-0000-0000-0000D4460000}"/>
    <cellStyle name="Normal 3 3 10 4 12 2" xfId="28485" xr:uid="{00000000-0005-0000-0000-0000D5460000}"/>
    <cellStyle name="Normal 3 3 10 4 13" xfId="10955" xr:uid="{00000000-0005-0000-0000-0000D6460000}"/>
    <cellStyle name="Normal 3 3 10 4 13 2" xfId="28486" xr:uid="{00000000-0005-0000-0000-0000D7460000}"/>
    <cellStyle name="Normal 3 3 10 4 14" xfId="10956" xr:uid="{00000000-0005-0000-0000-0000D8460000}"/>
    <cellStyle name="Normal 3 3 10 4 14 2" xfId="28487" xr:uid="{00000000-0005-0000-0000-0000D9460000}"/>
    <cellStyle name="Normal 3 3 10 4 15" xfId="10957" xr:uid="{00000000-0005-0000-0000-0000DA460000}"/>
    <cellStyle name="Normal 3 3 10 4 15 2" xfId="28488" xr:uid="{00000000-0005-0000-0000-0000DB460000}"/>
    <cellStyle name="Normal 3 3 10 4 16" xfId="28482" xr:uid="{00000000-0005-0000-0000-0000DC460000}"/>
    <cellStyle name="Normal 3 3 10 4 2" xfId="10958" xr:uid="{00000000-0005-0000-0000-0000DD460000}"/>
    <cellStyle name="Normal 3 3 10 4 2 10" xfId="10959" xr:uid="{00000000-0005-0000-0000-0000DE460000}"/>
    <cellStyle name="Normal 3 3 10 4 2 10 2" xfId="28490" xr:uid="{00000000-0005-0000-0000-0000DF460000}"/>
    <cellStyle name="Normal 3 3 10 4 2 11" xfId="10960" xr:uid="{00000000-0005-0000-0000-0000E0460000}"/>
    <cellStyle name="Normal 3 3 10 4 2 11 2" xfId="28491" xr:uid="{00000000-0005-0000-0000-0000E1460000}"/>
    <cellStyle name="Normal 3 3 10 4 2 12" xfId="10961" xr:uid="{00000000-0005-0000-0000-0000E2460000}"/>
    <cellStyle name="Normal 3 3 10 4 2 12 2" xfId="28492" xr:uid="{00000000-0005-0000-0000-0000E3460000}"/>
    <cellStyle name="Normal 3 3 10 4 2 13" xfId="10962" xr:uid="{00000000-0005-0000-0000-0000E4460000}"/>
    <cellStyle name="Normal 3 3 10 4 2 13 2" xfId="28493" xr:uid="{00000000-0005-0000-0000-0000E5460000}"/>
    <cellStyle name="Normal 3 3 10 4 2 14" xfId="10963" xr:uid="{00000000-0005-0000-0000-0000E6460000}"/>
    <cellStyle name="Normal 3 3 10 4 2 14 2" xfId="28494" xr:uid="{00000000-0005-0000-0000-0000E7460000}"/>
    <cellStyle name="Normal 3 3 10 4 2 15" xfId="28489" xr:uid="{00000000-0005-0000-0000-0000E8460000}"/>
    <cellStyle name="Normal 3 3 10 4 2 2" xfId="10964" xr:uid="{00000000-0005-0000-0000-0000E9460000}"/>
    <cellStyle name="Normal 3 3 10 4 2 2 2" xfId="28495" xr:uid="{00000000-0005-0000-0000-0000EA460000}"/>
    <cellStyle name="Normal 3 3 10 4 2 3" xfId="10965" xr:uid="{00000000-0005-0000-0000-0000EB460000}"/>
    <cellStyle name="Normal 3 3 10 4 2 3 2" xfId="28496" xr:uid="{00000000-0005-0000-0000-0000EC460000}"/>
    <cellStyle name="Normal 3 3 10 4 2 4" xfId="10966" xr:uid="{00000000-0005-0000-0000-0000ED460000}"/>
    <cellStyle name="Normal 3 3 10 4 2 4 2" xfId="28497" xr:uid="{00000000-0005-0000-0000-0000EE460000}"/>
    <cellStyle name="Normal 3 3 10 4 2 5" xfId="10967" xr:uid="{00000000-0005-0000-0000-0000EF460000}"/>
    <cellStyle name="Normal 3 3 10 4 2 5 2" xfId="28498" xr:uid="{00000000-0005-0000-0000-0000F0460000}"/>
    <cellStyle name="Normal 3 3 10 4 2 6" xfId="10968" xr:uid="{00000000-0005-0000-0000-0000F1460000}"/>
    <cellStyle name="Normal 3 3 10 4 2 6 2" xfId="28499" xr:uid="{00000000-0005-0000-0000-0000F2460000}"/>
    <cellStyle name="Normal 3 3 10 4 2 7" xfId="10969" xr:uid="{00000000-0005-0000-0000-0000F3460000}"/>
    <cellStyle name="Normal 3 3 10 4 2 7 2" xfId="28500" xr:uid="{00000000-0005-0000-0000-0000F4460000}"/>
    <cellStyle name="Normal 3 3 10 4 2 8" xfId="10970" xr:uid="{00000000-0005-0000-0000-0000F5460000}"/>
    <cellStyle name="Normal 3 3 10 4 2 8 2" xfId="28501" xr:uid="{00000000-0005-0000-0000-0000F6460000}"/>
    <cellStyle name="Normal 3 3 10 4 2 9" xfId="10971" xr:uid="{00000000-0005-0000-0000-0000F7460000}"/>
    <cellStyle name="Normal 3 3 10 4 2 9 2" xfId="28502" xr:uid="{00000000-0005-0000-0000-0000F8460000}"/>
    <cellStyle name="Normal 3 3 10 4 3" xfId="10972" xr:uid="{00000000-0005-0000-0000-0000F9460000}"/>
    <cellStyle name="Normal 3 3 10 4 3 2" xfId="28503" xr:uid="{00000000-0005-0000-0000-0000FA460000}"/>
    <cellStyle name="Normal 3 3 10 4 4" xfId="10973" xr:uid="{00000000-0005-0000-0000-0000FB460000}"/>
    <cellStyle name="Normal 3 3 10 4 4 2" xfId="28504" xr:uid="{00000000-0005-0000-0000-0000FC460000}"/>
    <cellStyle name="Normal 3 3 10 4 5" xfId="10974" xr:uid="{00000000-0005-0000-0000-0000FD460000}"/>
    <cellStyle name="Normal 3 3 10 4 5 2" xfId="28505" xr:uid="{00000000-0005-0000-0000-0000FE460000}"/>
    <cellStyle name="Normal 3 3 10 4 6" xfId="10975" xr:uid="{00000000-0005-0000-0000-0000FF460000}"/>
    <cellStyle name="Normal 3 3 10 4 6 2" xfId="28506" xr:uid="{00000000-0005-0000-0000-000000470000}"/>
    <cellStyle name="Normal 3 3 10 4 7" xfId="10976" xr:uid="{00000000-0005-0000-0000-000001470000}"/>
    <cellStyle name="Normal 3 3 10 4 7 2" xfId="28507" xr:uid="{00000000-0005-0000-0000-000002470000}"/>
    <cellStyle name="Normal 3 3 10 4 8" xfId="10977" xr:uid="{00000000-0005-0000-0000-000003470000}"/>
    <cellStyle name="Normal 3 3 10 4 8 2" xfId="28508" xr:uid="{00000000-0005-0000-0000-000004470000}"/>
    <cellStyle name="Normal 3 3 10 4 9" xfId="10978" xr:uid="{00000000-0005-0000-0000-000005470000}"/>
    <cellStyle name="Normal 3 3 10 4 9 2" xfId="28509" xr:uid="{00000000-0005-0000-0000-000006470000}"/>
    <cellStyle name="Normal 3 3 10 5" xfId="10979" xr:uid="{00000000-0005-0000-0000-000007470000}"/>
    <cellStyle name="Normal 3 3 10 5 10" xfId="10980" xr:uid="{00000000-0005-0000-0000-000008470000}"/>
    <cellStyle name="Normal 3 3 10 5 10 2" xfId="28511" xr:uid="{00000000-0005-0000-0000-000009470000}"/>
    <cellStyle name="Normal 3 3 10 5 11" xfId="10981" xr:uid="{00000000-0005-0000-0000-00000A470000}"/>
    <cellStyle name="Normal 3 3 10 5 11 2" xfId="28512" xr:uid="{00000000-0005-0000-0000-00000B470000}"/>
    <cellStyle name="Normal 3 3 10 5 12" xfId="10982" xr:uid="{00000000-0005-0000-0000-00000C470000}"/>
    <cellStyle name="Normal 3 3 10 5 12 2" xfId="28513" xr:uid="{00000000-0005-0000-0000-00000D470000}"/>
    <cellStyle name="Normal 3 3 10 5 13" xfId="10983" xr:uid="{00000000-0005-0000-0000-00000E470000}"/>
    <cellStyle name="Normal 3 3 10 5 13 2" xfId="28514" xr:uid="{00000000-0005-0000-0000-00000F470000}"/>
    <cellStyle name="Normal 3 3 10 5 14" xfId="10984" xr:uid="{00000000-0005-0000-0000-000010470000}"/>
    <cellStyle name="Normal 3 3 10 5 14 2" xfId="28515" xr:uid="{00000000-0005-0000-0000-000011470000}"/>
    <cellStyle name="Normal 3 3 10 5 15" xfId="28510" xr:uid="{00000000-0005-0000-0000-000012470000}"/>
    <cellStyle name="Normal 3 3 10 5 2" xfId="10985" xr:uid="{00000000-0005-0000-0000-000013470000}"/>
    <cellStyle name="Normal 3 3 10 5 2 2" xfId="28516" xr:uid="{00000000-0005-0000-0000-000014470000}"/>
    <cellStyle name="Normal 3 3 10 5 3" xfId="10986" xr:uid="{00000000-0005-0000-0000-000015470000}"/>
    <cellStyle name="Normal 3 3 10 5 3 2" xfId="28517" xr:uid="{00000000-0005-0000-0000-000016470000}"/>
    <cellStyle name="Normal 3 3 10 5 4" xfId="10987" xr:uid="{00000000-0005-0000-0000-000017470000}"/>
    <cellStyle name="Normal 3 3 10 5 4 2" xfId="28518" xr:uid="{00000000-0005-0000-0000-000018470000}"/>
    <cellStyle name="Normal 3 3 10 5 5" xfId="10988" xr:uid="{00000000-0005-0000-0000-000019470000}"/>
    <cellStyle name="Normal 3 3 10 5 5 2" xfId="28519" xr:uid="{00000000-0005-0000-0000-00001A470000}"/>
    <cellStyle name="Normal 3 3 10 5 6" xfId="10989" xr:uid="{00000000-0005-0000-0000-00001B470000}"/>
    <cellStyle name="Normal 3 3 10 5 6 2" xfId="28520" xr:uid="{00000000-0005-0000-0000-00001C470000}"/>
    <cellStyle name="Normal 3 3 10 5 7" xfId="10990" xr:uid="{00000000-0005-0000-0000-00001D470000}"/>
    <cellStyle name="Normal 3 3 10 5 7 2" xfId="28521" xr:uid="{00000000-0005-0000-0000-00001E470000}"/>
    <cellStyle name="Normal 3 3 10 5 8" xfId="10991" xr:uid="{00000000-0005-0000-0000-00001F470000}"/>
    <cellStyle name="Normal 3 3 10 5 8 2" xfId="28522" xr:uid="{00000000-0005-0000-0000-000020470000}"/>
    <cellStyle name="Normal 3 3 10 5 9" xfId="10992" xr:uid="{00000000-0005-0000-0000-000021470000}"/>
    <cellStyle name="Normal 3 3 10 5 9 2" xfId="28523" xr:uid="{00000000-0005-0000-0000-000022470000}"/>
    <cellStyle name="Normal 3 3 10 6" xfId="10993" xr:uid="{00000000-0005-0000-0000-000023470000}"/>
    <cellStyle name="Normal 3 3 10 6 10" xfId="10994" xr:uid="{00000000-0005-0000-0000-000024470000}"/>
    <cellStyle name="Normal 3 3 10 6 10 2" xfId="28525" xr:uid="{00000000-0005-0000-0000-000025470000}"/>
    <cellStyle name="Normal 3 3 10 6 11" xfId="10995" xr:uid="{00000000-0005-0000-0000-000026470000}"/>
    <cellStyle name="Normal 3 3 10 6 11 2" xfId="28526" xr:uid="{00000000-0005-0000-0000-000027470000}"/>
    <cellStyle name="Normal 3 3 10 6 12" xfId="10996" xr:uid="{00000000-0005-0000-0000-000028470000}"/>
    <cellStyle name="Normal 3 3 10 6 12 2" xfId="28527" xr:uid="{00000000-0005-0000-0000-000029470000}"/>
    <cellStyle name="Normal 3 3 10 6 13" xfId="10997" xr:uid="{00000000-0005-0000-0000-00002A470000}"/>
    <cellStyle name="Normal 3 3 10 6 13 2" xfId="28528" xr:uid="{00000000-0005-0000-0000-00002B470000}"/>
    <cellStyle name="Normal 3 3 10 6 14" xfId="10998" xr:uid="{00000000-0005-0000-0000-00002C470000}"/>
    <cellStyle name="Normal 3 3 10 6 14 2" xfId="28529" xr:uid="{00000000-0005-0000-0000-00002D470000}"/>
    <cellStyle name="Normal 3 3 10 6 15" xfId="28524" xr:uid="{00000000-0005-0000-0000-00002E470000}"/>
    <cellStyle name="Normal 3 3 10 6 2" xfId="10999" xr:uid="{00000000-0005-0000-0000-00002F470000}"/>
    <cellStyle name="Normal 3 3 10 6 2 2" xfId="28530" xr:uid="{00000000-0005-0000-0000-000030470000}"/>
    <cellStyle name="Normal 3 3 10 6 3" xfId="11000" xr:uid="{00000000-0005-0000-0000-000031470000}"/>
    <cellStyle name="Normal 3 3 10 6 3 2" xfId="28531" xr:uid="{00000000-0005-0000-0000-000032470000}"/>
    <cellStyle name="Normal 3 3 10 6 4" xfId="11001" xr:uid="{00000000-0005-0000-0000-000033470000}"/>
    <cellStyle name="Normal 3 3 10 6 4 2" xfId="28532" xr:uid="{00000000-0005-0000-0000-000034470000}"/>
    <cellStyle name="Normal 3 3 10 6 5" xfId="11002" xr:uid="{00000000-0005-0000-0000-000035470000}"/>
    <cellStyle name="Normal 3 3 10 6 5 2" xfId="28533" xr:uid="{00000000-0005-0000-0000-000036470000}"/>
    <cellStyle name="Normal 3 3 10 6 6" xfId="11003" xr:uid="{00000000-0005-0000-0000-000037470000}"/>
    <cellStyle name="Normal 3 3 10 6 6 2" xfId="28534" xr:uid="{00000000-0005-0000-0000-000038470000}"/>
    <cellStyle name="Normal 3 3 10 6 7" xfId="11004" xr:uid="{00000000-0005-0000-0000-000039470000}"/>
    <cellStyle name="Normal 3 3 10 6 7 2" xfId="28535" xr:uid="{00000000-0005-0000-0000-00003A470000}"/>
    <cellStyle name="Normal 3 3 10 6 8" xfId="11005" xr:uid="{00000000-0005-0000-0000-00003B470000}"/>
    <cellStyle name="Normal 3 3 10 6 8 2" xfId="28536" xr:uid="{00000000-0005-0000-0000-00003C470000}"/>
    <cellStyle name="Normal 3 3 10 6 9" xfId="11006" xr:uid="{00000000-0005-0000-0000-00003D470000}"/>
    <cellStyle name="Normal 3 3 10 6 9 2" xfId="28537" xr:uid="{00000000-0005-0000-0000-00003E470000}"/>
    <cellStyle name="Normal 3 3 10 7" xfId="11007" xr:uid="{00000000-0005-0000-0000-00003F470000}"/>
    <cellStyle name="Normal 3 3 10 7 10" xfId="11008" xr:uid="{00000000-0005-0000-0000-000040470000}"/>
    <cellStyle name="Normal 3 3 10 7 10 2" xfId="28539" xr:uid="{00000000-0005-0000-0000-000041470000}"/>
    <cellStyle name="Normal 3 3 10 7 11" xfId="11009" xr:uid="{00000000-0005-0000-0000-000042470000}"/>
    <cellStyle name="Normal 3 3 10 7 11 2" xfId="28540" xr:uid="{00000000-0005-0000-0000-000043470000}"/>
    <cellStyle name="Normal 3 3 10 7 12" xfId="11010" xr:uid="{00000000-0005-0000-0000-000044470000}"/>
    <cellStyle name="Normal 3 3 10 7 12 2" xfId="28541" xr:uid="{00000000-0005-0000-0000-000045470000}"/>
    <cellStyle name="Normal 3 3 10 7 13" xfId="11011" xr:uid="{00000000-0005-0000-0000-000046470000}"/>
    <cellStyle name="Normal 3 3 10 7 13 2" xfId="28542" xr:uid="{00000000-0005-0000-0000-000047470000}"/>
    <cellStyle name="Normal 3 3 10 7 14" xfId="11012" xr:uid="{00000000-0005-0000-0000-000048470000}"/>
    <cellStyle name="Normal 3 3 10 7 14 2" xfId="28543" xr:uid="{00000000-0005-0000-0000-000049470000}"/>
    <cellStyle name="Normal 3 3 10 7 15" xfId="28538" xr:uid="{00000000-0005-0000-0000-00004A470000}"/>
    <cellStyle name="Normal 3 3 10 7 2" xfId="11013" xr:uid="{00000000-0005-0000-0000-00004B470000}"/>
    <cellStyle name="Normal 3 3 10 7 2 2" xfId="28544" xr:uid="{00000000-0005-0000-0000-00004C470000}"/>
    <cellStyle name="Normal 3 3 10 7 3" xfId="11014" xr:uid="{00000000-0005-0000-0000-00004D470000}"/>
    <cellStyle name="Normal 3 3 10 7 3 2" xfId="28545" xr:uid="{00000000-0005-0000-0000-00004E470000}"/>
    <cellStyle name="Normal 3 3 10 7 4" xfId="11015" xr:uid="{00000000-0005-0000-0000-00004F470000}"/>
    <cellStyle name="Normal 3 3 10 7 4 2" xfId="28546" xr:uid="{00000000-0005-0000-0000-000050470000}"/>
    <cellStyle name="Normal 3 3 10 7 5" xfId="11016" xr:uid="{00000000-0005-0000-0000-000051470000}"/>
    <cellStyle name="Normal 3 3 10 7 5 2" xfId="28547" xr:uid="{00000000-0005-0000-0000-000052470000}"/>
    <cellStyle name="Normal 3 3 10 7 6" xfId="11017" xr:uid="{00000000-0005-0000-0000-000053470000}"/>
    <cellStyle name="Normal 3 3 10 7 6 2" xfId="28548" xr:uid="{00000000-0005-0000-0000-000054470000}"/>
    <cellStyle name="Normal 3 3 10 7 7" xfId="11018" xr:uid="{00000000-0005-0000-0000-000055470000}"/>
    <cellStyle name="Normal 3 3 10 7 7 2" xfId="28549" xr:uid="{00000000-0005-0000-0000-000056470000}"/>
    <cellStyle name="Normal 3 3 10 7 8" xfId="11019" xr:uid="{00000000-0005-0000-0000-000057470000}"/>
    <cellStyle name="Normal 3 3 10 7 8 2" xfId="28550" xr:uid="{00000000-0005-0000-0000-000058470000}"/>
    <cellStyle name="Normal 3 3 10 7 9" xfId="11020" xr:uid="{00000000-0005-0000-0000-000059470000}"/>
    <cellStyle name="Normal 3 3 10 7 9 2" xfId="28551" xr:uid="{00000000-0005-0000-0000-00005A470000}"/>
    <cellStyle name="Normal 3 3 10 8" xfId="11021" xr:uid="{00000000-0005-0000-0000-00005B470000}"/>
    <cellStyle name="Normal 3 3 10 8 10" xfId="11022" xr:uid="{00000000-0005-0000-0000-00005C470000}"/>
    <cellStyle name="Normal 3 3 10 8 10 2" xfId="28553" xr:uid="{00000000-0005-0000-0000-00005D470000}"/>
    <cellStyle name="Normal 3 3 10 8 11" xfId="11023" xr:uid="{00000000-0005-0000-0000-00005E470000}"/>
    <cellStyle name="Normal 3 3 10 8 11 2" xfId="28554" xr:uid="{00000000-0005-0000-0000-00005F470000}"/>
    <cellStyle name="Normal 3 3 10 8 12" xfId="11024" xr:uid="{00000000-0005-0000-0000-000060470000}"/>
    <cellStyle name="Normal 3 3 10 8 12 2" xfId="28555" xr:uid="{00000000-0005-0000-0000-000061470000}"/>
    <cellStyle name="Normal 3 3 10 8 13" xfId="11025" xr:uid="{00000000-0005-0000-0000-000062470000}"/>
    <cellStyle name="Normal 3 3 10 8 13 2" xfId="28556" xr:uid="{00000000-0005-0000-0000-000063470000}"/>
    <cellStyle name="Normal 3 3 10 8 14" xfId="11026" xr:uid="{00000000-0005-0000-0000-000064470000}"/>
    <cellStyle name="Normal 3 3 10 8 14 2" xfId="28557" xr:uid="{00000000-0005-0000-0000-000065470000}"/>
    <cellStyle name="Normal 3 3 10 8 15" xfId="28552" xr:uid="{00000000-0005-0000-0000-000066470000}"/>
    <cellStyle name="Normal 3 3 10 8 2" xfId="11027" xr:uid="{00000000-0005-0000-0000-000067470000}"/>
    <cellStyle name="Normal 3 3 10 8 2 2" xfId="28558" xr:uid="{00000000-0005-0000-0000-000068470000}"/>
    <cellStyle name="Normal 3 3 10 8 3" xfId="11028" xr:uid="{00000000-0005-0000-0000-000069470000}"/>
    <cellStyle name="Normal 3 3 10 8 3 2" xfId="28559" xr:uid="{00000000-0005-0000-0000-00006A470000}"/>
    <cellStyle name="Normal 3 3 10 8 4" xfId="11029" xr:uid="{00000000-0005-0000-0000-00006B470000}"/>
    <cellStyle name="Normal 3 3 10 8 4 2" xfId="28560" xr:uid="{00000000-0005-0000-0000-00006C470000}"/>
    <cellStyle name="Normal 3 3 10 8 5" xfId="11030" xr:uid="{00000000-0005-0000-0000-00006D470000}"/>
    <cellStyle name="Normal 3 3 10 8 5 2" xfId="28561" xr:uid="{00000000-0005-0000-0000-00006E470000}"/>
    <cellStyle name="Normal 3 3 10 8 6" xfId="11031" xr:uid="{00000000-0005-0000-0000-00006F470000}"/>
    <cellStyle name="Normal 3 3 10 8 6 2" xfId="28562" xr:uid="{00000000-0005-0000-0000-000070470000}"/>
    <cellStyle name="Normal 3 3 10 8 7" xfId="11032" xr:uid="{00000000-0005-0000-0000-000071470000}"/>
    <cellStyle name="Normal 3 3 10 8 7 2" xfId="28563" xr:uid="{00000000-0005-0000-0000-000072470000}"/>
    <cellStyle name="Normal 3 3 10 8 8" xfId="11033" xr:uid="{00000000-0005-0000-0000-000073470000}"/>
    <cellStyle name="Normal 3 3 10 8 8 2" xfId="28564" xr:uid="{00000000-0005-0000-0000-000074470000}"/>
    <cellStyle name="Normal 3 3 10 8 9" xfId="11034" xr:uid="{00000000-0005-0000-0000-000075470000}"/>
    <cellStyle name="Normal 3 3 10 8 9 2" xfId="28565" xr:uid="{00000000-0005-0000-0000-000076470000}"/>
    <cellStyle name="Normal 3 3 10 9" xfId="11035" xr:uid="{00000000-0005-0000-0000-000077470000}"/>
    <cellStyle name="Normal 3 3 10 9 10" xfId="11036" xr:uid="{00000000-0005-0000-0000-000078470000}"/>
    <cellStyle name="Normal 3 3 10 9 10 2" xfId="28567" xr:uid="{00000000-0005-0000-0000-000079470000}"/>
    <cellStyle name="Normal 3 3 10 9 11" xfId="11037" xr:uid="{00000000-0005-0000-0000-00007A470000}"/>
    <cellStyle name="Normal 3 3 10 9 11 2" xfId="28568" xr:uid="{00000000-0005-0000-0000-00007B470000}"/>
    <cellStyle name="Normal 3 3 10 9 12" xfId="11038" xr:uid="{00000000-0005-0000-0000-00007C470000}"/>
    <cellStyle name="Normal 3 3 10 9 12 2" xfId="28569" xr:uid="{00000000-0005-0000-0000-00007D470000}"/>
    <cellStyle name="Normal 3 3 10 9 13" xfId="11039" xr:uid="{00000000-0005-0000-0000-00007E470000}"/>
    <cellStyle name="Normal 3 3 10 9 13 2" xfId="28570" xr:uid="{00000000-0005-0000-0000-00007F470000}"/>
    <cellStyle name="Normal 3 3 10 9 14" xfId="11040" xr:uid="{00000000-0005-0000-0000-000080470000}"/>
    <cellStyle name="Normal 3 3 10 9 14 2" xfId="28571" xr:uid="{00000000-0005-0000-0000-000081470000}"/>
    <cellStyle name="Normal 3 3 10 9 15" xfId="28566" xr:uid="{00000000-0005-0000-0000-000082470000}"/>
    <cellStyle name="Normal 3 3 10 9 2" xfId="11041" xr:uid="{00000000-0005-0000-0000-000083470000}"/>
    <cellStyle name="Normal 3 3 10 9 2 2" xfId="28572" xr:uid="{00000000-0005-0000-0000-000084470000}"/>
    <cellStyle name="Normal 3 3 10 9 3" xfId="11042" xr:uid="{00000000-0005-0000-0000-000085470000}"/>
    <cellStyle name="Normal 3 3 10 9 3 2" xfId="28573" xr:uid="{00000000-0005-0000-0000-000086470000}"/>
    <cellStyle name="Normal 3 3 10 9 4" xfId="11043" xr:uid="{00000000-0005-0000-0000-000087470000}"/>
    <cellStyle name="Normal 3 3 10 9 4 2" xfId="28574" xr:uid="{00000000-0005-0000-0000-000088470000}"/>
    <cellStyle name="Normal 3 3 10 9 5" xfId="11044" xr:uid="{00000000-0005-0000-0000-000089470000}"/>
    <cellStyle name="Normal 3 3 10 9 5 2" xfId="28575" xr:uid="{00000000-0005-0000-0000-00008A470000}"/>
    <cellStyle name="Normal 3 3 10 9 6" xfId="11045" xr:uid="{00000000-0005-0000-0000-00008B470000}"/>
    <cellStyle name="Normal 3 3 10 9 6 2" xfId="28576" xr:uid="{00000000-0005-0000-0000-00008C470000}"/>
    <cellStyle name="Normal 3 3 10 9 7" xfId="11046" xr:uid="{00000000-0005-0000-0000-00008D470000}"/>
    <cellStyle name="Normal 3 3 10 9 7 2" xfId="28577" xr:uid="{00000000-0005-0000-0000-00008E470000}"/>
    <cellStyle name="Normal 3 3 10 9 8" xfId="11047" xr:uid="{00000000-0005-0000-0000-00008F470000}"/>
    <cellStyle name="Normal 3 3 10 9 8 2" xfId="28578" xr:uid="{00000000-0005-0000-0000-000090470000}"/>
    <cellStyle name="Normal 3 3 10 9 9" xfId="11048" xr:uid="{00000000-0005-0000-0000-000091470000}"/>
    <cellStyle name="Normal 3 3 10 9 9 2" xfId="28579" xr:uid="{00000000-0005-0000-0000-000092470000}"/>
    <cellStyle name="Normal 3 3 11" xfId="11049" xr:uid="{00000000-0005-0000-0000-000093470000}"/>
    <cellStyle name="Normal 3 3 11 10" xfId="11050" xr:uid="{00000000-0005-0000-0000-000094470000}"/>
    <cellStyle name="Normal 3 3 11 10 10" xfId="11051" xr:uid="{00000000-0005-0000-0000-000095470000}"/>
    <cellStyle name="Normal 3 3 11 10 10 2" xfId="28582" xr:uid="{00000000-0005-0000-0000-000096470000}"/>
    <cellStyle name="Normal 3 3 11 10 11" xfId="11052" xr:uid="{00000000-0005-0000-0000-000097470000}"/>
    <cellStyle name="Normal 3 3 11 10 11 2" xfId="28583" xr:uid="{00000000-0005-0000-0000-000098470000}"/>
    <cellStyle name="Normal 3 3 11 10 12" xfId="11053" xr:uid="{00000000-0005-0000-0000-000099470000}"/>
    <cellStyle name="Normal 3 3 11 10 12 2" xfId="28584" xr:uid="{00000000-0005-0000-0000-00009A470000}"/>
    <cellStyle name="Normal 3 3 11 10 13" xfId="11054" xr:uid="{00000000-0005-0000-0000-00009B470000}"/>
    <cellStyle name="Normal 3 3 11 10 13 2" xfId="28585" xr:uid="{00000000-0005-0000-0000-00009C470000}"/>
    <cellStyle name="Normal 3 3 11 10 14" xfId="11055" xr:uid="{00000000-0005-0000-0000-00009D470000}"/>
    <cellStyle name="Normal 3 3 11 10 14 2" xfId="28586" xr:uid="{00000000-0005-0000-0000-00009E470000}"/>
    <cellStyle name="Normal 3 3 11 10 15" xfId="28581" xr:uid="{00000000-0005-0000-0000-00009F470000}"/>
    <cellStyle name="Normal 3 3 11 10 2" xfId="11056" xr:uid="{00000000-0005-0000-0000-0000A0470000}"/>
    <cellStyle name="Normal 3 3 11 10 2 2" xfId="28587" xr:uid="{00000000-0005-0000-0000-0000A1470000}"/>
    <cellStyle name="Normal 3 3 11 10 3" xfId="11057" xr:uid="{00000000-0005-0000-0000-0000A2470000}"/>
    <cellStyle name="Normal 3 3 11 10 3 2" xfId="28588" xr:uid="{00000000-0005-0000-0000-0000A3470000}"/>
    <cellStyle name="Normal 3 3 11 10 4" xfId="11058" xr:uid="{00000000-0005-0000-0000-0000A4470000}"/>
    <cellStyle name="Normal 3 3 11 10 4 2" xfId="28589" xr:uid="{00000000-0005-0000-0000-0000A5470000}"/>
    <cellStyle name="Normal 3 3 11 10 5" xfId="11059" xr:uid="{00000000-0005-0000-0000-0000A6470000}"/>
    <cellStyle name="Normal 3 3 11 10 5 2" xfId="28590" xr:uid="{00000000-0005-0000-0000-0000A7470000}"/>
    <cellStyle name="Normal 3 3 11 10 6" xfId="11060" xr:uid="{00000000-0005-0000-0000-0000A8470000}"/>
    <cellStyle name="Normal 3 3 11 10 6 2" xfId="28591" xr:uid="{00000000-0005-0000-0000-0000A9470000}"/>
    <cellStyle name="Normal 3 3 11 10 7" xfId="11061" xr:uid="{00000000-0005-0000-0000-0000AA470000}"/>
    <cellStyle name="Normal 3 3 11 10 7 2" xfId="28592" xr:uid="{00000000-0005-0000-0000-0000AB470000}"/>
    <cellStyle name="Normal 3 3 11 10 8" xfId="11062" xr:uid="{00000000-0005-0000-0000-0000AC470000}"/>
    <cellStyle name="Normal 3 3 11 10 8 2" xfId="28593" xr:uid="{00000000-0005-0000-0000-0000AD470000}"/>
    <cellStyle name="Normal 3 3 11 10 9" xfId="11063" xr:uid="{00000000-0005-0000-0000-0000AE470000}"/>
    <cellStyle name="Normal 3 3 11 10 9 2" xfId="28594" xr:uid="{00000000-0005-0000-0000-0000AF470000}"/>
    <cellStyle name="Normal 3 3 11 11" xfId="11064" xr:uid="{00000000-0005-0000-0000-0000B0470000}"/>
    <cellStyle name="Normal 3 3 11 11 2" xfId="28595" xr:uid="{00000000-0005-0000-0000-0000B1470000}"/>
    <cellStyle name="Normal 3 3 11 12" xfId="11065" xr:uid="{00000000-0005-0000-0000-0000B2470000}"/>
    <cellStyle name="Normal 3 3 11 12 2" xfId="28596" xr:uid="{00000000-0005-0000-0000-0000B3470000}"/>
    <cellStyle name="Normal 3 3 11 13" xfId="11066" xr:uid="{00000000-0005-0000-0000-0000B4470000}"/>
    <cellStyle name="Normal 3 3 11 13 2" xfId="28597" xr:uid="{00000000-0005-0000-0000-0000B5470000}"/>
    <cellStyle name="Normal 3 3 11 14" xfId="11067" xr:uid="{00000000-0005-0000-0000-0000B6470000}"/>
    <cellStyle name="Normal 3 3 11 14 2" xfId="28598" xr:uid="{00000000-0005-0000-0000-0000B7470000}"/>
    <cellStyle name="Normal 3 3 11 15" xfId="11068" xr:uid="{00000000-0005-0000-0000-0000B8470000}"/>
    <cellStyle name="Normal 3 3 11 15 2" xfId="28599" xr:uid="{00000000-0005-0000-0000-0000B9470000}"/>
    <cellStyle name="Normal 3 3 11 16" xfId="11069" xr:uid="{00000000-0005-0000-0000-0000BA470000}"/>
    <cellStyle name="Normal 3 3 11 16 2" xfId="28600" xr:uid="{00000000-0005-0000-0000-0000BB470000}"/>
    <cellStyle name="Normal 3 3 11 17" xfId="11070" xr:uid="{00000000-0005-0000-0000-0000BC470000}"/>
    <cellStyle name="Normal 3 3 11 17 2" xfId="28601" xr:uid="{00000000-0005-0000-0000-0000BD470000}"/>
    <cellStyle name="Normal 3 3 11 18" xfId="11071" xr:uid="{00000000-0005-0000-0000-0000BE470000}"/>
    <cellStyle name="Normal 3 3 11 18 2" xfId="28602" xr:uid="{00000000-0005-0000-0000-0000BF470000}"/>
    <cellStyle name="Normal 3 3 11 19" xfId="11072" xr:uid="{00000000-0005-0000-0000-0000C0470000}"/>
    <cellStyle name="Normal 3 3 11 19 2" xfId="28603" xr:uid="{00000000-0005-0000-0000-0000C1470000}"/>
    <cellStyle name="Normal 3 3 11 2" xfId="11073" xr:uid="{00000000-0005-0000-0000-0000C2470000}"/>
    <cellStyle name="Normal 3 3 11 2 10" xfId="11074" xr:uid="{00000000-0005-0000-0000-0000C3470000}"/>
    <cellStyle name="Normal 3 3 11 2 10 2" xfId="28605" xr:uid="{00000000-0005-0000-0000-0000C4470000}"/>
    <cellStyle name="Normal 3 3 11 2 11" xfId="11075" xr:uid="{00000000-0005-0000-0000-0000C5470000}"/>
    <cellStyle name="Normal 3 3 11 2 11 2" xfId="28606" xr:uid="{00000000-0005-0000-0000-0000C6470000}"/>
    <cellStyle name="Normal 3 3 11 2 12" xfId="11076" xr:uid="{00000000-0005-0000-0000-0000C7470000}"/>
    <cellStyle name="Normal 3 3 11 2 12 2" xfId="28607" xr:uid="{00000000-0005-0000-0000-0000C8470000}"/>
    <cellStyle name="Normal 3 3 11 2 13" xfId="11077" xr:uid="{00000000-0005-0000-0000-0000C9470000}"/>
    <cellStyle name="Normal 3 3 11 2 13 2" xfId="28608" xr:uid="{00000000-0005-0000-0000-0000CA470000}"/>
    <cellStyle name="Normal 3 3 11 2 14" xfId="11078" xr:uid="{00000000-0005-0000-0000-0000CB470000}"/>
    <cellStyle name="Normal 3 3 11 2 14 2" xfId="28609" xr:uid="{00000000-0005-0000-0000-0000CC470000}"/>
    <cellStyle name="Normal 3 3 11 2 15" xfId="11079" xr:uid="{00000000-0005-0000-0000-0000CD470000}"/>
    <cellStyle name="Normal 3 3 11 2 15 2" xfId="28610" xr:uid="{00000000-0005-0000-0000-0000CE470000}"/>
    <cellStyle name="Normal 3 3 11 2 16" xfId="28604" xr:uid="{00000000-0005-0000-0000-0000CF470000}"/>
    <cellStyle name="Normal 3 3 11 2 2" xfId="11080" xr:uid="{00000000-0005-0000-0000-0000D0470000}"/>
    <cellStyle name="Normal 3 3 11 2 2 10" xfId="11081" xr:uid="{00000000-0005-0000-0000-0000D1470000}"/>
    <cellStyle name="Normal 3 3 11 2 2 10 2" xfId="28612" xr:uid="{00000000-0005-0000-0000-0000D2470000}"/>
    <cellStyle name="Normal 3 3 11 2 2 11" xfId="11082" xr:uid="{00000000-0005-0000-0000-0000D3470000}"/>
    <cellStyle name="Normal 3 3 11 2 2 11 2" xfId="28613" xr:uid="{00000000-0005-0000-0000-0000D4470000}"/>
    <cellStyle name="Normal 3 3 11 2 2 12" xfId="11083" xr:uid="{00000000-0005-0000-0000-0000D5470000}"/>
    <cellStyle name="Normal 3 3 11 2 2 12 2" xfId="28614" xr:uid="{00000000-0005-0000-0000-0000D6470000}"/>
    <cellStyle name="Normal 3 3 11 2 2 13" xfId="11084" xr:uid="{00000000-0005-0000-0000-0000D7470000}"/>
    <cellStyle name="Normal 3 3 11 2 2 13 2" xfId="28615" xr:uid="{00000000-0005-0000-0000-0000D8470000}"/>
    <cellStyle name="Normal 3 3 11 2 2 14" xfId="11085" xr:uid="{00000000-0005-0000-0000-0000D9470000}"/>
    <cellStyle name="Normal 3 3 11 2 2 14 2" xfId="28616" xr:uid="{00000000-0005-0000-0000-0000DA470000}"/>
    <cellStyle name="Normal 3 3 11 2 2 15" xfId="28611" xr:uid="{00000000-0005-0000-0000-0000DB470000}"/>
    <cellStyle name="Normal 3 3 11 2 2 2" xfId="11086" xr:uid="{00000000-0005-0000-0000-0000DC470000}"/>
    <cellStyle name="Normal 3 3 11 2 2 2 2" xfId="28617" xr:uid="{00000000-0005-0000-0000-0000DD470000}"/>
    <cellStyle name="Normal 3 3 11 2 2 3" xfId="11087" xr:uid="{00000000-0005-0000-0000-0000DE470000}"/>
    <cellStyle name="Normal 3 3 11 2 2 3 2" xfId="28618" xr:uid="{00000000-0005-0000-0000-0000DF470000}"/>
    <cellStyle name="Normal 3 3 11 2 2 4" xfId="11088" xr:uid="{00000000-0005-0000-0000-0000E0470000}"/>
    <cellStyle name="Normal 3 3 11 2 2 4 2" xfId="28619" xr:uid="{00000000-0005-0000-0000-0000E1470000}"/>
    <cellStyle name="Normal 3 3 11 2 2 5" xfId="11089" xr:uid="{00000000-0005-0000-0000-0000E2470000}"/>
    <cellStyle name="Normal 3 3 11 2 2 5 2" xfId="28620" xr:uid="{00000000-0005-0000-0000-0000E3470000}"/>
    <cellStyle name="Normal 3 3 11 2 2 6" xfId="11090" xr:uid="{00000000-0005-0000-0000-0000E4470000}"/>
    <cellStyle name="Normal 3 3 11 2 2 6 2" xfId="28621" xr:uid="{00000000-0005-0000-0000-0000E5470000}"/>
    <cellStyle name="Normal 3 3 11 2 2 7" xfId="11091" xr:uid="{00000000-0005-0000-0000-0000E6470000}"/>
    <cellStyle name="Normal 3 3 11 2 2 7 2" xfId="28622" xr:uid="{00000000-0005-0000-0000-0000E7470000}"/>
    <cellStyle name="Normal 3 3 11 2 2 8" xfId="11092" xr:uid="{00000000-0005-0000-0000-0000E8470000}"/>
    <cellStyle name="Normal 3 3 11 2 2 8 2" xfId="28623" xr:uid="{00000000-0005-0000-0000-0000E9470000}"/>
    <cellStyle name="Normal 3 3 11 2 2 9" xfId="11093" xr:uid="{00000000-0005-0000-0000-0000EA470000}"/>
    <cellStyle name="Normal 3 3 11 2 2 9 2" xfId="28624" xr:uid="{00000000-0005-0000-0000-0000EB470000}"/>
    <cellStyle name="Normal 3 3 11 2 3" xfId="11094" xr:uid="{00000000-0005-0000-0000-0000EC470000}"/>
    <cellStyle name="Normal 3 3 11 2 3 2" xfId="28625" xr:uid="{00000000-0005-0000-0000-0000ED470000}"/>
    <cellStyle name="Normal 3 3 11 2 4" xfId="11095" xr:uid="{00000000-0005-0000-0000-0000EE470000}"/>
    <cellStyle name="Normal 3 3 11 2 4 2" xfId="28626" xr:uid="{00000000-0005-0000-0000-0000EF470000}"/>
    <cellStyle name="Normal 3 3 11 2 5" xfId="11096" xr:uid="{00000000-0005-0000-0000-0000F0470000}"/>
    <cellStyle name="Normal 3 3 11 2 5 2" xfId="28627" xr:uid="{00000000-0005-0000-0000-0000F1470000}"/>
    <cellStyle name="Normal 3 3 11 2 6" xfId="11097" xr:uid="{00000000-0005-0000-0000-0000F2470000}"/>
    <cellStyle name="Normal 3 3 11 2 6 2" xfId="28628" xr:uid="{00000000-0005-0000-0000-0000F3470000}"/>
    <cellStyle name="Normal 3 3 11 2 7" xfId="11098" xr:uid="{00000000-0005-0000-0000-0000F4470000}"/>
    <cellStyle name="Normal 3 3 11 2 7 2" xfId="28629" xr:uid="{00000000-0005-0000-0000-0000F5470000}"/>
    <cellStyle name="Normal 3 3 11 2 8" xfId="11099" xr:uid="{00000000-0005-0000-0000-0000F6470000}"/>
    <cellStyle name="Normal 3 3 11 2 8 2" xfId="28630" xr:uid="{00000000-0005-0000-0000-0000F7470000}"/>
    <cellStyle name="Normal 3 3 11 2 9" xfId="11100" xr:uid="{00000000-0005-0000-0000-0000F8470000}"/>
    <cellStyle name="Normal 3 3 11 2 9 2" xfId="28631" xr:uid="{00000000-0005-0000-0000-0000F9470000}"/>
    <cellStyle name="Normal 3 3 11 20" xfId="11101" xr:uid="{00000000-0005-0000-0000-0000FA470000}"/>
    <cellStyle name="Normal 3 3 11 20 2" xfId="28632" xr:uid="{00000000-0005-0000-0000-0000FB470000}"/>
    <cellStyle name="Normal 3 3 11 21" xfId="11102" xr:uid="{00000000-0005-0000-0000-0000FC470000}"/>
    <cellStyle name="Normal 3 3 11 21 2" xfId="28633" xr:uid="{00000000-0005-0000-0000-0000FD470000}"/>
    <cellStyle name="Normal 3 3 11 22" xfId="11103" xr:uid="{00000000-0005-0000-0000-0000FE470000}"/>
    <cellStyle name="Normal 3 3 11 22 2" xfId="28634" xr:uid="{00000000-0005-0000-0000-0000FF470000}"/>
    <cellStyle name="Normal 3 3 11 23" xfId="11104" xr:uid="{00000000-0005-0000-0000-000000480000}"/>
    <cellStyle name="Normal 3 3 11 23 2" xfId="28635" xr:uid="{00000000-0005-0000-0000-000001480000}"/>
    <cellStyle name="Normal 3 3 11 24" xfId="28580" xr:uid="{00000000-0005-0000-0000-000002480000}"/>
    <cellStyle name="Normal 3 3 11 3" xfId="11105" xr:uid="{00000000-0005-0000-0000-000003480000}"/>
    <cellStyle name="Normal 3 3 11 3 10" xfId="11106" xr:uid="{00000000-0005-0000-0000-000004480000}"/>
    <cellStyle name="Normal 3 3 11 3 10 2" xfId="28637" xr:uid="{00000000-0005-0000-0000-000005480000}"/>
    <cellStyle name="Normal 3 3 11 3 11" xfId="11107" xr:uid="{00000000-0005-0000-0000-000006480000}"/>
    <cellStyle name="Normal 3 3 11 3 11 2" xfId="28638" xr:uid="{00000000-0005-0000-0000-000007480000}"/>
    <cellStyle name="Normal 3 3 11 3 12" xfId="11108" xr:uid="{00000000-0005-0000-0000-000008480000}"/>
    <cellStyle name="Normal 3 3 11 3 12 2" xfId="28639" xr:uid="{00000000-0005-0000-0000-000009480000}"/>
    <cellStyle name="Normal 3 3 11 3 13" xfId="11109" xr:uid="{00000000-0005-0000-0000-00000A480000}"/>
    <cellStyle name="Normal 3 3 11 3 13 2" xfId="28640" xr:uid="{00000000-0005-0000-0000-00000B480000}"/>
    <cellStyle name="Normal 3 3 11 3 14" xfId="11110" xr:uid="{00000000-0005-0000-0000-00000C480000}"/>
    <cellStyle name="Normal 3 3 11 3 14 2" xfId="28641" xr:uid="{00000000-0005-0000-0000-00000D480000}"/>
    <cellStyle name="Normal 3 3 11 3 15" xfId="11111" xr:uid="{00000000-0005-0000-0000-00000E480000}"/>
    <cellStyle name="Normal 3 3 11 3 15 2" xfId="28642" xr:uid="{00000000-0005-0000-0000-00000F480000}"/>
    <cellStyle name="Normal 3 3 11 3 16" xfId="28636" xr:uid="{00000000-0005-0000-0000-000010480000}"/>
    <cellStyle name="Normal 3 3 11 3 2" xfId="11112" xr:uid="{00000000-0005-0000-0000-000011480000}"/>
    <cellStyle name="Normal 3 3 11 3 2 10" xfId="11113" xr:uid="{00000000-0005-0000-0000-000012480000}"/>
    <cellStyle name="Normal 3 3 11 3 2 10 2" xfId="28644" xr:uid="{00000000-0005-0000-0000-000013480000}"/>
    <cellStyle name="Normal 3 3 11 3 2 11" xfId="11114" xr:uid="{00000000-0005-0000-0000-000014480000}"/>
    <cellStyle name="Normal 3 3 11 3 2 11 2" xfId="28645" xr:uid="{00000000-0005-0000-0000-000015480000}"/>
    <cellStyle name="Normal 3 3 11 3 2 12" xfId="11115" xr:uid="{00000000-0005-0000-0000-000016480000}"/>
    <cellStyle name="Normal 3 3 11 3 2 12 2" xfId="28646" xr:uid="{00000000-0005-0000-0000-000017480000}"/>
    <cellStyle name="Normal 3 3 11 3 2 13" xfId="11116" xr:uid="{00000000-0005-0000-0000-000018480000}"/>
    <cellStyle name="Normal 3 3 11 3 2 13 2" xfId="28647" xr:uid="{00000000-0005-0000-0000-000019480000}"/>
    <cellStyle name="Normal 3 3 11 3 2 14" xfId="11117" xr:uid="{00000000-0005-0000-0000-00001A480000}"/>
    <cellStyle name="Normal 3 3 11 3 2 14 2" xfId="28648" xr:uid="{00000000-0005-0000-0000-00001B480000}"/>
    <cellStyle name="Normal 3 3 11 3 2 15" xfId="28643" xr:uid="{00000000-0005-0000-0000-00001C480000}"/>
    <cellStyle name="Normal 3 3 11 3 2 2" xfId="11118" xr:uid="{00000000-0005-0000-0000-00001D480000}"/>
    <cellStyle name="Normal 3 3 11 3 2 2 2" xfId="28649" xr:uid="{00000000-0005-0000-0000-00001E480000}"/>
    <cellStyle name="Normal 3 3 11 3 2 3" xfId="11119" xr:uid="{00000000-0005-0000-0000-00001F480000}"/>
    <cellStyle name="Normal 3 3 11 3 2 3 2" xfId="28650" xr:uid="{00000000-0005-0000-0000-000020480000}"/>
    <cellStyle name="Normal 3 3 11 3 2 4" xfId="11120" xr:uid="{00000000-0005-0000-0000-000021480000}"/>
    <cellStyle name="Normal 3 3 11 3 2 4 2" xfId="28651" xr:uid="{00000000-0005-0000-0000-000022480000}"/>
    <cellStyle name="Normal 3 3 11 3 2 5" xfId="11121" xr:uid="{00000000-0005-0000-0000-000023480000}"/>
    <cellStyle name="Normal 3 3 11 3 2 5 2" xfId="28652" xr:uid="{00000000-0005-0000-0000-000024480000}"/>
    <cellStyle name="Normal 3 3 11 3 2 6" xfId="11122" xr:uid="{00000000-0005-0000-0000-000025480000}"/>
    <cellStyle name="Normal 3 3 11 3 2 6 2" xfId="28653" xr:uid="{00000000-0005-0000-0000-000026480000}"/>
    <cellStyle name="Normal 3 3 11 3 2 7" xfId="11123" xr:uid="{00000000-0005-0000-0000-000027480000}"/>
    <cellStyle name="Normal 3 3 11 3 2 7 2" xfId="28654" xr:uid="{00000000-0005-0000-0000-000028480000}"/>
    <cellStyle name="Normal 3 3 11 3 2 8" xfId="11124" xr:uid="{00000000-0005-0000-0000-000029480000}"/>
    <cellStyle name="Normal 3 3 11 3 2 8 2" xfId="28655" xr:uid="{00000000-0005-0000-0000-00002A480000}"/>
    <cellStyle name="Normal 3 3 11 3 2 9" xfId="11125" xr:uid="{00000000-0005-0000-0000-00002B480000}"/>
    <cellStyle name="Normal 3 3 11 3 2 9 2" xfId="28656" xr:uid="{00000000-0005-0000-0000-00002C480000}"/>
    <cellStyle name="Normal 3 3 11 3 3" xfId="11126" xr:uid="{00000000-0005-0000-0000-00002D480000}"/>
    <cellStyle name="Normal 3 3 11 3 3 2" xfId="28657" xr:uid="{00000000-0005-0000-0000-00002E480000}"/>
    <cellStyle name="Normal 3 3 11 3 4" xfId="11127" xr:uid="{00000000-0005-0000-0000-00002F480000}"/>
    <cellStyle name="Normal 3 3 11 3 4 2" xfId="28658" xr:uid="{00000000-0005-0000-0000-000030480000}"/>
    <cellStyle name="Normal 3 3 11 3 5" xfId="11128" xr:uid="{00000000-0005-0000-0000-000031480000}"/>
    <cellStyle name="Normal 3 3 11 3 5 2" xfId="28659" xr:uid="{00000000-0005-0000-0000-000032480000}"/>
    <cellStyle name="Normal 3 3 11 3 6" xfId="11129" xr:uid="{00000000-0005-0000-0000-000033480000}"/>
    <cellStyle name="Normal 3 3 11 3 6 2" xfId="28660" xr:uid="{00000000-0005-0000-0000-000034480000}"/>
    <cellStyle name="Normal 3 3 11 3 7" xfId="11130" xr:uid="{00000000-0005-0000-0000-000035480000}"/>
    <cellStyle name="Normal 3 3 11 3 7 2" xfId="28661" xr:uid="{00000000-0005-0000-0000-000036480000}"/>
    <cellStyle name="Normal 3 3 11 3 8" xfId="11131" xr:uid="{00000000-0005-0000-0000-000037480000}"/>
    <cellStyle name="Normal 3 3 11 3 8 2" xfId="28662" xr:uid="{00000000-0005-0000-0000-000038480000}"/>
    <cellStyle name="Normal 3 3 11 3 9" xfId="11132" xr:uid="{00000000-0005-0000-0000-000039480000}"/>
    <cellStyle name="Normal 3 3 11 3 9 2" xfId="28663" xr:uid="{00000000-0005-0000-0000-00003A480000}"/>
    <cellStyle name="Normal 3 3 11 4" xfId="11133" xr:uid="{00000000-0005-0000-0000-00003B480000}"/>
    <cellStyle name="Normal 3 3 11 4 10" xfId="11134" xr:uid="{00000000-0005-0000-0000-00003C480000}"/>
    <cellStyle name="Normal 3 3 11 4 10 2" xfId="28665" xr:uid="{00000000-0005-0000-0000-00003D480000}"/>
    <cellStyle name="Normal 3 3 11 4 11" xfId="11135" xr:uid="{00000000-0005-0000-0000-00003E480000}"/>
    <cellStyle name="Normal 3 3 11 4 11 2" xfId="28666" xr:uid="{00000000-0005-0000-0000-00003F480000}"/>
    <cellStyle name="Normal 3 3 11 4 12" xfId="11136" xr:uid="{00000000-0005-0000-0000-000040480000}"/>
    <cellStyle name="Normal 3 3 11 4 12 2" xfId="28667" xr:uid="{00000000-0005-0000-0000-000041480000}"/>
    <cellStyle name="Normal 3 3 11 4 13" xfId="11137" xr:uid="{00000000-0005-0000-0000-000042480000}"/>
    <cellStyle name="Normal 3 3 11 4 13 2" xfId="28668" xr:uid="{00000000-0005-0000-0000-000043480000}"/>
    <cellStyle name="Normal 3 3 11 4 14" xfId="11138" xr:uid="{00000000-0005-0000-0000-000044480000}"/>
    <cellStyle name="Normal 3 3 11 4 14 2" xfId="28669" xr:uid="{00000000-0005-0000-0000-000045480000}"/>
    <cellStyle name="Normal 3 3 11 4 15" xfId="11139" xr:uid="{00000000-0005-0000-0000-000046480000}"/>
    <cellStyle name="Normal 3 3 11 4 15 2" xfId="28670" xr:uid="{00000000-0005-0000-0000-000047480000}"/>
    <cellStyle name="Normal 3 3 11 4 16" xfId="28664" xr:uid="{00000000-0005-0000-0000-000048480000}"/>
    <cellStyle name="Normal 3 3 11 4 2" xfId="11140" xr:uid="{00000000-0005-0000-0000-000049480000}"/>
    <cellStyle name="Normal 3 3 11 4 2 10" xfId="11141" xr:uid="{00000000-0005-0000-0000-00004A480000}"/>
    <cellStyle name="Normal 3 3 11 4 2 10 2" xfId="28672" xr:uid="{00000000-0005-0000-0000-00004B480000}"/>
    <cellStyle name="Normal 3 3 11 4 2 11" xfId="11142" xr:uid="{00000000-0005-0000-0000-00004C480000}"/>
    <cellStyle name="Normal 3 3 11 4 2 11 2" xfId="28673" xr:uid="{00000000-0005-0000-0000-00004D480000}"/>
    <cellStyle name="Normal 3 3 11 4 2 12" xfId="11143" xr:uid="{00000000-0005-0000-0000-00004E480000}"/>
    <cellStyle name="Normal 3 3 11 4 2 12 2" xfId="28674" xr:uid="{00000000-0005-0000-0000-00004F480000}"/>
    <cellStyle name="Normal 3 3 11 4 2 13" xfId="11144" xr:uid="{00000000-0005-0000-0000-000050480000}"/>
    <cellStyle name="Normal 3 3 11 4 2 13 2" xfId="28675" xr:uid="{00000000-0005-0000-0000-000051480000}"/>
    <cellStyle name="Normal 3 3 11 4 2 14" xfId="11145" xr:uid="{00000000-0005-0000-0000-000052480000}"/>
    <cellStyle name="Normal 3 3 11 4 2 14 2" xfId="28676" xr:uid="{00000000-0005-0000-0000-000053480000}"/>
    <cellStyle name="Normal 3 3 11 4 2 15" xfId="28671" xr:uid="{00000000-0005-0000-0000-000054480000}"/>
    <cellStyle name="Normal 3 3 11 4 2 2" xfId="11146" xr:uid="{00000000-0005-0000-0000-000055480000}"/>
    <cellStyle name="Normal 3 3 11 4 2 2 2" xfId="28677" xr:uid="{00000000-0005-0000-0000-000056480000}"/>
    <cellStyle name="Normal 3 3 11 4 2 3" xfId="11147" xr:uid="{00000000-0005-0000-0000-000057480000}"/>
    <cellStyle name="Normal 3 3 11 4 2 3 2" xfId="28678" xr:uid="{00000000-0005-0000-0000-000058480000}"/>
    <cellStyle name="Normal 3 3 11 4 2 4" xfId="11148" xr:uid="{00000000-0005-0000-0000-000059480000}"/>
    <cellStyle name="Normal 3 3 11 4 2 4 2" xfId="28679" xr:uid="{00000000-0005-0000-0000-00005A480000}"/>
    <cellStyle name="Normal 3 3 11 4 2 5" xfId="11149" xr:uid="{00000000-0005-0000-0000-00005B480000}"/>
    <cellStyle name="Normal 3 3 11 4 2 5 2" xfId="28680" xr:uid="{00000000-0005-0000-0000-00005C480000}"/>
    <cellStyle name="Normal 3 3 11 4 2 6" xfId="11150" xr:uid="{00000000-0005-0000-0000-00005D480000}"/>
    <cellStyle name="Normal 3 3 11 4 2 6 2" xfId="28681" xr:uid="{00000000-0005-0000-0000-00005E480000}"/>
    <cellStyle name="Normal 3 3 11 4 2 7" xfId="11151" xr:uid="{00000000-0005-0000-0000-00005F480000}"/>
    <cellStyle name="Normal 3 3 11 4 2 7 2" xfId="28682" xr:uid="{00000000-0005-0000-0000-000060480000}"/>
    <cellStyle name="Normal 3 3 11 4 2 8" xfId="11152" xr:uid="{00000000-0005-0000-0000-000061480000}"/>
    <cellStyle name="Normal 3 3 11 4 2 8 2" xfId="28683" xr:uid="{00000000-0005-0000-0000-000062480000}"/>
    <cellStyle name="Normal 3 3 11 4 2 9" xfId="11153" xr:uid="{00000000-0005-0000-0000-000063480000}"/>
    <cellStyle name="Normal 3 3 11 4 2 9 2" xfId="28684" xr:uid="{00000000-0005-0000-0000-000064480000}"/>
    <cellStyle name="Normal 3 3 11 4 3" xfId="11154" xr:uid="{00000000-0005-0000-0000-000065480000}"/>
    <cellStyle name="Normal 3 3 11 4 3 2" xfId="28685" xr:uid="{00000000-0005-0000-0000-000066480000}"/>
    <cellStyle name="Normal 3 3 11 4 4" xfId="11155" xr:uid="{00000000-0005-0000-0000-000067480000}"/>
    <cellStyle name="Normal 3 3 11 4 4 2" xfId="28686" xr:uid="{00000000-0005-0000-0000-000068480000}"/>
    <cellStyle name="Normal 3 3 11 4 5" xfId="11156" xr:uid="{00000000-0005-0000-0000-000069480000}"/>
    <cellStyle name="Normal 3 3 11 4 5 2" xfId="28687" xr:uid="{00000000-0005-0000-0000-00006A480000}"/>
    <cellStyle name="Normal 3 3 11 4 6" xfId="11157" xr:uid="{00000000-0005-0000-0000-00006B480000}"/>
    <cellStyle name="Normal 3 3 11 4 6 2" xfId="28688" xr:uid="{00000000-0005-0000-0000-00006C480000}"/>
    <cellStyle name="Normal 3 3 11 4 7" xfId="11158" xr:uid="{00000000-0005-0000-0000-00006D480000}"/>
    <cellStyle name="Normal 3 3 11 4 7 2" xfId="28689" xr:uid="{00000000-0005-0000-0000-00006E480000}"/>
    <cellStyle name="Normal 3 3 11 4 8" xfId="11159" xr:uid="{00000000-0005-0000-0000-00006F480000}"/>
    <cellStyle name="Normal 3 3 11 4 8 2" xfId="28690" xr:uid="{00000000-0005-0000-0000-000070480000}"/>
    <cellStyle name="Normal 3 3 11 4 9" xfId="11160" xr:uid="{00000000-0005-0000-0000-000071480000}"/>
    <cellStyle name="Normal 3 3 11 4 9 2" xfId="28691" xr:uid="{00000000-0005-0000-0000-000072480000}"/>
    <cellStyle name="Normal 3 3 11 5" xfId="11161" xr:uid="{00000000-0005-0000-0000-000073480000}"/>
    <cellStyle name="Normal 3 3 11 5 10" xfId="11162" xr:uid="{00000000-0005-0000-0000-000074480000}"/>
    <cellStyle name="Normal 3 3 11 5 10 2" xfId="28693" xr:uid="{00000000-0005-0000-0000-000075480000}"/>
    <cellStyle name="Normal 3 3 11 5 11" xfId="11163" xr:uid="{00000000-0005-0000-0000-000076480000}"/>
    <cellStyle name="Normal 3 3 11 5 11 2" xfId="28694" xr:uid="{00000000-0005-0000-0000-000077480000}"/>
    <cellStyle name="Normal 3 3 11 5 12" xfId="11164" xr:uid="{00000000-0005-0000-0000-000078480000}"/>
    <cellStyle name="Normal 3 3 11 5 12 2" xfId="28695" xr:uid="{00000000-0005-0000-0000-000079480000}"/>
    <cellStyle name="Normal 3 3 11 5 13" xfId="11165" xr:uid="{00000000-0005-0000-0000-00007A480000}"/>
    <cellStyle name="Normal 3 3 11 5 13 2" xfId="28696" xr:uid="{00000000-0005-0000-0000-00007B480000}"/>
    <cellStyle name="Normal 3 3 11 5 14" xfId="11166" xr:uid="{00000000-0005-0000-0000-00007C480000}"/>
    <cellStyle name="Normal 3 3 11 5 14 2" xfId="28697" xr:uid="{00000000-0005-0000-0000-00007D480000}"/>
    <cellStyle name="Normal 3 3 11 5 15" xfId="28692" xr:uid="{00000000-0005-0000-0000-00007E480000}"/>
    <cellStyle name="Normal 3 3 11 5 2" xfId="11167" xr:uid="{00000000-0005-0000-0000-00007F480000}"/>
    <cellStyle name="Normal 3 3 11 5 2 2" xfId="28698" xr:uid="{00000000-0005-0000-0000-000080480000}"/>
    <cellStyle name="Normal 3 3 11 5 3" xfId="11168" xr:uid="{00000000-0005-0000-0000-000081480000}"/>
    <cellStyle name="Normal 3 3 11 5 3 2" xfId="28699" xr:uid="{00000000-0005-0000-0000-000082480000}"/>
    <cellStyle name="Normal 3 3 11 5 4" xfId="11169" xr:uid="{00000000-0005-0000-0000-000083480000}"/>
    <cellStyle name="Normal 3 3 11 5 4 2" xfId="28700" xr:uid="{00000000-0005-0000-0000-000084480000}"/>
    <cellStyle name="Normal 3 3 11 5 5" xfId="11170" xr:uid="{00000000-0005-0000-0000-000085480000}"/>
    <cellStyle name="Normal 3 3 11 5 5 2" xfId="28701" xr:uid="{00000000-0005-0000-0000-000086480000}"/>
    <cellStyle name="Normal 3 3 11 5 6" xfId="11171" xr:uid="{00000000-0005-0000-0000-000087480000}"/>
    <cellStyle name="Normal 3 3 11 5 6 2" xfId="28702" xr:uid="{00000000-0005-0000-0000-000088480000}"/>
    <cellStyle name="Normal 3 3 11 5 7" xfId="11172" xr:uid="{00000000-0005-0000-0000-000089480000}"/>
    <cellStyle name="Normal 3 3 11 5 7 2" xfId="28703" xr:uid="{00000000-0005-0000-0000-00008A480000}"/>
    <cellStyle name="Normal 3 3 11 5 8" xfId="11173" xr:uid="{00000000-0005-0000-0000-00008B480000}"/>
    <cellStyle name="Normal 3 3 11 5 8 2" xfId="28704" xr:uid="{00000000-0005-0000-0000-00008C480000}"/>
    <cellStyle name="Normal 3 3 11 5 9" xfId="11174" xr:uid="{00000000-0005-0000-0000-00008D480000}"/>
    <cellStyle name="Normal 3 3 11 5 9 2" xfId="28705" xr:uid="{00000000-0005-0000-0000-00008E480000}"/>
    <cellStyle name="Normal 3 3 11 6" xfId="11175" xr:uid="{00000000-0005-0000-0000-00008F480000}"/>
    <cellStyle name="Normal 3 3 11 6 10" xfId="11176" xr:uid="{00000000-0005-0000-0000-000090480000}"/>
    <cellStyle name="Normal 3 3 11 6 10 2" xfId="28707" xr:uid="{00000000-0005-0000-0000-000091480000}"/>
    <cellStyle name="Normal 3 3 11 6 11" xfId="11177" xr:uid="{00000000-0005-0000-0000-000092480000}"/>
    <cellStyle name="Normal 3 3 11 6 11 2" xfId="28708" xr:uid="{00000000-0005-0000-0000-000093480000}"/>
    <cellStyle name="Normal 3 3 11 6 12" xfId="11178" xr:uid="{00000000-0005-0000-0000-000094480000}"/>
    <cellStyle name="Normal 3 3 11 6 12 2" xfId="28709" xr:uid="{00000000-0005-0000-0000-000095480000}"/>
    <cellStyle name="Normal 3 3 11 6 13" xfId="11179" xr:uid="{00000000-0005-0000-0000-000096480000}"/>
    <cellStyle name="Normal 3 3 11 6 13 2" xfId="28710" xr:uid="{00000000-0005-0000-0000-000097480000}"/>
    <cellStyle name="Normal 3 3 11 6 14" xfId="11180" xr:uid="{00000000-0005-0000-0000-000098480000}"/>
    <cellStyle name="Normal 3 3 11 6 14 2" xfId="28711" xr:uid="{00000000-0005-0000-0000-000099480000}"/>
    <cellStyle name="Normal 3 3 11 6 15" xfId="28706" xr:uid="{00000000-0005-0000-0000-00009A480000}"/>
    <cellStyle name="Normal 3 3 11 6 2" xfId="11181" xr:uid="{00000000-0005-0000-0000-00009B480000}"/>
    <cellStyle name="Normal 3 3 11 6 2 2" xfId="28712" xr:uid="{00000000-0005-0000-0000-00009C480000}"/>
    <cellStyle name="Normal 3 3 11 6 3" xfId="11182" xr:uid="{00000000-0005-0000-0000-00009D480000}"/>
    <cellStyle name="Normal 3 3 11 6 3 2" xfId="28713" xr:uid="{00000000-0005-0000-0000-00009E480000}"/>
    <cellStyle name="Normal 3 3 11 6 4" xfId="11183" xr:uid="{00000000-0005-0000-0000-00009F480000}"/>
    <cellStyle name="Normal 3 3 11 6 4 2" xfId="28714" xr:uid="{00000000-0005-0000-0000-0000A0480000}"/>
    <cellStyle name="Normal 3 3 11 6 5" xfId="11184" xr:uid="{00000000-0005-0000-0000-0000A1480000}"/>
    <cellStyle name="Normal 3 3 11 6 5 2" xfId="28715" xr:uid="{00000000-0005-0000-0000-0000A2480000}"/>
    <cellStyle name="Normal 3 3 11 6 6" xfId="11185" xr:uid="{00000000-0005-0000-0000-0000A3480000}"/>
    <cellStyle name="Normal 3 3 11 6 6 2" xfId="28716" xr:uid="{00000000-0005-0000-0000-0000A4480000}"/>
    <cellStyle name="Normal 3 3 11 6 7" xfId="11186" xr:uid="{00000000-0005-0000-0000-0000A5480000}"/>
    <cellStyle name="Normal 3 3 11 6 7 2" xfId="28717" xr:uid="{00000000-0005-0000-0000-0000A6480000}"/>
    <cellStyle name="Normal 3 3 11 6 8" xfId="11187" xr:uid="{00000000-0005-0000-0000-0000A7480000}"/>
    <cellStyle name="Normal 3 3 11 6 8 2" xfId="28718" xr:uid="{00000000-0005-0000-0000-0000A8480000}"/>
    <cellStyle name="Normal 3 3 11 6 9" xfId="11188" xr:uid="{00000000-0005-0000-0000-0000A9480000}"/>
    <cellStyle name="Normal 3 3 11 6 9 2" xfId="28719" xr:uid="{00000000-0005-0000-0000-0000AA480000}"/>
    <cellStyle name="Normal 3 3 11 7" xfId="11189" xr:uid="{00000000-0005-0000-0000-0000AB480000}"/>
    <cellStyle name="Normal 3 3 11 7 10" xfId="11190" xr:uid="{00000000-0005-0000-0000-0000AC480000}"/>
    <cellStyle name="Normal 3 3 11 7 10 2" xfId="28721" xr:uid="{00000000-0005-0000-0000-0000AD480000}"/>
    <cellStyle name="Normal 3 3 11 7 11" xfId="11191" xr:uid="{00000000-0005-0000-0000-0000AE480000}"/>
    <cellStyle name="Normal 3 3 11 7 11 2" xfId="28722" xr:uid="{00000000-0005-0000-0000-0000AF480000}"/>
    <cellStyle name="Normal 3 3 11 7 12" xfId="11192" xr:uid="{00000000-0005-0000-0000-0000B0480000}"/>
    <cellStyle name="Normal 3 3 11 7 12 2" xfId="28723" xr:uid="{00000000-0005-0000-0000-0000B1480000}"/>
    <cellStyle name="Normal 3 3 11 7 13" xfId="11193" xr:uid="{00000000-0005-0000-0000-0000B2480000}"/>
    <cellStyle name="Normal 3 3 11 7 13 2" xfId="28724" xr:uid="{00000000-0005-0000-0000-0000B3480000}"/>
    <cellStyle name="Normal 3 3 11 7 14" xfId="11194" xr:uid="{00000000-0005-0000-0000-0000B4480000}"/>
    <cellStyle name="Normal 3 3 11 7 14 2" xfId="28725" xr:uid="{00000000-0005-0000-0000-0000B5480000}"/>
    <cellStyle name="Normal 3 3 11 7 15" xfId="28720" xr:uid="{00000000-0005-0000-0000-0000B6480000}"/>
    <cellStyle name="Normal 3 3 11 7 2" xfId="11195" xr:uid="{00000000-0005-0000-0000-0000B7480000}"/>
    <cellStyle name="Normal 3 3 11 7 2 2" xfId="28726" xr:uid="{00000000-0005-0000-0000-0000B8480000}"/>
    <cellStyle name="Normal 3 3 11 7 3" xfId="11196" xr:uid="{00000000-0005-0000-0000-0000B9480000}"/>
    <cellStyle name="Normal 3 3 11 7 3 2" xfId="28727" xr:uid="{00000000-0005-0000-0000-0000BA480000}"/>
    <cellStyle name="Normal 3 3 11 7 4" xfId="11197" xr:uid="{00000000-0005-0000-0000-0000BB480000}"/>
    <cellStyle name="Normal 3 3 11 7 4 2" xfId="28728" xr:uid="{00000000-0005-0000-0000-0000BC480000}"/>
    <cellStyle name="Normal 3 3 11 7 5" xfId="11198" xr:uid="{00000000-0005-0000-0000-0000BD480000}"/>
    <cellStyle name="Normal 3 3 11 7 5 2" xfId="28729" xr:uid="{00000000-0005-0000-0000-0000BE480000}"/>
    <cellStyle name="Normal 3 3 11 7 6" xfId="11199" xr:uid="{00000000-0005-0000-0000-0000BF480000}"/>
    <cellStyle name="Normal 3 3 11 7 6 2" xfId="28730" xr:uid="{00000000-0005-0000-0000-0000C0480000}"/>
    <cellStyle name="Normal 3 3 11 7 7" xfId="11200" xr:uid="{00000000-0005-0000-0000-0000C1480000}"/>
    <cellStyle name="Normal 3 3 11 7 7 2" xfId="28731" xr:uid="{00000000-0005-0000-0000-0000C2480000}"/>
    <cellStyle name="Normal 3 3 11 7 8" xfId="11201" xr:uid="{00000000-0005-0000-0000-0000C3480000}"/>
    <cellStyle name="Normal 3 3 11 7 8 2" xfId="28732" xr:uid="{00000000-0005-0000-0000-0000C4480000}"/>
    <cellStyle name="Normal 3 3 11 7 9" xfId="11202" xr:uid="{00000000-0005-0000-0000-0000C5480000}"/>
    <cellStyle name="Normal 3 3 11 7 9 2" xfId="28733" xr:uid="{00000000-0005-0000-0000-0000C6480000}"/>
    <cellStyle name="Normal 3 3 11 8" xfId="11203" xr:uid="{00000000-0005-0000-0000-0000C7480000}"/>
    <cellStyle name="Normal 3 3 11 8 10" xfId="11204" xr:uid="{00000000-0005-0000-0000-0000C8480000}"/>
    <cellStyle name="Normal 3 3 11 8 10 2" xfId="28735" xr:uid="{00000000-0005-0000-0000-0000C9480000}"/>
    <cellStyle name="Normal 3 3 11 8 11" xfId="11205" xr:uid="{00000000-0005-0000-0000-0000CA480000}"/>
    <cellStyle name="Normal 3 3 11 8 11 2" xfId="28736" xr:uid="{00000000-0005-0000-0000-0000CB480000}"/>
    <cellStyle name="Normal 3 3 11 8 12" xfId="11206" xr:uid="{00000000-0005-0000-0000-0000CC480000}"/>
    <cellStyle name="Normal 3 3 11 8 12 2" xfId="28737" xr:uid="{00000000-0005-0000-0000-0000CD480000}"/>
    <cellStyle name="Normal 3 3 11 8 13" xfId="11207" xr:uid="{00000000-0005-0000-0000-0000CE480000}"/>
    <cellStyle name="Normal 3 3 11 8 13 2" xfId="28738" xr:uid="{00000000-0005-0000-0000-0000CF480000}"/>
    <cellStyle name="Normal 3 3 11 8 14" xfId="11208" xr:uid="{00000000-0005-0000-0000-0000D0480000}"/>
    <cellStyle name="Normal 3 3 11 8 14 2" xfId="28739" xr:uid="{00000000-0005-0000-0000-0000D1480000}"/>
    <cellStyle name="Normal 3 3 11 8 15" xfId="28734" xr:uid="{00000000-0005-0000-0000-0000D2480000}"/>
    <cellStyle name="Normal 3 3 11 8 2" xfId="11209" xr:uid="{00000000-0005-0000-0000-0000D3480000}"/>
    <cellStyle name="Normal 3 3 11 8 2 2" xfId="28740" xr:uid="{00000000-0005-0000-0000-0000D4480000}"/>
    <cellStyle name="Normal 3 3 11 8 3" xfId="11210" xr:uid="{00000000-0005-0000-0000-0000D5480000}"/>
    <cellStyle name="Normal 3 3 11 8 3 2" xfId="28741" xr:uid="{00000000-0005-0000-0000-0000D6480000}"/>
    <cellStyle name="Normal 3 3 11 8 4" xfId="11211" xr:uid="{00000000-0005-0000-0000-0000D7480000}"/>
    <cellStyle name="Normal 3 3 11 8 4 2" xfId="28742" xr:uid="{00000000-0005-0000-0000-0000D8480000}"/>
    <cellStyle name="Normal 3 3 11 8 5" xfId="11212" xr:uid="{00000000-0005-0000-0000-0000D9480000}"/>
    <cellStyle name="Normal 3 3 11 8 5 2" xfId="28743" xr:uid="{00000000-0005-0000-0000-0000DA480000}"/>
    <cellStyle name="Normal 3 3 11 8 6" xfId="11213" xr:uid="{00000000-0005-0000-0000-0000DB480000}"/>
    <cellStyle name="Normal 3 3 11 8 6 2" xfId="28744" xr:uid="{00000000-0005-0000-0000-0000DC480000}"/>
    <cellStyle name="Normal 3 3 11 8 7" xfId="11214" xr:uid="{00000000-0005-0000-0000-0000DD480000}"/>
    <cellStyle name="Normal 3 3 11 8 7 2" xfId="28745" xr:uid="{00000000-0005-0000-0000-0000DE480000}"/>
    <cellStyle name="Normal 3 3 11 8 8" xfId="11215" xr:uid="{00000000-0005-0000-0000-0000DF480000}"/>
    <cellStyle name="Normal 3 3 11 8 8 2" xfId="28746" xr:uid="{00000000-0005-0000-0000-0000E0480000}"/>
    <cellStyle name="Normal 3 3 11 8 9" xfId="11216" xr:uid="{00000000-0005-0000-0000-0000E1480000}"/>
    <cellStyle name="Normal 3 3 11 8 9 2" xfId="28747" xr:uid="{00000000-0005-0000-0000-0000E2480000}"/>
    <cellStyle name="Normal 3 3 11 9" xfId="11217" xr:uid="{00000000-0005-0000-0000-0000E3480000}"/>
    <cellStyle name="Normal 3 3 11 9 10" xfId="11218" xr:uid="{00000000-0005-0000-0000-0000E4480000}"/>
    <cellStyle name="Normal 3 3 11 9 10 2" xfId="28749" xr:uid="{00000000-0005-0000-0000-0000E5480000}"/>
    <cellStyle name="Normal 3 3 11 9 11" xfId="11219" xr:uid="{00000000-0005-0000-0000-0000E6480000}"/>
    <cellStyle name="Normal 3 3 11 9 11 2" xfId="28750" xr:uid="{00000000-0005-0000-0000-0000E7480000}"/>
    <cellStyle name="Normal 3 3 11 9 12" xfId="11220" xr:uid="{00000000-0005-0000-0000-0000E8480000}"/>
    <cellStyle name="Normal 3 3 11 9 12 2" xfId="28751" xr:uid="{00000000-0005-0000-0000-0000E9480000}"/>
    <cellStyle name="Normal 3 3 11 9 13" xfId="11221" xr:uid="{00000000-0005-0000-0000-0000EA480000}"/>
    <cellStyle name="Normal 3 3 11 9 13 2" xfId="28752" xr:uid="{00000000-0005-0000-0000-0000EB480000}"/>
    <cellStyle name="Normal 3 3 11 9 14" xfId="11222" xr:uid="{00000000-0005-0000-0000-0000EC480000}"/>
    <cellStyle name="Normal 3 3 11 9 14 2" xfId="28753" xr:uid="{00000000-0005-0000-0000-0000ED480000}"/>
    <cellStyle name="Normal 3 3 11 9 15" xfId="28748" xr:uid="{00000000-0005-0000-0000-0000EE480000}"/>
    <cellStyle name="Normal 3 3 11 9 2" xfId="11223" xr:uid="{00000000-0005-0000-0000-0000EF480000}"/>
    <cellStyle name="Normal 3 3 11 9 2 2" xfId="28754" xr:uid="{00000000-0005-0000-0000-0000F0480000}"/>
    <cellStyle name="Normal 3 3 11 9 3" xfId="11224" xr:uid="{00000000-0005-0000-0000-0000F1480000}"/>
    <cellStyle name="Normal 3 3 11 9 3 2" xfId="28755" xr:uid="{00000000-0005-0000-0000-0000F2480000}"/>
    <cellStyle name="Normal 3 3 11 9 4" xfId="11225" xr:uid="{00000000-0005-0000-0000-0000F3480000}"/>
    <cellStyle name="Normal 3 3 11 9 4 2" xfId="28756" xr:uid="{00000000-0005-0000-0000-0000F4480000}"/>
    <cellStyle name="Normal 3 3 11 9 5" xfId="11226" xr:uid="{00000000-0005-0000-0000-0000F5480000}"/>
    <cellStyle name="Normal 3 3 11 9 5 2" xfId="28757" xr:uid="{00000000-0005-0000-0000-0000F6480000}"/>
    <cellStyle name="Normal 3 3 11 9 6" xfId="11227" xr:uid="{00000000-0005-0000-0000-0000F7480000}"/>
    <cellStyle name="Normal 3 3 11 9 6 2" xfId="28758" xr:uid="{00000000-0005-0000-0000-0000F8480000}"/>
    <cellStyle name="Normal 3 3 11 9 7" xfId="11228" xr:uid="{00000000-0005-0000-0000-0000F9480000}"/>
    <cellStyle name="Normal 3 3 11 9 7 2" xfId="28759" xr:uid="{00000000-0005-0000-0000-0000FA480000}"/>
    <cellStyle name="Normal 3 3 11 9 8" xfId="11229" xr:uid="{00000000-0005-0000-0000-0000FB480000}"/>
    <cellStyle name="Normal 3 3 11 9 8 2" xfId="28760" xr:uid="{00000000-0005-0000-0000-0000FC480000}"/>
    <cellStyle name="Normal 3 3 11 9 9" xfId="11230" xr:uid="{00000000-0005-0000-0000-0000FD480000}"/>
    <cellStyle name="Normal 3 3 11 9 9 2" xfId="28761" xr:uid="{00000000-0005-0000-0000-0000FE480000}"/>
    <cellStyle name="Normal 3 3 12" xfId="11231" xr:uid="{00000000-0005-0000-0000-0000FF480000}"/>
    <cellStyle name="Normal 3 3 12 10" xfId="11232" xr:uid="{00000000-0005-0000-0000-000000490000}"/>
    <cellStyle name="Normal 3 3 12 10 10" xfId="11233" xr:uid="{00000000-0005-0000-0000-000001490000}"/>
    <cellStyle name="Normal 3 3 12 10 10 2" xfId="28764" xr:uid="{00000000-0005-0000-0000-000002490000}"/>
    <cellStyle name="Normal 3 3 12 10 11" xfId="11234" xr:uid="{00000000-0005-0000-0000-000003490000}"/>
    <cellStyle name="Normal 3 3 12 10 11 2" xfId="28765" xr:uid="{00000000-0005-0000-0000-000004490000}"/>
    <cellStyle name="Normal 3 3 12 10 12" xfId="11235" xr:uid="{00000000-0005-0000-0000-000005490000}"/>
    <cellStyle name="Normal 3 3 12 10 12 2" xfId="28766" xr:uid="{00000000-0005-0000-0000-000006490000}"/>
    <cellStyle name="Normal 3 3 12 10 13" xfId="11236" xr:uid="{00000000-0005-0000-0000-000007490000}"/>
    <cellStyle name="Normal 3 3 12 10 13 2" xfId="28767" xr:uid="{00000000-0005-0000-0000-000008490000}"/>
    <cellStyle name="Normal 3 3 12 10 14" xfId="11237" xr:uid="{00000000-0005-0000-0000-000009490000}"/>
    <cellStyle name="Normal 3 3 12 10 14 2" xfId="28768" xr:uid="{00000000-0005-0000-0000-00000A490000}"/>
    <cellStyle name="Normal 3 3 12 10 15" xfId="28763" xr:uid="{00000000-0005-0000-0000-00000B490000}"/>
    <cellStyle name="Normal 3 3 12 10 2" xfId="11238" xr:uid="{00000000-0005-0000-0000-00000C490000}"/>
    <cellStyle name="Normal 3 3 12 10 2 2" xfId="28769" xr:uid="{00000000-0005-0000-0000-00000D490000}"/>
    <cellStyle name="Normal 3 3 12 10 3" xfId="11239" xr:uid="{00000000-0005-0000-0000-00000E490000}"/>
    <cellStyle name="Normal 3 3 12 10 3 2" xfId="28770" xr:uid="{00000000-0005-0000-0000-00000F490000}"/>
    <cellStyle name="Normal 3 3 12 10 4" xfId="11240" xr:uid="{00000000-0005-0000-0000-000010490000}"/>
    <cellStyle name="Normal 3 3 12 10 4 2" xfId="28771" xr:uid="{00000000-0005-0000-0000-000011490000}"/>
    <cellStyle name="Normal 3 3 12 10 5" xfId="11241" xr:uid="{00000000-0005-0000-0000-000012490000}"/>
    <cellStyle name="Normal 3 3 12 10 5 2" xfId="28772" xr:uid="{00000000-0005-0000-0000-000013490000}"/>
    <cellStyle name="Normal 3 3 12 10 6" xfId="11242" xr:uid="{00000000-0005-0000-0000-000014490000}"/>
    <cellStyle name="Normal 3 3 12 10 6 2" xfId="28773" xr:uid="{00000000-0005-0000-0000-000015490000}"/>
    <cellStyle name="Normal 3 3 12 10 7" xfId="11243" xr:uid="{00000000-0005-0000-0000-000016490000}"/>
    <cellStyle name="Normal 3 3 12 10 7 2" xfId="28774" xr:uid="{00000000-0005-0000-0000-000017490000}"/>
    <cellStyle name="Normal 3 3 12 10 8" xfId="11244" xr:uid="{00000000-0005-0000-0000-000018490000}"/>
    <cellStyle name="Normal 3 3 12 10 8 2" xfId="28775" xr:uid="{00000000-0005-0000-0000-000019490000}"/>
    <cellStyle name="Normal 3 3 12 10 9" xfId="11245" xr:uid="{00000000-0005-0000-0000-00001A490000}"/>
    <cellStyle name="Normal 3 3 12 10 9 2" xfId="28776" xr:uid="{00000000-0005-0000-0000-00001B490000}"/>
    <cellStyle name="Normal 3 3 12 11" xfId="11246" xr:uid="{00000000-0005-0000-0000-00001C490000}"/>
    <cellStyle name="Normal 3 3 12 11 2" xfId="28777" xr:uid="{00000000-0005-0000-0000-00001D490000}"/>
    <cellStyle name="Normal 3 3 12 12" xfId="11247" xr:uid="{00000000-0005-0000-0000-00001E490000}"/>
    <cellStyle name="Normal 3 3 12 12 2" xfId="28778" xr:uid="{00000000-0005-0000-0000-00001F490000}"/>
    <cellStyle name="Normal 3 3 12 13" xfId="11248" xr:uid="{00000000-0005-0000-0000-000020490000}"/>
    <cellStyle name="Normal 3 3 12 13 2" xfId="28779" xr:uid="{00000000-0005-0000-0000-000021490000}"/>
    <cellStyle name="Normal 3 3 12 14" xfId="11249" xr:uid="{00000000-0005-0000-0000-000022490000}"/>
    <cellStyle name="Normal 3 3 12 14 2" xfId="28780" xr:uid="{00000000-0005-0000-0000-000023490000}"/>
    <cellStyle name="Normal 3 3 12 15" xfId="11250" xr:uid="{00000000-0005-0000-0000-000024490000}"/>
    <cellStyle name="Normal 3 3 12 15 2" xfId="28781" xr:uid="{00000000-0005-0000-0000-000025490000}"/>
    <cellStyle name="Normal 3 3 12 16" xfId="11251" xr:uid="{00000000-0005-0000-0000-000026490000}"/>
    <cellStyle name="Normal 3 3 12 16 2" xfId="28782" xr:uid="{00000000-0005-0000-0000-000027490000}"/>
    <cellStyle name="Normal 3 3 12 17" xfId="11252" xr:uid="{00000000-0005-0000-0000-000028490000}"/>
    <cellStyle name="Normal 3 3 12 17 2" xfId="28783" xr:uid="{00000000-0005-0000-0000-000029490000}"/>
    <cellStyle name="Normal 3 3 12 18" xfId="11253" xr:uid="{00000000-0005-0000-0000-00002A490000}"/>
    <cellStyle name="Normal 3 3 12 18 2" xfId="28784" xr:uid="{00000000-0005-0000-0000-00002B490000}"/>
    <cellStyle name="Normal 3 3 12 19" xfId="11254" xr:uid="{00000000-0005-0000-0000-00002C490000}"/>
    <cellStyle name="Normal 3 3 12 19 2" xfId="28785" xr:uid="{00000000-0005-0000-0000-00002D490000}"/>
    <cellStyle name="Normal 3 3 12 2" xfId="11255" xr:uid="{00000000-0005-0000-0000-00002E490000}"/>
    <cellStyle name="Normal 3 3 12 2 10" xfId="11256" xr:uid="{00000000-0005-0000-0000-00002F490000}"/>
    <cellStyle name="Normal 3 3 12 2 10 2" xfId="28787" xr:uid="{00000000-0005-0000-0000-000030490000}"/>
    <cellStyle name="Normal 3 3 12 2 11" xfId="11257" xr:uid="{00000000-0005-0000-0000-000031490000}"/>
    <cellStyle name="Normal 3 3 12 2 11 2" xfId="28788" xr:uid="{00000000-0005-0000-0000-000032490000}"/>
    <cellStyle name="Normal 3 3 12 2 12" xfId="11258" xr:uid="{00000000-0005-0000-0000-000033490000}"/>
    <cellStyle name="Normal 3 3 12 2 12 2" xfId="28789" xr:uid="{00000000-0005-0000-0000-000034490000}"/>
    <cellStyle name="Normal 3 3 12 2 13" xfId="11259" xr:uid="{00000000-0005-0000-0000-000035490000}"/>
    <cellStyle name="Normal 3 3 12 2 13 2" xfId="28790" xr:uid="{00000000-0005-0000-0000-000036490000}"/>
    <cellStyle name="Normal 3 3 12 2 14" xfId="11260" xr:uid="{00000000-0005-0000-0000-000037490000}"/>
    <cellStyle name="Normal 3 3 12 2 14 2" xfId="28791" xr:uid="{00000000-0005-0000-0000-000038490000}"/>
    <cellStyle name="Normal 3 3 12 2 15" xfId="11261" xr:uid="{00000000-0005-0000-0000-000039490000}"/>
    <cellStyle name="Normal 3 3 12 2 15 2" xfId="28792" xr:uid="{00000000-0005-0000-0000-00003A490000}"/>
    <cellStyle name="Normal 3 3 12 2 16" xfId="28786" xr:uid="{00000000-0005-0000-0000-00003B490000}"/>
    <cellStyle name="Normal 3 3 12 2 2" xfId="11262" xr:uid="{00000000-0005-0000-0000-00003C490000}"/>
    <cellStyle name="Normal 3 3 12 2 2 10" xfId="11263" xr:uid="{00000000-0005-0000-0000-00003D490000}"/>
    <cellStyle name="Normal 3 3 12 2 2 10 2" xfId="28794" xr:uid="{00000000-0005-0000-0000-00003E490000}"/>
    <cellStyle name="Normal 3 3 12 2 2 11" xfId="11264" xr:uid="{00000000-0005-0000-0000-00003F490000}"/>
    <cellStyle name="Normal 3 3 12 2 2 11 2" xfId="28795" xr:uid="{00000000-0005-0000-0000-000040490000}"/>
    <cellStyle name="Normal 3 3 12 2 2 12" xfId="11265" xr:uid="{00000000-0005-0000-0000-000041490000}"/>
    <cellStyle name="Normal 3 3 12 2 2 12 2" xfId="28796" xr:uid="{00000000-0005-0000-0000-000042490000}"/>
    <cellStyle name="Normal 3 3 12 2 2 13" xfId="11266" xr:uid="{00000000-0005-0000-0000-000043490000}"/>
    <cellStyle name="Normal 3 3 12 2 2 13 2" xfId="28797" xr:uid="{00000000-0005-0000-0000-000044490000}"/>
    <cellStyle name="Normal 3 3 12 2 2 14" xfId="11267" xr:uid="{00000000-0005-0000-0000-000045490000}"/>
    <cellStyle name="Normal 3 3 12 2 2 14 2" xfId="28798" xr:uid="{00000000-0005-0000-0000-000046490000}"/>
    <cellStyle name="Normal 3 3 12 2 2 15" xfId="28793" xr:uid="{00000000-0005-0000-0000-000047490000}"/>
    <cellStyle name="Normal 3 3 12 2 2 2" xfId="11268" xr:uid="{00000000-0005-0000-0000-000048490000}"/>
    <cellStyle name="Normal 3 3 12 2 2 2 2" xfId="28799" xr:uid="{00000000-0005-0000-0000-000049490000}"/>
    <cellStyle name="Normal 3 3 12 2 2 3" xfId="11269" xr:uid="{00000000-0005-0000-0000-00004A490000}"/>
    <cellStyle name="Normal 3 3 12 2 2 3 2" xfId="28800" xr:uid="{00000000-0005-0000-0000-00004B490000}"/>
    <cellStyle name="Normal 3 3 12 2 2 4" xfId="11270" xr:uid="{00000000-0005-0000-0000-00004C490000}"/>
    <cellStyle name="Normal 3 3 12 2 2 4 2" xfId="28801" xr:uid="{00000000-0005-0000-0000-00004D490000}"/>
    <cellStyle name="Normal 3 3 12 2 2 5" xfId="11271" xr:uid="{00000000-0005-0000-0000-00004E490000}"/>
    <cellStyle name="Normal 3 3 12 2 2 5 2" xfId="28802" xr:uid="{00000000-0005-0000-0000-00004F490000}"/>
    <cellStyle name="Normal 3 3 12 2 2 6" xfId="11272" xr:uid="{00000000-0005-0000-0000-000050490000}"/>
    <cellStyle name="Normal 3 3 12 2 2 6 2" xfId="28803" xr:uid="{00000000-0005-0000-0000-000051490000}"/>
    <cellStyle name="Normal 3 3 12 2 2 7" xfId="11273" xr:uid="{00000000-0005-0000-0000-000052490000}"/>
    <cellStyle name="Normal 3 3 12 2 2 7 2" xfId="28804" xr:uid="{00000000-0005-0000-0000-000053490000}"/>
    <cellStyle name="Normal 3 3 12 2 2 8" xfId="11274" xr:uid="{00000000-0005-0000-0000-000054490000}"/>
    <cellStyle name="Normal 3 3 12 2 2 8 2" xfId="28805" xr:uid="{00000000-0005-0000-0000-000055490000}"/>
    <cellStyle name="Normal 3 3 12 2 2 9" xfId="11275" xr:uid="{00000000-0005-0000-0000-000056490000}"/>
    <cellStyle name="Normal 3 3 12 2 2 9 2" xfId="28806" xr:uid="{00000000-0005-0000-0000-000057490000}"/>
    <cellStyle name="Normal 3 3 12 2 3" xfId="11276" xr:uid="{00000000-0005-0000-0000-000058490000}"/>
    <cellStyle name="Normal 3 3 12 2 3 2" xfId="28807" xr:uid="{00000000-0005-0000-0000-000059490000}"/>
    <cellStyle name="Normal 3 3 12 2 4" xfId="11277" xr:uid="{00000000-0005-0000-0000-00005A490000}"/>
    <cellStyle name="Normal 3 3 12 2 4 2" xfId="28808" xr:uid="{00000000-0005-0000-0000-00005B490000}"/>
    <cellStyle name="Normal 3 3 12 2 5" xfId="11278" xr:uid="{00000000-0005-0000-0000-00005C490000}"/>
    <cellStyle name="Normal 3 3 12 2 5 2" xfId="28809" xr:uid="{00000000-0005-0000-0000-00005D490000}"/>
    <cellStyle name="Normal 3 3 12 2 6" xfId="11279" xr:uid="{00000000-0005-0000-0000-00005E490000}"/>
    <cellStyle name="Normal 3 3 12 2 6 2" xfId="28810" xr:uid="{00000000-0005-0000-0000-00005F490000}"/>
    <cellStyle name="Normal 3 3 12 2 7" xfId="11280" xr:uid="{00000000-0005-0000-0000-000060490000}"/>
    <cellStyle name="Normal 3 3 12 2 7 2" xfId="28811" xr:uid="{00000000-0005-0000-0000-000061490000}"/>
    <cellStyle name="Normal 3 3 12 2 8" xfId="11281" xr:uid="{00000000-0005-0000-0000-000062490000}"/>
    <cellStyle name="Normal 3 3 12 2 8 2" xfId="28812" xr:uid="{00000000-0005-0000-0000-000063490000}"/>
    <cellStyle name="Normal 3 3 12 2 9" xfId="11282" xr:uid="{00000000-0005-0000-0000-000064490000}"/>
    <cellStyle name="Normal 3 3 12 2 9 2" xfId="28813" xr:uid="{00000000-0005-0000-0000-000065490000}"/>
    <cellStyle name="Normal 3 3 12 20" xfId="11283" xr:uid="{00000000-0005-0000-0000-000066490000}"/>
    <cellStyle name="Normal 3 3 12 20 2" xfId="28814" xr:uid="{00000000-0005-0000-0000-000067490000}"/>
    <cellStyle name="Normal 3 3 12 21" xfId="11284" xr:uid="{00000000-0005-0000-0000-000068490000}"/>
    <cellStyle name="Normal 3 3 12 21 2" xfId="28815" xr:uid="{00000000-0005-0000-0000-000069490000}"/>
    <cellStyle name="Normal 3 3 12 22" xfId="11285" xr:uid="{00000000-0005-0000-0000-00006A490000}"/>
    <cellStyle name="Normal 3 3 12 22 2" xfId="28816" xr:uid="{00000000-0005-0000-0000-00006B490000}"/>
    <cellStyle name="Normal 3 3 12 23" xfId="11286" xr:uid="{00000000-0005-0000-0000-00006C490000}"/>
    <cellStyle name="Normal 3 3 12 23 2" xfId="28817" xr:uid="{00000000-0005-0000-0000-00006D490000}"/>
    <cellStyle name="Normal 3 3 12 24" xfId="28762" xr:uid="{00000000-0005-0000-0000-00006E490000}"/>
    <cellStyle name="Normal 3 3 12 3" xfId="11287" xr:uid="{00000000-0005-0000-0000-00006F490000}"/>
    <cellStyle name="Normal 3 3 12 3 10" xfId="11288" xr:uid="{00000000-0005-0000-0000-000070490000}"/>
    <cellStyle name="Normal 3 3 12 3 10 2" xfId="28819" xr:uid="{00000000-0005-0000-0000-000071490000}"/>
    <cellStyle name="Normal 3 3 12 3 11" xfId="11289" xr:uid="{00000000-0005-0000-0000-000072490000}"/>
    <cellStyle name="Normal 3 3 12 3 11 2" xfId="28820" xr:uid="{00000000-0005-0000-0000-000073490000}"/>
    <cellStyle name="Normal 3 3 12 3 12" xfId="11290" xr:uid="{00000000-0005-0000-0000-000074490000}"/>
    <cellStyle name="Normal 3 3 12 3 12 2" xfId="28821" xr:uid="{00000000-0005-0000-0000-000075490000}"/>
    <cellStyle name="Normal 3 3 12 3 13" xfId="11291" xr:uid="{00000000-0005-0000-0000-000076490000}"/>
    <cellStyle name="Normal 3 3 12 3 13 2" xfId="28822" xr:uid="{00000000-0005-0000-0000-000077490000}"/>
    <cellStyle name="Normal 3 3 12 3 14" xfId="11292" xr:uid="{00000000-0005-0000-0000-000078490000}"/>
    <cellStyle name="Normal 3 3 12 3 14 2" xfId="28823" xr:uid="{00000000-0005-0000-0000-000079490000}"/>
    <cellStyle name="Normal 3 3 12 3 15" xfId="11293" xr:uid="{00000000-0005-0000-0000-00007A490000}"/>
    <cellStyle name="Normal 3 3 12 3 15 2" xfId="28824" xr:uid="{00000000-0005-0000-0000-00007B490000}"/>
    <cellStyle name="Normal 3 3 12 3 16" xfId="28818" xr:uid="{00000000-0005-0000-0000-00007C490000}"/>
    <cellStyle name="Normal 3 3 12 3 2" xfId="11294" xr:uid="{00000000-0005-0000-0000-00007D490000}"/>
    <cellStyle name="Normal 3 3 12 3 2 10" xfId="11295" xr:uid="{00000000-0005-0000-0000-00007E490000}"/>
    <cellStyle name="Normal 3 3 12 3 2 10 2" xfId="28826" xr:uid="{00000000-0005-0000-0000-00007F490000}"/>
    <cellStyle name="Normal 3 3 12 3 2 11" xfId="11296" xr:uid="{00000000-0005-0000-0000-000080490000}"/>
    <cellStyle name="Normal 3 3 12 3 2 11 2" xfId="28827" xr:uid="{00000000-0005-0000-0000-000081490000}"/>
    <cellStyle name="Normal 3 3 12 3 2 12" xfId="11297" xr:uid="{00000000-0005-0000-0000-000082490000}"/>
    <cellStyle name="Normal 3 3 12 3 2 12 2" xfId="28828" xr:uid="{00000000-0005-0000-0000-000083490000}"/>
    <cellStyle name="Normal 3 3 12 3 2 13" xfId="11298" xr:uid="{00000000-0005-0000-0000-000084490000}"/>
    <cellStyle name="Normal 3 3 12 3 2 13 2" xfId="28829" xr:uid="{00000000-0005-0000-0000-000085490000}"/>
    <cellStyle name="Normal 3 3 12 3 2 14" xfId="11299" xr:uid="{00000000-0005-0000-0000-000086490000}"/>
    <cellStyle name="Normal 3 3 12 3 2 14 2" xfId="28830" xr:uid="{00000000-0005-0000-0000-000087490000}"/>
    <cellStyle name="Normal 3 3 12 3 2 15" xfId="28825" xr:uid="{00000000-0005-0000-0000-000088490000}"/>
    <cellStyle name="Normal 3 3 12 3 2 2" xfId="11300" xr:uid="{00000000-0005-0000-0000-000089490000}"/>
    <cellStyle name="Normal 3 3 12 3 2 2 2" xfId="28831" xr:uid="{00000000-0005-0000-0000-00008A490000}"/>
    <cellStyle name="Normal 3 3 12 3 2 3" xfId="11301" xr:uid="{00000000-0005-0000-0000-00008B490000}"/>
    <cellStyle name="Normal 3 3 12 3 2 3 2" xfId="28832" xr:uid="{00000000-0005-0000-0000-00008C490000}"/>
    <cellStyle name="Normal 3 3 12 3 2 4" xfId="11302" xr:uid="{00000000-0005-0000-0000-00008D490000}"/>
    <cellStyle name="Normal 3 3 12 3 2 4 2" xfId="28833" xr:uid="{00000000-0005-0000-0000-00008E490000}"/>
    <cellStyle name="Normal 3 3 12 3 2 5" xfId="11303" xr:uid="{00000000-0005-0000-0000-00008F490000}"/>
    <cellStyle name="Normal 3 3 12 3 2 5 2" xfId="28834" xr:uid="{00000000-0005-0000-0000-000090490000}"/>
    <cellStyle name="Normal 3 3 12 3 2 6" xfId="11304" xr:uid="{00000000-0005-0000-0000-000091490000}"/>
    <cellStyle name="Normal 3 3 12 3 2 6 2" xfId="28835" xr:uid="{00000000-0005-0000-0000-000092490000}"/>
    <cellStyle name="Normal 3 3 12 3 2 7" xfId="11305" xr:uid="{00000000-0005-0000-0000-000093490000}"/>
    <cellStyle name="Normal 3 3 12 3 2 7 2" xfId="28836" xr:uid="{00000000-0005-0000-0000-000094490000}"/>
    <cellStyle name="Normal 3 3 12 3 2 8" xfId="11306" xr:uid="{00000000-0005-0000-0000-000095490000}"/>
    <cellStyle name="Normal 3 3 12 3 2 8 2" xfId="28837" xr:uid="{00000000-0005-0000-0000-000096490000}"/>
    <cellStyle name="Normal 3 3 12 3 2 9" xfId="11307" xr:uid="{00000000-0005-0000-0000-000097490000}"/>
    <cellStyle name="Normal 3 3 12 3 2 9 2" xfId="28838" xr:uid="{00000000-0005-0000-0000-000098490000}"/>
    <cellStyle name="Normal 3 3 12 3 3" xfId="11308" xr:uid="{00000000-0005-0000-0000-000099490000}"/>
    <cellStyle name="Normal 3 3 12 3 3 2" xfId="28839" xr:uid="{00000000-0005-0000-0000-00009A490000}"/>
    <cellStyle name="Normal 3 3 12 3 4" xfId="11309" xr:uid="{00000000-0005-0000-0000-00009B490000}"/>
    <cellStyle name="Normal 3 3 12 3 4 2" xfId="28840" xr:uid="{00000000-0005-0000-0000-00009C490000}"/>
    <cellStyle name="Normal 3 3 12 3 5" xfId="11310" xr:uid="{00000000-0005-0000-0000-00009D490000}"/>
    <cellStyle name="Normal 3 3 12 3 5 2" xfId="28841" xr:uid="{00000000-0005-0000-0000-00009E490000}"/>
    <cellStyle name="Normal 3 3 12 3 6" xfId="11311" xr:uid="{00000000-0005-0000-0000-00009F490000}"/>
    <cellStyle name="Normal 3 3 12 3 6 2" xfId="28842" xr:uid="{00000000-0005-0000-0000-0000A0490000}"/>
    <cellStyle name="Normal 3 3 12 3 7" xfId="11312" xr:uid="{00000000-0005-0000-0000-0000A1490000}"/>
    <cellStyle name="Normal 3 3 12 3 7 2" xfId="28843" xr:uid="{00000000-0005-0000-0000-0000A2490000}"/>
    <cellStyle name="Normal 3 3 12 3 8" xfId="11313" xr:uid="{00000000-0005-0000-0000-0000A3490000}"/>
    <cellStyle name="Normal 3 3 12 3 8 2" xfId="28844" xr:uid="{00000000-0005-0000-0000-0000A4490000}"/>
    <cellStyle name="Normal 3 3 12 3 9" xfId="11314" xr:uid="{00000000-0005-0000-0000-0000A5490000}"/>
    <cellStyle name="Normal 3 3 12 3 9 2" xfId="28845" xr:uid="{00000000-0005-0000-0000-0000A6490000}"/>
    <cellStyle name="Normal 3 3 12 4" xfId="11315" xr:uid="{00000000-0005-0000-0000-0000A7490000}"/>
    <cellStyle name="Normal 3 3 12 4 10" xfId="11316" xr:uid="{00000000-0005-0000-0000-0000A8490000}"/>
    <cellStyle name="Normal 3 3 12 4 10 2" xfId="28847" xr:uid="{00000000-0005-0000-0000-0000A9490000}"/>
    <cellStyle name="Normal 3 3 12 4 11" xfId="11317" xr:uid="{00000000-0005-0000-0000-0000AA490000}"/>
    <cellStyle name="Normal 3 3 12 4 11 2" xfId="28848" xr:uid="{00000000-0005-0000-0000-0000AB490000}"/>
    <cellStyle name="Normal 3 3 12 4 12" xfId="11318" xr:uid="{00000000-0005-0000-0000-0000AC490000}"/>
    <cellStyle name="Normal 3 3 12 4 12 2" xfId="28849" xr:uid="{00000000-0005-0000-0000-0000AD490000}"/>
    <cellStyle name="Normal 3 3 12 4 13" xfId="11319" xr:uid="{00000000-0005-0000-0000-0000AE490000}"/>
    <cellStyle name="Normal 3 3 12 4 13 2" xfId="28850" xr:uid="{00000000-0005-0000-0000-0000AF490000}"/>
    <cellStyle name="Normal 3 3 12 4 14" xfId="11320" xr:uid="{00000000-0005-0000-0000-0000B0490000}"/>
    <cellStyle name="Normal 3 3 12 4 14 2" xfId="28851" xr:uid="{00000000-0005-0000-0000-0000B1490000}"/>
    <cellStyle name="Normal 3 3 12 4 15" xfId="11321" xr:uid="{00000000-0005-0000-0000-0000B2490000}"/>
    <cellStyle name="Normal 3 3 12 4 15 2" xfId="28852" xr:uid="{00000000-0005-0000-0000-0000B3490000}"/>
    <cellStyle name="Normal 3 3 12 4 16" xfId="28846" xr:uid="{00000000-0005-0000-0000-0000B4490000}"/>
    <cellStyle name="Normal 3 3 12 4 2" xfId="11322" xr:uid="{00000000-0005-0000-0000-0000B5490000}"/>
    <cellStyle name="Normal 3 3 12 4 2 10" xfId="11323" xr:uid="{00000000-0005-0000-0000-0000B6490000}"/>
    <cellStyle name="Normal 3 3 12 4 2 10 2" xfId="28854" xr:uid="{00000000-0005-0000-0000-0000B7490000}"/>
    <cellStyle name="Normal 3 3 12 4 2 11" xfId="11324" xr:uid="{00000000-0005-0000-0000-0000B8490000}"/>
    <cellStyle name="Normal 3 3 12 4 2 11 2" xfId="28855" xr:uid="{00000000-0005-0000-0000-0000B9490000}"/>
    <cellStyle name="Normal 3 3 12 4 2 12" xfId="11325" xr:uid="{00000000-0005-0000-0000-0000BA490000}"/>
    <cellStyle name="Normal 3 3 12 4 2 12 2" xfId="28856" xr:uid="{00000000-0005-0000-0000-0000BB490000}"/>
    <cellStyle name="Normal 3 3 12 4 2 13" xfId="11326" xr:uid="{00000000-0005-0000-0000-0000BC490000}"/>
    <cellStyle name="Normal 3 3 12 4 2 13 2" xfId="28857" xr:uid="{00000000-0005-0000-0000-0000BD490000}"/>
    <cellStyle name="Normal 3 3 12 4 2 14" xfId="11327" xr:uid="{00000000-0005-0000-0000-0000BE490000}"/>
    <cellStyle name="Normal 3 3 12 4 2 14 2" xfId="28858" xr:uid="{00000000-0005-0000-0000-0000BF490000}"/>
    <cellStyle name="Normal 3 3 12 4 2 15" xfId="28853" xr:uid="{00000000-0005-0000-0000-0000C0490000}"/>
    <cellStyle name="Normal 3 3 12 4 2 2" xfId="11328" xr:uid="{00000000-0005-0000-0000-0000C1490000}"/>
    <cellStyle name="Normal 3 3 12 4 2 2 2" xfId="28859" xr:uid="{00000000-0005-0000-0000-0000C2490000}"/>
    <cellStyle name="Normal 3 3 12 4 2 3" xfId="11329" xr:uid="{00000000-0005-0000-0000-0000C3490000}"/>
    <cellStyle name="Normal 3 3 12 4 2 3 2" xfId="28860" xr:uid="{00000000-0005-0000-0000-0000C4490000}"/>
    <cellStyle name="Normal 3 3 12 4 2 4" xfId="11330" xr:uid="{00000000-0005-0000-0000-0000C5490000}"/>
    <cellStyle name="Normal 3 3 12 4 2 4 2" xfId="28861" xr:uid="{00000000-0005-0000-0000-0000C6490000}"/>
    <cellStyle name="Normal 3 3 12 4 2 5" xfId="11331" xr:uid="{00000000-0005-0000-0000-0000C7490000}"/>
    <cellStyle name="Normal 3 3 12 4 2 5 2" xfId="28862" xr:uid="{00000000-0005-0000-0000-0000C8490000}"/>
    <cellStyle name="Normal 3 3 12 4 2 6" xfId="11332" xr:uid="{00000000-0005-0000-0000-0000C9490000}"/>
    <cellStyle name="Normal 3 3 12 4 2 6 2" xfId="28863" xr:uid="{00000000-0005-0000-0000-0000CA490000}"/>
    <cellStyle name="Normal 3 3 12 4 2 7" xfId="11333" xr:uid="{00000000-0005-0000-0000-0000CB490000}"/>
    <cellStyle name="Normal 3 3 12 4 2 7 2" xfId="28864" xr:uid="{00000000-0005-0000-0000-0000CC490000}"/>
    <cellStyle name="Normal 3 3 12 4 2 8" xfId="11334" xr:uid="{00000000-0005-0000-0000-0000CD490000}"/>
    <cellStyle name="Normal 3 3 12 4 2 8 2" xfId="28865" xr:uid="{00000000-0005-0000-0000-0000CE490000}"/>
    <cellStyle name="Normal 3 3 12 4 2 9" xfId="11335" xr:uid="{00000000-0005-0000-0000-0000CF490000}"/>
    <cellStyle name="Normal 3 3 12 4 2 9 2" xfId="28866" xr:uid="{00000000-0005-0000-0000-0000D0490000}"/>
    <cellStyle name="Normal 3 3 12 4 3" xfId="11336" xr:uid="{00000000-0005-0000-0000-0000D1490000}"/>
    <cellStyle name="Normal 3 3 12 4 3 2" xfId="28867" xr:uid="{00000000-0005-0000-0000-0000D2490000}"/>
    <cellStyle name="Normal 3 3 12 4 4" xfId="11337" xr:uid="{00000000-0005-0000-0000-0000D3490000}"/>
    <cellStyle name="Normal 3 3 12 4 4 2" xfId="28868" xr:uid="{00000000-0005-0000-0000-0000D4490000}"/>
    <cellStyle name="Normal 3 3 12 4 5" xfId="11338" xr:uid="{00000000-0005-0000-0000-0000D5490000}"/>
    <cellStyle name="Normal 3 3 12 4 5 2" xfId="28869" xr:uid="{00000000-0005-0000-0000-0000D6490000}"/>
    <cellStyle name="Normal 3 3 12 4 6" xfId="11339" xr:uid="{00000000-0005-0000-0000-0000D7490000}"/>
    <cellStyle name="Normal 3 3 12 4 6 2" xfId="28870" xr:uid="{00000000-0005-0000-0000-0000D8490000}"/>
    <cellStyle name="Normal 3 3 12 4 7" xfId="11340" xr:uid="{00000000-0005-0000-0000-0000D9490000}"/>
    <cellStyle name="Normal 3 3 12 4 7 2" xfId="28871" xr:uid="{00000000-0005-0000-0000-0000DA490000}"/>
    <cellStyle name="Normal 3 3 12 4 8" xfId="11341" xr:uid="{00000000-0005-0000-0000-0000DB490000}"/>
    <cellStyle name="Normal 3 3 12 4 8 2" xfId="28872" xr:uid="{00000000-0005-0000-0000-0000DC490000}"/>
    <cellStyle name="Normal 3 3 12 4 9" xfId="11342" xr:uid="{00000000-0005-0000-0000-0000DD490000}"/>
    <cellStyle name="Normal 3 3 12 4 9 2" xfId="28873" xr:uid="{00000000-0005-0000-0000-0000DE490000}"/>
    <cellStyle name="Normal 3 3 12 5" xfId="11343" xr:uid="{00000000-0005-0000-0000-0000DF490000}"/>
    <cellStyle name="Normal 3 3 12 5 10" xfId="11344" xr:uid="{00000000-0005-0000-0000-0000E0490000}"/>
    <cellStyle name="Normal 3 3 12 5 10 2" xfId="28875" xr:uid="{00000000-0005-0000-0000-0000E1490000}"/>
    <cellStyle name="Normal 3 3 12 5 11" xfId="11345" xr:uid="{00000000-0005-0000-0000-0000E2490000}"/>
    <cellStyle name="Normal 3 3 12 5 11 2" xfId="28876" xr:uid="{00000000-0005-0000-0000-0000E3490000}"/>
    <cellStyle name="Normal 3 3 12 5 12" xfId="11346" xr:uid="{00000000-0005-0000-0000-0000E4490000}"/>
    <cellStyle name="Normal 3 3 12 5 12 2" xfId="28877" xr:uid="{00000000-0005-0000-0000-0000E5490000}"/>
    <cellStyle name="Normal 3 3 12 5 13" xfId="11347" xr:uid="{00000000-0005-0000-0000-0000E6490000}"/>
    <cellStyle name="Normal 3 3 12 5 13 2" xfId="28878" xr:uid="{00000000-0005-0000-0000-0000E7490000}"/>
    <cellStyle name="Normal 3 3 12 5 14" xfId="11348" xr:uid="{00000000-0005-0000-0000-0000E8490000}"/>
    <cellStyle name="Normal 3 3 12 5 14 2" xfId="28879" xr:uid="{00000000-0005-0000-0000-0000E9490000}"/>
    <cellStyle name="Normal 3 3 12 5 15" xfId="28874" xr:uid="{00000000-0005-0000-0000-0000EA490000}"/>
    <cellStyle name="Normal 3 3 12 5 2" xfId="11349" xr:uid="{00000000-0005-0000-0000-0000EB490000}"/>
    <cellStyle name="Normal 3 3 12 5 2 2" xfId="28880" xr:uid="{00000000-0005-0000-0000-0000EC490000}"/>
    <cellStyle name="Normal 3 3 12 5 3" xfId="11350" xr:uid="{00000000-0005-0000-0000-0000ED490000}"/>
    <cellStyle name="Normal 3 3 12 5 3 2" xfId="28881" xr:uid="{00000000-0005-0000-0000-0000EE490000}"/>
    <cellStyle name="Normal 3 3 12 5 4" xfId="11351" xr:uid="{00000000-0005-0000-0000-0000EF490000}"/>
    <cellStyle name="Normal 3 3 12 5 4 2" xfId="28882" xr:uid="{00000000-0005-0000-0000-0000F0490000}"/>
    <cellStyle name="Normal 3 3 12 5 5" xfId="11352" xr:uid="{00000000-0005-0000-0000-0000F1490000}"/>
    <cellStyle name="Normal 3 3 12 5 5 2" xfId="28883" xr:uid="{00000000-0005-0000-0000-0000F2490000}"/>
    <cellStyle name="Normal 3 3 12 5 6" xfId="11353" xr:uid="{00000000-0005-0000-0000-0000F3490000}"/>
    <cellStyle name="Normal 3 3 12 5 6 2" xfId="28884" xr:uid="{00000000-0005-0000-0000-0000F4490000}"/>
    <cellStyle name="Normal 3 3 12 5 7" xfId="11354" xr:uid="{00000000-0005-0000-0000-0000F5490000}"/>
    <cellStyle name="Normal 3 3 12 5 7 2" xfId="28885" xr:uid="{00000000-0005-0000-0000-0000F6490000}"/>
    <cellStyle name="Normal 3 3 12 5 8" xfId="11355" xr:uid="{00000000-0005-0000-0000-0000F7490000}"/>
    <cellStyle name="Normal 3 3 12 5 8 2" xfId="28886" xr:uid="{00000000-0005-0000-0000-0000F8490000}"/>
    <cellStyle name="Normal 3 3 12 5 9" xfId="11356" xr:uid="{00000000-0005-0000-0000-0000F9490000}"/>
    <cellStyle name="Normal 3 3 12 5 9 2" xfId="28887" xr:uid="{00000000-0005-0000-0000-0000FA490000}"/>
    <cellStyle name="Normal 3 3 12 6" xfId="11357" xr:uid="{00000000-0005-0000-0000-0000FB490000}"/>
    <cellStyle name="Normal 3 3 12 6 10" xfId="11358" xr:uid="{00000000-0005-0000-0000-0000FC490000}"/>
    <cellStyle name="Normal 3 3 12 6 10 2" xfId="28889" xr:uid="{00000000-0005-0000-0000-0000FD490000}"/>
    <cellStyle name="Normal 3 3 12 6 11" xfId="11359" xr:uid="{00000000-0005-0000-0000-0000FE490000}"/>
    <cellStyle name="Normal 3 3 12 6 11 2" xfId="28890" xr:uid="{00000000-0005-0000-0000-0000FF490000}"/>
    <cellStyle name="Normal 3 3 12 6 12" xfId="11360" xr:uid="{00000000-0005-0000-0000-0000004A0000}"/>
    <cellStyle name="Normal 3 3 12 6 12 2" xfId="28891" xr:uid="{00000000-0005-0000-0000-0000014A0000}"/>
    <cellStyle name="Normal 3 3 12 6 13" xfId="11361" xr:uid="{00000000-0005-0000-0000-0000024A0000}"/>
    <cellStyle name="Normal 3 3 12 6 13 2" xfId="28892" xr:uid="{00000000-0005-0000-0000-0000034A0000}"/>
    <cellStyle name="Normal 3 3 12 6 14" xfId="11362" xr:uid="{00000000-0005-0000-0000-0000044A0000}"/>
    <cellStyle name="Normal 3 3 12 6 14 2" xfId="28893" xr:uid="{00000000-0005-0000-0000-0000054A0000}"/>
    <cellStyle name="Normal 3 3 12 6 15" xfId="28888" xr:uid="{00000000-0005-0000-0000-0000064A0000}"/>
    <cellStyle name="Normal 3 3 12 6 2" xfId="11363" xr:uid="{00000000-0005-0000-0000-0000074A0000}"/>
    <cellStyle name="Normal 3 3 12 6 2 2" xfId="28894" xr:uid="{00000000-0005-0000-0000-0000084A0000}"/>
    <cellStyle name="Normal 3 3 12 6 3" xfId="11364" xr:uid="{00000000-0005-0000-0000-0000094A0000}"/>
    <cellStyle name="Normal 3 3 12 6 3 2" xfId="28895" xr:uid="{00000000-0005-0000-0000-00000A4A0000}"/>
    <cellStyle name="Normal 3 3 12 6 4" xfId="11365" xr:uid="{00000000-0005-0000-0000-00000B4A0000}"/>
    <cellStyle name="Normal 3 3 12 6 4 2" xfId="28896" xr:uid="{00000000-0005-0000-0000-00000C4A0000}"/>
    <cellStyle name="Normal 3 3 12 6 5" xfId="11366" xr:uid="{00000000-0005-0000-0000-00000D4A0000}"/>
    <cellStyle name="Normal 3 3 12 6 5 2" xfId="28897" xr:uid="{00000000-0005-0000-0000-00000E4A0000}"/>
    <cellStyle name="Normal 3 3 12 6 6" xfId="11367" xr:uid="{00000000-0005-0000-0000-00000F4A0000}"/>
    <cellStyle name="Normal 3 3 12 6 6 2" xfId="28898" xr:uid="{00000000-0005-0000-0000-0000104A0000}"/>
    <cellStyle name="Normal 3 3 12 6 7" xfId="11368" xr:uid="{00000000-0005-0000-0000-0000114A0000}"/>
    <cellStyle name="Normal 3 3 12 6 7 2" xfId="28899" xr:uid="{00000000-0005-0000-0000-0000124A0000}"/>
    <cellStyle name="Normal 3 3 12 6 8" xfId="11369" xr:uid="{00000000-0005-0000-0000-0000134A0000}"/>
    <cellStyle name="Normal 3 3 12 6 8 2" xfId="28900" xr:uid="{00000000-0005-0000-0000-0000144A0000}"/>
    <cellStyle name="Normal 3 3 12 6 9" xfId="11370" xr:uid="{00000000-0005-0000-0000-0000154A0000}"/>
    <cellStyle name="Normal 3 3 12 6 9 2" xfId="28901" xr:uid="{00000000-0005-0000-0000-0000164A0000}"/>
    <cellStyle name="Normal 3 3 12 7" xfId="11371" xr:uid="{00000000-0005-0000-0000-0000174A0000}"/>
    <cellStyle name="Normal 3 3 12 7 10" xfId="11372" xr:uid="{00000000-0005-0000-0000-0000184A0000}"/>
    <cellStyle name="Normal 3 3 12 7 10 2" xfId="28903" xr:uid="{00000000-0005-0000-0000-0000194A0000}"/>
    <cellStyle name="Normal 3 3 12 7 11" xfId="11373" xr:uid="{00000000-0005-0000-0000-00001A4A0000}"/>
    <cellStyle name="Normal 3 3 12 7 11 2" xfId="28904" xr:uid="{00000000-0005-0000-0000-00001B4A0000}"/>
    <cellStyle name="Normal 3 3 12 7 12" xfId="11374" xr:uid="{00000000-0005-0000-0000-00001C4A0000}"/>
    <cellStyle name="Normal 3 3 12 7 12 2" xfId="28905" xr:uid="{00000000-0005-0000-0000-00001D4A0000}"/>
    <cellStyle name="Normal 3 3 12 7 13" xfId="11375" xr:uid="{00000000-0005-0000-0000-00001E4A0000}"/>
    <cellStyle name="Normal 3 3 12 7 13 2" xfId="28906" xr:uid="{00000000-0005-0000-0000-00001F4A0000}"/>
    <cellStyle name="Normal 3 3 12 7 14" xfId="11376" xr:uid="{00000000-0005-0000-0000-0000204A0000}"/>
    <cellStyle name="Normal 3 3 12 7 14 2" xfId="28907" xr:uid="{00000000-0005-0000-0000-0000214A0000}"/>
    <cellStyle name="Normal 3 3 12 7 15" xfId="28902" xr:uid="{00000000-0005-0000-0000-0000224A0000}"/>
    <cellStyle name="Normal 3 3 12 7 2" xfId="11377" xr:uid="{00000000-0005-0000-0000-0000234A0000}"/>
    <cellStyle name="Normal 3 3 12 7 2 2" xfId="28908" xr:uid="{00000000-0005-0000-0000-0000244A0000}"/>
    <cellStyle name="Normal 3 3 12 7 3" xfId="11378" xr:uid="{00000000-0005-0000-0000-0000254A0000}"/>
    <cellStyle name="Normal 3 3 12 7 3 2" xfId="28909" xr:uid="{00000000-0005-0000-0000-0000264A0000}"/>
    <cellStyle name="Normal 3 3 12 7 4" xfId="11379" xr:uid="{00000000-0005-0000-0000-0000274A0000}"/>
    <cellStyle name="Normal 3 3 12 7 4 2" xfId="28910" xr:uid="{00000000-0005-0000-0000-0000284A0000}"/>
    <cellStyle name="Normal 3 3 12 7 5" xfId="11380" xr:uid="{00000000-0005-0000-0000-0000294A0000}"/>
    <cellStyle name="Normal 3 3 12 7 5 2" xfId="28911" xr:uid="{00000000-0005-0000-0000-00002A4A0000}"/>
    <cellStyle name="Normal 3 3 12 7 6" xfId="11381" xr:uid="{00000000-0005-0000-0000-00002B4A0000}"/>
    <cellStyle name="Normal 3 3 12 7 6 2" xfId="28912" xr:uid="{00000000-0005-0000-0000-00002C4A0000}"/>
    <cellStyle name="Normal 3 3 12 7 7" xfId="11382" xr:uid="{00000000-0005-0000-0000-00002D4A0000}"/>
    <cellStyle name="Normal 3 3 12 7 7 2" xfId="28913" xr:uid="{00000000-0005-0000-0000-00002E4A0000}"/>
    <cellStyle name="Normal 3 3 12 7 8" xfId="11383" xr:uid="{00000000-0005-0000-0000-00002F4A0000}"/>
    <cellStyle name="Normal 3 3 12 7 8 2" xfId="28914" xr:uid="{00000000-0005-0000-0000-0000304A0000}"/>
    <cellStyle name="Normal 3 3 12 7 9" xfId="11384" xr:uid="{00000000-0005-0000-0000-0000314A0000}"/>
    <cellStyle name="Normal 3 3 12 7 9 2" xfId="28915" xr:uid="{00000000-0005-0000-0000-0000324A0000}"/>
    <cellStyle name="Normal 3 3 12 8" xfId="11385" xr:uid="{00000000-0005-0000-0000-0000334A0000}"/>
    <cellStyle name="Normal 3 3 12 8 10" xfId="11386" xr:uid="{00000000-0005-0000-0000-0000344A0000}"/>
    <cellStyle name="Normal 3 3 12 8 10 2" xfId="28917" xr:uid="{00000000-0005-0000-0000-0000354A0000}"/>
    <cellStyle name="Normal 3 3 12 8 11" xfId="11387" xr:uid="{00000000-0005-0000-0000-0000364A0000}"/>
    <cellStyle name="Normal 3 3 12 8 11 2" xfId="28918" xr:uid="{00000000-0005-0000-0000-0000374A0000}"/>
    <cellStyle name="Normal 3 3 12 8 12" xfId="11388" xr:uid="{00000000-0005-0000-0000-0000384A0000}"/>
    <cellStyle name="Normal 3 3 12 8 12 2" xfId="28919" xr:uid="{00000000-0005-0000-0000-0000394A0000}"/>
    <cellStyle name="Normal 3 3 12 8 13" xfId="11389" xr:uid="{00000000-0005-0000-0000-00003A4A0000}"/>
    <cellStyle name="Normal 3 3 12 8 13 2" xfId="28920" xr:uid="{00000000-0005-0000-0000-00003B4A0000}"/>
    <cellStyle name="Normal 3 3 12 8 14" xfId="11390" xr:uid="{00000000-0005-0000-0000-00003C4A0000}"/>
    <cellStyle name="Normal 3 3 12 8 14 2" xfId="28921" xr:uid="{00000000-0005-0000-0000-00003D4A0000}"/>
    <cellStyle name="Normal 3 3 12 8 15" xfId="28916" xr:uid="{00000000-0005-0000-0000-00003E4A0000}"/>
    <cellStyle name="Normal 3 3 12 8 2" xfId="11391" xr:uid="{00000000-0005-0000-0000-00003F4A0000}"/>
    <cellStyle name="Normal 3 3 12 8 2 2" xfId="28922" xr:uid="{00000000-0005-0000-0000-0000404A0000}"/>
    <cellStyle name="Normal 3 3 12 8 3" xfId="11392" xr:uid="{00000000-0005-0000-0000-0000414A0000}"/>
    <cellStyle name="Normal 3 3 12 8 3 2" xfId="28923" xr:uid="{00000000-0005-0000-0000-0000424A0000}"/>
    <cellStyle name="Normal 3 3 12 8 4" xfId="11393" xr:uid="{00000000-0005-0000-0000-0000434A0000}"/>
    <cellStyle name="Normal 3 3 12 8 4 2" xfId="28924" xr:uid="{00000000-0005-0000-0000-0000444A0000}"/>
    <cellStyle name="Normal 3 3 12 8 5" xfId="11394" xr:uid="{00000000-0005-0000-0000-0000454A0000}"/>
    <cellStyle name="Normal 3 3 12 8 5 2" xfId="28925" xr:uid="{00000000-0005-0000-0000-0000464A0000}"/>
    <cellStyle name="Normal 3 3 12 8 6" xfId="11395" xr:uid="{00000000-0005-0000-0000-0000474A0000}"/>
    <cellStyle name="Normal 3 3 12 8 6 2" xfId="28926" xr:uid="{00000000-0005-0000-0000-0000484A0000}"/>
    <cellStyle name="Normal 3 3 12 8 7" xfId="11396" xr:uid="{00000000-0005-0000-0000-0000494A0000}"/>
    <cellStyle name="Normal 3 3 12 8 7 2" xfId="28927" xr:uid="{00000000-0005-0000-0000-00004A4A0000}"/>
    <cellStyle name="Normal 3 3 12 8 8" xfId="11397" xr:uid="{00000000-0005-0000-0000-00004B4A0000}"/>
    <cellStyle name="Normal 3 3 12 8 8 2" xfId="28928" xr:uid="{00000000-0005-0000-0000-00004C4A0000}"/>
    <cellStyle name="Normal 3 3 12 8 9" xfId="11398" xr:uid="{00000000-0005-0000-0000-00004D4A0000}"/>
    <cellStyle name="Normal 3 3 12 8 9 2" xfId="28929" xr:uid="{00000000-0005-0000-0000-00004E4A0000}"/>
    <cellStyle name="Normal 3 3 12 9" xfId="11399" xr:uid="{00000000-0005-0000-0000-00004F4A0000}"/>
    <cellStyle name="Normal 3 3 12 9 10" xfId="11400" xr:uid="{00000000-0005-0000-0000-0000504A0000}"/>
    <cellStyle name="Normal 3 3 12 9 10 2" xfId="28931" xr:uid="{00000000-0005-0000-0000-0000514A0000}"/>
    <cellStyle name="Normal 3 3 12 9 11" xfId="11401" xr:uid="{00000000-0005-0000-0000-0000524A0000}"/>
    <cellStyle name="Normal 3 3 12 9 11 2" xfId="28932" xr:uid="{00000000-0005-0000-0000-0000534A0000}"/>
    <cellStyle name="Normal 3 3 12 9 12" xfId="11402" xr:uid="{00000000-0005-0000-0000-0000544A0000}"/>
    <cellStyle name="Normal 3 3 12 9 12 2" xfId="28933" xr:uid="{00000000-0005-0000-0000-0000554A0000}"/>
    <cellStyle name="Normal 3 3 12 9 13" xfId="11403" xr:uid="{00000000-0005-0000-0000-0000564A0000}"/>
    <cellStyle name="Normal 3 3 12 9 13 2" xfId="28934" xr:uid="{00000000-0005-0000-0000-0000574A0000}"/>
    <cellStyle name="Normal 3 3 12 9 14" xfId="11404" xr:uid="{00000000-0005-0000-0000-0000584A0000}"/>
    <cellStyle name="Normal 3 3 12 9 14 2" xfId="28935" xr:uid="{00000000-0005-0000-0000-0000594A0000}"/>
    <cellStyle name="Normal 3 3 12 9 15" xfId="28930" xr:uid="{00000000-0005-0000-0000-00005A4A0000}"/>
    <cellStyle name="Normal 3 3 12 9 2" xfId="11405" xr:uid="{00000000-0005-0000-0000-00005B4A0000}"/>
    <cellStyle name="Normal 3 3 12 9 2 2" xfId="28936" xr:uid="{00000000-0005-0000-0000-00005C4A0000}"/>
    <cellStyle name="Normal 3 3 12 9 3" xfId="11406" xr:uid="{00000000-0005-0000-0000-00005D4A0000}"/>
    <cellStyle name="Normal 3 3 12 9 3 2" xfId="28937" xr:uid="{00000000-0005-0000-0000-00005E4A0000}"/>
    <cellStyle name="Normal 3 3 12 9 4" xfId="11407" xr:uid="{00000000-0005-0000-0000-00005F4A0000}"/>
    <cellStyle name="Normal 3 3 12 9 4 2" xfId="28938" xr:uid="{00000000-0005-0000-0000-0000604A0000}"/>
    <cellStyle name="Normal 3 3 12 9 5" xfId="11408" xr:uid="{00000000-0005-0000-0000-0000614A0000}"/>
    <cellStyle name="Normal 3 3 12 9 5 2" xfId="28939" xr:uid="{00000000-0005-0000-0000-0000624A0000}"/>
    <cellStyle name="Normal 3 3 12 9 6" xfId="11409" xr:uid="{00000000-0005-0000-0000-0000634A0000}"/>
    <cellStyle name="Normal 3 3 12 9 6 2" xfId="28940" xr:uid="{00000000-0005-0000-0000-0000644A0000}"/>
    <cellStyle name="Normal 3 3 12 9 7" xfId="11410" xr:uid="{00000000-0005-0000-0000-0000654A0000}"/>
    <cellStyle name="Normal 3 3 12 9 7 2" xfId="28941" xr:uid="{00000000-0005-0000-0000-0000664A0000}"/>
    <cellStyle name="Normal 3 3 12 9 8" xfId="11411" xr:uid="{00000000-0005-0000-0000-0000674A0000}"/>
    <cellStyle name="Normal 3 3 12 9 8 2" xfId="28942" xr:uid="{00000000-0005-0000-0000-0000684A0000}"/>
    <cellStyle name="Normal 3 3 12 9 9" xfId="11412" xr:uid="{00000000-0005-0000-0000-0000694A0000}"/>
    <cellStyle name="Normal 3 3 12 9 9 2" xfId="28943" xr:uid="{00000000-0005-0000-0000-00006A4A0000}"/>
    <cellStyle name="Normal 3 3 13" xfId="11413" xr:uid="{00000000-0005-0000-0000-00006B4A0000}"/>
    <cellStyle name="Normal 3 3 13 10" xfId="11414" xr:uid="{00000000-0005-0000-0000-00006C4A0000}"/>
    <cellStyle name="Normal 3 3 13 10 10" xfId="11415" xr:uid="{00000000-0005-0000-0000-00006D4A0000}"/>
    <cellStyle name="Normal 3 3 13 10 10 2" xfId="28946" xr:uid="{00000000-0005-0000-0000-00006E4A0000}"/>
    <cellStyle name="Normal 3 3 13 10 11" xfId="11416" xr:uid="{00000000-0005-0000-0000-00006F4A0000}"/>
    <cellStyle name="Normal 3 3 13 10 11 2" xfId="28947" xr:uid="{00000000-0005-0000-0000-0000704A0000}"/>
    <cellStyle name="Normal 3 3 13 10 12" xfId="11417" xr:uid="{00000000-0005-0000-0000-0000714A0000}"/>
    <cellStyle name="Normal 3 3 13 10 12 2" xfId="28948" xr:uid="{00000000-0005-0000-0000-0000724A0000}"/>
    <cellStyle name="Normal 3 3 13 10 13" xfId="11418" xr:uid="{00000000-0005-0000-0000-0000734A0000}"/>
    <cellStyle name="Normal 3 3 13 10 13 2" xfId="28949" xr:uid="{00000000-0005-0000-0000-0000744A0000}"/>
    <cellStyle name="Normal 3 3 13 10 14" xfId="11419" xr:uid="{00000000-0005-0000-0000-0000754A0000}"/>
    <cellStyle name="Normal 3 3 13 10 14 2" xfId="28950" xr:uid="{00000000-0005-0000-0000-0000764A0000}"/>
    <cellStyle name="Normal 3 3 13 10 15" xfId="28945" xr:uid="{00000000-0005-0000-0000-0000774A0000}"/>
    <cellStyle name="Normal 3 3 13 10 2" xfId="11420" xr:uid="{00000000-0005-0000-0000-0000784A0000}"/>
    <cellStyle name="Normal 3 3 13 10 2 2" xfId="28951" xr:uid="{00000000-0005-0000-0000-0000794A0000}"/>
    <cellStyle name="Normal 3 3 13 10 3" xfId="11421" xr:uid="{00000000-0005-0000-0000-00007A4A0000}"/>
    <cellStyle name="Normal 3 3 13 10 3 2" xfId="28952" xr:uid="{00000000-0005-0000-0000-00007B4A0000}"/>
    <cellStyle name="Normal 3 3 13 10 4" xfId="11422" xr:uid="{00000000-0005-0000-0000-00007C4A0000}"/>
    <cellStyle name="Normal 3 3 13 10 4 2" xfId="28953" xr:uid="{00000000-0005-0000-0000-00007D4A0000}"/>
    <cellStyle name="Normal 3 3 13 10 5" xfId="11423" xr:uid="{00000000-0005-0000-0000-00007E4A0000}"/>
    <cellStyle name="Normal 3 3 13 10 5 2" xfId="28954" xr:uid="{00000000-0005-0000-0000-00007F4A0000}"/>
    <cellStyle name="Normal 3 3 13 10 6" xfId="11424" xr:uid="{00000000-0005-0000-0000-0000804A0000}"/>
    <cellStyle name="Normal 3 3 13 10 6 2" xfId="28955" xr:uid="{00000000-0005-0000-0000-0000814A0000}"/>
    <cellStyle name="Normal 3 3 13 10 7" xfId="11425" xr:uid="{00000000-0005-0000-0000-0000824A0000}"/>
    <cellStyle name="Normal 3 3 13 10 7 2" xfId="28956" xr:uid="{00000000-0005-0000-0000-0000834A0000}"/>
    <cellStyle name="Normal 3 3 13 10 8" xfId="11426" xr:uid="{00000000-0005-0000-0000-0000844A0000}"/>
    <cellStyle name="Normal 3 3 13 10 8 2" xfId="28957" xr:uid="{00000000-0005-0000-0000-0000854A0000}"/>
    <cellStyle name="Normal 3 3 13 10 9" xfId="11427" xr:uid="{00000000-0005-0000-0000-0000864A0000}"/>
    <cellStyle name="Normal 3 3 13 10 9 2" xfId="28958" xr:uid="{00000000-0005-0000-0000-0000874A0000}"/>
    <cellStyle name="Normal 3 3 13 11" xfId="11428" xr:uid="{00000000-0005-0000-0000-0000884A0000}"/>
    <cellStyle name="Normal 3 3 13 11 2" xfId="28959" xr:uid="{00000000-0005-0000-0000-0000894A0000}"/>
    <cellStyle name="Normal 3 3 13 12" xfId="11429" xr:uid="{00000000-0005-0000-0000-00008A4A0000}"/>
    <cellStyle name="Normal 3 3 13 12 2" xfId="28960" xr:uid="{00000000-0005-0000-0000-00008B4A0000}"/>
    <cellStyle name="Normal 3 3 13 13" xfId="11430" xr:uid="{00000000-0005-0000-0000-00008C4A0000}"/>
    <cellStyle name="Normal 3 3 13 13 2" xfId="28961" xr:uid="{00000000-0005-0000-0000-00008D4A0000}"/>
    <cellStyle name="Normal 3 3 13 14" xfId="11431" xr:uid="{00000000-0005-0000-0000-00008E4A0000}"/>
    <cellStyle name="Normal 3 3 13 14 2" xfId="28962" xr:uid="{00000000-0005-0000-0000-00008F4A0000}"/>
    <cellStyle name="Normal 3 3 13 15" xfId="11432" xr:uid="{00000000-0005-0000-0000-0000904A0000}"/>
    <cellStyle name="Normal 3 3 13 15 2" xfId="28963" xr:uid="{00000000-0005-0000-0000-0000914A0000}"/>
    <cellStyle name="Normal 3 3 13 16" xfId="11433" xr:uid="{00000000-0005-0000-0000-0000924A0000}"/>
    <cellStyle name="Normal 3 3 13 16 2" xfId="28964" xr:uid="{00000000-0005-0000-0000-0000934A0000}"/>
    <cellStyle name="Normal 3 3 13 17" xfId="11434" xr:uid="{00000000-0005-0000-0000-0000944A0000}"/>
    <cellStyle name="Normal 3 3 13 17 2" xfId="28965" xr:uid="{00000000-0005-0000-0000-0000954A0000}"/>
    <cellStyle name="Normal 3 3 13 18" xfId="11435" xr:uid="{00000000-0005-0000-0000-0000964A0000}"/>
    <cellStyle name="Normal 3 3 13 18 2" xfId="28966" xr:uid="{00000000-0005-0000-0000-0000974A0000}"/>
    <cellStyle name="Normal 3 3 13 19" xfId="11436" xr:uid="{00000000-0005-0000-0000-0000984A0000}"/>
    <cellStyle name="Normal 3 3 13 19 2" xfId="28967" xr:uid="{00000000-0005-0000-0000-0000994A0000}"/>
    <cellStyle name="Normal 3 3 13 2" xfId="11437" xr:uid="{00000000-0005-0000-0000-00009A4A0000}"/>
    <cellStyle name="Normal 3 3 13 2 10" xfId="11438" xr:uid="{00000000-0005-0000-0000-00009B4A0000}"/>
    <cellStyle name="Normal 3 3 13 2 10 2" xfId="28969" xr:uid="{00000000-0005-0000-0000-00009C4A0000}"/>
    <cellStyle name="Normal 3 3 13 2 11" xfId="11439" xr:uid="{00000000-0005-0000-0000-00009D4A0000}"/>
    <cellStyle name="Normal 3 3 13 2 11 2" xfId="28970" xr:uid="{00000000-0005-0000-0000-00009E4A0000}"/>
    <cellStyle name="Normal 3 3 13 2 12" xfId="11440" xr:uid="{00000000-0005-0000-0000-00009F4A0000}"/>
    <cellStyle name="Normal 3 3 13 2 12 2" xfId="28971" xr:uid="{00000000-0005-0000-0000-0000A04A0000}"/>
    <cellStyle name="Normal 3 3 13 2 13" xfId="11441" xr:uid="{00000000-0005-0000-0000-0000A14A0000}"/>
    <cellStyle name="Normal 3 3 13 2 13 2" xfId="28972" xr:uid="{00000000-0005-0000-0000-0000A24A0000}"/>
    <cellStyle name="Normal 3 3 13 2 14" xfId="11442" xr:uid="{00000000-0005-0000-0000-0000A34A0000}"/>
    <cellStyle name="Normal 3 3 13 2 14 2" xfId="28973" xr:uid="{00000000-0005-0000-0000-0000A44A0000}"/>
    <cellStyle name="Normal 3 3 13 2 15" xfId="11443" xr:uid="{00000000-0005-0000-0000-0000A54A0000}"/>
    <cellStyle name="Normal 3 3 13 2 15 2" xfId="28974" xr:uid="{00000000-0005-0000-0000-0000A64A0000}"/>
    <cellStyle name="Normal 3 3 13 2 16" xfId="28968" xr:uid="{00000000-0005-0000-0000-0000A74A0000}"/>
    <cellStyle name="Normal 3 3 13 2 2" xfId="11444" xr:uid="{00000000-0005-0000-0000-0000A84A0000}"/>
    <cellStyle name="Normal 3 3 13 2 2 10" xfId="11445" xr:uid="{00000000-0005-0000-0000-0000A94A0000}"/>
    <cellStyle name="Normal 3 3 13 2 2 10 2" xfId="28976" xr:uid="{00000000-0005-0000-0000-0000AA4A0000}"/>
    <cellStyle name="Normal 3 3 13 2 2 11" xfId="11446" xr:uid="{00000000-0005-0000-0000-0000AB4A0000}"/>
    <cellStyle name="Normal 3 3 13 2 2 11 2" xfId="28977" xr:uid="{00000000-0005-0000-0000-0000AC4A0000}"/>
    <cellStyle name="Normal 3 3 13 2 2 12" xfId="11447" xr:uid="{00000000-0005-0000-0000-0000AD4A0000}"/>
    <cellStyle name="Normal 3 3 13 2 2 12 2" xfId="28978" xr:uid="{00000000-0005-0000-0000-0000AE4A0000}"/>
    <cellStyle name="Normal 3 3 13 2 2 13" xfId="11448" xr:uid="{00000000-0005-0000-0000-0000AF4A0000}"/>
    <cellStyle name="Normal 3 3 13 2 2 13 2" xfId="28979" xr:uid="{00000000-0005-0000-0000-0000B04A0000}"/>
    <cellStyle name="Normal 3 3 13 2 2 14" xfId="11449" xr:uid="{00000000-0005-0000-0000-0000B14A0000}"/>
    <cellStyle name="Normal 3 3 13 2 2 14 2" xfId="28980" xr:uid="{00000000-0005-0000-0000-0000B24A0000}"/>
    <cellStyle name="Normal 3 3 13 2 2 15" xfId="28975" xr:uid="{00000000-0005-0000-0000-0000B34A0000}"/>
    <cellStyle name="Normal 3 3 13 2 2 2" xfId="11450" xr:uid="{00000000-0005-0000-0000-0000B44A0000}"/>
    <cellStyle name="Normal 3 3 13 2 2 2 2" xfId="28981" xr:uid="{00000000-0005-0000-0000-0000B54A0000}"/>
    <cellStyle name="Normal 3 3 13 2 2 3" xfId="11451" xr:uid="{00000000-0005-0000-0000-0000B64A0000}"/>
    <cellStyle name="Normal 3 3 13 2 2 3 2" xfId="28982" xr:uid="{00000000-0005-0000-0000-0000B74A0000}"/>
    <cellStyle name="Normal 3 3 13 2 2 4" xfId="11452" xr:uid="{00000000-0005-0000-0000-0000B84A0000}"/>
    <cellStyle name="Normal 3 3 13 2 2 4 2" xfId="28983" xr:uid="{00000000-0005-0000-0000-0000B94A0000}"/>
    <cellStyle name="Normal 3 3 13 2 2 5" xfId="11453" xr:uid="{00000000-0005-0000-0000-0000BA4A0000}"/>
    <cellStyle name="Normal 3 3 13 2 2 5 2" xfId="28984" xr:uid="{00000000-0005-0000-0000-0000BB4A0000}"/>
    <cellStyle name="Normal 3 3 13 2 2 6" xfId="11454" xr:uid="{00000000-0005-0000-0000-0000BC4A0000}"/>
    <cellStyle name="Normal 3 3 13 2 2 6 2" xfId="28985" xr:uid="{00000000-0005-0000-0000-0000BD4A0000}"/>
    <cellStyle name="Normal 3 3 13 2 2 7" xfId="11455" xr:uid="{00000000-0005-0000-0000-0000BE4A0000}"/>
    <cellStyle name="Normal 3 3 13 2 2 7 2" xfId="28986" xr:uid="{00000000-0005-0000-0000-0000BF4A0000}"/>
    <cellStyle name="Normal 3 3 13 2 2 8" xfId="11456" xr:uid="{00000000-0005-0000-0000-0000C04A0000}"/>
    <cellStyle name="Normal 3 3 13 2 2 8 2" xfId="28987" xr:uid="{00000000-0005-0000-0000-0000C14A0000}"/>
    <cellStyle name="Normal 3 3 13 2 2 9" xfId="11457" xr:uid="{00000000-0005-0000-0000-0000C24A0000}"/>
    <cellStyle name="Normal 3 3 13 2 2 9 2" xfId="28988" xr:uid="{00000000-0005-0000-0000-0000C34A0000}"/>
    <cellStyle name="Normal 3 3 13 2 3" xfId="11458" xr:uid="{00000000-0005-0000-0000-0000C44A0000}"/>
    <cellStyle name="Normal 3 3 13 2 3 2" xfId="28989" xr:uid="{00000000-0005-0000-0000-0000C54A0000}"/>
    <cellStyle name="Normal 3 3 13 2 4" xfId="11459" xr:uid="{00000000-0005-0000-0000-0000C64A0000}"/>
    <cellStyle name="Normal 3 3 13 2 4 2" xfId="28990" xr:uid="{00000000-0005-0000-0000-0000C74A0000}"/>
    <cellStyle name="Normal 3 3 13 2 5" xfId="11460" xr:uid="{00000000-0005-0000-0000-0000C84A0000}"/>
    <cellStyle name="Normal 3 3 13 2 5 2" xfId="28991" xr:uid="{00000000-0005-0000-0000-0000C94A0000}"/>
    <cellStyle name="Normal 3 3 13 2 6" xfId="11461" xr:uid="{00000000-0005-0000-0000-0000CA4A0000}"/>
    <cellStyle name="Normal 3 3 13 2 6 2" xfId="28992" xr:uid="{00000000-0005-0000-0000-0000CB4A0000}"/>
    <cellStyle name="Normal 3 3 13 2 7" xfId="11462" xr:uid="{00000000-0005-0000-0000-0000CC4A0000}"/>
    <cellStyle name="Normal 3 3 13 2 7 2" xfId="28993" xr:uid="{00000000-0005-0000-0000-0000CD4A0000}"/>
    <cellStyle name="Normal 3 3 13 2 8" xfId="11463" xr:uid="{00000000-0005-0000-0000-0000CE4A0000}"/>
    <cellStyle name="Normal 3 3 13 2 8 2" xfId="28994" xr:uid="{00000000-0005-0000-0000-0000CF4A0000}"/>
    <cellStyle name="Normal 3 3 13 2 9" xfId="11464" xr:uid="{00000000-0005-0000-0000-0000D04A0000}"/>
    <cellStyle name="Normal 3 3 13 2 9 2" xfId="28995" xr:uid="{00000000-0005-0000-0000-0000D14A0000}"/>
    <cellStyle name="Normal 3 3 13 20" xfId="11465" xr:uid="{00000000-0005-0000-0000-0000D24A0000}"/>
    <cellStyle name="Normal 3 3 13 20 2" xfId="28996" xr:uid="{00000000-0005-0000-0000-0000D34A0000}"/>
    <cellStyle name="Normal 3 3 13 21" xfId="11466" xr:uid="{00000000-0005-0000-0000-0000D44A0000}"/>
    <cellStyle name="Normal 3 3 13 21 2" xfId="28997" xr:uid="{00000000-0005-0000-0000-0000D54A0000}"/>
    <cellStyle name="Normal 3 3 13 22" xfId="11467" xr:uid="{00000000-0005-0000-0000-0000D64A0000}"/>
    <cellStyle name="Normal 3 3 13 22 2" xfId="28998" xr:uid="{00000000-0005-0000-0000-0000D74A0000}"/>
    <cellStyle name="Normal 3 3 13 23" xfId="11468" xr:uid="{00000000-0005-0000-0000-0000D84A0000}"/>
    <cellStyle name="Normal 3 3 13 23 2" xfId="28999" xr:uid="{00000000-0005-0000-0000-0000D94A0000}"/>
    <cellStyle name="Normal 3 3 13 24" xfId="28944" xr:uid="{00000000-0005-0000-0000-0000DA4A0000}"/>
    <cellStyle name="Normal 3 3 13 3" xfId="11469" xr:uid="{00000000-0005-0000-0000-0000DB4A0000}"/>
    <cellStyle name="Normal 3 3 13 3 10" xfId="11470" xr:uid="{00000000-0005-0000-0000-0000DC4A0000}"/>
    <cellStyle name="Normal 3 3 13 3 10 2" xfId="29001" xr:uid="{00000000-0005-0000-0000-0000DD4A0000}"/>
    <cellStyle name="Normal 3 3 13 3 11" xfId="11471" xr:uid="{00000000-0005-0000-0000-0000DE4A0000}"/>
    <cellStyle name="Normal 3 3 13 3 11 2" xfId="29002" xr:uid="{00000000-0005-0000-0000-0000DF4A0000}"/>
    <cellStyle name="Normal 3 3 13 3 12" xfId="11472" xr:uid="{00000000-0005-0000-0000-0000E04A0000}"/>
    <cellStyle name="Normal 3 3 13 3 12 2" xfId="29003" xr:uid="{00000000-0005-0000-0000-0000E14A0000}"/>
    <cellStyle name="Normal 3 3 13 3 13" xfId="11473" xr:uid="{00000000-0005-0000-0000-0000E24A0000}"/>
    <cellStyle name="Normal 3 3 13 3 13 2" xfId="29004" xr:uid="{00000000-0005-0000-0000-0000E34A0000}"/>
    <cellStyle name="Normal 3 3 13 3 14" xfId="11474" xr:uid="{00000000-0005-0000-0000-0000E44A0000}"/>
    <cellStyle name="Normal 3 3 13 3 14 2" xfId="29005" xr:uid="{00000000-0005-0000-0000-0000E54A0000}"/>
    <cellStyle name="Normal 3 3 13 3 15" xfId="11475" xr:uid="{00000000-0005-0000-0000-0000E64A0000}"/>
    <cellStyle name="Normal 3 3 13 3 15 2" xfId="29006" xr:uid="{00000000-0005-0000-0000-0000E74A0000}"/>
    <cellStyle name="Normal 3 3 13 3 16" xfId="29000" xr:uid="{00000000-0005-0000-0000-0000E84A0000}"/>
    <cellStyle name="Normal 3 3 13 3 2" xfId="11476" xr:uid="{00000000-0005-0000-0000-0000E94A0000}"/>
    <cellStyle name="Normal 3 3 13 3 2 10" xfId="11477" xr:uid="{00000000-0005-0000-0000-0000EA4A0000}"/>
    <cellStyle name="Normal 3 3 13 3 2 10 2" xfId="29008" xr:uid="{00000000-0005-0000-0000-0000EB4A0000}"/>
    <cellStyle name="Normal 3 3 13 3 2 11" xfId="11478" xr:uid="{00000000-0005-0000-0000-0000EC4A0000}"/>
    <cellStyle name="Normal 3 3 13 3 2 11 2" xfId="29009" xr:uid="{00000000-0005-0000-0000-0000ED4A0000}"/>
    <cellStyle name="Normal 3 3 13 3 2 12" xfId="11479" xr:uid="{00000000-0005-0000-0000-0000EE4A0000}"/>
    <cellStyle name="Normal 3 3 13 3 2 12 2" xfId="29010" xr:uid="{00000000-0005-0000-0000-0000EF4A0000}"/>
    <cellStyle name="Normal 3 3 13 3 2 13" xfId="11480" xr:uid="{00000000-0005-0000-0000-0000F04A0000}"/>
    <cellStyle name="Normal 3 3 13 3 2 13 2" xfId="29011" xr:uid="{00000000-0005-0000-0000-0000F14A0000}"/>
    <cellStyle name="Normal 3 3 13 3 2 14" xfId="11481" xr:uid="{00000000-0005-0000-0000-0000F24A0000}"/>
    <cellStyle name="Normal 3 3 13 3 2 14 2" xfId="29012" xr:uid="{00000000-0005-0000-0000-0000F34A0000}"/>
    <cellStyle name="Normal 3 3 13 3 2 15" xfId="29007" xr:uid="{00000000-0005-0000-0000-0000F44A0000}"/>
    <cellStyle name="Normal 3 3 13 3 2 2" xfId="11482" xr:uid="{00000000-0005-0000-0000-0000F54A0000}"/>
    <cellStyle name="Normal 3 3 13 3 2 2 2" xfId="29013" xr:uid="{00000000-0005-0000-0000-0000F64A0000}"/>
    <cellStyle name="Normal 3 3 13 3 2 3" xfId="11483" xr:uid="{00000000-0005-0000-0000-0000F74A0000}"/>
    <cellStyle name="Normal 3 3 13 3 2 3 2" xfId="29014" xr:uid="{00000000-0005-0000-0000-0000F84A0000}"/>
    <cellStyle name="Normal 3 3 13 3 2 4" xfId="11484" xr:uid="{00000000-0005-0000-0000-0000F94A0000}"/>
    <cellStyle name="Normal 3 3 13 3 2 4 2" xfId="29015" xr:uid="{00000000-0005-0000-0000-0000FA4A0000}"/>
    <cellStyle name="Normal 3 3 13 3 2 5" xfId="11485" xr:uid="{00000000-0005-0000-0000-0000FB4A0000}"/>
    <cellStyle name="Normal 3 3 13 3 2 5 2" xfId="29016" xr:uid="{00000000-0005-0000-0000-0000FC4A0000}"/>
    <cellStyle name="Normal 3 3 13 3 2 6" xfId="11486" xr:uid="{00000000-0005-0000-0000-0000FD4A0000}"/>
    <cellStyle name="Normal 3 3 13 3 2 6 2" xfId="29017" xr:uid="{00000000-0005-0000-0000-0000FE4A0000}"/>
    <cellStyle name="Normal 3 3 13 3 2 7" xfId="11487" xr:uid="{00000000-0005-0000-0000-0000FF4A0000}"/>
    <cellStyle name="Normal 3 3 13 3 2 7 2" xfId="29018" xr:uid="{00000000-0005-0000-0000-0000004B0000}"/>
    <cellStyle name="Normal 3 3 13 3 2 8" xfId="11488" xr:uid="{00000000-0005-0000-0000-0000014B0000}"/>
    <cellStyle name="Normal 3 3 13 3 2 8 2" xfId="29019" xr:uid="{00000000-0005-0000-0000-0000024B0000}"/>
    <cellStyle name="Normal 3 3 13 3 2 9" xfId="11489" xr:uid="{00000000-0005-0000-0000-0000034B0000}"/>
    <cellStyle name="Normal 3 3 13 3 2 9 2" xfId="29020" xr:uid="{00000000-0005-0000-0000-0000044B0000}"/>
    <cellStyle name="Normal 3 3 13 3 3" xfId="11490" xr:uid="{00000000-0005-0000-0000-0000054B0000}"/>
    <cellStyle name="Normal 3 3 13 3 3 2" xfId="29021" xr:uid="{00000000-0005-0000-0000-0000064B0000}"/>
    <cellStyle name="Normal 3 3 13 3 4" xfId="11491" xr:uid="{00000000-0005-0000-0000-0000074B0000}"/>
    <cellStyle name="Normal 3 3 13 3 4 2" xfId="29022" xr:uid="{00000000-0005-0000-0000-0000084B0000}"/>
    <cellStyle name="Normal 3 3 13 3 5" xfId="11492" xr:uid="{00000000-0005-0000-0000-0000094B0000}"/>
    <cellStyle name="Normal 3 3 13 3 5 2" xfId="29023" xr:uid="{00000000-0005-0000-0000-00000A4B0000}"/>
    <cellStyle name="Normal 3 3 13 3 6" xfId="11493" xr:uid="{00000000-0005-0000-0000-00000B4B0000}"/>
    <cellStyle name="Normal 3 3 13 3 6 2" xfId="29024" xr:uid="{00000000-0005-0000-0000-00000C4B0000}"/>
    <cellStyle name="Normal 3 3 13 3 7" xfId="11494" xr:uid="{00000000-0005-0000-0000-00000D4B0000}"/>
    <cellStyle name="Normal 3 3 13 3 7 2" xfId="29025" xr:uid="{00000000-0005-0000-0000-00000E4B0000}"/>
    <cellStyle name="Normal 3 3 13 3 8" xfId="11495" xr:uid="{00000000-0005-0000-0000-00000F4B0000}"/>
    <cellStyle name="Normal 3 3 13 3 8 2" xfId="29026" xr:uid="{00000000-0005-0000-0000-0000104B0000}"/>
    <cellStyle name="Normal 3 3 13 3 9" xfId="11496" xr:uid="{00000000-0005-0000-0000-0000114B0000}"/>
    <cellStyle name="Normal 3 3 13 3 9 2" xfId="29027" xr:uid="{00000000-0005-0000-0000-0000124B0000}"/>
    <cellStyle name="Normal 3 3 13 4" xfId="11497" xr:uid="{00000000-0005-0000-0000-0000134B0000}"/>
    <cellStyle name="Normal 3 3 13 4 10" xfId="11498" xr:uid="{00000000-0005-0000-0000-0000144B0000}"/>
    <cellStyle name="Normal 3 3 13 4 10 2" xfId="29029" xr:uid="{00000000-0005-0000-0000-0000154B0000}"/>
    <cellStyle name="Normal 3 3 13 4 11" xfId="11499" xr:uid="{00000000-0005-0000-0000-0000164B0000}"/>
    <cellStyle name="Normal 3 3 13 4 11 2" xfId="29030" xr:uid="{00000000-0005-0000-0000-0000174B0000}"/>
    <cellStyle name="Normal 3 3 13 4 12" xfId="11500" xr:uid="{00000000-0005-0000-0000-0000184B0000}"/>
    <cellStyle name="Normal 3 3 13 4 12 2" xfId="29031" xr:uid="{00000000-0005-0000-0000-0000194B0000}"/>
    <cellStyle name="Normal 3 3 13 4 13" xfId="11501" xr:uid="{00000000-0005-0000-0000-00001A4B0000}"/>
    <cellStyle name="Normal 3 3 13 4 13 2" xfId="29032" xr:uid="{00000000-0005-0000-0000-00001B4B0000}"/>
    <cellStyle name="Normal 3 3 13 4 14" xfId="11502" xr:uid="{00000000-0005-0000-0000-00001C4B0000}"/>
    <cellStyle name="Normal 3 3 13 4 14 2" xfId="29033" xr:uid="{00000000-0005-0000-0000-00001D4B0000}"/>
    <cellStyle name="Normal 3 3 13 4 15" xfId="11503" xr:uid="{00000000-0005-0000-0000-00001E4B0000}"/>
    <cellStyle name="Normal 3 3 13 4 15 2" xfId="29034" xr:uid="{00000000-0005-0000-0000-00001F4B0000}"/>
    <cellStyle name="Normal 3 3 13 4 16" xfId="29028" xr:uid="{00000000-0005-0000-0000-0000204B0000}"/>
    <cellStyle name="Normal 3 3 13 4 2" xfId="11504" xr:uid="{00000000-0005-0000-0000-0000214B0000}"/>
    <cellStyle name="Normal 3 3 13 4 2 10" xfId="11505" xr:uid="{00000000-0005-0000-0000-0000224B0000}"/>
    <cellStyle name="Normal 3 3 13 4 2 10 2" xfId="29036" xr:uid="{00000000-0005-0000-0000-0000234B0000}"/>
    <cellStyle name="Normal 3 3 13 4 2 11" xfId="11506" xr:uid="{00000000-0005-0000-0000-0000244B0000}"/>
    <cellStyle name="Normal 3 3 13 4 2 11 2" xfId="29037" xr:uid="{00000000-0005-0000-0000-0000254B0000}"/>
    <cellStyle name="Normal 3 3 13 4 2 12" xfId="11507" xr:uid="{00000000-0005-0000-0000-0000264B0000}"/>
    <cellStyle name="Normal 3 3 13 4 2 12 2" xfId="29038" xr:uid="{00000000-0005-0000-0000-0000274B0000}"/>
    <cellStyle name="Normal 3 3 13 4 2 13" xfId="11508" xr:uid="{00000000-0005-0000-0000-0000284B0000}"/>
    <cellStyle name="Normal 3 3 13 4 2 13 2" xfId="29039" xr:uid="{00000000-0005-0000-0000-0000294B0000}"/>
    <cellStyle name="Normal 3 3 13 4 2 14" xfId="11509" xr:uid="{00000000-0005-0000-0000-00002A4B0000}"/>
    <cellStyle name="Normal 3 3 13 4 2 14 2" xfId="29040" xr:uid="{00000000-0005-0000-0000-00002B4B0000}"/>
    <cellStyle name="Normal 3 3 13 4 2 15" xfId="29035" xr:uid="{00000000-0005-0000-0000-00002C4B0000}"/>
    <cellStyle name="Normal 3 3 13 4 2 2" xfId="11510" xr:uid="{00000000-0005-0000-0000-00002D4B0000}"/>
    <cellStyle name="Normal 3 3 13 4 2 2 2" xfId="29041" xr:uid="{00000000-0005-0000-0000-00002E4B0000}"/>
    <cellStyle name="Normal 3 3 13 4 2 3" xfId="11511" xr:uid="{00000000-0005-0000-0000-00002F4B0000}"/>
    <cellStyle name="Normal 3 3 13 4 2 3 2" xfId="29042" xr:uid="{00000000-0005-0000-0000-0000304B0000}"/>
    <cellStyle name="Normal 3 3 13 4 2 4" xfId="11512" xr:uid="{00000000-0005-0000-0000-0000314B0000}"/>
    <cellStyle name="Normal 3 3 13 4 2 4 2" xfId="29043" xr:uid="{00000000-0005-0000-0000-0000324B0000}"/>
    <cellStyle name="Normal 3 3 13 4 2 5" xfId="11513" xr:uid="{00000000-0005-0000-0000-0000334B0000}"/>
    <cellStyle name="Normal 3 3 13 4 2 5 2" xfId="29044" xr:uid="{00000000-0005-0000-0000-0000344B0000}"/>
    <cellStyle name="Normal 3 3 13 4 2 6" xfId="11514" xr:uid="{00000000-0005-0000-0000-0000354B0000}"/>
    <cellStyle name="Normal 3 3 13 4 2 6 2" xfId="29045" xr:uid="{00000000-0005-0000-0000-0000364B0000}"/>
    <cellStyle name="Normal 3 3 13 4 2 7" xfId="11515" xr:uid="{00000000-0005-0000-0000-0000374B0000}"/>
    <cellStyle name="Normal 3 3 13 4 2 7 2" xfId="29046" xr:uid="{00000000-0005-0000-0000-0000384B0000}"/>
    <cellStyle name="Normal 3 3 13 4 2 8" xfId="11516" xr:uid="{00000000-0005-0000-0000-0000394B0000}"/>
    <cellStyle name="Normal 3 3 13 4 2 8 2" xfId="29047" xr:uid="{00000000-0005-0000-0000-00003A4B0000}"/>
    <cellStyle name="Normal 3 3 13 4 2 9" xfId="11517" xr:uid="{00000000-0005-0000-0000-00003B4B0000}"/>
    <cellStyle name="Normal 3 3 13 4 2 9 2" xfId="29048" xr:uid="{00000000-0005-0000-0000-00003C4B0000}"/>
    <cellStyle name="Normal 3 3 13 4 3" xfId="11518" xr:uid="{00000000-0005-0000-0000-00003D4B0000}"/>
    <cellStyle name="Normal 3 3 13 4 3 2" xfId="29049" xr:uid="{00000000-0005-0000-0000-00003E4B0000}"/>
    <cellStyle name="Normal 3 3 13 4 4" xfId="11519" xr:uid="{00000000-0005-0000-0000-00003F4B0000}"/>
    <cellStyle name="Normal 3 3 13 4 4 2" xfId="29050" xr:uid="{00000000-0005-0000-0000-0000404B0000}"/>
    <cellStyle name="Normal 3 3 13 4 5" xfId="11520" xr:uid="{00000000-0005-0000-0000-0000414B0000}"/>
    <cellStyle name="Normal 3 3 13 4 5 2" xfId="29051" xr:uid="{00000000-0005-0000-0000-0000424B0000}"/>
    <cellStyle name="Normal 3 3 13 4 6" xfId="11521" xr:uid="{00000000-0005-0000-0000-0000434B0000}"/>
    <cellStyle name="Normal 3 3 13 4 6 2" xfId="29052" xr:uid="{00000000-0005-0000-0000-0000444B0000}"/>
    <cellStyle name="Normal 3 3 13 4 7" xfId="11522" xr:uid="{00000000-0005-0000-0000-0000454B0000}"/>
    <cellStyle name="Normal 3 3 13 4 7 2" xfId="29053" xr:uid="{00000000-0005-0000-0000-0000464B0000}"/>
    <cellStyle name="Normal 3 3 13 4 8" xfId="11523" xr:uid="{00000000-0005-0000-0000-0000474B0000}"/>
    <cellStyle name="Normal 3 3 13 4 8 2" xfId="29054" xr:uid="{00000000-0005-0000-0000-0000484B0000}"/>
    <cellStyle name="Normal 3 3 13 4 9" xfId="11524" xr:uid="{00000000-0005-0000-0000-0000494B0000}"/>
    <cellStyle name="Normal 3 3 13 4 9 2" xfId="29055" xr:uid="{00000000-0005-0000-0000-00004A4B0000}"/>
    <cellStyle name="Normal 3 3 13 5" xfId="11525" xr:uid="{00000000-0005-0000-0000-00004B4B0000}"/>
    <cellStyle name="Normal 3 3 13 5 10" xfId="11526" xr:uid="{00000000-0005-0000-0000-00004C4B0000}"/>
    <cellStyle name="Normal 3 3 13 5 10 2" xfId="29057" xr:uid="{00000000-0005-0000-0000-00004D4B0000}"/>
    <cellStyle name="Normal 3 3 13 5 11" xfId="11527" xr:uid="{00000000-0005-0000-0000-00004E4B0000}"/>
    <cellStyle name="Normal 3 3 13 5 11 2" xfId="29058" xr:uid="{00000000-0005-0000-0000-00004F4B0000}"/>
    <cellStyle name="Normal 3 3 13 5 12" xfId="11528" xr:uid="{00000000-0005-0000-0000-0000504B0000}"/>
    <cellStyle name="Normal 3 3 13 5 12 2" xfId="29059" xr:uid="{00000000-0005-0000-0000-0000514B0000}"/>
    <cellStyle name="Normal 3 3 13 5 13" xfId="11529" xr:uid="{00000000-0005-0000-0000-0000524B0000}"/>
    <cellStyle name="Normal 3 3 13 5 13 2" xfId="29060" xr:uid="{00000000-0005-0000-0000-0000534B0000}"/>
    <cellStyle name="Normal 3 3 13 5 14" xfId="11530" xr:uid="{00000000-0005-0000-0000-0000544B0000}"/>
    <cellStyle name="Normal 3 3 13 5 14 2" xfId="29061" xr:uid="{00000000-0005-0000-0000-0000554B0000}"/>
    <cellStyle name="Normal 3 3 13 5 15" xfId="29056" xr:uid="{00000000-0005-0000-0000-0000564B0000}"/>
    <cellStyle name="Normal 3 3 13 5 2" xfId="11531" xr:uid="{00000000-0005-0000-0000-0000574B0000}"/>
    <cellStyle name="Normal 3 3 13 5 2 2" xfId="29062" xr:uid="{00000000-0005-0000-0000-0000584B0000}"/>
    <cellStyle name="Normal 3 3 13 5 3" xfId="11532" xr:uid="{00000000-0005-0000-0000-0000594B0000}"/>
    <cellStyle name="Normal 3 3 13 5 3 2" xfId="29063" xr:uid="{00000000-0005-0000-0000-00005A4B0000}"/>
    <cellStyle name="Normal 3 3 13 5 4" xfId="11533" xr:uid="{00000000-0005-0000-0000-00005B4B0000}"/>
    <cellStyle name="Normal 3 3 13 5 4 2" xfId="29064" xr:uid="{00000000-0005-0000-0000-00005C4B0000}"/>
    <cellStyle name="Normal 3 3 13 5 5" xfId="11534" xr:uid="{00000000-0005-0000-0000-00005D4B0000}"/>
    <cellStyle name="Normal 3 3 13 5 5 2" xfId="29065" xr:uid="{00000000-0005-0000-0000-00005E4B0000}"/>
    <cellStyle name="Normal 3 3 13 5 6" xfId="11535" xr:uid="{00000000-0005-0000-0000-00005F4B0000}"/>
    <cellStyle name="Normal 3 3 13 5 6 2" xfId="29066" xr:uid="{00000000-0005-0000-0000-0000604B0000}"/>
    <cellStyle name="Normal 3 3 13 5 7" xfId="11536" xr:uid="{00000000-0005-0000-0000-0000614B0000}"/>
    <cellStyle name="Normal 3 3 13 5 7 2" xfId="29067" xr:uid="{00000000-0005-0000-0000-0000624B0000}"/>
    <cellStyle name="Normal 3 3 13 5 8" xfId="11537" xr:uid="{00000000-0005-0000-0000-0000634B0000}"/>
    <cellStyle name="Normal 3 3 13 5 8 2" xfId="29068" xr:uid="{00000000-0005-0000-0000-0000644B0000}"/>
    <cellStyle name="Normal 3 3 13 5 9" xfId="11538" xr:uid="{00000000-0005-0000-0000-0000654B0000}"/>
    <cellStyle name="Normal 3 3 13 5 9 2" xfId="29069" xr:uid="{00000000-0005-0000-0000-0000664B0000}"/>
    <cellStyle name="Normal 3 3 13 6" xfId="11539" xr:uid="{00000000-0005-0000-0000-0000674B0000}"/>
    <cellStyle name="Normal 3 3 13 6 10" xfId="11540" xr:uid="{00000000-0005-0000-0000-0000684B0000}"/>
    <cellStyle name="Normal 3 3 13 6 10 2" xfId="29071" xr:uid="{00000000-0005-0000-0000-0000694B0000}"/>
    <cellStyle name="Normal 3 3 13 6 11" xfId="11541" xr:uid="{00000000-0005-0000-0000-00006A4B0000}"/>
    <cellStyle name="Normal 3 3 13 6 11 2" xfId="29072" xr:uid="{00000000-0005-0000-0000-00006B4B0000}"/>
    <cellStyle name="Normal 3 3 13 6 12" xfId="11542" xr:uid="{00000000-0005-0000-0000-00006C4B0000}"/>
    <cellStyle name="Normal 3 3 13 6 12 2" xfId="29073" xr:uid="{00000000-0005-0000-0000-00006D4B0000}"/>
    <cellStyle name="Normal 3 3 13 6 13" xfId="11543" xr:uid="{00000000-0005-0000-0000-00006E4B0000}"/>
    <cellStyle name="Normal 3 3 13 6 13 2" xfId="29074" xr:uid="{00000000-0005-0000-0000-00006F4B0000}"/>
    <cellStyle name="Normal 3 3 13 6 14" xfId="11544" xr:uid="{00000000-0005-0000-0000-0000704B0000}"/>
    <cellStyle name="Normal 3 3 13 6 14 2" xfId="29075" xr:uid="{00000000-0005-0000-0000-0000714B0000}"/>
    <cellStyle name="Normal 3 3 13 6 15" xfId="29070" xr:uid="{00000000-0005-0000-0000-0000724B0000}"/>
    <cellStyle name="Normal 3 3 13 6 2" xfId="11545" xr:uid="{00000000-0005-0000-0000-0000734B0000}"/>
    <cellStyle name="Normal 3 3 13 6 2 2" xfId="29076" xr:uid="{00000000-0005-0000-0000-0000744B0000}"/>
    <cellStyle name="Normal 3 3 13 6 3" xfId="11546" xr:uid="{00000000-0005-0000-0000-0000754B0000}"/>
    <cellStyle name="Normal 3 3 13 6 3 2" xfId="29077" xr:uid="{00000000-0005-0000-0000-0000764B0000}"/>
    <cellStyle name="Normal 3 3 13 6 4" xfId="11547" xr:uid="{00000000-0005-0000-0000-0000774B0000}"/>
    <cellStyle name="Normal 3 3 13 6 4 2" xfId="29078" xr:uid="{00000000-0005-0000-0000-0000784B0000}"/>
    <cellStyle name="Normal 3 3 13 6 5" xfId="11548" xr:uid="{00000000-0005-0000-0000-0000794B0000}"/>
    <cellStyle name="Normal 3 3 13 6 5 2" xfId="29079" xr:uid="{00000000-0005-0000-0000-00007A4B0000}"/>
    <cellStyle name="Normal 3 3 13 6 6" xfId="11549" xr:uid="{00000000-0005-0000-0000-00007B4B0000}"/>
    <cellStyle name="Normal 3 3 13 6 6 2" xfId="29080" xr:uid="{00000000-0005-0000-0000-00007C4B0000}"/>
    <cellStyle name="Normal 3 3 13 6 7" xfId="11550" xr:uid="{00000000-0005-0000-0000-00007D4B0000}"/>
    <cellStyle name="Normal 3 3 13 6 7 2" xfId="29081" xr:uid="{00000000-0005-0000-0000-00007E4B0000}"/>
    <cellStyle name="Normal 3 3 13 6 8" xfId="11551" xr:uid="{00000000-0005-0000-0000-00007F4B0000}"/>
    <cellStyle name="Normal 3 3 13 6 8 2" xfId="29082" xr:uid="{00000000-0005-0000-0000-0000804B0000}"/>
    <cellStyle name="Normal 3 3 13 6 9" xfId="11552" xr:uid="{00000000-0005-0000-0000-0000814B0000}"/>
    <cellStyle name="Normal 3 3 13 6 9 2" xfId="29083" xr:uid="{00000000-0005-0000-0000-0000824B0000}"/>
    <cellStyle name="Normal 3 3 13 7" xfId="11553" xr:uid="{00000000-0005-0000-0000-0000834B0000}"/>
    <cellStyle name="Normal 3 3 13 7 10" xfId="11554" xr:uid="{00000000-0005-0000-0000-0000844B0000}"/>
    <cellStyle name="Normal 3 3 13 7 10 2" xfId="29085" xr:uid="{00000000-0005-0000-0000-0000854B0000}"/>
    <cellStyle name="Normal 3 3 13 7 11" xfId="11555" xr:uid="{00000000-0005-0000-0000-0000864B0000}"/>
    <cellStyle name="Normal 3 3 13 7 11 2" xfId="29086" xr:uid="{00000000-0005-0000-0000-0000874B0000}"/>
    <cellStyle name="Normal 3 3 13 7 12" xfId="11556" xr:uid="{00000000-0005-0000-0000-0000884B0000}"/>
    <cellStyle name="Normal 3 3 13 7 12 2" xfId="29087" xr:uid="{00000000-0005-0000-0000-0000894B0000}"/>
    <cellStyle name="Normal 3 3 13 7 13" xfId="11557" xr:uid="{00000000-0005-0000-0000-00008A4B0000}"/>
    <cellStyle name="Normal 3 3 13 7 13 2" xfId="29088" xr:uid="{00000000-0005-0000-0000-00008B4B0000}"/>
    <cellStyle name="Normal 3 3 13 7 14" xfId="11558" xr:uid="{00000000-0005-0000-0000-00008C4B0000}"/>
    <cellStyle name="Normal 3 3 13 7 14 2" xfId="29089" xr:uid="{00000000-0005-0000-0000-00008D4B0000}"/>
    <cellStyle name="Normal 3 3 13 7 15" xfId="29084" xr:uid="{00000000-0005-0000-0000-00008E4B0000}"/>
    <cellStyle name="Normal 3 3 13 7 2" xfId="11559" xr:uid="{00000000-0005-0000-0000-00008F4B0000}"/>
    <cellStyle name="Normal 3 3 13 7 2 2" xfId="29090" xr:uid="{00000000-0005-0000-0000-0000904B0000}"/>
    <cellStyle name="Normal 3 3 13 7 3" xfId="11560" xr:uid="{00000000-0005-0000-0000-0000914B0000}"/>
    <cellStyle name="Normal 3 3 13 7 3 2" xfId="29091" xr:uid="{00000000-0005-0000-0000-0000924B0000}"/>
    <cellStyle name="Normal 3 3 13 7 4" xfId="11561" xr:uid="{00000000-0005-0000-0000-0000934B0000}"/>
    <cellStyle name="Normal 3 3 13 7 4 2" xfId="29092" xr:uid="{00000000-0005-0000-0000-0000944B0000}"/>
    <cellStyle name="Normal 3 3 13 7 5" xfId="11562" xr:uid="{00000000-0005-0000-0000-0000954B0000}"/>
    <cellStyle name="Normal 3 3 13 7 5 2" xfId="29093" xr:uid="{00000000-0005-0000-0000-0000964B0000}"/>
    <cellStyle name="Normal 3 3 13 7 6" xfId="11563" xr:uid="{00000000-0005-0000-0000-0000974B0000}"/>
    <cellStyle name="Normal 3 3 13 7 6 2" xfId="29094" xr:uid="{00000000-0005-0000-0000-0000984B0000}"/>
    <cellStyle name="Normal 3 3 13 7 7" xfId="11564" xr:uid="{00000000-0005-0000-0000-0000994B0000}"/>
    <cellStyle name="Normal 3 3 13 7 7 2" xfId="29095" xr:uid="{00000000-0005-0000-0000-00009A4B0000}"/>
    <cellStyle name="Normal 3 3 13 7 8" xfId="11565" xr:uid="{00000000-0005-0000-0000-00009B4B0000}"/>
    <cellStyle name="Normal 3 3 13 7 8 2" xfId="29096" xr:uid="{00000000-0005-0000-0000-00009C4B0000}"/>
    <cellStyle name="Normal 3 3 13 7 9" xfId="11566" xr:uid="{00000000-0005-0000-0000-00009D4B0000}"/>
    <cellStyle name="Normal 3 3 13 7 9 2" xfId="29097" xr:uid="{00000000-0005-0000-0000-00009E4B0000}"/>
    <cellStyle name="Normal 3 3 13 8" xfId="11567" xr:uid="{00000000-0005-0000-0000-00009F4B0000}"/>
    <cellStyle name="Normal 3 3 13 8 10" xfId="11568" xr:uid="{00000000-0005-0000-0000-0000A04B0000}"/>
    <cellStyle name="Normal 3 3 13 8 10 2" xfId="29099" xr:uid="{00000000-0005-0000-0000-0000A14B0000}"/>
    <cellStyle name="Normal 3 3 13 8 11" xfId="11569" xr:uid="{00000000-0005-0000-0000-0000A24B0000}"/>
    <cellStyle name="Normal 3 3 13 8 11 2" xfId="29100" xr:uid="{00000000-0005-0000-0000-0000A34B0000}"/>
    <cellStyle name="Normal 3 3 13 8 12" xfId="11570" xr:uid="{00000000-0005-0000-0000-0000A44B0000}"/>
    <cellStyle name="Normal 3 3 13 8 12 2" xfId="29101" xr:uid="{00000000-0005-0000-0000-0000A54B0000}"/>
    <cellStyle name="Normal 3 3 13 8 13" xfId="11571" xr:uid="{00000000-0005-0000-0000-0000A64B0000}"/>
    <cellStyle name="Normal 3 3 13 8 13 2" xfId="29102" xr:uid="{00000000-0005-0000-0000-0000A74B0000}"/>
    <cellStyle name="Normal 3 3 13 8 14" xfId="11572" xr:uid="{00000000-0005-0000-0000-0000A84B0000}"/>
    <cellStyle name="Normal 3 3 13 8 14 2" xfId="29103" xr:uid="{00000000-0005-0000-0000-0000A94B0000}"/>
    <cellStyle name="Normal 3 3 13 8 15" xfId="29098" xr:uid="{00000000-0005-0000-0000-0000AA4B0000}"/>
    <cellStyle name="Normal 3 3 13 8 2" xfId="11573" xr:uid="{00000000-0005-0000-0000-0000AB4B0000}"/>
    <cellStyle name="Normal 3 3 13 8 2 2" xfId="29104" xr:uid="{00000000-0005-0000-0000-0000AC4B0000}"/>
    <cellStyle name="Normal 3 3 13 8 3" xfId="11574" xr:uid="{00000000-0005-0000-0000-0000AD4B0000}"/>
    <cellStyle name="Normal 3 3 13 8 3 2" xfId="29105" xr:uid="{00000000-0005-0000-0000-0000AE4B0000}"/>
    <cellStyle name="Normal 3 3 13 8 4" xfId="11575" xr:uid="{00000000-0005-0000-0000-0000AF4B0000}"/>
    <cellStyle name="Normal 3 3 13 8 4 2" xfId="29106" xr:uid="{00000000-0005-0000-0000-0000B04B0000}"/>
    <cellStyle name="Normal 3 3 13 8 5" xfId="11576" xr:uid="{00000000-0005-0000-0000-0000B14B0000}"/>
    <cellStyle name="Normal 3 3 13 8 5 2" xfId="29107" xr:uid="{00000000-0005-0000-0000-0000B24B0000}"/>
    <cellStyle name="Normal 3 3 13 8 6" xfId="11577" xr:uid="{00000000-0005-0000-0000-0000B34B0000}"/>
    <cellStyle name="Normal 3 3 13 8 6 2" xfId="29108" xr:uid="{00000000-0005-0000-0000-0000B44B0000}"/>
    <cellStyle name="Normal 3 3 13 8 7" xfId="11578" xr:uid="{00000000-0005-0000-0000-0000B54B0000}"/>
    <cellStyle name="Normal 3 3 13 8 7 2" xfId="29109" xr:uid="{00000000-0005-0000-0000-0000B64B0000}"/>
    <cellStyle name="Normal 3 3 13 8 8" xfId="11579" xr:uid="{00000000-0005-0000-0000-0000B74B0000}"/>
    <cellStyle name="Normal 3 3 13 8 8 2" xfId="29110" xr:uid="{00000000-0005-0000-0000-0000B84B0000}"/>
    <cellStyle name="Normal 3 3 13 8 9" xfId="11580" xr:uid="{00000000-0005-0000-0000-0000B94B0000}"/>
    <cellStyle name="Normal 3 3 13 8 9 2" xfId="29111" xr:uid="{00000000-0005-0000-0000-0000BA4B0000}"/>
    <cellStyle name="Normal 3 3 13 9" xfId="11581" xr:uid="{00000000-0005-0000-0000-0000BB4B0000}"/>
    <cellStyle name="Normal 3 3 13 9 10" xfId="11582" xr:uid="{00000000-0005-0000-0000-0000BC4B0000}"/>
    <cellStyle name="Normal 3 3 13 9 10 2" xfId="29113" xr:uid="{00000000-0005-0000-0000-0000BD4B0000}"/>
    <cellStyle name="Normal 3 3 13 9 11" xfId="11583" xr:uid="{00000000-0005-0000-0000-0000BE4B0000}"/>
    <cellStyle name="Normal 3 3 13 9 11 2" xfId="29114" xr:uid="{00000000-0005-0000-0000-0000BF4B0000}"/>
    <cellStyle name="Normal 3 3 13 9 12" xfId="11584" xr:uid="{00000000-0005-0000-0000-0000C04B0000}"/>
    <cellStyle name="Normal 3 3 13 9 12 2" xfId="29115" xr:uid="{00000000-0005-0000-0000-0000C14B0000}"/>
    <cellStyle name="Normal 3 3 13 9 13" xfId="11585" xr:uid="{00000000-0005-0000-0000-0000C24B0000}"/>
    <cellStyle name="Normal 3 3 13 9 13 2" xfId="29116" xr:uid="{00000000-0005-0000-0000-0000C34B0000}"/>
    <cellStyle name="Normal 3 3 13 9 14" xfId="11586" xr:uid="{00000000-0005-0000-0000-0000C44B0000}"/>
    <cellStyle name="Normal 3 3 13 9 14 2" xfId="29117" xr:uid="{00000000-0005-0000-0000-0000C54B0000}"/>
    <cellStyle name="Normal 3 3 13 9 15" xfId="29112" xr:uid="{00000000-0005-0000-0000-0000C64B0000}"/>
    <cellStyle name="Normal 3 3 13 9 2" xfId="11587" xr:uid="{00000000-0005-0000-0000-0000C74B0000}"/>
    <cellStyle name="Normal 3 3 13 9 2 2" xfId="29118" xr:uid="{00000000-0005-0000-0000-0000C84B0000}"/>
    <cellStyle name="Normal 3 3 13 9 3" xfId="11588" xr:uid="{00000000-0005-0000-0000-0000C94B0000}"/>
    <cellStyle name="Normal 3 3 13 9 3 2" xfId="29119" xr:uid="{00000000-0005-0000-0000-0000CA4B0000}"/>
    <cellStyle name="Normal 3 3 13 9 4" xfId="11589" xr:uid="{00000000-0005-0000-0000-0000CB4B0000}"/>
    <cellStyle name="Normal 3 3 13 9 4 2" xfId="29120" xr:uid="{00000000-0005-0000-0000-0000CC4B0000}"/>
    <cellStyle name="Normal 3 3 13 9 5" xfId="11590" xr:uid="{00000000-0005-0000-0000-0000CD4B0000}"/>
    <cellStyle name="Normal 3 3 13 9 5 2" xfId="29121" xr:uid="{00000000-0005-0000-0000-0000CE4B0000}"/>
    <cellStyle name="Normal 3 3 13 9 6" xfId="11591" xr:uid="{00000000-0005-0000-0000-0000CF4B0000}"/>
    <cellStyle name="Normal 3 3 13 9 6 2" xfId="29122" xr:uid="{00000000-0005-0000-0000-0000D04B0000}"/>
    <cellStyle name="Normal 3 3 13 9 7" xfId="11592" xr:uid="{00000000-0005-0000-0000-0000D14B0000}"/>
    <cellStyle name="Normal 3 3 13 9 7 2" xfId="29123" xr:uid="{00000000-0005-0000-0000-0000D24B0000}"/>
    <cellStyle name="Normal 3 3 13 9 8" xfId="11593" xr:uid="{00000000-0005-0000-0000-0000D34B0000}"/>
    <cellStyle name="Normal 3 3 13 9 8 2" xfId="29124" xr:uid="{00000000-0005-0000-0000-0000D44B0000}"/>
    <cellStyle name="Normal 3 3 13 9 9" xfId="11594" xr:uid="{00000000-0005-0000-0000-0000D54B0000}"/>
    <cellStyle name="Normal 3 3 13 9 9 2" xfId="29125" xr:uid="{00000000-0005-0000-0000-0000D64B0000}"/>
    <cellStyle name="Normal 3 3 14" xfId="11595" xr:uid="{00000000-0005-0000-0000-0000D74B0000}"/>
    <cellStyle name="Normal 3 3 14 10" xfId="11596" xr:uid="{00000000-0005-0000-0000-0000D84B0000}"/>
    <cellStyle name="Normal 3 3 14 10 10" xfId="11597" xr:uid="{00000000-0005-0000-0000-0000D94B0000}"/>
    <cellStyle name="Normal 3 3 14 10 10 2" xfId="29128" xr:uid="{00000000-0005-0000-0000-0000DA4B0000}"/>
    <cellStyle name="Normal 3 3 14 10 11" xfId="11598" xr:uid="{00000000-0005-0000-0000-0000DB4B0000}"/>
    <cellStyle name="Normal 3 3 14 10 11 2" xfId="29129" xr:uid="{00000000-0005-0000-0000-0000DC4B0000}"/>
    <cellStyle name="Normal 3 3 14 10 12" xfId="11599" xr:uid="{00000000-0005-0000-0000-0000DD4B0000}"/>
    <cellStyle name="Normal 3 3 14 10 12 2" xfId="29130" xr:uid="{00000000-0005-0000-0000-0000DE4B0000}"/>
    <cellStyle name="Normal 3 3 14 10 13" xfId="11600" xr:uid="{00000000-0005-0000-0000-0000DF4B0000}"/>
    <cellStyle name="Normal 3 3 14 10 13 2" xfId="29131" xr:uid="{00000000-0005-0000-0000-0000E04B0000}"/>
    <cellStyle name="Normal 3 3 14 10 14" xfId="11601" xr:uid="{00000000-0005-0000-0000-0000E14B0000}"/>
    <cellStyle name="Normal 3 3 14 10 14 2" xfId="29132" xr:uid="{00000000-0005-0000-0000-0000E24B0000}"/>
    <cellStyle name="Normal 3 3 14 10 15" xfId="29127" xr:uid="{00000000-0005-0000-0000-0000E34B0000}"/>
    <cellStyle name="Normal 3 3 14 10 2" xfId="11602" xr:uid="{00000000-0005-0000-0000-0000E44B0000}"/>
    <cellStyle name="Normal 3 3 14 10 2 2" xfId="29133" xr:uid="{00000000-0005-0000-0000-0000E54B0000}"/>
    <cellStyle name="Normal 3 3 14 10 3" xfId="11603" xr:uid="{00000000-0005-0000-0000-0000E64B0000}"/>
    <cellStyle name="Normal 3 3 14 10 3 2" xfId="29134" xr:uid="{00000000-0005-0000-0000-0000E74B0000}"/>
    <cellStyle name="Normal 3 3 14 10 4" xfId="11604" xr:uid="{00000000-0005-0000-0000-0000E84B0000}"/>
    <cellStyle name="Normal 3 3 14 10 4 2" xfId="29135" xr:uid="{00000000-0005-0000-0000-0000E94B0000}"/>
    <cellStyle name="Normal 3 3 14 10 5" xfId="11605" xr:uid="{00000000-0005-0000-0000-0000EA4B0000}"/>
    <cellStyle name="Normal 3 3 14 10 5 2" xfId="29136" xr:uid="{00000000-0005-0000-0000-0000EB4B0000}"/>
    <cellStyle name="Normal 3 3 14 10 6" xfId="11606" xr:uid="{00000000-0005-0000-0000-0000EC4B0000}"/>
    <cellStyle name="Normal 3 3 14 10 6 2" xfId="29137" xr:uid="{00000000-0005-0000-0000-0000ED4B0000}"/>
    <cellStyle name="Normal 3 3 14 10 7" xfId="11607" xr:uid="{00000000-0005-0000-0000-0000EE4B0000}"/>
    <cellStyle name="Normal 3 3 14 10 7 2" xfId="29138" xr:uid="{00000000-0005-0000-0000-0000EF4B0000}"/>
    <cellStyle name="Normal 3 3 14 10 8" xfId="11608" xr:uid="{00000000-0005-0000-0000-0000F04B0000}"/>
    <cellStyle name="Normal 3 3 14 10 8 2" xfId="29139" xr:uid="{00000000-0005-0000-0000-0000F14B0000}"/>
    <cellStyle name="Normal 3 3 14 10 9" xfId="11609" xr:uid="{00000000-0005-0000-0000-0000F24B0000}"/>
    <cellStyle name="Normal 3 3 14 10 9 2" xfId="29140" xr:uid="{00000000-0005-0000-0000-0000F34B0000}"/>
    <cellStyle name="Normal 3 3 14 11" xfId="11610" xr:uid="{00000000-0005-0000-0000-0000F44B0000}"/>
    <cellStyle name="Normal 3 3 14 11 2" xfId="29141" xr:uid="{00000000-0005-0000-0000-0000F54B0000}"/>
    <cellStyle name="Normal 3 3 14 12" xfId="11611" xr:uid="{00000000-0005-0000-0000-0000F64B0000}"/>
    <cellStyle name="Normal 3 3 14 12 2" xfId="29142" xr:uid="{00000000-0005-0000-0000-0000F74B0000}"/>
    <cellStyle name="Normal 3 3 14 13" xfId="11612" xr:uid="{00000000-0005-0000-0000-0000F84B0000}"/>
    <cellStyle name="Normal 3 3 14 13 2" xfId="29143" xr:uid="{00000000-0005-0000-0000-0000F94B0000}"/>
    <cellStyle name="Normal 3 3 14 14" xfId="11613" xr:uid="{00000000-0005-0000-0000-0000FA4B0000}"/>
    <cellStyle name="Normal 3 3 14 14 2" xfId="29144" xr:uid="{00000000-0005-0000-0000-0000FB4B0000}"/>
    <cellStyle name="Normal 3 3 14 15" xfId="11614" xr:uid="{00000000-0005-0000-0000-0000FC4B0000}"/>
    <cellStyle name="Normal 3 3 14 15 2" xfId="29145" xr:uid="{00000000-0005-0000-0000-0000FD4B0000}"/>
    <cellStyle name="Normal 3 3 14 16" xfId="11615" xr:uid="{00000000-0005-0000-0000-0000FE4B0000}"/>
    <cellStyle name="Normal 3 3 14 16 2" xfId="29146" xr:uid="{00000000-0005-0000-0000-0000FF4B0000}"/>
    <cellStyle name="Normal 3 3 14 17" xfId="11616" xr:uid="{00000000-0005-0000-0000-0000004C0000}"/>
    <cellStyle name="Normal 3 3 14 17 2" xfId="29147" xr:uid="{00000000-0005-0000-0000-0000014C0000}"/>
    <cellStyle name="Normal 3 3 14 18" xfId="11617" xr:uid="{00000000-0005-0000-0000-0000024C0000}"/>
    <cellStyle name="Normal 3 3 14 18 2" xfId="29148" xr:uid="{00000000-0005-0000-0000-0000034C0000}"/>
    <cellStyle name="Normal 3 3 14 19" xfId="11618" xr:uid="{00000000-0005-0000-0000-0000044C0000}"/>
    <cellStyle name="Normal 3 3 14 19 2" xfId="29149" xr:uid="{00000000-0005-0000-0000-0000054C0000}"/>
    <cellStyle name="Normal 3 3 14 2" xfId="11619" xr:uid="{00000000-0005-0000-0000-0000064C0000}"/>
    <cellStyle name="Normal 3 3 14 2 10" xfId="11620" xr:uid="{00000000-0005-0000-0000-0000074C0000}"/>
    <cellStyle name="Normal 3 3 14 2 10 2" xfId="29151" xr:uid="{00000000-0005-0000-0000-0000084C0000}"/>
    <cellStyle name="Normal 3 3 14 2 11" xfId="11621" xr:uid="{00000000-0005-0000-0000-0000094C0000}"/>
    <cellStyle name="Normal 3 3 14 2 11 2" xfId="29152" xr:uid="{00000000-0005-0000-0000-00000A4C0000}"/>
    <cellStyle name="Normal 3 3 14 2 12" xfId="11622" xr:uid="{00000000-0005-0000-0000-00000B4C0000}"/>
    <cellStyle name="Normal 3 3 14 2 12 2" xfId="29153" xr:uid="{00000000-0005-0000-0000-00000C4C0000}"/>
    <cellStyle name="Normal 3 3 14 2 13" xfId="11623" xr:uid="{00000000-0005-0000-0000-00000D4C0000}"/>
    <cellStyle name="Normal 3 3 14 2 13 2" xfId="29154" xr:uid="{00000000-0005-0000-0000-00000E4C0000}"/>
    <cellStyle name="Normal 3 3 14 2 14" xfId="11624" xr:uid="{00000000-0005-0000-0000-00000F4C0000}"/>
    <cellStyle name="Normal 3 3 14 2 14 2" xfId="29155" xr:uid="{00000000-0005-0000-0000-0000104C0000}"/>
    <cellStyle name="Normal 3 3 14 2 15" xfId="11625" xr:uid="{00000000-0005-0000-0000-0000114C0000}"/>
    <cellStyle name="Normal 3 3 14 2 15 2" xfId="29156" xr:uid="{00000000-0005-0000-0000-0000124C0000}"/>
    <cellStyle name="Normal 3 3 14 2 16" xfId="29150" xr:uid="{00000000-0005-0000-0000-0000134C0000}"/>
    <cellStyle name="Normal 3 3 14 2 2" xfId="11626" xr:uid="{00000000-0005-0000-0000-0000144C0000}"/>
    <cellStyle name="Normal 3 3 14 2 2 10" xfId="11627" xr:uid="{00000000-0005-0000-0000-0000154C0000}"/>
    <cellStyle name="Normal 3 3 14 2 2 10 2" xfId="29158" xr:uid="{00000000-0005-0000-0000-0000164C0000}"/>
    <cellStyle name="Normal 3 3 14 2 2 11" xfId="11628" xr:uid="{00000000-0005-0000-0000-0000174C0000}"/>
    <cellStyle name="Normal 3 3 14 2 2 11 2" xfId="29159" xr:uid="{00000000-0005-0000-0000-0000184C0000}"/>
    <cellStyle name="Normal 3 3 14 2 2 12" xfId="11629" xr:uid="{00000000-0005-0000-0000-0000194C0000}"/>
    <cellStyle name="Normal 3 3 14 2 2 12 2" xfId="29160" xr:uid="{00000000-0005-0000-0000-00001A4C0000}"/>
    <cellStyle name="Normal 3 3 14 2 2 13" xfId="11630" xr:uid="{00000000-0005-0000-0000-00001B4C0000}"/>
    <cellStyle name="Normal 3 3 14 2 2 13 2" xfId="29161" xr:uid="{00000000-0005-0000-0000-00001C4C0000}"/>
    <cellStyle name="Normal 3 3 14 2 2 14" xfId="11631" xr:uid="{00000000-0005-0000-0000-00001D4C0000}"/>
    <cellStyle name="Normal 3 3 14 2 2 14 2" xfId="29162" xr:uid="{00000000-0005-0000-0000-00001E4C0000}"/>
    <cellStyle name="Normal 3 3 14 2 2 15" xfId="29157" xr:uid="{00000000-0005-0000-0000-00001F4C0000}"/>
    <cellStyle name="Normal 3 3 14 2 2 2" xfId="11632" xr:uid="{00000000-0005-0000-0000-0000204C0000}"/>
    <cellStyle name="Normal 3 3 14 2 2 2 2" xfId="29163" xr:uid="{00000000-0005-0000-0000-0000214C0000}"/>
    <cellStyle name="Normal 3 3 14 2 2 3" xfId="11633" xr:uid="{00000000-0005-0000-0000-0000224C0000}"/>
    <cellStyle name="Normal 3 3 14 2 2 3 2" xfId="29164" xr:uid="{00000000-0005-0000-0000-0000234C0000}"/>
    <cellStyle name="Normal 3 3 14 2 2 4" xfId="11634" xr:uid="{00000000-0005-0000-0000-0000244C0000}"/>
    <cellStyle name="Normal 3 3 14 2 2 4 2" xfId="29165" xr:uid="{00000000-0005-0000-0000-0000254C0000}"/>
    <cellStyle name="Normal 3 3 14 2 2 5" xfId="11635" xr:uid="{00000000-0005-0000-0000-0000264C0000}"/>
    <cellStyle name="Normal 3 3 14 2 2 5 2" xfId="29166" xr:uid="{00000000-0005-0000-0000-0000274C0000}"/>
    <cellStyle name="Normal 3 3 14 2 2 6" xfId="11636" xr:uid="{00000000-0005-0000-0000-0000284C0000}"/>
    <cellStyle name="Normal 3 3 14 2 2 6 2" xfId="29167" xr:uid="{00000000-0005-0000-0000-0000294C0000}"/>
    <cellStyle name="Normal 3 3 14 2 2 7" xfId="11637" xr:uid="{00000000-0005-0000-0000-00002A4C0000}"/>
    <cellStyle name="Normal 3 3 14 2 2 7 2" xfId="29168" xr:uid="{00000000-0005-0000-0000-00002B4C0000}"/>
    <cellStyle name="Normal 3 3 14 2 2 8" xfId="11638" xr:uid="{00000000-0005-0000-0000-00002C4C0000}"/>
    <cellStyle name="Normal 3 3 14 2 2 8 2" xfId="29169" xr:uid="{00000000-0005-0000-0000-00002D4C0000}"/>
    <cellStyle name="Normal 3 3 14 2 2 9" xfId="11639" xr:uid="{00000000-0005-0000-0000-00002E4C0000}"/>
    <cellStyle name="Normal 3 3 14 2 2 9 2" xfId="29170" xr:uid="{00000000-0005-0000-0000-00002F4C0000}"/>
    <cellStyle name="Normal 3 3 14 2 3" xfId="11640" xr:uid="{00000000-0005-0000-0000-0000304C0000}"/>
    <cellStyle name="Normal 3 3 14 2 3 2" xfId="29171" xr:uid="{00000000-0005-0000-0000-0000314C0000}"/>
    <cellStyle name="Normal 3 3 14 2 4" xfId="11641" xr:uid="{00000000-0005-0000-0000-0000324C0000}"/>
    <cellStyle name="Normal 3 3 14 2 4 2" xfId="29172" xr:uid="{00000000-0005-0000-0000-0000334C0000}"/>
    <cellStyle name="Normal 3 3 14 2 5" xfId="11642" xr:uid="{00000000-0005-0000-0000-0000344C0000}"/>
    <cellStyle name="Normal 3 3 14 2 5 2" xfId="29173" xr:uid="{00000000-0005-0000-0000-0000354C0000}"/>
    <cellStyle name="Normal 3 3 14 2 6" xfId="11643" xr:uid="{00000000-0005-0000-0000-0000364C0000}"/>
    <cellStyle name="Normal 3 3 14 2 6 2" xfId="29174" xr:uid="{00000000-0005-0000-0000-0000374C0000}"/>
    <cellStyle name="Normal 3 3 14 2 7" xfId="11644" xr:uid="{00000000-0005-0000-0000-0000384C0000}"/>
    <cellStyle name="Normal 3 3 14 2 7 2" xfId="29175" xr:uid="{00000000-0005-0000-0000-0000394C0000}"/>
    <cellStyle name="Normal 3 3 14 2 8" xfId="11645" xr:uid="{00000000-0005-0000-0000-00003A4C0000}"/>
    <cellStyle name="Normal 3 3 14 2 8 2" xfId="29176" xr:uid="{00000000-0005-0000-0000-00003B4C0000}"/>
    <cellStyle name="Normal 3 3 14 2 9" xfId="11646" xr:uid="{00000000-0005-0000-0000-00003C4C0000}"/>
    <cellStyle name="Normal 3 3 14 2 9 2" xfId="29177" xr:uid="{00000000-0005-0000-0000-00003D4C0000}"/>
    <cellStyle name="Normal 3 3 14 20" xfId="11647" xr:uid="{00000000-0005-0000-0000-00003E4C0000}"/>
    <cellStyle name="Normal 3 3 14 20 2" xfId="29178" xr:uid="{00000000-0005-0000-0000-00003F4C0000}"/>
    <cellStyle name="Normal 3 3 14 21" xfId="11648" xr:uid="{00000000-0005-0000-0000-0000404C0000}"/>
    <cellStyle name="Normal 3 3 14 21 2" xfId="29179" xr:uid="{00000000-0005-0000-0000-0000414C0000}"/>
    <cellStyle name="Normal 3 3 14 22" xfId="11649" xr:uid="{00000000-0005-0000-0000-0000424C0000}"/>
    <cellStyle name="Normal 3 3 14 22 2" xfId="29180" xr:uid="{00000000-0005-0000-0000-0000434C0000}"/>
    <cellStyle name="Normal 3 3 14 23" xfId="11650" xr:uid="{00000000-0005-0000-0000-0000444C0000}"/>
    <cellStyle name="Normal 3 3 14 23 2" xfId="29181" xr:uid="{00000000-0005-0000-0000-0000454C0000}"/>
    <cellStyle name="Normal 3 3 14 24" xfId="29126" xr:uid="{00000000-0005-0000-0000-0000464C0000}"/>
    <cellStyle name="Normal 3 3 14 3" xfId="11651" xr:uid="{00000000-0005-0000-0000-0000474C0000}"/>
    <cellStyle name="Normal 3 3 14 3 10" xfId="11652" xr:uid="{00000000-0005-0000-0000-0000484C0000}"/>
    <cellStyle name="Normal 3 3 14 3 10 2" xfId="29183" xr:uid="{00000000-0005-0000-0000-0000494C0000}"/>
    <cellStyle name="Normal 3 3 14 3 11" xfId="11653" xr:uid="{00000000-0005-0000-0000-00004A4C0000}"/>
    <cellStyle name="Normal 3 3 14 3 11 2" xfId="29184" xr:uid="{00000000-0005-0000-0000-00004B4C0000}"/>
    <cellStyle name="Normal 3 3 14 3 12" xfId="11654" xr:uid="{00000000-0005-0000-0000-00004C4C0000}"/>
    <cellStyle name="Normal 3 3 14 3 12 2" xfId="29185" xr:uid="{00000000-0005-0000-0000-00004D4C0000}"/>
    <cellStyle name="Normal 3 3 14 3 13" xfId="11655" xr:uid="{00000000-0005-0000-0000-00004E4C0000}"/>
    <cellStyle name="Normal 3 3 14 3 13 2" xfId="29186" xr:uid="{00000000-0005-0000-0000-00004F4C0000}"/>
    <cellStyle name="Normal 3 3 14 3 14" xfId="11656" xr:uid="{00000000-0005-0000-0000-0000504C0000}"/>
    <cellStyle name="Normal 3 3 14 3 14 2" xfId="29187" xr:uid="{00000000-0005-0000-0000-0000514C0000}"/>
    <cellStyle name="Normal 3 3 14 3 15" xfId="11657" xr:uid="{00000000-0005-0000-0000-0000524C0000}"/>
    <cellStyle name="Normal 3 3 14 3 15 2" xfId="29188" xr:uid="{00000000-0005-0000-0000-0000534C0000}"/>
    <cellStyle name="Normal 3 3 14 3 16" xfId="29182" xr:uid="{00000000-0005-0000-0000-0000544C0000}"/>
    <cellStyle name="Normal 3 3 14 3 2" xfId="11658" xr:uid="{00000000-0005-0000-0000-0000554C0000}"/>
    <cellStyle name="Normal 3 3 14 3 2 10" xfId="11659" xr:uid="{00000000-0005-0000-0000-0000564C0000}"/>
    <cellStyle name="Normal 3 3 14 3 2 10 2" xfId="29190" xr:uid="{00000000-0005-0000-0000-0000574C0000}"/>
    <cellStyle name="Normal 3 3 14 3 2 11" xfId="11660" xr:uid="{00000000-0005-0000-0000-0000584C0000}"/>
    <cellStyle name="Normal 3 3 14 3 2 11 2" xfId="29191" xr:uid="{00000000-0005-0000-0000-0000594C0000}"/>
    <cellStyle name="Normal 3 3 14 3 2 12" xfId="11661" xr:uid="{00000000-0005-0000-0000-00005A4C0000}"/>
    <cellStyle name="Normal 3 3 14 3 2 12 2" xfId="29192" xr:uid="{00000000-0005-0000-0000-00005B4C0000}"/>
    <cellStyle name="Normal 3 3 14 3 2 13" xfId="11662" xr:uid="{00000000-0005-0000-0000-00005C4C0000}"/>
    <cellStyle name="Normal 3 3 14 3 2 13 2" xfId="29193" xr:uid="{00000000-0005-0000-0000-00005D4C0000}"/>
    <cellStyle name="Normal 3 3 14 3 2 14" xfId="11663" xr:uid="{00000000-0005-0000-0000-00005E4C0000}"/>
    <cellStyle name="Normal 3 3 14 3 2 14 2" xfId="29194" xr:uid="{00000000-0005-0000-0000-00005F4C0000}"/>
    <cellStyle name="Normal 3 3 14 3 2 15" xfId="29189" xr:uid="{00000000-0005-0000-0000-0000604C0000}"/>
    <cellStyle name="Normal 3 3 14 3 2 2" xfId="11664" xr:uid="{00000000-0005-0000-0000-0000614C0000}"/>
    <cellStyle name="Normal 3 3 14 3 2 2 2" xfId="29195" xr:uid="{00000000-0005-0000-0000-0000624C0000}"/>
    <cellStyle name="Normal 3 3 14 3 2 3" xfId="11665" xr:uid="{00000000-0005-0000-0000-0000634C0000}"/>
    <cellStyle name="Normal 3 3 14 3 2 3 2" xfId="29196" xr:uid="{00000000-0005-0000-0000-0000644C0000}"/>
    <cellStyle name="Normal 3 3 14 3 2 4" xfId="11666" xr:uid="{00000000-0005-0000-0000-0000654C0000}"/>
    <cellStyle name="Normal 3 3 14 3 2 4 2" xfId="29197" xr:uid="{00000000-0005-0000-0000-0000664C0000}"/>
    <cellStyle name="Normal 3 3 14 3 2 5" xfId="11667" xr:uid="{00000000-0005-0000-0000-0000674C0000}"/>
    <cellStyle name="Normal 3 3 14 3 2 5 2" xfId="29198" xr:uid="{00000000-0005-0000-0000-0000684C0000}"/>
    <cellStyle name="Normal 3 3 14 3 2 6" xfId="11668" xr:uid="{00000000-0005-0000-0000-0000694C0000}"/>
    <cellStyle name="Normal 3 3 14 3 2 6 2" xfId="29199" xr:uid="{00000000-0005-0000-0000-00006A4C0000}"/>
    <cellStyle name="Normal 3 3 14 3 2 7" xfId="11669" xr:uid="{00000000-0005-0000-0000-00006B4C0000}"/>
    <cellStyle name="Normal 3 3 14 3 2 7 2" xfId="29200" xr:uid="{00000000-0005-0000-0000-00006C4C0000}"/>
    <cellStyle name="Normal 3 3 14 3 2 8" xfId="11670" xr:uid="{00000000-0005-0000-0000-00006D4C0000}"/>
    <cellStyle name="Normal 3 3 14 3 2 8 2" xfId="29201" xr:uid="{00000000-0005-0000-0000-00006E4C0000}"/>
    <cellStyle name="Normal 3 3 14 3 2 9" xfId="11671" xr:uid="{00000000-0005-0000-0000-00006F4C0000}"/>
    <cellStyle name="Normal 3 3 14 3 2 9 2" xfId="29202" xr:uid="{00000000-0005-0000-0000-0000704C0000}"/>
    <cellStyle name="Normal 3 3 14 3 3" xfId="11672" xr:uid="{00000000-0005-0000-0000-0000714C0000}"/>
    <cellStyle name="Normal 3 3 14 3 3 2" xfId="29203" xr:uid="{00000000-0005-0000-0000-0000724C0000}"/>
    <cellStyle name="Normal 3 3 14 3 4" xfId="11673" xr:uid="{00000000-0005-0000-0000-0000734C0000}"/>
    <cellStyle name="Normal 3 3 14 3 4 2" xfId="29204" xr:uid="{00000000-0005-0000-0000-0000744C0000}"/>
    <cellStyle name="Normal 3 3 14 3 5" xfId="11674" xr:uid="{00000000-0005-0000-0000-0000754C0000}"/>
    <cellStyle name="Normal 3 3 14 3 5 2" xfId="29205" xr:uid="{00000000-0005-0000-0000-0000764C0000}"/>
    <cellStyle name="Normal 3 3 14 3 6" xfId="11675" xr:uid="{00000000-0005-0000-0000-0000774C0000}"/>
    <cellStyle name="Normal 3 3 14 3 6 2" xfId="29206" xr:uid="{00000000-0005-0000-0000-0000784C0000}"/>
    <cellStyle name="Normal 3 3 14 3 7" xfId="11676" xr:uid="{00000000-0005-0000-0000-0000794C0000}"/>
    <cellStyle name="Normal 3 3 14 3 7 2" xfId="29207" xr:uid="{00000000-0005-0000-0000-00007A4C0000}"/>
    <cellStyle name="Normal 3 3 14 3 8" xfId="11677" xr:uid="{00000000-0005-0000-0000-00007B4C0000}"/>
    <cellStyle name="Normal 3 3 14 3 8 2" xfId="29208" xr:uid="{00000000-0005-0000-0000-00007C4C0000}"/>
    <cellStyle name="Normal 3 3 14 3 9" xfId="11678" xr:uid="{00000000-0005-0000-0000-00007D4C0000}"/>
    <cellStyle name="Normal 3 3 14 3 9 2" xfId="29209" xr:uid="{00000000-0005-0000-0000-00007E4C0000}"/>
    <cellStyle name="Normal 3 3 14 4" xfId="11679" xr:uid="{00000000-0005-0000-0000-00007F4C0000}"/>
    <cellStyle name="Normal 3 3 14 4 10" xfId="11680" xr:uid="{00000000-0005-0000-0000-0000804C0000}"/>
    <cellStyle name="Normal 3 3 14 4 10 2" xfId="29211" xr:uid="{00000000-0005-0000-0000-0000814C0000}"/>
    <cellStyle name="Normal 3 3 14 4 11" xfId="11681" xr:uid="{00000000-0005-0000-0000-0000824C0000}"/>
    <cellStyle name="Normal 3 3 14 4 11 2" xfId="29212" xr:uid="{00000000-0005-0000-0000-0000834C0000}"/>
    <cellStyle name="Normal 3 3 14 4 12" xfId="11682" xr:uid="{00000000-0005-0000-0000-0000844C0000}"/>
    <cellStyle name="Normal 3 3 14 4 12 2" xfId="29213" xr:uid="{00000000-0005-0000-0000-0000854C0000}"/>
    <cellStyle name="Normal 3 3 14 4 13" xfId="11683" xr:uid="{00000000-0005-0000-0000-0000864C0000}"/>
    <cellStyle name="Normal 3 3 14 4 13 2" xfId="29214" xr:uid="{00000000-0005-0000-0000-0000874C0000}"/>
    <cellStyle name="Normal 3 3 14 4 14" xfId="11684" xr:uid="{00000000-0005-0000-0000-0000884C0000}"/>
    <cellStyle name="Normal 3 3 14 4 14 2" xfId="29215" xr:uid="{00000000-0005-0000-0000-0000894C0000}"/>
    <cellStyle name="Normal 3 3 14 4 15" xfId="11685" xr:uid="{00000000-0005-0000-0000-00008A4C0000}"/>
    <cellStyle name="Normal 3 3 14 4 15 2" xfId="29216" xr:uid="{00000000-0005-0000-0000-00008B4C0000}"/>
    <cellStyle name="Normal 3 3 14 4 16" xfId="29210" xr:uid="{00000000-0005-0000-0000-00008C4C0000}"/>
    <cellStyle name="Normal 3 3 14 4 2" xfId="11686" xr:uid="{00000000-0005-0000-0000-00008D4C0000}"/>
    <cellStyle name="Normal 3 3 14 4 2 10" xfId="11687" xr:uid="{00000000-0005-0000-0000-00008E4C0000}"/>
    <cellStyle name="Normal 3 3 14 4 2 10 2" xfId="29218" xr:uid="{00000000-0005-0000-0000-00008F4C0000}"/>
    <cellStyle name="Normal 3 3 14 4 2 11" xfId="11688" xr:uid="{00000000-0005-0000-0000-0000904C0000}"/>
    <cellStyle name="Normal 3 3 14 4 2 11 2" xfId="29219" xr:uid="{00000000-0005-0000-0000-0000914C0000}"/>
    <cellStyle name="Normal 3 3 14 4 2 12" xfId="11689" xr:uid="{00000000-0005-0000-0000-0000924C0000}"/>
    <cellStyle name="Normal 3 3 14 4 2 12 2" xfId="29220" xr:uid="{00000000-0005-0000-0000-0000934C0000}"/>
    <cellStyle name="Normal 3 3 14 4 2 13" xfId="11690" xr:uid="{00000000-0005-0000-0000-0000944C0000}"/>
    <cellStyle name="Normal 3 3 14 4 2 13 2" xfId="29221" xr:uid="{00000000-0005-0000-0000-0000954C0000}"/>
    <cellStyle name="Normal 3 3 14 4 2 14" xfId="11691" xr:uid="{00000000-0005-0000-0000-0000964C0000}"/>
    <cellStyle name="Normal 3 3 14 4 2 14 2" xfId="29222" xr:uid="{00000000-0005-0000-0000-0000974C0000}"/>
    <cellStyle name="Normal 3 3 14 4 2 15" xfId="29217" xr:uid="{00000000-0005-0000-0000-0000984C0000}"/>
    <cellStyle name="Normal 3 3 14 4 2 2" xfId="11692" xr:uid="{00000000-0005-0000-0000-0000994C0000}"/>
    <cellStyle name="Normal 3 3 14 4 2 2 2" xfId="29223" xr:uid="{00000000-0005-0000-0000-00009A4C0000}"/>
    <cellStyle name="Normal 3 3 14 4 2 3" xfId="11693" xr:uid="{00000000-0005-0000-0000-00009B4C0000}"/>
    <cellStyle name="Normal 3 3 14 4 2 3 2" xfId="29224" xr:uid="{00000000-0005-0000-0000-00009C4C0000}"/>
    <cellStyle name="Normal 3 3 14 4 2 4" xfId="11694" xr:uid="{00000000-0005-0000-0000-00009D4C0000}"/>
    <cellStyle name="Normal 3 3 14 4 2 4 2" xfId="29225" xr:uid="{00000000-0005-0000-0000-00009E4C0000}"/>
    <cellStyle name="Normal 3 3 14 4 2 5" xfId="11695" xr:uid="{00000000-0005-0000-0000-00009F4C0000}"/>
    <cellStyle name="Normal 3 3 14 4 2 5 2" xfId="29226" xr:uid="{00000000-0005-0000-0000-0000A04C0000}"/>
    <cellStyle name="Normal 3 3 14 4 2 6" xfId="11696" xr:uid="{00000000-0005-0000-0000-0000A14C0000}"/>
    <cellStyle name="Normal 3 3 14 4 2 6 2" xfId="29227" xr:uid="{00000000-0005-0000-0000-0000A24C0000}"/>
    <cellStyle name="Normal 3 3 14 4 2 7" xfId="11697" xr:uid="{00000000-0005-0000-0000-0000A34C0000}"/>
    <cellStyle name="Normal 3 3 14 4 2 7 2" xfId="29228" xr:uid="{00000000-0005-0000-0000-0000A44C0000}"/>
    <cellStyle name="Normal 3 3 14 4 2 8" xfId="11698" xr:uid="{00000000-0005-0000-0000-0000A54C0000}"/>
    <cellStyle name="Normal 3 3 14 4 2 8 2" xfId="29229" xr:uid="{00000000-0005-0000-0000-0000A64C0000}"/>
    <cellStyle name="Normal 3 3 14 4 2 9" xfId="11699" xr:uid="{00000000-0005-0000-0000-0000A74C0000}"/>
    <cellStyle name="Normal 3 3 14 4 2 9 2" xfId="29230" xr:uid="{00000000-0005-0000-0000-0000A84C0000}"/>
    <cellStyle name="Normal 3 3 14 4 3" xfId="11700" xr:uid="{00000000-0005-0000-0000-0000A94C0000}"/>
    <cellStyle name="Normal 3 3 14 4 3 2" xfId="29231" xr:uid="{00000000-0005-0000-0000-0000AA4C0000}"/>
    <cellStyle name="Normal 3 3 14 4 4" xfId="11701" xr:uid="{00000000-0005-0000-0000-0000AB4C0000}"/>
    <cellStyle name="Normal 3 3 14 4 4 2" xfId="29232" xr:uid="{00000000-0005-0000-0000-0000AC4C0000}"/>
    <cellStyle name="Normal 3 3 14 4 5" xfId="11702" xr:uid="{00000000-0005-0000-0000-0000AD4C0000}"/>
    <cellStyle name="Normal 3 3 14 4 5 2" xfId="29233" xr:uid="{00000000-0005-0000-0000-0000AE4C0000}"/>
    <cellStyle name="Normal 3 3 14 4 6" xfId="11703" xr:uid="{00000000-0005-0000-0000-0000AF4C0000}"/>
    <cellStyle name="Normal 3 3 14 4 6 2" xfId="29234" xr:uid="{00000000-0005-0000-0000-0000B04C0000}"/>
    <cellStyle name="Normal 3 3 14 4 7" xfId="11704" xr:uid="{00000000-0005-0000-0000-0000B14C0000}"/>
    <cellStyle name="Normal 3 3 14 4 7 2" xfId="29235" xr:uid="{00000000-0005-0000-0000-0000B24C0000}"/>
    <cellStyle name="Normal 3 3 14 4 8" xfId="11705" xr:uid="{00000000-0005-0000-0000-0000B34C0000}"/>
    <cellStyle name="Normal 3 3 14 4 8 2" xfId="29236" xr:uid="{00000000-0005-0000-0000-0000B44C0000}"/>
    <cellStyle name="Normal 3 3 14 4 9" xfId="11706" xr:uid="{00000000-0005-0000-0000-0000B54C0000}"/>
    <cellStyle name="Normal 3 3 14 4 9 2" xfId="29237" xr:uid="{00000000-0005-0000-0000-0000B64C0000}"/>
    <cellStyle name="Normal 3 3 14 5" xfId="11707" xr:uid="{00000000-0005-0000-0000-0000B74C0000}"/>
    <cellStyle name="Normal 3 3 14 5 10" xfId="11708" xr:uid="{00000000-0005-0000-0000-0000B84C0000}"/>
    <cellStyle name="Normal 3 3 14 5 10 2" xfId="29239" xr:uid="{00000000-0005-0000-0000-0000B94C0000}"/>
    <cellStyle name="Normal 3 3 14 5 11" xfId="11709" xr:uid="{00000000-0005-0000-0000-0000BA4C0000}"/>
    <cellStyle name="Normal 3 3 14 5 11 2" xfId="29240" xr:uid="{00000000-0005-0000-0000-0000BB4C0000}"/>
    <cellStyle name="Normal 3 3 14 5 12" xfId="11710" xr:uid="{00000000-0005-0000-0000-0000BC4C0000}"/>
    <cellStyle name="Normal 3 3 14 5 12 2" xfId="29241" xr:uid="{00000000-0005-0000-0000-0000BD4C0000}"/>
    <cellStyle name="Normal 3 3 14 5 13" xfId="11711" xr:uid="{00000000-0005-0000-0000-0000BE4C0000}"/>
    <cellStyle name="Normal 3 3 14 5 13 2" xfId="29242" xr:uid="{00000000-0005-0000-0000-0000BF4C0000}"/>
    <cellStyle name="Normal 3 3 14 5 14" xfId="11712" xr:uid="{00000000-0005-0000-0000-0000C04C0000}"/>
    <cellStyle name="Normal 3 3 14 5 14 2" xfId="29243" xr:uid="{00000000-0005-0000-0000-0000C14C0000}"/>
    <cellStyle name="Normal 3 3 14 5 15" xfId="29238" xr:uid="{00000000-0005-0000-0000-0000C24C0000}"/>
    <cellStyle name="Normal 3 3 14 5 2" xfId="11713" xr:uid="{00000000-0005-0000-0000-0000C34C0000}"/>
    <cellStyle name="Normal 3 3 14 5 2 2" xfId="29244" xr:uid="{00000000-0005-0000-0000-0000C44C0000}"/>
    <cellStyle name="Normal 3 3 14 5 3" xfId="11714" xr:uid="{00000000-0005-0000-0000-0000C54C0000}"/>
    <cellStyle name="Normal 3 3 14 5 3 2" xfId="29245" xr:uid="{00000000-0005-0000-0000-0000C64C0000}"/>
    <cellStyle name="Normal 3 3 14 5 4" xfId="11715" xr:uid="{00000000-0005-0000-0000-0000C74C0000}"/>
    <cellStyle name="Normal 3 3 14 5 4 2" xfId="29246" xr:uid="{00000000-0005-0000-0000-0000C84C0000}"/>
    <cellStyle name="Normal 3 3 14 5 5" xfId="11716" xr:uid="{00000000-0005-0000-0000-0000C94C0000}"/>
    <cellStyle name="Normal 3 3 14 5 5 2" xfId="29247" xr:uid="{00000000-0005-0000-0000-0000CA4C0000}"/>
    <cellStyle name="Normal 3 3 14 5 6" xfId="11717" xr:uid="{00000000-0005-0000-0000-0000CB4C0000}"/>
    <cellStyle name="Normal 3 3 14 5 6 2" xfId="29248" xr:uid="{00000000-0005-0000-0000-0000CC4C0000}"/>
    <cellStyle name="Normal 3 3 14 5 7" xfId="11718" xr:uid="{00000000-0005-0000-0000-0000CD4C0000}"/>
    <cellStyle name="Normal 3 3 14 5 7 2" xfId="29249" xr:uid="{00000000-0005-0000-0000-0000CE4C0000}"/>
    <cellStyle name="Normal 3 3 14 5 8" xfId="11719" xr:uid="{00000000-0005-0000-0000-0000CF4C0000}"/>
    <cellStyle name="Normal 3 3 14 5 8 2" xfId="29250" xr:uid="{00000000-0005-0000-0000-0000D04C0000}"/>
    <cellStyle name="Normal 3 3 14 5 9" xfId="11720" xr:uid="{00000000-0005-0000-0000-0000D14C0000}"/>
    <cellStyle name="Normal 3 3 14 5 9 2" xfId="29251" xr:uid="{00000000-0005-0000-0000-0000D24C0000}"/>
    <cellStyle name="Normal 3 3 14 6" xfId="11721" xr:uid="{00000000-0005-0000-0000-0000D34C0000}"/>
    <cellStyle name="Normal 3 3 14 6 10" xfId="11722" xr:uid="{00000000-0005-0000-0000-0000D44C0000}"/>
    <cellStyle name="Normal 3 3 14 6 10 2" xfId="29253" xr:uid="{00000000-0005-0000-0000-0000D54C0000}"/>
    <cellStyle name="Normal 3 3 14 6 11" xfId="11723" xr:uid="{00000000-0005-0000-0000-0000D64C0000}"/>
    <cellStyle name="Normal 3 3 14 6 11 2" xfId="29254" xr:uid="{00000000-0005-0000-0000-0000D74C0000}"/>
    <cellStyle name="Normal 3 3 14 6 12" xfId="11724" xr:uid="{00000000-0005-0000-0000-0000D84C0000}"/>
    <cellStyle name="Normal 3 3 14 6 12 2" xfId="29255" xr:uid="{00000000-0005-0000-0000-0000D94C0000}"/>
    <cellStyle name="Normal 3 3 14 6 13" xfId="11725" xr:uid="{00000000-0005-0000-0000-0000DA4C0000}"/>
    <cellStyle name="Normal 3 3 14 6 13 2" xfId="29256" xr:uid="{00000000-0005-0000-0000-0000DB4C0000}"/>
    <cellStyle name="Normal 3 3 14 6 14" xfId="11726" xr:uid="{00000000-0005-0000-0000-0000DC4C0000}"/>
    <cellStyle name="Normal 3 3 14 6 14 2" xfId="29257" xr:uid="{00000000-0005-0000-0000-0000DD4C0000}"/>
    <cellStyle name="Normal 3 3 14 6 15" xfId="29252" xr:uid="{00000000-0005-0000-0000-0000DE4C0000}"/>
    <cellStyle name="Normal 3 3 14 6 2" xfId="11727" xr:uid="{00000000-0005-0000-0000-0000DF4C0000}"/>
    <cellStyle name="Normal 3 3 14 6 2 2" xfId="29258" xr:uid="{00000000-0005-0000-0000-0000E04C0000}"/>
    <cellStyle name="Normal 3 3 14 6 3" xfId="11728" xr:uid="{00000000-0005-0000-0000-0000E14C0000}"/>
    <cellStyle name="Normal 3 3 14 6 3 2" xfId="29259" xr:uid="{00000000-0005-0000-0000-0000E24C0000}"/>
    <cellStyle name="Normal 3 3 14 6 4" xfId="11729" xr:uid="{00000000-0005-0000-0000-0000E34C0000}"/>
    <cellStyle name="Normal 3 3 14 6 4 2" xfId="29260" xr:uid="{00000000-0005-0000-0000-0000E44C0000}"/>
    <cellStyle name="Normal 3 3 14 6 5" xfId="11730" xr:uid="{00000000-0005-0000-0000-0000E54C0000}"/>
    <cellStyle name="Normal 3 3 14 6 5 2" xfId="29261" xr:uid="{00000000-0005-0000-0000-0000E64C0000}"/>
    <cellStyle name="Normal 3 3 14 6 6" xfId="11731" xr:uid="{00000000-0005-0000-0000-0000E74C0000}"/>
    <cellStyle name="Normal 3 3 14 6 6 2" xfId="29262" xr:uid="{00000000-0005-0000-0000-0000E84C0000}"/>
    <cellStyle name="Normal 3 3 14 6 7" xfId="11732" xr:uid="{00000000-0005-0000-0000-0000E94C0000}"/>
    <cellStyle name="Normal 3 3 14 6 7 2" xfId="29263" xr:uid="{00000000-0005-0000-0000-0000EA4C0000}"/>
    <cellStyle name="Normal 3 3 14 6 8" xfId="11733" xr:uid="{00000000-0005-0000-0000-0000EB4C0000}"/>
    <cellStyle name="Normal 3 3 14 6 8 2" xfId="29264" xr:uid="{00000000-0005-0000-0000-0000EC4C0000}"/>
    <cellStyle name="Normal 3 3 14 6 9" xfId="11734" xr:uid="{00000000-0005-0000-0000-0000ED4C0000}"/>
    <cellStyle name="Normal 3 3 14 6 9 2" xfId="29265" xr:uid="{00000000-0005-0000-0000-0000EE4C0000}"/>
    <cellStyle name="Normal 3 3 14 7" xfId="11735" xr:uid="{00000000-0005-0000-0000-0000EF4C0000}"/>
    <cellStyle name="Normal 3 3 14 7 10" xfId="11736" xr:uid="{00000000-0005-0000-0000-0000F04C0000}"/>
    <cellStyle name="Normal 3 3 14 7 10 2" xfId="29267" xr:uid="{00000000-0005-0000-0000-0000F14C0000}"/>
    <cellStyle name="Normal 3 3 14 7 11" xfId="11737" xr:uid="{00000000-0005-0000-0000-0000F24C0000}"/>
    <cellStyle name="Normal 3 3 14 7 11 2" xfId="29268" xr:uid="{00000000-0005-0000-0000-0000F34C0000}"/>
    <cellStyle name="Normal 3 3 14 7 12" xfId="11738" xr:uid="{00000000-0005-0000-0000-0000F44C0000}"/>
    <cellStyle name="Normal 3 3 14 7 12 2" xfId="29269" xr:uid="{00000000-0005-0000-0000-0000F54C0000}"/>
    <cellStyle name="Normal 3 3 14 7 13" xfId="11739" xr:uid="{00000000-0005-0000-0000-0000F64C0000}"/>
    <cellStyle name="Normal 3 3 14 7 13 2" xfId="29270" xr:uid="{00000000-0005-0000-0000-0000F74C0000}"/>
    <cellStyle name="Normal 3 3 14 7 14" xfId="11740" xr:uid="{00000000-0005-0000-0000-0000F84C0000}"/>
    <cellStyle name="Normal 3 3 14 7 14 2" xfId="29271" xr:uid="{00000000-0005-0000-0000-0000F94C0000}"/>
    <cellStyle name="Normal 3 3 14 7 15" xfId="29266" xr:uid="{00000000-0005-0000-0000-0000FA4C0000}"/>
    <cellStyle name="Normal 3 3 14 7 2" xfId="11741" xr:uid="{00000000-0005-0000-0000-0000FB4C0000}"/>
    <cellStyle name="Normal 3 3 14 7 2 2" xfId="29272" xr:uid="{00000000-0005-0000-0000-0000FC4C0000}"/>
    <cellStyle name="Normal 3 3 14 7 3" xfId="11742" xr:uid="{00000000-0005-0000-0000-0000FD4C0000}"/>
    <cellStyle name="Normal 3 3 14 7 3 2" xfId="29273" xr:uid="{00000000-0005-0000-0000-0000FE4C0000}"/>
    <cellStyle name="Normal 3 3 14 7 4" xfId="11743" xr:uid="{00000000-0005-0000-0000-0000FF4C0000}"/>
    <cellStyle name="Normal 3 3 14 7 4 2" xfId="29274" xr:uid="{00000000-0005-0000-0000-0000004D0000}"/>
    <cellStyle name="Normal 3 3 14 7 5" xfId="11744" xr:uid="{00000000-0005-0000-0000-0000014D0000}"/>
    <cellStyle name="Normal 3 3 14 7 5 2" xfId="29275" xr:uid="{00000000-0005-0000-0000-0000024D0000}"/>
    <cellStyle name="Normal 3 3 14 7 6" xfId="11745" xr:uid="{00000000-0005-0000-0000-0000034D0000}"/>
    <cellStyle name="Normal 3 3 14 7 6 2" xfId="29276" xr:uid="{00000000-0005-0000-0000-0000044D0000}"/>
    <cellStyle name="Normal 3 3 14 7 7" xfId="11746" xr:uid="{00000000-0005-0000-0000-0000054D0000}"/>
    <cellStyle name="Normal 3 3 14 7 7 2" xfId="29277" xr:uid="{00000000-0005-0000-0000-0000064D0000}"/>
    <cellStyle name="Normal 3 3 14 7 8" xfId="11747" xr:uid="{00000000-0005-0000-0000-0000074D0000}"/>
    <cellStyle name="Normal 3 3 14 7 8 2" xfId="29278" xr:uid="{00000000-0005-0000-0000-0000084D0000}"/>
    <cellStyle name="Normal 3 3 14 7 9" xfId="11748" xr:uid="{00000000-0005-0000-0000-0000094D0000}"/>
    <cellStyle name="Normal 3 3 14 7 9 2" xfId="29279" xr:uid="{00000000-0005-0000-0000-00000A4D0000}"/>
    <cellStyle name="Normal 3 3 14 8" xfId="11749" xr:uid="{00000000-0005-0000-0000-00000B4D0000}"/>
    <cellStyle name="Normal 3 3 14 8 10" xfId="11750" xr:uid="{00000000-0005-0000-0000-00000C4D0000}"/>
    <cellStyle name="Normal 3 3 14 8 10 2" xfId="29281" xr:uid="{00000000-0005-0000-0000-00000D4D0000}"/>
    <cellStyle name="Normal 3 3 14 8 11" xfId="11751" xr:uid="{00000000-0005-0000-0000-00000E4D0000}"/>
    <cellStyle name="Normal 3 3 14 8 11 2" xfId="29282" xr:uid="{00000000-0005-0000-0000-00000F4D0000}"/>
    <cellStyle name="Normal 3 3 14 8 12" xfId="11752" xr:uid="{00000000-0005-0000-0000-0000104D0000}"/>
    <cellStyle name="Normal 3 3 14 8 12 2" xfId="29283" xr:uid="{00000000-0005-0000-0000-0000114D0000}"/>
    <cellStyle name="Normal 3 3 14 8 13" xfId="11753" xr:uid="{00000000-0005-0000-0000-0000124D0000}"/>
    <cellStyle name="Normal 3 3 14 8 13 2" xfId="29284" xr:uid="{00000000-0005-0000-0000-0000134D0000}"/>
    <cellStyle name="Normal 3 3 14 8 14" xfId="11754" xr:uid="{00000000-0005-0000-0000-0000144D0000}"/>
    <cellStyle name="Normal 3 3 14 8 14 2" xfId="29285" xr:uid="{00000000-0005-0000-0000-0000154D0000}"/>
    <cellStyle name="Normal 3 3 14 8 15" xfId="29280" xr:uid="{00000000-0005-0000-0000-0000164D0000}"/>
    <cellStyle name="Normal 3 3 14 8 2" xfId="11755" xr:uid="{00000000-0005-0000-0000-0000174D0000}"/>
    <cellStyle name="Normal 3 3 14 8 2 2" xfId="29286" xr:uid="{00000000-0005-0000-0000-0000184D0000}"/>
    <cellStyle name="Normal 3 3 14 8 3" xfId="11756" xr:uid="{00000000-0005-0000-0000-0000194D0000}"/>
    <cellStyle name="Normal 3 3 14 8 3 2" xfId="29287" xr:uid="{00000000-0005-0000-0000-00001A4D0000}"/>
    <cellStyle name="Normal 3 3 14 8 4" xfId="11757" xr:uid="{00000000-0005-0000-0000-00001B4D0000}"/>
    <cellStyle name="Normal 3 3 14 8 4 2" xfId="29288" xr:uid="{00000000-0005-0000-0000-00001C4D0000}"/>
    <cellStyle name="Normal 3 3 14 8 5" xfId="11758" xr:uid="{00000000-0005-0000-0000-00001D4D0000}"/>
    <cellStyle name="Normal 3 3 14 8 5 2" xfId="29289" xr:uid="{00000000-0005-0000-0000-00001E4D0000}"/>
    <cellStyle name="Normal 3 3 14 8 6" xfId="11759" xr:uid="{00000000-0005-0000-0000-00001F4D0000}"/>
    <cellStyle name="Normal 3 3 14 8 6 2" xfId="29290" xr:uid="{00000000-0005-0000-0000-0000204D0000}"/>
    <cellStyle name="Normal 3 3 14 8 7" xfId="11760" xr:uid="{00000000-0005-0000-0000-0000214D0000}"/>
    <cellStyle name="Normal 3 3 14 8 7 2" xfId="29291" xr:uid="{00000000-0005-0000-0000-0000224D0000}"/>
    <cellStyle name="Normal 3 3 14 8 8" xfId="11761" xr:uid="{00000000-0005-0000-0000-0000234D0000}"/>
    <cellStyle name="Normal 3 3 14 8 8 2" xfId="29292" xr:uid="{00000000-0005-0000-0000-0000244D0000}"/>
    <cellStyle name="Normal 3 3 14 8 9" xfId="11762" xr:uid="{00000000-0005-0000-0000-0000254D0000}"/>
    <cellStyle name="Normal 3 3 14 8 9 2" xfId="29293" xr:uid="{00000000-0005-0000-0000-0000264D0000}"/>
    <cellStyle name="Normal 3 3 14 9" xfId="11763" xr:uid="{00000000-0005-0000-0000-0000274D0000}"/>
    <cellStyle name="Normal 3 3 14 9 10" xfId="11764" xr:uid="{00000000-0005-0000-0000-0000284D0000}"/>
    <cellStyle name="Normal 3 3 14 9 10 2" xfId="29295" xr:uid="{00000000-0005-0000-0000-0000294D0000}"/>
    <cellStyle name="Normal 3 3 14 9 11" xfId="11765" xr:uid="{00000000-0005-0000-0000-00002A4D0000}"/>
    <cellStyle name="Normal 3 3 14 9 11 2" xfId="29296" xr:uid="{00000000-0005-0000-0000-00002B4D0000}"/>
    <cellStyle name="Normal 3 3 14 9 12" xfId="11766" xr:uid="{00000000-0005-0000-0000-00002C4D0000}"/>
    <cellStyle name="Normal 3 3 14 9 12 2" xfId="29297" xr:uid="{00000000-0005-0000-0000-00002D4D0000}"/>
    <cellStyle name="Normal 3 3 14 9 13" xfId="11767" xr:uid="{00000000-0005-0000-0000-00002E4D0000}"/>
    <cellStyle name="Normal 3 3 14 9 13 2" xfId="29298" xr:uid="{00000000-0005-0000-0000-00002F4D0000}"/>
    <cellStyle name="Normal 3 3 14 9 14" xfId="11768" xr:uid="{00000000-0005-0000-0000-0000304D0000}"/>
    <cellStyle name="Normal 3 3 14 9 14 2" xfId="29299" xr:uid="{00000000-0005-0000-0000-0000314D0000}"/>
    <cellStyle name="Normal 3 3 14 9 15" xfId="29294" xr:uid="{00000000-0005-0000-0000-0000324D0000}"/>
    <cellStyle name="Normal 3 3 14 9 2" xfId="11769" xr:uid="{00000000-0005-0000-0000-0000334D0000}"/>
    <cellStyle name="Normal 3 3 14 9 2 2" xfId="29300" xr:uid="{00000000-0005-0000-0000-0000344D0000}"/>
    <cellStyle name="Normal 3 3 14 9 3" xfId="11770" xr:uid="{00000000-0005-0000-0000-0000354D0000}"/>
    <cellStyle name="Normal 3 3 14 9 3 2" xfId="29301" xr:uid="{00000000-0005-0000-0000-0000364D0000}"/>
    <cellStyle name="Normal 3 3 14 9 4" xfId="11771" xr:uid="{00000000-0005-0000-0000-0000374D0000}"/>
    <cellStyle name="Normal 3 3 14 9 4 2" xfId="29302" xr:uid="{00000000-0005-0000-0000-0000384D0000}"/>
    <cellStyle name="Normal 3 3 14 9 5" xfId="11772" xr:uid="{00000000-0005-0000-0000-0000394D0000}"/>
    <cellStyle name="Normal 3 3 14 9 5 2" xfId="29303" xr:uid="{00000000-0005-0000-0000-00003A4D0000}"/>
    <cellStyle name="Normal 3 3 14 9 6" xfId="11773" xr:uid="{00000000-0005-0000-0000-00003B4D0000}"/>
    <cellStyle name="Normal 3 3 14 9 6 2" xfId="29304" xr:uid="{00000000-0005-0000-0000-00003C4D0000}"/>
    <cellStyle name="Normal 3 3 14 9 7" xfId="11774" xr:uid="{00000000-0005-0000-0000-00003D4D0000}"/>
    <cellStyle name="Normal 3 3 14 9 7 2" xfId="29305" xr:uid="{00000000-0005-0000-0000-00003E4D0000}"/>
    <cellStyle name="Normal 3 3 14 9 8" xfId="11775" xr:uid="{00000000-0005-0000-0000-00003F4D0000}"/>
    <cellStyle name="Normal 3 3 14 9 8 2" xfId="29306" xr:uid="{00000000-0005-0000-0000-0000404D0000}"/>
    <cellStyle name="Normal 3 3 14 9 9" xfId="11776" xr:uid="{00000000-0005-0000-0000-0000414D0000}"/>
    <cellStyle name="Normal 3 3 14 9 9 2" xfId="29307" xr:uid="{00000000-0005-0000-0000-0000424D0000}"/>
    <cellStyle name="Normal 3 3 15" xfId="11777" xr:uid="{00000000-0005-0000-0000-0000434D0000}"/>
    <cellStyle name="Normal 3 3 15 10" xfId="11778" xr:uid="{00000000-0005-0000-0000-0000444D0000}"/>
    <cellStyle name="Normal 3 3 15 10 10" xfId="11779" xr:uid="{00000000-0005-0000-0000-0000454D0000}"/>
    <cellStyle name="Normal 3 3 15 10 10 2" xfId="29310" xr:uid="{00000000-0005-0000-0000-0000464D0000}"/>
    <cellStyle name="Normal 3 3 15 10 11" xfId="11780" xr:uid="{00000000-0005-0000-0000-0000474D0000}"/>
    <cellStyle name="Normal 3 3 15 10 11 2" xfId="29311" xr:uid="{00000000-0005-0000-0000-0000484D0000}"/>
    <cellStyle name="Normal 3 3 15 10 12" xfId="11781" xr:uid="{00000000-0005-0000-0000-0000494D0000}"/>
    <cellStyle name="Normal 3 3 15 10 12 2" xfId="29312" xr:uid="{00000000-0005-0000-0000-00004A4D0000}"/>
    <cellStyle name="Normal 3 3 15 10 13" xfId="11782" xr:uid="{00000000-0005-0000-0000-00004B4D0000}"/>
    <cellStyle name="Normal 3 3 15 10 13 2" xfId="29313" xr:uid="{00000000-0005-0000-0000-00004C4D0000}"/>
    <cellStyle name="Normal 3 3 15 10 14" xfId="11783" xr:uid="{00000000-0005-0000-0000-00004D4D0000}"/>
    <cellStyle name="Normal 3 3 15 10 14 2" xfId="29314" xr:uid="{00000000-0005-0000-0000-00004E4D0000}"/>
    <cellStyle name="Normal 3 3 15 10 15" xfId="29309" xr:uid="{00000000-0005-0000-0000-00004F4D0000}"/>
    <cellStyle name="Normal 3 3 15 10 2" xfId="11784" xr:uid="{00000000-0005-0000-0000-0000504D0000}"/>
    <cellStyle name="Normal 3 3 15 10 2 2" xfId="29315" xr:uid="{00000000-0005-0000-0000-0000514D0000}"/>
    <cellStyle name="Normal 3 3 15 10 3" xfId="11785" xr:uid="{00000000-0005-0000-0000-0000524D0000}"/>
    <cellStyle name="Normal 3 3 15 10 3 2" xfId="29316" xr:uid="{00000000-0005-0000-0000-0000534D0000}"/>
    <cellStyle name="Normal 3 3 15 10 4" xfId="11786" xr:uid="{00000000-0005-0000-0000-0000544D0000}"/>
    <cellStyle name="Normal 3 3 15 10 4 2" xfId="29317" xr:uid="{00000000-0005-0000-0000-0000554D0000}"/>
    <cellStyle name="Normal 3 3 15 10 5" xfId="11787" xr:uid="{00000000-0005-0000-0000-0000564D0000}"/>
    <cellStyle name="Normal 3 3 15 10 5 2" xfId="29318" xr:uid="{00000000-0005-0000-0000-0000574D0000}"/>
    <cellStyle name="Normal 3 3 15 10 6" xfId="11788" xr:uid="{00000000-0005-0000-0000-0000584D0000}"/>
    <cellStyle name="Normal 3 3 15 10 6 2" xfId="29319" xr:uid="{00000000-0005-0000-0000-0000594D0000}"/>
    <cellStyle name="Normal 3 3 15 10 7" xfId="11789" xr:uid="{00000000-0005-0000-0000-00005A4D0000}"/>
    <cellStyle name="Normal 3 3 15 10 7 2" xfId="29320" xr:uid="{00000000-0005-0000-0000-00005B4D0000}"/>
    <cellStyle name="Normal 3 3 15 10 8" xfId="11790" xr:uid="{00000000-0005-0000-0000-00005C4D0000}"/>
    <cellStyle name="Normal 3 3 15 10 8 2" xfId="29321" xr:uid="{00000000-0005-0000-0000-00005D4D0000}"/>
    <cellStyle name="Normal 3 3 15 10 9" xfId="11791" xr:uid="{00000000-0005-0000-0000-00005E4D0000}"/>
    <cellStyle name="Normal 3 3 15 10 9 2" xfId="29322" xr:uid="{00000000-0005-0000-0000-00005F4D0000}"/>
    <cellStyle name="Normal 3 3 15 11" xfId="11792" xr:uid="{00000000-0005-0000-0000-0000604D0000}"/>
    <cellStyle name="Normal 3 3 15 11 2" xfId="29323" xr:uid="{00000000-0005-0000-0000-0000614D0000}"/>
    <cellStyle name="Normal 3 3 15 12" xfId="11793" xr:uid="{00000000-0005-0000-0000-0000624D0000}"/>
    <cellStyle name="Normal 3 3 15 12 2" xfId="29324" xr:uid="{00000000-0005-0000-0000-0000634D0000}"/>
    <cellStyle name="Normal 3 3 15 13" xfId="11794" xr:uid="{00000000-0005-0000-0000-0000644D0000}"/>
    <cellStyle name="Normal 3 3 15 13 2" xfId="29325" xr:uid="{00000000-0005-0000-0000-0000654D0000}"/>
    <cellStyle name="Normal 3 3 15 14" xfId="11795" xr:uid="{00000000-0005-0000-0000-0000664D0000}"/>
    <cellStyle name="Normal 3 3 15 14 2" xfId="29326" xr:uid="{00000000-0005-0000-0000-0000674D0000}"/>
    <cellStyle name="Normal 3 3 15 15" xfId="11796" xr:uid="{00000000-0005-0000-0000-0000684D0000}"/>
    <cellStyle name="Normal 3 3 15 15 2" xfId="29327" xr:uid="{00000000-0005-0000-0000-0000694D0000}"/>
    <cellStyle name="Normal 3 3 15 16" xfId="11797" xr:uid="{00000000-0005-0000-0000-00006A4D0000}"/>
    <cellStyle name="Normal 3 3 15 16 2" xfId="29328" xr:uid="{00000000-0005-0000-0000-00006B4D0000}"/>
    <cellStyle name="Normal 3 3 15 17" xfId="11798" xr:uid="{00000000-0005-0000-0000-00006C4D0000}"/>
    <cellStyle name="Normal 3 3 15 17 2" xfId="29329" xr:uid="{00000000-0005-0000-0000-00006D4D0000}"/>
    <cellStyle name="Normal 3 3 15 18" xfId="11799" xr:uid="{00000000-0005-0000-0000-00006E4D0000}"/>
    <cellStyle name="Normal 3 3 15 18 2" xfId="29330" xr:uid="{00000000-0005-0000-0000-00006F4D0000}"/>
    <cellStyle name="Normal 3 3 15 19" xfId="11800" xr:uid="{00000000-0005-0000-0000-0000704D0000}"/>
    <cellStyle name="Normal 3 3 15 19 2" xfId="29331" xr:uid="{00000000-0005-0000-0000-0000714D0000}"/>
    <cellStyle name="Normal 3 3 15 2" xfId="11801" xr:uid="{00000000-0005-0000-0000-0000724D0000}"/>
    <cellStyle name="Normal 3 3 15 2 10" xfId="11802" xr:uid="{00000000-0005-0000-0000-0000734D0000}"/>
    <cellStyle name="Normal 3 3 15 2 10 2" xfId="29333" xr:uid="{00000000-0005-0000-0000-0000744D0000}"/>
    <cellStyle name="Normal 3 3 15 2 11" xfId="11803" xr:uid="{00000000-0005-0000-0000-0000754D0000}"/>
    <cellStyle name="Normal 3 3 15 2 11 2" xfId="29334" xr:uid="{00000000-0005-0000-0000-0000764D0000}"/>
    <cellStyle name="Normal 3 3 15 2 12" xfId="11804" xr:uid="{00000000-0005-0000-0000-0000774D0000}"/>
    <cellStyle name="Normal 3 3 15 2 12 2" xfId="29335" xr:uid="{00000000-0005-0000-0000-0000784D0000}"/>
    <cellStyle name="Normal 3 3 15 2 13" xfId="11805" xr:uid="{00000000-0005-0000-0000-0000794D0000}"/>
    <cellStyle name="Normal 3 3 15 2 13 2" xfId="29336" xr:uid="{00000000-0005-0000-0000-00007A4D0000}"/>
    <cellStyle name="Normal 3 3 15 2 14" xfId="11806" xr:uid="{00000000-0005-0000-0000-00007B4D0000}"/>
    <cellStyle name="Normal 3 3 15 2 14 2" xfId="29337" xr:uid="{00000000-0005-0000-0000-00007C4D0000}"/>
    <cellStyle name="Normal 3 3 15 2 15" xfId="11807" xr:uid="{00000000-0005-0000-0000-00007D4D0000}"/>
    <cellStyle name="Normal 3 3 15 2 15 2" xfId="29338" xr:uid="{00000000-0005-0000-0000-00007E4D0000}"/>
    <cellStyle name="Normal 3 3 15 2 16" xfId="29332" xr:uid="{00000000-0005-0000-0000-00007F4D0000}"/>
    <cellStyle name="Normal 3 3 15 2 2" xfId="11808" xr:uid="{00000000-0005-0000-0000-0000804D0000}"/>
    <cellStyle name="Normal 3 3 15 2 2 10" xfId="11809" xr:uid="{00000000-0005-0000-0000-0000814D0000}"/>
    <cellStyle name="Normal 3 3 15 2 2 10 2" xfId="29340" xr:uid="{00000000-0005-0000-0000-0000824D0000}"/>
    <cellStyle name="Normal 3 3 15 2 2 11" xfId="11810" xr:uid="{00000000-0005-0000-0000-0000834D0000}"/>
    <cellStyle name="Normal 3 3 15 2 2 11 2" xfId="29341" xr:uid="{00000000-0005-0000-0000-0000844D0000}"/>
    <cellStyle name="Normal 3 3 15 2 2 12" xfId="11811" xr:uid="{00000000-0005-0000-0000-0000854D0000}"/>
    <cellStyle name="Normal 3 3 15 2 2 12 2" xfId="29342" xr:uid="{00000000-0005-0000-0000-0000864D0000}"/>
    <cellStyle name="Normal 3 3 15 2 2 13" xfId="11812" xr:uid="{00000000-0005-0000-0000-0000874D0000}"/>
    <cellStyle name="Normal 3 3 15 2 2 13 2" xfId="29343" xr:uid="{00000000-0005-0000-0000-0000884D0000}"/>
    <cellStyle name="Normal 3 3 15 2 2 14" xfId="11813" xr:uid="{00000000-0005-0000-0000-0000894D0000}"/>
    <cellStyle name="Normal 3 3 15 2 2 14 2" xfId="29344" xr:uid="{00000000-0005-0000-0000-00008A4D0000}"/>
    <cellStyle name="Normal 3 3 15 2 2 15" xfId="29339" xr:uid="{00000000-0005-0000-0000-00008B4D0000}"/>
    <cellStyle name="Normal 3 3 15 2 2 2" xfId="11814" xr:uid="{00000000-0005-0000-0000-00008C4D0000}"/>
    <cellStyle name="Normal 3 3 15 2 2 2 2" xfId="29345" xr:uid="{00000000-0005-0000-0000-00008D4D0000}"/>
    <cellStyle name="Normal 3 3 15 2 2 3" xfId="11815" xr:uid="{00000000-0005-0000-0000-00008E4D0000}"/>
    <cellStyle name="Normal 3 3 15 2 2 3 2" xfId="29346" xr:uid="{00000000-0005-0000-0000-00008F4D0000}"/>
    <cellStyle name="Normal 3 3 15 2 2 4" xfId="11816" xr:uid="{00000000-0005-0000-0000-0000904D0000}"/>
    <cellStyle name="Normal 3 3 15 2 2 4 2" xfId="29347" xr:uid="{00000000-0005-0000-0000-0000914D0000}"/>
    <cellStyle name="Normal 3 3 15 2 2 5" xfId="11817" xr:uid="{00000000-0005-0000-0000-0000924D0000}"/>
    <cellStyle name="Normal 3 3 15 2 2 5 2" xfId="29348" xr:uid="{00000000-0005-0000-0000-0000934D0000}"/>
    <cellStyle name="Normal 3 3 15 2 2 6" xfId="11818" xr:uid="{00000000-0005-0000-0000-0000944D0000}"/>
    <cellStyle name="Normal 3 3 15 2 2 6 2" xfId="29349" xr:uid="{00000000-0005-0000-0000-0000954D0000}"/>
    <cellStyle name="Normal 3 3 15 2 2 7" xfId="11819" xr:uid="{00000000-0005-0000-0000-0000964D0000}"/>
    <cellStyle name="Normal 3 3 15 2 2 7 2" xfId="29350" xr:uid="{00000000-0005-0000-0000-0000974D0000}"/>
    <cellStyle name="Normal 3 3 15 2 2 8" xfId="11820" xr:uid="{00000000-0005-0000-0000-0000984D0000}"/>
    <cellStyle name="Normal 3 3 15 2 2 8 2" xfId="29351" xr:uid="{00000000-0005-0000-0000-0000994D0000}"/>
    <cellStyle name="Normal 3 3 15 2 2 9" xfId="11821" xr:uid="{00000000-0005-0000-0000-00009A4D0000}"/>
    <cellStyle name="Normal 3 3 15 2 2 9 2" xfId="29352" xr:uid="{00000000-0005-0000-0000-00009B4D0000}"/>
    <cellStyle name="Normal 3 3 15 2 3" xfId="11822" xr:uid="{00000000-0005-0000-0000-00009C4D0000}"/>
    <cellStyle name="Normal 3 3 15 2 3 2" xfId="29353" xr:uid="{00000000-0005-0000-0000-00009D4D0000}"/>
    <cellStyle name="Normal 3 3 15 2 4" xfId="11823" xr:uid="{00000000-0005-0000-0000-00009E4D0000}"/>
    <cellStyle name="Normal 3 3 15 2 4 2" xfId="29354" xr:uid="{00000000-0005-0000-0000-00009F4D0000}"/>
    <cellStyle name="Normal 3 3 15 2 5" xfId="11824" xr:uid="{00000000-0005-0000-0000-0000A04D0000}"/>
    <cellStyle name="Normal 3 3 15 2 5 2" xfId="29355" xr:uid="{00000000-0005-0000-0000-0000A14D0000}"/>
    <cellStyle name="Normal 3 3 15 2 6" xfId="11825" xr:uid="{00000000-0005-0000-0000-0000A24D0000}"/>
    <cellStyle name="Normal 3 3 15 2 6 2" xfId="29356" xr:uid="{00000000-0005-0000-0000-0000A34D0000}"/>
    <cellStyle name="Normal 3 3 15 2 7" xfId="11826" xr:uid="{00000000-0005-0000-0000-0000A44D0000}"/>
    <cellStyle name="Normal 3 3 15 2 7 2" xfId="29357" xr:uid="{00000000-0005-0000-0000-0000A54D0000}"/>
    <cellStyle name="Normal 3 3 15 2 8" xfId="11827" xr:uid="{00000000-0005-0000-0000-0000A64D0000}"/>
    <cellStyle name="Normal 3 3 15 2 8 2" xfId="29358" xr:uid="{00000000-0005-0000-0000-0000A74D0000}"/>
    <cellStyle name="Normal 3 3 15 2 9" xfId="11828" xr:uid="{00000000-0005-0000-0000-0000A84D0000}"/>
    <cellStyle name="Normal 3 3 15 2 9 2" xfId="29359" xr:uid="{00000000-0005-0000-0000-0000A94D0000}"/>
    <cellStyle name="Normal 3 3 15 20" xfId="11829" xr:uid="{00000000-0005-0000-0000-0000AA4D0000}"/>
    <cellStyle name="Normal 3 3 15 20 2" xfId="29360" xr:uid="{00000000-0005-0000-0000-0000AB4D0000}"/>
    <cellStyle name="Normal 3 3 15 21" xfId="11830" xr:uid="{00000000-0005-0000-0000-0000AC4D0000}"/>
    <cellStyle name="Normal 3 3 15 21 2" xfId="29361" xr:uid="{00000000-0005-0000-0000-0000AD4D0000}"/>
    <cellStyle name="Normal 3 3 15 22" xfId="11831" xr:uid="{00000000-0005-0000-0000-0000AE4D0000}"/>
    <cellStyle name="Normal 3 3 15 22 2" xfId="29362" xr:uid="{00000000-0005-0000-0000-0000AF4D0000}"/>
    <cellStyle name="Normal 3 3 15 23" xfId="11832" xr:uid="{00000000-0005-0000-0000-0000B04D0000}"/>
    <cellStyle name="Normal 3 3 15 23 2" xfId="29363" xr:uid="{00000000-0005-0000-0000-0000B14D0000}"/>
    <cellStyle name="Normal 3 3 15 24" xfId="29308" xr:uid="{00000000-0005-0000-0000-0000B24D0000}"/>
    <cellStyle name="Normal 3 3 15 3" xfId="11833" xr:uid="{00000000-0005-0000-0000-0000B34D0000}"/>
    <cellStyle name="Normal 3 3 15 3 10" xfId="11834" xr:uid="{00000000-0005-0000-0000-0000B44D0000}"/>
    <cellStyle name="Normal 3 3 15 3 10 2" xfId="29365" xr:uid="{00000000-0005-0000-0000-0000B54D0000}"/>
    <cellStyle name="Normal 3 3 15 3 11" xfId="11835" xr:uid="{00000000-0005-0000-0000-0000B64D0000}"/>
    <cellStyle name="Normal 3 3 15 3 11 2" xfId="29366" xr:uid="{00000000-0005-0000-0000-0000B74D0000}"/>
    <cellStyle name="Normal 3 3 15 3 12" xfId="11836" xr:uid="{00000000-0005-0000-0000-0000B84D0000}"/>
    <cellStyle name="Normal 3 3 15 3 12 2" xfId="29367" xr:uid="{00000000-0005-0000-0000-0000B94D0000}"/>
    <cellStyle name="Normal 3 3 15 3 13" xfId="11837" xr:uid="{00000000-0005-0000-0000-0000BA4D0000}"/>
    <cellStyle name="Normal 3 3 15 3 13 2" xfId="29368" xr:uid="{00000000-0005-0000-0000-0000BB4D0000}"/>
    <cellStyle name="Normal 3 3 15 3 14" xfId="11838" xr:uid="{00000000-0005-0000-0000-0000BC4D0000}"/>
    <cellStyle name="Normal 3 3 15 3 14 2" xfId="29369" xr:uid="{00000000-0005-0000-0000-0000BD4D0000}"/>
    <cellStyle name="Normal 3 3 15 3 15" xfId="11839" xr:uid="{00000000-0005-0000-0000-0000BE4D0000}"/>
    <cellStyle name="Normal 3 3 15 3 15 2" xfId="29370" xr:uid="{00000000-0005-0000-0000-0000BF4D0000}"/>
    <cellStyle name="Normal 3 3 15 3 16" xfId="29364" xr:uid="{00000000-0005-0000-0000-0000C04D0000}"/>
    <cellStyle name="Normal 3 3 15 3 2" xfId="11840" xr:uid="{00000000-0005-0000-0000-0000C14D0000}"/>
    <cellStyle name="Normal 3 3 15 3 2 10" xfId="11841" xr:uid="{00000000-0005-0000-0000-0000C24D0000}"/>
    <cellStyle name="Normal 3 3 15 3 2 10 2" xfId="29372" xr:uid="{00000000-0005-0000-0000-0000C34D0000}"/>
    <cellStyle name="Normal 3 3 15 3 2 11" xfId="11842" xr:uid="{00000000-0005-0000-0000-0000C44D0000}"/>
    <cellStyle name="Normal 3 3 15 3 2 11 2" xfId="29373" xr:uid="{00000000-0005-0000-0000-0000C54D0000}"/>
    <cellStyle name="Normal 3 3 15 3 2 12" xfId="11843" xr:uid="{00000000-0005-0000-0000-0000C64D0000}"/>
    <cellStyle name="Normal 3 3 15 3 2 12 2" xfId="29374" xr:uid="{00000000-0005-0000-0000-0000C74D0000}"/>
    <cellStyle name="Normal 3 3 15 3 2 13" xfId="11844" xr:uid="{00000000-0005-0000-0000-0000C84D0000}"/>
    <cellStyle name="Normal 3 3 15 3 2 13 2" xfId="29375" xr:uid="{00000000-0005-0000-0000-0000C94D0000}"/>
    <cellStyle name="Normal 3 3 15 3 2 14" xfId="11845" xr:uid="{00000000-0005-0000-0000-0000CA4D0000}"/>
    <cellStyle name="Normal 3 3 15 3 2 14 2" xfId="29376" xr:uid="{00000000-0005-0000-0000-0000CB4D0000}"/>
    <cellStyle name="Normal 3 3 15 3 2 15" xfId="29371" xr:uid="{00000000-0005-0000-0000-0000CC4D0000}"/>
    <cellStyle name="Normal 3 3 15 3 2 2" xfId="11846" xr:uid="{00000000-0005-0000-0000-0000CD4D0000}"/>
    <cellStyle name="Normal 3 3 15 3 2 2 2" xfId="29377" xr:uid="{00000000-0005-0000-0000-0000CE4D0000}"/>
    <cellStyle name="Normal 3 3 15 3 2 3" xfId="11847" xr:uid="{00000000-0005-0000-0000-0000CF4D0000}"/>
    <cellStyle name="Normal 3 3 15 3 2 3 2" xfId="29378" xr:uid="{00000000-0005-0000-0000-0000D04D0000}"/>
    <cellStyle name="Normal 3 3 15 3 2 4" xfId="11848" xr:uid="{00000000-0005-0000-0000-0000D14D0000}"/>
    <cellStyle name="Normal 3 3 15 3 2 4 2" xfId="29379" xr:uid="{00000000-0005-0000-0000-0000D24D0000}"/>
    <cellStyle name="Normal 3 3 15 3 2 5" xfId="11849" xr:uid="{00000000-0005-0000-0000-0000D34D0000}"/>
    <cellStyle name="Normal 3 3 15 3 2 5 2" xfId="29380" xr:uid="{00000000-0005-0000-0000-0000D44D0000}"/>
    <cellStyle name="Normal 3 3 15 3 2 6" xfId="11850" xr:uid="{00000000-0005-0000-0000-0000D54D0000}"/>
    <cellStyle name="Normal 3 3 15 3 2 6 2" xfId="29381" xr:uid="{00000000-0005-0000-0000-0000D64D0000}"/>
    <cellStyle name="Normal 3 3 15 3 2 7" xfId="11851" xr:uid="{00000000-0005-0000-0000-0000D74D0000}"/>
    <cellStyle name="Normal 3 3 15 3 2 7 2" xfId="29382" xr:uid="{00000000-0005-0000-0000-0000D84D0000}"/>
    <cellStyle name="Normal 3 3 15 3 2 8" xfId="11852" xr:uid="{00000000-0005-0000-0000-0000D94D0000}"/>
    <cellStyle name="Normal 3 3 15 3 2 8 2" xfId="29383" xr:uid="{00000000-0005-0000-0000-0000DA4D0000}"/>
    <cellStyle name="Normal 3 3 15 3 2 9" xfId="11853" xr:uid="{00000000-0005-0000-0000-0000DB4D0000}"/>
    <cellStyle name="Normal 3 3 15 3 2 9 2" xfId="29384" xr:uid="{00000000-0005-0000-0000-0000DC4D0000}"/>
    <cellStyle name="Normal 3 3 15 3 3" xfId="11854" xr:uid="{00000000-0005-0000-0000-0000DD4D0000}"/>
    <cellStyle name="Normal 3 3 15 3 3 2" xfId="29385" xr:uid="{00000000-0005-0000-0000-0000DE4D0000}"/>
    <cellStyle name="Normal 3 3 15 3 4" xfId="11855" xr:uid="{00000000-0005-0000-0000-0000DF4D0000}"/>
    <cellStyle name="Normal 3 3 15 3 4 2" xfId="29386" xr:uid="{00000000-0005-0000-0000-0000E04D0000}"/>
    <cellStyle name="Normal 3 3 15 3 5" xfId="11856" xr:uid="{00000000-0005-0000-0000-0000E14D0000}"/>
    <cellStyle name="Normal 3 3 15 3 5 2" xfId="29387" xr:uid="{00000000-0005-0000-0000-0000E24D0000}"/>
    <cellStyle name="Normal 3 3 15 3 6" xfId="11857" xr:uid="{00000000-0005-0000-0000-0000E34D0000}"/>
    <cellStyle name="Normal 3 3 15 3 6 2" xfId="29388" xr:uid="{00000000-0005-0000-0000-0000E44D0000}"/>
    <cellStyle name="Normal 3 3 15 3 7" xfId="11858" xr:uid="{00000000-0005-0000-0000-0000E54D0000}"/>
    <cellStyle name="Normal 3 3 15 3 7 2" xfId="29389" xr:uid="{00000000-0005-0000-0000-0000E64D0000}"/>
    <cellStyle name="Normal 3 3 15 3 8" xfId="11859" xr:uid="{00000000-0005-0000-0000-0000E74D0000}"/>
    <cellStyle name="Normal 3 3 15 3 8 2" xfId="29390" xr:uid="{00000000-0005-0000-0000-0000E84D0000}"/>
    <cellStyle name="Normal 3 3 15 3 9" xfId="11860" xr:uid="{00000000-0005-0000-0000-0000E94D0000}"/>
    <cellStyle name="Normal 3 3 15 3 9 2" xfId="29391" xr:uid="{00000000-0005-0000-0000-0000EA4D0000}"/>
    <cellStyle name="Normal 3 3 15 4" xfId="11861" xr:uid="{00000000-0005-0000-0000-0000EB4D0000}"/>
    <cellStyle name="Normal 3 3 15 4 10" xfId="11862" xr:uid="{00000000-0005-0000-0000-0000EC4D0000}"/>
    <cellStyle name="Normal 3 3 15 4 10 2" xfId="29393" xr:uid="{00000000-0005-0000-0000-0000ED4D0000}"/>
    <cellStyle name="Normal 3 3 15 4 11" xfId="11863" xr:uid="{00000000-0005-0000-0000-0000EE4D0000}"/>
    <cellStyle name="Normal 3 3 15 4 11 2" xfId="29394" xr:uid="{00000000-0005-0000-0000-0000EF4D0000}"/>
    <cellStyle name="Normal 3 3 15 4 12" xfId="11864" xr:uid="{00000000-0005-0000-0000-0000F04D0000}"/>
    <cellStyle name="Normal 3 3 15 4 12 2" xfId="29395" xr:uid="{00000000-0005-0000-0000-0000F14D0000}"/>
    <cellStyle name="Normal 3 3 15 4 13" xfId="11865" xr:uid="{00000000-0005-0000-0000-0000F24D0000}"/>
    <cellStyle name="Normal 3 3 15 4 13 2" xfId="29396" xr:uid="{00000000-0005-0000-0000-0000F34D0000}"/>
    <cellStyle name="Normal 3 3 15 4 14" xfId="11866" xr:uid="{00000000-0005-0000-0000-0000F44D0000}"/>
    <cellStyle name="Normal 3 3 15 4 14 2" xfId="29397" xr:uid="{00000000-0005-0000-0000-0000F54D0000}"/>
    <cellStyle name="Normal 3 3 15 4 15" xfId="11867" xr:uid="{00000000-0005-0000-0000-0000F64D0000}"/>
    <cellStyle name="Normal 3 3 15 4 15 2" xfId="29398" xr:uid="{00000000-0005-0000-0000-0000F74D0000}"/>
    <cellStyle name="Normal 3 3 15 4 16" xfId="29392" xr:uid="{00000000-0005-0000-0000-0000F84D0000}"/>
    <cellStyle name="Normal 3 3 15 4 2" xfId="11868" xr:uid="{00000000-0005-0000-0000-0000F94D0000}"/>
    <cellStyle name="Normal 3 3 15 4 2 10" xfId="11869" xr:uid="{00000000-0005-0000-0000-0000FA4D0000}"/>
    <cellStyle name="Normal 3 3 15 4 2 10 2" xfId="29400" xr:uid="{00000000-0005-0000-0000-0000FB4D0000}"/>
    <cellStyle name="Normal 3 3 15 4 2 11" xfId="11870" xr:uid="{00000000-0005-0000-0000-0000FC4D0000}"/>
    <cellStyle name="Normal 3 3 15 4 2 11 2" xfId="29401" xr:uid="{00000000-0005-0000-0000-0000FD4D0000}"/>
    <cellStyle name="Normal 3 3 15 4 2 12" xfId="11871" xr:uid="{00000000-0005-0000-0000-0000FE4D0000}"/>
    <cellStyle name="Normal 3 3 15 4 2 12 2" xfId="29402" xr:uid="{00000000-0005-0000-0000-0000FF4D0000}"/>
    <cellStyle name="Normal 3 3 15 4 2 13" xfId="11872" xr:uid="{00000000-0005-0000-0000-0000004E0000}"/>
    <cellStyle name="Normal 3 3 15 4 2 13 2" xfId="29403" xr:uid="{00000000-0005-0000-0000-0000014E0000}"/>
    <cellStyle name="Normal 3 3 15 4 2 14" xfId="11873" xr:uid="{00000000-0005-0000-0000-0000024E0000}"/>
    <cellStyle name="Normal 3 3 15 4 2 14 2" xfId="29404" xr:uid="{00000000-0005-0000-0000-0000034E0000}"/>
    <cellStyle name="Normal 3 3 15 4 2 15" xfId="29399" xr:uid="{00000000-0005-0000-0000-0000044E0000}"/>
    <cellStyle name="Normal 3 3 15 4 2 2" xfId="11874" xr:uid="{00000000-0005-0000-0000-0000054E0000}"/>
    <cellStyle name="Normal 3 3 15 4 2 2 2" xfId="29405" xr:uid="{00000000-0005-0000-0000-0000064E0000}"/>
    <cellStyle name="Normal 3 3 15 4 2 3" xfId="11875" xr:uid="{00000000-0005-0000-0000-0000074E0000}"/>
    <cellStyle name="Normal 3 3 15 4 2 3 2" xfId="29406" xr:uid="{00000000-0005-0000-0000-0000084E0000}"/>
    <cellStyle name="Normal 3 3 15 4 2 4" xfId="11876" xr:uid="{00000000-0005-0000-0000-0000094E0000}"/>
    <cellStyle name="Normal 3 3 15 4 2 4 2" xfId="29407" xr:uid="{00000000-0005-0000-0000-00000A4E0000}"/>
    <cellStyle name="Normal 3 3 15 4 2 5" xfId="11877" xr:uid="{00000000-0005-0000-0000-00000B4E0000}"/>
    <cellStyle name="Normal 3 3 15 4 2 5 2" xfId="29408" xr:uid="{00000000-0005-0000-0000-00000C4E0000}"/>
    <cellStyle name="Normal 3 3 15 4 2 6" xfId="11878" xr:uid="{00000000-0005-0000-0000-00000D4E0000}"/>
    <cellStyle name="Normal 3 3 15 4 2 6 2" xfId="29409" xr:uid="{00000000-0005-0000-0000-00000E4E0000}"/>
    <cellStyle name="Normal 3 3 15 4 2 7" xfId="11879" xr:uid="{00000000-0005-0000-0000-00000F4E0000}"/>
    <cellStyle name="Normal 3 3 15 4 2 7 2" xfId="29410" xr:uid="{00000000-0005-0000-0000-0000104E0000}"/>
    <cellStyle name="Normal 3 3 15 4 2 8" xfId="11880" xr:uid="{00000000-0005-0000-0000-0000114E0000}"/>
    <cellStyle name="Normal 3 3 15 4 2 8 2" xfId="29411" xr:uid="{00000000-0005-0000-0000-0000124E0000}"/>
    <cellStyle name="Normal 3 3 15 4 2 9" xfId="11881" xr:uid="{00000000-0005-0000-0000-0000134E0000}"/>
    <cellStyle name="Normal 3 3 15 4 2 9 2" xfId="29412" xr:uid="{00000000-0005-0000-0000-0000144E0000}"/>
    <cellStyle name="Normal 3 3 15 4 3" xfId="11882" xr:uid="{00000000-0005-0000-0000-0000154E0000}"/>
    <cellStyle name="Normal 3 3 15 4 3 2" xfId="29413" xr:uid="{00000000-0005-0000-0000-0000164E0000}"/>
    <cellStyle name="Normal 3 3 15 4 4" xfId="11883" xr:uid="{00000000-0005-0000-0000-0000174E0000}"/>
    <cellStyle name="Normal 3 3 15 4 4 2" xfId="29414" xr:uid="{00000000-0005-0000-0000-0000184E0000}"/>
    <cellStyle name="Normal 3 3 15 4 5" xfId="11884" xr:uid="{00000000-0005-0000-0000-0000194E0000}"/>
    <cellStyle name="Normal 3 3 15 4 5 2" xfId="29415" xr:uid="{00000000-0005-0000-0000-00001A4E0000}"/>
    <cellStyle name="Normal 3 3 15 4 6" xfId="11885" xr:uid="{00000000-0005-0000-0000-00001B4E0000}"/>
    <cellStyle name="Normal 3 3 15 4 6 2" xfId="29416" xr:uid="{00000000-0005-0000-0000-00001C4E0000}"/>
    <cellStyle name="Normal 3 3 15 4 7" xfId="11886" xr:uid="{00000000-0005-0000-0000-00001D4E0000}"/>
    <cellStyle name="Normal 3 3 15 4 7 2" xfId="29417" xr:uid="{00000000-0005-0000-0000-00001E4E0000}"/>
    <cellStyle name="Normal 3 3 15 4 8" xfId="11887" xr:uid="{00000000-0005-0000-0000-00001F4E0000}"/>
    <cellStyle name="Normal 3 3 15 4 8 2" xfId="29418" xr:uid="{00000000-0005-0000-0000-0000204E0000}"/>
    <cellStyle name="Normal 3 3 15 4 9" xfId="11888" xr:uid="{00000000-0005-0000-0000-0000214E0000}"/>
    <cellStyle name="Normal 3 3 15 4 9 2" xfId="29419" xr:uid="{00000000-0005-0000-0000-0000224E0000}"/>
    <cellStyle name="Normal 3 3 15 5" xfId="11889" xr:uid="{00000000-0005-0000-0000-0000234E0000}"/>
    <cellStyle name="Normal 3 3 15 5 10" xfId="11890" xr:uid="{00000000-0005-0000-0000-0000244E0000}"/>
    <cellStyle name="Normal 3 3 15 5 10 2" xfId="29421" xr:uid="{00000000-0005-0000-0000-0000254E0000}"/>
    <cellStyle name="Normal 3 3 15 5 11" xfId="11891" xr:uid="{00000000-0005-0000-0000-0000264E0000}"/>
    <cellStyle name="Normal 3 3 15 5 11 2" xfId="29422" xr:uid="{00000000-0005-0000-0000-0000274E0000}"/>
    <cellStyle name="Normal 3 3 15 5 12" xfId="11892" xr:uid="{00000000-0005-0000-0000-0000284E0000}"/>
    <cellStyle name="Normal 3 3 15 5 12 2" xfId="29423" xr:uid="{00000000-0005-0000-0000-0000294E0000}"/>
    <cellStyle name="Normal 3 3 15 5 13" xfId="11893" xr:uid="{00000000-0005-0000-0000-00002A4E0000}"/>
    <cellStyle name="Normal 3 3 15 5 13 2" xfId="29424" xr:uid="{00000000-0005-0000-0000-00002B4E0000}"/>
    <cellStyle name="Normal 3 3 15 5 14" xfId="11894" xr:uid="{00000000-0005-0000-0000-00002C4E0000}"/>
    <cellStyle name="Normal 3 3 15 5 14 2" xfId="29425" xr:uid="{00000000-0005-0000-0000-00002D4E0000}"/>
    <cellStyle name="Normal 3 3 15 5 15" xfId="29420" xr:uid="{00000000-0005-0000-0000-00002E4E0000}"/>
    <cellStyle name="Normal 3 3 15 5 2" xfId="11895" xr:uid="{00000000-0005-0000-0000-00002F4E0000}"/>
    <cellStyle name="Normal 3 3 15 5 2 2" xfId="29426" xr:uid="{00000000-0005-0000-0000-0000304E0000}"/>
    <cellStyle name="Normal 3 3 15 5 3" xfId="11896" xr:uid="{00000000-0005-0000-0000-0000314E0000}"/>
    <cellStyle name="Normal 3 3 15 5 3 2" xfId="29427" xr:uid="{00000000-0005-0000-0000-0000324E0000}"/>
    <cellStyle name="Normal 3 3 15 5 4" xfId="11897" xr:uid="{00000000-0005-0000-0000-0000334E0000}"/>
    <cellStyle name="Normal 3 3 15 5 4 2" xfId="29428" xr:uid="{00000000-0005-0000-0000-0000344E0000}"/>
    <cellStyle name="Normal 3 3 15 5 5" xfId="11898" xr:uid="{00000000-0005-0000-0000-0000354E0000}"/>
    <cellStyle name="Normal 3 3 15 5 5 2" xfId="29429" xr:uid="{00000000-0005-0000-0000-0000364E0000}"/>
    <cellStyle name="Normal 3 3 15 5 6" xfId="11899" xr:uid="{00000000-0005-0000-0000-0000374E0000}"/>
    <cellStyle name="Normal 3 3 15 5 6 2" xfId="29430" xr:uid="{00000000-0005-0000-0000-0000384E0000}"/>
    <cellStyle name="Normal 3 3 15 5 7" xfId="11900" xr:uid="{00000000-0005-0000-0000-0000394E0000}"/>
    <cellStyle name="Normal 3 3 15 5 7 2" xfId="29431" xr:uid="{00000000-0005-0000-0000-00003A4E0000}"/>
    <cellStyle name="Normal 3 3 15 5 8" xfId="11901" xr:uid="{00000000-0005-0000-0000-00003B4E0000}"/>
    <cellStyle name="Normal 3 3 15 5 8 2" xfId="29432" xr:uid="{00000000-0005-0000-0000-00003C4E0000}"/>
    <cellStyle name="Normal 3 3 15 5 9" xfId="11902" xr:uid="{00000000-0005-0000-0000-00003D4E0000}"/>
    <cellStyle name="Normal 3 3 15 5 9 2" xfId="29433" xr:uid="{00000000-0005-0000-0000-00003E4E0000}"/>
    <cellStyle name="Normal 3 3 15 6" xfId="11903" xr:uid="{00000000-0005-0000-0000-00003F4E0000}"/>
    <cellStyle name="Normal 3 3 15 6 10" xfId="11904" xr:uid="{00000000-0005-0000-0000-0000404E0000}"/>
    <cellStyle name="Normal 3 3 15 6 10 2" xfId="29435" xr:uid="{00000000-0005-0000-0000-0000414E0000}"/>
    <cellStyle name="Normal 3 3 15 6 11" xfId="11905" xr:uid="{00000000-0005-0000-0000-0000424E0000}"/>
    <cellStyle name="Normal 3 3 15 6 11 2" xfId="29436" xr:uid="{00000000-0005-0000-0000-0000434E0000}"/>
    <cellStyle name="Normal 3 3 15 6 12" xfId="11906" xr:uid="{00000000-0005-0000-0000-0000444E0000}"/>
    <cellStyle name="Normal 3 3 15 6 12 2" xfId="29437" xr:uid="{00000000-0005-0000-0000-0000454E0000}"/>
    <cellStyle name="Normal 3 3 15 6 13" xfId="11907" xr:uid="{00000000-0005-0000-0000-0000464E0000}"/>
    <cellStyle name="Normal 3 3 15 6 13 2" xfId="29438" xr:uid="{00000000-0005-0000-0000-0000474E0000}"/>
    <cellStyle name="Normal 3 3 15 6 14" xfId="11908" xr:uid="{00000000-0005-0000-0000-0000484E0000}"/>
    <cellStyle name="Normal 3 3 15 6 14 2" xfId="29439" xr:uid="{00000000-0005-0000-0000-0000494E0000}"/>
    <cellStyle name="Normal 3 3 15 6 15" xfId="29434" xr:uid="{00000000-0005-0000-0000-00004A4E0000}"/>
    <cellStyle name="Normal 3 3 15 6 2" xfId="11909" xr:uid="{00000000-0005-0000-0000-00004B4E0000}"/>
    <cellStyle name="Normal 3 3 15 6 2 2" xfId="29440" xr:uid="{00000000-0005-0000-0000-00004C4E0000}"/>
    <cellStyle name="Normal 3 3 15 6 3" xfId="11910" xr:uid="{00000000-0005-0000-0000-00004D4E0000}"/>
    <cellStyle name="Normal 3 3 15 6 3 2" xfId="29441" xr:uid="{00000000-0005-0000-0000-00004E4E0000}"/>
    <cellStyle name="Normal 3 3 15 6 4" xfId="11911" xr:uid="{00000000-0005-0000-0000-00004F4E0000}"/>
    <cellStyle name="Normal 3 3 15 6 4 2" xfId="29442" xr:uid="{00000000-0005-0000-0000-0000504E0000}"/>
    <cellStyle name="Normal 3 3 15 6 5" xfId="11912" xr:uid="{00000000-0005-0000-0000-0000514E0000}"/>
    <cellStyle name="Normal 3 3 15 6 5 2" xfId="29443" xr:uid="{00000000-0005-0000-0000-0000524E0000}"/>
    <cellStyle name="Normal 3 3 15 6 6" xfId="11913" xr:uid="{00000000-0005-0000-0000-0000534E0000}"/>
    <cellStyle name="Normal 3 3 15 6 6 2" xfId="29444" xr:uid="{00000000-0005-0000-0000-0000544E0000}"/>
    <cellStyle name="Normal 3 3 15 6 7" xfId="11914" xr:uid="{00000000-0005-0000-0000-0000554E0000}"/>
    <cellStyle name="Normal 3 3 15 6 7 2" xfId="29445" xr:uid="{00000000-0005-0000-0000-0000564E0000}"/>
    <cellStyle name="Normal 3 3 15 6 8" xfId="11915" xr:uid="{00000000-0005-0000-0000-0000574E0000}"/>
    <cellStyle name="Normal 3 3 15 6 8 2" xfId="29446" xr:uid="{00000000-0005-0000-0000-0000584E0000}"/>
    <cellStyle name="Normal 3 3 15 6 9" xfId="11916" xr:uid="{00000000-0005-0000-0000-0000594E0000}"/>
    <cellStyle name="Normal 3 3 15 6 9 2" xfId="29447" xr:uid="{00000000-0005-0000-0000-00005A4E0000}"/>
    <cellStyle name="Normal 3 3 15 7" xfId="11917" xr:uid="{00000000-0005-0000-0000-00005B4E0000}"/>
    <cellStyle name="Normal 3 3 15 7 10" xfId="11918" xr:uid="{00000000-0005-0000-0000-00005C4E0000}"/>
    <cellStyle name="Normal 3 3 15 7 10 2" xfId="29449" xr:uid="{00000000-0005-0000-0000-00005D4E0000}"/>
    <cellStyle name="Normal 3 3 15 7 11" xfId="11919" xr:uid="{00000000-0005-0000-0000-00005E4E0000}"/>
    <cellStyle name="Normal 3 3 15 7 11 2" xfId="29450" xr:uid="{00000000-0005-0000-0000-00005F4E0000}"/>
    <cellStyle name="Normal 3 3 15 7 12" xfId="11920" xr:uid="{00000000-0005-0000-0000-0000604E0000}"/>
    <cellStyle name="Normal 3 3 15 7 12 2" xfId="29451" xr:uid="{00000000-0005-0000-0000-0000614E0000}"/>
    <cellStyle name="Normal 3 3 15 7 13" xfId="11921" xr:uid="{00000000-0005-0000-0000-0000624E0000}"/>
    <cellStyle name="Normal 3 3 15 7 13 2" xfId="29452" xr:uid="{00000000-0005-0000-0000-0000634E0000}"/>
    <cellStyle name="Normal 3 3 15 7 14" xfId="11922" xr:uid="{00000000-0005-0000-0000-0000644E0000}"/>
    <cellStyle name="Normal 3 3 15 7 14 2" xfId="29453" xr:uid="{00000000-0005-0000-0000-0000654E0000}"/>
    <cellStyle name="Normal 3 3 15 7 15" xfId="29448" xr:uid="{00000000-0005-0000-0000-0000664E0000}"/>
    <cellStyle name="Normal 3 3 15 7 2" xfId="11923" xr:uid="{00000000-0005-0000-0000-0000674E0000}"/>
    <cellStyle name="Normal 3 3 15 7 2 2" xfId="29454" xr:uid="{00000000-0005-0000-0000-0000684E0000}"/>
    <cellStyle name="Normal 3 3 15 7 3" xfId="11924" xr:uid="{00000000-0005-0000-0000-0000694E0000}"/>
    <cellStyle name="Normal 3 3 15 7 3 2" xfId="29455" xr:uid="{00000000-0005-0000-0000-00006A4E0000}"/>
    <cellStyle name="Normal 3 3 15 7 4" xfId="11925" xr:uid="{00000000-0005-0000-0000-00006B4E0000}"/>
    <cellStyle name="Normal 3 3 15 7 4 2" xfId="29456" xr:uid="{00000000-0005-0000-0000-00006C4E0000}"/>
    <cellStyle name="Normal 3 3 15 7 5" xfId="11926" xr:uid="{00000000-0005-0000-0000-00006D4E0000}"/>
    <cellStyle name="Normal 3 3 15 7 5 2" xfId="29457" xr:uid="{00000000-0005-0000-0000-00006E4E0000}"/>
    <cellStyle name="Normal 3 3 15 7 6" xfId="11927" xr:uid="{00000000-0005-0000-0000-00006F4E0000}"/>
    <cellStyle name="Normal 3 3 15 7 6 2" xfId="29458" xr:uid="{00000000-0005-0000-0000-0000704E0000}"/>
    <cellStyle name="Normal 3 3 15 7 7" xfId="11928" xr:uid="{00000000-0005-0000-0000-0000714E0000}"/>
    <cellStyle name="Normal 3 3 15 7 7 2" xfId="29459" xr:uid="{00000000-0005-0000-0000-0000724E0000}"/>
    <cellStyle name="Normal 3 3 15 7 8" xfId="11929" xr:uid="{00000000-0005-0000-0000-0000734E0000}"/>
    <cellStyle name="Normal 3 3 15 7 8 2" xfId="29460" xr:uid="{00000000-0005-0000-0000-0000744E0000}"/>
    <cellStyle name="Normal 3 3 15 7 9" xfId="11930" xr:uid="{00000000-0005-0000-0000-0000754E0000}"/>
    <cellStyle name="Normal 3 3 15 7 9 2" xfId="29461" xr:uid="{00000000-0005-0000-0000-0000764E0000}"/>
    <cellStyle name="Normal 3 3 15 8" xfId="11931" xr:uid="{00000000-0005-0000-0000-0000774E0000}"/>
    <cellStyle name="Normal 3 3 15 8 10" xfId="11932" xr:uid="{00000000-0005-0000-0000-0000784E0000}"/>
    <cellStyle name="Normal 3 3 15 8 10 2" xfId="29463" xr:uid="{00000000-0005-0000-0000-0000794E0000}"/>
    <cellStyle name="Normal 3 3 15 8 11" xfId="11933" xr:uid="{00000000-0005-0000-0000-00007A4E0000}"/>
    <cellStyle name="Normal 3 3 15 8 11 2" xfId="29464" xr:uid="{00000000-0005-0000-0000-00007B4E0000}"/>
    <cellStyle name="Normal 3 3 15 8 12" xfId="11934" xr:uid="{00000000-0005-0000-0000-00007C4E0000}"/>
    <cellStyle name="Normal 3 3 15 8 12 2" xfId="29465" xr:uid="{00000000-0005-0000-0000-00007D4E0000}"/>
    <cellStyle name="Normal 3 3 15 8 13" xfId="11935" xr:uid="{00000000-0005-0000-0000-00007E4E0000}"/>
    <cellStyle name="Normal 3 3 15 8 13 2" xfId="29466" xr:uid="{00000000-0005-0000-0000-00007F4E0000}"/>
    <cellStyle name="Normal 3 3 15 8 14" xfId="11936" xr:uid="{00000000-0005-0000-0000-0000804E0000}"/>
    <cellStyle name="Normal 3 3 15 8 14 2" xfId="29467" xr:uid="{00000000-0005-0000-0000-0000814E0000}"/>
    <cellStyle name="Normal 3 3 15 8 15" xfId="29462" xr:uid="{00000000-0005-0000-0000-0000824E0000}"/>
    <cellStyle name="Normal 3 3 15 8 2" xfId="11937" xr:uid="{00000000-0005-0000-0000-0000834E0000}"/>
    <cellStyle name="Normal 3 3 15 8 2 2" xfId="29468" xr:uid="{00000000-0005-0000-0000-0000844E0000}"/>
    <cellStyle name="Normal 3 3 15 8 3" xfId="11938" xr:uid="{00000000-0005-0000-0000-0000854E0000}"/>
    <cellStyle name="Normal 3 3 15 8 3 2" xfId="29469" xr:uid="{00000000-0005-0000-0000-0000864E0000}"/>
    <cellStyle name="Normal 3 3 15 8 4" xfId="11939" xr:uid="{00000000-0005-0000-0000-0000874E0000}"/>
    <cellStyle name="Normal 3 3 15 8 4 2" xfId="29470" xr:uid="{00000000-0005-0000-0000-0000884E0000}"/>
    <cellStyle name="Normal 3 3 15 8 5" xfId="11940" xr:uid="{00000000-0005-0000-0000-0000894E0000}"/>
    <cellStyle name="Normal 3 3 15 8 5 2" xfId="29471" xr:uid="{00000000-0005-0000-0000-00008A4E0000}"/>
    <cellStyle name="Normal 3 3 15 8 6" xfId="11941" xr:uid="{00000000-0005-0000-0000-00008B4E0000}"/>
    <cellStyle name="Normal 3 3 15 8 6 2" xfId="29472" xr:uid="{00000000-0005-0000-0000-00008C4E0000}"/>
    <cellStyle name="Normal 3 3 15 8 7" xfId="11942" xr:uid="{00000000-0005-0000-0000-00008D4E0000}"/>
    <cellStyle name="Normal 3 3 15 8 7 2" xfId="29473" xr:uid="{00000000-0005-0000-0000-00008E4E0000}"/>
    <cellStyle name="Normal 3 3 15 8 8" xfId="11943" xr:uid="{00000000-0005-0000-0000-00008F4E0000}"/>
    <cellStyle name="Normal 3 3 15 8 8 2" xfId="29474" xr:uid="{00000000-0005-0000-0000-0000904E0000}"/>
    <cellStyle name="Normal 3 3 15 8 9" xfId="11944" xr:uid="{00000000-0005-0000-0000-0000914E0000}"/>
    <cellStyle name="Normal 3 3 15 8 9 2" xfId="29475" xr:uid="{00000000-0005-0000-0000-0000924E0000}"/>
    <cellStyle name="Normal 3 3 15 9" xfId="11945" xr:uid="{00000000-0005-0000-0000-0000934E0000}"/>
    <cellStyle name="Normal 3 3 15 9 10" xfId="11946" xr:uid="{00000000-0005-0000-0000-0000944E0000}"/>
    <cellStyle name="Normal 3 3 15 9 10 2" xfId="29477" xr:uid="{00000000-0005-0000-0000-0000954E0000}"/>
    <cellStyle name="Normal 3 3 15 9 11" xfId="11947" xr:uid="{00000000-0005-0000-0000-0000964E0000}"/>
    <cellStyle name="Normal 3 3 15 9 11 2" xfId="29478" xr:uid="{00000000-0005-0000-0000-0000974E0000}"/>
    <cellStyle name="Normal 3 3 15 9 12" xfId="11948" xr:uid="{00000000-0005-0000-0000-0000984E0000}"/>
    <cellStyle name="Normal 3 3 15 9 12 2" xfId="29479" xr:uid="{00000000-0005-0000-0000-0000994E0000}"/>
    <cellStyle name="Normal 3 3 15 9 13" xfId="11949" xr:uid="{00000000-0005-0000-0000-00009A4E0000}"/>
    <cellStyle name="Normal 3 3 15 9 13 2" xfId="29480" xr:uid="{00000000-0005-0000-0000-00009B4E0000}"/>
    <cellStyle name="Normal 3 3 15 9 14" xfId="11950" xr:uid="{00000000-0005-0000-0000-00009C4E0000}"/>
    <cellStyle name="Normal 3 3 15 9 14 2" xfId="29481" xr:uid="{00000000-0005-0000-0000-00009D4E0000}"/>
    <cellStyle name="Normal 3 3 15 9 15" xfId="29476" xr:uid="{00000000-0005-0000-0000-00009E4E0000}"/>
    <cellStyle name="Normal 3 3 15 9 2" xfId="11951" xr:uid="{00000000-0005-0000-0000-00009F4E0000}"/>
    <cellStyle name="Normal 3 3 15 9 2 2" xfId="29482" xr:uid="{00000000-0005-0000-0000-0000A04E0000}"/>
    <cellStyle name="Normal 3 3 15 9 3" xfId="11952" xr:uid="{00000000-0005-0000-0000-0000A14E0000}"/>
    <cellStyle name="Normal 3 3 15 9 3 2" xfId="29483" xr:uid="{00000000-0005-0000-0000-0000A24E0000}"/>
    <cellStyle name="Normal 3 3 15 9 4" xfId="11953" xr:uid="{00000000-0005-0000-0000-0000A34E0000}"/>
    <cellStyle name="Normal 3 3 15 9 4 2" xfId="29484" xr:uid="{00000000-0005-0000-0000-0000A44E0000}"/>
    <cellStyle name="Normal 3 3 15 9 5" xfId="11954" xr:uid="{00000000-0005-0000-0000-0000A54E0000}"/>
    <cellStyle name="Normal 3 3 15 9 5 2" xfId="29485" xr:uid="{00000000-0005-0000-0000-0000A64E0000}"/>
    <cellStyle name="Normal 3 3 15 9 6" xfId="11955" xr:uid="{00000000-0005-0000-0000-0000A74E0000}"/>
    <cellStyle name="Normal 3 3 15 9 6 2" xfId="29486" xr:uid="{00000000-0005-0000-0000-0000A84E0000}"/>
    <cellStyle name="Normal 3 3 15 9 7" xfId="11956" xr:uid="{00000000-0005-0000-0000-0000A94E0000}"/>
    <cellStyle name="Normal 3 3 15 9 7 2" xfId="29487" xr:uid="{00000000-0005-0000-0000-0000AA4E0000}"/>
    <cellStyle name="Normal 3 3 15 9 8" xfId="11957" xr:uid="{00000000-0005-0000-0000-0000AB4E0000}"/>
    <cellStyle name="Normal 3 3 15 9 8 2" xfId="29488" xr:uid="{00000000-0005-0000-0000-0000AC4E0000}"/>
    <cellStyle name="Normal 3 3 15 9 9" xfId="11958" xr:uid="{00000000-0005-0000-0000-0000AD4E0000}"/>
    <cellStyle name="Normal 3 3 15 9 9 2" xfId="29489" xr:uid="{00000000-0005-0000-0000-0000AE4E0000}"/>
    <cellStyle name="Normal 3 3 16" xfId="11959" xr:uid="{00000000-0005-0000-0000-0000AF4E0000}"/>
    <cellStyle name="Normal 3 3 16 10" xfId="11960" xr:uid="{00000000-0005-0000-0000-0000B04E0000}"/>
    <cellStyle name="Normal 3 3 16 10 10" xfId="11961" xr:uid="{00000000-0005-0000-0000-0000B14E0000}"/>
    <cellStyle name="Normal 3 3 16 10 10 2" xfId="29492" xr:uid="{00000000-0005-0000-0000-0000B24E0000}"/>
    <cellStyle name="Normal 3 3 16 10 11" xfId="11962" xr:uid="{00000000-0005-0000-0000-0000B34E0000}"/>
    <cellStyle name="Normal 3 3 16 10 11 2" xfId="29493" xr:uid="{00000000-0005-0000-0000-0000B44E0000}"/>
    <cellStyle name="Normal 3 3 16 10 12" xfId="11963" xr:uid="{00000000-0005-0000-0000-0000B54E0000}"/>
    <cellStyle name="Normal 3 3 16 10 12 2" xfId="29494" xr:uid="{00000000-0005-0000-0000-0000B64E0000}"/>
    <cellStyle name="Normal 3 3 16 10 13" xfId="11964" xr:uid="{00000000-0005-0000-0000-0000B74E0000}"/>
    <cellStyle name="Normal 3 3 16 10 13 2" xfId="29495" xr:uid="{00000000-0005-0000-0000-0000B84E0000}"/>
    <cellStyle name="Normal 3 3 16 10 14" xfId="11965" xr:uid="{00000000-0005-0000-0000-0000B94E0000}"/>
    <cellStyle name="Normal 3 3 16 10 14 2" xfId="29496" xr:uid="{00000000-0005-0000-0000-0000BA4E0000}"/>
    <cellStyle name="Normal 3 3 16 10 15" xfId="29491" xr:uid="{00000000-0005-0000-0000-0000BB4E0000}"/>
    <cellStyle name="Normal 3 3 16 10 2" xfId="11966" xr:uid="{00000000-0005-0000-0000-0000BC4E0000}"/>
    <cellStyle name="Normal 3 3 16 10 2 2" xfId="29497" xr:uid="{00000000-0005-0000-0000-0000BD4E0000}"/>
    <cellStyle name="Normal 3 3 16 10 3" xfId="11967" xr:uid="{00000000-0005-0000-0000-0000BE4E0000}"/>
    <cellStyle name="Normal 3 3 16 10 3 2" xfId="29498" xr:uid="{00000000-0005-0000-0000-0000BF4E0000}"/>
    <cellStyle name="Normal 3 3 16 10 4" xfId="11968" xr:uid="{00000000-0005-0000-0000-0000C04E0000}"/>
    <cellStyle name="Normal 3 3 16 10 4 2" xfId="29499" xr:uid="{00000000-0005-0000-0000-0000C14E0000}"/>
    <cellStyle name="Normal 3 3 16 10 5" xfId="11969" xr:uid="{00000000-0005-0000-0000-0000C24E0000}"/>
    <cellStyle name="Normal 3 3 16 10 5 2" xfId="29500" xr:uid="{00000000-0005-0000-0000-0000C34E0000}"/>
    <cellStyle name="Normal 3 3 16 10 6" xfId="11970" xr:uid="{00000000-0005-0000-0000-0000C44E0000}"/>
    <cellStyle name="Normal 3 3 16 10 6 2" xfId="29501" xr:uid="{00000000-0005-0000-0000-0000C54E0000}"/>
    <cellStyle name="Normal 3 3 16 10 7" xfId="11971" xr:uid="{00000000-0005-0000-0000-0000C64E0000}"/>
    <cellStyle name="Normal 3 3 16 10 7 2" xfId="29502" xr:uid="{00000000-0005-0000-0000-0000C74E0000}"/>
    <cellStyle name="Normal 3 3 16 10 8" xfId="11972" xr:uid="{00000000-0005-0000-0000-0000C84E0000}"/>
    <cellStyle name="Normal 3 3 16 10 8 2" xfId="29503" xr:uid="{00000000-0005-0000-0000-0000C94E0000}"/>
    <cellStyle name="Normal 3 3 16 10 9" xfId="11973" xr:uid="{00000000-0005-0000-0000-0000CA4E0000}"/>
    <cellStyle name="Normal 3 3 16 10 9 2" xfId="29504" xr:uid="{00000000-0005-0000-0000-0000CB4E0000}"/>
    <cellStyle name="Normal 3 3 16 11" xfId="11974" xr:uid="{00000000-0005-0000-0000-0000CC4E0000}"/>
    <cellStyle name="Normal 3 3 16 11 2" xfId="29505" xr:uid="{00000000-0005-0000-0000-0000CD4E0000}"/>
    <cellStyle name="Normal 3 3 16 12" xfId="11975" xr:uid="{00000000-0005-0000-0000-0000CE4E0000}"/>
    <cellStyle name="Normal 3 3 16 12 2" xfId="29506" xr:uid="{00000000-0005-0000-0000-0000CF4E0000}"/>
    <cellStyle name="Normal 3 3 16 13" xfId="11976" xr:uid="{00000000-0005-0000-0000-0000D04E0000}"/>
    <cellStyle name="Normal 3 3 16 13 2" xfId="29507" xr:uid="{00000000-0005-0000-0000-0000D14E0000}"/>
    <cellStyle name="Normal 3 3 16 14" xfId="11977" xr:uid="{00000000-0005-0000-0000-0000D24E0000}"/>
    <cellStyle name="Normal 3 3 16 14 2" xfId="29508" xr:uid="{00000000-0005-0000-0000-0000D34E0000}"/>
    <cellStyle name="Normal 3 3 16 15" xfId="11978" xr:uid="{00000000-0005-0000-0000-0000D44E0000}"/>
    <cellStyle name="Normal 3 3 16 15 2" xfId="29509" xr:uid="{00000000-0005-0000-0000-0000D54E0000}"/>
    <cellStyle name="Normal 3 3 16 16" xfId="11979" xr:uid="{00000000-0005-0000-0000-0000D64E0000}"/>
    <cellStyle name="Normal 3 3 16 16 2" xfId="29510" xr:uid="{00000000-0005-0000-0000-0000D74E0000}"/>
    <cellStyle name="Normal 3 3 16 17" xfId="11980" xr:uid="{00000000-0005-0000-0000-0000D84E0000}"/>
    <cellStyle name="Normal 3 3 16 17 2" xfId="29511" xr:uid="{00000000-0005-0000-0000-0000D94E0000}"/>
    <cellStyle name="Normal 3 3 16 18" xfId="11981" xr:uid="{00000000-0005-0000-0000-0000DA4E0000}"/>
    <cellStyle name="Normal 3 3 16 18 2" xfId="29512" xr:uid="{00000000-0005-0000-0000-0000DB4E0000}"/>
    <cellStyle name="Normal 3 3 16 19" xfId="11982" xr:uid="{00000000-0005-0000-0000-0000DC4E0000}"/>
    <cellStyle name="Normal 3 3 16 19 2" xfId="29513" xr:uid="{00000000-0005-0000-0000-0000DD4E0000}"/>
    <cellStyle name="Normal 3 3 16 2" xfId="11983" xr:uid="{00000000-0005-0000-0000-0000DE4E0000}"/>
    <cellStyle name="Normal 3 3 16 2 10" xfId="11984" xr:uid="{00000000-0005-0000-0000-0000DF4E0000}"/>
    <cellStyle name="Normal 3 3 16 2 10 2" xfId="29515" xr:uid="{00000000-0005-0000-0000-0000E04E0000}"/>
    <cellStyle name="Normal 3 3 16 2 11" xfId="11985" xr:uid="{00000000-0005-0000-0000-0000E14E0000}"/>
    <cellStyle name="Normal 3 3 16 2 11 2" xfId="29516" xr:uid="{00000000-0005-0000-0000-0000E24E0000}"/>
    <cellStyle name="Normal 3 3 16 2 12" xfId="11986" xr:uid="{00000000-0005-0000-0000-0000E34E0000}"/>
    <cellStyle name="Normal 3 3 16 2 12 2" xfId="29517" xr:uid="{00000000-0005-0000-0000-0000E44E0000}"/>
    <cellStyle name="Normal 3 3 16 2 13" xfId="11987" xr:uid="{00000000-0005-0000-0000-0000E54E0000}"/>
    <cellStyle name="Normal 3 3 16 2 13 2" xfId="29518" xr:uid="{00000000-0005-0000-0000-0000E64E0000}"/>
    <cellStyle name="Normal 3 3 16 2 14" xfId="11988" xr:uid="{00000000-0005-0000-0000-0000E74E0000}"/>
    <cellStyle name="Normal 3 3 16 2 14 2" xfId="29519" xr:uid="{00000000-0005-0000-0000-0000E84E0000}"/>
    <cellStyle name="Normal 3 3 16 2 15" xfId="11989" xr:uid="{00000000-0005-0000-0000-0000E94E0000}"/>
    <cellStyle name="Normal 3 3 16 2 15 2" xfId="29520" xr:uid="{00000000-0005-0000-0000-0000EA4E0000}"/>
    <cellStyle name="Normal 3 3 16 2 16" xfId="29514" xr:uid="{00000000-0005-0000-0000-0000EB4E0000}"/>
    <cellStyle name="Normal 3 3 16 2 2" xfId="11990" xr:uid="{00000000-0005-0000-0000-0000EC4E0000}"/>
    <cellStyle name="Normal 3 3 16 2 2 10" xfId="11991" xr:uid="{00000000-0005-0000-0000-0000ED4E0000}"/>
    <cellStyle name="Normal 3 3 16 2 2 10 2" xfId="29522" xr:uid="{00000000-0005-0000-0000-0000EE4E0000}"/>
    <cellStyle name="Normal 3 3 16 2 2 11" xfId="11992" xr:uid="{00000000-0005-0000-0000-0000EF4E0000}"/>
    <cellStyle name="Normal 3 3 16 2 2 11 2" xfId="29523" xr:uid="{00000000-0005-0000-0000-0000F04E0000}"/>
    <cellStyle name="Normal 3 3 16 2 2 12" xfId="11993" xr:uid="{00000000-0005-0000-0000-0000F14E0000}"/>
    <cellStyle name="Normal 3 3 16 2 2 12 2" xfId="29524" xr:uid="{00000000-0005-0000-0000-0000F24E0000}"/>
    <cellStyle name="Normal 3 3 16 2 2 13" xfId="11994" xr:uid="{00000000-0005-0000-0000-0000F34E0000}"/>
    <cellStyle name="Normal 3 3 16 2 2 13 2" xfId="29525" xr:uid="{00000000-0005-0000-0000-0000F44E0000}"/>
    <cellStyle name="Normal 3 3 16 2 2 14" xfId="11995" xr:uid="{00000000-0005-0000-0000-0000F54E0000}"/>
    <cellStyle name="Normal 3 3 16 2 2 14 2" xfId="29526" xr:uid="{00000000-0005-0000-0000-0000F64E0000}"/>
    <cellStyle name="Normal 3 3 16 2 2 15" xfId="29521" xr:uid="{00000000-0005-0000-0000-0000F74E0000}"/>
    <cellStyle name="Normal 3 3 16 2 2 2" xfId="11996" xr:uid="{00000000-0005-0000-0000-0000F84E0000}"/>
    <cellStyle name="Normal 3 3 16 2 2 2 2" xfId="29527" xr:uid="{00000000-0005-0000-0000-0000F94E0000}"/>
    <cellStyle name="Normal 3 3 16 2 2 3" xfId="11997" xr:uid="{00000000-0005-0000-0000-0000FA4E0000}"/>
    <cellStyle name="Normal 3 3 16 2 2 3 2" xfId="29528" xr:uid="{00000000-0005-0000-0000-0000FB4E0000}"/>
    <cellStyle name="Normal 3 3 16 2 2 4" xfId="11998" xr:uid="{00000000-0005-0000-0000-0000FC4E0000}"/>
    <cellStyle name="Normal 3 3 16 2 2 4 2" xfId="29529" xr:uid="{00000000-0005-0000-0000-0000FD4E0000}"/>
    <cellStyle name="Normal 3 3 16 2 2 5" xfId="11999" xr:uid="{00000000-0005-0000-0000-0000FE4E0000}"/>
    <cellStyle name="Normal 3 3 16 2 2 5 2" xfId="29530" xr:uid="{00000000-0005-0000-0000-0000FF4E0000}"/>
    <cellStyle name="Normal 3 3 16 2 2 6" xfId="12000" xr:uid="{00000000-0005-0000-0000-0000004F0000}"/>
    <cellStyle name="Normal 3 3 16 2 2 6 2" xfId="29531" xr:uid="{00000000-0005-0000-0000-0000014F0000}"/>
    <cellStyle name="Normal 3 3 16 2 2 7" xfId="12001" xr:uid="{00000000-0005-0000-0000-0000024F0000}"/>
    <cellStyle name="Normal 3 3 16 2 2 7 2" xfId="29532" xr:uid="{00000000-0005-0000-0000-0000034F0000}"/>
    <cellStyle name="Normal 3 3 16 2 2 8" xfId="12002" xr:uid="{00000000-0005-0000-0000-0000044F0000}"/>
    <cellStyle name="Normal 3 3 16 2 2 8 2" xfId="29533" xr:uid="{00000000-0005-0000-0000-0000054F0000}"/>
    <cellStyle name="Normal 3 3 16 2 2 9" xfId="12003" xr:uid="{00000000-0005-0000-0000-0000064F0000}"/>
    <cellStyle name="Normal 3 3 16 2 2 9 2" xfId="29534" xr:uid="{00000000-0005-0000-0000-0000074F0000}"/>
    <cellStyle name="Normal 3 3 16 2 3" xfId="12004" xr:uid="{00000000-0005-0000-0000-0000084F0000}"/>
    <cellStyle name="Normal 3 3 16 2 3 2" xfId="29535" xr:uid="{00000000-0005-0000-0000-0000094F0000}"/>
    <cellStyle name="Normal 3 3 16 2 4" xfId="12005" xr:uid="{00000000-0005-0000-0000-00000A4F0000}"/>
    <cellStyle name="Normal 3 3 16 2 4 2" xfId="29536" xr:uid="{00000000-0005-0000-0000-00000B4F0000}"/>
    <cellStyle name="Normal 3 3 16 2 5" xfId="12006" xr:uid="{00000000-0005-0000-0000-00000C4F0000}"/>
    <cellStyle name="Normal 3 3 16 2 5 2" xfId="29537" xr:uid="{00000000-0005-0000-0000-00000D4F0000}"/>
    <cellStyle name="Normal 3 3 16 2 6" xfId="12007" xr:uid="{00000000-0005-0000-0000-00000E4F0000}"/>
    <cellStyle name="Normal 3 3 16 2 6 2" xfId="29538" xr:uid="{00000000-0005-0000-0000-00000F4F0000}"/>
    <cellStyle name="Normal 3 3 16 2 7" xfId="12008" xr:uid="{00000000-0005-0000-0000-0000104F0000}"/>
    <cellStyle name="Normal 3 3 16 2 7 2" xfId="29539" xr:uid="{00000000-0005-0000-0000-0000114F0000}"/>
    <cellStyle name="Normal 3 3 16 2 8" xfId="12009" xr:uid="{00000000-0005-0000-0000-0000124F0000}"/>
    <cellStyle name="Normal 3 3 16 2 8 2" xfId="29540" xr:uid="{00000000-0005-0000-0000-0000134F0000}"/>
    <cellStyle name="Normal 3 3 16 2 9" xfId="12010" xr:uid="{00000000-0005-0000-0000-0000144F0000}"/>
    <cellStyle name="Normal 3 3 16 2 9 2" xfId="29541" xr:uid="{00000000-0005-0000-0000-0000154F0000}"/>
    <cellStyle name="Normal 3 3 16 20" xfId="12011" xr:uid="{00000000-0005-0000-0000-0000164F0000}"/>
    <cellStyle name="Normal 3 3 16 20 2" xfId="29542" xr:uid="{00000000-0005-0000-0000-0000174F0000}"/>
    <cellStyle name="Normal 3 3 16 21" xfId="12012" xr:uid="{00000000-0005-0000-0000-0000184F0000}"/>
    <cellStyle name="Normal 3 3 16 21 2" xfId="29543" xr:uid="{00000000-0005-0000-0000-0000194F0000}"/>
    <cellStyle name="Normal 3 3 16 22" xfId="12013" xr:uid="{00000000-0005-0000-0000-00001A4F0000}"/>
    <cellStyle name="Normal 3 3 16 22 2" xfId="29544" xr:uid="{00000000-0005-0000-0000-00001B4F0000}"/>
    <cellStyle name="Normal 3 3 16 23" xfId="12014" xr:uid="{00000000-0005-0000-0000-00001C4F0000}"/>
    <cellStyle name="Normal 3 3 16 23 2" xfId="29545" xr:uid="{00000000-0005-0000-0000-00001D4F0000}"/>
    <cellStyle name="Normal 3 3 16 24" xfId="29490" xr:uid="{00000000-0005-0000-0000-00001E4F0000}"/>
    <cellStyle name="Normal 3 3 16 3" xfId="12015" xr:uid="{00000000-0005-0000-0000-00001F4F0000}"/>
    <cellStyle name="Normal 3 3 16 3 10" xfId="12016" xr:uid="{00000000-0005-0000-0000-0000204F0000}"/>
    <cellStyle name="Normal 3 3 16 3 10 2" xfId="29547" xr:uid="{00000000-0005-0000-0000-0000214F0000}"/>
    <cellStyle name="Normal 3 3 16 3 11" xfId="12017" xr:uid="{00000000-0005-0000-0000-0000224F0000}"/>
    <cellStyle name="Normal 3 3 16 3 11 2" xfId="29548" xr:uid="{00000000-0005-0000-0000-0000234F0000}"/>
    <cellStyle name="Normal 3 3 16 3 12" xfId="12018" xr:uid="{00000000-0005-0000-0000-0000244F0000}"/>
    <cellStyle name="Normal 3 3 16 3 12 2" xfId="29549" xr:uid="{00000000-0005-0000-0000-0000254F0000}"/>
    <cellStyle name="Normal 3 3 16 3 13" xfId="12019" xr:uid="{00000000-0005-0000-0000-0000264F0000}"/>
    <cellStyle name="Normal 3 3 16 3 13 2" xfId="29550" xr:uid="{00000000-0005-0000-0000-0000274F0000}"/>
    <cellStyle name="Normal 3 3 16 3 14" xfId="12020" xr:uid="{00000000-0005-0000-0000-0000284F0000}"/>
    <cellStyle name="Normal 3 3 16 3 14 2" xfId="29551" xr:uid="{00000000-0005-0000-0000-0000294F0000}"/>
    <cellStyle name="Normal 3 3 16 3 15" xfId="12021" xr:uid="{00000000-0005-0000-0000-00002A4F0000}"/>
    <cellStyle name="Normal 3 3 16 3 15 2" xfId="29552" xr:uid="{00000000-0005-0000-0000-00002B4F0000}"/>
    <cellStyle name="Normal 3 3 16 3 16" xfId="29546" xr:uid="{00000000-0005-0000-0000-00002C4F0000}"/>
    <cellStyle name="Normal 3 3 16 3 2" xfId="12022" xr:uid="{00000000-0005-0000-0000-00002D4F0000}"/>
    <cellStyle name="Normal 3 3 16 3 2 10" xfId="12023" xr:uid="{00000000-0005-0000-0000-00002E4F0000}"/>
    <cellStyle name="Normal 3 3 16 3 2 10 2" xfId="29554" xr:uid="{00000000-0005-0000-0000-00002F4F0000}"/>
    <cellStyle name="Normal 3 3 16 3 2 11" xfId="12024" xr:uid="{00000000-0005-0000-0000-0000304F0000}"/>
    <cellStyle name="Normal 3 3 16 3 2 11 2" xfId="29555" xr:uid="{00000000-0005-0000-0000-0000314F0000}"/>
    <cellStyle name="Normal 3 3 16 3 2 12" xfId="12025" xr:uid="{00000000-0005-0000-0000-0000324F0000}"/>
    <cellStyle name="Normal 3 3 16 3 2 12 2" xfId="29556" xr:uid="{00000000-0005-0000-0000-0000334F0000}"/>
    <cellStyle name="Normal 3 3 16 3 2 13" xfId="12026" xr:uid="{00000000-0005-0000-0000-0000344F0000}"/>
    <cellStyle name="Normal 3 3 16 3 2 13 2" xfId="29557" xr:uid="{00000000-0005-0000-0000-0000354F0000}"/>
    <cellStyle name="Normal 3 3 16 3 2 14" xfId="12027" xr:uid="{00000000-0005-0000-0000-0000364F0000}"/>
    <cellStyle name="Normal 3 3 16 3 2 14 2" xfId="29558" xr:uid="{00000000-0005-0000-0000-0000374F0000}"/>
    <cellStyle name="Normal 3 3 16 3 2 15" xfId="29553" xr:uid="{00000000-0005-0000-0000-0000384F0000}"/>
    <cellStyle name="Normal 3 3 16 3 2 2" xfId="12028" xr:uid="{00000000-0005-0000-0000-0000394F0000}"/>
    <cellStyle name="Normal 3 3 16 3 2 2 2" xfId="29559" xr:uid="{00000000-0005-0000-0000-00003A4F0000}"/>
    <cellStyle name="Normal 3 3 16 3 2 3" xfId="12029" xr:uid="{00000000-0005-0000-0000-00003B4F0000}"/>
    <cellStyle name="Normal 3 3 16 3 2 3 2" xfId="29560" xr:uid="{00000000-0005-0000-0000-00003C4F0000}"/>
    <cellStyle name="Normal 3 3 16 3 2 4" xfId="12030" xr:uid="{00000000-0005-0000-0000-00003D4F0000}"/>
    <cellStyle name="Normal 3 3 16 3 2 4 2" xfId="29561" xr:uid="{00000000-0005-0000-0000-00003E4F0000}"/>
    <cellStyle name="Normal 3 3 16 3 2 5" xfId="12031" xr:uid="{00000000-0005-0000-0000-00003F4F0000}"/>
    <cellStyle name="Normal 3 3 16 3 2 5 2" xfId="29562" xr:uid="{00000000-0005-0000-0000-0000404F0000}"/>
    <cellStyle name="Normal 3 3 16 3 2 6" xfId="12032" xr:uid="{00000000-0005-0000-0000-0000414F0000}"/>
    <cellStyle name="Normal 3 3 16 3 2 6 2" xfId="29563" xr:uid="{00000000-0005-0000-0000-0000424F0000}"/>
    <cellStyle name="Normal 3 3 16 3 2 7" xfId="12033" xr:uid="{00000000-0005-0000-0000-0000434F0000}"/>
    <cellStyle name="Normal 3 3 16 3 2 7 2" xfId="29564" xr:uid="{00000000-0005-0000-0000-0000444F0000}"/>
    <cellStyle name="Normal 3 3 16 3 2 8" xfId="12034" xr:uid="{00000000-0005-0000-0000-0000454F0000}"/>
    <cellStyle name="Normal 3 3 16 3 2 8 2" xfId="29565" xr:uid="{00000000-0005-0000-0000-0000464F0000}"/>
    <cellStyle name="Normal 3 3 16 3 2 9" xfId="12035" xr:uid="{00000000-0005-0000-0000-0000474F0000}"/>
    <cellStyle name="Normal 3 3 16 3 2 9 2" xfId="29566" xr:uid="{00000000-0005-0000-0000-0000484F0000}"/>
    <cellStyle name="Normal 3 3 16 3 3" xfId="12036" xr:uid="{00000000-0005-0000-0000-0000494F0000}"/>
    <cellStyle name="Normal 3 3 16 3 3 2" xfId="29567" xr:uid="{00000000-0005-0000-0000-00004A4F0000}"/>
    <cellStyle name="Normal 3 3 16 3 4" xfId="12037" xr:uid="{00000000-0005-0000-0000-00004B4F0000}"/>
    <cellStyle name="Normal 3 3 16 3 4 2" xfId="29568" xr:uid="{00000000-0005-0000-0000-00004C4F0000}"/>
    <cellStyle name="Normal 3 3 16 3 5" xfId="12038" xr:uid="{00000000-0005-0000-0000-00004D4F0000}"/>
    <cellStyle name="Normal 3 3 16 3 5 2" xfId="29569" xr:uid="{00000000-0005-0000-0000-00004E4F0000}"/>
    <cellStyle name="Normal 3 3 16 3 6" xfId="12039" xr:uid="{00000000-0005-0000-0000-00004F4F0000}"/>
    <cellStyle name="Normal 3 3 16 3 6 2" xfId="29570" xr:uid="{00000000-0005-0000-0000-0000504F0000}"/>
    <cellStyle name="Normal 3 3 16 3 7" xfId="12040" xr:uid="{00000000-0005-0000-0000-0000514F0000}"/>
    <cellStyle name="Normal 3 3 16 3 7 2" xfId="29571" xr:uid="{00000000-0005-0000-0000-0000524F0000}"/>
    <cellStyle name="Normal 3 3 16 3 8" xfId="12041" xr:uid="{00000000-0005-0000-0000-0000534F0000}"/>
    <cellStyle name="Normal 3 3 16 3 8 2" xfId="29572" xr:uid="{00000000-0005-0000-0000-0000544F0000}"/>
    <cellStyle name="Normal 3 3 16 3 9" xfId="12042" xr:uid="{00000000-0005-0000-0000-0000554F0000}"/>
    <cellStyle name="Normal 3 3 16 3 9 2" xfId="29573" xr:uid="{00000000-0005-0000-0000-0000564F0000}"/>
    <cellStyle name="Normal 3 3 16 4" xfId="12043" xr:uid="{00000000-0005-0000-0000-0000574F0000}"/>
    <cellStyle name="Normal 3 3 16 4 10" xfId="12044" xr:uid="{00000000-0005-0000-0000-0000584F0000}"/>
    <cellStyle name="Normal 3 3 16 4 10 2" xfId="29575" xr:uid="{00000000-0005-0000-0000-0000594F0000}"/>
    <cellStyle name="Normal 3 3 16 4 11" xfId="12045" xr:uid="{00000000-0005-0000-0000-00005A4F0000}"/>
    <cellStyle name="Normal 3 3 16 4 11 2" xfId="29576" xr:uid="{00000000-0005-0000-0000-00005B4F0000}"/>
    <cellStyle name="Normal 3 3 16 4 12" xfId="12046" xr:uid="{00000000-0005-0000-0000-00005C4F0000}"/>
    <cellStyle name="Normal 3 3 16 4 12 2" xfId="29577" xr:uid="{00000000-0005-0000-0000-00005D4F0000}"/>
    <cellStyle name="Normal 3 3 16 4 13" xfId="12047" xr:uid="{00000000-0005-0000-0000-00005E4F0000}"/>
    <cellStyle name="Normal 3 3 16 4 13 2" xfId="29578" xr:uid="{00000000-0005-0000-0000-00005F4F0000}"/>
    <cellStyle name="Normal 3 3 16 4 14" xfId="12048" xr:uid="{00000000-0005-0000-0000-0000604F0000}"/>
    <cellStyle name="Normal 3 3 16 4 14 2" xfId="29579" xr:uid="{00000000-0005-0000-0000-0000614F0000}"/>
    <cellStyle name="Normal 3 3 16 4 15" xfId="12049" xr:uid="{00000000-0005-0000-0000-0000624F0000}"/>
    <cellStyle name="Normal 3 3 16 4 15 2" xfId="29580" xr:uid="{00000000-0005-0000-0000-0000634F0000}"/>
    <cellStyle name="Normal 3 3 16 4 16" xfId="29574" xr:uid="{00000000-0005-0000-0000-0000644F0000}"/>
    <cellStyle name="Normal 3 3 16 4 2" xfId="12050" xr:uid="{00000000-0005-0000-0000-0000654F0000}"/>
    <cellStyle name="Normal 3 3 16 4 2 10" xfId="12051" xr:uid="{00000000-0005-0000-0000-0000664F0000}"/>
    <cellStyle name="Normal 3 3 16 4 2 10 2" xfId="29582" xr:uid="{00000000-0005-0000-0000-0000674F0000}"/>
    <cellStyle name="Normal 3 3 16 4 2 11" xfId="12052" xr:uid="{00000000-0005-0000-0000-0000684F0000}"/>
    <cellStyle name="Normal 3 3 16 4 2 11 2" xfId="29583" xr:uid="{00000000-0005-0000-0000-0000694F0000}"/>
    <cellStyle name="Normal 3 3 16 4 2 12" xfId="12053" xr:uid="{00000000-0005-0000-0000-00006A4F0000}"/>
    <cellStyle name="Normal 3 3 16 4 2 12 2" xfId="29584" xr:uid="{00000000-0005-0000-0000-00006B4F0000}"/>
    <cellStyle name="Normal 3 3 16 4 2 13" xfId="12054" xr:uid="{00000000-0005-0000-0000-00006C4F0000}"/>
    <cellStyle name="Normal 3 3 16 4 2 13 2" xfId="29585" xr:uid="{00000000-0005-0000-0000-00006D4F0000}"/>
    <cellStyle name="Normal 3 3 16 4 2 14" xfId="12055" xr:uid="{00000000-0005-0000-0000-00006E4F0000}"/>
    <cellStyle name="Normal 3 3 16 4 2 14 2" xfId="29586" xr:uid="{00000000-0005-0000-0000-00006F4F0000}"/>
    <cellStyle name="Normal 3 3 16 4 2 15" xfId="29581" xr:uid="{00000000-0005-0000-0000-0000704F0000}"/>
    <cellStyle name="Normal 3 3 16 4 2 2" xfId="12056" xr:uid="{00000000-0005-0000-0000-0000714F0000}"/>
    <cellStyle name="Normal 3 3 16 4 2 2 2" xfId="29587" xr:uid="{00000000-0005-0000-0000-0000724F0000}"/>
    <cellStyle name="Normal 3 3 16 4 2 3" xfId="12057" xr:uid="{00000000-0005-0000-0000-0000734F0000}"/>
    <cellStyle name="Normal 3 3 16 4 2 3 2" xfId="29588" xr:uid="{00000000-0005-0000-0000-0000744F0000}"/>
    <cellStyle name="Normal 3 3 16 4 2 4" xfId="12058" xr:uid="{00000000-0005-0000-0000-0000754F0000}"/>
    <cellStyle name="Normal 3 3 16 4 2 4 2" xfId="29589" xr:uid="{00000000-0005-0000-0000-0000764F0000}"/>
    <cellStyle name="Normal 3 3 16 4 2 5" xfId="12059" xr:uid="{00000000-0005-0000-0000-0000774F0000}"/>
    <cellStyle name="Normal 3 3 16 4 2 5 2" xfId="29590" xr:uid="{00000000-0005-0000-0000-0000784F0000}"/>
    <cellStyle name="Normal 3 3 16 4 2 6" xfId="12060" xr:uid="{00000000-0005-0000-0000-0000794F0000}"/>
    <cellStyle name="Normal 3 3 16 4 2 6 2" xfId="29591" xr:uid="{00000000-0005-0000-0000-00007A4F0000}"/>
    <cellStyle name="Normal 3 3 16 4 2 7" xfId="12061" xr:uid="{00000000-0005-0000-0000-00007B4F0000}"/>
    <cellStyle name="Normal 3 3 16 4 2 7 2" xfId="29592" xr:uid="{00000000-0005-0000-0000-00007C4F0000}"/>
    <cellStyle name="Normal 3 3 16 4 2 8" xfId="12062" xr:uid="{00000000-0005-0000-0000-00007D4F0000}"/>
    <cellStyle name="Normal 3 3 16 4 2 8 2" xfId="29593" xr:uid="{00000000-0005-0000-0000-00007E4F0000}"/>
    <cellStyle name="Normal 3 3 16 4 2 9" xfId="12063" xr:uid="{00000000-0005-0000-0000-00007F4F0000}"/>
    <cellStyle name="Normal 3 3 16 4 2 9 2" xfId="29594" xr:uid="{00000000-0005-0000-0000-0000804F0000}"/>
    <cellStyle name="Normal 3 3 16 4 3" xfId="12064" xr:uid="{00000000-0005-0000-0000-0000814F0000}"/>
    <cellStyle name="Normal 3 3 16 4 3 2" xfId="29595" xr:uid="{00000000-0005-0000-0000-0000824F0000}"/>
    <cellStyle name="Normal 3 3 16 4 4" xfId="12065" xr:uid="{00000000-0005-0000-0000-0000834F0000}"/>
    <cellStyle name="Normal 3 3 16 4 4 2" xfId="29596" xr:uid="{00000000-0005-0000-0000-0000844F0000}"/>
    <cellStyle name="Normal 3 3 16 4 5" xfId="12066" xr:uid="{00000000-0005-0000-0000-0000854F0000}"/>
    <cellStyle name="Normal 3 3 16 4 5 2" xfId="29597" xr:uid="{00000000-0005-0000-0000-0000864F0000}"/>
    <cellStyle name="Normal 3 3 16 4 6" xfId="12067" xr:uid="{00000000-0005-0000-0000-0000874F0000}"/>
    <cellStyle name="Normal 3 3 16 4 6 2" xfId="29598" xr:uid="{00000000-0005-0000-0000-0000884F0000}"/>
    <cellStyle name="Normal 3 3 16 4 7" xfId="12068" xr:uid="{00000000-0005-0000-0000-0000894F0000}"/>
    <cellStyle name="Normal 3 3 16 4 7 2" xfId="29599" xr:uid="{00000000-0005-0000-0000-00008A4F0000}"/>
    <cellStyle name="Normal 3 3 16 4 8" xfId="12069" xr:uid="{00000000-0005-0000-0000-00008B4F0000}"/>
    <cellStyle name="Normal 3 3 16 4 8 2" xfId="29600" xr:uid="{00000000-0005-0000-0000-00008C4F0000}"/>
    <cellStyle name="Normal 3 3 16 4 9" xfId="12070" xr:uid="{00000000-0005-0000-0000-00008D4F0000}"/>
    <cellStyle name="Normal 3 3 16 4 9 2" xfId="29601" xr:uid="{00000000-0005-0000-0000-00008E4F0000}"/>
    <cellStyle name="Normal 3 3 16 5" xfId="12071" xr:uid="{00000000-0005-0000-0000-00008F4F0000}"/>
    <cellStyle name="Normal 3 3 16 5 10" xfId="12072" xr:uid="{00000000-0005-0000-0000-0000904F0000}"/>
    <cellStyle name="Normal 3 3 16 5 10 2" xfId="29603" xr:uid="{00000000-0005-0000-0000-0000914F0000}"/>
    <cellStyle name="Normal 3 3 16 5 11" xfId="12073" xr:uid="{00000000-0005-0000-0000-0000924F0000}"/>
    <cellStyle name="Normal 3 3 16 5 11 2" xfId="29604" xr:uid="{00000000-0005-0000-0000-0000934F0000}"/>
    <cellStyle name="Normal 3 3 16 5 12" xfId="12074" xr:uid="{00000000-0005-0000-0000-0000944F0000}"/>
    <cellStyle name="Normal 3 3 16 5 12 2" xfId="29605" xr:uid="{00000000-0005-0000-0000-0000954F0000}"/>
    <cellStyle name="Normal 3 3 16 5 13" xfId="12075" xr:uid="{00000000-0005-0000-0000-0000964F0000}"/>
    <cellStyle name="Normal 3 3 16 5 13 2" xfId="29606" xr:uid="{00000000-0005-0000-0000-0000974F0000}"/>
    <cellStyle name="Normal 3 3 16 5 14" xfId="12076" xr:uid="{00000000-0005-0000-0000-0000984F0000}"/>
    <cellStyle name="Normal 3 3 16 5 14 2" xfId="29607" xr:uid="{00000000-0005-0000-0000-0000994F0000}"/>
    <cellStyle name="Normal 3 3 16 5 15" xfId="29602" xr:uid="{00000000-0005-0000-0000-00009A4F0000}"/>
    <cellStyle name="Normal 3 3 16 5 2" xfId="12077" xr:uid="{00000000-0005-0000-0000-00009B4F0000}"/>
    <cellStyle name="Normal 3 3 16 5 2 2" xfId="29608" xr:uid="{00000000-0005-0000-0000-00009C4F0000}"/>
    <cellStyle name="Normal 3 3 16 5 3" xfId="12078" xr:uid="{00000000-0005-0000-0000-00009D4F0000}"/>
    <cellStyle name="Normal 3 3 16 5 3 2" xfId="29609" xr:uid="{00000000-0005-0000-0000-00009E4F0000}"/>
    <cellStyle name="Normal 3 3 16 5 4" xfId="12079" xr:uid="{00000000-0005-0000-0000-00009F4F0000}"/>
    <cellStyle name="Normal 3 3 16 5 4 2" xfId="29610" xr:uid="{00000000-0005-0000-0000-0000A04F0000}"/>
    <cellStyle name="Normal 3 3 16 5 5" xfId="12080" xr:uid="{00000000-0005-0000-0000-0000A14F0000}"/>
    <cellStyle name="Normal 3 3 16 5 5 2" xfId="29611" xr:uid="{00000000-0005-0000-0000-0000A24F0000}"/>
    <cellStyle name="Normal 3 3 16 5 6" xfId="12081" xr:uid="{00000000-0005-0000-0000-0000A34F0000}"/>
    <cellStyle name="Normal 3 3 16 5 6 2" xfId="29612" xr:uid="{00000000-0005-0000-0000-0000A44F0000}"/>
    <cellStyle name="Normal 3 3 16 5 7" xfId="12082" xr:uid="{00000000-0005-0000-0000-0000A54F0000}"/>
    <cellStyle name="Normal 3 3 16 5 7 2" xfId="29613" xr:uid="{00000000-0005-0000-0000-0000A64F0000}"/>
    <cellStyle name="Normal 3 3 16 5 8" xfId="12083" xr:uid="{00000000-0005-0000-0000-0000A74F0000}"/>
    <cellStyle name="Normal 3 3 16 5 8 2" xfId="29614" xr:uid="{00000000-0005-0000-0000-0000A84F0000}"/>
    <cellStyle name="Normal 3 3 16 5 9" xfId="12084" xr:uid="{00000000-0005-0000-0000-0000A94F0000}"/>
    <cellStyle name="Normal 3 3 16 5 9 2" xfId="29615" xr:uid="{00000000-0005-0000-0000-0000AA4F0000}"/>
    <cellStyle name="Normal 3 3 16 6" xfId="12085" xr:uid="{00000000-0005-0000-0000-0000AB4F0000}"/>
    <cellStyle name="Normal 3 3 16 6 10" xfId="12086" xr:uid="{00000000-0005-0000-0000-0000AC4F0000}"/>
    <cellStyle name="Normal 3 3 16 6 10 2" xfId="29617" xr:uid="{00000000-0005-0000-0000-0000AD4F0000}"/>
    <cellStyle name="Normal 3 3 16 6 11" xfId="12087" xr:uid="{00000000-0005-0000-0000-0000AE4F0000}"/>
    <cellStyle name="Normal 3 3 16 6 11 2" xfId="29618" xr:uid="{00000000-0005-0000-0000-0000AF4F0000}"/>
    <cellStyle name="Normal 3 3 16 6 12" xfId="12088" xr:uid="{00000000-0005-0000-0000-0000B04F0000}"/>
    <cellStyle name="Normal 3 3 16 6 12 2" xfId="29619" xr:uid="{00000000-0005-0000-0000-0000B14F0000}"/>
    <cellStyle name="Normal 3 3 16 6 13" xfId="12089" xr:uid="{00000000-0005-0000-0000-0000B24F0000}"/>
    <cellStyle name="Normal 3 3 16 6 13 2" xfId="29620" xr:uid="{00000000-0005-0000-0000-0000B34F0000}"/>
    <cellStyle name="Normal 3 3 16 6 14" xfId="12090" xr:uid="{00000000-0005-0000-0000-0000B44F0000}"/>
    <cellStyle name="Normal 3 3 16 6 14 2" xfId="29621" xr:uid="{00000000-0005-0000-0000-0000B54F0000}"/>
    <cellStyle name="Normal 3 3 16 6 15" xfId="29616" xr:uid="{00000000-0005-0000-0000-0000B64F0000}"/>
    <cellStyle name="Normal 3 3 16 6 2" xfId="12091" xr:uid="{00000000-0005-0000-0000-0000B74F0000}"/>
    <cellStyle name="Normal 3 3 16 6 2 2" xfId="29622" xr:uid="{00000000-0005-0000-0000-0000B84F0000}"/>
    <cellStyle name="Normal 3 3 16 6 3" xfId="12092" xr:uid="{00000000-0005-0000-0000-0000B94F0000}"/>
    <cellStyle name="Normal 3 3 16 6 3 2" xfId="29623" xr:uid="{00000000-0005-0000-0000-0000BA4F0000}"/>
    <cellStyle name="Normal 3 3 16 6 4" xfId="12093" xr:uid="{00000000-0005-0000-0000-0000BB4F0000}"/>
    <cellStyle name="Normal 3 3 16 6 4 2" xfId="29624" xr:uid="{00000000-0005-0000-0000-0000BC4F0000}"/>
    <cellStyle name="Normal 3 3 16 6 5" xfId="12094" xr:uid="{00000000-0005-0000-0000-0000BD4F0000}"/>
    <cellStyle name="Normal 3 3 16 6 5 2" xfId="29625" xr:uid="{00000000-0005-0000-0000-0000BE4F0000}"/>
    <cellStyle name="Normal 3 3 16 6 6" xfId="12095" xr:uid="{00000000-0005-0000-0000-0000BF4F0000}"/>
    <cellStyle name="Normal 3 3 16 6 6 2" xfId="29626" xr:uid="{00000000-0005-0000-0000-0000C04F0000}"/>
    <cellStyle name="Normal 3 3 16 6 7" xfId="12096" xr:uid="{00000000-0005-0000-0000-0000C14F0000}"/>
    <cellStyle name="Normal 3 3 16 6 7 2" xfId="29627" xr:uid="{00000000-0005-0000-0000-0000C24F0000}"/>
    <cellStyle name="Normal 3 3 16 6 8" xfId="12097" xr:uid="{00000000-0005-0000-0000-0000C34F0000}"/>
    <cellStyle name="Normal 3 3 16 6 8 2" xfId="29628" xr:uid="{00000000-0005-0000-0000-0000C44F0000}"/>
    <cellStyle name="Normal 3 3 16 6 9" xfId="12098" xr:uid="{00000000-0005-0000-0000-0000C54F0000}"/>
    <cellStyle name="Normal 3 3 16 6 9 2" xfId="29629" xr:uid="{00000000-0005-0000-0000-0000C64F0000}"/>
    <cellStyle name="Normal 3 3 16 7" xfId="12099" xr:uid="{00000000-0005-0000-0000-0000C74F0000}"/>
    <cellStyle name="Normal 3 3 16 7 10" xfId="12100" xr:uid="{00000000-0005-0000-0000-0000C84F0000}"/>
    <cellStyle name="Normal 3 3 16 7 10 2" xfId="29631" xr:uid="{00000000-0005-0000-0000-0000C94F0000}"/>
    <cellStyle name="Normal 3 3 16 7 11" xfId="12101" xr:uid="{00000000-0005-0000-0000-0000CA4F0000}"/>
    <cellStyle name="Normal 3 3 16 7 11 2" xfId="29632" xr:uid="{00000000-0005-0000-0000-0000CB4F0000}"/>
    <cellStyle name="Normal 3 3 16 7 12" xfId="12102" xr:uid="{00000000-0005-0000-0000-0000CC4F0000}"/>
    <cellStyle name="Normal 3 3 16 7 12 2" xfId="29633" xr:uid="{00000000-0005-0000-0000-0000CD4F0000}"/>
    <cellStyle name="Normal 3 3 16 7 13" xfId="12103" xr:uid="{00000000-0005-0000-0000-0000CE4F0000}"/>
    <cellStyle name="Normal 3 3 16 7 13 2" xfId="29634" xr:uid="{00000000-0005-0000-0000-0000CF4F0000}"/>
    <cellStyle name="Normal 3 3 16 7 14" xfId="12104" xr:uid="{00000000-0005-0000-0000-0000D04F0000}"/>
    <cellStyle name="Normal 3 3 16 7 14 2" xfId="29635" xr:uid="{00000000-0005-0000-0000-0000D14F0000}"/>
    <cellStyle name="Normal 3 3 16 7 15" xfId="29630" xr:uid="{00000000-0005-0000-0000-0000D24F0000}"/>
    <cellStyle name="Normal 3 3 16 7 2" xfId="12105" xr:uid="{00000000-0005-0000-0000-0000D34F0000}"/>
    <cellStyle name="Normal 3 3 16 7 2 2" xfId="29636" xr:uid="{00000000-0005-0000-0000-0000D44F0000}"/>
    <cellStyle name="Normal 3 3 16 7 3" xfId="12106" xr:uid="{00000000-0005-0000-0000-0000D54F0000}"/>
    <cellStyle name="Normal 3 3 16 7 3 2" xfId="29637" xr:uid="{00000000-0005-0000-0000-0000D64F0000}"/>
    <cellStyle name="Normal 3 3 16 7 4" xfId="12107" xr:uid="{00000000-0005-0000-0000-0000D74F0000}"/>
    <cellStyle name="Normal 3 3 16 7 4 2" xfId="29638" xr:uid="{00000000-0005-0000-0000-0000D84F0000}"/>
    <cellStyle name="Normal 3 3 16 7 5" xfId="12108" xr:uid="{00000000-0005-0000-0000-0000D94F0000}"/>
    <cellStyle name="Normal 3 3 16 7 5 2" xfId="29639" xr:uid="{00000000-0005-0000-0000-0000DA4F0000}"/>
    <cellStyle name="Normal 3 3 16 7 6" xfId="12109" xr:uid="{00000000-0005-0000-0000-0000DB4F0000}"/>
    <cellStyle name="Normal 3 3 16 7 6 2" xfId="29640" xr:uid="{00000000-0005-0000-0000-0000DC4F0000}"/>
    <cellStyle name="Normal 3 3 16 7 7" xfId="12110" xr:uid="{00000000-0005-0000-0000-0000DD4F0000}"/>
    <cellStyle name="Normal 3 3 16 7 7 2" xfId="29641" xr:uid="{00000000-0005-0000-0000-0000DE4F0000}"/>
    <cellStyle name="Normal 3 3 16 7 8" xfId="12111" xr:uid="{00000000-0005-0000-0000-0000DF4F0000}"/>
    <cellStyle name="Normal 3 3 16 7 8 2" xfId="29642" xr:uid="{00000000-0005-0000-0000-0000E04F0000}"/>
    <cellStyle name="Normal 3 3 16 7 9" xfId="12112" xr:uid="{00000000-0005-0000-0000-0000E14F0000}"/>
    <cellStyle name="Normal 3 3 16 7 9 2" xfId="29643" xr:uid="{00000000-0005-0000-0000-0000E24F0000}"/>
    <cellStyle name="Normal 3 3 16 8" xfId="12113" xr:uid="{00000000-0005-0000-0000-0000E34F0000}"/>
    <cellStyle name="Normal 3 3 16 8 10" xfId="12114" xr:uid="{00000000-0005-0000-0000-0000E44F0000}"/>
    <cellStyle name="Normal 3 3 16 8 10 2" xfId="29645" xr:uid="{00000000-0005-0000-0000-0000E54F0000}"/>
    <cellStyle name="Normal 3 3 16 8 11" xfId="12115" xr:uid="{00000000-0005-0000-0000-0000E64F0000}"/>
    <cellStyle name="Normal 3 3 16 8 11 2" xfId="29646" xr:uid="{00000000-0005-0000-0000-0000E74F0000}"/>
    <cellStyle name="Normal 3 3 16 8 12" xfId="12116" xr:uid="{00000000-0005-0000-0000-0000E84F0000}"/>
    <cellStyle name="Normal 3 3 16 8 12 2" xfId="29647" xr:uid="{00000000-0005-0000-0000-0000E94F0000}"/>
    <cellStyle name="Normal 3 3 16 8 13" xfId="12117" xr:uid="{00000000-0005-0000-0000-0000EA4F0000}"/>
    <cellStyle name="Normal 3 3 16 8 13 2" xfId="29648" xr:uid="{00000000-0005-0000-0000-0000EB4F0000}"/>
    <cellStyle name="Normal 3 3 16 8 14" xfId="12118" xr:uid="{00000000-0005-0000-0000-0000EC4F0000}"/>
    <cellStyle name="Normal 3 3 16 8 14 2" xfId="29649" xr:uid="{00000000-0005-0000-0000-0000ED4F0000}"/>
    <cellStyle name="Normal 3 3 16 8 15" xfId="29644" xr:uid="{00000000-0005-0000-0000-0000EE4F0000}"/>
    <cellStyle name="Normal 3 3 16 8 2" xfId="12119" xr:uid="{00000000-0005-0000-0000-0000EF4F0000}"/>
    <cellStyle name="Normal 3 3 16 8 2 2" xfId="29650" xr:uid="{00000000-0005-0000-0000-0000F04F0000}"/>
    <cellStyle name="Normal 3 3 16 8 3" xfId="12120" xr:uid="{00000000-0005-0000-0000-0000F14F0000}"/>
    <cellStyle name="Normal 3 3 16 8 3 2" xfId="29651" xr:uid="{00000000-0005-0000-0000-0000F24F0000}"/>
    <cellStyle name="Normal 3 3 16 8 4" xfId="12121" xr:uid="{00000000-0005-0000-0000-0000F34F0000}"/>
    <cellStyle name="Normal 3 3 16 8 4 2" xfId="29652" xr:uid="{00000000-0005-0000-0000-0000F44F0000}"/>
    <cellStyle name="Normal 3 3 16 8 5" xfId="12122" xr:uid="{00000000-0005-0000-0000-0000F54F0000}"/>
    <cellStyle name="Normal 3 3 16 8 5 2" xfId="29653" xr:uid="{00000000-0005-0000-0000-0000F64F0000}"/>
    <cellStyle name="Normal 3 3 16 8 6" xfId="12123" xr:uid="{00000000-0005-0000-0000-0000F74F0000}"/>
    <cellStyle name="Normal 3 3 16 8 6 2" xfId="29654" xr:uid="{00000000-0005-0000-0000-0000F84F0000}"/>
    <cellStyle name="Normal 3 3 16 8 7" xfId="12124" xr:uid="{00000000-0005-0000-0000-0000F94F0000}"/>
    <cellStyle name="Normal 3 3 16 8 7 2" xfId="29655" xr:uid="{00000000-0005-0000-0000-0000FA4F0000}"/>
    <cellStyle name="Normal 3 3 16 8 8" xfId="12125" xr:uid="{00000000-0005-0000-0000-0000FB4F0000}"/>
    <cellStyle name="Normal 3 3 16 8 8 2" xfId="29656" xr:uid="{00000000-0005-0000-0000-0000FC4F0000}"/>
    <cellStyle name="Normal 3 3 16 8 9" xfId="12126" xr:uid="{00000000-0005-0000-0000-0000FD4F0000}"/>
    <cellStyle name="Normal 3 3 16 8 9 2" xfId="29657" xr:uid="{00000000-0005-0000-0000-0000FE4F0000}"/>
    <cellStyle name="Normal 3 3 16 9" xfId="12127" xr:uid="{00000000-0005-0000-0000-0000FF4F0000}"/>
    <cellStyle name="Normal 3 3 16 9 10" xfId="12128" xr:uid="{00000000-0005-0000-0000-000000500000}"/>
    <cellStyle name="Normal 3 3 16 9 10 2" xfId="29659" xr:uid="{00000000-0005-0000-0000-000001500000}"/>
    <cellStyle name="Normal 3 3 16 9 11" xfId="12129" xr:uid="{00000000-0005-0000-0000-000002500000}"/>
    <cellStyle name="Normal 3 3 16 9 11 2" xfId="29660" xr:uid="{00000000-0005-0000-0000-000003500000}"/>
    <cellStyle name="Normal 3 3 16 9 12" xfId="12130" xr:uid="{00000000-0005-0000-0000-000004500000}"/>
    <cellStyle name="Normal 3 3 16 9 12 2" xfId="29661" xr:uid="{00000000-0005-0000-0000-000005500000}"/>
    <cellStyle name="Normal 3 3 16 9 13" xfId="12131" xr:uid="{00000000-0005-0000-0000-000006500000}"/>
    <cellStyle name="Normal 3 3 16 9 13 2" xfId="29662" xr:uid="{00000000-0005-0000-0000-000007500000}"/>
    <cellStyle name="Normal 3 3 16 9 14" xfId="12132" xr:uid="{00000000-0005-0000-0000-000008500000}"/>
    <cellStyle name="Normal 3 3 16 9 14 2" xfId="29663" xr:uid="{00000000-0005-0000-0000-000009500000}"/>
    <cellStyle name="Normal 3 3 16 9 15" xfId="29658" xr:uid="{00000000-0005-0000-0000-00000A500000}"/>
    <cellStyle name="Normal 3 3 16 9 2" xfId="12133" xr:uid="{00000000-0005-0000-0000-00000B500000}"/>
    <cellStyle name="Normal 3 3 16 9 2 2" xfId="29664" xr:uid="{00000000-0005-0000-0000-00000C500000}"/>
    <cellStyle name="Normal 3 3 16 9 3" xfId="12134" xr:uid="{00000000-0005-0000-0000-00000D500000}"/>
    <cellStyle name="Normal 3 3 16 9 3 2" xfId="29665" xr:uid="{00000000-0005-0000-0000-00000E500000}"/>
    <cellStyle name="Normal 3 3 16 9 4" xfId="12135" xr:uid="{00000000-0005-0000-0000-00000F500000}"/>
    <cellStyle name="Normal 3 3 16 9 4 2" xfId="29666" xr:uid="{00000000-0005-0000-0000-000010500000}"/>
    <cellStyle name="Normal 3 3 16 9 5" xfId="12136" xr:uid="{00000000-0005-0000-0000-000011500000}"/>
    <cellStyle name="Normal 3 3 16 9 5 2" xfId="29667" xr:uid="{00000000-0005-0000-0000-000012500000}"/>
    <cellStyle name="Normal 3 3 16 9 6" xfId="12137" xr:uid="{00000000-0005-0000-0000-000013500000}"/>
    <cellStyle name="Normal 3 3 16 9 6 2" xfId="29668" xr:uid="{00000000-0005-0000-0000-000014500000}"/>
    <cellStyle name="Normal 3 3 16 9 7" xfId="12138" xr:uid="{00000000-0005-0000-0000-000015500000}"/>
    <cellStyle name="Normal 3 3 16 9 7 2" xfId="29669" xr:uid="{00000000-0005-0000-0000-000016500000}"/>
    <cellStyle name="Normal 3 3 16 9 8" xfId="12139" xr:uid="{00000000-0005-0000-0000-000017500000}"/>
    <cellStyle name="Normal 3 3 16 9 8 2" xfId="29670" xr:uid="{00000000-0005-0000-0000-000018500000}"/>
    <cellStyle name="Normal 3 3 16 9 9" xfId="12140" xr:uid="{00000000-0005-0000-0000-000019500000}"/>
    <cellStyle name="Normal 3 3 16 9 9 2" xfId="29671" xr:uid="{00000000-0005-0000-0000-00001A500000}"/>
    <cellStyle name="Normal 3 3 17" xfId="12141" xr:uid="{00000000-0005-0000-0000-00001B500000}"/>
    <cellStyle name="Normal 3 3 17 10" xfId="12142" xr:uid="{00000000-0005-0000-0000-00001C500000}"/>
    <cellStyle name="Normal 3 3 17 10 10" xfId="12143" xr:uid="{00000000-0005-0000-0000-00001D500000}"/>
    <cellStyle name="Normal 3 3 17 10 10 2" xfId="29674" xr:uid="{00000000-0005-0000-0000-00001E500000}"/>
    <cellStyle name="Normal 3 3 17 10 11" xfId="12144" xr:uid="{00000000-0005-0000-0000-00001F500000}"/>
    <cellStyle name="Normal 3 3 17 10 11 2" xfId="29675" xr:uid="{00000000-0005-0000-0000-000020500000}"/>
    <cellStyle name="Normal 3 3 17 10 12" xfId="12145" xr:uid="{00000000-0005-0000-0000-000021500000}"/>
    <cellStyle name="Normal 3 3 17 10 12 2" xfId="29676" xr:uid="{00000000-0005-0000-0000-000022500000}"/>
    <cellStyle name="Normal 3 3 17 10 13" xfId="12146" xr:uid="{00000000-0005-0000-0000-000023500000}"/>
    <cellStyle name="Normal 3 3 17 10 13 2" xfId="29677" xr:uid="{00000000-0005-0000-0000-000024500000}"/>
    <cellStyle name="Normal 3 3 17 10 14" xfId="12147" xr:uid="{00000000-0005-0000-0000-000025500000}"/>
    <cellStyle name="Normal 3 3 17 10 14 2" xfId="29678" xr:uid="{00000000-0005-0000-0000-000026500000}"/>
    <cellStyle name="Normal 3 3 17 10 15" xfId="29673" xr:uid="{00000000-0005-0000-0000-000027500000}"/>
    <cellStyle name="Normal 3 3 17 10 2" xfId="12148" xr:uid="{00000000-0005-0000-0000-000028500000}"/>
    <cellStyle name="Normal 3 3 17 10 2 2" xfId="29679" xr:uid="{00000000-0005-0000-0000-000029500000}"/>
    <cellStyle name="Normal 3 3 17 10 3" xfId="12149" xr:uid="{00000000-0005-0000-0000-00002A500000}"/>
    <cellStyle name="Normal 3 3 17 10 3 2" xfId="29680" xr:uid="{00000000-0005-0000-0000-00002B500000}"/>
    <cellStyle name="Normal 3 3 17 10 4" xfId="12150" xr:uid="{00000000-0005-0000-0000-00002C500000}"/>
    <cellStyle name="Normal 3 3 17 10 4 2" xfId="29681" xr:uid="{00000000-0005-0000-0000-00002D500000}"/>
    <cellStyle name="Normal 3 3 17 10 5" xfId="12151" xr:uid="{00000000-0005-0000-0000-00002E500000}"/>
    <cellStyle name="Normal 3 3 17 10 5 2" xfId="29682" xr:uid="{00000000-0005-0000-0000-00002F500000}"/>
    <cellStyle name="Normal 3 3 17 10 6" xfId="12152" xr:uid="{00000000-0005-0000-0000-000030500000}"/>
    <cellStyle name="Normal 3 3 17 10 6 2" xfId="29683" xr:uid="{00000000-0005-0000-0000-000031500000}"/>
    <cellStyle name="Normal 3 3 17 10 7" xfId="12153" xr:uid="{00000000-0005-0000-0000-000032500000}"/>
    <cellStyle name="Normal 3 3 17 10 7 2" xfId="29684" xr:uid="{00000000-0005-0000-0000-000033500000}"/>
    <cellStyle name="Normal 3 3 17 10 8" xfId="12154" xr:uid="{00000000-0005-0000-0000-000034500000}"/>
    <cellStyle name="Normal 3 3 17 10 8 2" xfId="29685" xr:uid="{00000000-0005-0000-0000-000035500000}"/>
    <cellStyle name="Normal 3 3 17 10 9" xfId="12155" xr:uid="{00000000-0005-0000-0000-000036500000}"/>
    <cellStyle name="Normal 3 3 17 10 9 2" xfId="29686" xr:uid="{00000000-0005-0000-0000-000037500000}"/>
    <cellStyle name="Normal 3 3 17 11" xfId="12156" xr:uid="{00000000-0005-0000-0000-000038500000}"/>
    <cellStyle name="Normal 3 3 17 11 2" xfId="29687" xr:uid="{00000000-0005-0000-0000-000039500000}"/>
    <cellStyle name="Normal 3 3 17 12" xfId="12157" xr:uid="{00000000-0005-0000-0000-00003A500000}"/>
    <cellStyle name="Normal 3 3 17 12 2" xfId="29688" xr:uid="{00000000-0005-0000-0000-00003B500000}"/>
    <cellStyle name="Normal 3 3 17 13" xfId="12158" xr:uid="{00000000-0005-0000-0000-00003C500000}"/>
    <cellStyle name="Normal 3 3 17 13 2" xfId="29689" xr:uid="{00000000-0005-0000-0000-00003D500000}"/>
    <cellStyle name="Normal 3 3 17 14" xfId="12159" xr:uid="{00000000-0005-0000-0000-00003E500000}"/>
    <cellStyle name="Normal 3 3 17 14 2" xfId="29690" xr:uid="{00000000-0005-0000-0000-00003F500000}"/>
    <cellStyle name="Normal 3 3 17 15" xfId="12160" xr:uid="{00000000-0005-0000-0000-000040500000}"/>
    <cellStyle name="Normal 3 3 17 15 2" xfId="29691" xr:uid="{00000000-0005-0000-0000-000041500000}"/>
    <cellStyle name="Normal 3 3 17 16" xfId="12161" xr:uid="{00000000-0005-0000-0000-000042500000}"/>
    <cellStyle name="Normal 3 3 17 16 2" xfId="29692" xr:uid="{00000000-0005-0000-0000-000043500000}"/>
    <cellStyle name="Normal 3 3 17 17" xfId="12162" xr:uid="{00000000-0005-0000-0000-000044500000}"/>
    <cellStyle name="Normal 3 3 17 17 2" xfId="29693" xr:uid="{00000000-0005-0000-0000-000045500000}"/>
    <cellStyle name="Normal 3 3 17 18" xfId="12163" xr:uid="{00000000-0005-0000-0000-000046500000}"/>
    <cellStyle name="Normal 3 3 17 18 2" xfId="29694" xr:uid="{00000000-0005-0000-0000-000047500000}"/>
    <cellStyle name="Normal 3 3 17 19" xfId="12164" xr:uid="{00000000-0005-0000-0000-000048500000}"/>
    <cellStyle name="Normal 3 3 17 19 2" xfId="29695" xr:uid="{00000000-0005-0000-0000-000049500000}"/>
    <cellStyle name="Normal 3 3 17 2" xfId="12165" xr:uid="{00000000-0005-0000-0000-00004A500000}"/>
    <cellStyle name="Normal 3 3 17 2 10" xfId="12166" xr:uid="{00000000-0005-0000-0000-00004B500000}"/>
    <cellStyle name="Normal 3 3 17 2 10 2" xfId="29697" xr:uid="{00000000-0005-0000-0000-00004C500000}"/>
    <cellStyle name="Normal 3 3 17 2 11" xfId="12167" xr:uid="{00000000-0005-0000-0000-00004D500000}"/>
    <cellStyle name="Normal 3 3 17 2 11 2" xfId="29698" xr:uid="{00000000-0005-0000-0000-00004E500000}"/>
    <cellStyle name="Normal 3 3 17 2 12" xfId="12168" xr:uid="{00000000-0005-0000-0000-00004F500000}"/>
    <cellStyle name="Normal 3 3 17 2 12 2" xfId="29699" xr:uid="{00000000-0005-0000-0000-000050500000}"/>
    <cellStyle name="Normal 3 3 17 2 13" xfId="12169" xr:uid="{00000000-0005-0000-0000-000051500000}"/>
    <cellStyle name="Normal 3 3 17 2 13 2" xfId="29700" xr:uid="{00000000-0005-0000-0000-000052500000}"/>
    <cellStyle name="Normal 3 3 17 2 14" xfId="12170" xr:uid="{00000000-0005-0000-0000-000053500000}"/>
    <cellStyle name="Normal 3 3 17 2 14 2" xfId="29701" xr:uid="{00000000-0005-0000-0000-000054500000}"/>
    <cellStyle name="Normal 3 3 17 2 15" xfId="12171" xr:uid="{00000000-0005-0000-0000-000055500000}"/>
    <cellStyle name="Normal 3 3 17 2 15 2" xfId="29702" xr:uid="{00000000-0005-0000-0000-000056500000}"/>
    <cellStyle name="Normal 3 3 17 2 16" xfId="29696" xr:uid="{00000000-0005-0000-0000-000057500000}"/>
    <cellStyle name="Normal 3 3 17 2 2" xfId="12172" xr:uid="{00000000-0005-0000-0000-000058500000}"/>
    <cellStyle name="Normal 3 3 17 2 2 10" xfId="12173" xr:uid="{00000000-0005-0000-0000-000059500000}"/>
    <cellStyle name="Normal 3 3 17 2 2 10 2" xfId="29704" xr:uid="{00000000-0005-0000-0000-00005A500000}"/>
    <cellStyle name="Normal 3 3 17 2 2 11" xfId="12174" xr:uid="{00000000-0005-0000-0000-00005B500000}"/>
    <cellStyle name="Normal 3 3 17 2 2 11 2" xfId="29705" xr:uid="{00000000-0005-0000-0000-00005C500000}"/>
    <cellStyle name="Normal 3 3 17 2 2 12" xfId="12175" xr:uid="{00000000-0005-0000-0000-00005D500000}"/>
    <cellStyle name="Normal 3 3 17 2 2 12 2" xfId="29706" xr:uid="{00000000-0005-0000-0000-00005E500000}"/>
    <cellStyle name="Normal 3 3 17 2 2 13" xfId="12176" xr:uid="{00000000-0005-0000-0000-00005F500000}"/>
    <cellStyle name="Normal 3 3 17 2 2 13 2" xfId="29707" xr:uid="{00000000-0005-0000-0000-000060500000}"/>
    <cellStyle name="Normal 3 3 17 2 2 14" xfId="12177" xr:uid="{00000000-0005-0000-0000-000061500000}"/>
    <cellStyle name="Normal 3 3 17 2 2 14 2" xfId="29708" xr:uid="{00000000-0005-0000-0000-000062500000}"/>
    <cellStyle name="Normal 3 3 17 2 2 15" xfId="29703" xr:uid="{00000000-0005-0000-0000-000063500000}"/>
    <cellStyle name="Normal 3 3 17 2 2 2" xfId="12178" xr:uid="{00000000-0005-0000-0000-000064500000}"/>
    <cellStyle name="Normal 3 3 17 2 2 2 2" xfId="29709" xr:uid="{00000000-0005-0000-0000-000065500000}"/>
    <cellStyle name="Normal 3 3 17 2 2 3" xfId="12179" xr:uid="{00000000-0005-0000-0000-000066500000}"/>
    <cellStyle name="Normal 3 3 17 2 2 3 2" xfId="29710" xr:uid="{00000000-0005-0000-0000-000067500000}"/>
    <cellStyle name="Normal 3 3 17 2 2 4" xfId="12180" xr:uid="{00000000-0005-0000-0000-000068500000}"/>
    <cellStyle name="Normal 3 3 17 2 2 4 2" xfId="29711" xr:uid="{00000000-0005-0000-0000-000069500000}"/>
    <cellStyle name="Normal 3 3 17 2 2 5" xfId="12181" xr:uid="{00000000-0005-0000-0000-00006A500000}"/>
    <cellStyle name="Normal 3 3 17 2 2 5 2" xfId="29712" xr:uid="{00000000-0005-0000-0000-00006B500000}"/>
    <cellStyle name="Normal 3 3 17 2 2 6" xfId="12182" xr:uid="{00000000-0005-0000-0000-00006C500000}"/>
    <cellStyle name="Normal 3 3 17 2 2 6 2" xfId="29713" xr:uid="{00000000-0005-0000-0000-00006D500000}"/>
    <cellStyle name="Normal 3 3 17 2 2 7" xfId="12183" xr:uid="{00000000-0005-0000-0000-00006E500000}"/>
    <cellStyle name="Normal 3 3 17 2 2 7 2" xfId="29714" xr:uid="{00000000-0005-0000-0000-00006F500000}"/>
    <cellStyle name="Normal 3 3 17 2 2 8" xfId="12184" xr:uid="{00000000-0005-0000-0000-000070500000}"/>
    <cellStyle name="Normal 3 3 17 2 2 8 2" xfId="29715" xr:uid="{00000000-0005-0000-0000-000071500000}"/>
    <cellStyle name="Normal 3 3 17 2 2 9" xfId="12185" xr:uid="{00000000-0005-0000-0000-000072500000}"/>
    <cellStyle name="Normal 3 3 17 2 2 9 2" xfId="29716" xr:uid="{00000000-0005-0000-0000-000073500000}"/>
    <cellStyle name="Normal 3 3 17 2 3" xfId="12186" xr:uid="{00000000-0005-0000-0000-000074500000}"/>
    <cellStyle name="Normal 3 3 17 2 3 2" xfId="29717" xr:uid="{00000000-0005-0000-0000-000075500000}"/>
    <cellStyle name="Normal 3 3 17 2 4" xfId="12187" xr:uid="{00000000-0005-0000-0000-000076500000}"/>
    <cellStyle name="Normal 3 3 17 2 4 2" xfId="29718" xr:uid="{00000000-0005-0000-0000-000077500000}"/>
    <cellStyle name="Normal 3 3 17 2 5" xfId="12188" xr:uid="{00000000-0005-0000-0000-000078500000}"/>
    <cellStyle name="Normal 3 3 17 2 5 2" xfId="29719" xr:uid="{00000000-0005-0000-0000-000079500000}"/>
    <cellStyle name="Normal 3 3 17 2 6" xfId="12189" xr:uid="{00000000-0005-0000-0000-00007A500000}"/>
    <cellStyle name="Normal 3 3 17 2 6 2" xfId="29720" xr:uid="{00000000-0005-0000-0000-00007B500000}"/>
    <cellStyle name="Normal 3 3 17 2 7" xfId="12190" xr:uid="{00000000-0005-0000-0000-00007C500000}"/>
    <cellStyle name="Normal 3 3 17 2 7 2" xfId="29721" xr:uid="{00000000-0005-0000-0000-00007D500000}"/>
    <cellStyle name="Normal 3 3 17 2 8" xfId="12191" xr:uid="{00000000-0005-0000-0000-00007E500000}"/>
    <cellStyle name="Normal 3 3 17 2 8 2" xfId="29722" xr:uid="{00000000-0005-0000-0000-00007F500000}"/>
    <cellStyle name="Normal 3 3 17 2 9" xfId="12192" xr:uid="{00000000-0005-0000-0000-000080500000}"/>
    <cellStyle name="Normal 3 3 17 2 9 2" xfId="29723" xr:uid="{00000000-0005-0000-0000-000081500000}"/>
    <cellStyle name="Normal 3 3 17 20" xfId="12193" xr:uid="{00000000-0005-0000-0000-000082500000}"/>
    <cellStyle name="Normal 3 3 17 20 2" xfId="29724" xr:uid="{00000000-0005-0000-0000-000083500000}"/>
    <cellStyle name="Normal 3 3 17 21" xfId="12194" xr:uid="{00000000-0005-0000-0000-000084500000}"/>
    <cellStyle name="Normal 3 3 17 21 2" xfId="29725" xr:uid="{00000000-0005-0000-0000-000085500000}"/>
    <cellStyle name="Normal 3 3 17 22" xfId="12195" xr:uid="{00000000-0005-0000-0000-000086500000}"/>
    <cellStyle name="Normal 3 3 17 22 2" xfId="29726" xr:uid="{00000000-0005-0000-0000-000087500000}"/>
    <cellStyle name="Normal 3 3 17 23" xfId="12196" xr:uid="{00000000-0005-0000-0000-000088500000}"/>
    <cellStyle name="Normal 3 3 17 23 2" xfId="29727" xr:uid="{00000000-0005-0000-0000-000089500000}"/>
    <cellStyle name="Normal 3 3 17 24" xfId="29672" xr:uid="{00000000-0005-0000-0000-00008A500000}"/>
    <cellStyle name="Normal 3 3 17 3" xfId="12197" xr:uid="{00000000-0005-0000-0000-00008B500000}"/>
    <cellStyle name="Normal 3 3 17 3 10" xfId="12198" xr:uid="{00000000-0005-0000-0000-00008C500000}"/>
    <cellStyle name="Normal 3 3 17 3 10 2" xfId="29729" xr:uid="{00000000-0005-0000-0000-00008D500000}"/>
    <cellStyle name="Normal 3 3 17 3 11" xfId="12199" xr:uid="{00000000-0005-0000-0000-00008E500000}"/>
    <cellStyle name="Normal 3 3 17 3 11 2" xfId="29730" xr:uid="{00000000-0005-0000-0000-00008F500000}"/>
    <cellStyle name="Normal 3 3 17 3 12" xfId="12200" xr:uid="{00000000-0005-0000-0000-000090500000}"/>
    <cellStyle name="Normal 3 3 17 3 12 2" xfId="29731" xr:uid="{00000000-0005-0000-0000-000091500000}"/>
    <cellStyle name="Normal 3 3 17 3 13" xfId="12201" xr:uid="{00000000-0005-0000-0000-000092500000}"/>
    <cellStyle name="Normal 3 3 17 3 13 2" xfId="29732" xr:uid="{00000000-0005-0000-0000-000093500000}"/>
    <cellStyle name="Normal 3 3 17 3 14" xfId="12202" xr:uid="{00000000-0005-0000-0000-000094500000}"/>
    <cellStyle name="Normal 3 3 17 3 14 2" xfId="29733" xr:uid="{00000000-0005-0000-0000-000095500000}"/>
    <cellStyle name="Normal 3 3 17 3 15" xfId="12203" xr:uid="{00000000-0005-0000-0000-000096500000}"/>
    <cellStyle name="Normal 3 3 17 3 15 2" xfId="29734" xr:uid="{00000000-0005-0000-0000-000097500000}"/>
    <cellStyle name="Normal 3 3 17 3 16" xfId="29728" xr:uid="{00000000-0005-0000-0000-000098500000}"/>
    <cellStyle name="Normal 3 3 17 3 2" xfId="12204" xr:uid="{00000000-0005-0000-0000-000099500000}"/>
    <cellStyle name="Normal 3 3 17 3 2 10" xfId="12205" xr:uid="{00000000-0005-0000-0000-00009A500000}"/>
    <cellStyle name="Normal 3 3 17 3 2 10 2" xfId="29736" xr:uid="{00000000-0005-0000-0000-00009B500000}"/>
    <cellStyle name="Normal 3 3 17 3 2 11" xfId="12206" xr:uid="{00000000-0005-0000-0000-00009C500000}"/>
    <cellStyle name="Normal 3 3 17 3 2 11 2" xfId="29737" xr:uid="{00000000-0005-0000-0000-00009D500000}"/>
    <cellStyle name="Normal 3 3 17 3 2 12" xfId="12207" xr:uid="{00000000-0005-0000-0000-00009E500000}"/>
    <cellStyle name="Normal 3 3 17 3 2 12 2" xfId="29738" xr:uid="{00000000-0005-0000-0000-00009F500000}"/>
    <cellStyle name="Normal 3 3 17 3 2 13" xfId="12208" xr:uid="{00000000-0005-0000-0000-0000A0500000}"/>
    <cellStyle name="Normal 3 3 17 3 2 13 2" xfId="29739" xr:uid="{00000000-0005-0000-0000-0000A1500000}"/>
    <cellStyle name="Normal 3 3 17 3 2 14" xfId="12209" xr:uid="{00000000-0005-0000-0000-0000A2500000}"/>
    <cellStyle name="Normal 3 3 17 3 2 14 2" xfId="29740" xr:uid="{00000000-0005-0000-0000-0000A3500000}"/>
    <cellStyle name="Normal 3 3 17 3 2 15" xfId="29735" xr:uid="{00000000-0005-0000-0000-0000A4500000}"/>
    <cellStyle name="Normal 3 3 17 3 2 2" xfId="12210" xr:uid="{00000000-0005-0000-0000-0000A5500000}"/>
    <cellStyle name="Normal 3 3 17 3 2 2 2" xfId="29741" xr:uid="{00000000-0005-0000-0000-0000A6500000}"/>
    <cellStyle name="Normal 3 3 17 3 2 3" xfId="12211" xr:uid="{00000000-0005-0000-0000-0000A7500000}"/>
    <cellStyle name="Normal 3 3 17 3 2 3 2" xfId="29742" xr:uid="{00000000-0005-0000-0000-0000A8500000}"/>
    <cellStyle name="Normal 3 3 17 3 2 4" xfId="12212" xr:uid="{00000000-0005-0000-0000-0000A9500000}"/>
    <cellStyle name="Normal 3 3 17 3 2 4 2" xfId="29743" xr:uid="{00000000-0005-0000-0000-0000AA500000}"/>
    <cellStyle name="Normal 3 3 17 3 2 5" xfId="12213" xr:uid="{00000000-0005-0000-0000-0000AB500000}"/>
    <cellStyle name="Normal 3 3 17 3 2 5 2" xfId="29744" xr:uid="{00000000-0005-0000-0000-0000AC500000}"/>
    <cellStyle name="Normal 3 3 17 3 2 6" xfId="12214" xr:uid="{00000000-0005-0000-0000-0000AD500000}"/>
    <cellStyle name="Normal 3 3 17 3 2 6 2" xfId="29745" xr:uid="{00000000-0005-0000-0000-0000AE500000}"/>
    <cellStyle name="Normal 3 3 17 3 2 7" xfId="12215" xr:uid="{00000000-0005-0000-0000-0000AF500000}"/>
    <cellStyle name="Normal 3 3 17 3 2 7 2" xfId="29746" xr:uid="{00000000-0005-0000-0000-0000B0500000}"/>
    <cellStyle name="Normal 3 3 17 3 2 8" xfId="12216" xr:uid="{00000000-0005-0000-0000-0000B1500000}"/>
    <cellStyle name="Normal 3 3 17 3 2 8 2" xfId="29747" xr:uid="{00000000-0005-0000-0000-0000B2500000}"/>
    <cellStyle name="Normal 3 3 17 3 2 9" xfId="12217" xr:uid="{00000000-0005-0000-0000-0000B3500000}"/>
    <cellStyle name="Normal 3 3 17 3 2 9 2" xfId="29748" xr:uid="{00000000-0005-0000-0000-0000B4500000}"/>
    <cellStyle name="Normal 3 3 17 3 3" xfId="12218" xr:uid="{00000000-0005-0000-0000-0000B5500000}"/>
    <cellStyle name="Normal 3 3 17 3 3 2" xfId="29749" xr:uid="{00000000-0005-0000-0000-0000B6500000}"/>
    <cellStyle name="Normal 3 3 17 3 4" xfId="12219" xr:uid="{00000000-0005-0000-0000-0000B7500000}"/>
    <cellStyle name="Normal 3 3 17 3 4 2" xfId="29750" xr:uid="{00000000-0005-0000-0000-0000B8500000}"/>
    <cellStyle name="Normal 3 3 17 3 5" xfId="12220" xr:uid="{00000000-0005-0000-0000-0000B9500000}"/>
    <cellStyle name="Normal 3 3 17 3 5 2" xfId="29751" xr:uid="{00000000-0005-0000-0000-0000BA500000}"/>
    <cellStyle name="Normal 3 3 17 3 6" xfId="12221" xr:uid="{00000000-0005-0000-0000-0000BB500000}"/>
    <cellStyle name="Normal 3 3 17 3 6 2" xfId="29752" xr:uid="{00000000-0005-0000-0000-0000BC500000}"/>
    <cellStyle name="Normal 3 3 17 3 7" xfId="12222" xr:uid="{00000000-0005-0000-0000-0000BD500000}"/>
    <cellStyle name="Normal 3 3 17 3 7 2" xfId="29753" xr:uid="{00000000-0005-0000-0000-0000BE500000}"/>
    <cellStyle name="Normal 3 3 17 3 8" xfId="12223" xr:uid="{00000000-0005-0000-0000-0000BF500000}"/>
    <cellStyle name="Normal 3 3 17 3 8 2" xfId="29754" xr:uid="{00000000-0005-0000-0000-0000C0500000}"/>
    <cellStyle name="Normal 3 3 17 3 9" xfId="12224" xr:uid="{00000000-0005-0000-0000-0000C1500000}"/>
    <cellStyle name="Normal 3 3 17 3 9 2" xfId="29755" xr:uid="{00000000-0005-0000-0000-0000C2500000}"/>
    <cellStyle name="Normal 3 3 17 4" xfId="12225" xr:uid="{00000000-0005-0000-0000-0000C3500000}"/>
    <cellStyle name="Normal 3 3 17 4 10" xfId="12226" xr:uid="{00000000-0005-0000-0000-0000C4500000}"/>
    <cellStyle name="Normal 3 3 17 4 10 2" xfId="29757" xr:uid="{00000000-0005-0000-0000-0000C5500000}"/>
    <cellStyle name="Normal 3 3 17 4 11" xfId="12227" xr:uid="{00000000-0005-0000-0000-0000C6500000}"/>
    <cellStyle name="Normal 3 3 17 4 11 2" xfId="29758" xr:uid="{00000000-0005-0000-0000-0000C7500000}"/>
    <cellStyle name="Normal 3 3 17 4 12" xfId="12228" xr:uid="{00000000-0005-0000-0000-0000C8500000}"/>
    <cellStyle name="Normal 3 3 17 4 12 2" xfId="29759" xr:uid="{00000000-0005-0000-0000-0000C9500000}"/>
    <cellStyle name="Normal 3 3 17 4 13" xfId="12229" xr:uid="{00000000-0005-0000-0000-0000CA500000}"/>
    <cellStyle name="Normal 3 3 17 4 13 2" xfId="29760" xr:uid="{00000000-0005-0000-0000-0000CB500000}"/>
    <cellStyle name="Normal 3 3 17 4 14" xfId="12230" xr:uid="{00000000-0005-0000-0000-0000CC500000}"/>
    <cellStyle name="Normal 3 3 17 4 14 2" xfId="29761" xr:uid="{00000000-0005-0000-0000-0000CD500000}"/>
    <cellStyle name="Normal 3 3 17 4 15" xfId="12231" xr:uid="{00000000-0005-0000-0000-0000CE500000}"/>
    <cellStyle name="Normal 3 3 17 4 15 2" xfId="29762" xr:uid="{00000000-0005-0000-0000-0000CF500000}"/>
    <cellStyle name="Normal 3 3 17 4 16" xfId="29756" xr:uid="{00000000-0005-0000-0000-0000D0500000}"/>
    <cellStyle name="Normal 3 3 17 4 2" xfId="12232" xr:uid="{00000000-0005-0000-0000-0000D1500000}"/>
    <cellStyle name="Normal 3 3 17 4 2 10" xfId="12233" xr:uid="{00000000-0005-0000-0000-0000D2500000}"/>
    <cellStyle name="Normal 3 3 17 4 2 10 2" xfId="29764" xr:uid="{00000000-0005-0000-0000-0000D3500000}"/>
    <cellStyle name="Normal 3 3 17 4 2 11" xfId="12234" xr:uid="{00000000-0005-0000-0000-0000D4500000}"/>
    <cellStyle name="Normal 3 3 17 4 2 11 2" xfId="29765" xr:uid="{00000000-0005-0000-0000-0000D5500000}"/>
    <cellStyle name="Normal 3 3 17 4 2 12" xfId="12235" xr:uid="{00000000-0005-0000-0000-0000D6500000}"/>
    <cellStyle name="Normal 3 3 17 4 2 12 2" xfId="29766" xr:uid="{00000000-0005-0000-0000-0000D7500000}"/>
    <cellStyle name="Normal 3 3 17 4 2 13" xfId="12236" xr:uid="{00000000-0005-0000-0000-0000D8500000}"/>
    <cellStyle name="Normal 3 3 17 4 2 13 2" xfId="29767" xr:uid="{00000000-0005-0000-0000-0000D9500000}"/>
    <cellStyle name="Normal 3 3 17 4 2 14" xfId="12237" xr:uid="{00000000-0005-0000-0000-0000DA500000}"/>
    <cellStyle name="Normal 3 3 17 4 2 14 2" xfId="29768" xr:uid="{00000000-0005-0000-0000-0000DB500000}"/>
    <cellStyle name="Normal 3 3 17 4 2 15" xfId="29763" xr:uid="{00000000-0005-0000-0000-0000DC500000}"/>
    <cellStyle name="Normal 3 3 17 4 2 2" xfId="12238" xr:uid="{00000000-0005-0000-0000-0000DD500000}"/>
    <cellStyle name="Normal 3 3 17 4 2 2 2" xfId="29769" xr:uid="{00000000-0005-0000-0000-0000DE500000}"/>
    <cellStyle name="Normal 3 3 17 4 2 3" xfId="12239" xr:uid="{00000000-0005-0000-0000-0000DF500000}"/>
    <cellStyle name="Normal 3 3 17 4 2 3 2" xfId="29770" xr:uid="{00000000-0005-0000-0000-0000E0500000}"/>
    <cellStyle name="Normal 3 3 17 4 2 4" xfId="12240" xr:uid="{00000000-0005-0000-0000-0000E1500000}"/>
    <cellStyle name="Normal 3 3 17 4 2 4 2" xfId="29771" xr:uid="{00000000-0005-0000-0000-0000E2500000}"/>
    <cellStyle name="Normal 3 3 17 4 2 5" xfId="12241" xr:uid="{00000000-0005-0000-0000-0000E3500000}"/>
    <cellStyle name="Normal 3 3 17 4 2 5 2" xfId="29772" xr:uid="{00000000-0005-0000-0000-0000E4500000}"/>
    <cellStyle name="Normal 3 3 17 4 2 6" xfId="12242" xr:uid="{00000000-0005-0000-0000-0000E5500000}"/>
    <cellStyle name="Normal 3 3 17 4 2 6 2" xfId="29773" xr:uid="{00000000-0005-0000-0000-0000E6500000}"/>
    <cellStyle name="Normal 3 3 17 4 2 7" xfId="12243" xr:uid="{00000000-0005-0000-0000-0000E7500000}"/>
    <cellStyle name="Normal 3 3 17 4 2 7 2" xfId="29774" xr:uid="{00000000-0005-0000-0000-0000E8500000}"/>
    <cellStyle name="Normal 3 3 17 4 2 8" xfId="12244" xr:uid="{00000000-0005-0000-0000-0000E9500000}"/>
    <cellStyle name="Normal 3 3 17 4 2 8 2" xfId="29775" xr:uid="{00000000-0005-0000-0000-0000EA500000}"/>
    <cellStyle name="Normal 3 3 17 4 2 9" xfId="12245" xr:uid="{00000000-0005-0000-0000-0000EB500000}"/>
    <cellStyle name="Normal 3 3 17 4 2 9 2" xfId="29776" xr:uid="{00000000-0005-0000-0000-0000EC500000}"/>
    <cellStyle name="Normal 3 3 17 4 3" xfId="12246" xr:uid="{00000000-0005-0000-0000-0000ED500000}"/>
    <cellStyle name="Normal 3 3 17 4 3 2" xfId="29777" xr:uid="{00000000-0005-0000-0000-0000EE500000}"/>
    <cellStyle name="Normal 3 3 17 4 4" xfId="12247" xr:uid="{00000000-0005-0000-0000-0000EF500000}"/>
    <cellStyle name="Normal 3 3 17 4 4 2" xfId="29778" xr:uid="{00000000-0005-0000-0000-0000F0500000}"/>
    <cellStyle name="Normal 3 3 17 4 5" xfId="12248" xr:uid="{00000000-0005-0000-0000-0000F1500000}"/>
    <cellStyle name="Normal 3 3 17 4 5 2" xfId="29779" xr:uid="{00000000-0005-0000-0000-0000F2500000}"/>
    <cellStyle name="Normal 3 3 17 4 6" xfId="12249" xr:uid="{00000000-0005-0000-0000-0000F3500000}"/>
    <cellStyle name="Normal 3 3 17 4 6 2" xfId="29780" xr:uid="{00000000-0005-0000-0000-0000F4500000}"/>
    <cellStyle name="Normal 3 3 17 4 7" xfId="12250" xr:uid="{00000000-0005-0000-0000-0000F5500000}"/>
    <cellStyle name="Normal 3 3 17 4 7 2" xfId="29781" xr:uid="{00000000-0005-0000-0000-0000F6500000}"/>
    <cellStyle name="Normal 3 3 17 4 8" xfId="12251" xr:uid="{00000000-0005-0000-0000-0000F7500000}"/>
    <cellStyle name="Normal 3 3 17 4 8 2" xfId="29782" xr:uid="{00000000-0005-0000-0000-0000F8500000}"/>
    <cellStyle name="Normal 3 3 17 4 9" xfId="12252" xr:uid="{00000000-0005-0000-0000-0000F9500000}"/>
    <cellStyle name="Normal 3 3 17 4 9 2" xfId="29783" xr:uid="{00000000-0005-0000-0000-0000FA500000}"/>
    <cellStyle name="Normal 3 3 17 5" xfId="12253" xr:uid="{00000000-0005-0000-0000-0000FB500000}"/>
    <cellStyle name="Normal 3 3 17 5 10" xfId="12254" xr:uid="{00000000-0005-0000-0000-0000FC500000}"/>
    <cellStyle name="Normal 3 3 17 5 10 2" xfId="29785" xr:uid="{00000000-0005-0000-0000-0000FD500000}"/>
    <cellStyle name="Normal 3 3 17 5 11" xfId="12255" xr:uid="{00000000-0005-0000-0000-0000FE500000}"/>
    <cellStyle name="Normal 3 3 17 5 11 2" xfId="29786" xr:uid="{00000000-0005-0000-0000-0000FF500000}"/>
    <cellStyle name="Normal 3 3 17 5 12" xfId="12256" xr:uid="{00000000-0005-0000-0000-000000510000}"/>
    <cellStyle name="Normal 3 3 17 5 12 2" xfId="29787" xr:uid="{00000000-0005-0000-0000-000001510000}"/>
    <cellStyle name="Normal 3 3 17 5 13" xfId="12257" xr:uid="{00000000-0005-0000-0000-000002510000}"/>
    <cellStyle name="Normal 3 3 17 5 13 2" xfId="29788" xr:uid="{00000000-0005-0000-0000-000003510000}"/>
    <cellStyle name="Normal 3 3 17 5 14" xfId="12258" xr:uid="{00000000-0005-0000-0000-000004510000}"/>
    <cellStyle name="Normal 3 3 17 5 14 2" xfId="29789" xr:uid="{00000000-0005-0000-0000-000005510000}"/>
    <cellStyle name="Normal 3 3 17 5 15" xfId="29784" xr:uid="{00000000-0005-0000-0000-000006510000}"/>
    <cellStyle name="Normal 3 3 17 5 2" xfId="12259" xr:uid="{00000000-0005-0000-0000-000007510000}"/>
    <cellStyle name="Normal 3 3 17 5 2 2" xfId="29790" xr:uid="{00000000-0005-0000-0000-000008510000}"/>
    <cellStyle name="Normal 3 3 17 5 3" xfId="12260" xr:uid="{00000000-0005-0000-0000-000009510000}"/>
    <cellStyle name="Normal 3 3 17 5 3 2" xfId="29791" xr:uid="{00000000-0005-0000-0000-00000A510000}"/>
    <cellStyle name="Normal 3 3 17 5 4" xfId="12261" xr:uid="{00000000-0005-0000-0000-00000B510000}"/>
    <cellStyle name="Normal 3 3 17 5 4 2" xfId="29792" xr:uid="{00000000-0005-0000-0000-00000C510000}"/>
    <cellStyle name="Normal 3 3 17 5 5" xfId="12262" xr:uid="{00000000-0005-0000-0000-00000D510000}"/>
    <cellStyle name="Normal 3 3 17 5 5 2" xfId="29793" xr:uid="{00000000-0005-0000-0000-00000E510000}"/>
    <cellStyle name="Normal 3 3 17 5 6" xfId="12263" xr:uid="{00000000-0005-0000-0000-00000F510000}"/>
    <cellStyle name="Normal 3 3 17 5 6 2" xfId="29794" xr:uid="{00000000-0005-0000-0000-000010510000}"/>
    <cellStyle name="Normal 3 3 17 5 7" xfId="12264" xr:uid="{00000000-0005-0000-0000-000011510000}"/>
    <cellStyle name="Normal 3 3 17 5 7 2" xfId="29795" xr:uid="{00000000-0005-0000-0000-000012510000}"/>
    <cellStyle name="Normal 3 3 17 5 8" xfId="12265" xr:uid="{00000000-0005-0000-0000-000013510000}"/>
    <cellStyle name="Normal 3 3 17 5 8 2" xfId="29796" xr:uid="{00000000-0005-0000-0000-000014510000}"/>
    <cellStyle name="Normal 3 3 17 5 9" xfId="12266" xr:uid="{00000000-0005-0000-0000-000015510000}"/>
    <cellStyle name="Normal 3 3 17 5 9 2" xfId="29797" xr:uid="{00000000-0005-0000-0000-000016510000}"/>
    <cellStyle name="Normal 3 3 17 6" xfId="12267" xr:uid="{00000000-0005-0000-0000-000017510000}"/>
    <cellStyle name="Normal 3 3 17 6 10" xfId="12268" xr:uid="{00000000-0005-0000-0000-000018510000}"/>
    <cellStyle name="Normal 3 3 17 6 10 2" xfId="29799" xr:uid="{00000000-0005-0000-0000-000019510000}"/>
    <cellStyle name="Normal 3 3 17 6 11" xfId="12269" xr:uid="{00000000-0005-0000-0000-00001A510000}"/>
    <cellStyle name="Normal 3 3 17 6 11 2" xfId="29800" xr:uid="{00000000-0005-0000-0000-00001B510000}"/>
    <cellStyle name="Normal 3 3 17 6 12" xfId="12270" xr:uid="{00000000-0005-0000-0000-00001C510000}"/>
    <cellStyle name="Normal 3 3 17 6 12 2" xfId="29801" xr:uid="{00000000-0005-0000-0000-00001D510000}"/>
    <cellStyle name="Normal 3 3 17 6 13" xfId="12271" xr:uid="{00000000-0005-0000-0000-00001E510000}"/>
    <cellStyle name="Normal 3 3 17 6 13 2" xfId="29802" xr:uid="{00000000-0005-0000-0000-00001F510000}"/>
    <cellStyle name="Normal 3 3 17 6 14" xfId="12272" xr:uid="{00000000-0005-0000-0000-000020510000}"/>
    <cellStyle name="Normal 3 3 17 6 14 2" xfId="29803" xr:uid="{00000000-0005-0000-0000-000021510000}"/>
    <cellStyle name="Normal 3 3 17 6 15" xfId="29798" xr:uid="{00000000-0005-0000-0000-000022510000}"/>
    <cellStyle name="Normal 3 3 17 6 2" xfId="12273" xr:uid="{00000000-0005-0000-0000-000023510000}"/>
    <cellStyle name="Normal 3 3 17 6 2 2" xfId="29804" xr:uid="{00000000-0005-0000-0000-000024510000}"/>
    <cellStyle name="Normal 3 3 17 6 3" xfId="12274" xr:uid="{00000000-0005-0000-0000-000025510000}"/>
    <cellStyle name="Normal 3 3 17 6 3 2" xfId="29805" xr:uid="{00000000-0005-0000-0000-000026510000}"/>
    <cellStyle name="Normal 3 3 17 6 4" xfId="12275" xr:uid="{00000000-0005-0000-0000-000027510000}"/>
    <cellStyle name="Normal 3 3 17 6 4 2" xfId="29806" xr:uid="{00000000-0005-0000-0000-000028510000}"/>
    <cellStyle name="Normal 3 3 17 6 5" xfId="12276" xr:uid="{00000000-0005-0000-0000-000029510000}"/>
    <cellStyle name="Normal 3 3 17 6 5 2" xfId="29807" xr:uid="{00000000-0005-0000-0000-00002A510000}"/>
    <cellStyle name="Normal 3 3 17 6 6" xfId="12277" xr:uid="{00000000-0005-0000-0000-00002B510000}"/>
    <cellStyle name="Normal 3 3 17 6 6 2" xfId="29808" xr:uid="{00000000-0005-0000-0000-00002C510000}"/>
    <cellStyle name="Normal 3 3 17 6 7" xfId="12278" xr:uid="{00000000-0005-0000-0000-00002D510000}"/>
    <cellStyle name="Normal 3 3 17 6 7 2" xfId="29809" xr:uid="{00000000-0005-0000-0000-00002E510000}"/>
    <cellStyle name="Normal 3 3 17 6 8" xfId="12279" xr:uid="{00000000-0005-0000-0000-00002F510000}"/>
    <cellStyle name="Normal 3 3 17 6 8 2" xfId="29810" xr:uid="{00000000-0005-0000-0000-000030510000}"/>
    <cellStyle name="Normal 3 3 17 6 9" xfId="12280" xr:uid="{00000000-0005-0000-0000-000031510000}"/>
    <cellStyle name="Normal 3 3 17 6 9 2" xfId="29811" xr:uid="{00000000-0005-0000-0000-000032510000}"/>
    <cellStyle name="Normal 3 3 17 7" xfId="12281" xr:uid="{00000000-0005-0000-0000-000033510000}"/>
    <cellStyle name="Normal 3 3 17 7 10" xfId="12282" xr:uid="{00000000-0005-0000-0000-000034510000}"/>
    <cellStyle name="Normal 3 3 17 7 10 2" xfId="29813" xr:uid="{00000000-0005-0000-0000-000035510000}"/>
    <cellStyle name="Normal 3 3 17 7 11" xfId="12283" xr:uid="{00000000-0005-0000-0000-000036510000}"/>
    <cellStyle name="Normal 3 3 17 7 11 2" xfId="29814" xr:uid="{00000000-0005-0000-0000-000037510000}"/>
    <cellStyle name="Normal 3 3 17 7 12" xfId="12284" xr:uid="{00000000-0005-0000-0000-000038510000}"/>
    <cellStyle name="Normal 3 3 17 7 12 2" xfId="29815" xr:uid="{00000000-0005-0000-0000-000039510000}"/>
    <cellStyle name="Normal 3 3 17 7 13" xfId="12285" xr:uid="{00000000-0005-0000-0000-00003A510000}"/>
    <cellStyle name="Normal 3 3 17 7 13 2" xfId="29816" xr:uid="{00000000-0005-0000-0000-00003B510000}"/>
    <cellStyle name="Normal 3 3 17 7 14" xfId="12286" xr:uid="{00000000-0005-0000-0000-00003C510000}"/>
    <cellStyle name="Normal 3 3 17 7 14 2" xfId="29817" xr:uid="{00000000-0005-0000-0000-00003D510000}"/>
    <cellStyle name="Normal 3 3 17 7 15" xfId="29812" xr:uid="{00000000-0005-0000-0000-00003E510000}"/>
    <cellStyle name="Normal 3 3 17 7 2" xfId="12287" xr:uid="{00000000-0005-0000-0000-00003F510000}"/>
    <cellStyle name="Normal 3 3 17 7 2 2" xfId="29818" xr:uid="{00000000-0005-0000-0000-000040510000}"/>
    <cellStyle name="Normal 3 3 17 7 3" xfId="12288" xr:uid="{00000000-0005-0000-0000-000041510000}"/>
    <cellStyle name="Normal 3 3 17 7 3 2" xfId="29819" xr:uid="{00000000-0005-0000-0000-000042510000}"/>
    <cellStyle name="Normal 3 3 17 7 4" xfId="12289" xr:uid="{00000000-0005-0000-0000-000043510000}"/>
    <cellStyle name="Normal 3 3 17 7 4 2" xfId="29820" xr:uid="{00000000-0005-0000-0000-000044510000}"/>
    <cellStyle name="Normal 3 3 17 7 5" xfId="12290" xr:uid="{00000000-0005-0000-0000-000045510000}"/>
    <cellStyle name="Normal 3 3 17 7 5 2" xfId="29821" xr:uid="{00000000-0005-0000-0000-000046510000}"/>
    <cellStyle name="Normal 3 3 17 7 6" xfId="12291" xr:uid="{00000000-0005-0000-0000-000047510000}"/>
    <cellStyle name="Normal 3 3 17 7 6 2" xfId="29822" xr:uid="{00000000-0005-0000-0000-000048510000}"/>
    <cellStyle name="Normal 3 3 17 7 7" xfId="12292" xr:uid="{00000000-0005-0000-0000-000049510000}"/>
    <cellStyle name="Normal 3 3 17 7 7 2" xfId="29823" xr:uid="{00000000-0005-0000-0000-00004A510000}"/>
    <cellStyle name="Normal 3 3 17 7 8" xfId="12293" xr:uid="{00000000-0005-0000-0000-00004B510000}"/>
    <cellStyle name="Normal 3 3 17 7 8 2" xfId="29824" xr:uid="{00000000-0005-0000-0000-00004C510000}"/>
    <cellStyle name="Normal 3 3 17 7 9" xfId="12294" xr:uid="{00000000-0005-0000-0000-00004D510000}"/>
    <cellStyle name="Normal 3 3 17 7 9 2" xfId="29825" xr:uid="{00000000-0005-0000-0000-00004E510000}"/>
    <cellStyle name="Normal 3 3 17 8" xfId="12295" xr:uid="{00000000-0005-0000-0000-00004F510000}"/>
    <cellStyle name="Normal 3 3 17 8 10" xfId="12296" xr:uid="{00000000-0005-0000-0000-000050510000}"/>
    <cellStyle name="Normal 3 3 17 8 10 2" xfId="29827" xr:uid="{00000000-0005-0000-0000-000051510000}"/>
    <cellStyle name="Normal 3 3 17 8 11" xfId="12297" xr:uid="{00000000-0005-0000-0000-000052510000}"/>
    <cellStyle name="Normal 3 3 17 8 11 2" xfId="29828" xr:uid="{00000000-0005-0000-0000-000053510000}"/>
    <cellStyle name="Normal 3 3 17 8 12" xfId="12298" xr:uid="{00000000-0005-0000-0000-000054510000}"/>
    <cellStyle name="Normal 3 3 17 8 12 2" xfId="29829" xr:uid="{00000000-0005-0000-0000-000055510000}"/>
    <cellStyle name="Normal 3 3 17 8 13" xfId="12299" xr:uid="{00000000-0005-0000-0000-000056510000}"/>
    <cellStyle name="Normal 3 3 17 8 13 2" xfId="29830" xr:uid="{00000000-0005-0000-0000-000057510000}"/>
    <cellStyle name="Normal 3 3 17 8 14" xfId="12300" xr:uid="{00000000-0005-0000-0000-000058510000}"/>
    <cellStyle name="Normal 3 3 17 8 14 2" xfId="29831" xr:uid="{00000000-0005-0000-0000-000059510000}"/>
    <cellStyle name="Normal 3 3 17 8 15" xfId="29826" xr:uid="{00000000-0005-0000-0000-00005A510000}"/>
    <cellStyle name="Normal 3 3 17 8 2" xfId="12301" xr:uid="{00000000-0005-0000-0000-00005B510000}"/>
    <cellStyle name="Normal 3 3 17 8 2 2" xfId="29832" xr:uid="{00000000-0005-0000-0000-00005C510000}"/>
    <cellStyle name="Normal 3 3 17 8 3" xfId="12302" xr:uid="{00000000-0005-0000-0000-00005D510000}"/>
    <cellStyle name="Normal 3 3 17 8 3 2" xfId="29833" xr:uid="{00000000-0005-0000-0000-00005E510000}"/>
    <cellStyle name="Normal 3 3 17 8 4" xfId="12303" xr:uid="{00000000-0005-0000-0000-00005F510000}"/>
    <cellStyle name="Normal 3 3 17 8 4 2" xfId="29834" xr:uid="{00000000-0005-0000-0000-000060510000}"/>
    <cellStyle name="Normal 3 3 17 8 5" xfId="12304" xr:uid="{00000000-0005-0000-0000-000061510000}"/>
    <cellStyle name="Normal 3 3 17 8 5 2" xfId="29835" xr:uid="{00000000-0005-0000-0000-000062510000}"/>
    <cellStyle name="Normal 3 3 17 8 6" xfId="12305" xr:uid="{00000000-0005-0000-0000-000063510000}"/>
    <cellStyle name="Normal 3 3 17 8 6 2" xfId="29836" xr:uid="{00000000-0005-0000-0000-000064510000}"/>
    <cellStyle name="Normal 3 3 17 8 7" xfId="12306" xr:uid="{00000000-0005-0000-0000-000065510000}"/>
    <cellStyle name="Normal 3 3 17 8 7 2" xfId="29837" xr:uid="{00000000-0005-0000-0000-000066510000}"/>
    <cellStyle name="Normal 3 3 17 8 8" xfId="12307" xr:uid="{00000000-0005-0000-0000-000067510000}"/>
    <cellStyle name="Normal 3 3 17 8 8 2" xfId="29838" xr:uid="{00000000-0005-0000-0000-000068510000}"/>
    <cellStyle name="Normal 3 3 17 8 9" xfId="12308" xr:uid="{00000000-0005-0000-0000-000069510000}"/>
    <cellStyle name="Normal 3 3 17 8 9 2" xfId="29839" xr:uid="{00000000-0005-0000-0000-00006A510000}"/>
    <cellStyle name="Normal 3 3 17 9" xfId="12309" xr:uid="{00000000-0005-0000-0000-00006B510000}"/>
    <cellStyle name="Normal 3 3 17 9 10" xfId="12310" xr:uid="{00000000-0005-0000-0000-00006C510000}"/>
    <cellStyle name="Normal 3 3 17 9 10 2" xfId="29841" xr:uid="{00000000-0005-0000-0000-00006D510000}"/>
    <cellStyle name="Normal 3 3 17 9 11" xfId="12311" xr:uid="{00000000-0005-0000-0000-00006E510000}"/>
    <cellStyle name="Normal 3 3 17 9 11 2" xfId="29842" xr:uid="{00000000-0005-0000-0000-00006F510000}"/>
    <cellStyle name="Normal 3 3 17 9 12" xfId="12312" xr:uid="{00000000-0005-0000-0000-000070510000}"/>
    <cellStyle name="Normal 3 3 17 9 12 2" xfId="29843" xr:uid="{00000000-0005-0000-0000-000071510000}"/>
    <cellStyle name="Normal 3 3 17 9 13" xfId="12313" xr:uid="{00000000-0005-0000-0000-000072510000}"/>
    <cellStyle name="Normal 3 3 17 9 13 2" xfId="29844" xr:uid="{00000000-0005-0000-0000-000073510000}"/>
    <cellStyle name="Normal 3 3 17 9 14" xfId="12314" xr:uid="{00000000-0005-0000-0000-000074510000}"/>
    <cellStyle name="Normal 3 3 17 9 14 2" xfId="29845" xr:uid="{00000000-0005-0000-0000-000075510000}"/>
    <cellStyle name="Normal 3 3 17 9 15" xfId="29840" xr:uid="{00000000-0005-0000-0000-000076510000}"/>
    <cellStyle name="Normal 3 3 17 9 2" xfId="12315" xr:uid="{00000000-0005-0000-0000-000077510000}"/>
    <cellStyle name="Normal 3 3 17 9 2 2" xfId="29846" xr:uid="{00000000-0005-0000-0000-000078510000}"/>
    <cellStyle name="Normal 3 3 17 9 3" xfId="12316" xr:uid="{00000000-0005-0000-0000-000079510000}"/>
    <cellStyle name="Normal 3 3 17 9 3 2" xfId="29847" xr:uid="{00000000-0005-0000-0000-00007A510000}"/>
    <cellStyle name="Normal 3 3 17 9 4" xfId="12317" xr:uid="{00000000-0005-0000-0000-00007B510000}"/>
    <cellStyle name="Normal 3 3 17 9 4 2" xfId="29848" xr:uid="{00000000-0005-0000-0000-00007C510000}"/>
    <cellStyle name="Normal 3 3 17 9 5" xfId="12318" xr:uid="{00000000-0005-0000-0000-00007D510000}"/>
    <cellStyle name="Normal 3 3 17 9 5 2" xfId="29849" xr:uid="{00000000-0005-0000-0000-00007E510000}"/>
    <cellStyle name="Normal 3 3 17 9 6" xfId="12319" xr:uid="{00000000-0005-0000-0000-00007F510000}"/>
    <cellStyle name="Normal 3 3 17 9 6 2" xfId="29850" xr:uid="{00000000-0005-0000-0000-000080510000}"/>
    <cellStyle name="Normal 3 3 17 9 7" xfId="12320" xr:uid="{00000000-0005-0000-0000-000081510000}"/>
    <cellStyle name="Normal 3 3 17 9 7 2" xfId="29851" xr:uid="{00000000-0005-0000-0000-000082510000}"/>
    <cellStyle name="Normal 3 3 17 9 8" xfId="12321" xr:uid="{00000000-0005-0000-0000-000083510000}"/>
    <cellStyle name="Normal 3 3 17 9 8 2" xfId="29852" xr:uid="{00000000-0005-0000-0000-000084510000}"/>
    <cellStyle name="Normal 3 3 17 9 9" xfId="12322" xr:uid="{00000000-0005-0000-0000-000085510000}"/>
    <cellStyle name="Normal 3 3 17 9 9 2" xfId="29853" xr:uid="{00000000-0005-0000-0000-000086510000}"/>
    <cellStyle name="Normal 3 3 18" xfId="12323" xr:uid="{00000000-0005-0000-0000-000087510000}"/>
    <cellStyle name="Normal 3 3 18 10" xfId="12324" xr:uid="{00000000-0005-0000-0000-000088510000}"/>
    <cellStyle name="Normal 3 3 18 10 10" xfId="12325" xr:uid="{00000000-0005-0000-0000-000089510000}"/>
    <cellStyle name="Normal 3 3 18 10 10 2" xfId="29856" xr:uid="{00000000-0005-0000-0000-00008A510000}"/>
    <cellStyle name="Normal 3 3 18 10 11" xfId="12326" xr:uid="{00000000-0005-0000-0000-00008B510000}"/>
    <cellStyle name="Normal 3 3 18 10 11 2" xfId="29857" xr:uid="{00000000-0005-0000-0000-00008C510000}"/>
    <cellStyle name="Normal 3 3 18 10 12" xfId="12327" xr:uid="{00000000-0005-0000-0000-00008D510000}"/>
    <cellStyle name="Normal 3 3 18 10 12 2" xfId="29858" xr:uid="{00000000-0005-0000-0000-00008E510000}"/>
    <cellStyle name="Normal 3 3 18 10 13" xfId="12328" xr:uid="{00000000-0005-0000-0000-00008F510000}"/>
    <cellStyle name="Normal 3 3 18 10 13 2" xfId="29859" xr:uid="{00000000-0005-0000-0000-000090510000}"/>
    <cellStyle name="Normal 3 3 18 10 14" xfId="12329" xr:uid="{00000000-0005-0000-0000-000091510000}"/>
    <cellStyle name="Normal 3 3 18 10 14 2" xfId="29860" xr:uid="{00000000-0005-0000-0000-000092510000}"/>
    <cellStyle name="Normal 3 3 18 10 15" xfId="29855" xr:uid="{00000000-0005-0000-0000-000093510000}"/>
    <cellStyle name="Normal 3 3 18 10 2" xfId="12330" xr:uid="{00000000-0005-0000-0000-000094510000}"/>
    <cellStyle name="Normal 3 3 18 10 2 2" xfId="29861" xr:uid="{00000000-0005-0000-0000-000095510000}"/>
    <cellStyle name="Normal 3 3 18 10 3" xfId="12331" xr:uid="{00000000-0005-0000-0000-000096510000}"/>
    <cellStyle name="Normal 3 3 18 10 3 2" xfId="29862" xr:uid="{00000000-0005-0000-0000-000097510000}"/>
    <cellStyle name="Normal 3 3 18 10 4" xfId="12332" xr:uid="{00000000-0005-0000-0000-000098510000}"/>
    <cellStyle name="Normal 3 3 18 10 4 2" xfId="29863" xr:uid="{00000000-0005-0000-0000-000099510000}"/>
    <cellStyle name="Normal 3 3 18 10 5" xfId="12333" xr:uid="{00000000-0005-0000-0000-00009A510000}"/>
    <cellStyle name="Normal 3 3 18 10 5 2" xfId="29864" xr:uid="{00000000-0005-0000-0000-00009B510000}"/>
    <cellStyle name="Normal 3 3 18 10 6" xfId="12334" xr:uid="{00000000-0005-0000-0000-00009C510000}"/>
    <cellStyle name="Normal 3 3 18 10 6 2" xfId="29865" xr:uid="{00000000-0005-0000-0000-00009D510000}"/>
    <cellStyle name="Normal 3 3 18 10 7" xfId="12335" xr:uid="{00000000-0005-0000-0000-00009E510000}"/>
    <cellStyle name="Normal 3 3 18 10 7 2" xfId="29866" xr:uid="{00000000-0005-0000-0000-00009F510000}"/>
    <cellStyle name="Normal 3 3 18 10 8" xfId="12336" xr:uid="{00000000-0005-0000-0000-0000A0510000}"/>
    <cellStyle name="Normal 3 3 18 10 8 2" xfId="29867" xr:uid="{00000000-0005-0000-0000-0000A1510000}"/>
    <cellStyle name="Normal 3 3 18 10 9" xfId="12337" xr:uid="{00000000-0005-0000-0000-0000A2510000}"/>
    <cellStyle name="Normal 3 3 18 10 9 2" xfId="29868" xr:uid="{00000000-0005-0000-0000-0000A3510000}"/>
    <cellStyle name="Normal 3 3 18 11" xfId="12338" xr:uid="{00000000-0005-0000-0000-0000A4510000}"/>
    <cellStyle name="Normal 3 3 18 11 2" xfId="29869" xr:uid="{00000000-0005-0000-0000-0000A5510000}"/>
    <cellStyle name="Normal 3 3 18 12" xfId="12339" xr:uid="{00000000-0005-0000-0000-0000A6510000}"/>
    <cellStyle name="Normal 3 3 18 12 2" xfId="29870" xr:uid="{00000000-0005-0000-0000-0000A7510000}"/>
    <cellStyle name="Normal 3 3 18 13" xfId="12340" xr:uid="{00000000-0005-0000-0000-0000A8510000}"/>
    <cellStyle name="Normal 3 3 18 13 2" xfId="29871" xr:uid="{00000000-0005-0000-0000-0000A9510000}"/>
    <cellStyle name="Normal 3 3 18 14" xfId="12341" xr:uid="{00000000-0005-0000-0000-0000AA510000}"/>
    <cellStyle name="Normal 3 3 18 14 2" xfId="29872" xr:uid="{00000000-0005-0000-0000-0000AB510000}"/>
    <cellStyle name="Normal 3 3 18 15" xfId="12342" xr:uid="{00000000-0005-0000-0000-0000AC510000}"/>
    <cellStyle name="Normal 3 3 18 15 2" xfId="29873" xr:uid="{00000000-0005-0000-0000-0000AD510000}"/>
    <cellStyle name="Normal 3 3 18 16" xfId="12343" xr:uid="{00000000-0005-0000-0000-0000AE510000}"/>
    <cellStyle name="Normal 3 3 18 16 2" xfId="29874" xr:uid="{00000000-0005-0000-0000-0000AF510000}"/>
    <cellStyle name="Normal 3 3 18 17" xfId="12344" xr:uid="{00000000-0005-0000-0000-0000B0510000}"/>
    <cellStyle name="Normal 3 3 18 17 2" xfId="29875" xr:uid="{00000000-0005-0000-0000-0000B1510000}"/>
    <cellStyle name="Normal 3 3 18 18" xfId="12345" xr:uid="{00000000-0005-0000-0000-0000B2510000}"/>
    <cellStyle name="Normal 3 3 18 18 2" xfId="29876" xr:uid="{00000000-0005-0000-0000-0000B3510000}"/>
    <cellStyle name="Normal 3 3 18 19" xfId="12346" xr:uid="{00000000-0005-0000-0000-0000B4510000}"/>
    <cellStyle name="Normal 3 3 18 19 2" xfId="29877" xr:uid="{00000000-0005-0000-0000-0000B5510000}"/>
    <cellStyle name="Normal 3 3 18 2" xfId="12347" xr:uid="{00000000-0005-0000-0000-0000B6510000}"/>
    <cellStyle name="Normal 3 3 18 2 10" xfId="12348" xr:uid="{00000000-0005-0000-0000-0000B7510000}"/>
    <cellStyle name="Normal 3 3 18 2 10 2" xfId="29879" xr:uid="{00000000-0005-0000-0000-0000B8510000}"/>
    <cellStyle name="Normal 3 3 18 2 11" xfId="12349" xr:uid="{00000000-0005-0000-0000-0000B9510000}"/>
    <cellStyle name="Normal 3 3 18 2 11 2" xfId="29880" xr:uid="{00000000-0005-0000-0000-0000BA510000}"/>
    <cellStyle name="Normal 3 3 18 2 12" xfId="12350" xr:uid="{00000000-0005-0000-0000-0000BB510000}"/>
    <cellStyle name="Normal 3 3 18 2 12 2" xfId="29881" xr:uid="{00000000-0005-0000-0000-0000BC510000}"/>
    <cellStyle name="Normal 3 3 18 2 13" xfId="12351" xr:uid="{00000000-0005-0000-0000-0000BD510000}"/>
    <cellStyle name="Normal 3 3 18 2 13 2" xfId="29882" xr:uid="{00000000-0005-0000-0000-0000BE510000}"/>
    <cellStyle name="Normal 3 3 18 2 14" xfId="12352" xr:uid="{00000000-0005-0000-0000-0000BF510000}"/>
    <cellStyle name="Normal 3 3 18 2 14 2" xfId="29883" xr:uid="{00000000-0005-0000-0000-0000C0510000}"/>
    <cellStyle name="Normal 3 3 18 2 15" xfId="12353" xr:uid="{00000000-0005-0000-0000-0000C1510000}"/>
    <cellStyle name="Normal 3 3 18 2 15 2" xfId="29884" xr:uid="{00000000-0005-0000-0000-0000C2510000}"/>
    <cellStyle name="Normal 3 3 18 2 16" xfId="29878" xr:uid="{00000000-0005-0000-0000-0000C3510000}"/>
    <cellStyle name="Normal 3 3 18 2 2" xfId="12354" xr:uid="{00000000-0005-0000-0000-0000C4510000}"/>
    <cellStyle name="Normal 3 3 18 2 2 10" xfId="12355" xr:uid="{00000000-0005-0000-0000-0000C5510000}"/>
    <cellStyle name="Normal 3 3 18 2 2 10 2" xfId="29886" xr:uid="{00000000-0005-0000-0000-0000C6510000}"/>
    <cellStyle name="Normal 3 3 18 2 2 11" xfId="12356" xr:uid="{00000000-0005-0000-0000-0000C7510000}"/>
    <cellStyle name="Normal 3 3 18 2 2 11 2" xfId="29887" xr:uid="{00000000-0005-0000-0000-0000C8510000}"/>
    <cellStyle name="Normal 3 3 18 2 2 12" xfId="12357" xr:uid="{00000000-0005-0000-0000-0000C9510000}"/>
    <cellStyle name="Normal 3 3 18 2 2 12 2" xfId="29888" xr:uid="{00000000-0005-0000-0000-0000CA510000}"/>
    <cellStyle name="Normal 3 3 18 2 2 13" xfId="12358" xr:uid="{00000000-0005-0000-0000-0000CB510000}"/>
    <cellStyle name="Normal 3 3 18 2 2 13 2" xfId="29889" xr:uid="{00000000-0005-0000-0000-0000CC510000}"/>
    <cellStyle name="Normal 3 3 18 2 2 14" xfId="12359" xr:uid="{00000000-0005-0000-0000-0000CD510000}"/>
    <cellStyle name="Normal 3 3 18 2 2 14 2" xfId="29890" xr:uid="{00000000-0005-0000-0000-0000CE510000}"/>
    <cellStyle name="Normal 3 3 18 2 2 15" xfId="29885" xr:uid="{00000000-0005-0000-0000-0000CF510000}"/>
    <cellStyle name="Normal 3 3 18 2 2 2" xfId="12360" xr:uid="{00000000-0005-0000-0000-0000D0510000}"/>
    <cellStyle name="Normal 3 3 18 2 2 2 2" xfId="29891" xr:uid="{00000000-0005-0000-0000-0000D1510000}"/>
    <cellStyle name="Normal 3 3 18 2 2 3" xfId="12361" xr:uid="{00000000-0005-0000-0000-0000D2510000}"/>
    <cellStyle name="Normal 3 3 18 2 2 3 2" xfId="29892" xr:uid="{00000000-0005-0000-0000-0000D3510000}"/>
    <cellStyle name="Normal 3 3 18 2 2 4" xfId="12362" xr:uid="{00000000-0005-0000-0000-0000D4510000}"/>
    <cellStyle name="Normal 3 3 18 2 2 4 2" xfId="29893" xr:uid="{00000000-0005-0000-0000-0000D5510000}"/>
    <cellStyle name="Normal 3 3 18 2 2 5" xfId="12363" xr:uid="{00000000-0005-0000-0000-0000D6510000}"/>
    <cellStyle name="Normal 3 3 18 2 2 5 2" xfId="29894" xr:uid="{00000000-0005-0000-0000-0000D7510000}"/>
    <cellStyle name="Normal 3 3 18 2 2 6" xfId="12364" xr:uid="{00000000-0005-0000-0000-0000D8510000}"/>
    <cellStyle name="Normal 3 3 18 2 2 6 2" xfId="29895" xr:uid="{00000000-0005-0000-0000-0000D9510000}"/>
    <cellStyle name="Normal 3 3 18 2 2 7" xfId="12365" xr:uid="{00000000-0005-0000-0000-0000DA510000}"/>
    <cellStyle name="Normal 3 3 18 2 2 7 2" xfId="29896" xr:uid="{00000000-0005-0000-0000-0000DB510000}"/>
    <cellStyle name="Normal 3 3 18 2 2 8" xfId="12366" xr:uid="{00000000-0005-0000-0000-0000DC510000}"/>
    <cellStyle name="Normal 3 3 18 2 2 8 2" xfId="29897" xr:uid="{00000000-0005-0000-0000-0000DD510000}"/>
    <cellStyle name="Normal 3 3 18 2 2 9" xfId="12367" xr:uid="{00000000-0005-0000-0000-0000DE510000}"/>
    <cellStyle name="Normal 3 3 18 2 2 9 2" xfId="29898" xr:uid="{00000000-0005-0000-0000-0000DF510000}"/>
    <cellStyle name="Normal 3 3 18 2 3" xfId="12368" xr:uid="{00000000-0005-0000-0000-0000E0510000}"/>
    <cellStyle name="Normal 3 3 18 2 3 2" xfId="29899" xr:uid="{00000000-0005-0000-0000-0000E1510000}"/>
    <cellStyle name="Normal 3 3 18 2 4" xfId="12369" xr:uid="{00000000-0005-0000-0000-0000E2510000}"/>
    <cellStyle name="Normal 3 3 18 2 4 2" xfId="29900" xr:uid="{00000000-0005-0000-0000-0000E3510000}"/>
    <cellStyle name="Normal 3 3 18 2 5" xfId="12370" xr:uid="{00000000-0005-0000-0000-0000E4510000}"/>
    <cellStyle name="Normal 3 3 18 2 5 2" xfId="29901" xr:uid="{00000000-0005-0000-0000-0000E5510000}"/>
    <cellStyle name="Normal 3 3 18 2 6" xfId="12371" xr:uid="{00000000-0005-0000-0000-0000E6510000}"/>
    <cellStyle name="Normal 3 3 18 2 6 2" xfId="29902" xr:uid="{00000000-0005-0000-0000-0000E7510000}"/>
    <cellStyle name="Normal 3 3 18 2 7" xfId="12372" xr:uid="{00000000-0005-0000-0000-0000E8510000}"/>
    <cellStyle name="Normal 3 3 18 2 7 2" xfId="29903" xr:uid="{00000000-0005-0000-0000-0000E9510000}"/>
    <cellStyle name="Normal 3 3 18 2 8" xfId="12373" xr:uid="{00000000-0005-0000-0000-0000EA510000}"/>
    <cellStyle name="Normal 3 3 18 2 8 2" xfId="29904" xr:uid="{00000000-0005-0000-0000-0000EB510000}"/>
    <cellStyle name="Normal 3 3 18 2 9" xfId="12374" xr:uid="{00000000-0005-0000-0000-0000EC510000}"/>
    <cellStyle name="Normal 3 3 18 2 9 2" xfId="29905" xr:uid="{00000000-0005-0000-0000-0000ED510000}"/>
    <cellStyle name="Normal 3 3 18 20" xfId="12375" xr:uid="{00000000-0005-0000-0000-0000EE510000}"/>
    <cellStyle name="Normal 3 3 18 20 2" xfId="29906" xr:uid="{00000000-0005-0000-0000-0000EF510000}"/>
    <cellStyle name="Normal 3 3 18 21" xfId="12376" xr:uid="{00000000-0005-0000-0000-0000F0510000}"/>
    <cellStyle name="Normal 3 3 18 21 2" xfId="29907" xr:uid="{00000000-0005-0000-0000-0000F1510000}"/>
    <cellStyle name="Normal 3 3 18 22" xfId="12377" xr:uid="{00000000-0005-0000-0000-0000F2510000}"/>
    <cellStyle name="Normal 3 3 18 22 2" xfId="29908" xr:uid="{00000000-0005-0000-0000-0000F3510000}"/>
    <cellStyle name="Normal 3 3 18 23" xfId="12378" xr:uid="{00000000-0005-0000-0000-0000F4510000}"/>
    <cellStyle name="Normal 3 3 18 23 2" xfId="29909" xr:uid="{00000000-0005-0000-0000-0000F5510000}"/>
    <cellStyle name="Normal 3 3 18 24" xfId="29854" xr:uid="{00000000-0005-0000-0000-0000F6510000}"/>
    <cellStyle name="Normal 3 3 18 3" xfId="12379" xr:uid="{00000000-0005-0000-0000-0000F7510000}"/>
    <cellStyle name="Normal 3 3 18 3 10" xfId="12380" xr:uid="{00000000-0005-0000-0000-0000F8510000}"/>
    <cellStyle name="Normal 3 3 18 3 10 2" xfId="29911" xr:uid="{00000000-0005-0000-0000-0000F9510000}"/>
    <cellStyle name="Normal 3 3 18 3 11" xfId="12381" xr:uid="{00000000-0005-0000-0000-0000FA510000}"/>
    <cellStyle name="Normal 3 3 18 3 11 2" xfId="29912" xr:uid="{00000000-0005-0000-0000-0000FB510000}"/>
    <cellStyle name="Normal 3 3 18 3 12" xfId="12382" xr:uid="{00000000-0005-0000-0000-0000FC510000}"/>
    <cellStyle name="Normal 3 3 18 3 12 2" xfId="29913" xr:uid="{00000000-0005-0000-0000-0000FD510000}"/>
    <cellStyle name="Normal 3 3 18 3 13" xfId="12383" xr:uid="{00000000-0005-0000-0000-0000FE510000}"/>
    <cellStyle name="Normal 3 3 18 3 13 2" xfId="29914" xr:uid="{00000000-0005-0000-0000-0000FF510000}"/>
    <cellStyle name="Normal 3 3 18 3 14" xfId="12384" xr:uid="{00000000-0005-0000-0000-000000520000}"/>
    <cellStyle name="Normal 3 3 18 3 14 2" xfId="29915" xr:uid="{00000000-0005-0000-0000-000001520000}"/>
    <cellStyle name="Normal 3 3 18 3 15" xfId="12385" xr:uid="{00000000-0005-0000-0000-000002520000}"/>
    <cellStyle name="Normal 3 3 18 3 15 2" xfId="29916" xr:uid="{00000000-0005-0000-0000-000003520000}"/>
    <cellStyle name="Normal 3 3 18 3 16" xfId="29910" xr:uid="{00000000-0005-0000-0000-000004520000}"/>
    <cellStyle name="Normal 3 3 18 3 2" xfId="12386" xr:uid="{00000000-0005-0000-0000-000005520000}"/>
    <cellStyle name="Normal 3 3 18 3 2 10" xfId="12387" xr:uid="{00000000-0005-0000-0000-000006520000}"/>
    <cellStyle name="Normal 3 3 18 3 2 10 2" xfId="29918" xr:uid="{00000000-0005-0000-0000-000007520000}"/>
    <cellStyle name="Normal 3 3 18 3 2 11" xfId="12388" xr:uid="{00000000-0005-0000-0000-000008520000}"/>
    <cellStyle name="Normal 3 3 18 3 2 11 2" xfId="29919" xr:uid="{00000000-0005-0000-0000-000009520000}"/>
    <cellStyle name="Normal 3 3 18 3 2 12" xfId="12389" xr:uid="{00000000-0005-0000-0000-00000A520000}"/>
    <cellStyle name="Normal 3 3 18 3 2 12 2" xfId="29920" xr:uid="{00000000-0005-0000-0000-00000B520000}"/>
    <cellStyle name="Normal 3 3 18 3 2 13" xfId="12390" xr:uid="{00000000-0005-0000-0000-00000C520000}"/>
    <cellStyle name="Normal 3 3 18 3 2 13 2" xfId="29921" xr:uid="{00000000-0005-0000-0000-00000D520000}"/>
    <cellStyle name="Normal 3 3 18 3 2 14" xfId="12391" xr:uid="{00000000-0005-0000-0000-00000E520000}"/>
    <cellStyle name="Normal 3 3 18 3 2 14 2" xfId="29922" xr:uid="{00000000-0005-0000-0000-00000F520000}"/>
    <cellStyle name="Normal 3 3 18 3 2 15" xfId="29917" xr:uid="{00000000-0005-0000-0000-000010520000}"/>
    <cellStyle name="Normal 3 3 18 3 2 2" xfId="12392" xr:uid="{00000000-0005-0000-0000-000011520000}"/>
    <cellStyle name="Normal 3 3 18 3 2 2 2" xfId="29923" xr:uid="{00000000-0005-0000-0000-000012520000}"/>
    <cellStyle name="Normal 3 3 18 3 2 3" xfId="12393" xr:uid="{00000000-0005-0000-0000-000013520000}"/>
    <cellStyle name="Normal 3 3 18 3 2 3 2" xfId="29924" xr:uid="{00000000-0005-0000-0000-000014520000}"/>
    <cellStyle name="Normal 3 3 18 3 2 4" xfId="12394" xr:uid="{00000000-0005-0000-0000-000015520000}"/>
    <cellStyle name="Normal 3 3 18 3 2 4 2" xfId="29925" xr:uid="{00000000-0005-0000-0000-000016520000}"/>
    <cellStyle name="Normal 3 3 18 3 2 5" xfId="12395" xr:uid="{00000000-0005-0000-0000-000017520000}"/>
    <cellStyle name="Normal 3 3 18 3 2 5 2" xfId="29926" xr:uid="{00000000-0005-0000-0000-000018520000}"/>
    <cellStyle name="Normal 3 3 18 3 2 6" xfId="12396" xr:uid="{00000000-0005-0000-0000-000019520000}"/>
    <cellStyle name="Normal 3 3 18 3 2 6 2" xfId="29927" xr:uid="{00000000-0005-0000-0000-00001A520000}"/>
    <cellStyle name="Normal 3 3 18 3 2 7" xfId="12397" xr:uid="{00000000-0005-0000-0000-00001B520000}"/>
    <cellStyle name="Normal 3 3 18 3 2 7 2" xfId="29928" xr:uid="{00000000-0005-0000-0000-00001C520000}"/>
    <cellStyle name="Normal 3 3 18 3 2 8" xfId="12398" xr:uid="{00000000-0005-0000-0000-00001D520000}"/>
    <cellStyle name="Normal 3 3 18 3 2 8 2" xfId="29929" xr:uid="{00000000-0005-0000-0000-00001E520000}"/>
    <cellStyle name="Normal 3 3 18 3 2 9" xfId="12399" xr:uid="{00000000-0005-0000-0000-00001F520000}"/>
    <cellStyle name="Normal 3 3 18 3 2 9 2" xfId="29930" xr:uid="{00000000-0005-0000-0000-000020520000}"/>
    <cellStyle name="Normal 3 3 18 3 3" xfId="12400" xr:uid="{00000000-0005-0000-0000-000021520000}"/>
    <cellStyle name="Normal 3 3 18 3 3 2" xfId="29931" xr:uid="{00000000-0005-0000-0000-000022520000}"/>
    <cellStyle name="Normal 3 3 18 3 4" xfId="12401" xr:uid="{00000000-0005-0000-0000-000023520000}"/>
    <cellStyle name="Normal 3 3 18 3 4 2" xfId="29932" xr:uid="{00000000-0005-0000-0000-000024520000}"/>
    <cellStyle name="Normal 3 3 18 3 5" xfId="12402" xr:uid="{00000000-0005-0000-0000-000025520000}"/>
    <cellStyle name="Normal 3 3 18 3 5 2" xfId="29933" xr:uid="{00000000-0005-0000-0000-000026520000}"/>
    <cellStyle name="Normal 3 3 18 3 6" xfId="12403" xr:uid="{00000000-0005-0000-0000-000027520000}"/>
    <cellStyle name="Normal 3 3 18 3 6 2" xfId="29934" xr:uid="{00000000-0005-0000-0000-000028520000}"/>
    <cellStyle name="Normal 3 3 18 3 7" xfId="12404" xr:uid="{00000000-0005-0000-0000-000029520000}"/>
    <cellStyle name="Normal 3 3 18 3 7 2" xfId="29935" xr:uid="{00000000-0005-0000-0000-00002A520000}"/>
    <cellStyle name="Normal 3 3 18 3 8" xfId="12405" xr:uid="{00000000-0005-0000-0000-00002B520000}"/>
    <cellStyle name="Normal 3 3 18 3 8 2" xfId="29936" xr:uid="{00000000-0005-0000-0000-00002C520000}"/>
    <cellStyle name="Normal 3 3 18 3 9" xfId="12406" xr:uid="{00000000-0005-0000-0000-00002D520000}"/>
    <cellStyle name="Normal 3 3 18 3 9 2" xfId="29937" xr:uid="{00000000-0005-0000-0000-00002E520000}"/>
    <cellStyle name="Normal 3 3 18 4" xfId="12407" xr:uid="{00000000-0005-0000-0000-00002F520000}"/>
    <cellStyle name="Normal 3 3 18 4 10" xfId="12408" xr:uid="{00000000-0005-0000-0000-000030520000}"/>
    <cellStyle name="Normal 3 3 18 4 10 2" xfId="29939" xr:uid="{00000000-0005-0000-0000-000031520000}"/>
    <cellStyle name="Normal 3 3 18 4 11" xfId="12409" xr:uid="{00000000-0005-0000-0000-000032520000}"/>
    <cellStyle name="Normal 3 3 18 4 11 2" xfId="29940" xr:uid="{00000000-0005-0000-0000-000033520000}"/>
    <cellStyle name="Normal 3 3 18 4 12" xfId="12410" xr:uid="{00000000-0005-0000-0000-000034520000}"/>
    <cellStyle name="Normal 3 3 18 4 12 2" xfId="29941" xr:uid="{00000000-0005-0000-0000-000035520000}"/>
    <cellStyle name="Normal 3 3 18 4 13" xfId="12411" xr:uid="{00000000-0005-0000-0000-000036520000}"/>
    <cellStyle name="Normal 3 3 18 4 13 2" xfId="29942" xr:uid="{00000000-0005-0000-0000-000037520000}"/>
    <cellStyle name="Normal 3 3 18 4 14" xfId="12412" xr:uid="{00000000-0005-0000-0000-000038520000}"/>
    <cellStyle name="Normal 3 3 18 4 14 2" xfId="29943" xr:uid="{00000000-0005-0000-0000-000039520000}"/>
    <cellStyle name="Normal 3 3 18 4 15" xfId="12413" xr:uid="{00000000-0005-0000-0000-00003A520000}"/>
    <cellStyle name="Normal 3 3 18 4 15 2" xfId="29944" xr:uid="{00000000-0005-0000-0000-00003B520000}"/>
    <cellStyle name="Normal 3 3 18 4 16" xfId="29938" xr:uid="{00000000-0005-0000-0000-00003C520000}"/>
    <cellStyle name="Normal 3 3 18 4 2" xfId="12414" xr:uid="{00000000-0005-0000-0000-00003D520000}"/>
    <cellStyle name="Normal 3 3 18 4 2 10" xfId="12415" xr:uid="{00000000-0005-0000-0000-00003E520000}"/>
    <cellStyle name="Normal 3 3 18 4 2 10 2" xfId="29946" xr:uid="{00000000-0005-0000-0000-00003F520000}"/>
    <cellStyle name="Normal 3 3 18 4 2 11" xfId="12416" xr:uid="{00000000-0005-0000-0000-000040520000}"/>
    <cellStyle name="Normal 3 3 18 4 2 11 2" xfId="29947" xr:uid="{00000000-0005-0000-0000-000041520000}"/>
    <cellStyle name="Normal 3 3 18 4 2 12" xfId="12417" xr:uid="{00000000-0005-0000-0000-000042520000}"/>
    <cellStyle name="Normal 3 3 18 4 2 12 2" xfId="29948" xr:uid="{00000000-0005-0000-0000-000043520000}"/>
    <cellStyle name="Normal 3 3 18 4 2 13" xfId="12418" xr:uid="{00000000-0005-0000-0000-000044520000}"/>
    <cellStyle name="Normal 3 3 18 4 2 13 2" xfId="29949" xr:uid="{00000000-0005-0000-0000-000045520000}"/>
    <cellStyle name="Normal 3 3 18 4 2 14" xfId="12419" xr:uid="{00000000-0005-0000-0000-000046520000}"/>
    <cellStyle name="Normal 3 3 18 4 2 14 2" xfId="29950" xr:uid="{00000000-0005-0000-0000-000047520000}"/>
    <cellStyle name="Normal 3 3 18 4 2 15" xfId="29945" xr:uid="{00000000-0005-0000-0000-000048520000}"/>
    <cellStyle name="Normal 3 3 18 4 2 2" xfId="12420" xr:uid="{00000000-0005-0000-0000-000049520000}"/>
    <cellStyle name="Normal 3 3 18 4 2 2 2" xfId="29951" xr:uid="{00000000-0005-0000-0000-00004A520000}"/>
    <cellStyle name="Normal 3 3 18 4 2 3" xfId="12421" xr:uid="{00000000-0005-0000-0000-00004B520000}"/>
    <cellStyle name="Normal 3 3 18 4 2 3 2" xfId="29952" xr:uid="{00000000-0005-0000-0000-00004C520000}"/>
    <cellStyle name="Normal 3 3 18 4 2 4" xfId="12422" xr:uid="{00000000-0005-0000-0000-00004D520000}"/>
    <cellStyle name="Normal 3 3 18 4 2 4 2" xfId="29953" xr:uid="{00000000-0005-0000-0000-00004E520000}"/>
    <cellStyle name="Normal 3 3 18 4 2 5" xfId="12423" xr:uid="{00000000-0005-0000-0000-00004F520000}"/>
    <cellStyle name="Normal 3 3 18 4 2 5 2" xfId="29954" xr:uid="{00000000-0005-0000-0000-000050520000}"/>
    <cellStyle name="Normal 3 3 18 4 2 6" xfId="12424" xr:uid="{00000000-0005-0000-0000-000051520000}"/>
    <cellStyle name="Normal 3 3 18 4 2 6 2" xfId="29955" xr:uid="{00000000-0005-0000-0000-000052520000}"/>
    <cellStyle name="Normal 3 3 18 4 2 7" xfId="12425" xr:uid="{00000000-0005-0000-0000-000053520000}"/>
    <cellStyle name="Normal 3 3 18 4 2 7 2" xfId="29956" xr:uid="{00000000-0005-0000-0000-000054520000}"/>
    <cellStyle name="Normal 3 3 18 4 2 8" xfId="12426" xr:uid="{00000000-0005-0000-0000-000055520000}"/>
    <cellStyle name="Normal 3 3 18 4 2 8 2" xfId="29957" xr:uid="{00000000-0005-0000-0000-000056520000}"/>
    <cellStyle name="Normal 3 3 18 4 2 9" xfId="12427" xr:uid="{00000000-0005-0000-0000-000057520000}"/>
    <cellStyle name="Normal 3 3 18 4 2 9 2" xfId="29958" xr:uid="{00000000-0005-0000-0000-000058520000}"/>
    <cellStyle name="Normal 3 3 18 4 3" xfId="12428" xr:uid="{00000000-0005-0000-0000-000059520000}"/>
    <cellStyle name="Normal 3 3 18 4 3 2" xfId="29959" xr:uid="{00000000-0005-0000-0000-00005A520000}"/>
    <cellStyle name="Normal 3 3 18 4 4" xfId="12429" xr:uid="{00000000-0005-0000-0000-00005B520000}"/>
    <cellStyle name="Normal 3 3 18 4 4 2" xfId="29960" xr:uid="{00000000-0005-0000-0000-00005C520000}"/>
    <cellStyle name="Normal 3 3 18 4 5" xfId="12430" xr:uid="{00000000-0005-0000-0000-00005D520000}"/>
    <cellStyle name="Normal 3 3 18 4 5 2" xfId="29961" xr:uid="{00000000-0005-0000-0000-00005E520000}"/>
    <cellStyle name="Normal 3 3 18 4 6" xfId="12431" xr:uid="{00000000-0005-0000-0000-00005F520000}"/>
    <cellStyle name="Normal 3 3 18 4 6 2" xfId="29962" xr:uid="{00000000-0005-0000-0000-000060520000}"/>
    <cellStyle name="Normal 3 3 18 4 7" xfId="12432" xr:uid="{00000000-0005-0000-0000-000061520000}"/>
    <cellStyle name="Normal 3 3 18 4 7 2" xfId="29963" xr:uid="{00000000-0005-0000-0000-000062520000}"/>
    <cellStyle name="Normal 3 3 18 4 8" xfId="12433" xr:uid="{00000000-0005-0000-0000-000063520000}"/>
    <cellStyle name="Normal 3 3 18 4 8 2" xfId="29964" xr:uid="{00000000-0005-0000-0000-000064520000}"/>
    <cellStyle name="Normal 3 3 18 4 9" xfId="12434" xr:uid="{00000000-0005-0000-0000-000065520000}"/>
    <cellStyle name="Normal 3 3 18 4 9 2" xfId="29965" xr:uid="{00000000-0005-0000-0000-000066520000}"/>
    <cellStyle name="Normal 3 3 18 5" xfId="12435" xr:uid="{00000000-0005-0000-0000-000067520000}"/>
    <cellStyle name="Normal 3 3 18 5 10" xfId="12436" xr:uid="{00000000-0005-0000-0000-000068520000}"/>
    <cellStyle name="Normal 3 3 18 5 10 2" xfId="29967" xr:uid="{00000000-0005-0000-0000-000069520000}"/>
    <cellStyle name="Normal 3 3 18 5 11" xfId="12437" xr:uid="{00000000-0005-0000-0000-00006A520000}"/>
    <cellStyle name="Normal 3 3 18 5 11 2" xfId="29968" xr:uid="{00000000-0005-0000-0000-00006B520000}"/>
    <cellStyle name="Normal 3 3 18 5 12" xfId="12438" xr:uid="{00000000-0005-0000-0000-00006C520000}"/>
    <cellStyle name="Normal 3 3 18 5 12 2" xfId="29969" xr:uid="{00000000-0005-0000-0000-00006D520000}"/>
    <cellStyle name="Normal 3 3 18 5 13" xfId="12439" xr:uid="{00000000-0005-0000-0000-00006E520000}"/>
    <cellStyle name="Normal 3 3 18 5 13 2" xfId="29970" xr:uid="{00000000-0005-0000-0000-00006F520000}"/>
    <cellStyle name="Normal 3 3 18 5 14" xfId="12440" xr:uid="{00000000-0005-0000-0000-000070520000}"/>
    <cellStyle name="Normal 3 3 18 5 14 2" xfId="29971" xr:uid="{00000000-0005-0000-0000-000071520000}"/>
    <cellStyle name="Normal 3 3 18 5 15" xfId="29966" xr:uid="{00000000-0005-0000-0000-000072520000}"/>
    <cellStyle name="Normal 3 3 18 5 2" xfId="12441" xr:uid="{00000000-0005-0000-0000-000073520000}"/>
    <cellStyle name="Normal 3 3 18 5 2 2" xfId="29972" xr:uid="{00000000-0005-0000-0000-000074520000}"/>
    <cellStyle name="Normal 3 3 18 5 3" xfId="12442" xr:uid="{00000000-0005-0000-0000-000075520000}"/>
    <cellStyle name="Normal 3 3 18 5 3 2" xfId="29973" xr:uid="{00000000-0005-0000-0000-000076520000}"/>
    <cellStyle name="Normal 3 3 18 5 4" xfId="12443" xr:uid="{00000000-0005-0000-0000-000077520000}"/>
    <cellStyle name="Normal 3 3 18 5 4 2" xfId="29974" xr:uid="{00000000-0005-0000-0000-000078520000}"/>
    <cellStyle name="Normal 3 3 18 5 5" xfId="12444" xr:uid="{00000000-0005-0000-0000-000079520000}"/>
    <cellStyle name="Normal 3 3 18 5 5 2" xfId="29975" xr:uid="{00000000-0005-0000-0000-00007A520000}"/>
    <cellStyle name="Normal 3 3 18 5 6" xfId="12445" xr:uid="{00000000-0005-0000-0000-00007B520000}"/>
    <cellStyle name="Normal 3 3 18 5 6 2" xfId="29976" xr:uid="{00000000-0005-0000-0000-00007C520000}"/>
    <cellStyle name="Normal 3 3 18 5 7" xfId="12446" xr:uid="{00000000-0005-0000-0000-00007D520000}"/>
    <cellStyle name="Normal 3 3 18 5 7 2" xfId="29977" xr:uid="{00000000-0005-0000-0000-00007E520000}"/>
    <cellStyle name="Normal 3 3 18 5 8" xfId="12447" xr:uid="{00000000-0005-0000-0000-00007F520000}"/>
    <cellStyle name="Normal 3 3 18 5 8 2" xfId="29978" xr:uid="{00000000-0005-0000-0000-000080520000}"/>
    <cellStyle name="Normal 3 3 18 5 9" xfId="12448" xr:uid="{00000000-0005-0000-0000-000081520000}"/>
    <cellStyle name="Normal 3 3 18 5 9 2" xfId="29979" xr:uid="{00000000-0005-0000-0000-000082520000}"/>
    <cellStyle name="Normal 3 3 18 6" xfId="12449" xr:uid="{00000000-0005-0000-0000-000083520000}"/>
    <cellStyle name="Normal 3 3 18 6 10" xfId="12450" xr:uid="{00000000-0005-0000-0000-000084520000}"/>
    <cellStyle name="Normal 3 3 18 6 10 2" xfId="29981" xr:uid="{00000000-0005-0000-0000-000085520000}"/>
    <cellStyle name="Normal 3 3 18 6 11" xfId="12451" xr:uid="{00000000-0005-0000-0000-000086520000}"/>
    <cellStyle name="Normal 3 3 18 6 11 2" xfId="29982" xr:uid="{00000000-0005-0000-0000-000087520000}"/>
    <cellStyle name="Normal 3 3 18 6 12" xfId="12452" xr:uid="{00000000-0005-0000-0000-000088520000}"/>
    <cellStyle name="Normal 3 3 18 6 12 2" xfId="29983" xr:uid="{00000000-0005-0000-0000-000089520000}"/>
    <cellStyle name="Normal 3 3 18 6 13" xfId="12453" xr:uid="{00000000-0005-0000-0000-00008A520000}"/>
    <cellStyle name="Normal 3 3 18 6 13 2" xfId="29984" xr:uid="{00000000-0005-0000-0000-00008B520000}"/>
    <cellStyle name="Normal 3 3 18 6 14" xfId="12454" xr:uid="{00000000-0005-0000-0000-00008C520000}"/>
    <cellStyle name="Normal 3 3 18 6 14 2" xfId="29985" xr:uid="{00000000-0005-0000-0000-00008D520000}"/>
    <cellStyle name="Normal 3 3 18 6 15" xfId="29980" xr:uid="{00000000-0005-0000-0000-00008E520000}"/>
    <cellStyle name="Normal 3 3 18 6 2" xfId="12455" xr:uid="{00000000-0005-0000-0000-00008F520000}"/>
    <cellStyle name="Normal 3 3 18 6 2 2" xfId="29986" xr:uid="{00000000-0005-0000-0000-000090520000}"/>
    <cellStyle name="Normal 3 3 18 6 3" xfId="12456" xr:uid="{00000000-0005-0000-0000-000091520000}"/>
    <cellStyle name="Normal 3 3 18 6 3 2" xfId="29987" xr:uid="{00000000-0005-0000-0000-000092520000}"/>
    <cellStyle name="Normal 3 3 18 6 4" xfId="12457" xr:uid="{00000000-0005-0000-0000-000093520000}"/>
    <cellStyle name="Normal 3 3 18 6 4 2" xfId="29988" xr:uid="{00000000-0005-0000-0000-000094520000}"/>
    <cellStyle name="Normal 3 3 18 6 5" xfId="12458" xr:uid="{00000000-0005-0000-0000-000095520000}"/>
    <cellStyle name="Normal 3 3 18 6 5 2" xfId="29989" xr:uid="{00000000-0005-0000-0000-000096520000}"/>
    <cellStyle name="Normal 3 3 18 6 6" xfId="12459" xr:uid="{00000000-0005-0000-0000-000097520000}"/>
    <cellStyle name="Normal 3 3 18 6 6 2" xfId="29990" xr:uid="{00000000-0005-0000-0000-000098520000}"/>
    <cellStyle name="Normal 3 3 18 6 7" xfId="12460" xr:uid="{00000000-0005-0000-0000-000099520000}"/>
    <cellStyle name="Normal 3 3 18 6 7 2" xfId="29991" xr:uid="{00000000-0005-0000-0000-00009A520000}"/>
    <cellStyle name="Normal 3 3 18 6 8" xfId="12461" xr:uid="{00000000-0005-0000-0000-00009B520000}"/>
    <cellStyle name="Normal 3 3 18 6 8 2" xfId="29992" xr:uid="{00000000-0005-0000-0000-00009C520000}"/>
    <cellStyle name="Normal 3 3 18 6 9" xfId="12462" xr:uid="{00000000-0005-0000-0000-00009D520000}"/>
    <cellStyle name="Normal 3 3 18 6 9 2" xfId="29993" xr:uid="{00000000-0005-0000-0000-00009E520000}"/>
    <cellStyle name="Normal 3 3 18 7" xfId="12463" xr:uid="{00000000-0005-0000-0000-00009F520000}"/>
    <cellStyle name="Normal 3 3 18 7 10" xfId="12464" xr:uid="{00000000-0005-0000-0000-0000A0520000}"/>
    <cellStyle name="Normal 3 3 18 7 10 2" xfId="29995" xr:uid="{00000000-0005-0000-0000-0000A1520000}"/>
    <cellStyle name="Normal 3 3 18 7 11" xfId="12465" xr:uid="{00000000-0005-0000-0000-0000A2520000}"/>
    <cellStyle name="Normal 3 3 18 7 11 2" xfId="29996" xr:uid="{00000000-0005-0000-0000-0000A3520000}"/>
    <cellStyle name="Normal 3 3 18 7 12" xfId="12466" xr:uid="{00000000-0005-0000-0000-0000A4520000}"/>
    <cellStyle name="Normal 3 3 18 7 12 2" xfId="29997" xr:uid="{00000000-0005-0000-0000-0000A5520000}"/>
    <cellStyle name="Normal 3 3 18 7 13" xfId="12467" xr:uid="{00000000-0005-0000-0000-0000A6520000}"/>
    <cellStyle name="Normal 3 3 18 7 13 2" xfId="29998" xr:uid="{00000000-0005-0000-0000-0000A7520000}"/>
    <cellStyle name="Normal 3 3 18 7 14" xfId="12468" xr:uid="{00000000-0005-0000-0000-0000A8520000}"/>
    <cellStyle name="Normal 3 3 18 7 14 2" xfId="29999" xr:uid="{00000000-0005-0000-0000-0000A9520000}"/>
    <cellStyle name="Normal 3 3 18 7 15" xfId="29994" xr:uid="{00000000-0005-0000-0000-0000AA520000}"/>
    <cellStyle name="Normal 3 3 18 7 2" xfId="12469" xr:uid="{00000000-0005-0000-0000-0000AB520000}"/>
    <cellStyle name="Normal 3 3 18 7 2 2" xfId="30000" xr:uid="{00000000-0005-0000-0000-0000AC520000}"/>
    <cellStyle name="Normal 3 3 18 7 3" xfId="12470" xr:uid="{00000000-0005-0000-0000-0000AD520000}"/>
    <cellStyle name="Normal 3 3 18 7 3 2" xfId="30001" xr:uid="{00000000-0005-0000-0000-0000AE520000}"/>
    <cellStyle name="Normal 3 3 18 7 4" xfId="12471" xr:uid="{00000000-0005-0000-0000-0000AF520000}"/>
    <cellStyle name="Normal 3 3 18 7 4 2" xfId="30002" xr:uid="{00000000-0005-0000-0000-0000B0520000}"/>
    <cellStyle name="Normal 3 3 18 7 5" xfId="12472" xr:uid="{00000000-0005-0000-0000-0000B1520000}"/>
    <cellStyle name="Normal 3 3 18 7 5 2" xfId="30003" xr:uid="{00000000-0005-0000-0000-0000B2520000}"/>
    <cellStyle name="Normal 3 3 18 7 6" xfId="12473" xr:uid="{00000000-0005-0000-0000-0000B3520000}"/>
    <cellStyle name="Normal 3 3 18 7 6 2" xfId="30004" xr:uid="{00000000-0005-0000-0000-0000B4520000}"/>
    <cellStyle name="Normal 3 3 18 7 7" xfId="12474" xr:uid="{00000000-0005-0000-0000-0000B5520000}"/>
    <cellStyle name="Normal 3 3 18 7 7 2" xfId="30005" xr:uid="{00000000-0005-0000-0000-0000B6520000}"/>
    <cellStyle name="Normal 3 3 18 7 8" xfId="12475" xr:uid="{00000000-0005-0000-0000-0000B7520000}"/>
    <cellStyle name="Normal 3 3 18 7 8 2" xfId="30006" xr:uid="{00000000-0005-0000-0000-0000B8520000}"/>
    <cellStyle name="Normal 3 3 18 7 9" xfId="12476" xr:uid="{00000000-0005-0000-0000-0000B9520000}"/>
    <cellStyle name="Normal 3 3 18 7 9 2" xfId="30007" xr:uid="{00000000-0005-0000-0000-0000BA520000}"/>
    <cellStyle name="Normal 3 3 18 8" xfId="12477" xr:uid="{00000000-0005-0000-0000-0000BB520000}"/>
    <cellStyle name="Normal 3 3 18 8 10" xfId="12478" xr:uid="{00000000-0005-0000-0000-0000BC520000}"/>
    <cellStyle name="Normal 3 3 18 8 10 2" xfId="30009" xr:uid="{00000000-0005-0000-0000-0000BD520000}"/>
    <cellStyle name="Normal 3 3 18 8 11" xfId="12479" xr:uid="{00000000-0005-0000-0000-0000BE520000}"/>
    <cellStyle name="Normal 3 3 18 8 11 2" xfId="30010" xr:uid="{00000000-0005-0000-0000-0000BF520000}"/>
    <cellStyle name="Normal 3 3 18 8 12" xfId="12480" xr:uid="{00000000-0005-0000-0000-0000C0520000}"/>
    <cellStyle name="Normal 3 3 18 8 12 2" xfId="30011" xr:uid="{00000000-0005-0000-0000-0000C1520000}"/>
    <cellStyle name="Normal 3 3 18 8 13" xfId="12481" xr:uid="{00000000-0005-0000-0000-0000C2520000}"/>
    <cellStyle name="Normal 3 3 18 8 13 2" xfId="30012" xr:uid="{00000000-0005-0000-0000-0000C3520000}"/>
    <cellStyle name="Normal 3 3 18 8 14" xfId="12482" xr:uid="{00000000-0005-0000-0000-0000C4520000}"/>
    <cellStyle name="Normal 3 3 18 8 14 2" xfId="30013" xr:uid="{00000000-0005-0000-0000-0000C5520000}"/>
    <cellStyle name="Normal 3 3 18 8 15" xfId="30008" xr:uid="{00000000-0005-0000-0000-0000C6520000}"/>
    <cellStyle name="Normal 3 3 18 8 2" xfId="12483" xr:uid="{00000000-0005-0000-0000-0000C7520000}"/>
    <cellStyle name="Normal 3 3 18 8 2 2" xfId="30014" xr:uid="{00000000-0005-0000-0000-0000C8520000}"/>
    <cellStyle name="Normal 3 3 18 8 3" xfId="12484" xr:uid="{00000000-0005-0000-0000-0000C9520000}"/>
    <cellStyle name="Normal 3 3 18 8 3 2" xfId="30015" xr:uid="{00000000-0005-0000-0000-0000CA520000}"/>
    <cellStyle name="Normal 3 3 18 8 4" xfId="12485" xr:uid="{00000000-0005-0000-0000-0000CB520000}"/>
    <cellStyle name="Normal 3 3 18 8 4 2" xfId="30016" xr:uid="{00000000-0005-0000-0000-0000CC520000}"/>
    <cellStyle name="Normal 3 3 18 8 5" xfId="12486" xr:uid="{00000000-0005-0000-0000-0000CD520000}"/>
    <cellStyle name="Normal 3 3 18 8 5 2" xfId="30017" xr:uid="{00000000-0005-0000-0000-0000CE520000}"/>
    <cellStyle name="Normal 3 3 18 8 6" xfId="12487" xr:uid="{00000000-0005-0000-0000-0000CF520000}"/>
    <cellStyle name="Normal 3 3 18 8 6 2" xfId="30018" xr:uid="{00000000-0005-0000-0000-0000D0520000}"/>
    <cellStyle name="Normal 3 3 18 8 7" xfId="12488" xr:uid="{00000000-0005-0000-0000-0000D1520000}"/>
    <cellStyle name="Normal 3 3 18 8 7 2" xfId="30019" xr:uid="{00000000-0005-0000-0000-0000D2520000}"/>
    <cellStyle name="Normal 3 3 18 8 8" xfId="12489" xr:uid="{00000000-0005-0000-0000-0000D3520000}"/>
    <cellStyle name="Normal 3 3 18 8 8 2" xfId="30020" xr:uid="{00000000-0005-0000-0000-0000D4520000}"/>
    <cellStyle name="Normal 3 3 18 8 9" xfId="12490" xr:uid="{00000000-0005-0000-0000-0000D5520000}"/>
    <cellStyle name="Normal 3 3 18 8 9 2" xfId="30021" xr:uid="{00000000-0005-0000-0000-0000D6520000}"/>
    <cellStyle name="Normal 3 3 18 9" xfId="12491" xr:uid="{00000000-0005-0000-0000-0000D7520000}"/>
    <cellStyle name="Normal 3 3 18 9 10" xfId="12492" xr:uid="{00000000-0005-0000-0000-0000D8520000}"/>
    <cellStyle name="Normal 3 3 18 9 10 2" xfId="30023" xr:uid="{00000000-0005-0000-0000-0000D9520000}"/>
    <cellStyle name="Normal 3 3 18 9 11" xfId="12493" xr:uid="{00000000-0005-0000-0000-0000DA520000}"/>
    <cellStyle name="Normal 3 3 18 9 11 2" xfId="30024" xr:uid="{00000000-0005-0000-0000-0000DB520000}"/>
    <cellStyle name="Normal 3 3 18 9 12" xfId="12494" xr:uid="{00000000-0005-0000-0000-0000DC520000}"/>
    <cellStyle name="Normal 3 3 18 9 12 2" xfId="30025" xr:uid="{00000000-0005-0000-0000-0000DD520000}"/>
    <cellStyle name="Normal 3 3 18 9 13" xfId="12495" xr:uid="{00000000-0005-0000-0000-0000DE520000}"/>
    <cellStyle name="Normal 3 3 18 9 13 2" xfId="30026" xr:uid="{00000000-0005-0000-0000-0000DF520000}"/>
    <cellStyle name="Normal 3 3 18 9 14" xfId="12496" xr:uid="{00000000-0005-0000-0000-0000E0520000}"/>
    <cellStyle name="Normal 3 3 18 9 14 2" xfId="30027" xr:uid="{00000000-0005-0000-0000-0000E1520000}"/>
    <cellStyle name="Normal 3 3 18 9 15" xfId="30022" xr:uid="{00000000-0005-0000-0000-0000E2520000}"/>
    <cellStyle name="Normal 3 3 18 9 2" xfId="12497" xr:uid="{00000000-0005-0000-0000-0000E3520000}"/>
    <cellStyle name="Normal 3 3 18 9 2 2" xfId="30028" xr:uid="{00000000-0005-0000-0000-0000E4520000}"/>
    <cellStyle name="Normal 3 3 18 9 3" xfId="12498" xr:uid="{00000000-0005-0000-0000-0000E5520000}"/>
    <cellStyle name="Normal 3 3 18 9 3 2" xfId="30029" xr:uid="{00000000-0005-0000-0000-0000E6520000}"/>
    <cellStyle name="Normal 3 3 18 9 4" xfId="12499" xr:uid="{00000000-0005-0000-0000-0000E7520000}"/>
    <cellStyle name="Normal 3 3 18 9 4 2" xfId="30030" xr:uid="{00000000-0005-0000-0000-0000E8520000}"/>
    <cellStyle name="Normal 3 3 18 9 5" xfId="12500" xr:uid="{00000000-0005-0000-0000-0000E9520000}"/>
    <cellStyle name="Normal 3 3 18 9 5 2" xfId="30031" xr:uid="{00000000-0005-0000-0000-0000EA520000}"/>
    <cellStyle name="Normal 3 3 18 9 6" xfId="12501" xr:uid="{00000000-0005-0000-0000-0000EB520000}"/>
    <cellStyle name="Normal 3 3 18 9 6 2" xfId="30032" xr:uid="{00000000-0005-0000-0000-0000EC520000}"/>
    <cellStyle name="Normal 3 3 18 9 7" xfId="12502" xr:uid="{00000000-0005-0000-0000-0000ED520000}"/>
    <cellStyle name="Normal 3 3 18 9 7 2" xfId="30033" xr:uid="{00000000-0005-0000-0000-0000EE520000}"/>
    <cellStyle name="Normal 3 3 18 9 8" xfId="12503" xr:uid="{00000000-0005-0000-0000-0000EF520000}"/>
    <cellStyle name="Normal 3 3 18 9 8 2" xfId="30034" xr:uid="{00000000-0005-0000-0000-0000F0520000}"/>
    <cellStyle name="Normal 3 3 18 9 9" xfId="12504" xr:uid="{00000000-0005-0000-0000-0000F1520000}"/>
    <cellStyle name="Normal 3 3 18 9 9 2" xfId="30035" xr:uid="{00000000-0005-0000-0000-0000F2520000}"/>
    <cellStyle name="Normal 3 3 19" xfId="12505" xr:uid="{00000000-0005-0000-0000-0000F3520000}"/>
    <cellStyle name="Normal 3 3 19 10" xfId="12506" xr:uid="{00000000-0005-0000-0000-0000F4520000}"/>
    <cellStyle name="Normal 3 3 19 10 2" xfId="30037" xr:uid="{00000000-0005-0000-0000-0000F5520000}"/>
    <cellStyle name="Normal 3 3 19 11" xfId="12507" xr:uid="{00000000-0005-0000-0000-0000F6520000}"/>
    <cellStyle name="Normal 3 3 19 11 2" xfId="30038" xr:uid="{00000000-0005-0000-0000-0000F7520000}"/>
    <cellStyle name="Normal 3 3 19 12" xfId="12508" xr:uid="{00000000-0005-0000-0000-0000F8520000}"/>
    <cellStyle name="Normal 3 3 19 12 2" xfId="30039" xr:uid="{00000000-0005-0000-0000-0000F9520000}"/>
    <cellStyle name="Normal 3 3 19 13" xfId="12509" xr:uid="{00000000-0005-0000-0000-0000FA520000}"/>
    <cellStyle name="Normal 3 3 19 13 2" xfId="30040" xr:uid="{00000000-0005-0000-0000-0000FB520000}"/>
    <cellStyle name="Normal 3 3 19 14" xfId="12510" xr:uid="{00000000-0005-0000-0000-0000FC520000}"/>
    <cellStyle name="Normal 3 3 19 14 2" xfId="30041" xr:uid="{00000000-0005-0000-0000-0000FD520000}"/>
    <cellStyle name="Normal 3 3 19 15" xfId="12511" xr:uid="{00000000-0005-0000-0000-0000FE520000}"/>
    <cellStyle name="Normal 3 3 19 15 2" xfId="30042" xr:uid="{00000000-0005-0000-0000-0000FF520000}"/>
    <cellStyle name="Normal 3 3 19 16" xfId="30036" xr:uid="{00000000-0005-0000-0000-000000530000}"/>
    <cellStyle name="Normal 3 3 19 2" xfId="12512" xr:uid="{00000000-0005-0000-0000-000001530000}"/>
    <cellStyle name="Normal 3 3 19 2 10" xfId="12513" xr:uid="{00000000-0005-0000-0000-000002530000}"/>
    <cellStyle name="Normal 3 3 19 2 10 2" xfId="30044" xr:uid="{00000000-0005-0000-0000-000003530000}"/>
    <cellStyle name="Normal 3 3 19 2 11" xfId="12514" xr:uid="{00000000-0005-0000-0000-000004530000}"/>
    <cellStyle name="Normal 3 3 19 2 11 2" xfId="30045" xr:uid="{00000000-0005-0000-0000-000005530000}"/>
    <cellStyle name="Normal 3 3 19 2 12" xfId="12515" xr:uid="{00000000-0005-0000-0000-000006530000}"/>
    <cellStyle name="Normal 3 3 19 2 12 2" xfId="30046" xr:uid="{00000000-0005-0000-0000-000007530000}"/>
    <cellStyle name="Normal 3 3 19 2 13" xfId="12516" xr:uid="{00000000-0005-0000-0000-000008530000}"/>
    <cellStyle name="Normal 3 3 19 2 13 2" xfId="30047" xr:uid="{00000000-0005-0000-0000-000009530000}"/>
    <cellStyle name="Normal 3 3 19 2 14" xfId="12517" xr:uid="{00000000-0005-0000-0000-00000A530000}"/>
    <cellStyle name="Normal 3 3 19 2 14 2" xfId="30048" xr:uid="{00000000-0005-0000-0000-00000B530000}"/>
    <cellStyle name="Normal 3 3 19 2 15" xfId="30043" xr:uid="{00000000-0005-0000-0000-00000C530000}"/>
    <cellStyle name="Normal 3 3 19 2 2" xfId="12518" xr:uid="{00000000-0005-0000-0000-00000D530000}"/>
    <cellStyle name="Normal 3 3 19 2 2 2" xfId="30049" xr:uid="{00000000-0005-0000-0000-00000E530000}"/>
    <cellStyle name="Normal 3 3 19 2 3" xfId="12519" xr:uid="{00000000-0005-0000-0000-00000F530000}"/>
    <cellStyle name="Normal 3 3 19 2 3 2" xfId="30050" xr:uid="{00000000-0005-0000-0000-000010530000}"/>
    <cellStyle name="Normal 3 3 19 2 4" xfId="12520" xr:uid="{00000000-0005-0000-0000-000011530000}"/>
    <cellStyle name="Normal 3 3 19 2 4 2" xfId="30051" xr:uid="{00000000-0005-0000-0000-000012530000}"/>
    <cellStyle name="Normal 3 3 19 2 5" xfId="12521" xr:uid="{00000000-0005-0000-0000-000013530000}"/>
    <cellStyle name="Normal 3 3 19 2 5 2" xfId="30052" xr:uid="{00000000-0005-0000-0000-000014530000}"/>
    <cellStyle name="Normal 3 3 19 2 6" xfId="12522" xr:uid="{00000000-0005-0000-0000-000015530000}"/>
    <cellStyle name="Normal 3 3 19 2 6 2" xfId="30053" xr:uid="{00000000-0005-0000-0000-000016530000}"/>
    <cellStyle name="Normal 3 3 19 2 7" xfId="12523" xr:uid="{00000000-0005-0000-0000-000017530000}"/>
    <cellStyle name="Normal 3 3 19 2 7 2" xfId="30054" xr:uid="{00000000-0005-0000-0000-000018530000}"/>
    <cellStyle name="Normal 3 3 19 2 8" xfId="12524" xr:uid="{00000000-0005-0000-0000-000019530000}"/>
    <cellStyle name="Normal 3 3 19 2 8 2" xfId="30055" xr:uid="{00000000-0005-0000-0000-00001A530000}"/>
    <cellStyle name="Normal 3 3 19 2 9" xfId="12525" xr:uid="{00000000-0005-0000-0000-00001B530000}"/>
    <cellStyle name="Normal 3 3 19 2 9 2" xfId="30056" xr:uid="{00000000-0005-0000-0000-00001C530000}"/>
    <cellStyle name="Normal 3 3 19 3" xfId="12526" xr:uid="{00000000-0005-0000-0000-00001D530000}"/>
    <cellStyle name="Normal 3 3 19 3 2" xfId="30057" xr:uid="{00000000-0005-0000-0000-00001E530000}"/>
    <cellStyle name="Normal 3 3 19 4" xfId="12527" xr:uid="{00000000-0005-0000-0000-00001F530000}"/>
    <cellStyle name="Normal 3 3 19 4 2" xfId="30058" xr:uid="{00000000-0005-0000-0000-000020530000}"/>
    <cellStyle name="Normal 3 3 19 5" xfId="12528" xr:uid="{00000000-0005-0000-0000-000021530000}"/>
    <cellStyle name="Normal 3 3 19 5 2" xfId="30059" xr:uid="{00000000-0005-0000-0000-000022530000}"/>
    <cellStyle name="Normal 3 3 19 6" xfId="12529" xr:uid="{00000000-0005-0000-0000-000023530000}"/>
    <cellStyle name="Normal 3 3 19 6 2" xfId="30060" xr:uid="{00000000-0005-0000-0000-000024530000}"/>
    <cellStyle name="Normal 3 3 19 7" xfId="12530" xr:uid="{00000000-0005-0000-0000-000025530000}"/>
    <cellStyle name="Normal 3 3 19 7 2" xfId="30061" xr:uid="{00000000-0005-0000-0000-000026530000}"/>
    <cellStyle name="Normal 3 3 19 8" xfId="12531" xr:uid="{00000000-0005-0000-0000-000027530000}"/>
    <cellStyle name="Normal 3 3 19 8 2" xfId="30062" xr:uid="{00000000-0005-0000-0000-000028530000}"/>
    <cellStyle name="Normal 3 3 19 9" xfId="12532" xr:uid="{00000000-0005-0000-0000-000029530000}"/>
    <cellStyle name="Normal 3 3 19 9 2" xfId="30063" xr:uid="{00000000-0005-0000-0000-00002A530000}"/>
    <cellStyle name="Normal 3 3 2" xfId="382" xr:uid="{00000000-0005-0000-0000-00002B530000}"/>
    <cellStyle name="Normal 3 3 2 10" xfId="12534" xr:uid="{00000000-0005-0000-0000-00002C530000}"/>
    <cellStyle name="Normal 3 3 2 10 10" xfId="12535" xr:uid="{00000000-0005-0000-0000-00002D530000}"/>
    <cellStyle name="Normal 3 3 2 10 10 2" xfId="30065" xr:uid="{00000000-0005-0000-0000-00002E530000}"/>
    <cellStyle name="Normal 3 3 2 10 11" xfId="12536" xr:uid="{00000000-0005-0000-0000-00002F530000}"/>
    <cellStyle name="Normal 3 3 2 10 11 2" xfId="30066" xr:uid="{00000000-0005-0000-0000-000030530000}"/>
    <cellStyle name="Normal 3 3 2 10 12" xfId="12537" xr:uid="{00000000-0005-0000-0000-000031530000}"/>
    <cellStyle name="Normal 3 3 2 10 12 2" xfId="30067" xr:uid="{00000000-0005-0000-0000-000032530000}"/>
    <cellStyle name="Normal 3 3 2 10 13" xfId="12538" xr:uid="{00000000-0005-0000-0000-000033530000}"/>
    <cellStyle name="Normal 3 3 2 10 13 2" xfId="30068" xr:uid="{00000000-0005-0000-0000-000034530000}"/>
    <cellStyle name="Normal 3 3 2 10 14" xfId="12539" xr:uid="{00000000-0005-0000-0000-000035530000}"/>
    <cellStyle name="Normal 3 3 2 10 14 2" xfId="30069" xr:uid="{00000000-0005-0000-0000-000036530000}"/>
    <cellStyle name="Normal 3 3 2 10 15" xfId="30064" xr:uid="{00000000-0005-0000-0000-000037530000}"/>
    <cellStyle name="Normal 3 3 2 10 2" xfId="12540" xr:uid="{00000000-0005-0000-0000-000038530000}"/>
    <cellStyle name="Normal 3 3 2 10 2 2" xfId="30070" xr:uid="{00000000-0005-0000-0000-000039530000}"/>
    <cellStyle name="Normal 3 3 2 10 3" xfId="12541" xr:uid="{00000000-0005-0000-0000-00003A530000}"/>
    <cellStyle name="Normal 3 3 2 10 3 2" xfId="30071" xr:uid="{00000000-0005-0000-0000-00003B530000}"/>
    <cellStyle name="Normal 3 3 2 10 4" xfId="12542" xr:uid="{00000000-0005-0000-0000-00003C530000}"/>
    <cellStyle name="Normal 3 3 2 10 4 2" xfId="30072" xr:uid="{00000000-0005-0000-0000-00003D530000}"/>
    <cellStyle name="Normal 3 3 2 10 5" xfId="12543" xr:uid="{00000000-0005-0000-0000-00003E530000}"/>
    <cellStyle name="Normal 3 3 2 10 5 2" xfId="30073" xr:uid="{00000000-0005-0000-0000-00003F530000}"/>
    <cellStyle name="Normal 3 3 2 10 6" xfId="12544" xr:uid="{00000000-0005-0000-0000-000040530000}"/>
    <cellStyle name="Normal 3 3 2 10 6 2" xfId="30074" xr:uid="{00000000-0005-0000-0000-000041530000}"/>
    <cellStyle name="Normal 3 3 2 10 7" xfId="12545" xr:uid="{00000000-0005-0000-0000-000042530000}"/>
    <cellStyle name="Normal 3 3 2 10 7 2" xfId="30075" xr:uid="{00000000-0005-0000-0000-000043530000}"/>
    <cellStyle name="Normal 3 3 2 10 8" xfId="12546" xr:uid="{00000000-0005-0000-0000-000044530000}"/>
    <cellStyle name="Normal 3 3 2 10 8 2" xfId="30076" xr:uid="{00000000-0005-0000-0000-000045530000}"/>
    <cellStyle name="Normal 3 3 2 10 9" xfId="12547" xr:uid="{00000000-0005-0000-0000-000046530000}"/>
    <cellStyle name="Normal 3 3 2 10 9 2" xfId="30077" xr:uid="{00000000-0005-0000-0000-000047530000}"/>
    <cellStyle name="Normal 3 3 2 11" xfId="12548" xr:uid="{00000000-0005-0000-0000-000048530000}"/>
    <cellStyle name="Normal 3 3 2 11 10" xfId="12549" xr:uid="{00000000-0005-0000-0000-000049530000}"/>
    <cellStyle name="Normal 3 3 2 11 10 2" xfId="30079" xr:uid="{00000000-0005-0000-0000-00004A530000}"/>
    <cellStyle name="Normal 3 3 2 11 11" xfId="12550" xr:uid="{00000000-0005-0000-0000-00004B530000}"/>
    <cellStyle name="Normal 3 3 2 11 11 2" xfId="30080" xr:uid="{00000000-0005-0000-0000-00004C530000}"/>
    <cellStyle name="Normal 3 3 2 11 12" xfId="12551" xr:uid="{00000000-0005-0000-0000-00004D530000}"/>
    <cellStyle name="Normal 3 3 2 11 12 2" xfId="30081" xr:uid="{00000000-0005-0000-0000-00004E530000}"/>
    <cellStyle name="Normal 3 3 2 11 13" xfId="12552" xr:uid="{00000000-0005-0000-0000-00004F530000}"/>
    <cellStyle name="Normal 3 3 2 11 13 2" xfId="30082" xr:uid="{00000000-0005-0000-0000-000050530000}"/>
    <cellStyle name="Normal 3 3 2 11 14" xfId="12553" xr:uid="{00000000-0005-0000-0000-000051530000}"/>
    <cellStyle name="Normal 3 3 2 11 14 2" xfId="30083" xr:uid="{00000000-0005-0000-0000-000052530000}"/>
    <cellStyle name="Normal 3 3 2 11 15" xfId="30078" xr:uid="{00000000-0005-0000-0000-000053530000}"/>
    <cellStyle name="Normal 3 3 2 11 2" xfId="12554" xr:uid="{00000000-0005-0000-0000-000054530000}"/>
    <cellStyle name="Normal 3 3 2 11 2 2" xfId="30084" xr:uid="{00000000-0005-0000-0000-000055530000}"/>
    <cellStyle name="Normal 3 3 2 11 3" xfId="12555" xr:uid="{00000000-0005-0000-0000-000056530000}"/>
    <cellStyle name="Normal 3 3 2 11 3 2" xfId="30085" xr:uid="{00000000-0005-0000-0000-000057530000}"/>
    <cellStyle name="Normal 3 3 2 11 4" xfId="12556" xr:uid="{00000000-0005-0000-0000-000058530000}"/>
    <cellStyle name="Normal 3 3 2 11 4 2" xfId="30086" xr:uid="{00000000-0005-0000-0000-000059530000}"/>
    <cellStyle name="Normal 3 3 2 11 5" xfId="12557" xr:uid="{00000000-0005-0000-0000-00005A530000}"/>
    <cellStyle name="Normal 3 3 2 11 5 2" xfId="30087" xr:uid="{00000000-0005-0000-0000-00005B530000}"/>
    <cellStyle name="Normal 3 3 2 11 6" xfId="12558" xr:uid="{00000000-0005-0000-0000-00005C530000}"/>
    <cellStyle name="Normal 3 3 2 11 6 2" xfId="30088" xr:uid="{00000000-0005-0000-0000-00005D530000}"/>
    <cellStyle name="Normal 3 3 2 11 7" xfId="12559" xr:uid="{00000000-0005-0000-0000-00005E530000}"/>
    <cellStyle name="Normal 3 3 2 11 7 2" xfId="30089" xr:uid="{00000000-0005-0000-0000-00005F530000}"/>
    <cellStyle name="Normal 3 3 2 11 8" xfId="12560" xr:uid="{00000000-0005-0000-0000-000060530000}"/>
    <cellStyle name="Normal 3 3 2 11 8 2" xfId="30090" xr:uid="{00000000-0005-0000-0000-000061530000}"/>
    <cellStyle name="Normal 3 3 2 11 9" xfId="12561" xr:uid="{00000000-0005-0000-0000-000062530000}"/>
    <cellStyle name="Normal 3 3 2 11 9 2" xfId="30091" xr:uid="{00000000-0005-0000-0000-000063530000}"/>
    <cellStyle name="Normal 3 3 2 12" xfId="12562" xr:uid="{00000000-0005-0000-0000-000064530000}"/>
    <cellStyle name="Normal 3 3 2 12 10" xfId="12563" xr:uid="{00000000-0005-0000-0000-000065530000}"/>
    <cellStyle name="Normal 3 3 2 12 10 2" xfId="30093" xr:uid="{00000000-0005-0000-0000-000066530000}"/>
    <cellStyle name="Normal 3 3 2 12 11" xfId="12564" xr:uid="{00000000-0005-0000-0000-000067530000}"/>
    <cellStyle name="Normal 3 3 2 12 11 2" xfId="30094" xr:uid="{00000000-0005-0000-0000-000068530000}"/>
    <cellStyle name="Normal 3 3 2 12 12" xfId="12565" xr:uid="{00000000-0005-0000-0000-000069530000}"/>
    <cellStyle name="Normal 3 3 2 12 12 2" xfId="30095" xr:uid="{00000000-0005-0000-0000-00006A530000}"/>
    <cellStyle name="Normal 3 3 2 12 13" xfId="12566" xr:uid="{00000000-0005-0000-0000-00006B530000}"/>
    <cellStyle name="Normal 3 3 2 12 13 2" xfId="30096" xr:uid="{00000000-0005-0000-0000-00006C530000}"/>
    <cellStyle name="Normal 3 3 2 12 14" xfId="12567" xr:uid="{00000000-0005-0000-0000-00006D530000}"/>
    <cellStyle name="Normal 3 3 2 12 14 2" xfId="30097" xr:uid="{00000000-0005-0000-0000-00006E530000}"/>
    <cellStyle name="Normal 3 3 2 12 15" xfId="30092" xr:uid="{00000000-0005-0000-0000-00006F530000}"/>
    <cellStyle name="Normal 3 3 2 12 2" xfId="12568" xr:uid="{00000000-0005-0000-0000-000070530000}"/>
    <cellStyle name="Normal 3 3 2 12 2 2" xfId="30098" xr:uid="{00000000-0005-0000-0000-000071530000}"/>
    <cellStyle name="Normal 3 3 2 12 3" xfId="12569" xr:uid="{00000000-0005-0000-0000-000072530000}"/>
    <cellStyle name="Normal 3 3 2 12 3 2" xfId="30099" xr:uid="{00000000-0005-0000-0000-000073530000}"/>
    <cellStyle name="Normal 3 3 2 12 4" xfId="12570" xr:uid="{00000000-0005-0000-0000-000074530000}"/>
    <cellStyle name="Normal 3 3 2 12 4 2" xfId="30100" xr:uid="{00000000-0005-0000-0000-000075530000}"/>
    <cellStyle name="Normal 3 3 2 12 5" xfId="12571" xr:uid="{00000000-0005-0000-0000-000076530000}"/>
    <cellStyle name="Normal 3 3 2 12 5 2" xfId="30101" xr:uid="{00000000-0005-0000-0000-000077530000}"/>
    <cellStyle name="Normal 3 3 2 12 6" xfId="12572" xr:uid="{00000000-0005-0000-0000-000078530000}"/>
    <cellStyle name="Normal 3 3 2 12 6 2" xfId="30102" xr:uid="{00000000-0005-0000-0000-000079530000}"/>
    <cellStyle name="Normal 3 3 2 12 7" xfId="12573" xr:uid="{00000000-0005-0000-0000-00007A530000}"/>
    <cellStyle name="Normal 3 3 2 12 7 2" xfId="30103" xr:uid="{00000000-0005-0000-0000-00007B530000}"/>
    <cellStyle name="Normal 3 3 2 12 8" xfId="12574" xr:uid="{00000000-0005-0000-0000-00007C530000}"/>
    <cellStyle name="Normal 3 3 2 12 8 2" xfId="30104" xr:uid="{00000000-0005-0000-0000-00007D530000}"/>
    <cellStyle name="Normal 3 3 2 12 9" xfId="12575" xr:uid="{00000000-0005-0000-0000-00007E530000}"/>
    <cellStyle name="Normal 3 3 2 12 9 2" xfId="30105" xr:uid="{00000000-0005-0000-0000-00007F530000}"/>
    <cellStyle name="Normal 3 3 2 13" xfId="12576" xr:uid="{00000000-0005-0000-0000-000080530000}"/>
    <cellStyle name="Normal 3 3 2 13 10" xfId="12577" xr:uid="{00000000-0005-0000-0000-000081530000}"/>
    <cellStyle name="Normal 3 3 2 13 10 2" xfId="30107" xr:uid="{00000000-0005-0000-0000-000082530000}"/>
    <cellStyle name="Normal 3 3 2 13 11" xfId="12578" xr:uid="{00000000-0005-0000-0000-000083530000}"/>
    <cellStyle name="Normal 3 3 2 13 11 2" xfId="30108" xr:uid="{00000000-0005-0000-0000-000084530000}"/>
    <cellStyle name="Normal 3 3 2 13 12" xfId="12579" xr:uid="{00000000-0005-0000-0000-000085530000}"/>
    <cellStyle name="Normal 3 3 2 13 12 2" xfId="30109" xr:uid="{00000000-0005-0000-0000-000086530000}"/>
    <cellStyle name="Normal 3 3 2 13 13" xfId="12580" xr:uid="{00000000-0005-0000-0000-000087530000}"/>
    <cellStyle name="Normal 3 3 2 13 13 2" xfId="30110" xr:uid="{00000000-0005-0000-0000-000088530000}"/>
    <cellStyle name="Normal 3 3 2 13 14" xfId="12581" xr:uid="{00000000-0005-0000-0000-000089530000}"/>
    <cellStyle name="Normal 3 3 2 13 14 2" xfId="30111" xr:uid="{00000000-0005-0000-0000-00008A530000}"/>
    <cellStyle name="Normal 3 3 2 13 15" xfId="30106" xr:uid="{00000000-0005-0000-0000-00008B530000}"/>
    <cellStyle name="Normal 3 3 2 13 2" xfId="12582" xr:uid="{00000000-0005-0000-0000-00008C530000}"/>
    <cellStyle name="Normal 3 3 2 13 2 2" xfId="30112" xr:uid="{00000000-0005-0000-0000-00008D530000}"/>
    <cellStyle name="Normal 3 3 2 13 3" xfId="12583" xr:uid="{00000000-0005-0000-0000-00008E530000}"/>
    <cellStyle name="Normal 3 3 2 13 3 2" xfId="30113" xr:uid="{00000000-0005-0000-0000-00008F530000}"/>
    <cellStyle name="Normal 3 3 2 13 4" xfId="12584" xr:uid="{00000000-0005-0000-0000-000090530000}"/>
    <cellStyle name="Normal 3 3 2 13 4 2" xfId="30114" xr:uid="{00000000-0005-0000-0000-000091530000}"/>
    <cellStyle name="Normal 3 3 2 13 5" xfId="12585" xr:uid="{00000000-0005-0000-0000-000092530000}"/>
    <cellStyle name="Normal 3 3 2 13 5 2" xfId="30115" xr:uid="{00000000-0005-0000-0000-000093530000}"/>
    <cellStyle name="Normal 3 3 2 13 6" xfId="12586" xr:uid="{00000000-0005-0000-0000-000094530000}"/>
    <cellStyle name="Normal 3 3 2 13 6 2" xfId="30116" xr:uid="{00000000-0005-0000-0000-000095530000}"/>
    <cellStyle name="Normal 3 3 2 13 7" xfId="12587" xr:uid="{00000000-0005-0000-0000-000096530000}"/>
    <cellStyle name="Normal 3 3 2 13 7 2" xfId="30117" xr:uid="{00000000-0005-0000-0000-000097530000}"/>
    <cellStyle name="Normal 3 3 2 13 8" xfId="12588" xr:uid="{00000000-0005-0000-0000-000098530000}"/>
    <cellStyle name="Normal 3 3 2 13 8 2" xfId="30118" xr:uid="{00000000-0005-0000-0000-000099530000}"/>
    <cellStyle name="Normal 3 3 2 13 9" xfId="12589" xr:uid="{00000000-0005-0000-0000-00009A530000}"/>
    <cellStyle name="Normal 3 3 2 13 9 2" xfId="30119" xr:uid="{00000000-0005-0000-0000-00009B530000}"/>
    <cellStyle name="Normal 3 3 2 14" xfId="12590" xr:uid="{00000000-0005-0000-0000-00009C530000}"/>
    <cellStyle name="Normal 3 3 2 14 10" xfId="12591" xr:uid="{00000000-0005-0000-0000-00009D530000}"/>
    <cellStyle name="Normal 3 3 2 14 10 2" xfId="30121" xr:uid="{00000000-0005-0000-0000-00009E530000}"/>
    <cellStyle name="Normal 3 3 2 14 11" xfId="12592" xr:uid="{00000000-0005-0000-0000-00009F530000}"/>
    <cellStyle name="Normal 3 3 2 14 11 2" xfId="30122" xr:uid="{00000000-0005-0000-0000-0000A0530000}"/>
    <cellStyle name="Normal 3 3 2 14 12" xfId="12593" xr:uid="{00000000-0005-0000-0000-0000A1530000}"/>
    <cellStyle name="Normal 3 3 2 14 12 2" xfId="30123" xr:uid="{00000000-0005-0000-0000-0000A2530000}"/>
    <cellStyle name="Normal 3 3 2 14 13" xfId="12594" xr:uid="{00000000-0005-0000-0000-0000A3530000}"/>
    <cellStyle name="Normal 3 3 2 14 13 2" xfId="30124" xr:uid="{00000000-0005-0000-0000-0000A4530000}"/>
    <cellStyle name="Normal 3 3 2 14 14" xfId="12595" xr:uid="{00000000-0005-0000-0000-0000A5530000}"/>
    <cellStyle name="Normal 3 3 2 14 14 2" xfId="30125" xr:uid="{00000000-0005-0000-0000-0000A6530000}"/>
    <cellStyle name="Normal 3 3 2 14 15" xfId="30120" xr:uid="{00000000-0005-0000-0000-0000A7530000}"/>
    <cellStyle name="Normal 3 3 2 14 2" xfId="12596" xr:uid="{00000000-0005-0000-0000-0000A8530000}"/>
    <cellStyle name="Normal 3 3 2 14 2 2" xfId="30126" xr:uid="{00000000-0005-0000-0000-0000A9530000}"/>
    <cellStyle name="Normal 3 3 2 14 3" xfId="12597" xr:uid="{00000000-0005-0000-0000-0000AA530000}"/>
    <cellStyle name="Normal 3 3 2 14 3 2" xfId="30127" xr:uid="{00000000-0005-0000-0000-0000AB530000}"/>
    <cellStyle name="Normal 3 3 2 14 4" xfId="12598" xr:uid="{00000000-0005-0000-0000-0000AC530000}"/>
    <cellStyle name="Normal 3 3 2 14 4 2" xfId="30128" xr:uid="{00000000-0005-0000-0000-0000AD530000}"/>
    <cellStyle name="Normal 3 3 2 14 5" xfId="12599" xr:uid="{00000000-0005-0000-0000-0000AE530000}"/>
    <cellStyle name="Normal 3 3 2 14 5 2" xfId="30129" xr:uid="{00000000-0005-0000-0000-0000AF530000}"/>
    <cellStyle name="Normal 3 3 2 14 6" xfId="12600" xr:uid="{00000000-0005-0000-0000-0000B0530000}"/>
    <cellStyle name="Normal 3 3 2 14 6 2" xfId="30130" xr:uid="{00000000-0005-0000-0000-0000B1530000}"/>
    <cellStyle name="Normal 3 3 2 14 7" xfId="12601" xr:uid="{00000000-0005-0000-0000-0000B2530000}"/>
    <cellStyle name="Normal 3 3 2 14 7 2" xfId="30131" xr:uid="{00000000-0005-0000-0000-0000B3530000}"/>
    <cellStyle name="Normal 3 3 2 14 8" xfId="12602" xr:uid="{00000000-0005-0000-0000-0000B4530000}"/>
    <cellStyle name="Normal 3 3 2 14 8 2" xfId="30132" xr:uid="{00000000-0005-0000-0000-0000B5530000}"/>
    <cellStyle name="Normal 3 3 2 14 9" xfId="12603" xr:uid="{00000000-0005-0000-0000-0000B6530000}"/>
    <cellStyle name="Normal 3 3 2 14 9 2" xfId="30133" xr:uid="{00000000-0005-0000-0000-0000B7530000}"/>
    <cellStyle name="Normal 3 3 2 15" xfId="12604" xr:uid="{00000000-0005-0000-0000-0000B8530000}"/>
    <cellStyle name="Normal 3 3 2 16" xfId="12605" xr:uid="{00000000-0005-0000-0000-0000B9530000}"/>
    <cellStyle name="Normal 3 3 2 17" xfId="12606" xr:uid="{00000000-0005-0000-0000-0000BA530000}"/>
    <cellStyle name="Normal 3 3 2 17 10" xfId="12607" xr:uid="{00000000-0005-0000-0000-0000BB530000}"/>
    <cellStyle name="Normal 3 3 2 17 10 2" xfId="30135" xr:uid="{00000000-0005-0000-0000-0000BC530000}"/>
    <cellStyle name="Normal 3 3 2 17 11" xfId="12608" xr:uid="{00000000-0005-0000-0000-0000BD530000}"/>
    <cellStyle name="Normal 3 3 2 17 11 2" xfId="30136" xr:uid="{00000000-0005-0000-0000-0000BE530000}"/>
    <cellStyle name="Normal 3 3 2 17 12" xfId="12609" xr:uid="{00000000-0005-0000-0000-0000BF530000}"/>
    <cellStyle name="Normal 3 3 2 17 12 2" xfId="30137" xr:uid="{00000000-0005-0000-0000-0000C0530000}"/>
    <cellStyle name="Normal 3 3 2 17 13" xfId="12610" xr:uid="{00000000-0005-0000-0000-0000C1530000}"/>
    <cellStyle name="Normal 3 3 2 17 13 2" xfId="30138" xr:uid="{00000000-0005-0000-0000-0000C2530000}"/>
    <cellStyle name="Normal 3 3 2 17 14" xfId="12611" xr:uid="{00000000-0005-0000-0000-0000C3530000}"/>
    <cellStyle name="Normal 3 3 2 17 14 2" xfId="30139" xr:uid="{00000000-0005-0000-0000-0000C4530000}"/>
    <cellStyle name="Normal 3 3 2 17 15" xfId="30134" xr:uid="{00000000-0005-0000-0000-0000C5530000}"/>
    <cellStyle name="Normal 3 3 2 17 2" xfId="12612" xr:uid="{00000000-0005-0000-0000-0000C6530000}"/>
    <cellStyle name="Normal 3 3 2 17 2 2" xfId="30140" xr:uid="{00000000-0005-0000-0000-0000C7530000}"/>
    <cellStyle name="Normal 3 3 2 17 3" xfId="12613" xr:uid="{00000000-0005-0000-0000-0000C8530000}"/>
    <cellStyle name="Normal 3 3 2 17 3 2" xfId="30141" xr:uid="{00000000-0005-0000-0000-0000C9530000}"/>
    <cellStyle name="Normal 3 3 2 17 4" xfId="12614" xr:uid="{00000000-0005-0000-0000-0000CA530000}"/>
    <cellStyle name="Normal 3 3 2 17 4 2" xfId="30142" xr:uid="{00000000-0005-0000-0000-0000CB530000}"/>
    <cellStyle name="Normal 3 3 2 17 5" xfId="12615" xr:uid="{00000000-0005-0000-0000-0000CC530000}"/>
    <cellStyle name="Normal 3 3 2 17 5 2" xfId="30143" xr:uid="{00000000-0005-0000-0000-0000CD530000}"/>
    <cellStyle name="Normal 3 3 2 17 6" xfId="12616" xr:uid="{00000000-0005-0000-0000-0000CE530000}"/>
    <cellStyle name="Normal 3 3 2 17 6 2" xfId="30144" xr:uid="{00000000-0005-0000-0000-0000CF530000}"/>
    <cellStyle name="Normal 3 3 2 17 7" xfId="12617" xr:uid="{00000000-0005-0000-0000-0000D0530000}"/>
    <cellStyle name="Normal 3 3 2 17 7 2" xfId="30145" xr:uid="{00000000-0005-0000-0000-0000D1530000}"/>
    <cellStyle name="Normal 3 3 2 17 8" xfId="12618" xr:uid="{00000000-0005-0000-0000-0000D2530000}"/>
    <cellStyle name="Normal 3 3 2 17 8 2" xfId="30146" xr:uid="{00000000-0005-0000-0000-0000D3530000}"/>
    <cellStyle name="Normal 3 3 2 17 9" xfId="12619" xr:uid="{00000000-0005-0000-0000-0000D4530000}"/>
    <cellStyle name="Normal 3 3 2 17 9 2" xfId="30147" xr:uid="{00000000-0005-0000-0000-0000D5530000}"/>
    <cellStyle name="Normal 3 3 2 18" xfId="12620" xr:uid="{00000000-0005-0000-0000-0000D6530000}"/>
    <cellStyle name="Normal 3 3 2 18 10" xfId="12621" xr:uid="{00000000-0005-0000-0000-0000D7530000}"/>
    <cellStyle name="Normal 3 3 2 18 10 2" xfId="30149" xr:uid="{00000000-0005-0000-0000-0000D8530000}"/>
    <cellStyle name="Normal 3 3 2 18 11" xfId="12622" xr:uid="{00000000-0005-0000-0000-0000D9530000}"/>
    <cellStyle name="Normal 3 3 2 18 11 2" xfId="30150" xr:uid="{00000000-0005-0000-0000-0000DA530000}"/>
    <cellStyle name="Normal 3 3 2 18 12" xfId="12623" xr:uid="{00000000-0005-0000-0000-0000DB530000}"/>
    <cellStyle name="Normal 3 3 2 18 12 2" xfId="30151" xr:uid="{00000000-0005-0000-0000-0000DC530000}"/>
    <cellStyle name="Normal 3 3 2 18 13" xfId="12624" xr:uid="{00000000-0005-0000-0000-0000DD530000}"/>
    <cellStyle name="Normal 3 3 2 18 13 2" xfId="30152" xr:uid="{00000000-0005-0000-0000-0000DE530000}"/>
    <cellStyle name="Normal 3 3 2 18 14" xfId="12625" xr:uid="{00000000-0005-0000-0000-0000DF530000}"/>
    <cellStyle name="Normal 3 3 2 18 14 2" xfId="30153" xr:uid="{00000000-0005-0000-0000-0000E0530000}"/>
    <cellStyle name="Normal 3 3 2 18 15" xfId="30148" xr:uid="{00000000-0005-0000-0000-0000E1530000}"/>
    <cellStyle name="Normal 3 3 2 18 2" xfId="12626" xr:uid="{00000000-0005-0000-0000-0000E2530000}"/>
    <cellStyle name="Normal 3 3 2 18 2 2" xfId="30154" xr:uid="{00000000-0005-0000-0000-0000E3530000}"/>
    <cellStyle name="Normal 3 3 2 18 3" xfId="12627" xr:uid="{00000000-0005-0000-0000-0000E4530000}"/>
    <cellStyle name="Normal 3 3 2 18 3 2" xfId="30155" xr:uid="{00000000-0005-0000-0000-0000E5530000}"/>
    <cellStyle name="Normal 3 3 2 18 4" xfId="12628" xr:uid="{00000000-0005-0000-0000-0000E6530000}"/>
    <cellStyle name="Normal 3 3 2 18 4 2" xfId="30156" xr:uid="{00000000-0005-0000-0000-0000E7530000}"/>
    <cellStyle name="Normal 3 3 2 18 5" xfId="12629" xr:uid="{00000000-0005-0000-0000-0000E8530000}"/>
    <cellStyle name="Normal 3 3 2 18 5 2" xfId="30157" xr:uid="{00000000-0005-0000-0000-0000E9530000}"/>
    <cellStyle name="Normal 3 3 2 18 6" xfId="12630" xr:uid="{00000000-0005-0000-0000-0000EA530000}"/>
    <cellStyle name="Normal 3 3 2 18 6 2" xfId="30158" xr:uid="{00000000-0005-0000-0000-0000EB530000}"/>
    <cellStyle name="Normal 3 3 2 18 7" xfId="12631" xr:uid="{00000000-0005-0000-0000-0000EC530000}"/>
    <cellStyle name="Normal 3 3 2 18 7 2" xfId="30159" xr:uid="{00000000-0005-0000-0000-0000ED530000}"/>
    <cellStyle name="Normal 3 3 2 18 8" xfId="12632" xr:uid="{00000000-0005-0000-0000-0000EE530000}"/>
    <cellStyle name="Normal 3 3 2 18 8 2" xfId="30160" xr:uid="{00000000-0005-0000-0000-0000EF530000}"/>
    <cellStyle name="Normal 3 3 2 18 9" xfId="12633" xr:uid="{00000000-0005-0000-0000-0000F0530000}"/>
    <cellStyle name="Normal 3 3 2 18 9 2" xfId="30161" xr:uid="{00000000-0005-0000-0000-0000F1530000}"/>
    <cellStyle name="Normal 3 3 2 19" xfId="12533" xr:uid="{00000000-0005-0000-0000-0000F2530000}"/>
    <cellStyle name="Normal 3 3 2 2" xfId="574" xr:uid="{00000000-0005-0000-0000-0000F3530000}"/>
    <cellStyle name="Normal 3 3 2 2 10" xfId="12635" xr:uid="{00000000-0005-0000-0000-0000F4530000}"/>
    <cellStyle name="Normal 3 3 2 2 10 2" xfId="30163" xr:uid="{00000000-0005-0000-0000-0000F5530000}"/>
    <cellStyle name="Normal 3 3 2 2 11" xfId="12636" xr:uid="{00000000-0005-0000-0000-0000F6530000}"/>
    <cellStyle name="Normal 3 3 2 2 11 2" xfId="30164" xr:uid="{00000000-0005-0000-0000-0000F7530000}"/>
    <cellStyle name="Normal 3 3 2 2 12" xfId="12637" xr:uid="{00000000-0005-0000-0000-0000F8530000}"/>
    <cellStyle name="Normal 3 3 2 2 12 2" xfId="30165" xr:uid="{00000000-0005-0000-0000-0000F9530000}"/>
    <cellStyle name="Normal 3 3 2 2 13" xfId="12638" xr:uid="{00000000-0005-0000-0000-0000FA530000}"/>
    <cellStyle name="Normal 3 3 2 2 13 2" xfId="30166" xr:uid="{00000000-0005-0000-0000-0000FB530000}"/>
    <cellStyle name="Normal 3 3 2 2 14" xfId="12639" xr:uid="{00000000-0005-0000-0000-0000FC530000}"/>
    <cellStyle name="Normal 3 3 2 2 14 2" xfId="30167" xr:uid="{00000000-0005-0000-0000-0000FD530000}"/>
    <cellStyle name="Normal 3 3 2 2 15" xfId="12640" xr:uid="{00000000-0005-0000-0000-0000FE530000}"/>
    <cellStyle name="Normal 3 3 2 2 15 2" xfId="30168" xr:uid="{00000000-0005-0000-0000-0000FF530000}"/>
    <cellStyle name="Normal 3 3 2 2 16" xfId="12641" xr:uid="{00000000-0005-0000-0000-000000540000}"/>
    <cellStyle name="Normal 3 3 2 2 16 2" xfId="30169" xr:uid="{00000000-0005-0000-0000-000001540000}"/>
    <cellStyle name="Normal 3 3 2 2 17" xfId="12642" xr:uid="{00000000-0005-0000-0000-000002540000}"/>
    <cellStyle name="Normal 3 3 2 2 17 2" xfId="30170" xr:uid="{00000000-0005-0000-0000-000003540000}"/>
    <cellStyle name="Normal 3 3 2 2 18" xfId="12634" xr:uid="{00000000-0005-0000-0000-000004540000}"/>
    <cellStyle name="Normal 3 3 2 2 19" xfId="30162" xr:uid="{00000000-0005-0000-0000-000005540000}"/>
    <cellStyle name="Normal 3 3 2 2 2" xfId="12643" xr:uid="{00000000-0005-0000-0000-000006540000}"/>
    <cellStyle name="Normal 3 3 2 2 3" xfId="12644" xr:uid="{00000000-0005-0000-0000-000007540000}"/>
    <cellStyle name="Normal 3 3 2 2 4" xfId="12645" xr:uid="{00000000-0005-0000-0000-000008540000}"/>
    <cellStyle name="Normal 3 3 2 2 5" xfId="12646" xr:uid="{00000000-0005-0000-0000-000009540000}"/>
    <cellStyle name="Normal 3 3 2 2 5 2" xfId="30171" xr:uid="{00000000-0005-0000-0000-00000A540000}"/>
    <cellStyle name="Normal 3 3 2 2 6" xfId="12647" xr:uid="{00000000-0005-0000-0000-00000B540000}"/>
    <cellStyle name="Normal 3 3 2 2 6 2" xfId="30172" xr:uid="{00000000-0005-0000-0000-00000C540000}"/>
    <cellStyle name="Normal 3 3 2 2 7" xfId="12648" xr:uid="{00000000-0005-0000-0000-00000D540000}"/>
    <cellStyle name="Normal 3 3 2 2 7 2" xfId="30173" xr:uid="{00000000-0005-0000-0000-00000E540000}"/>
    <cellStyle name="Normal 3 3 2 2 8" xfId="12649" xr:uid="{00000000-0005-0000-0000-00000F540000}"/>
    <cellStyle name="Normal 3 3 2 2 8 2" xfId="30174" xr:uid="{00000000-0005-0000-0000-000010540000}"/>
    <cellStyle name="Normal 3 3 2 2 9" xfId="12650" xr:uid="{00000000-0005-0000-0000-000011540000}"/>
    <cellStyle name="Normal 3 3 2 2 9 2" xfId="30175" xr:uid="{00000000-0005-0000-0000-000012540000}"/>
    <cellStyle name="Normal 3 3 2 3" xfId="12651" xr:uid="{00000000-0005-0000-0000-000013540000}"/>
    <cellStyle name="Normal 3 3 2 4" xfId="12652" xr:uid="{00000000-0005-0000-0000-000014540000}"/>
    <cellStyle name="Normal 3 3 2 5" xfId="12653" xr:uid="{00000000-0005-0000-0000-000015540000}"/>
    <cellStyle name="Normal 3 3 2 6" xfId="12654" xr:uid="{00000000-0005-0000-0000-000016540000}"/>
    <cellStyle name="Normal 3 3 2 6 10" xfId="12655" xr:uid="{00000000-0005-0000-0000-000017540000}"/>
    <cellStyle name="Normal 3 3 2 6 10 2" xfId="30177" xr:uid="{00000000-0005-0000-0000-000018540000}"/>
    <cellStyle name="Normal 3 3 2 6 11" xfId="12656" xr:uid="{00000000-0005-0000-0000-000019540000}"/>
    <cellStyle name="Normal 3 3 2 6 11 2" xfId="30178" xr:uid="{00000000-0005-0000-0000-00001A540000}"/>
    <cellStyle name="Normal 3 3 2 6 12" xfId="12657" xr:uid="{00000000-0005-0000-0000-00001B540000}"/>
    <cellStyle name="Normal 3 3 2 6 12 2" xfId="30179" xr:uid="{00000000-0005-0000-0000-00001C540000}"/>
    <cellStyle name="Normal 3 3 2 6 13" xfId="12658" xr:uid="{00000000-0005-0000-0000-00001D540000}"/>
    <cellStyle name="Normal 3 3 2 6 13 2" xfId="30180" xr:uid="{00000000-0005-0000-0000-00001E540000}"/>
    <cellStyle name="Normal 3 3 2 6 14" xfId="12659" xr:uid="{00000000-0005-0000-0000-00001F540000}"/>
    <cellStyle name="Normal 3 3 2 6 14 2" xfId="30181" xr:uid="{00000000-0005-0000-0000-000020540000}"/>
    <cellStyle name="Normal 3 3 2 6 15" xfId="12660" xr:uid="{00000000-0005-0000-0000-000021540000}"/>
    <cellStyle name="Normal 3 3 2 6 15 2" xfId="30182" xr:uid="{00000000-0005-0000-0000-000022540000}"/>
    <cellStyle name="Normal 3 3 2 6 16" xfId="30176" xr:uid="{00000000-0005-0000-0000-000023540000}"/>
    <cellStyle name="Normal 3 3 2 6 2" xfId="12661" xr:uid="{00000000-0005-0000-0000-000024540000}"/>
    <cellStyle name="Normal 3 3 2 6 2 10" xfId="12662" xr:uid="{00000000-0005-0000-0000-000025540000}"/>
    <cellStyle name="Normal 3 3 2 6 2 10 2" xfId="30184" xr:uid="{00000000-0005-0000-0000-000026540000}"/>
    <cellStyle name="Normal 3 3 2 6 2 11" xfId="12663" xr:uid="{00000000-0005-0000-0000-000027540000}"/>
    <cellStyle name="Normal 3 3 2 6 2 11 2" xfId="30185" xr:uid="{00000000-0005-0000-0000-000028540000}"/>
    <cellStyle name="Normal 3 3 2 6 2 12" xfId="12664" xr:uid="{00000000-0005-0000-0000-000029540000}"/>
    <cellStyle name="Normal 3 3 2 6 2 12 2" xfId="30186" xr:uid="{00000000-0005-0000-0000-00002A540000}"/>
    <cellStyle name="Normal 3 3 2 6 2 13" xfId="12665" xr:uid="{00000000-0005-0000-0000-00002B540000}"/>
    <cellStyle name="Normal 3 3 2 6 2 13 2" xfId="30187" xr:uid="{00000000-0005-0000-0000-00002C540000}"/>
    <cellStyle name="Normal 3 3 2 6 2 14" xfId="12666" xr:uid="{00000000-0005-0000-0000-00002D540000}"/>
    <cellStyle name="Normal 3 3 2 6 2 14 2" xfId="30188" xr:uid="{00000000-0005-0000-0000-00002E540000}"/>
    <cellStyle name="Normal 3 3 2 6 2 15" xfId="30183" xr:uid="{00000000-0005-0000-0000-00002F540000}"/>
    <cellStyle name="Normal 3 3 2 6 2 2" xfId="12667" xr:uid="{00000000-0005-0000-0000-000030540000}"/>
    <cellStyle name="Normal 3 3 2 6 2 2 2" xfId="30189" xr:uid="{00000000-0005-0000-0000-000031540000}"/>
    <cellStyle name="Normal 3 3 2 6 2 3" xfId="12668" xr:uid="{00000000-0005-0000-0000-000032540000}"/>
    <cellStyle name="Normal 3 3 2 6 2 3 2" xfId="30190" xr:uid="{00000000-0005-0000-0000-000033540000}"/>
    <cellStyle name="Normal 3 3 2 6 2 4" xfId="12669" xr:uid="{00000000-0005-0000-0000-000034540000}"/>
    <cellStyle name="Normal 3 3 2 6 2 4 2" xfId="30191" xr:uid="{00000000-0005-0000-0000-000035540000}"/>
    <cellStyle name="Normal 3 3 2 6 2 5" xfId="12670" xr:uid="{00000000-0005-0000-0000-000036540000}"/>
    <cellStyle name="Normal 3 3 2 6 2 5 2" xfId="30192" xr:uid="{00000000-0005-0000-0000-000037540000}"/>
    <cellStyle name="Normal 3 3 2 6 2 6" xfId="12671" xr:uid="{00000000-0005-0000-0000-000038540000}"/>
    <cellStyle name="Normal 3 3 2 6 2 6 2" xfId="30193" xr:uid="{00000000-0005-0000-0000-000039540000}"/>
    <cellStyle name="Normal 3 3 2 6 2 7" xfId="12672" xr:uid="{00000000-0005-0000-0000-00003A540000}"/>
    <cellStyle name="Normal 3 3 2 6 2 7 2" xfId="30194" xr:uid="{00000000-0005-0000-0000-00003B540000}"/>
    <cellStyle name="Normal 3 3 2 6 2 8" xfId="12673" xr:uid="{00000000-0005-0000-0000-00003C540000}"/>
    <cellStyle name="Normal 3 3 2 6 2 8 2" xfId="30195" xr:uid="{00000000-0005-0000-0000-00003D540000}"/>
    <cellStyle name="Normal 3 3 2 6 2 9" xfId="12674" xr:uid="{00000000-0005-0000-0000-00003E540000}"/>
    <cellStyle name="Normal 3 3 2 6 2 9 2" xfId="30196" xr:uid="{00000000-0005-0000-0000-00003F540000}"/>
    <cellStyle name="Normal 3 3 2 6 3" xfId="12675" xr:uid="{00000000-0005-0000-0000-000040540000}"/>
    <cellStyle name="Normal 3 3 2 6 3 2" xfId="30197" xr:uid="{00000000-0005-0000-0000-000041540000}"/>
    <cellStyle name="Normal 3 3 2 6 4" xfId="12676" xr:uid="{00000000-0005-0000-0000-000042540000}"/>
    <cellStyle name="Normal 3 3 2 6 4 2" xfId="30198" xr:uid="{00000000-0005-0000-0000-000043540000}"/>
    <cellStyle name="Normal 3 3 2 6 5" xfId="12677" xr:uid="{00000000-0005-0000-0000-000044540000}"/>
    <cellStyle name="Normal 3 3 2 6 5 2" xfId="30199" xr:uid="{00000000-0005-0000-0000-000045540000}"/>
    <cellStyle name="Normal 3 3 2 6 6" xfId="12678" xr:uid="{00000000-0005-0000-0000-000046540000}"/>
    <cellStyle name="Normal 3 3 2 6 6 2" xfId="30200" xr:uid="{00000000-0005-0000-0000-000047540000}"/>
    <cellStyle name="Normal 3 3 2 6 7" xfId="12679" xr:uid="{00000000-0005-0000-0000-000048540000}"/>
    <cellStyle name="Normal 3 3 2 6 7 2" xfId="30201" xr:uid="{00000000-0005-0000-0000-000049540000}"/>
    <cellStyle name="Normal 3 3 2 6 8" xfId="12680" xr:uid="{00000000-0005-0000-0000-00004A540000}"/>
    <cellStyle name="Normal 3 3 2 6 8 2" xfId="30202" xr:uid="{00000000-0005-0000-0000-00004B540000}"/>
    <cellStyle name="Normal 3 3 2 6 9" xfId="12681" xr:uid="{00000000-0005-0000-0000-00004C540000}"/>
    <cellStyle name="Normal 3 3 2 6 9 2" xfId="30203" xr:uid="{00000000-0005-0000-0000-00004D540000}"/>
    <cellStyle name="Normal 3 3 2 7" xfId="12682" xr:uid="{00000000-0005-0000-0000-00004E540000}"/>
    <cellStyle name="Normal 3 3 2 7 10" xfId="12683" xr:uid="{00000000-0005-0000-0000-00004F540000}"/>
    <cellStyle name="Normal 3 3 2 7 10 2" xfId="30205" xr:uid="{00000000-0005-0000-0000-000050540000}"/>
    <cellStyle name="Normal 3 3 2 7 11" xfId="12684" xr:uid="{00000000-0005-0000-0000-000051540000}"/>
    <cellStyle name="Normal 3 3 2 7 11 2" xfId="30206" xr:uid="{00000000-0005-0000-0000-000052540000}"/>
    <cellStyle name="Normal 3 3 2 7 12" xfId="12685" xr:uid="{00000000-0005-0000-0000-000053540000}"/>
    <cellStyle name="Normal 3 3 2 7 12 2" xfId="30207" xr:uid="{00000000-0005-0000-0000-000054540000}"/>
    <cellStyle name="Normal 3 3 2 7 13" xfId="12686" xr:uid="{00000000-0005-0000-0000-000055540000}"/>
    <cellStyle name="Normal 3 3 2 7 13 2" xfId="30208" xr:uid="{00000000-0005-0000-0000-000056540000}"/>
    <cellStyle name="Normal 3 3 2 7 14" xfId="12687" xr:uid="{00000000-0005-0000-0000-000057540000}"/>
    <cellStyle name="Normal 3 3 2 7 14 2" xfId="30209" xr:uid="{00000000-0005-0000-0000-000058540000}"/>
    <cellStyle name="Normal 3 3 2 7 15" xfId="12688" xr:uid="{00000000-0005-0000-0000-000059540000}"/>
    <cellStyle name="Normal 3 3 2 7 15 2" xfId="30210" xr:uid="{00000000-0005-0000-0000-00005A540000}"/>
    <cellStyle name="Normal 3 3 2 7 16" xfId="30204" xr:uid="{00000000-0005-0000-0000-00005B540000}"/>
    <cellStyle name="Normal 3 3 2 7 2" xfId="12689" xr:uid="{00000000-0005-0000-0000-00005C540000}"/>
    <cellStyle name="Normal 3 3 2 7 2 10" xfId="12690" xr:uid="{00000000-0005-0000-0000-00005D540000}"/>
    <cellStyle name="Normal 3 3 2 7 2 10 2" xfId="30212" xr:uid="{00000000-0005-0000-0000-00005E540000}"/>
    <cellStyle name="Normal 3 3 2 7 2 11" xfId="12691" xr:uid="{00000000-0005-0000-0000-00005F540000}"/>
    <cellStyle name="Normal 3 3 2 7 2 11 2" xfId="30213" xr:uid="{00000000-0005-0000-0000-000060540000}"/>
    <cellStyle name="Normal 3 3 2 7 2 12" xfId="12692" xr:uid="{00000000-0005-0000-0000-000061540000}"/>
    <cellStyle name="Normal 3 3 2 7 2 12 2" xfId="30214" xr:uid="{00000000-0005-0000-0000-000062540000}"/>
    <cellStyle name="Normal 3 3 2 7 2 13" xfId="12693" xr:uid="{00000000-0005-0000-0000-000063540000}"/>
    <cellStyle name="Normal 3 3 2 7 2 13 2" xfId="30215" xr:uid="{00000000-0005-0000-0000-000064540000}"/>
    <cellStyle name="Normal 3 3 2 7 2 14" xfId="12694" xr:uid="{00000000-0005-0000-0000-000065540000}"/>
    <cellStyle name="Normal 3 3 2 7 2 14 2" xfId="30216" xr:uid="{00000000-0005-0000-0000-000066540000}"/>
    <cellStyle name="Normal 3 3 2 7 2 15" xfId="30211" xr:uid="{00000000-0005-0000-0000-000067540000}"/>
    <cellStyle name="Normal 3 3 2 7 2 2" xfId="12695" xr:uid="{00000000-0005-0000-0000-000068540000}"/>
    <cellStyle name="Normal 3 3 2 7 2 2 2" xfId="30217" xr:uid="{00000000-0005-0000-0000-000069540000}"/>
    <cellStyle name="Normal 3 3 2 7 2 3" xfId="12696" xr:uid="{00000000-0005-0000-0000-00006A540000}"/>
    <cellStyle name="Normal 3 3 2 7 2 3 2" xfId="30218" xr:uid="{00000000-0005-0000-0000-00006B540000}"/>
    <cellStyle name="Normal 3 3 2 7 2 4" xfId="12697" xr:uid="{00000000-0005-0000-0000-00006C540000}"/>
    <cellStyle name="Normal 3 3 2 7 2 4 2" xfId="30219" xr:uid="{00000000-0005-0000-0000-00006D540000}"/>
    <cellStyle name="Normal 3 3 2 7 2 5" xfId="12698" xr:uid="{00000000-0005-0000-0000-00006E540000}"/>
    <cellStyle name="Normal 3 3 2 7 2 5 2" xfId="30220" xr:uid="{00000000-0005-0000-0000-00006F540000}"/>
    <cellStyle name="Normal 3 3 2 7 2 6" xfId="12699" xr:uid="{00000000-0005-0000-0000-000070540000}"/>
    <cellStyle name="Normal 3 3 2 7 2 6 2" xfId="30221" xr:uid="{00000000-0005-0000-0000-000071540000}"/>
    <cellStyle name="Normal 3 3 2 7 2 7" xfId="12700" xr:uid="{00000000-0005-0000-0000-000072540000}"/>
    <cellStyle name="Normal 3 3 2 7 2 7 2" xfId="30222" xr:uid="{00000000-0005-0000-0000-000073540000}"/>
    <cellStyle name="Normal 3 3 2 7 2 8" xfId="12701" xr:uid="{00000000-0005-0000-0000-000074540000}"/>
    <cellStyle name="Normal 3 3 2 7 2 8 2" xfId="30223" xr:uid="{00000000-0005-0000-0000-000075540000}"/>
    <cellStyle name="Normal 3 3 2 7 2 9" xfId="12702" xr:uid="{00000000-0005-0000-0000-000076540000}"/>
    <cellStyle name="Normal 3 3 2 7 2 9 2" xfId="30224" xr:uid="{00000000-0005-0000-0000-000077540000}"/>
    <cellStyle name="Normal 3 3 2 7 3" xfId="12703" xr:uid="{00000000-0005-0000-0000-000078540000}"/>
    <cellStyle name="Normal 3 3 2 7 3 2" xfId="30225" xr:uid="{00000000-0005-0000-0000-000079540000}"/>
    <cellStyle name="Normal 3 3 2 7 4" xfId="12704" xr:uid="{00000000-0005-0000-0000-00007A540000}"/>
    <cellStyle name="Normal 3 3 2 7 4 2" xfId="30226" xr:uid="{00000000-0005-0000-0000-00007B540000}"/>
    <cellStyle name="Normal 3 3 2 7 5" xfId="12705" xr:uid="{00000000-0005-0000-0000-00007C540000}"/>
    <cellStyle name="Normal 3 3 2 7 5 2" xfId="30227" xr:uid="{00000000-0005-0000-0000-00007D540000}"/>
    <cellStyle name="Normal 3 3 2 7 6" xfId="12706" xr:uid="{00000000-0005-0000-0000-00007E540000}"/>
    <cellStyle name="Normal 3 3 2 7 6 2" xfId="30228" xr:uid="{00000000-0005-0000-0000-00007F540000}"/>
    <cellStyle name="Normal 3 3 2 7 7" xfId="12707" xr:uid="{00000000-0005-0000-0000-000080540000}"/>
    <cellStyle name="Normal 3 3 2 7 7 2" xfId="30229" xr:uid="{00000000-0005-0000-0000-000081540000}"/>
    <cellStyle name="Normal 3 3 2 7 8" xfId="12708" xr:uid="{00000000-0005-0000-0000-000082540000}"/>
    <cellStyle name="Normal 3 3 2 7 8 2" xfId="30230" xr:uid="{00000000-0005-0000-0000-000083540000}"/>
    <cellStyle name="Normal 3 3 2 7 9" xfId="12709" xr:uid="{00000000-0005-0000-0000-000084540000}"/>
    <cellStyle name="Normal 3 3 2 7 9 2" xfId="30231" xr:uid="{00000000-0005-0000-0000-000085540000}"/>
    <cellStyle name="Normal 3 3 2 8" xfId="12710" xr:uid="{00000000-0005-0000-0000-000086540000}"/>
    <cellStyle name="Normal 3 3 2 8 10" xfId="12711" xr:uid="{00000000-0005-0000-0000-000087540000}"/>
    <cellStyle name="Normal 3 3 2 8 10 2" xfId="30233" xr:uid="{00000000-0005-0000-0000-000088540000}"/>
    <cellStyle name="Normal 3 3 2 8 11" xfId="12712" xr:uid="{00000000-0005-0000-0000-000089540000}"/>
    <cellStyle name="Normal 3 3 2 8 11 2" xfId="30234" xr:uid="{00000000-0005-0000-0000-00008A540000}"/>
    <cellStyle name="Normal 3 3 2 8 12" xfId="12713" xr:uid="{00000000-0005-0000-0000-00008B540000}"/>
    <cellStyle name="Normal 3 3 2 8 12 2" xfId="30235" xr:uid="{00000000-0005-0000-0000-00008C540000}"/>
    <cellStyle name="Normal 3 3 2 8 13" xfId="12714" xr:uid="{00000000-0005-0000-0000-00008D540000}"/>
    <cellStyle name="Normal 3 3 2 8 13 2" xfId="30236" xr:uid="{00000000-0005-0000-0000-00008E540000}"/>
    <cellStyle name="Normal 3 3 2 8 14" xfId="12715" xr:uid="{00000000-0005-0000-0000-00008F540000}"/>
    <cellStyle name="Normal 3 3 2 8 14 2" xfId="30237" xr:uid="{00000000-0005-0000-0000-000090540000}"/>
    <cellStyle name="Normal 3 3 2 8 15" xfId="12716" xr:uid="{00000000-0005-0000-0000-000091540000}"/>
    <cellStyle name="Normal 3 3 2 8 15 2" xfId="30238" xr:uid="{00000000-0005-0000-0000-000092540000}"/>
    <cellStyle name="Normal 3 3 2 8 16" xfId="30232" xr:uid="{00000000-0005-0000-0000-000093540000}"/>
    <cellStyle name="Normal 3 3 2 8 2" xfId="12717" xr:uid="{00000000-0005-0000-0000-000094540000}"/>
    <cellStyle name="Normal 3 3 2 8 2 10" xfId="12718" xr:uid="{00000000-0005-0000-0000-000095540000}"/>
    <cellStyle name="Normal 3 3 2 8 2 10 2" xfId="30240" xr:uid="{00000000-0005-0000-0000-000096540000}"/>
    <cellStyle name="Normal 3 3 2 8 2 11" xfId="12719" xr:uid="{00000000-0005-0000-0000-000097540000}"/>
    <cellStyle name="Normal 3 3 2 8 2 11 2" xfId="30241" xr:uid="{00000000-0005-0000-0000-000098540000}"/>
    <cellStyle name="Normal 3 3 2 8 2 12" xfId="12720" xr:uid="{00000000-0005-0000-0000-000099540000}"/>
    <cellStyle name="Normal 3 3 2 8 2 12 2" xfId="30242" xr:uid="{00000000-0005-0000-0000-00009A540000}"/>
    <cellStyle name="Normal 3 3 2 8 2 13" xfId="12721" xr:uid="{00000000-0005-0000-0000-00009B540000}"/>
    <cellStyle name="Normal 3 3 2 8 2 13 2" xfId="30243" xr:uid="{00000000-0005-0000-0000-00009C540000}"/>
    <cellStyle name="Normal 3 3 2 8 2 14" xfId="12722" xr:uid="{00000000-0005-0000-0000-00009D540000}"/>
    <cellStyle name="Normal 3 3 2 8 2 14 2" xfId="30244" xr:uid="{00000000-0005-0000-0000-00009E540000}"/>
    <cellStyle name="Normal 3 3 2 8 2 15" xfId="30239" xr:uid="{00000000-0005-0000-0000-00009F540000}"/>
    <cellStyle name="Normal 3 3 2 8 2 2" xfId="12723" xr:uid="{00000000-0005-0000-0000-0000A0540000}"/>
    <cellStyle name="Normal 3 3 2 8 2 2 2" xfId="30245" xr:uid="{00000000-0005-0000-0000-0000A1540000}"/>
    <cellStyle name="Normal 3 3 2 8 2 3" xfId="12724" xr:uid="{00000000-0005-0000-0000-0000A2540000}"/>
    <cellStyle name="Normal 3 3 2 8 2 3 2" xfId="30246" xr:uid="{00000000-0005-0000-0000-0000A3540000}"/>
    <cellStyle name="Normal 3 3 2 8 2 4" xfId="12725" xr:uid="{00000000-0005-0000-0000-0000A4540000}"/>
    <cellStyle name="Normal 3 3 2 8 2 4 2" xfId="30247" xr:uid="{00000000-0005-0000-0000-0000A5540000}"/>
    <cellStyle name="Normal 3 3 2 8 2 5" xfId="12726" xr:uid="{00000000-0005-0000-0000-0000A6540000}"/>
    <cellStyle name="Normal 3 3 2 8 2 5 2" xfId="30248" xr:uid="{00000000-0005-0000-0000-0000A7540000}"/>
    <cellStyle name="Normal 3 3 2 8 2 6" xfId="12727" xr:uid="{00000000-0005-0000-0000-0000A8540000}"/>
    <cellStyle name="Normal 3 3 2 8 2 6 2" xfId="30249" xr:uid="{00000000-0005-0000-0000-0000A9540000}"/>
    <cellStyle name="Normal 3 3 2 8 2 7" xfId="12728" xr:uid="{00000000-0005-0000-0000-0000AA540000}"/>
    <cellStyle name="Normal 3 3 2 8 2 7 2" xfId="30250" xr:uid="{00000000-0005-0000-0000-0000AB540000}"/>
    <cellStyle name="Normal 3 3 2 8 2 8" xfId="12729" xr:uid="{00000000-0005-0000-0000-0000AC540000}"/>
    <cellStyle name="Normal 3 3 2 8 2 8 2" xfId="30251" xr:uid="{00000000-0005-0000-0000-0000AD540000}"/>
    <cellStyle name="Normal 3 3 2 8 2 9" xfId="12730" xr:uid="{00000000-0005-0000-0000-0000AE540000}"/>
    <cellStyle name="Normal 3 3 2 8 2 9 2" xfId="30252" xr:uid="{00000000-0005-0000-0000-0000AF540000}"/>
    <cellStyle name="Normal 3 3 2 8 3" xfId="12731" xr:uid="{00000000-0005-0000-0000-0000B0540000}"/>
    <cellStyle name="Normal 3 3 2 8 3 2" xfId="30253" xr:uid="{00000000-0005-0000-0000-0000B1540000}"/>
    <cellStyle name="Normal 3 3 2 8 4" xfId="12732" xr:uid="{00000000-0005-0000-0000-0000B2540000}"/>
    <cellStyle name="Normal 3 3 2 8 4 2" xfId="30254" xr:uid="{00000000-0005-0000-0000-0000B3540000}"/>
    <cellStyle name="Normal 3 3 2 8 5" xfId="12733" xr:uid="{00000000-0005-0000-0000-0000B4540000}"/>
    <cellStyle name="Normal 3 3 2 8 5 2" xfId="30255" xr:uid="{00000000-0005-0000-0000-0000B5540000}"/>
    <cellStyle name="Normal 3 3 2 8 6" xfId="12734" xr:uid="{00000000-0005-0000-0000-0000B6540000}"/>
    <cellStyle name="Normal 3 3 2 8 6 2" xfId="30256" xr:uid="{00000000-0005-0000-0000-0000B7540000}"/>
    <cellStyle name="Normal 3 3 2 8 7" xfId="12735" xr:uid="{00000000-0005-0000-0000-0000B8540000}"/>
    <cellStyle name="Normal 3 3 2 8 7 2" xfId="30257" xr:uid="{00000000-0005-0000-0000-0000B9540000}"/>
    <cellStyle name="Normal 3 3 2 8 8" xfId="12736" xr:uid="{00000000-0005-0000-0000-0000BA540000}"/>
    <cellStyle name="Normal 3 3 2 8 8 2" xfId="30258" xr:uid="{00000000-0005-0000-0000-0000BB540000}"/>
    <cellStyle name="Normal 3 3 2 8 9" xfId="12737" xr:uid="{00000000-0005-0000-0000-0000BC540000}"/>
    <cellStyle name="Normal 3 3 2 8 9 2" xfId="30259" xr:uid="{00000000-0005-0000-0000-0000BD540000}"/>
    <cellStyle name="Normal 3 3 2 9" xfId="12738" xr:uid="{00000000-0005-0000-0000-0000BE540000}"/>
    <cellStyle name="Normal 3 3 2 9 10" xfId="12739" xr:uid="{00000000-0005-0000-0000-0000BF540000}"/>
    <cellStyle name="Normal 3 3 2 9 10 2" xfId="30261" xr:uid="{00000000-0005-0000-0000-0000C0540000}"/>
    <cellStyle name="Normal 3 3 2 9 11" xfId="12740" xr:uid="{00000000-0005-0000-0000-0000C1540000}"/>
    <cellStyle name="Normal 3 3 2 9 11 2" xfId="30262" xr:uid="{00000000-0005-0000-0000-0000C2540000}"/>
    <cellStyle name="Normal 3 3 2 9 12" xfId="12741" xr:uid="{00000000-0005-0000-0000-0000C3540000}"/>
    <cellStyle name="Normal 3 3 2 9 12 2" xfId="30263" xr:uid="{00000000-0005-0000-0000-0000C4540000}"/>
    <cellStyle name="Normal 3 3 2 9 13" xfId="12742" xr:uid="{00000000-0005-0000-0000-0000C5540000}"/>
    <cellStyle name="Normal 3 3 2 9 13 2" xfId="30264" xr:uid="{00000000-0005-0000-0000-0000C6540000}"/>
    <cellStyle name="Normal 3 3 2 9 14" xfId="12743" xr:uid="{00000000-0005-0000-0000-0000C7540000}"/>
    <cellStyle name="Normal 3 3 2 9 14 2" xfId="30265" xr:uid="{00000000-0005-0000-0000-0000C8540000}"/>
    <cellStyle name="Normal 3 3 2 9 15" xfId="30260" xr:uid="{00000000-0005-0000-0000-0000C9540000}"/>
    <cellStyle name="Normal 3 3 2 9 2" xfId="12744" xr:uid="{00000000-0005-0000-0000-0000CA540000}"/>
    <cellStyle name="Normal 3 3 2 9 2 2" xfId="30266" xr:uid="{00000000-0005-0000-0000-0000CB540000}"/>
    <cellStyle name="Normal 3 3 2 9 3" xfId="12745" xr:uid="{00000000-0005-0000-0000-0000CC540000}"/>
    <cellStyle name="Normal 3 3 2 9 3 2" xfId="30267" xr:uid="{00000000-0005-0000-0000-0000CD540000}"/>
    <cellStyle name="Normal 3 3 2 9 4" xfId="12746" xr:uid="{00000000-0005-0000-0000-0000CE540000}"/>
    <cellStyle name="Normal 3 3 2 9 4 2" xfId="30268" xr:uid="{00000000-0005-0000-0000-0000CF540000}"/>
    <cellStyle name="Normal 3 3 2 9 5" xfId="12747" xr:uid="{00000000-0005-0000-0000-0000D0540000}"/>
    <cellStyle name="Normal 3 3 2 9 5 2" xfId="30269" xr:uid="{00000000-0005-0000-0000-0000D1540000}"/>
    <cellStyle name="Normal 3 3 2 9 6" xfId="12748" xr:uid="{00000000-0005-0000-0000-0000D2540000}"/>
    <cellStyle name="Normal 3 3 2 9 6 2" xfId="30270" xr:uid="{00000000-0005-0000-0000-0000D3540000}"/>
    <cellStyle name="Normal 3 3 2 9 7" xfId="12749" xr:uid="{00000000-0005-0000-0000-0000D4540000}"/>
    <cellStyle name="Normal 3 3 2 9 7 2" xfId="30271" xr:uid="{00000000-0005-0000-0000-0000D5540000}"/>
    <cellStyle name="Normal 3 3 2 9 8" xfId="12750" xr:uid="{00000000-0005-0000-0000-0000D6540000}"/>
    <cellStyle name="Normal 3 3 2 9 8 2" xfId="30272" xr:uid="{00000000-0005-0000-0000-0000D7540000}"/>
    <cellStyle name="Normal 3 3 2 9 9" xfId="12751" xr:uid="{00000000-0005-0000-0000-0000D8540000}"/>
    <cellStyle name="Normal 3 3 2 9 9 2" xfId="30273" xr:uid="{00000000-0005-0000-0000-0000D9540000}"/>
    <cellStyle name="Normal 3 3 20" xfId="12752" xr:uid="{00000000-0005-0000-0000-0000DA540000}"/>
    <cellStyle name="Normal 3 3 20 10" xfId="12753" xr:uid="{00000000-0005-0000-0000-0000DB540000}"/>
    <cellStyle name="Normal 3 3 20 10 2" xfId="30275" xr:uid="{00000000-0005-0000-0000-0000DC540000}"/>
    <cellStyle name="Normal 3 3 20 11" xfId="12754" xr:uid="{00000000-0005-0000-0000-0000DD540000}"/>
    <cellStyle name="Normal 3 3 20 11 2" xfId="30276" xr:uid="{00000000-0005-0000-0000-0000DE540000}"/>
    <cellStyle name="Normal 3 3 20 12" xfId="12755" xr:uid="{00000000-0005-0000-0000-0000DF540000}"/>
    <cellStyle name="Normal 3 3 20 12 2" xfId="30277" xr:uid="{00000000-0005-0000-0000-0000E0540000}"/>
    <cellStyle name="Normal 3 3 20 13" xfId="12756" xr:uid="{00000000-0005-0000-0000-0000E1540000}"/>
    <cellStyle name="Normal 3 3 20 13 2" xfId="30278" xr:uid="{00000000-0005-0000-0000-0000E2540000}"/>
    <cellStyle name="Normal 3 3 20 14" xfId="12757" xr:uid="{00000000-0005-0000-0000-0000E3540000}"/>
    <cellStyle name="Normal 3 3 20 14 2" xfId="30279" xr:uid="{00000000-0005-0000-0000-0000E4540000}"/>
    <cellStyle name="Normal 3 3 20 15" xfId="12758" xr:uid="{00000000-0005-0000-0000-0000E5540000}"/>
    <cellStyle name="Normal 3 3 20 15 2" xfId="30280" xr:uid="{00000000-0005-0000-0000-0000E6540000}"/>
    <cellStyle name="Normal 3 3 20 16" xfId="30274" xr:uid="{00000000-0005-0000-0000-0000E7540000}"/>
    <cellStyle name="Normal 3 3 20 2" xfId="12759" xr:uid="{00000000-0005-0000-0000-0000E8540000}"/>
    <cellStyle name="Normal 3 3 20 2 10" xfId="12760" xr:uid="{00000000-0005-0000-0000-0000E9540000}"/>
    <cellStyle name="Normal 3 3 20 2 10 2" xfId="30282" xr:uid="{00000000-0005-0000-0000-0000EA540000}"/>
    <cellStyle name="Normal 3 3 20 2 11" xfId="12761" xr:uid="{00000000-0005-0000-0000-0000EB540000}"/>
    <cellStyle name="Normal 3 3 20 2 11 2" xfId="30283" xr:uid="{00000000-0005-0000-0000-0000EC540000}"/>
    <cellStyle name="Normal 3 3 20 2 12" xfId="12762" xr:uid="{00000000-0005-0000-0000-0000ED540000}"/>
    <cellStyle name="Normal 3 3 20 2 12 2" xfId="30284" xr:uid="{00000000-0005-0000-0000-0000EE540000}"/>
    <cellStyle name="Normal 3 3 20 2 13" xfId="12763" xr:uid="{00000000-0005-0000-0000-0000EF540000}"/>
    <cellStyle name="Normal 3 3 20 2 13 2" xfId="30285" xr:uid="{00000000-0005-0000-0000-0000F0540000}"/>
    <cellStyle name="Normal 3 3 20 2 14" xfId="12764" xr:uid="{00000000-0005-0000-0000-0000F1540000}"/>
    <cellStyle name="Normal 3 3 20 2 14 2" xfId="30286" xr:uid="{00000000-0005-0000-0000-0000F2540000}"/>
    <cellStyle name="Normal 3 3 20 2 15" xfId="30281" xr:uid="{00000000-0005-0000-0000-0000F3540000}"/>
    <cellStyle name="Normal 3 3 20 2 2" xfId="12765" xr:uid="{00000000-0005-0000-0000-0000F4540000}"/>
    <cellStyle name="Normal 3 3 20 2 2 2" xfId="30287" xr:uid="{00000000-0005-0000-0000-0000F5540000}"/>
    <cellStyle name="Normal 3 3 20 2 3" xfId="12766" xr:uid="{00000000-0005-0000-0000-0000F6540000}"/>
    <cellStyle name="Normal 3 3 20 2 3 2" xfId="30288" xr:uid="{00000000-0005-0000-0000-0000F7540000}"/>
    <cellStyle name="Normal 3 3 20 2 4" xfId="12767" xr:uid="{00000000-0005-0000-0000-0000F8540000}"/>
    <cellStyle name="Normal 3 3 20 2 4 2" xfId="30289" xr:uid="{00000000-0005-0000-0000-0000F9540000}"/>
    <cellStyle name="Normal 3 3 20 2 5" xfId="12768" xr:uid="{00000000-0005-0000-0000-0000FA540000}"/>
    <cellStyle name="Normal 3 3 20 2 5 2" xfId="30290" xr:uid="{00000000-0005-0000-0000-0000FB540000}"/>
    <cellStyle name="Normal 3 3 20 2 6" xfId="12769" xr:uid="{00000000-0005-0000-0000-0000FC540000}"/>
    <cellStyle name="Normal 3 3 20 2 6 2" xfId="30291" xr:uid="{00000000-0005-0000-0000-0000FD540000}"/>
    <cellStyle name="Normal 3 3 20 2 7" xfId="12770" xr:uid="{00000000-0005-0000-0000-0000FE540000}"/>
    <cellStyle name="Normal 3 3 20 2 7 2" xfId="30292" xr:uid="{00000000-0005-0000-0000-0000FF540000}"/>
    <cellStyle name="Normal 3 3 20 2 8" xfId="12771" xr:uid="{00000000-0005-0000-0000-000000550000}"/>
    <cellStyle name="Normal 3 3 20 2 8 2" xfId="30293" xr:uid="{00000000-0005-0000-0000-000001550000}"/>
    <cellStyle name="Normal 3 3 20 2 9" xfId="12772" xr:uid="{00000000-0005-0000-0000-000002550000}"/>
    <cellStyle name="Normal 3 3 20 2 9 2" xfId="30294" xr:uid="{00000000-0005-0000-0000-000003550000}"/>
    <cellStyle name="Normal 3 3 20 3" xfId="12773" xr:uid="{00000000-0005-0000-0000-000004550000}"/>
    <cellStyle name="Normal 3 3 20 3 2" xfId="30295" xr:uid="{00000000-0005-0000-0000-000005550000}"/>
    <cellStyle name="Normal 3 3 20 4" xfId="12774" xr:uid="{00000000-0005-0000-0000-000006550000}"/>
    <cellStyle name="Normal 3 3 20 4 2" xfId="30296" xr:uid="{00000000-0005-0000-0000-000007550000}"/>
    <cellStyle name="Normal 3 3 20 5" xfId="12775" xr:uid="{00000000-0005-0000-0000-000008550000}"/>
    <cellStyle name="Normal 3 3 20 5 2" xfId="30297" xr:uid="{00000000-0005-0000-0000-000009550000}"/>
    <cellStyle name="Normal 3 3 20 6" xfId="12776" xr:uid="{00000000-0005-0000-0000-00000A550000}"/>
    <cellStyle name="Normal 3 3 20 6 2" xfId="30298" xr:uid="{00000000-0005-0000-0000-00000B550000}"/>
    <cellStyle name="Normal 3 3 20 7" xfId="12777" xr:uid="{00000000-0005-0000-0000-00000C550000}"/>
    <cellStyle name="Normal 3 3 20 7 2" xfId="30299" xr:uid="{00000000-0005-0000-0000-00000D550000}"/>
    <cellStyle name="Normal 3 3 20 8" xfId="12778" xr:uid="{00000000-0005-0000-0000-00000E550000}"/>
    <cellStyle name="Normal 3 3 20 8 2" xfId="30300" xr:uid="{00000000-0005-0000-0000-00000F550000}"/>
    <cellStyle name="Normal 3 3 20 9" xfId="12779" xr:uid="{00000000-0005-0000-0000-000010550000}"/>
    <cellStyle name="Normal 3 3 20 9 2" xfId="30301" xr:uid="{00000000-0005-0000-0000-000011550000}"/>
    <cellStyle name="Normal 3 3 21" xfId="12780" xr:uid="{00000000-0005-0000-0000-000012550000}"/>
    <cellStyle name="Normal 3 3 21 10" xfId="12781" xr:uid="{00000000-0005-0000-0000-000013550000}"/>
    <cellStyle name="Normal 3 3 21 10 2" xfId="30303" xr:uid="{00000000-0005-0000-0000-000014550000}"/>
    <cellStyle name="Normal 3 3 21 11" xfId="12782" xr:uid="{00000000-0005-0000-0000-000015550000}"/>
    <cellStyle name="Normal 3 3 21 11 2" xfId="30304" xr:uid="{00000000-0005-0000-0000-000016550000}"/>
    <cellStyle name="Normal 3 3 21 12" xfId="12783" xr:uid="{00000000-0005-0000-0000-000017550000}"/>
    <cellStyle name="Normal 3 3 21 12 2" xfId="30305" xr:uid="{00000000-0005-0000-0000-000018550000}"/>
    <cellStyle name="Normal 3 3 21 13" xfId="12784" xr:uid="{00000000-0005-0000-0000-000019550000}"/>
    <cellStyle name="Normal 3 3 21 13 2" xfId="30306" xr:uid="{00000000-0005-0000-0000-00001A550000}"/>
    <cellStyle name="Normal 3 3 21 14" xfId="12785" xr:uid="{00000000-0005-0000-0000-00001B550000}"/>
    <cellStyle name="Normal 3 3 21 14 2" xfId="30307" xr:uid="{00000000-0005-0000-0000-00001C550000}"/>
    <cellStyle name="Normal 3 3 21 15" xfId="12786" xr:uid="{00000000-0005-0000-0000-00001D550000}"/>
    <cellStyle name="Normal 3 3 21 15 2" xfId="30308" xr:uid="{00000000-0005-0000-0000-00001E550000}"/>
    <cellStyle name="Normal 3 3 21 16" xfId="30302" xr:uid="{00000000-0005-0000-0000-00001F550000}"/>
    <cellStyle name="Normal 3 3 21 2" xfId="12787" xr:uid="{00000000-0005-0000-0000-000020550000}"/>
    <cellStyle name="Normal 3 3 21 2 10" xfId="12788" xr:uid="{00000000-0005-0000-0000-000021550000}"/>
    <cellStyle name="Normal 3 3 21 2 10 2" xfId="30310" xr:uid="{00000000-0005-0000-0000-000022550000}"/>
    <cellStyle name="Normal 3 3 21 2 11" xfId="12789" xr:uid="{00000000-0005-0000-0000-000023550000}"/>
    <cellStyle name="Normal 3 3 21 2 11 2" xfId="30311" xr:uid="{00000000-0005-0000-0000-000024550000}"/>
    <cellStyle name="Normal 3 3 21 2 12" xfId="12790" xr:uid="{00000000-0005-0000-0000-000025550000}"/>
    <cellStyle name="Normal 3 3 21 2 12 2" xfId="30312" xr:uid="{00000000-0005-0000-0000-000026550000}"/>
    <cellStyle name="Normal 3 3 21 2 13" xfId="12791" xr:uid="{00000000-0005-0000-0000-000027550000}"/>
    <cellStyle name="Normal 3 3 21 2 13 2" xfId="30313" xr:uid="{00000000-0005-0000-0000-000028550000}"/>
    <cellStyle name="Normal 3 3 21 2 14" xfId="12792" xr:uid="{00000000-0005-0000-0000-000029550000}"/>
    <cellStyle name="Normal 3 3 21 2 14 2" xfId="30314" xr:uid="{00000000-0005-0000-0000-00002A550000}"/>
    <cellStyle name="Normal 3 3 21 2 15" xfId="30309" xr:uid="{00000000-0005-0000-0000-00002B550000}"/>
    <cellStyle name="Normal 3 3 21 2 2" xfId="12793" xr:uid="{00000000-0005-0000-0000-00002C550000}"/>
    <cellStyle name="Normal 3 3 21 2 2 2" xfId="30315" xr:uid="{00000000-0005-0000-0000-00002D550000}"/>
    <cellStyle name="Normal 3 3 21 2 3" xfId="12794" xr:uid="{00000000-0005-0000-0000-00002E550000}"/>
    <cellStyle name="Normal 3 3 21 2 3 2" xfId="30316" xr:uid="{00000000-0005-0000-0000-00002F550000}"/>
    <cellStyle name="Normal 3 3 21 2 4" xfId="12795" xr:uid="{00000000-0005-0000-0000-000030550000}"/>
    <cellStyle name="Normal 3 3 21 2 4 2" xfId="30317" xr:uid="{00000000-0005-0000-0000-000031550000}"/>
    <cellStyle name="Normal 3 3 21 2 5" xfId="12796" xr:uid="{00000000-0005-0000-0000-000032550000}"/>
    <cellStyle name="Normal 3 3 21 2 5 2" xfId="30318" xr:uid="{00000000-0005-0000-0000-000033550000}"/>
    <cellStyle name="Normal 3 3 21 2 6" xfId="12797" xr:uid="{00000000-0005-0000-0000-000034550000}"/>
    <cellStyle name="Normal 3 3 21 2 6 2" xfId="30319" xr:uid="{00000000-0005-0000-0000-000035550000}"/>
    <cellStyle name="Normal 3 3 21 2 7" xfId="12798" xr:uid="{00000000-0005-0000-0000-000036550000}"/>
    <cellStyle name="Normal 3 3 21 2 7 2" xfId="30320" xr:uid="{00000000-0005-0000-0000-000037550000}"/>
    <cellStyle name="Normal 3 3 21 2 8" xfId="12799" xr:uid="{00000000-0005-0000-0000-000038550000}"/>
    <cellStyle name="Normal 3 3 21 2 8 2" xfId="30321" xr:uid="{00000000-0005-0000-0000-000039550000}"/>
    <cellStyle name="Normal 3 3 21 2 9" xfId="12800" xr:uid="{00000000-0005-0000-0000-00003A550000}"/>
    <cellStyle name="Normal 3 3 21 2 9 2" xfId="30322" xr:uid="{00000000-0005-0000-0000-00003B550000}"/>
    <cellStyle name="Normal 3 3 21 3" xfId="12801" xr:uid="{00000000-0005-0000-0000-00003C550000}"/>
    <cellStyle name="Normal 3 3 21 3 2" xfId="30323" xr:uid="{00000000-0005-0000-0000-00003D550000}"/>
    <cellStyle name="Normal 3 3 21 4" xfId="12802" xr:uid="{00000000-0005-0000-0000-00003E550000}"/>
    <cellStyle name="Normal 3 3 21 4 2" xfId="30324" xr:uid="{00000000-0005-0000-0000-00003F550000}"/>
    <cellStyle name="Normal 3 3 21 5" xfId="12803" xr:uid="{00000000-0005-0000-0000-000040550000}"/>
    <cellStyle name="Normal 3 3 21 5 2" xfId="30325" xr:uid="{00000000-0005-0000-0000-000041550000}"/>
    <cellStyle name="Normal 3 3 21 6" xfId="12804" xr:uid="{00000000-0005-0000-0000-000042550000}"/>
    <cellStyle name="Normal 3 3 21 6 2" xfId="30326" xr:uid="{00000000-0005-0000-0000-000043550000}"/>
    <cellStyle name="Normal 3 3 21 7" xfId="12805" xr:uid="{00000000-0005-0000-0000-000044550000}"/>
    <cellStyle name="Normal 3 3 21 7 2" xfId="30327" xr:uid="{00000000-0005-0000-0000-000045550000}"/>
    <cellStyle name="Normal 3 3 21 8" xfId="12806" xr:uid="{00000000-0005-0000-0000-000046550000}"/>
    <cellStyle name="Normal 3 3 21 8 2" xfId="30328" xr:uid="{00000000-0005-0000-0000-000047550000}"/>
    <cellStyle name="Normal 3 3 21 9" xfId="12807" xr:uid="{00000000-0005-0000-0000-000048550000}"/>
    <cellStyle name="Normal 3 3 21 9 2" xfId="30329" xr:uid="{00000000-0005-0000-0000-000049550000}"/>
    <cellStyle name="Normal 3 3 22" xfId="12808" xr:uid="{00000000-0005-0000-0000-00004A550000}"/>
    <cellStyle name="Normal 3 3 22 10" xfId="12809" xr:uid="{00000000-0005-0000-0000-00004B550000}"/>
    <cellStyle name="Normal 3 3 22 10 2" xfId="30331" xr:uid="{00000000-0005-0000-0000-00004C550000}"/>
    <cellStyle name="Normal 3 3 22 11" xfId="12810" xr:uid="{00000000-0005-0000-0000-00004D550000}"/>
    <cellStyle name="Normal 3 3 22 11 2" xfId="30332" xr:uid="{00000000-0005-0000-0000-00004E550000}"/>
    <cellStyle name="Normal 3 3 22 12" xfId="12811" xr:uid="{00000000-0005-0000-0000-00004F550000}"/>
    <cellStyle name="Normal 3 3 22 12 2" xfId="30333" xr:uid="{00000000-0005-0000-0000-000050550000}"/>
    <cellStyle name="Normal 3 3 22 13" xfId="12812" xr:uid="{00000000-0005-0000-0000-000051550000}"/>
    <cellStyle name="Normal 3 3 22 13 2" xfId="30334" xr:uid="{00000000-0005-0000-0000-000052550000}"/>
    <cellStyle name="Normal 3 3 22 14" xfId="12813" xr:uid="{00000000-0005-0000-0000-000053550000}"/>
    <cellStyle name="Normal 3 3 22 14 2" xfId="30335" xr:uid="{00000000-0005-0000-0000-000054550000}"/>
    <cellStyle name="Normal 3 3 22 15" xfId="30330" xr:uid="{00000000-0005-0000-0000-000055550000}"/>
    <cellStyle name="Normal 3 3 22 2" xfId="12814" xr:uid="{00000000-0005-0000-0000-000056550000}"/>
    <cellStyle name="Normal 3 3 22 2 2" xfId="30336" xr:uid="{00000000-0005-0000-0000-000057550000}"/>
    <cellStyle name="Normal 3 3 22 3" xfId="12815" xr:uid="{00000000-0005-0000-0000-000058550000}"/>
    <cellStyle name="Normal 3 3 22 3 2" xfId="30337" xr:uid="{00000000-0005-0000-0000-000059550000}"/>
    <cellStyle name="Normal 3 3 22 4" xfId="12816" xr:uid="{00000000-0005-0000-0000-00005A550000}"/>
    <cellStyle name="Normal 3 3 22 4 2" xfId="30338" xr:uid="{00000000-0005-0000-0000-00005B550000}"/>
    <cellStyle name="Normal 3 3 22 5" xfId="12817" xr:uid="{00000000-0005-0000-0000-00005C550000}"/>
    <cellStyle name="Normal 3 3 22 5 2" xfId="30339" xr:uid="{00000000-0005-0000-0000-00005D550000}"/>
    <cellStyle name="Normal 3 3 22 6" xfId="12818" xr:uid="{00000000-0005-0000-0000-00005E550000}"/>
    <cellStyle name="Normal 3 3 22 6 2" xfId="30340" xr:uid="{00000000-0005-0000-0000-00005F550000}"/>
    <cellStyle name="Normal 3 3 22 7" xfId="12819" xr:uid="{00000000-0005-0000-0000-000060550000}"/>
    <cellStyle name="Normal 3 3 22 7 2" xfId="30341" xr:uid="{00000000-0005-0000-0000-000061550000}"/>
    <cellStyle name="Normal 3 3 22 8" xfId="12820" xr:uid="{00000000-0005-0000-0000-000062550000}"/>
    <cellStyle name="Normal 3 3 22 8 2" xfId="30342" xr:uid="{00000000-0005-0000-0000-000063550000}"/>
    <cellStyle name="Normal 3 3 22 9" xfId="12821" xr:uid="{00000000-0005-0000-0000-000064550000}"/>
    <cellStyle name="Normal 3 3 22 9 2" xfId="30343" xr:uid="{00000000-0005-0000-0000-000065550000}"/>
    <cellStyle name="Normal 3 3 23" xfId="12822" xr:uid="{00000000-0005-0000-0000-000066550000}"/>
    <cellStyle name="Normal 3 3 23 10" xfId="12823" xr:uid="{00000000-0005-0000-0000-000067550000}"/>
    <cellStyle name="Normal 3 3 23 10 2" xfId="30345" xr:uid="{00000000-0005-0000-0000-000068550000}"/>
    <cellStyle name="Normal 3 3 23 11" xfId="12824" xr:uid="{00000000-0005-0000-0000-000069550000}"/>
    <cellStyle name="Normal 3 3 23 11 2" xfId="30346" xr:uid="{00000000-0005-0000-0000-00006A550000}"/>
    <cellStyle name="Normal 3 3 23 12" xfId="12825" xr:uid="{00000000-0005-0000-0000-00006B550000}"/>
    <cellStyle name="Normal 3 3 23 12 2" xfId="30347" xr:uid="{00000000-0005-0000-0000-00006C550000}"/>
    <cellStyle name="Normal 3 3 23 13" xfId="12826" xr:uid="{00000000-0005-0000-0000-00006D550000}"/>
    <cellStyle name="Normal 3 3 23 13 2" xfId="30348" xr:uid="{00000000-0005-0000-0000-00006E550000}"/>
    <cellStyle name="Normal 3 3 23 14" xfId="12827" xr:uid="{00000000-0005-0000-0000-00006F550000}"/>
    <cellStyle name="Normal 3 3 23 14 2" xfId="30349" xr:uid="{00000000-0005-0000-0000-000070550000}"/>
    <cellStyle name="Normal 3 3 23 15" xfId="30344" xr:uid="{00000000-0005-0000-0000-000071550000}"/>
    <cellStyle name="Normal 3 3 23 2" xfId="12828" xr:uid="{00000000-0005-0000-0000-000072550000}"/>
    <cellStyle name="Normal 3 3 23 2 2" xfId="30350" xr:uid="{00000000-0005-0000-0000-000073550000}"/>
    <cellStyle name="Normal 3 3 23 3" xfId="12829" xr:uid="{00000000-0005-0000-0000-000074550000}"/>
    <cellStyle name="Normal 3 3 23 3 2" xfId="30351" xr:uid="{00000000-0005-0000-0000-000075550000}"/>
    <cellStyle name="Normal 3 3 23 4" xfId="12830" xr:uid="{00000000-0005-0000-0000-000076550000}"/>
    <cellStyle name="Normal 3 3 23 4 2" xfId="30352" xr:uid="{00000000-0005-0000-0000-000077550000}"/>
    <cellStyle name="Normal 3 3 23 5" xfId="12831" xr:uid="{00000000-0005-0000-0000-000078550000}"/>
    <cellStyle name="Normal 3 3 23 5 2" xfId="30353" xr:uid="{00000000-0005-0000-0000-000079550000}"/>
    <cellStyle name="Normal 3 3 23 6" xfId="12832" xr:uid="{00000000-0005-0000-0000-00007A550000}"/>
    <cellStyle name="Normal 3 3 23 6 2" xfId="30354" xr:uid="{00000000-0005-0000-0000-00007B550000}"/>
    <cellStyle name="Normal 3 3 23 7" xfId="12833" xr:uid="{00000000-0005-0000-0000-00007C550000}"/>
    <cellStyle name="Normal 3 3 23 7 2" xfId="30355" xr:uid="{00000000-0005-0000-0000-00007D550000}"/>
    <cellStyle name="Normal 3 3 23 8" xfId="12834" xr:uid="{00000000-0005-0000-0000-00007E550000}"/>
    <cellStyle name="Normal 3 3 23 8 2" xfId="30356" xr:uid="{00000000-0005-0000-0000-00007F550000}"/>
    <cellStyle name="Normal 3 3 23 9" xfId="12835" xr:uid="{00000000-0005-0000-0000-000080550000}"/>
    <cellStyle name="Normal 3 3 23 9 2" xfId="30357" xr:uid="{00000000-0005-0000-0000-000081550000}"/>
    <cellStyle name="Normal 3 3 24" xfId="12836" xr:uid="{00000000-0005-0000-0000-000082550000}"/>
    <cellStyle name="Normal 3 3 24 10" xfId="12837" xr:uid="{00000000-0005-0000-0000-000083550000}"/>
    <cellStyle name="Normal 3 3 24 10 2" xfId="30359" xr:uid="{00000000-0005-0000-0000-000084550000}"/>
    <cellStyle name="Normal 3 3 24 11" xfId="12838" xr:uid="{00000000-0005-0000-0000-000085550000}"/>
    <cellStyle name="Normal 3 3 24 11 2" xfId="30360" xr:uid="{00000000-0005-0000-0000-000086550000}"/>
    <cellStyle name="Normal 3 3 24 12" xfId="12839" xr:uid="{00000000-0005-0000-0000-000087550000}"/>
    <cellStyle name="Normal 3 3 24 12 2" xfId="30361" xr:uid="{00000000-0005-0000-0000-000088550000}"/>
    <cellStyle name="Normal 3 3 24 13" xfId="12840" xr:uid="{00000000-0005-0000-0000-000089550000}"/>
    <cellStyle name="Normal 3 3 24 13 2" xfId="30362" xr:uid="{00000000-0005-0000-0000-00008A550000}"/>
    <cellStyle name="Normal 3 3 24 14" xfId="12841" xr:uid="{00000000-0005-0000-0000-00008B550000}"/>
    <cellStyle name="Normal 3 3 24 14 2" xfId="30363" xr:uid="{00000000-0005-0000-0000-00008C550000}"/>
    <cellStyle name="Normal 3 3 24 15" xfId="30358" xr:uid="{00000000-0005-0000-0000-00008D550000}"/>
    <cellStyle name="Normal 3 3 24 2" xfId="12842" xr:uid="{00000000-0005-0000-0000-00008E550000}"/>
    <cellStyle name="Normal 3 3 24 2 2" xfId="30364" xr:uid="{00000000-0005-0000-0000-00008F550000}"/>
    <cellStyle name="Normal 3 3 24 3" xfId="12843" xr:uid="{00000000-0005-0000-0000-000090550000}"/>
    <cellStyle name="Normal 3 3 24 3 2" xfId="30365" xr:uid="{00000000-0005-0000-0000-000091550000}"/>
    <cellStyle name="Normal 3 3 24 4" xfId="12844" xr:uid="{00000000-0005-0000-0000-000092550000}"/>
    <cellStyle name="Normal 3 3 24 4 2" xfId="30366" xr:uid="{00000000-0005-0000-0000-000093550000}"/>
    <cellStyle name="Normal 3 3 24 5" xfId="12845" xr:uid="{00000000-0005-0000-0000-000094550000}"/>
    <cellStyle name="Normal 3 3 24 5 2" xfId="30367" xr:uid="{00000000-0005-0000-0000-000095550000}"/>
    <cellStyle name="Normal 3 3 24 6" xfId="12846" xr:uid="{00000000-0005-0000-0000-000096550000}"/>
    <cellStyle name="Normal 3 3 24 6 2" xfId="30368" xr:uid="{00000000-0005-0000-0000-000097550000}"/>
    <cellStyle name="Normal 3 3 24 7" xfId="12847" xr:uid="{00000000-0005-0000-0000-000098550000}"/>
    <cellStyle name="Normal 3 3 24 7 2" xfId="30369" xr:uid="{00000000-0005-0000-0000-000099550000}"/>
    <cellStyle name="Normal 3 3 24 8" xfId="12848" xr:uid="{00000000-0005-0000-0000-00009A550000}"/>
    <cellStyle name="Normal 3 3 24 8 2" xfId="30370" xr:uid="{00000000-0005-0000-0000-00009B550000}"/>
    <cellStyle name="Normal 3 3 24 9" xfId="12849" xr:uid="{00000000-0005-0000-0000-00009C550000}"/>
    <cellStyle name="Normal 3 3 24 9 2" xfId="30371" xr:uid="{00000000-0005-0000-0000-00009D550000}"/>
    <cellStyle name="Normal 3 3 25" xfId="12850" xr:uid="{00000000-0005-0000-0000-00009E550000}"/>
    <cellStyle name="Normal 3 3 25 10" xfId="12851" xr:uid="{00000000-0005-0000-0000-00009F550000}"/>
    <cellStyle name="Normal 3 3 25 10 2" xfId="30373" xr:uid="{00000000-0005-0000-0000-0000A0550000}"/>
    <cellStyle name="Normal 3 3 25 11" xfId="12852" xr:uid="{00000000-0005-0000-0000-0000A1550000}"/>
    <cellStyle name="Normal 3 3 25 11 2" xfId="30374" xr:uid="{00000000-0005-0000-0000-0000A2550000}"/>
    <cellStyle name="Normal 3 3 25 12" xfId="12853" xr:uid="{00000000-0005-0000-0000-0000A3550000}"/>
    <cellStyle name="Normal 3 3 25 12 2" xfId="30375" xr:uid="{00000000-0005-0000-0000-0000A4550000}"/>
    <cellStyle name="Normal 3 3 25 13" xfId="12854" xr:uid="{00000000-0005-0000-0000-0000A5550000}"/>
    <cellStyle name="Normal 3 3 25 13 2" xfId="30376" xr:uid="{00000000-0005-0000-0000-0000A6550000}"/>
    <cellStyle name="Normal 3 3 25 14" xfId="12855" xr:uid="{00000000-0005-0000-0000-0000A7550000}"/>
    <cellStyle name="Normal 3 3 25 14 2" xfId="30377" xr:uid="{00000000-0005-0000-0000-0000A8550000}"/>
    <cellStyle name="Normal 3 3 25 15" xfId="30372" xr:uid="{00000000-0005-0000-0000-0000A9550000}"/>
    <cellStyle name="Normal 3 3 25 2" xfId="12856" xr:uid="{00000000-0005-0000-0000-0000AA550000}"/>
    <cellStyle name="Normal 3 3 25 2 2" xfId="30378" xr:uid="{00000000-0005-0000-0000-0000AB550000}"/>
    <cellStyle name="Normal 3 3 25 3" xfId="12857" xr:uid="{00000000-0005-0000-0000-0000AC550000}"/>
    <cellStyle name="Normal 3 3 25 3 2" xfId="30379" xr:uid="{00000000-0005-0000-0000-0000AD550000}"/>
    <cellStyle name="Normal 3 3 25 4" xfId="12858" xr:uid="{00000000-0005-0000-0000-0000AE550000}"/>
    <cellStyle name="Normal 3 3 25 4 2" xfId="30380" xr:uid="{00000000-0005-0000-0000-0000AF550000}"/>
    <cellStyle name="Normal 3 3 25 5" xfId="12859" xr:uid="{00000000-0005-0000-0000-0000B0550000}"/>
    <cellStyle name="Normal 3 3 25 5 2" xfId="30381" xr:uid="{00000000-0005-0000-0000-0000B1550000}"/>
    <cellStyle name="Normal 3 3 25 6" xfId="12860" xr:uid="{00000000-0005-0000-0000-0000B2550000}"/>
    <cellStyle name="Normal 3 3 25 6 2" xfId="30382" xr:uid="{00000000-0005-0000-0000-0000B3550000}"/>
    <cellStyle name="Normal 3 3 25 7" xfId="12861" xr:uid="{00000000-0005-0000-0000-0000B4550000}"/>
    <cellStyle name="Normal 3 3 25 7 2" xfId="30383" xr:uid="{00000000-0005-0000-0000-0000B5550000}"/>
    <cellStyle name="Normal 3 3 25 8" xfId="12862" xr:uid="{00000000-0005-0000-0000-0000B6550000}"/>
    <cellStyle name="Normal 3 3 25 8 2" xfId="30384" xr:uid="{00000000-0005-0000-0000-0000B7550000}"/>
    <cellStyle name="Normal 3 3 25 9" xfId="12863" xr:uid="{00000000-0005-0000-0000-0000B8550000}"/>
    <cellStyle name="Normal 3 3 25 9 2" xfId="30385" xr:uid="{00000000-0005-0000-0000-0000B9550000}"/>
    <cellStyle name="Normal 3 3 26" xfId="12864" xr:uid="{00000000-0005-0000-0000-0000BA550000}"/>
    <cellStyle name="Normal 3 3 26 10" xfId="12865" xr:uid="{00000000-0005-0000-0000-0000BB550000}"/>
    <cellStyle name="Normal 3 3 26 10 2" xfId="30387" xr:uid="{00000000-0005-0000-0000-0000BC550000}"/>
    <cellStyle name="Normal 3 3 26 11" xfId="12866" xr:uid="{00000000-0005-0000-0000-0000BD550000}"/>
    <cellStyle name="Normal 3 3 26 11 2" xfId="30388" xr:uid="{00000000-0005-0000-0000-0000BE550000}"/>
    <cellStyle name="Normal 3 3 26 12" xfId="12867" xr:uid="{00000000-0005-0000-0000-0000BF550000}"/>
    <cellStyle name="Normal 3 3 26 12 2" xfId="30389" xr:uid="{00000000-0005-0000-0000-0000C0550000}"/>
    <cellStyle name="Normal 3 3 26 13" xfId="12868" xr:uid="{00000000-0005-0000-0000-0000C1550000}"/>
    <cellStyle name="Normal 3 3 26 13 2" xfId="30390" xr:uid="{00000000-0005-0000-0000-0000C2550000}"/>
    <cellStyle name="Normal 3 3 26 14" xfId="12869" xr:uid="{00000000-0005-0000-0000-0000C3550000}"/>
    <cellStyle name="Normal 3 3 26 14 2" xfId="30391" xr:uid="{00000000-0005-0000-0000-0000C4550000}"/>
    <cellStyle name="Normal 3 3 26 15" xfId="30386" xr:uid="{00000000-0005-0000-0000-0000C5550000}"/>
    <cellStyle name="Normal 3 3 26 2" xfId="12870" xr:uid="{00000000-0005-0000-0000-0000C6550000}"/>
    <cellStyle name="Normal 3 3 26 2 2" xfId="30392" xr:uid="{00000000-0005-0000-0000-0000C7550000}"/>
    <cellStyle name="Normal 3 3 26 3" xfId="12871" xr:uid="{00000000-0005-0000-0000-0000C8550000}"/>
    <cellStyle name="Normal 3 3 26 3 2" xfId="30393" xr:uid="{00000000-0005-0000-0000-0000C9550000}"/>
    <cellStyle name="Normal 3 3 26 4" xfId="12872" xr:uid="{00000000-0005-0000-0000-0000CA550000}"/>
    <cellStyle name="Normal 3 3 26 4 2" xfId="30394" xr:uid="{00000000-0005-0000-0000-0000CB550000}"/>
    <cellStyle name="Normal 3 3 26 5" xfId="12873" xr:uid="{00000000-0005-0000-0000-0000CC550000}"/>
    <cellStyle name="Normal 3 3 26 5 2" xfId="30395" xr:uid="{00000000-0005-0000-0000-0000CD550000}"/>
    <cellStyle name="Normal 3 3 26 6" xfId="12874" xr:uid="{00000000-0005-0000-0000-0000CE550000}"/>
    <cellStyle name="Normal 3 3 26 6 2" xfId="30396" xr:uid="{00000000-0005-0000-0000-0000CF550000}"/>
    <cellStyle name="Normal 3 3 26 7" xfId="12875" xr:uid="{00000000-0005-0000-0000-0000D0550000}"/>
    <cellStyle name="Normal 3 3 26 7 2" xfId="30397" xr:uid="{00000000-0005-0000-0000-0000D1550000}"/>
    <cellStyle name="Normal 3 3 26 8" xfId="12876" xr:uid="{00000000-0005-0000-0000-0000D2550000}"/>
    <cellStyle name="Normal 3 3 26 8 2" xfId="30398" xr:uid="{00000000-0005-0000-0000-0000D3550000}"/>
    <cellStyle name="Normal 3 3 26 9" xfId="12877" xr:uid="{00000000-0005-0000-0000-0000D4550000}"/>
    <cellStyle name="Normal 3 3 26 9 2" xfId="30399" xr:uid="{00000000-0005-0000-0000-0000D5550000}"/>
    <cellStyle name="Normal 3 3 27" xfId="12878" xr:uid="{00000000-0005-0000-0000-0000D6550000}"/>
    <cellStyle name="Normal 3 3 27 10" xfId="12879" xr:uid="{00000000-0005-0000-0000-0000D7550000}"/>
    <cellStyle name="Normal 3 3 27 10 2" xfId="30401" xr:uid="{00000000-0005-0000-0000-0000D8550000}"/>
    <cellStyle name="Normal 3 3 27 11" xfId="12880" xr:uid="{00000000-0005-0000-0000-0000D9550000}"/>
    <cellStyle name="Normal 3 3 27 11 2" xfId="30402" xr:uid="{00000000-0005-0000-0000-0000DA550000}"/>
    <cellStyle name="Normal 3 3 27 12" xfId="12881" xr:uid="{00000000-0005-0000-0000-0000DB550000}"/>
    <cellStyle name="Normal 3 3 27 12 2" xfId="30403" xr:uid="{00000000-0005-0000-0000-0000DC550000}"/>
    <cellStyle name="Normal 3 3 27 13" xfId="12882" xr:uid="{00000000-0005-0000-0000-0000DD550000}"/>
    <cellStyle name="Normal 3 3 27 13 2" xfId="30404" xr:uid="{00000000-0005-0000-0000-0000DE550000}"/>
    <cellStyle name="Normal 3 3 27 14" xfId="12883" xr:uid="{00000000-0005-0000-0000-0000DF550000}"/>
    <cellStyle name="Normal 3 3 27 14 2" xfId="30405" xr:uid="{00000000-0005-0000-0000-0000E0550000}"/>
    <cellStyle name="Normal 3 3 27 15" xfId="30400" xr:uid="{00000000-0005-0000-0000-0000E1550000}"/>
    <cellStyle name="Normal 3 3 27 2" xfId="12884" xr:uid="{00000000-0005-0000-0000-0000E2550000}"/>
    <cellStyle name="Normal 3 3 27 2 2" xfId="30406" xr:uid="{00000000-0005-0000-0000-0000E3550000}"/>
    <cellStyle name="Normal 3 3 27 3" xfId="12885" xr:uid="{00000000-0005-0000-0000-0000E4550000}"/>
    <cellStyle name="Normal 3 3 27 3 2" xfId="30407" xr:uid="{00000000-0005-0000-0000-0000E5550000}"/>
    <cellStyle name="Normal 3 3 27 4" xfId="12886" xr:uid="{00000000-0005-0000-0000-0000E6550000}"/>
    <cellStyle name="Normal 3 3 27 4 2" xfId="30408" xr:uid="{00000000-0005-0000-0000-0000E7550000}"/>
    <cellStyle name="Normal 3 3 27 5" xfId="12887" xr:uid="{00000000-0005-0000-0000-0000E8550000}"/>
    <cellStyle name="Normal 3 3 27 5 2" xfId="30409" xr:uid="{00000000-0005-0000-0000-0000E9550000}"/>
    <cellStyle name="Normal 3 3 27 6" xfId="12888" xr:uid="{00000000-0005-0000-0000-0000EA550000}"/>
    <cellStyle name="Normal 3 3 27 6 2" xfId="30410" xr:uid="{00000000-0005-0000-0000-0000EB550000}"/>
    <cellStyle name="Normal 3 3 27 7" xfId="12889" xr:uid="{00000000-0005-0000-0000-0000EC550000}"/>
    <cellStyle name="Normal 3 3 27 7 2" xfId="30411" xr:uid="{00000000-0005-0000-0000-0000ED550000}"/>
    <cellStyle name="Normal 3 3 27 8" xfId="12890" xr:uid="{00000000-0005-0000-0000-0000EE550000}"/>
    <cellStyle name="Normal 3 3 27 8 2" xfId="30412" xr:uid="{00000000-0005-0000-0000-0000EF550000}"/>
    <cellStyle name="Normal 3 3 27 9" xfId="12891" xr:uid="{00000000-0005-0000-0000-0000F0550000}"/>
    <cellStyle name="Normal 3 3 27 9 2" xfId="30413" xr:uid="{00000000-0005-0000-0000-0000F1550000}"/>
    <cellStyle name="Normal 3 3 28" xfId="12892" xr:uid="{00000000-0005-0000-0000-0000F2550000}"/>
    <cellStyle name="Normal 3 3 29" xfId="12893" xr:uid="{00000000-0005-0000-0000-0000F3550000}"/>
    <cellStyle name="Normal 3 3 3" xfId="489" xr:uid="{00000000-0005-0000-0000-0000F4550000}"/>
    <cellStyle name="Normal 3 3 3 10" xfId="12895" xr:uid="{00000000-0005-0000-0000-0000F5550000}"/>
    <cellStyle name="Normal 3 3 3 10 10" xfId="12896" xr:uid="{00000000-0005-0000-0000-0000F6550000}"/>
    <cellStyle name="Normal 3 3 3 10 10 2" xfId="30416" xr:uid="{00000000-0005-0000-0000-0000F7550000}"/>
    <cellStyle name="Normal 3 3 3 10 11" xfId="12897" xr:uid="{00000000-0005-0000-0000-0000F8550000}"/>
    <cellStyle name="Normal 3 3 3 10 11 2" xfId="30417" xr:uid="{00000000-0005-0000-0000-0000F9550000}"/>
    <cellStyle name="Normal 3 3 3 10 12" xfId="12898" xr:uid="{00000000-0005-0000-0000-0000FA550000}"/>
    <cellStyle name="Normal 3 3 3 10 12 2" xfId="30418" xr:uid="{00000000-0005-0000-0000-0000FB550000}"/>
    <cellStyle name="Normal 3 3 3 10 13" xfId="12899" xr:uid="{00000000-0005-0000-0000-0000FC550000}"/>
    <cellStyle name="Normal 3 3 3 10 13 2" xfId="30419" xr:uid="{00000000-0005-0000-0000-0000FD550000}"/>
    <cellStyle name="Normal 3 3 3 10 14" xfId="12900" xr:uid="{00000000-0005-0000-0000-0000FE550000}"/>
    <cellStyle name="Normal 3 3 3 10 14 2" xfId="30420" xr:uid="{00000000-0005-0000-0000-0000FF550000}"/>
    <cellStyle name="Normal 3 3 3 10 15" xfId="30415" xr:uid="{00000000-0005-0000-0000-000000560000}"/>
    <cellStyle name="Normal 3 3 3 10 2" xfId="12901" xr:uid="{00000000-0005-0000-0000-000001560000}"/>
    <cellStyle name="Normal 3 3 3 10 2 2" xfId="30421" xr:uid="{00000000-0005-0000-0000-000002560000}"/>
    <cellStyle name="Normal 3 3 3 10 3" xfId="12902" xr:uid="{00000000-0005-0000-0000-000003560000}"/>
    <cellStyle name="Normal 3 3 3 10 3 2" xfId="30422" xr:uid="{00000000-0005-0000-0000-000004560000}"/>
    <cellStyle name="Normal 3 3 3 10 4" xfId="12903" xr:uid="{00000000-0005-0000-0000-000005560000}"/>
    <cellStyle name="Normal 3 3 3 10 4 2" xfId="30423" xr:uid="{00000000-0005-0000-0000-000006560000}"/>
    <cellStyle name="Normal 3 3 3 10 5" xfId="12904" xr:uid="{00000000-0005-0000-0000-000007560000}"/>
    <cellStyle name="Normal 3 3 3 10 5 2" xfId="30424" xr:uid="{00000000-0005-0000-0000-000008560000}"/>
    <cellStyle name="Normal 3 3 3 10 6" xfId="12905" xr:uid="{00000000-0005-0000-0000-000009560000}"/>
    <cellStyle name="Normal 3 3 3 10 6 2" xfId="30425" xr:uid="{00000000-0005-0000-0000-00000A560000}"/>
    <cellStyle name="Normal 3 3 3 10 7" xfId="12906" xr:uid="{00000000-0005-0000-0000-00000B560000}"/>
    <cellStyle name="Normal 3 3 3 10 7 2" xfId="30426" xr:uid="{00000000-0005-0000-0000-00000C560000}"/>
    <cellStyle name="Normal 3 3 3 10 8" xfId="12907" xr:uid="{00000000-0005-0000-0000-00000D560000}"/>
    <cellStyle name="Normal 3 3 3 10 8 2" xfId="30427" xr:uid="{00000000-0005-0000-0000-00000E560000}"/>
    <cellStyle name="Normal 3 3 3 10 9" xfId="12908" xr:uid="{00000000-0005-0000-0000-00000F560000}"/>
    <cellStyle name="Normal 3 3 3 10 9 2" xfId="30428" xr:uid="{00000000-0005-0000-0000-000010560000}"/>
    <cellStyle name="Normal 3 3 3 11" xfId="12909" xr:uid="{00000000-0005-0000-0000-000011560000}"/>
    <cellStyle name="Normal 3 3 3 11 10" xfId="12910" xr:uid="{00000000-0005-0000-0000-000012560000}"/>
    <cellStyle name="Normal 3 3 3 11 10 2" xfId="30430" xr:uid="{00000000-0005-0000-0000-000013560000}"/>
    <cellStyle name="Normal 3 3 3 11 11" xfId="12911" xr:uid="{00000000-0005-0000-0000-000014560000}"/>
    <cellStyle name="Normal 3 3 3 11 11 2" xfId="30431" xr:uid="{00000000-0005-0000-0000-000015560000}"/>
    <cellStyle name="Normal 3 3 3 11 12" xfId="12912" xr:uid="{00000000-0005-0000-0000-000016560000}"/>
    <cellStyle name="Normal 3 3 3 11 12 2" xfId="30432" xr:uid="{00000000-0005-0000-0000-000017560000}"/>
    <cellStyle name="Normal 3 3 3 11 13" xfId="12913" xr:uid="{00000000-0005-0000-0000-000018560000}"/>
    <cellStyle name="Normal 3 3 3 11 13 2" xfId="30433" xr:uid="{00000000-0005-0000-0000-000019560000}"/>
    <cellStyle name="Normal 3 3 3 11 14" xfId="12914" xr:uid="{00000000-0005-0000-0000-00001A560000}"/>
    <cellStyle name="Normal 3 3 3 11 14 2" xfId="30434" xr:uid="{00000000-0005-0000-0000-00001B560000}"/>
    <cellStyle name="Normal 3 3 3 11 15" xfId="30429" xr:uid="{00000000-0005-0000-0000-00001C560000}"/>
    <cellStyle name="Normal 3 3 3 11 2" xfId="12915" xr:uid="{00000000-0005-0000-0000-00001D560000}"/>
    <cellStyle name="Normal 3 3 3 11 2 2" xfId="30435" xr:uid="{00000000-0005-0000-0000-00001E560000}"/>
    <cellStyle name="Normal 3 3 3 11 3" xfId="12916" xr:uid="{00000000-0005-0000-0000-00001F560000}"/>
    <cellStyle name="Normal 3 3 3 11 3 2" xfId="30436" xr:uid="{00000000-0005-0000-0000-000020560000}"/>
    <cellStyle name="Normal 3 3 3 11 4" xfId="12917" xr:uid="{00000000-0005-0000-0000-000021560000}"/>
    <cellStyle name="Normal 3 3 3 11 4 2" xfId="30437" xr:uid="{00000000-0005-0000-0000-000022560000}"/>
    <cellStyle name="Normal 3 3 3 11 5" xfId="12918" xr:uid="{00000000-0005-0000-0000-000023560000}"/>
    <cellStyle name="Normal 3 3 3 11 5 2" xfId="30438" xr:uid="{00000000-0005-0000-0000-000024560000}"/>
    <cellStyle name="Normal 3 3 3 11 6" xfId="12919" xr:uid="{00000000-0005-0000-0000-000025560000}"/>
    <cellStyle name="Normal 3 3 3 11 6 2" xfId="30439" xr:uid="{00000000-0005-0000-0000-000026560000}"/>
    <cellStyle name="Normal 3 3 3 11 7" xfId="12920" xr:uid="{00000000-0005-0000-0000-000027560000}"/>
    <cellStyle name="Normal 3 3 3 11 7 2" xfId="30440" xr:uid="{00000000-0005-0000-0000-000028560000}"/>
    <cellStyle name="Normal 3 3 3 11 8" xfId="12921" xr:uid="{00000000-0005-0000-0000-000029560000}"/>
    <cellStyle name="Normal 3 3 3 11 8 2" xfId="30441" xr:uid="{00000000-0005-0000-0000-00002A560000}"/>
    <cellStyle name="Normal 3 3 3 11 9" xfId="12922" xr:uid="{00000000-0005-0000-0000-00002B560000}"/>
    <cellStyle name="Normal 3 3 3 11 9 2" xfId="30442" xr:uid="{00000000-0005-0000-0000-00002C560000}"/>
    <cellStyle name="Normal 3 3 3 12" xfId="12923" xr:uid="{00000000-0005-0000-0000-00002D560000}"/>
    <cellStyle name="Normal 3 3 3 12 10" xfId="12924" xr:uid="{00000000-0005-0000-0000-00002E560000}"/>
    <cellStyle name="Normal 3 3 3 12 10 2" xfId="30444" xr:uid="{00000000-0005-0000-0000-00002F560000}"/>
    <cellStyle name="Normal 3 3 3 12 11" xfId="12925" xr:uid="{00000000-0005-0000-0000-000030560000}"/>
    <cellStyle name="Normal 3 3 3 12 11 2" xfId="30445" xr:uid="{00000000-0005-0000-0000-000031560000}"/>
    <cellStyle name="Normal 3 3 3 12 12" xfId="12926" xr:uid="{00000000-0005-0000-0000-000032560000}"/>
    <cellStyle name="Normal 3 3 3 12 12 2" xfId="30446" xr:uid="{00000000-0005-0000-0000-000033560000}"/>
    <cellStyle name="Normal 3 3 3 12 13" xfId="12927" xr:uid="{00000000-0005-0000-0000-000034560000}"/>
    <cellStyle name="Normal 3 3 3 12 13 2" xfId="30447" xr:uid="{00000000-0005-0000-0000-000035560000}"/>
    <cellStyle name="Normal 3 3 3 12 14" xfId="12928" xr:uid="{00000000-0005-0000-0000-000036560000}"/>
    <cellStyle name="Normal 3 3 3 12 14 2" xfId="30448" xr:uid="{00000000-0005-0000-0000-000037560000}"/>
    <cellStyle name="Normal 3 3 3 12 15" xfId="30443" xr:uid="{00000000-0005-0000-0000-000038560000}"/>
    <cellStyle name="Normal 3 3 3 12 2" xfId="12929" xr:uid="{00000000-0005-0000-0000-000039560000}"/>
    <cellStyle name="Normal 3 3 3 12 2 2" xfId="30449" xr:uid="{00000000-0005-0000-0000-00003A560000}"/>
    <cellStyle name="Normal 3 3 3 12 3" xfId="12930" xr:uid="{00000000-0005-0000-0000-00003B560000}"/>
    <cellStyle name="Normal 3 3 3 12 3 2" xfId="30450" xr:uid="{00000000-0005-0000-0000-00003C560000}"/>
    <cellStyle name="Normal 3 3 3 12 4" xfId="12931" xr:uid="{00000000-0005-0000-0000-00003D560000}"/>
    <cellStyle name="Normal 3 3 3 12 4 2" xfId="30451" xr:uid="{00000000-0005-0000-0000-00003E560000}"/>
    <cellStyle name="Normal 3 3 3 12 5" xfId="12932" xr:uid="{00000000-0005-0000-0000-00003F560000}"/>
    <cellStyle name="Normal 3 3 3 12 5 2" xfId="30452" xr:uid="{00000000-0005-0000-0000-000040560000}"/>
    <cellStyle name="Normal 3 3 3 12 6" xfId="12933" xr:uid="{00000000-0005-0000-0000-000041560000}"/>
    <cellStyle name="Normal 3 3 3 12 6 2" xfId="30453" xr:uid="{00000000-0005-0000-0000-000042560000}"/>
    <cellStyle name="Normal 3 3 3 12 7" xfId="12934" xr:uid="{00000000-0005-0000-0000-000043560000}"/>
    <cellStyle name="Normal 3 3 3 12 7 2" xfId="30454" xr:uid="{00000000-0005-0000-0000-000044560000}"/>
    <cellStyle name="Normal 3 3 3 12 8" xfId="12935" xr:uid="{00000000-0005-0000-0000-000045560000}"/>
    <cellStyle name="Normal 3 3 3 12 8 2" xfId="30455" xr:uid="{00000000-0005-0000-0000-000046560000}"/>
    <cellStyle name="Normal 3 3 3 12 9" xfId="12936" xr:uid="{00000000-0005-0000-0000-000047560000}"/>
    <cellStyle name="Normal 3 3 3 12 9 2" xfId="30456" xr:uid="{00000000-0005-0000-0000-000048560000}"/>
    <cellStyle name="Normal 3 3 3 13" xfId="12937" xr:uid="{00000000-0005-0000-0000-000049560000}"/>
    <cellStyle name="Normal 3 3 3 13 10" xfId="12938" xr:uid="{00000000-0005-0000-0000-00004A560000}"/>
    <cellStyle name="Normal 3 3 3 13 10 2" xfId="30458" xr:uid="{00000000-0005-0000-0000-00004B560000}"/>
    <cellStyle name="Normal 3 3 3 13 11" xfId="12939" xr:uid="{00000000-0005-0000-0000-00004C560000}"/>
    <cellStyle name="Normal 3 3 3 13 11 2" xfId="30459" xr:uid="{00000000-0005-0000-0000-00004D560000}"/>
    <cellStyle name="Normal 3 3 3 13 12" xfId="12940" xr:uid="{00000000-0005-0000-0000-00004E560000}"/>
    <cellStyle name="Normal 3 3 3 13 12 2" xfId="30460" xr:uid="{00000000-0005-0000-0000-00004F560000}"/>
    <cellStyle name="Normal 3 3 3 13 13" xfId="12941" xr:uid="{00000000-0005-0000-0000-000050560000}"/>
    <cellStyle name="Normal 3 3 3 13 13 2" xfId="30461" xr:uid="{00000000-0005-0000-0000-000051560000}"/>
    <cellStyle name="Normal 3 3 3 13 14" xfId="12942" xr:uid="{00000000-0005-0000-0000-000052560000}"/>
    <cellStyle name="Normal 3 3 3 13 14 2" xfId="30462" xr:uid="{00000000-0005-0000-0000-000053560000}"/>
    <cellStyle name="Normal 3 3 3 13 15" xfId="30457" xr:uid="{00000000-0005-0000-0000-000054560000}"/>
    <cellStyle name="Normal 3 3 3 13 2" xfId="12943" xr:uid="{00000000-0005-0000-0000-000055560000}"/>
    <cellStyle name="Normal 3 3 3 13 2 2" xfId="30463" xr:uid="{00000000-0005-0000-0000-000056560000}"/>
    <cellStyle name="Normal 3 3 3 13 3" xfId="12944" xr:uid="{00000000-0005-0000-0000-000057560000}"/>
    <cellStyle name="Normal 3 3 3 13 3 2" xfId="30464" xr:uid="{00000000-0005-0000-0000-000058560000}"/>
    <cellStyle name="Normal 3 3 3 13 4" xfId="12945" xr:uid="{00000000-0005-0000-0000-000059560000}"/>
    <cellStyle name="Normal 3 3 3 13 4 2" xfId="30465" xr:uid="{00000000-0005-0000-0000-00005A560000}"/>
    <cellStyle name="Normal 3 3 3 13 5" xfId="12946" xr:uid="{00000000-0005-0000-0000-00005B560000}"/>
    <cellStyle name="Normal 3 3 3 13 5 2" xfId="30466" xr:uid="{00000000-0005-0000-0000-00005C560000}"/>
    <cellStyle name="Normal 3 3 3 13 6" xfId="12947" xr:uid="{00000000-0005-0000-0000-00005D560000}"/>
    <cellStyle name="Normal 3 3 3 13 6 2" xfId="30467" xr:uid="{00000000-0005-0000-0000-00005E560000}"/>
    <cellStyle name="Normal 3 3 3 13 7" xfId="12948" xr:uid="{00000000-0005-0000-0000-00005F560000}"/>
    <cellStyle name="Normal 3 3 3 13 7 2" xfId="30468" xr:uid="{00000000-0005-0000-0000-000060560000}"/>
    <cellStyle name="Normal 3 3 3 13 8" xfId="12949" xr:uid="{00000000-0005-0000-0000-000061560000}"/>
    <cellStyle name="Normal 3 3 3 13 8 2" xfId="30469" xr:uid="{00000000-0005-0000-0000-000062560000}"/>
    <cellStyle name="Normal 3 3 3 13 9" xfId="12950" xr:uid="{00000000-0005-0000-0000-000063560000}"/>
    <cellStyle name="Normal 3 3 3 13 9 2" xfId="30470" xr:uid="{00000000-0005-0000-0000-000064560000}"/>
    <cellStyle name="Normal 3 3 3 14" xfId="12951" xr:uid="{00000000-0005-0000-0000-000065560000}"/>
    <cellStyle name="Normal 3 3 3 14 10" xfId="12952" xr:uid="{00000000-0005-0000-0000-000066560000}"/>
    <cellStyle name="Normal 3 3 3 14 10 2" xfId="30472" xr:uid="{00000000-0005-0000-0000-000067560000}"/>
    <cellStyle name="Normal 3 3 3 14 11" xfId="12953" xr:uid="{00000000-0005-0000-0000-000068560000}"/>
    <cellStyle name="Normal 3 3 3 14 11 2" xfId="30473" xr:uid="{00000000-0005-0000-0000-000069560000}"/>
    <cellStyle name="Normal 3 3 3 14 12" xfId="12954" xr:uid="{00000000-0005-0000-0000-00006A560000}"/>
    <cellStyle name="Normal 3 3 3 14 12 2" xfId="30474" xr:uid="{00000000-0005-0000-0000-00006B560000}"/>
    <cellStyle name="Normal 3 3 3 14 13" xfId="12955" xr:uid="{00000000-0005-0000-0000-00006C560000}"/>
    <cellStyle name="Normal 3 3 3 14 13 2" xfId="30475" xr:uid="{00000000-0005-0000-0000-00006D560000}"/>
    <cellStyle name="Normal 3 3 3 14 14" xfId="12956" xr:uid="{00000000-0005-0000-0000-00006E560000}"/>
    <cellStyle name="Normal 3 3 3 14 14 2" xfId="30476" xr:uid="{00000000-0005-0000-0000-00006F560000}"/>
    <cellStyle name="Normal 3 3 3 14 15" xfId="30471" xr:uid="{00000000-0005-0000-0000-000070560000}"/>
    <cellStyle name="Normal 3 3 3 14 2" xfId="12957" xr:uid="{00000000-0005-0000-0000-000071560000}"/>
    <cellStyle name="Normal 3 3 3 14 2 2" xfId="30477" xr:uid="{00000000-0005-0000-0000-000072560000}"/>
    <cellStyle name="Normal 3 3 3 14 3" xfId="12958" xr:uid="{00000000-0005-0000-0000-000073560000}"/>
    <cellStyle name="Normal 3 3 3 14 3 2" xfId="30478" xr:uid="{00000000-0005-0000-0000-000074560000}"/>
    <cellStyle name="Normal 3 3 3 14 4" xfId="12959" xr:uid="{00000000-0005-0000-0000-000075560000}"/>
    <cellStyle name="Normal 3 3 3 14 4 2" xfId="30479" xr:uid="{00000000-0005-0000-0000-000076560000}"/>
    <cellStyle name="Normal 3 3 3 14 5" xfId="12960" xr:uid="{00000000-0005-0000-0000-000077560000}"/>
    <cellStyle name="Normal 3 3 3 14 5 2" xfId="30480" xr:uid="{00000000-0005-0000-0000-000078560000}"/>
    <cellStyle name="Normal 3 3 3 14 6" xfId="12961" xr:uid="{00000000-0005-0000-0000-000079560000}"/>
    <cellStyle name="Normal 3 3 3 14 6 2" xfId="30481" xr:uid="{00000000-0005-0000-0000-00007A560000}"/>
    <cellStyle name="Normal 3 3 3 14 7" xfId="12962" xr:uid="{00000000-0005-0000-0000-00007B560000}"/>
    <cellStyle name="Normal 3 3 3 14 7 2" xfId="30482" xr:uid="{00000000-0005-0000-0000-00007C560000}"/>
    <cellStyle name="Normal 3 3 3 14 8" xfId="12963" xr:uid="{00000000-0005-0000-0000-00007D560000}"/>
    <cellStyle name="Normal 3 3 3 14 8 2" xfId="30483" xr:uid="{00000000-0005-0000-0000-00007E560000}"/>
    <cellStyle name="Normal 3 3 3 14 9" xfId="12964" xr:uid="{00000000-0005-0000-0000-00007F560000}"/>
    <cellStyle name="Normal 3 3 3 14 9 2" xfId="30484" xr:uid="{00000000-0005-0000-0000-000080560000}"/>
    <cellStyle name="Normal 3 3 3 15" xfId="12965" xr:uid="{00000000-0005-0000-0000-000081560000}"/>
    <cellStyle name="Normal 3 3 3 15 2" xfId="30485" xr:uid="{00000000-0005-0000-0000-000082560000}"/>
    <cellStyle name="Normal 3 3 3 16" xfId="12966" xr:uid="{00000000-0005-0000-0000-000083560000}"/>
    <cellStyle name="Normal 3 3 3 16 2" xfId="30486" xr:uid="{00000000-0005-0000-0000-000084560000}"/>
    <cellStyle name="Normal 3 3 3 17" xfId="12967" xr:uid="{00000000-0005-0000-0000-000085560000}"/>
    <cellStyle name="Normal 3 3 3 17 2" xfId="30487" xr:uid="{00000000-0005-0000-0000-000086560000}"/>
    <cellStyle name="Normal 3 3 3 18" xfId="12968" xr:uid="{00000000-0005-0000-0000-000087560000}"/>
    <cellStyle name="Normal 3 3 3 18 2" xfId="30488" xr:uid="{00000000-0005-0000-0000-000088560000}"/>
    <cellStyle name="Normal 3 3 3 19" xfId="12969" xr:uid="{00000000-0005-0000-0000-000089560000}"/>
    <cellStyle name="Normal 3 3 3 19 2" xfId="30489" xr:uid="{00000000-0005-0000-0000-00008A560000}"/>
    <cellStyle name="Normal 3 3 3 2" xfId="12970" xr:uid="{00000000-0005-0000-0000-00008B560000}"/>
    <cellStyle name="Normal 3 3 3 20" xfId="12971" xr:uid="{00000000-0005-0000-0000-00008C560000}"/>
    <cellStyle name="Normal 3 3 3 20 2" xfId="30490" xr:uid="{00000000-0005-0000-0000-00008D560000}"/>
    <cellStyle name="Normal 3 3 3 21" xfId="12972" xr:uid="{00000000-0005-0000-0000-00008E560000}"/>
    <cellStyle name="Normal 3 3 3 21 2" xfId="30491" xr:uid="{00000000-0005-0000-0000-00008F560000}"/>
    <cellStyle name="Normal 3 3 3 22" xfId="12973" xr:uid="{00000000-0005-0000-0000-000090560000}"/>
    <cellStyle name="Normal 3 3 3 22 2" xfId="30492" xr:uid="{00000000-0005-0000-0000-000091560000}"/>
    <cellStyle name="Normal 3 3 3 23" xfId="12974" xr:uid="{00000000-0005-0000-0000-000092560000}"/>
    <cellStyle name="Normal 3 3 3 23 2" xfId="30493" xr:uid="{00000000-0005-0000-0000-000093560000}"/>
    <cellStyle name="Normal 3 3 3 24" xfId="12975" xr:uid="{00000000-0005-0000-0000-000094560000}"/>
    <cellStyle name="Normal 3 3 3 24 2" xfId="30494" xr:uid="{00000000-0005-0000-0000-000095560000}"/>
    <cellStyle name="Normal 3 3 3 25" xfId="12976" xr:uid="{00000000-0005-0000-0000-000096560000}"/>
    <cellStyle name="Normal 3 3 3 25 2" xfId="30495" xr:uid="{00000000-0005-0000-0000-000097560000}"/>
    <cellStyle name="Normal 3 3 3 26" xfId="12977" xr:uid="{00000000-0005-0000-0000-000098560000}"/>
    <cellStyle name="Normal 3 3 3 26 2" xfId="30496" xr:uid="{00000000-0005-0000-0000-000099560000}"/>
    <cellStyle name="Normal 3 3 3 27" xfId="12978" xr:uid="{00000000-0005-0000-0000-00009A560000}"/>
    <cellStyle name="Normal 3 3 3 27 2" xfId="30497" xr:uid="{00000000-0005-0000-0000-00009B560000}"/>
    <cellStyle name="Normal 3 3 3 28" xfId="12894" xr:uid="{00000000-0005-0000-0000-00009C560000}"/>
    <cellStyle name="Normal 3 3 3 29" xfId="30414" xr:uid="{00000000-0005-0000-0000-00009D560000}"/>
    <cellStyle name="Normal 3 3 3 3" xfId="12979" xr:uid="{00000000-0005-0000-0000-00009E560000}"/>
    <cellStyle name="Normal 3 3 3 4" xfId="12980" xr:uid="{00000000-0005-0000-0000-00009F560000}"/>
    <cellStyle name="Normal 3 3 3 5" xfId="12981" xr:uid="{00000000-0005-0000-0000-0000A0560000}"/>
    <cellStyle name="Normal 3 3 3 6" xfId="12982" xr:uid="{00000000-0005-0000-0000-0000A1560000}"/>
    <cellStyle name="Normal 3 3 3 6 10" xfId="12983" xr:uid="{00000000-0005-0000-0000-0000A2560000}"/>
    <cellStyle name="Normal 3 3 3 6 10 2" xfId="30499" xr:uid="{00000000-0005-0000-0000-0000A3560000}"/>
    <cellStyle name="Normal 3 3 3 6 11" xfId="12984" xr:uid="{00000000-0005-0000-0000-0000A4560000}"/>
    <cellStyle name="Normal 3 3 3 6 11 2" xfId="30500" xr:uid="{00000000-0005-0000-0000-0000A5560000}"/>
    <cellStyle name="Normal 3 3 3 6 12" xfId="12985" xr:uid="{00000000-0005-0000-0000-0000A6560000}"/>
    <cellStyle name="Normal 3 3 3 6 12 2" xfId="30501" xr:uid="{00000000-0005-0000-0000-0000A7560000}"/>
    <cellStyle name="Normal 3 3 3 6 13" xfId="12986" xr:uid="{00000000-0005-0000-0000-0000A8560000}"/>
    <cellStyle name="Normal 3 3 3 6 13 2" xfId="30502" xr:uid="{00000000-0005-0000-0000-0000A9560000}"/>
    <cellStyle name="Normal 3 3 3 6 14" xfId="12987" xr:uid="{00000000-0005-0000-0000-0000AA560000}"/>
    <cellStyle name="Normal 3 3 3 6 14 2" xfId="30503" xr:uid="{00000000-0005-0000-0000-0000AB560000}"/>
    <cellStyle name="Normal 3 3 3 6 15" xfId="12988" xr:uid="{00000000-0005-0000-0000-0000AC560000}"/>
    <cellStyle name="Normal 3 3 3 6 15 2" xfId="30504" xr:uid="{00000000-0005-0000-0000-0000AD560000}"/>
    <cellStyle name="Normal 3 3 3 6 16" xfId="30498" xr:uid="{00000000-0005-0000-0000-0000AE560000}"/>
    <cellStyle name="Normal 3 3 3 6 2" xfId="12989" xr:uid="{00000000-0005-0000-0000-0000AF560000}"/>
    <cellStyle name="Normal 3 3 3 6 2 10" xfId="12990" xr:uid="{00000000-0005-0000-0000-0000B0560000}"/>
    <cellStyle name="Normal 3 3 3 6 2 10 2" xfId="30506" xr:uid="{00000000-0005-0000-0000-0000B1560000}"/>
    <cellStyle name="Normal 3 3 3 6 2 11" xfId="12991" xr:uid="{00000000-0005-0000-0000-0000B2560000}"/>
    <cellStyle name="Normal 3 3 3 6 2 11 2" xfId="30507" xr:uid="{00000000-0005-0000-0000-0000B3560000}"/>
    <cellStyle name="Normal 3 3 3 6 2 12" xfId="12992" xr:uid="{00000000-0005-0000-0000-0000B4560000}"/>
    <cellStyle name="Normal 3 3 3 6 2 12 2" xfId="30508" xr:uid="{00000000-0005-0000-0000-0000B5560000}"/>
    <cellStyle name="Normal 3 3 3 6 2 13" xfId="12993" xr:uid="{00000000-0005-0000-0000-0000B6560000}"/>
    <cellStyle name="Normal 3 3 3 6 2 13 2" xfId="30509" xr:uid="{00000000-0005-0000-0000-0000B7560000}"/>
    <cellStyle name="Normal 3 3 3 6 2 14" xfId="12994" xr:uid="{00000000-0005-0000-0000-0000B8560000}"/>
    <cellStyle name="Normal 3 3 3 6 2 14 2" xfId="30510" xr:uid="{00000000-0005-0000-0000-0000B9560000}"/>
    <cellStyle name="Normal 3 3 3 6 2 15" xfId="30505" xr:uid="{00000000-0005-0000-0000-0000BA560000}"/>
    <cellStyle name="Normal 3 3 3 6 2 2" xfId="12995" xr:uid="{00000000-0005-0000-0000-0000BB560000}"/>
    <cellStyle name="Normal 3 3 3 6 2 2 2" xfId="30511" xr:uid="{00000000-0005-0000-0000-0000BC560000}"/>
    <cellStyle name="Normal 3 3 3 6 2 3" xfId="12996" xr:uid="{00000000-0005-0000-0000-0000BD560000}"/>
    <cellStyle name="Normal 3 3 3 6 2 3 2" xfId="30512" xr:uid="{00000000-0005-0000-0000-0000BE560000}"/>
    <cellStyle name="Normal 3 3 3 6 2 4" xfId="12997" xr:uid="{00000000-0005-0000-0000-0000BF560000}"/>
    <cellStyle name="Normal 3 3 3 6 2 4 2" xfId="30513" xr:uid="{00000000-0005-0000-0000-0000C0560000}"/>
    <cellStyle name="Normal 3 3 3 6 2 5" xfId="12998" xr:uid="{00000000-0005-0000-0000-0000C1560000}"/>
    <cellStyle name="Normal 3 3 3 6 2 5 2" xfId="30514" xr:uid="{00000000-0005-0000-0000-0000C2560000}"/>
    <cellStyle name="Normal 3 3 3 6 2 6" xfId="12999" xr:uid="{00000000-0005-0000-0000-0000C3560000}"/>
    <cellStyle name="Normal 3 3 3 6 2 6 2" xfId="30515" xr:uid="{00000000-0005-0000-0000-0000C4560000}"/>
    <cellStyle name="Normal 3 3 3 6 2 7" xfId="13000" xr:uid="{00000000-0005-0000-0000-0000C5560000}"/>
    <cellStyle name="Normal 3 3 3 6 2 7 2" xfId="30516" xr:uid="{00000000-0005-0000-0000-0000C6560000}"/>
    <cellStyle name="Normal 3 3 3 6 2 8" xfId="13001" xr:uid="{00000000-0005-0000-0000-0000C7560000}"/>
    <cellStyle name="Normal 3 3 3 6 2 8 2" xfId="30517" xr:uid="{00000000-0005-0000-0000-0000C8560000}"/>
    <cellStyle name="Normal 3 3 3 6 2 9" xfId="13002" xr:uid="{00000000-0005-0000-0000-0000C9560000}"/>
    <cellStyle name="Normal 3 3 3 6 2 9 2" xfId="30518" xr:uid="{00000000-0005-0000-0000-0000CA560000}"/>
    <cellStyle name="Normal 3 3 3 6 3" xfId="13003" xr:uid="{00000000-0005-0000-0000-0000CB560000}"/>
    <cellStyle name="Normal 3 3 3 6 3 2" xfId="30519" xr:uid="{00000000-0005-0000-0000-0000CC560000}"/>
    <cellStyle name="Normal 3 3 3 6 4" xfId="13004" xr:uid="{00000000-0005-0000-0000-0000CD560000}"/>
    <cellStyle name="Normal 3 3 3 6 4 2" xfId="30520" xr:uid="{00000000-0005-0000-0000-0000CE560000}"/>
    <cellStyle name="Normal 3 3 3 6 5" xfId="13005" xr:uid="{00000000-0005-0000-0000-0000CF560000}"/>
    <cellStyle name="Normal 3 3 3 6 5 2" xfId="30521" xr:uid="{00000000-0005-0000-0000-0000D0560000}"/>
    <cellStyle name="Normal 3 3 3 6 6" xfId="13006" xr:uid="{00000000-0005-0000-0000-0000D1560000}"/>
    <cellStyle name="Normal 3 3 3 6 6 2" xfId="30522" xr:uid="{00000000-0005-0000-0000-0000D2560000}"/>
    <cellStyle name="Normal 3 3 3 6 7" xfId="13007" xr:uid="{00000000-0005-0000-0000-0000D3560000}"/>
    <cellStyle name="Normal 3 3 3 6 7 2" xfId="30523" xr:uid="{00000000-0005-0000-0000-0000D4560000}"/>
    <cellStyle name="Normal 3 3 3 6 8" xfId="13008" xr:uid="{00000000-0005-0000-0000-0000D5560000}"/>
    <cellStyle name="Normal 3 3 3 6 8 2" xfId="30524" xr:uid="{00000000-0005-0000-0000-0000D6560000}"/>
    <cellStyle name="Normal 3 3 3 6 9" xfId="13009" xr:uid="{00000000-0005-0000-0000-0000D7560000}"/>
    <cellStyle name="Normal 3 3 3 6 9 2" xfId="30525" xr:uid="{00000000-0005-0000-0000-0000D8560000}"/>
    <cellStyle name="Normal 3 3 3 7" xfId="13010" xr:uid="{00000000-0005-0000-0000-0000D9560000}"/>
    <cellStyle name="Normal 3 3 3 7 10" xfId="13011" xr:uid="{00000000-0005-0000-0000-0000DA560000}"/>
    <cellStyle name="Normal 3 3 3 7 10 2" xfId="30527" xr:uid="{00000000-0005-0000-0000-0000DB560000}"/>
    <cellStyle name="Normal 3 3 3 7 11" xfId="13012" xr:uid="{00000000-0005-0000-0000-0000DC560000}"/>
    <cellStyle name="Normal 3 3 3 7 11 2" xfId="30528" xr:uid="{00000000-0005-0000-0000-0000DD560000}"/>
    <cellStyle name="Normal 3 3 3 7 12" xfId="13013" xr:uid="{00000000-0005-0000-0000-0000DE560000}"/>
    <cellStyle name="Normal 3 3 3 7 12 2" xfId="30529" xr:uid="{00000000-0005-0000-0000-0000DF560000}"/>
    <cellStyle name="Normal 3 3 3 7 13" xfId="13014" xr:uid="{00000000-0005-0000-0000-0000E0560000}"/>
    <cellStyle name="Normal 3 3 3 7 13 2" xfId="30530" xr:uid="{00000000-0005-0000-0000-0000E1560000}"/>
    <cellStyle name="Normal 3 3 3 7 14" xfId="13015" xr:uid="{00000000-0005-0000-0000-0000E2560000}"/>
    <cellStyle name="Normal 3 3 3 7 14 2" xfId="30531" xr:uid="{00000000-0005-0000-0000-0000E3560000}"/>
    <cellStyle name="Normal 3 3 3 7 15" xfId="13016" xr:uid="{00000000-0005-0000-0000-0000E4560000}"/>
    <cellStyle name="Normal 3 3 3 7 15 2" xfId="30532" xr:uid="{00000000-0005-0000-0000-0000E5560000}"/>
    <cellStyle name="Normal 3 3 3 7 16" xfId="30526" xr:uid="{00000000-0005-0000-0000-0000E6560000}"/>
    <cellStyle name="Normal 3 3 3 7 2" xfId="13017" xr:uid="{00000000-0005-0000-0000-0000E7560000}"/>
    <cellStyle name="Normal 3 3 3 7 2 10" xfId="13018" xr:uid="{00000000-0005-0000-0000-0000E8560000}"/>
    <cellStyle name="Normal 3 3 3 7 2 10 2" xfId="30534" xr:uid="{00000000-0005-0000-0000-0000E9560000}"/>
    <cellStyle name="Normal 3 3 3 7 2 11" xfId="13019" xr:uid="{00000000-0005-0000-0000-0000EA560000}"/>
    <cellStyle name="Normal 3 3 3 7 2 11 2" xfId="30535" xr:uid="{00000000-0005-0000-0000-0000EB560000}"/>
    <cellStyle name="Normal 3 3 3 7 2 12" xfId="13020" xr:uid="{00000000-0005-0000-0000-0000EC560000}"/>
    <cellStyle name="Normal 3 3 3 7 2 12 2" xfId="30536" xr:uid="{00000000-0005-0000-0000-0000ED560000}"/>
    <cellStyle name="Normal 3 3 3 7 2 13" xfId="13021" xr:uid="{00000000-0005-0000-0000-0000EE560000}"/>
    <cellStyle name="Normal 3 3 3 7 2 13 2" xfId="30537" xr:uid="{00000000-0005-0000-0000-0000EF560000}"/>
    <cellStyle name="Normal 3 3 3 7 2 14" xfId="13022" xr:uid="{00000000-0005-0000-0000-0000F0560000}"/>
    <cellStyle name="Normal 3 3 3 7 2 14 2" xfId="30538" xr:uid="{00000000-0005-0000-0000-0000F1560000}"/>
    <cellStyle name="Normal 3 3 3 7 2 15" xfId="30533" xr:uid="{00000000-0005-0000-0000-0000F2560000}"/>
    <cellStyle name="Normal 3 3 3 7 2 2" xfId="13023" xr:uid="{00000000-0005-0000-0000-0000F3560000}"/>
    <cellStyle name="Normal 3 3 3 7 2 2 2" xfId="30539" xr:uid="{00000000-0005-0000-0000-0000F4560000}"/>
    <cellStyle name="Normal 3 3 3 7 2 3" xfId="13024" xr:uid="{00000000-0005-0000-0000-0000F5560000}"/>
    <cellStyle name="Normal 3 3 3 7 2 3 2" xfId="30540" xr:uid="{00000000-0005-0000-0000-0000F6560000}"/>
    <cellStyle name="Normal 3 3 3 7 2 4" xfId="13025" xr:uid="{00000000-0005-0000-0000-0000F7560000}"/>
    <cellStyle name="Normal 3 3 3 7 2 4 2" xfId="30541" xr:uid="{00000000-0005-0000-0000-0000F8560000}"/>
    <cellStyle name="Normal 3 3 3 7 2 5" xfId="13026" xr:uid="{00000000-0005-0000-0000-0000F9560000}"/>
    <cellStyle name="Normal 3 3 3 7 2 5 2" xfId="30542" xr:uid="{00000000-0005-0000-0000-0000FA560000}"/>
    <cellStyle name="Normal 3 3 3 7 2 6" xfId="13027" xr:uid="{00000000-0005-0000-0000-0000FB560000}"/>
    <cellStyle name="Normal 3 3 3 7 2 6 2" xfId="30543" xr:uid="{00000000-0005-0000-0000-0000FC560000}"/>
    <cellStyle name="Normal 3 3 3 7 2 7" xfId="13028" xr:uid="{00000000-0005-0000-0000-0000FD560000}"/>
    <cellStyle name="Normal 3 3 3 7 2 7 2" xfId="30544" xr:uid="{00000000-0005-0000-0000-0000FE560000}"/>
    <cellStyle name="Normal 3 3 3 7 2 8" xfId="13029" xr:uid="{00000000-0005-0000-0000-0000FF560000}"/>
    <cellStyle name="Normal 3 3 3 7 2 8 2" xfId="30545" xr:uid="{00000000-0005-0000-0000-000000570000}"/>
    <cellStyle name="Normal 3 3 3 7 2 9" xfId="13030" xr:uid="{00000000-0005-0000-0000-000001570000}"/>
    <cellStyle name="Normal 3 3 3 7 2 9 2" xfId="30546" xr:uid="{00000000-0005-0000-0000-000002570000}"/>
    <cellStyle name="Normal 3 3 3 7 3" xfId="13031" xr:uid="{00000000-0005-0000-0000-000003570000}"/>
    <cellStyle name="Normal 3 3 3 7 3 2" xfId="30547" xr:uid="{00000000-0005-0000-0000-000004570000}"/>
    <cellStyle name="Normal 3 3 3 7 4" xfId="13032" xr:uid="{00000000-0005-0000-0000-000005570000}"/>
    <cellStyle name="Normal 3 3 3 7 4 2" xfId="30548" xr:uid="{00000000-0005-0000-0000-000006570000}"/>
    <cellStyle name="Normal 3 3 3 7 5" xfId="13033" xr:uid="{00000000-0005-0000-0000-000007570000}"/>
    <cellStyle name="Normal 3 3 3 7 5 2" xfId="30549" xr:uid="{00000000-0005-0000-0000-000008570000}"/>
    <cellStyle name="Normal 3 3 3 7 6" xfId="13034" xr:uid="{00000000-0005-0000-0000-000009570000}"/>
    <cellStyle name="Normal 3 3 3 7 6 2" xfId="30550" xr:uid="{00000000-0005-0000-0000-00000A570000}"/>
    <cellStyle name="Normal 3 3 3 7 7" xfId="13035" xr:uid="{00000000-0005-0000-0000-00000B570000}"/>
    <cellStyle name="Normal 3 3 3 7 7 2" xfId="30551" xr:uid="{00000000-0005-0000-0000-00000C570000}"/>
    <cellStyle name="Normal 3 3 3 7 8" xfId="13036" xr:uid="{00000000-0005-0000-0000-00000D570000}"/>
    <cellStyle name="Normal 3 3 3 7 8 2" xfId="30552" xr:uid="{00000000-0005-0000-0000-00000E570000}"/>
    <cellStyle name="Normal 3 3 3 7 9" xfId="13037" xr:uid="{00000000-0005-0000-0000-00000F570000}"/>
    <cellStyle name="Normal 3 3 3 7 9 2" xfId="30553" xr:uid="{00000000-0005-0000-0000-000010570000}"/>
    <cellStyle name="Normal 3 3 3 8" xfId="13038" xr:uid="{00000000-0005-0000-0000-000011570000}"/>
    <cellStyle name="Normal 3 3 3 8 10" xfId="13039" xr:uid="{00000000-0005-0000-0000-000012570000}"/>
    <cellStyle name="Normal 3 3 3 8 10 2" xfId="30555" xr:uid="{00000000-0005-0000-0000-000013570000}"/>
    <cellStyle name="Normal 3 3 3 8 11" xfId="13040" xr:uid="{00000000-0005-0000-0000-000014570000}"/>
    <cellStyle name="Normal 3 3 3 8 11 2" xfId="30556" xr:uid="{00000000-0005-0000-0000-000015570000}"/>
    <cellStyle name="Normal 3 3 3 8 12" xfId="13041" xr:uid="{00000000-0005-0000-0000-000016570000}"/>
    <cellStyle name="Normal 3 3 3 8 12 2" xfId="30557" xr:uid="{00000000-0005-0000-0000-000017570000}"/>
    <cellStyle name="Normal 3 3 3 8 13" xfId="13042" xr:uid="{00000000-0005-0000-0000-000018570000}"/>
    <cellStyle name="Normal 3 3 3 8 13 2" xfId="30558" xr:uid="{00000000-0005-0000-0000-000019570000}"/>
    <cellStyle name="Normal 3 3 3 8 14" xfId="13043" xr:uid="{00000000-0005-0000-0000-00001A570000}"/>
    <cellStyle name="Normal 3 3 3 8 14 2" xfId="30559" xr:uid="{00000000-0005-0000-0000-00001B570000}"/>
    <cellStyle name="Normal 3 3 3 8 15" xfId="13044" xr:uid="{00000000-0005-0000-0000-00001C570000}"/>
    <cellStyle name="Normal 3 3 3 8 15 2" xfId="30560" xr:uid="{00000000-0005-0000-0000-00001D570000}"/>
    <cellStyle name="Normal 3 3 3 8 16" xfId="30554" xr:uid="{00000000-0005-0000-0000-00001E570000}"/>
    <cellStyle name="Normal 3 3 3 8 2" xfId="13045" xr:uid="{00000000-0005-0000-0000-00001F570000}"/>
    <cellStyle name="Normal 3 3 3 8 2 10" xfId="13046" xr:uid="{00000000-0005-0000-0000-000020570000}"/>
    <cellStyle name="Normal 3 3 3 8 2 10 2" xfId="30562" xr:uid="{00000000-0005-0000-0000-000021570000}"/>
    <cellStyle name="Normal 3 3 3 8 2 11" xfId="13047" xr:uid="{00000000-0005-0000-0000-000022570000}"/>
    <cellStyle name="Normal 3 3 3 8 2 11 2" xfId="30563" xr:uid="{00000000-0005-0000-0000-000023570000}"/>
    <cellStyle name="Normal 3 3 3 8 2 12" xfId="13048" xr:uid="{00000000-0005-0000-0000-000024570000}"/>
    <cellStyle name="Normal 3 3 3 8 2 12 2" xfId="30564" xr:uid="{00000000-0005-0000-0000-000025570000}"/>
    <cellStyle name="Normal 3 3 3 8 2 13" xfId="13049" xr:uid="{00000000-0005-0000-0000-000026570000}"/>
    <cellStyle name="Normal 3 3 3 8 2 13 2" xfId="30565" xr:uid="{00000000-0005-0000-0000-000027570000}"/>
    <cellStyle name="Normal 3 3 3 8 2 14" xfId="13050" xr:uid="{00000000-0005-0000-0000-000028570000}"/>
    <cellStyle name="Normal 3 3 3 8 2 14 2" xfId="30566" xr:uid="{00000000-0005-0000-0000-000029570000}"/>
    <cellStyle name="Normal 3 3 3 8 2 15" xfId="30561" xr:uid="{00000000-0005-0000-0000-00002A570000}"/>
    <cellStyle name="Normal 3 3 3 8 2 2" xfId="13051" xr:uid="{00000000-0005-0000-0000-00002B570000}"/>
    <cellStyle name="Normal 3 3 3 8 2 2 2" xfId="30567" xr:uid="{00000000-0005-0000-0000-00002C570000}"/>
    <cellStyle name="Normal 3 3 3 8 2 3" xfId="13052" xr:uid="{00000000-0005-0000-0000-00002D570000}"/>
    <cellStyle name="Normal 3 3 3 8 2 3 2" xfId="30568" xr:uid="{00000000-0005-0000-0000-00002E570000}"/>
    <cellStyle name="Normal 3 3 3 8 2 4" xfId="13053" xr:uid="{00000000-0005-0000-0000-00002F570000}"/>
    <cellStyle name="Normal 3 3 3 8 2 4 2" xfId="30569" xr:uid="{00000000-0005-0000-0000-000030570000}"/>
    <cellStyle name="Normal 3 3 3 8 2 5" xfId="13054" xr:uid="{00000000-0005-0000-0000-000031570000}"/>
    <cellStyle name="Normal 3 3 3 8 2 5 2" xfId="30570" xr:uid="{00000000-0005-0000-0000-000032570000}"/>
    <cellStyle name="Normal 3 3 3 8 2 6" xfId="13055" xr:uid="{00000000-0005-0000-0000-000033570000}"/>
    <cellStyle name="Normal 3 3 3 8 2 6 2" xfId="30571" xr:uid="{00000000-0005-0000-0000-000034570000}"/>
    <cellStyle name="Normal 3 3 3 8 2 7" xfId="13056" xr:uid="{00000000-0005-0000-0000-000035570000}"/>
    <cellStyle name="Normal 3 3 3 8 2 7 2" xfId="30572" xr:uid="{00000000-0005-0000-0000-000036570000}"/>
    <cellStyle name="Normal 3 3 3 8 2 8" xfId="13057" xr:uid="{00000000-0005-0000-0000-000037570000}"/>
    <cellStyle name="Normal 3 3 3 8 2 8 2" xfId="30573" xr:uid="{00000000-0005-0000-0000-000038570000}"/>
    <cellStyle name="Normal 3 3 3 8 2 9" xfId="13058" xr:uid="{00000000-0005-0000-0000-000039570000}"/>
    <cellStyle name="Normal 3 3 3 8 2 9 2" xfId="30574" xr:uid="{00000000-0005-0000-0000-00003A570000}"/>
    <cellStyle name="Normal 3 3 3 8 3" xfId="13059" xr:uid="{00000000-0005-0000-0000-00003B570000}"/>
    <cellStyle name="Normal 3 3 3 8 3 2" xfId="30575" xr:uid="{00000000-0005-0000-0000-00003C570000}"/>
    <cellStyle name="Normal 3 3 3 8 4" xfId="13060" xr:uid="{00000000-0005-0000-0000-00003D570000}"/>
    <cellStyle name="Normal 3 3 3 8 4 2" xfId="30576" xr:uid="{00000000-0005-0000-0000-00003E570000}"/>
    <cellStyle name="Normal 3 3 3 8 5" xfId="13061" xr:uid="{00000000-0005-0000-0000-00003F570000}"/>
    <cellStyle name="Normal 3 3 3 8 5 2" xfId="30577" xr:uid="{00000000-0005-0000-0000-000040570000}"/>
    <cellStyle name="Normal 3 3 3 8 6" xfId="13062" xr:uid="{00000000-0005-0000-0000-000041570000}"/>
    <cellStyle name="Normal 3 3 3 8 6 2" xfId="30578" xr:uid="{00000000-0005-0000-0000-000042570000}"/>
    <cellStyle name="Normal 3 3 3 8 7" xfId="13063" xr:uid="{00000000-0005-0000-0000-000043570000}"/>
    <cellStyle name="Normal 3 3 3 8 7 2" xfId="30579" xr:uid="{00000000-0005-0000-0000-000044570000}"/>
    <cellStyle name="Normal 3 3 3 8 8" xfId="13064" xr:uid="{00000000-0005-0000-0000-000045570000}"/>
    <cellStyle name="Normal 3 3 3 8 8 2" xfId="30580" xr:uid="{00000000-0005-0000-0000-000046570000}"/>
    <cellStyle name="Normal 3 3 3 8 9" xfId="13065" xr:uid="{00000000-0005-0000-0000-000047570000}"/>
    <cellStyle name="Normal 3 3 3 8 9 2" xfId="30581" xr:uid="{00000000-0005-0000-0000-000048570000}"/>
    <cellStyle name="Normal 3 3 3 9" xfId="13066" xr:uid="{00000000-0005-0000-0000-000049570000}"/>
    <cellStyle name="Normal 3 3 3 9 10" xfId="13067" xr:uid="{00000000-0005-0000-0000-00004A570000}"/>
    <cellStyle name="Normal 3 3 3 9 10 2" xfId="30583" xr:uid="{00000000-0005-0000-0000-00004B570000}"/>
    <cellStyle name="Normal 3 3 3 9 11" xfId="13068" xr:uid="{00000000-0005-0000-0000-00004C570000}"/>
    <cellStyle name="Normal 3 3 3 9 11 2" xfId="30584" xr:uid="{00000000-0005-0000-0000-00004D570000}"/>
    <cellStyle name="Normal 3 3 3 9 12" xfId="13069" xr:uid="{00000000-0005-0000-0000-00004E570000}"/>
    <cellStyle name="Normal 3 3 3 9 12 2" xfId="30585" xr:uid="{00000000-0005-0000-0000-00004F570000}"/>
    <cellStyle name="Normal 3 3 3 9 13" xfId="13070" xr:uid="{00000000-0005-0000-0000-000050570000}"/>
    <cellStyle name="Normal 3 3 3 9 13 2" xfId="30586" xr:uid="{00000000-0005-0000-0000-000051570000}"/>
    <cellStyle name="Normal 3 3 3 9 14" xfId="13071" xr:uid="{00000000-0005-0000-0000-000052570000}"/>
    <cellStyle name="Normal 3 3 3 9 14 2" xfId="30587" xr:uid="{00000000-0005-0000-0000-000053570000}"/>
    <cellStyle name="Normal 3 3 3 9 15" xfId="30582" xr:uid="{00000000-0005-0000-0000-000054570000}"/>
    <cellStyle name="Normal 3 3 3 9 2" xfId="13072" xr:uid="{00000000-0005-0000-0000-000055570000}"/>
    <cellStyle name="Normal 3 3 3 9 2 2" xfId="30588" xr:uid="{00000000-0005-0000-0000-000056570000}"/>
    <cellStyle name="Normal 3 3 3 9 3" xfId="13073" xr:uid="{00000000-0005-0000-0000-000057570000}"/>
    <cellStyle name="Normal 3 3 3 9 3 2" xfId="30589" xr:uid="{00000000-0005-0000-0000-000058570000}"/>
    <cellStyle name="Normal 3 3 3 9 4" xfId="13074" xr:uid="{00000000-0005-0000-0000-000059570000}"/>
    <cellStyle name="Normal 3 3 3 9 4 2" xfId="30590" xr:uid="{00000000-0005-0000-0000-00005A570000}"/>
    <cellStyle name="Normal 3 3 3 9 5" xfId="13075" xr:uid="{00000000-0005-0000-0000-00005B570000}"/>
    <cellStyle name="Normal 3 3 3 9 5 2" xfId="30591" xr:uid="{00000000-0005-0000-0000-00005C570000}"/>
    <cellStyle name="Normal 3 3 3 9 6" xfId="13076" xr:uid="{00000000-0005-0000-0000-00005D570000}"/>
    <cellStyle name="Normal 3 3 3 9 6 2" xfId="30592" xr:uid="{00000000-0005-0000-0000-00005E570000}"/>
    <cellStyle name="Normal 3 3 3 9 7" xfId="13077" xr:uid="{00000000-0005-0000-0000-00005F570000}"/>
    <cellStyle name="Normal 3 3 3 9 7 2" xfId="30593" xr:uid="{00000000-0005-0000-0000-000060570000}"/>
    <cellStyle name="Normal 3 3 3 9 8" xfId="13078" xr:uid="{00000000-0005-0000-0000-000061570000}"/>
    <cellStyle name="Normal 3 3 3 9 8 2" xfId="30594" xr:uid="{00000000-0005-0000-0000-000062570000}"/>
    <cellStyle name="Normal 3 3 3 9 9" xfId="13079" xr:uid="{00000000-0005-0000-0000-000063570000}"/>
    <cellStyle name="Normal 3 3 3 9 9 2" xfId="30595" xr:uid="{00000000-0005-0000-0000-000064570000}"/>
    <cellStyle name="Normal 3 3 30" xfId="13080" xr:uid="{00000000-0005-0000-0000-000065570000}"/>
    <cellStyle name="Normal 3 3 30 10" xfId="13081" xr:uid="{00000000-0005-0000-0000-000066570000}"/>
    <cellStyle name="Normal 3 3 30 10 2" xfId="30597" xr:uid="{00000000-0005-0000-0000-000067570000}"/>
    <cellStyle name="Normal 3 3 30 11" xfId="13082" xr:uid="{00000000-0005-0000-0000-000068570000}"/>
    <cellStyle name="Normal 3 3 30 11 2" xfId="30598" xr:uid="{00000000-0005-0000-0000-000069570000}"/>
    <cellStyle name="Normal 3 3 30 12" xfId="13083" xr:uid="{00000000-0005-0000-0000-00006A570000}"/>
    <cellStyle name="Normal 3 3 30 12 2" xfId="30599" xr:uid="{00000000-0005-0000-0000-00006B570000}"/>
    <cellStyle name="Normal 3 3 30 13" xfId="13084" xr:uid="{00000000-0005-0000-0000-00006C570000}"/>
    <cellStyle name="Normal 3 3 30 13 2" xfId="30600" xr:uid="{00000000-0005-0000-0000-00006D570000}"/>
    <cellStyle name="Normal 3 3 30 14" xfId="13085" xr:uid="{00000000-0005-0000-0000-00006E570000}"/>
    <cellStyle name="Normal 3 3 30 14 2" xfId="30601" xr:uid="{00000000-0005-0000-0000-00006F570000}"/>
    <cellStyle name="Normal 3 3 30 15" xfId="30596" xr:uid="{00000000-0005-0000-0000-000070570000}"/>
    <cellStyle name="Normal 3 3 30 2" xfId="13086" xr:uid="{00000000-0005-0000-0000-000071570000}"/>
    <cellStyle name="Normal 3 3 30 2 2" xfId="30602" xr:uid="{00000000-0005-0000-0000-000072570000}"/>
    <cellStyle name="Normal 3 3 30 3" xfId="13087" xr:uid="{00000000-0005-0000-0000-000073570000}"/>
    <cellStyle name="Normal 3 3 30 3 2" xfId="30603" xr:uid="{00000000-0005-0000-0000-000074570000}"/>
    <cellStyle name="Normal 3 3 30 4" xfId="13088" xr:uid="{00000000-0005-0000-0000-000075570000}"/>
    <cellStyle name="Normal 3 3 30 4 2" xfId="30604" xr:uid="{00000000-0005-0000-0000-000076570000}"/>
    <cellStyle name="Normal 3 3 30 5" xfId="13089" xr:uid="{00000000-0005-0000-0000-000077570000}"/>
    <cellStyle name="Normal 3 3 30 5 2" xfId="30605" xr:uid="{00000000-0005-0000-0000-000078570000}"/>
    <cellStyle name="Normal 3 3 30 6" xfId="13090" xr:uid="{00000000-0005-0000-0000-000079570000}"/>
    <cellStyle name="Normal 3 3 30 6 2" xfId="30606" xr:uid="{00000000-0005-0000-0000-00007A570000}"/>
    <cellStyle name="Normal 3 3 30 7" xfId="13091" xr:uid="{00000000-0005-0000-0000-00007B570000}"/>
    <cellStyle name="Normal 3 3 30 7 2" xfId="30607" xr:uid="{00000000-0005-0000-0000-00007C570000}"/>
    <cellStyle name="Normal 3 3 30 8" xfId="13092" xr:uid="{00000000-0005-0000-0000-00007D570000}"/>
    <cellStyle name="Normal 3 3 30 8 2" xfId="30608" xr:uid="{00000000-0005-0000-0000-00007E570000}"/>
    <cellStyle name="Normal 3 3 30 9" xfId="13093" xr:uid="{00000000-0005-0000-0000-00007F570000}"/>
    <cellStyle name="Normal 3 3 30 9 2" xfId="30609" xr:uid="{00000000-0005-0000-0000-000080570000}"/>
    <cellStyle name="Normal 3 3 31" xfId="13094" xr:uid="{00000000-0005-0000-0000-000081570000}"/>
    <cellStyle name="Normal 3 3 31 10" xfId="13095" xr:uid="{00000000-0005-0000-0000-000082570000}"/>
    <cellStyle name="Normal 3 3 31 10 2" xfId="30611" xr:uid="{00000000-0005-0000-0000-000083570000}"/>
    <cellStyle name="Normal 3 3 31 11" xfId="13096" xr:uid="{00000000-0005-0000-0000-000084570000}"/>
    <cellStyle name="Normal 3 3 31 11 2" xfId="30612" xr:uid="{00000000-0005-0000-0000-000085570000}"/>
    <cellStyle name="Normal 3 3 31 12" xfId="13097" xr:uid="{00000000-0005-0000-0000-000086570000}"/>
    <cellStyle name="Normal 3 3 31 12 2" xfId="30613" xr:uid="{00000000-0005-0000-0000-000087570000}"/>
    <cellStyle name="Normal 3 3 31 13" xfId="13098" xr:uid="{00000000-0005-0000-0000-000088570000}"/>
    <cellStyle name="Normal 3 3 31 13 2" xfId="30614" xr:uid="{00000000-0005-0000-0000-000089570000}"/>
    <cellStyle name="Normal 3 3 31 14" xfId="13099" xr:uid="{00000000-0005-0000-0000-00008A570000}"/>
    <cellStyle name="Normal 3 3 31 14 2" xfId="30615" xr:uid="{00000000-0005-0000-0000-00008B570000}"/>
    <cellStyle name="Normal 3 3 31 15" xfId="30610" xr:uid="{00000000-0005-0000-0000-00008C570000}"/>
    <cellStyle name="Normal 3 3 31 2" xfId="13100" xr:uid="{00000000-0005-0000-0000-00008D570000}"/>
    <cellStyle name="Normal 3 3 31 2 2" xfId="30616" xr:uid="{00000000-0005-0000-0000-00008E570000}"/>
    <cellStyle name="Normal 3 3 31 3" xfId="13101" xr:uid="{00000000-0005-0000-0000-00008F570000}"/>
    <cellStyle name="Normal 3 3 31 3 2" xfId="30617" xr:uid="{00000000-0005-0000-0000-000090570000}"/>
    <cellStyle name="Normal 3 3 31 4" xfId="13102" xr:uid="{00000000-0005-0000-0000-000091570000}"/>
    <cellStyle name="Normal 3 3 31 4 2" xfId="30618" xr:uid="{00000000-0005-0000-0000-000092570000}"/>
    <cellStyle name="Normal 3 3 31 5" xfId="13103" xr:uid="{00000000-0005-0000-0000-000093570000}"/>
    <cellStyle name="Normal 3 3 31 5 2" xfId="30619" xr:uid="{00000000-0005-0000-0000-000094570000}"/>
    <cellStyle name="Normal 3 3 31 6" xfId="13104" xr:uid="{00000000-0005-0000-0000-000095570000}"/>
    <cellStyle name="Normal 3 3 31 6 2" xfId="30620" xr:uid="{00000000-0005-0000-0000-000096570000}"/>
    <cellStyle name="Normal 3 3 31 7" xfId="13105" xr:uid="{00000000-0005-0000-0000-000097570000}"/>
    <cellStyle name="Normal 3 3 31 7 2" xfId="30621" xr:uid="{00000000-0005-0000-0000-000098570000}"/>
    <cellStyle name="Normal 3 3 31 8" xfId="13106" xr:uid="{00000000-0005-0000-0000-000099570000}"/>
    <cellStyle name="Normal 3 3 31 8 2" xfId="30622" xr:uid="{00000000-0005-0000-0000-00009A570000}"/>
    <cellStyle name="Normal 3 3 31 9" xfId="13107" xr:uid="{00000000-0005-0000-0000-00009B570000}"/>
    <cellStyle name="Normal 3 3 31 9 2" xfId="30623" xr:uid="{00000000-0005-0000-0000-00009C570000}"/>
    <cellStyle name="Normal 3 3 32" xfId="10866" xr:uid="{00000000-0005-0000-0000-00009D570000}"/>
    <cellStyle name="Normal 3 3 4" xfId="13108" xr:uid="{00000000-0005-0000-0000-00009E570000}"/>
    <cellStyle name="Normal 3 3 4 10" xfId="13109" xr:uid="{00000000-0005-0000-0000-00009F570000}"/>
    <cellStyle name="Normal 3 3 4 10 10" xfId="13110" xr:uid="{00000000-0005-0000-0000-0000A0570000}"/>
    <cellStyle name="Normal 3 3 4 10 10 2" xfId="30626" xr:uid="{00000000-0005-0000-0000-0000A1570000}"/>
    <cellStyle name="Normal 3 3 4 10 11" xfId="13111" xr:uid="{00000000-0005-0000-0000-0000A2570000}"/>
    <cellStyle name="Normal 3 3 4 10 11 2" xfId="30627" xr:uid="{00000000-0005-0000-0000-0000A3570000}"/>
    <cellStyle name="Normal 3 3 4 10 12" xfId="13112" xr:uid="{00000000-0005-0000-0000-0000A4570000}"/>
    <cellStyle name="Normal 3 3 4 10 12 2" xfId="30628" xr:uid="{00000000-0005-0000-0000-0000A5570000}"/>
    <cellStyle name="Normal 3 3 4 10 13" xfId="13113" xr:uid="{00000000-0005-0000-0000-0000A6570000}"/>
    <cellStyle name="Normal 3 3 4 10 13 2" xfId="30629" xr:uid="{00000000-0005-0000-0000-0000A7570000}"/>
    <cellStyle name="Normal 3 3 4 10 14" xfId="13114" xr:uid="{00000000-0005-0000-0000-0000A8570000}"/>
    <cellStyle name="Normal 3 3 4 10 14 2" xfId="30630" xr:uid="{00000000-0005-0000-0000-0000A9570000}"/>
    <cellStyle name="Normal 3 3 4 10 15" xfId="30625" xr:uid="{00000000-0005-0000-0000-0000AA570000}"/>
    <cellStyle name="Normal 3 3 4 10 2" xfId="13115" xr:uid="{00000000-0005-0000-0000-0000AB570000}"/>
    <cellStyle name="Normal 3 3 4 10 2 2" xfId="30631" xr:uid="{00000000-0005-0000-0000-0000AC570000}"/>
    <cellStyle name="Normal 3 3 4 10 3" xfId="13116" xr:uid="{00000000-0005-0000-0000-0000AD570000}"/>
    <cellStyle name="Normal 3 3 4 10 3 2" xfId="30632" xr:uid="{00000000-0005-0000-0000-0000AE570000}"/>
    <cellStyle name="Normal 3 3 4 10 4" xfId="13117" xr:uid="{00000000-0005-0000-0000-0000AF570000}"/>
    <cellStyle name="Normal 3 3 4 10 4 2" xfId="30633" xr:uid="{00000000-0005-0000-0000-0000B0570000}"/>
    <cellStyle name="Normal 3 3 4 10 5" xfId="13118" xr:uid="{00000000-0005-0000-0000-0000B1570000}"/>
    <cellStyle name="Normal 3 3 4 10 5 2" xfId="30634" xr:uid="{00000000-0005-0000-0000-0000B2570000}"/>
    <cellStyle name="Normal 3 3 4 10 6" xfId="13119" xr:uid="{00000000-0005-0000-0000-0000B3570000}"/>
    <cellStyle name="Normal 3 3 4 10 6 2" xfId="30635" xr:uid="{00000000-0005-0000-0000-0000B4570000}"/>
    <cellStyle name="Normal 3 3 4 10 7" xfId="13120" xr:uid="{00000000-0005-0000-0000-0000B5570000}"/>
    <cellStyle name="Normal 3 3 4 10 7 2" xfId="30636" xr:uid="{00000000-0005-0000-0000-0000B6570000}"/>
    <cellStyle name="Normal 3 3 4 10 8" xfId="13121" xr:uid="{00000000-0005-0000-0000-0000B7570000}"/>
    <cellStyle name="Normal 3 3 4 10 8 2" xfId="30637" xr:uid="{00000000-0005-0000-0000-0000B8570000}"/>
    <cellStyle name="Normal 3 3 4 10 9" xfId="13122" xr:uid="{00000000-0005-0000-0000-0000B9570000}"/>
    <cellStyle name="Normal 3 3 4 10 9 2" xfId="30638" xr:uid="{00000000-0005-0000-0000-0000BA570000}"/>
    <cellStyle name="Normal 3 3 4 11" xfId="13123" xr:uid="{00000000-0005-0000-0000-0000BB570000}"/>
    <cellStyle name="Normal 3 3 4 11 10" xfId="13124" xr:uid="{00000000-0005-0000-0000-0000BC570000}"/>
    <cellStyle name="Normal 3 3 4 11 10 2" xfId="30640" xr:uid="{00000000-0005-0000-0000-0000BD570000}"/>
    <cellStyle name="Normal 3 3 4 11 11" xfId="13125" xr:uid="{00000000-0005-0000-0000-0000BE570000}"/>
    <cellStyle name="Normal 3 3 4 11 11 2" xfId="30641" xr:uid="{00000000-0005-0000-0000-0000BF570000}"/>
    <cellStyle name="Normal 3 3 4 11 12" xfId="13126" xr:uid="{00000000-0005-0000-0000-0000C0570000}"/>
    <cellStyle name="Normal 3 3 4 11 12 2" xfId="30642" xr:uid="{00000000-0005-0000-0000-0000C1570000}"/>
    <cellStyle name="Normal 3 3 4 11 13" xfId="13127" xr:uid="{00000000-0005-0000-0000-0000C2570000}"/>
    <cellStyle name="Normal 3 3 4 11 13 2" xfId="30643" xr:uid="{00000000-0005-0000-0000-0000C3570000}"/>
    <cellStyle name="Normal 3 3 4 11 14" xfId="13128" xr:uid="{00000000-0005-0000-0000-0000C4570000}"/>
    <cellStyle name="Normal 3 3 4 11 14 2" xfId="30644" xr:uid="{00000000-0005-0000-0000-0000C5570000}"/>
    <cellStyle name="Normal 3 3 4 11 15" xfId="30639" xr:uid="{00000000-0005-0000-0000-0000C6570000}"/>
    <cellStyle name="Normal 3 3 4 11 2" xfId="13129" xr:uid="{00000000-0005-0000-0000-0000C7570000}"/>
    <cellStyle name="Normal 3 3 4 11 2 2" xfId="30645" xr:uid="{00000000-0005-0000-0000-0000C8570000}"/>
    <cellStyle name="Normal 3 3 4 11 3" xfId="13130" xr:uid="{00000000-0005-0000-0000-0000C9570000}"/>
    <cellStyle name="Normal 3 3 4 11 3 2" xfId="30646" xr:uid="{00000000-0005-0000-0000-0000CA570000}"/>
    <cellStyle name="Normal 3 3 4 11 4" xfId="13131" xr:uid="{00000000-0005-0000-0000-0000CB570000}"/>
    <cellStyle name="Normal 3 3 4 11 4 2" xfId="30647" xr:uid="{00000000-0005-0000-0000-0000CC570000}"/>
    <cellStyle name="Normal 3 3 4 11 5" xfId="13132" xr:uid="{00000000-0005-0000-0000-0000CD570000}"/>
    <cellStyle name="Normal 3 3 4 11 5 2" xfId="30648" xr:uid="{00000000-0005-0000-0000-0000CE570000}"/>
    <cellStyle name="Normal 3 3 4 11 6" xfId="13133" xr:uid="{00000000-0005-0000-0000-0000CF570000}"/>
    <cellStyle name="Normal 3 3 4 11 6 2" xfId="30649" xr:uid="{00000000-0005-0000-0000-0000D0570000}"/>
    <cellStyle name="Normal 3 3 4 11 7" xfId="13134" xr:uid="{00000000-0005-0000-0000-0000D1570000}"/>
    <cellStyle name="Normal 3 3 4 11 7 2" xfId="30650" xr:uid="{00000000-0005-0000-0000-0000D2570000}"/>
    <cellStyle name="Normal 3 3 4 11 8" xfId="13135" xr:uid="{00000000-0005-0000-0000-0000D3570000}"/>
    <cellStyle name="Normal 3 3 4 11 8 2" xfId="30651" xr:uid="{00000000-0005-0000-0000-0000D4570000}"/>
    <cellStyle name="Normal 3 3 4 11 9" xfId="13136" xr:uid="{00000000-0005-0000-0000-0000D5570000}"/>
    <cellStyle name="Normal 3 3 4 11 9 2" xfId="30652" xr:uid="{00000000-0005-0000-0000-0000D6570000}"/>
    <cellStyle name="Normal 3 3 4 12" xfId="13137" xr:uid="{00000000-0005-0000-0000-0000D7570000}"/>
    <cellStyle name="Normal 3 3 4 12 10" xfId="13138" xr:uid="{00000000-0005-0000-0000-0000D8570000}"/>
    <cellStyle name="Normal 3 3 4 12 10 2" xfId="30654" xr:uid="{00000000-0005-0000-0000-0000D9570000}"/>
    <cellStyle name="Normal 3 3 4 12 11" xfId="13139" xr:uid="{00000000-0005-0000-0000-0000DA570000}"/>
    <cellStyle name="Normal 3 3 4 12 11 2" xfId="30655" xr:uid="{00000000-0005-0000-0000-0000DB570000}"/>
    <cellStyle name="Normal 3 3 4 12 12" xfId="13140" xr:uid="{00000000-0005-0000-0000-0000DC570000}"/>
    <cellStyle name="Normal 3 3 4 12 12 2" xfId="30656" xr:uid="{00000000-0005-0000-0000-0000DD570000}"/>
    <cellStyle name="Normal 3 3 4 12 13" xfId="13141" xr:uid="{00000000-0005-0000-0000-0000DE570000}"/>
    <cellStyle name="Normal 3 3 4 12 13 2" xfId="30657" xr:uid="{00000000-0005-0000-0000-0000DF570000}"/>
    <cellStyle name="Normal 3 3 4 12 14" xfId="13142" xr:uid="{00000000-0005-0000-0000-0000E0570000}"/>
    <cellStyle name="Normal 3 3 4 12 14 2" xfId="30658" xr:uid="{00000000-0005-0000-0000-0000E1570000}"/>
    <cellStyle name="Normal 3 3 4 12 15" xfId="30653" xr:uid="{00000000-0005-0000-0000-0000E2570000}"/>
    <cellStyle name="Normal 3 3 4 12 2" xfId="13143" xr:uid="{00000000-0005-0000-0000-0000E3570000}"/>
    <cellStyle name="Normal 3 3 4 12 2 2" xfId="30659" xr:uid="{00000000-0005-0000-0000-0000E4570000}"/>
    <cellStyle name="Normal 3 3 4 12 3" xfId="13144" xr:uid="{00000000-0005-0000-0000-0000E5570000}"/>
    <cellStyle name="Normal 3 3 4 12 3 2" xfId="30660" xr:uid="{00000000-0005-0000-0000-0000E6570000}"/>
    <cellStyle name="Normal 3 3 4 12 4" xfId="13145" xr:uid="{00000000-0005-0000-0000-0000E7570000}"/>
    <cellStyle name="Normal 3 3 4 12 4 2" xfId="30661" xr:uid="{00000000-0005-0000-0000-0000E8570000}"/>
    <cellStyle name="Normal 3 3 4 12 5" xfId="13146" xr:uid="{00000000-0005-0000-0000-0000E9570000}"/>
    <cellStyle name="Normal 3 3 4 12 5 2" xfId="30662" xr:uid="{00000000-0005-0000-0000-0000EA570000}"/>
    <cellStyle name="Normal 3 3 4 12 6" xfId="13147" xr:uid="{00000000-0005-0000-0000-0000EB570000}"/>
    <cellStyle name="Normal 3 3 4 12 6 2" xfId="30663" xr:uid="{00000000-0005-0000-0000-0000EC570000}"/>
    <cellStyle name="Normal 3 3 4 12 7" xfId="13148" xr:uid="{00000000-0005-0000-0000-0000ED570000}"/>
    <cellStyle name="Normal 3 3 4 12 7 2" xfId="30664" xr:uid="{00000000-0005-0000-0000-0000EE570000}"/>
    <cellStyle name="Normal 3 3 4 12 8" xfId="13149" xr:uid="{00000000-0005-0000-0000-0000EF570000}"/>
    <cellStyle name="Normal 3 3 4 12 8 2" xfId="30665" xr:uid="{00000000-0005-0000-0000-0000F0570000}"/>
    <cellStyle name="Normal 3 3 4 12 9" xfId="13150" xr:uid="{00000000-0005-0000-0000-0000F1570000}"/>
    <cellStyle name="Normal 3 3 4 12 9 2" xfId="30666" xr:uid="{00000000-0005-0000-0000-0000F2570000}"/>
    <cellStyle name="Normal 3 3 4 13" xfId="13151" xr:uid="{00000000-0005-0000-0000-0000F3570000}"/>
    <cellStyle name="Normal 3 3 4 13 10" xfId="13152" xr:uid="{00000000-0005-0000-0000-0000F4570000}"/>
    <cellStyle name="Normal 3 3 4 13 10 2" xfId="30668" xr:uid="{00000000-0005-0000-0000-0000F5570000}"/>
    <cellStyle name="Normal 3 3 4 13 11" xfId="13153" xr:uid="{00000000-0005-0000-0000-0000F6570000}"/>
    <cellStyle name="Normal 3 3 4 13 11 2" xfId="30669" xr:uid="{00000000-0005-0000-0000-0000F7570000}"/>
    <cellStyle name="Normal 3 3 4 13 12" xfId="13154" xr:uid="{00000000-0005-0000-0000-0000F8570000}"/>
    <cellStyle name="Normal 3 3 4 13 12 2" xfId="30670" xr:uid="{00000000-0005-0000-0000-0000F9570000}"/>
    <cellStyle name="Normal 3 3 4 13 13" xfId="13155" xr:uid="{00000000-0005-0000-0000-0000FA570000}"/>
    <cellStyle name="Normal 3 3 4 13 13 2" xfId="30671" xr:uid="{00000000-0005-0000-0000-0000FB570000}"/>
    <cellStyle name="Normal 3 3 4 13 14" xfId="13156" xr:uid="{00000000-0005-0000-0000-0000FC570000}"/>
    <cellStyle name="Normal 3 3 4 13 14 2" xfId="30672" xr:uid="{00000000-0005-0000-0000-0000FD570000}"/>
    <cellStyle name="Normal 3 3 4 13 15" xfId="30667" xr:uid="{00000000-0005-0000-0000-0000FE570000}"/>
    <cellStyle name="Normal 3 3 4 13 2" xfId="13157" xr:uid="{00000000-0005-0000-0000-0000FF570000}"/>
    <cellStyle name="Normal 3 3 4 13 2 2" xfId="30673" xr:uid="{00000000-0005-0000-0000-000000580000}"/>
    <cellStyle name="Normal 3 3 4 13 3" xfId="13158" xr:uid="{00000000-0005-0000-0000-000001580000}"/>
    <cellStyle name="Normal 3 3 4 13 3 2" xfId="30674" xr:uid="{00000000-0005-0000-0000-000002580000}"/>
    <cellStyle name="Normal 3 3 4 13 4" xfId="13159" xr:uid="{00000000-0005-0000-0000-000003580000}"/>
    <cellStyle name="Normal 3 3 4 13 4 2" xfId="30675" xr:uid="{00000000-0005-0000-0000-000004580000}"/>
    <cellStyle name="Normal 3 3 4 13 5" xfId="13160" xr:uid="{00000000-0005-0000-0000-000005580000}"/>
    <cellStyle name="Normal 3 3 4 13 5 2" xfId="30676" xr:uid="{00000000-0005-0000-0000-000006580000}"/>
    <cellStyle name="Normal 3 3 4 13 6" xfId="13161" xr:uid="{00000000-0005-0000-0000-000007580000}"/>
    <cellStyle name="Normal 3 3 4 13 6 2" xfId="30677" xr:uid="{00000000-0005-0000-0000-000008580000}"/>
    <cellStyle name="Normal 3 3 4 13 7" xfId="13162" xr:uid="{00000000-0005-0000-0000-000009580000}"/>
    <cellStyle name="Normal 3 3 4 13 7 2" xfId="30678" xr:uid="{00000000-0005-0000-0000-00000A580000}"/>
    <cellStyle name="Normal 3 3 4 13 8" xfId="13163" xr:uid="{00000000-0005-0000-0000-00000B580000}"/>
    <cellStyle name="Normal 3 3 4 13 8 2" xfId="30679" xr:uid="{00000000-0005-0000-0000-00000C580000}"/>
    <cellStyle name="Normal 3 3 4 13 9" xfId="13164" xr:uid="{00000000-0005-0000-0000-00000D580000}"/>
    <cellStyle name="Normal 3 3 4 13 9 2" xfId="30680" xr:uid="{00000000-0005-0000-0000-00000E580000}"/>
    <cellStyle name="Normal 3 3 4 14" xfId="13165" xr:uid="{00000000-0005-0000-0000-00000F580000}"/>
    <cellStyle name="Normal 3 3 4 14 10" xfId="13166" xr:uid="{00000000-0005-0000-0000-000010580000}"/>
    <cellStyle name="Normal 3 3 4 14 10 2" xfId="30682" xr:uid="{00000000-0005-0000-0000-000011580000}"/>
    <cellStyle name="Normal 3 3 4 14 11" xfId="13167" xr:uid="{00000000-0005-0000-0000-000012580000}"/>
    <cellStyle name="Normal 3 3 4 14 11 2" xfId="30683" xr:uid="{00000000-0005-0000-0000-000013580000}"/>
    <cellStyle name="Normal 3 3 4 14 12" xfId="13168" xr:uid="{00000000-0005-0000-0000-000014580000}"/>
    <cellStyle name="Normal 3 3 4 14 12 2" xfId="30684" xr:uid="{00000000-0005-0000-0000-000015580000}"/>
    <cellStyle name="Normal 3 3 4 14 13" xfId="13169" xr:uid="{00000000-0005-0000-0000-000016580000}"/>
    <cellStyle name="Normal 3 3 4 14 13 2" xfId="30685" xr:uid="{00000000-0005-0000-0000-000017580000}"/>
    <cellStyle name="Normal 3 3 4 14 14" xfId="13170" xr:uid="{00000000-0005-0000-0000-000018580000}"/>
    <cellStyle name="Normal 3 3 4 14 14 2" xfId="30686" xr:uid="{00000000-0005-0000-0000-000019580000}"/>
    <cellStyle name="Normal 3 3 4 14 15" xfId="30681" xr:uid="{00000000-0005-0000-0000-00001A580000}"/>
    <cellStyle name="Normal 3 3 4 14 2" xfId="13171" xr:uid="{00000000-0005-0000-0000-00001B580000}"/>
    <cellStyle name="Normal 3 3 4 14 2 2" xfId="30687" xr:uid="{00000000-0005-0000-0000-00001C580000}"/>
    <cellStyle name="Normal 3 3 4 14 3" xfId="13172" xr:uid="{00000000-0005-0000-0000-00001D580000}"/>
    <cellStyle name="Normal 3 3 4 14 3 2" xfId="30688" xr:uid="{00000000-0005-0000-0000-00001E580000}"/>
    <cellStyle name="Normal 3 3 4 14 4" xfId="13173" xr:uid="{00000000-0005-0000-0000-00001F580000}"/>
    <cellStyle name="Normal 3 3 4 14 4 2" xfId="30689" xr:uid="{00000000-0005-0000-0000-000020580000}"/>
    <cellStyle name="Normal 3 3 4 14 5" xfId="13174" xr:uid="{00000000-0005-0000-0000-000021580000}"/>
    <cellStyle name="Normal 3 3 4 14 5 2" xfId="30690" xr:uid="{00000000-0005-0000-0000-000022580000}"/>
    <cellStyle name="Normal 3 3 4 14 6" xfId="13175" xr:uid="{00000000-0005-0000-0000-000023580000}"/>
    <cellStyle name="Normal 3 3 4 14 6 2" xfId="30691" xr:uid="{00000000-0005-0000-0000-000024580000}"/>
    <cellStyle name="Normal 3 3 4 14 7" xfId="13176" xr:uid="{00000000-0005-0000-0000-000025580000}"/>
    <cellStyle name="Normal 3 3 4 14 7 2" xfId="30692" xr:uid="{00000000-0005-0000-0000-000026580000}"/>
    <cellStyle name="Normal 3 3 4 14 8" xfId="13177" xr:uid="{00000000-0005-0000-0000-000027580000}"/>
    <cellStyle name="Normal 3 3 4 14 8 2" xfId="30693" xr:uid="{00000000-0005-0000-0000-000028580000}"/>
    <cellStyle name="Normal 3 3 4 14 9" xfId="13178" xr:uid="{00000000-0005-0000-0000-000029580000}"/>
    <cellStyle name="Normal 3 3 4 14 9 2" xfId="30694" xr:uid="{00000000-0005-0000-0000-00002A580000}"/>
    <cellStyle name="Normal 3 3 4 15" xfId="13179" xr:uid="{00000000-0005-0000-0000-00002B580000}"/>
    <cellStyle name="Normal 3 3 4 15 2" xfId="30695" xr:uid="{00000000-0005-0000-0000-00002C580000}"/>
    <cellStyle name="Normal 3 3 4 16" xfId="13180" xr:uid="{00000000-0005-0000-0000-00002D580000}"/>
    <cellStyle name="Normal 3 3 4 16 2" xfId="30696" xr:uid="{00000000-0005-0000-0000-00002E580000}"/>
    <cellStyle name="Normal 3 3 4 17" xfId="13181" xr:uid="{00000000-0005-0000-0000-00002F580000}"/>
    <cellStyle name="Normal 3 3 4 17 2" xfId="30697" xr:uid="{00000000-0005-0000-0000-000030580000}"/>
    <cellStyle name="Normal 3 3 4 18" xfId="13182" xr:uid="{00000000-0005-0000-0000-000031580000}"/>
    <cellStyle name="Normal 3 3 4 18 2" xfId="30698" xr:uid="{00000000-0005-0000-0000-000032580000}"/>
    <cellStyle name="Normal 3 3 4 19" xfId="13183" xr:uid="{00000000-0005-0000-0000-000033580000}"/>
    <cellStyle name="Normal 3 3 4 19 2" xfId="30699" xr:uid="{00000000-0005-0000-0000-000034580000}"/>
    <cellStyle name="Normal 3 3 4 2" xfId="13184" xr:uid="{00000000-0005-0000-0000-000035580000}"/>
    <cellStyle name="Normal 3 3 4 20" xfId="13185" xr:uid="{00000000-0005-0000-0000-000036580000}"/>
    <cellStyle name="Normal 3 3 4 20 2" xfId="30700" xr:uid="{00000000-0005-0000-0000-000037580000}"/>
    <cellStyle name="Normal 3 3 4 21" xfId="13186" xr:uid="{00000000-0005-0000-0000-000038580000}"/>
    <cellStyle name="Normal 3 3 4 21 2" xfId="30701" xr:uid="{00000000-0005-0000-0000-000039580000}"/>
    <cellStyle name="Normal 3 3 4 22" xfId="13187" xr:uid="{00000000-0005-0000-0000-00003A580000}"/>
    <cellStyle name="Normal 3 3 4 22 2" xfId="30702" xr:uid="{00000000-0005-0000-0000-00003B580000}"/>
    <cellStyle name="Normal 3 3 4 23" xfId="13188" xr:uid="{00000000-0005-0000-0000-00003C580000}"/>
    <cellStyle name="Normal 3 3 4 23 2" xfId="30703" xr:uid="{00000000-0005-0000-0000-00003D580000}"/>
    <cellStyle name="Normal 3 3 4 24" xfId="13189" xr:uid="{00000000-0005-0000-0000-00003E580000}"/>
    <cellStyle name="Normal 3 3 4 24 2" xfId="30704" xr:uid="{00000000-0005-0000-0000-00003F580000}"/>
    <cellStyle name="Normal 3 3 4 25" xfId="13190" xr:uid="{00000000-0005-0000-0000-000040580000}"/>
    <cellStyle name="Normal 3 3 4 25 2" xfId="30705" xr:uid="{00000000-0005-0000-0000-000041580000}"/>
    <cellStyle name="Normal 3 3 4 26" xfId="13191" xr:uid="{00000000-0005-0000-0000-000042580000}"/>
    <cellStyle name="Normal 3 3 4 26 2" xfId="30706" xr:uid="{00000000-0005-0000-0000-000043580000}"/>
    <cellStyle name="Normal 3 3 4 27" xfId="13192" xr:uid="{00000000-0005-0000-0000-000044580000}"/>
    <cellStyle name="Normal 3 3 4 27 2" xfId="30707" xr:uid="{00000000-0005-0000-0000-000045580000}"/>
    <cellStyle name="Normal 3 3 4 28" xfId="30624" xr:uid="{00000000-0005-0000-0000-000046580000}"/>
    <cellStyle name="Normal 3 3 4 3" xfId="13193" xr:uid="{00000000-0005-0000-0000-000047580000}"/>
    <cellStyle name="Normal 3 3 4 4" xfId="13194" xr:uid="{00000000-0005-0000-0000-000048580000}"/>
    <cellStyle name="Normal 3 3 4 5" xfId="13195" xr:uid="{00000000-0005-0000-0000-000049580000}"/>
    <cellStyle name="Normal 3 3 4 6" xfId="13196" xr:uid="{00000000-0005-0000-0000-00004A580000}"/>
    <cellStyle name="Normal 3 3 4 6 10" xfId="13197" xr:uid="{00000000-0005-0000-0000-00004B580000}"/>
    <cellStyle name="Normal 3 3 4 6 10 2" xfId="30709" xr:uid="{00000000-0005-0000-0000-00004C580000}"/>
    <cellStyle name="Normal 3 3 4 6 11" xfId="13198" xr:uid="{00000000-0005-0000-0000-00004D580000}"/>
    <cellStyle name="Normal 3 3 4 6 11 2" xfId="30710" xr:uid="{00000000-0005-0000-0000-00004E580000}"/>
    <cellStyle name="Normal 3 3 4 6 12" xfId="13199" xr:uid="{00000000-0005-0000-0000-00004F580000}"/>
    <cellStyle name="Normal 3 3 4 6 12 2" xfId="30711" xr:uid="{00000000-0005-0000-0000-000050580000}"/>
    <cellStyle name="Normal 3 3 4 6 13" xfId="13200" xr:uid="{00000000-0005-0000-0000-000051580000}"/>
    <cellStyle name="Normal 3 3 4 6 13 2" xfId="30712" xr:uid="{00000000-0005-0000-0000-000052580000}"/>
    <cellStyle name="Normal 3 3 4 6 14" xfId="13201" xr:uid="{00000000-0005-0000-0000-000053580000}"/>
    <cellStyle name="Normal 3 3 4 6 14 2" xfId="30713" xr:uid="{00000000-0005-0000-0000-000054580000}"/>
    <cellStyle name="Normal 3 3 4 6 15" xfId="13202" xr:uid="{00000000-0005-0000-0000-000055580000}"/>
    <cellStyle name="Normal 3 3 4 6 15 2" xfId="30714" xr:uid="{00000000-0005-0000-0000-000056580000}"/>
    <cellStyle name="Normal 3 3 4 6 16" xfId="30708" xr:uid="{00000000-0005-0000-0000-000057580000}"/>
    <cellStyle name="Normal 3 3 4 6 2" xfId="13203" xr:uid="{00000000-0005-0000-0000-000058580000}"/>
    <cellStyle name="Normal 3 3 4 6 2 10" xfId="13204" xr:uid="{00000000-0005-0000-0000-000059580000}"/>
    <cellStyle name="Normal 3 3 4 6 2 10 2" xfId="30716" xr:uid="{00000000-0005-0000-0000-00005A580000}"/>
    <cellStyle name="Normal 3 3 4 6 2 11" xfId="13205" xr:uid="{00000000-0005-0000-0000-00005B580000}"/>
    <cellStyle name="Normal 3 3 4 6 2 11 2" xfId="30717" xr:uid="{00000000-0005-0000-0000-00005C580000}"/>
    <cellStyle name="Normal 3 3 4 6 2 12" xfId="13206" xr:uid="{00000000-0005-0000-0000-00005D580000}"/>
    <cellStyle name="Normal 3 3 4 6 2 12 2" xfId="30718" xr:uid="{00000000-0005-0000-0000-00005E580000}"/>
    <cellStyle name="Normal 3 3 4 6 2 13" xfId="13207" xr:uid="{00000000-0005-0000-0000-00005F580000}"/>
    <cellStyle name="Normal 3 3 4 6 2 13 2" xfId="30719" xr:uid="{00000000-0005-0000-0000-000060580000}"/>
    <cellStyle name="Normal 3 3 4 6 2 14" xfId="13208" xr:uid="{00000000-0005-0000-0000-000061580000}"/>
    <cellStyle name="Normal 3 3 4 6 2 14 2" xfId="30720" xr:uid="{00000000-0005-0000-0000-000062580000}"/>
    <cellStyle name="Normal 3 3 4 6 2 15" xfId="30715" xr:uid="{00000000-0005-0000-0000-000063580000}"/>
    <cellStyle name="Normal 3 3 4 6 2 2" xfId="13209" xr:uid="{00000000-0005-0000-0000-000064580000}"/>
    <cellStyle name="Normal 3 3 4 6 2 2 2" xfId="30721" xr:uid="{00000000-0005-0000-0000-000065580000}"/>
    <cellStyle name="Normal 3 3 4 6 2 3" xfId="13210" xr:uid="{00000000-0005-0000-0000-000066580000}"/>
    <cellStyle name="Normal 3 3 4 6 2 3 2" xfId="30722" xr:uid="{00000000-0005-0000-0000-000067580000}"/>
    <cellStyle name="Normal 3 3 4 6 2 4" xfId="13211" xr:uid="{00000000-0005-0000-0000-000068580000}"/>
    <cellStyle name="Normal 3 3 4 6 2 4 2" xfId="30723" xr:uid="{00000000-0005-0000-0000-000069580000}"/>
    <cellStyle name="Normal 3 3 4 6 2 5" xfId="13212" xr:uid="{00000000-0005-0000-0000-00006A580000}"/>
    <cellStyle name="Normal 3 3 4 6 2 5 2" xfId="30724" xr:uid="{00000000-0005-0000-0000-00006B580000}"/>
    <cellStyle name="Normal 3 3 4 6 2 6" xfId="13213" xr:uid="{00000000-0005-0000-0000-00006C580000}"/>
    <cellStyle name="Normal 3 3 4 6 2 6 2" xfId="30725" xr:uid="{00000000-0005-0000-0000-00006D580000}"/>
    <cellStyle name="Normal 3 3 4 6 2 7" xfId="13214" xr:uid="{00000000-0005-0000-0000-00006E580000}"/>
    <cellStyle name="Normal 3 3 4 6 2 7 2" xfId="30726" xr:uid="{00000000-0005-0000-0000-00006F580000}"/>
    <cellStyle name="Normal 3 3 4 6 2 8" xfId="13215" xr:uid="{00000000-0005-0000-0000-000070580000}"/>
    <cellStyle name="Normal 3 3 4 6 2 8 2" xfId="30727" xr:uid="{00000000-0005-0000-0000-000071580000}"/>
    <cellStyle name="Normal 3 3 4 6 2 9" xfId="13216" xr:uid="{00000000-0005-0000-0000-000072580000}"/>
    <cellStyle name="Normal 3 3 4 6 2 9 2" xfId="30728" xr:uid="{00000000-0005-0000-0000-000073580000}"/>
    <cellStyle name="Normal 3 3 4 6 3" xfId="13217" xr:uid="{00000000-0005-0000-0000-000074580000}"/>
    <cellStyle name="Normal 3 3 4 6 3 2" xfId="30729" xr:uid="{00000000-0005-0000-0000-000075580000}"/>
    <cellStyle name="Normal 3 3 4 6 4" xfId="13218" xr:uid="{00000000-0005-0000-0000-000076580000}"/>
    <cellStyle name="Normal 3 3 4 6 4 2" xfId="30730" xr:uid="{00000000-0005-0000-0000-000077580000}"/>
    <cellStyle name="Normal 3 3 4 6 5" xfId="13219" xr:uid="{00000000-0005-0000-0000-000078580000}"/>
    <cellStyle name="Normal 3 3 4 6 5 2" xfId="30731" xr:uid="{00000000-0005-0000-0000-000079580000}"/>
    <cellStyle name="Normal 3 3 4 6 6" xfId="13220" xr:uid="{00000000-0005-0000-0000-00007A580000}"/>
    <cellStyle name="Normal 3 3 4 6 6 2" xfId="30732" xr:uid="{00000000-0005-0000-0000-00007B580000}"/>
    <cellStyle name="Normal 3 3 4 6 7" xfId="13221" xr:uid="{00000000-0005-0000-0000-00007C580000}"/>
    <cellStyle name="Normal 3 3 4 6 7 2" xfId="30733" xr:uid="{00000000-0005-0000-0000-00007D580000}"/>
    <cellStyle name="Normal 3 3 4 6 8" xfId="13222" xr:uid="{00000000-0005-0000-0000-00007E580000}"/>
    <cellStyle name="Normal 3 3 4 6 8 2" xfId="30734" xr:uid="{00000000-0005-0000-0000-00007F580000}"/>
    <cellStyle name="Normal 3 3 4 6 9" xfId="13223" xr:uid="{00000000-0005-0000-0000-000080580000}"/>
    <cellStyle name="Normal 3 3 4 6 9 2" xfId="30735" xr:uid="{00000000-0005-0000-0000-000081580000}"/>
    <cellStyle name="Normal 3 3 4 7" xfId="13224" xr:uid="{00000000-0005-0000-0000-000082580000}"/>
    <cellStyle name="Normal 3 3 4 7 10" xfId="13225" xr:uid="{00000000-0005-0000-0000-000083580000}"/>
    <cellStyle name="Normal 3 3 4 7 10 2" xfId="30737" xr:uid="{00000000-0005-0000-0000-000084580000}"/>
    <cellStyle name="Normal 3 3 4 7 11" xfId="13226" xr:uid="{00000000-0005-0000-0000-000085580000}"/>
    <cellStyle name="Normal 3 3 4 7 11 2" xfId="30738" xr:uid="{00000000-0005-0000-0000-000086580000}"/>
    <cellStyle name="Normal 3 3 4 7 12" xfId="13227" xr:uid="{00000000-0005-0000-0000-000087580000}"/>
    <cellStyle name="Normal 3 3 4 7 12 2" xfId="30739" xr:uid="{00000000-0005-0000-0000-000088580000}"/>
    <cellStyle name="Normal 3 3 4 7 13" xfId="13228" xr:uid="{00000000-0005-0000-0000-000089580000}"/>
    <cellStyle name="Normal 3 3 4 7 13 2" xfId="30740" xr:uid="{00000000-0005-0000-0000-00008A580000}"/>
    <cellStyle name="Normal 3 3 4 7 14" xfId="13229" xr:uid="{00000000-0005-0000-0000-00008B580000}"/>
    <cellStyle name="Normal 3 3 4 7 14 2" xfId="30741" xr:uid="{00000000-0005-0000-0000-00008C580000}"/>
    <cellStyle name="Normal 3 3 4 7 15" xfId="13230" xr:uid="{00000000-0005-0000-0000-00008D580000}"/>
    <cellStyle name="Normal 3 3 4 7 15 2" xfId="30742" xr:uid="{00000000-0005-0000-0000-00008E580000}"/>
    <cellStyle name="Normal 3 3 4 7 16" xfId="30736" xr:uid="{00000000-0005-0000-0000-00008F580000}"/>
    <cellStyle name="Normal 3 3 4 7 2" xfId="13231" xr:uid="{00000000-0005-0000-0000-000090580000}"/>
    <cellStyle name="Normal 3 3 4 7 2 10" xfId="13232" xr:uid="{00000000-0005-0000-0000-000091580000}"/>
    <cellStyle name="Normal 3 3 4 7 2 10 2" xfId="30744" xr:uid="{00000000-0005-0000-0000-000092580000}"/>
    <cellStyle name="Normal 3 3 4 7 2 11" xfId="13233" xr:uid="{00000000-0005-0000-0000-000093580000}"/>
    <cellStyle name="Normal 3 3 4 7 2 11 2" xfId="30745" xr:uid="{00000000-0005-0000-0000-000094580000}"/>
    <cellStyle name="Normal 3 3 4 7 2 12" xfId="13234" xr:uid="{00000000-0005-0000-0000-000095580000}"/>
    <cellStyle name="Normal 3 3 4 7 2 12 2" xfId="30746" xr:uid="{00000000-0005-0000-0000-000096580000}"/>
    <cellStyle name="Normal 3 3 4 7 2 13" xfId="13235" xr:uid="{00000000-0005-0000-0000-000097580000}"/>
    <cellStyle name="Normal 3 3 4 7 2 13 2" xfId="30747" xr:uid="{00000000-0005-0000-0000-000098580000}"/>
    <cellStyle name="Normal 3 3 4 7 2 14" xfId="13236" xr:uid="{00000000-0005-0000-0000-000099580000}"/>
    <cellStyle name="Normal 3 3 4 7 2 14 2" xfId="30748" xr:uid="{00000000-0005-0000-0000-00009A580000}"/>
    <cellStyle name="Normal 3 3 4 7 2 15" xfId="30743" xr:uid="{00000000-0005-0000-0000-00009B580000}"/>
    <cellStyle name="Normal 3 3 4 7 2 2" xfId="13237" xr:uid="{00000000-0005-0000-0000-00009C580000}"/>
    <cellStyle name="Normal 3 3 4 7 2 2 2" xfId="30749" xr:uid="{00000000-0005-0000-0000-00009D580000}"/>
    <cellStyle name="Normal 3 3 4 7 2 3" xfId="13238" xr:uid="{00000000-0005-0000-0000-00009E580000}"/>
    <cellStyle name="Normal 3 3 4 7 2 3 2" xfId="30750" xr:uid="{00000000-0005-0000-0000-00009F580000}"/>
    <cellStyle name="Normal 3 3 4 7 2 4" xfId="13239" xr:uid="{00000000-0005-0000-0000-0000A0580000}"/>
    <cellStyle name="Normal 3 3 4 7 2 4 2" xfId="30751" xr:uid="{00000000-0005-0000-0000-0000A1580000}"/>
    <cellStyle name="Normal 3 3 4 7 2 5" xfId="13240" xr:uid="{00000000-0005-0000-0000-0000A2580000}"/>
    <cellStyle name="Normal 3 3 4 7 2 5 2" xfId="30752" xr:uid="{00000000-0005-0000-0000-0000A3580000}"/>
    <cellStyle name="Normal 3 3 4 7 2 6" xfId="13241" xr:uid="{00000000-0005-0000-0000-0000A4580000}"/>
    <cellStyle name="Normal 3 3 4 7 2 6 2" xfId="30753" xr:uid="{00000000-0005-0000-0000-0000A5580000}"/>
    <cellStyle name="Normal 3 3 4 7 2 7" xfId="13242" xr:uid="{00000000-0005-0000-0000-0000A6580000}"/>
    <cellStyle name="Normal 3 3 4 7 2 7 2" xfId="30754" xr:uid="{00000000-0005-0000-0000-0000A7580000}"/>
    <cellStyle name="Normal 3 3 4 7 2 8" xfId="13243" xr:uid="{00000000-0005-0000-0000-0000A8580000}"/>
    <cellStyle name="Normal 3 3 4 7 2 8 2" xfId="30755" xr:uid="{00000000-0005-0000-0000-0000A9580000}"/>
    <cellStyle name="Normal 3 3 4 7 2 9" xfId="13244" xr:uid="{00000000-0005-0000-0000-0000AA580000}"/>
    <cellStyle name="Normal 3 3 4 7 2 9 2" xfId="30756" xr:uid="{00000000-0005-0000-0000-0000AB580000}"/>
    <cellStyle name="Normal 3 3 4 7 3" xfId="13245" xr:uid="{00000000-0005-0000-0000-0000AC580000}"/>
    <cellStyle name="Normal 3 3 4 7 3 2" xfId="30757" xr:uid="{00000000-0005-0000-0000-0000AD580000}"/>
    <cellStyle name="Normal 3 3 4 7 4" xfId="13246" xr:uid="{00000000-0005-0000-0000-0000AE580000}"/>
    <cellStyle name="Normal 3 3 4 7 4 2" xfId="30758" xr:uid="{00000000-0005-0000-0000-0000AF580000}"/>
    <cellStyle name="Normal 3 3 4 7 5" xfId="13247" xr:uid="{00000000-0005-0000-0000-0000B0580000}"/>
    <cellStyle name="Normal 3 3 4 7 5 2" xfId="30759" xr:uid="{00000000-0005-0000-0000-0000B1580000}"/>
    <cellStyle name="Normal 3 3 4 7 6" xfId="13248" xr:uid="{00000000-0005-0000-0000-0000B2580000}"/>
    <cellStyle name="Normal 3 3 4 7 6 2" xfId="30760" xr:uid="{00000000-0005-0000-0000-0000B3580000}"/>
    <cellStyle name="Normal 3 3 4 7 7" xfId="13249" xr:uid="{00000000-0005-0000-0000-0000B4580000}"/>
    <cellStyle name="Normal 3 3 4 7 7 2" xfId="30761" xr:uid="{00000000-0005-0000-0000-0000B5580000}"/>
    <cellStyle name="Normal 3 3 4 7 8" xfId="13250" xr:uid="{00000000-0005-0000-0000-0000B6580000}"/>
    <cellStyle name="Normal 3 3 4 7 8 2" xfId="30762" xr:uid="{00000000-0005-0000-0000-0000B7580000}"/>
    <cellStyle name="Normal 3 3 4 7 9" xfId="13251" xr:uid="{00000000-0005-0000-0000-0000B8580000}"/>
    <cellStyle name="Normal 3 3 4 7 9 2" xfId="30763" xr:uid="{00000000-0005-0000-0000-0000B9580000}"/>
    <cellStyle name="Normal 3 3 4 8" xfId="13252" xr:uid="{00000000-0005-0000-0000-0000BA580000}"/>
    <cellStyle name="Normal 3 3 4 8 10" xfId="13253" xr:uid="{00000000-0005-0000-0000-0000BB580000}"/>
    <cellStyle name="Normal 3 3 4 8 10 2" xfId="30765" xr:uid="{00000000-0005-0000-0000-0000BC580000}"/>
    <cellStyle name="Normal 3 3 4 8 11" xfId="13254" xr:uid="{00000000-0005-0000-0000-0000BD580000}"/>
    <cellStyle name="Normal 3 3 4 8 11 2" xfId="30766" xr:uid="{00000000-0005-0000-0000-0000BE580000}"/>
    <cellStyle name="Normal 3 3 4 8 12" xfId="13255" xr:uid="{00000000-0005-0000-0000-0000BF580000}"/>
    <cellStyle name="Normal 3 3 4 8 12 2" xfId="30767" xr:uid="{00000000-0005-0000-0000-0000C0580000}"/>
    <cellStyle name="Normal 3 3 4 8 13" xfId="13256" xr:uid="{00000000-0005-0000-0000-0000C1580000}"/>
    <cellStyle name="Normal 3 3 4 8 13 2" xfId="30768" xr:uid="{00000000-0005-0000-0000-0000C2580000}"/>
    <cellStyle name="Normal 3 3 4 8 14" xfId="13257" xr:uid="{00000000-0005-0000-0000-0000C3580000}"/>
    <cellStyle name="Normal 3 3 4 8 14 2" xfId="30769" xr:uid="{00000000-0005-0000-0000-0000C4580000}"/>
    <cellStyle name="Normal 3 3 4 8 15" xfId="13258" xr:uid="{00000000-0005-0000-0000-0000C5580000}"/>
    <cellStyle name="Normal 3 3 4 8 15 2" xfId="30770" xr:uid="{00000000-0005-0000-0000-0000C6580000}"/>
    <cellStyle name="Normal 3 3 4 8 16" xfId="30764" xr:uid="{00000000-0005-0000-0000-0000C7580000}"/>
    <cellStyle name="Normal 3 3 4 8 2" xfId="13259" xr:uid="{00000000-0005-0000-0000-0000C8580000}"/>
    <cellStyle name="Normal 3 3 4 8 2 10" xfId="13260" xr:uid="{00000000-0005-0000-0000-0000C9580000}"/>
    <cellStyle name="Normal 3 3 4 8 2 10 2" xfId="30772" xr:uid="{00000000-0005-0000-0000-0000CA580000}"/>
    <cellStyle name="Normal 3 3 4 8 2 11" xfId="13261" xr:uid="{00000000-0005-0000-0000-0000CB580000}"/>
    <cellStyle name="Normal 3 3 4 8 2 11 2" xfId="30773" xr:uid="{00000000-0005-0000-0000-0000CC580000}"/>
    <cellStyle name="Normal 3 3 4 8 2 12" xfId="13262" xr:uid="{00000000-0005-0000-0000-0000CD580000}"/>
    <cellStyle name="Normal 3 3 4 8 2 12 2" xfId="30774" xr:uid="{00000000-0005-0000-0000-0000CE580000}"/>
    <cellStyle name="Normal 3 3 4 8 2 13" xfId="13263" xr:uid="{00000000-0005-0000-0000-0000CF580000}"/>
    <cellStyle name="Normal 3 3 4 8 2 13 2" xfId="30775" xr:uid="{00000000-0005-0000-0000-0000D0580000}"/>
    <cellStyle name="Normal 3 3 4 8 2 14" xfId="13264" xr:uid="{00000000-0005-0000-0000-0000D1580000}"/>
    <cellStyle name="Normal 3 3 4 8 2 14 2" xfId="30776" xr:uid="{00000000-0005-0000-0000-0000D2580000}"/>
    <cellStyle name="Normal 3 3 4 8 2 15" xfId="30771" xr:uid="{00000000-0005-0000-0000-0000D3580000}"/>
    <cellStyle name="Normal 3 3 4 8 2 2" xfId="13265" xr:uid="{00000000-0005-0000-0000-0000D4580000}"/>
    <cellStyle name="Normal 3 3 4 8 2 2 2" xfId="30777" xr:uid="{00000000-0005-0000-0000-0000D5580000}"/>
    <cellStyle name="Normal 3 3 4 8 2 3" xfId="13266" xr:uid="{00000000-0005-0000-0000-0000D6580000}"/>
    <cellStyle name="Normal 3 3 4 8 2 3 2" xfId="30778" xr:uid="{00000000-0005-0000-0000-0000D7580000}"/>
    <cellStyle name="Normal 3 3 4 8 2 4" xfId="13267" xr:uid="{00000000-0005-0000-0000-0000D8580000}"/>
    <cellStyle name="Normal 3 3 4 8 2 4 2" xfId="30779" xr:uid="{00000000-0005-0000-0000-0000D9580000}"/>
    <cellStyle name="Normal 3 3 4 8 2 5" xfId="13268" xr:uid="{00000000-0005-0000-0000-0000DA580000}"/>
    <cellStyle name="Normal 3 3 4 8 2 5 2" xfId="30780" xr:uid="{00000000-0005-0000-0000-0000DB580000}"/>
    <cellStyle name="Normal 3 3 4 8 2 6" xfId="13269" xr:uid="{00000000-0005-0000-0000-0000DC580000}"/>
    <cellStyle name="Normal 3 3 4 8 2 6 2" xfId="30781" xr:uid="{00000000-0005-0000-0000-0000DD580000}"/>
    <cellStyle name="Normal 3 3 4 8 2 7" xfId="13270" xr:uid="{00000000-0005-0000-0000-0000DE580000}"/>
    <cellStyle name="Normal 3 3 4 8 2 7 2" xfId="30782" xr:uid="{00000000-0005-0000-0000-0000DF580000}"/>
    <cellStyle name="Normal 3 3 4 8 2 8" xfId="13271" xr:uid="{00000000-0005-0000-0000-0000E0580000}"/>
    <cellStyle name="Normal 3 3 4 8 2 8 2" xfId="30783" xr:uid="{00000000-0005-0000-0000-0000E1580000}"/>
    <cellStyle name="Normal 3 3 4 8 2 9" xfId="13272" xr:uid="{00000000-0005-0000-0000-0000E2580000}"/>
    <cellStyle name="Normal 3 3 4 8 2 9 2" xfId="30784" xr:uid="{00000000-0005-0000-0000-0000E3580000}"/>
    <cellStyle name="Normal 3 3 4 8 3" xfId="13273" xr:uid="{00000000-0005-0000-0000-0000E4580000}"/>
    <cellStyle name="Normal 3 3 4 8 3 2" xfId="30785" xr:uid="{00000000-0005-0000-0000-0000E5580000}"/>
    <cellStyle name="Normal 3 3 4 8 4" xfId="13274" xr:uid="{00000000-0005-0000-0000-0000E6580000}"/>
    <cellStyle name="Normal 3 3 4 8 4 2" xfId="30786" xr:uid="{00000000-0005-0000-0000-0000E7580000}"/>
    <cellStyle name="Normal 3 3 4 8 5" xfId="13275" xr:uid="{00000000-0005-0000-0000-0000E8580000}"/>
    <cellStyle name="Normal 3 3 4 8 5 2" xfId="30787" xr:uid="{00000000-0005-0000-0000-0000E9580000}"/>
    <cellStyle name="Normal 3 3 4 8 6" xfId="13276" xr:uid="{00000000-0005-0000-0000-0000EA580000}"/>
    <cellStyle name="Normal 3 3 4 8 6 2" xfId="30788" xr:uid="{00000000-0005-0000-0000-0000EB580000}"/>
    <cellStyle name="Normal 3 3 4 8 7" xfId="13277" xr:uid="{00000000-0005-0000-0000-0000EC580000}"/>
    <cellStyle name="Normal 3 3 4 8 7 2" xfId="30789" xr:uid="{00000000-0005-0000-0000-0000ED580000}"/>
    <cellStyle name="Normal 3 3 4 8 8" xfId="13278" xr:uid="{00000000-0005-0000-0000-0000EE580000}"/>
    <cellStyle name="Normal 3 3 4 8 8 2" xfId="30790" xr:uid="{00000000-0005-0000-0000-0000EF580000}"/>
    <cellStyle name="Normal 3 3 4 8 9" xfId="13279" xr:uid="{00000000-0005-0000-0000-0000F0580000}"/>
    <cellStyle name="Normal 3 3 4 8 9 2" xfId="30791" xr:uid="{00000000-0005-0000-0000-0000F1580000}"/>
    <cellStyle name="Normal 3 3 4 9" xfId="13280" xr:uid="{00000000-0005-0000-0000-0000F2580000}"/>
    <cellStyle name="Normal 3 3 4 9 10" xfId="13281" xr:uid="{00000000-0005-0000-0000-0000F3580000}"/>
    <cellStyle name="Normal 3 3 4 9 10 2" xfId="30793" xr:uid="{00000000-0005-0000-0000-0000F4580000}"/>
    <cellStyle name="Normal 3 3 4 9 11" xfId="13282" xr:uid="{00000000-0005-0000-0000-0000F5580000}"/>
    <cellStyle name="Normal 3 3 4 9 11 2" xfId="30794" xr:uid="{00000000-0005-0000-0000-0000F6580000}"/>
    <cellStyle name="Normal 3 3 4 9 12" xfId="13283" xr:uid="{00000000-0005-0000-0000-0000F7580000}"/>
    <cellStyle name="Normal 3 3 4 9 12 2" xfId="30795" xr:uid="{00000000-0005-0000-0000-0000F8580000}"/>
    <cellStyle name="Normal 3 3 4 9 13" xfId="13284" xr:uid="{00000000-0005-0000-0000-0000F9580000}"/>
    <cellStyle name="Normal 3 3 4 9 13 2" xfId="30796" xr:uid="{00000000-0005-0000-0000-0000FA580000}"/>
    <cellStyle name="Normal 3 3 4 9 14" xfId="13285" xr:uid="{00000000-0005-0000-0000-0000FB580000}"/>
    <cellStyle name="Normal 3 3 4 9 14 2" xfId="30797" xr:uid="{00000000-0005-0000-0000-0000FC580000}"/>
    <cellStyle name="Normal 3 3 4 9 15" xfId="30792" xr:uid="{00000000-0005-0000-0000-0000FD580000}"/>
    <cellStyle name="Normal 3 3 4 9 2" xfId="13286" xr:uid="{00000000-0005-0000-0000-0000FE580000}"/>
    <cellStyle name="Normal 3 3 4 9 2 2" xfId="30798" xr:uid="{00000000-0005-0000-0000-0000FF580000}"/>
    <cellStyle name="Normal 3 3 4 9 3" xfId="13287" xr:uid="{00000000-0005-0000-0000-000000590000}"/>
    <cellStyle name="Normal 3 3 4 9 3 2" xfId="30799" xr:uid="{00000000-0005-0000-0000-000001590000}"/>
    <cellStyle name="Normal 3 3 4 9 4" xfId="13288" xr:uid="{00000000-0005-0000-0000-000002590000}"/>
    <cellStyle name="Normal 3 3 4 9 4 2" xfId="30800" xr:uid="{00000000-0005-0000-0000-000003590000}"/>
    <cellStyle name="Normal 3 3 4 9 5" xfId="13289" xr:uid="{00000000-0005-0000-0000-000004590000}"/>
    <cellStyle name="Normal 3 3 4 9 5 2" xfId="30801" xr:uid="{00000000-0005-0000-0000-000005590000}"/>
    <cellStyle name="Normal 3 3 4 9 6" xfId="13290" xr:uid="{00000000-0005-0000-0000-000006590000}"/>
    <cellStyle name="Normal 3 3 4 9 6 2" xfId="30802" xr:uid="{00000000-0005-0000-0000-000007590000}"/>
    <cellStyle name="Normal 3 3 4 9 7" xfId="13291" xr:uid="{00000000-0005-0000-0000-000008590000}"/>
    <cellStyle name="Normal 3 3 4 9 7 2" xfId="30803" xr:uid="{00000000-0005-0000-0000-000009590000}"/>
    <cellStyle name="Normal 3 3 4 9 8" xfId="13292" xr:uid="{00000000-0005-0000-0000-00000A590000}"/>
    <cellStyle name="Normal 3 3 4 9 8 2" xfId="30804" xr:uid="{00000000-0005-0000-0000-00000B590000}"/>
    <cellStyle name="Normal 3 3 4 9 9" xfId="13293" xr:uid="{00000000-0005-0000-0000-00000C590000}"/>
    <cellStyle name="Normal 3 3 4 9 9 2" xfId="30805" xr:uid="{00000000-0005-0000-0000-00000D590000}"/>
    <cellStyle name="Normal 3 3 5" xfId="13294" xr:uid="{00000000-0005-0000-0000-00000E590000}"/>
    <cellStyle name="Normal 3 3 5 10" xfId="13295" xr:uid="{00000000-0005-0000-0000-00000F590000}"/>
    <cellStyle name="Normal 3 3 5 10 10" xfId="13296" xr:uid="{00000000-0005-0000-0000-000010590000}"/>
    <cellStyle name="Normal 3 3 5 10 10 2" xfId="30808" xr:uid="{00000000-0005-0000-0000-000011590000}"/>
    <cellStyle name="Normal 3 3 5 10 11" xfId="13297" xr:uid="{00000000-0005-0000-0000-000012590000}"/>
    <cellStyle name="Normal 3 3 5 10 11 2" xfId="30809" xr:uid="{00000000-0005-0000-0000-000013590000}"/>
    <cellStyle name="Normal 3 3 5 10 12" xfId="13298" xr:uid="{00000000-0005-0000-0000-000014590000}"/>
    <cellStyle name="Normal 3 3 5 10 12 2" xfId="30810" xr:uid="{00000000-0005-0000-0000-000015590000}"/>
    <cellStyle name="Normal 3 3 5 10 13" xfId="13299" xr:uid="{00000000-0005-0000-0000-000016590000}"/>
    <cellStyle name="Normal 3 3 5 10 13 2" xfId="30811" xr:uid="{00000000-0005-0000-0000-000017590000}"/>
    <cellStyle name="Normal 3 3 5 10 14" xfId="13300" xr:uid="{00000000-0005-0000-0000-000018590000}"/>
    <cellStyle name="Normal 3 3 5 10 14 2" xfId="30812" xr:uid="{00000000-0005-0000-0000-000019590000}"/>
    <cellStyle name="Normal 3 3 5 10 15" xfId="30807" xr:uid="{00000000-0005-0000-0000-00001A590000}"/>
    <cellStyle name="Normal 3 3 5 10 2" xfId="13301" xr:uid="{00000000-0005-0000-0000-00001B590000}"/>
    <cellStyle name="Normal 3 3 5 10 2 2" xfId="30813" xr:uid="{00000000-0005-0000-0000-00001C590000}"/>
    <cellStyle name="Normal 3 3 5 10 3" xfId="13302" xr:uid="{00000000-0005-0000-0000-00001D590000}"/>
    <cellStyle name="Normal 3 3 5 10 3 2" xfId="30814" xr:uid="{00000000-0005-0000-0000-00001E590000}"/>
    <cellStyle name="Normal 3 3 5 10 4" xfId="13303" xr:uid="{00000000-0005-0000-0000-00001F590000}"/>
    <cellStyle name="Normal 3 3 5 10 4 2" xfId="30815" xr:uid="{00000000-0005-0000-0000-000020590000}"/>
    <cellStyle name="Normal 3 3 5 10 5" xfId="13304" xr:uid="{00000000-0005-0000-0000-000021590000}"/>
    <cellStyle name="Normal 3 3 5 10 5 2" xfId="30816" xr:uid="{00000000-0005-0000-0000-000022590000}"/>
    <cellStyle name="Normal 3 3 5 10 6" xfId="13305" xr:uid="{00000000-0005-0000-0000-000023590000}"/>
    <cellStyle name="Normal 3 3 5 10 6 2" xfId="30817" xr:uid="{00000000-0005-0000-0000-000024590000}"/>
    <cellStyle name="Normal 3 3 5 10 7" xfId="13306" xr:uid="{00000000-0005-0000-0000-000025590000}"/>
    <cellStyle name="Normal 3 3 5 10 7 2" xfId="30818" xr:uid="{00000000-0005-0000-0000-000026590000}"/>
    <cellStyle name="Normal 3 3 5 10 8" xfId="13307" xr:uid="{00000000-0005-0000-0000-000027590000}"/>
    <cellStyle name="Normal 3 3 5 10 8 2" xfId="30819" xr:uid="{00000000-0005-0000-0000-000028590000}"/>
    <cellStyle name="Normal 3 3 5 10 9" xfId="13308" xr:uid="{00000000-0005-0000-0000-000029590000}"/>
    <cellStyle name="Normal 3 3 5 10 9 2" xfId="30820" xr:uid="{00000000-0005-0000-0000-00002A590000}"/>
    <cellStyle name="Normal 3 3 5 11" xfId="13309" xr:uid="{00000000-0005-0000-0000-00002B590000}"/>
    <cellStyle name="Normal 3 3 5 11 10" xfId="13310" xr:uid="{00000000-0005-0000-0000-00002C590000}"/>
    <cellStyle name="Normal 3 3 5 11 10 2" xfId="30822" xr:uid="{00000000-0005-0000-0000-00002D590000}"/>
    <cellStyle name="Normal 3 3 5 11 11" xfId="13311" xr:uid="{00000000-0005-0000-0000-00002E590000}"/>
    <cellStyle name="Normal 3 3 5 11 11 2" xfId="30823" xr:uid="{00000000-0005-0000-0000-00002F590000}"/>
    <cellStyle name="Normal 3 3 5 11 12" xfId="13312" xr:uid="{00000000-0005-0000-0000-000030590000}"/>
    <cellStyle name="Normal 3 3 5 11 12 2" xfId="30824" xr:uid="{00000000-0005-0000-0000-000031590000}"/>
    <cellStyle name="Normal 3 3 5 11 13" xfId="13313" xr:uid="{00000000-0005-0000-0000-000032590000}"/>
    <cellStyle name="Normal 3 3 5 11 13 2" xfId="30825" xr:uid="{00000000-0005-0000-0000-000033590000}"/>
    <cellStyle name="Normal 3 3 5 11 14" xfId="13314" xr:uid="{00000000-0005-0000-0000-000034590000}"/>
    <cellStyle name="Normal 3 3 5 11 14 2" xfId="30826" xr:uid="{00000000-0005-0000-0000-000035590000}"/>
    <cellStyle name="Normal 3 3 5 11 15" xfId="30821" xr:uid="{00000000-0005-0000-0000-000036590000}"/>
    <cellStyle name="Normal 3 3 5 11 2" xfId="13315" xr:uid="{00000000-0005-0000-0000-000037590000}"/>
    <cellStyle name="Normal 3 3 5 11 2 2" xfId="30827" xr:uid="{00000000-0005-0000-0000-000038590000}"/>
    <cellStyle name="Normal 3 3 5 11 3" xfId="13316" xr:uid="{00000000-0005-0000-0000-000039590000}"/>
    <cellStyle name="Normal 3 3 5 11 3 2" xfId="30828" xr:uid="{00000000-0005-0000-0000-00003A590000}"/>
    <cellStyle name="Normal 3 3 5 11 4" xfId="13317" xr:uid="{00000000-0005-0000-0000-00003B590000}"/>
    <cellStyle name="Normal 3 3 5 11 4 2" xfId="30829" xr:uid="{00000000-0005-0000-0000-00003C590000}"/>
    <cellStyle name="Normal 3 3 5 11 5" xfId="13318" xr:uid="{00000000-0005-0000-0000-00003D590000}"/>
    <cellStyle name="Normal 3 3 5 11 5 2" xfId="30830" xr:uid="{00000000-0005-0000-0000-00003E590000}"/>
    <cellStyle name="Normal 3 3 5 11 6" xfId="13319" xr:uid="{00000000-0005-0000-0000-00003F590000}"/>
    <cellStyle name="Normal 3 3 5 11 6 2" xfId="30831" xr:uid="{00000000-0005-0000-0000-000040590000}"/>
    <cellStyle name="Normal 3 3 5 11 7" xfId="13320" xr:uid="{00000000-0005-0000-0000-000041590000}"/>
    <cellStyle name="Normal 3 3 5 11 7 2" xfId="30832" xr:uid="{00000000-0005-0000-0000-000042590000}"/>
    <cellStyle name="Normal 3 3 5 11 8" xfId="13321" xr:uid="{00000000-0005-0000-0000-000043590000}"/>
    <cellStyle name="Normal 3 3 5 11 8 2" xfId="30833" xr:uid="{00000000-0005-0000-0000-000044590000}"/>
    <cellStyle name="Normal 3 3 5 11 9" xfId="13322" xr:uid="{00000000-0005-0000-0000-000045590000}"/>
    <cellStyle name="Normal 3 3 5 11 9 2" xfId="30834" xr:uid="{00000000-0005-0000-0000-000046590000}"/>
    <cellStyle name="Normal 3 3 5 12" xfId="13323" xr:uid="{00000000-0005-0000-0000-000047590000}"/>
    <cellStyle name="Normal 3 3 5 12 10" xfId="13324" xr:uid="{00000000-0005-0000-0000-000048590000}"/>
    <cellStyle name="Normal 3 3 5 12 10 2" xfId="30836" xr:uid="{00000000-0005-0000-0000-000049590000}"/>
    <cellStyle name="Normal 3 3 5 12 11" xfId="13325" xr:uid="{00000000-0005-0000-0000-00004A590000}"/>
    <cellStyle name="Normal 3 3 5 12 11 2" xfId="30837" xr:uid="{00000000-0005-0000-0000-00004B590000}"/>
    <cellStyle name="Normal 3 3 5 12 12" xfId="13326" xr:uid="{00000000-0005-0000-0000-00004C590000}"/>
    <cellStyle name="Normal 3 3 5 12 12 2" xfId="30838" xr:uid="{00000000-0005-0000-0000-00004D590000}"/>
    <cellStyle name="Normal 3 3 5 12 13" xfId="13327" xr:uid="{00000000-0005-0000-0000-00004E590000}"/>
    <cellStyle name="Normal 3 3 5 12 13 2" xfId="30839" xr:uid="{00000000-0005-0000-0000-00004F590000}"/>
    <cellStyle name="Normal 3 3 5 12 14" xfId="13328" xr:uid="{00000000-0005-0000-0000-000050590000}"/>
    <cellStyle name="Normal 3 3 5 12 14 2" xfId="30840" xr:uid="{00000000-0005-0000-0000-000051590000}"/>
    <cellStyle name="Normal 3 3 5 12 15" xfId="30835" xr:uid="{00000000-0005-0000-0000-000052590000}"/>
    <cellStyle name="Normal 3 3 5 12 2" xfId="13329" xr:uid="{00000000-0005-0000-0000-000053590000}"/>
    <cellStyle name="Normal 3 3 5 12 2 2" xfId="30841" xr:uid="{00000000-0005-0000-0000-000054590000}"/>
    <cellStyle name="Normal 3 3 5 12 3" xfId="13330" xr:uid="{00000000-0005-0000-0000-000055590000}"/>
    <cellStyle name="Normal 3 3 5 12 3 2" xfId="30842" xr:uid="{00000000-0005-0000-0000-000056590000}"/>
    <cellStyle name="Normal 3 3 5 12 4" xfId="13331" xr:uid="{00000000-0005-0000-0000-000057590000}"/>
    <cellStyle name="Normal 3 3 5 12 4 2" xfId="30843" xr:uid="{00000000-0005-0000-0000-000058590000}"/>
    <cellStyle name="Normal 3 3 5 12 5" xfId="13332" xr:uid="{00000000-0005-0000-0000-000059590000}"/>
    <cellStyle name="Normal 3 3 5 12 5 2" xfId="30844" xr:uid="{00000000-0005-0000-0000-00005A590000}"/>
    <cellStyle name="Normal 3 3 5 12 6" xfId="13333" xr:uid="{00000000-0005-0000-0000-00005B590000}"/>
    <cellStyle name="Normal 3 3 5 12 6 2" xfId="30845" xr:uid="{00000000-0005-0000-0000-00005C590000}"/>
    <cellStyle name="Normal 3 3 5 12 7" xfId="13334" xr:uid="{00000000-0005-0000-0000-00005D590000}"/>
    <cellStyle name="Normal 3 3 5 12 7 2" xfId="30846" xr:uid="{00000000-0005-0000-0000-00005E590000}"/>
    <cellStyle name="Normal 3 3 5 12 8" xfId="13335" xr:uid="{00000000-0005-0000-0000-00005F590000}"/>
    <cellStyle name="Normal 3 3 5 12 8 2" xfId="30847" xr:uid="{00000000-0005-0000-0000-000060590000}"/>
    <cellStyle name="Normal 3 3 5 12 9" xfId="13336" xr:uid="{00000000-0005-0000-0000-000061590000}"/>
    <cellStyle name="Normal 3 3 5 12 9 2" xfId="30848" xr:uid="{00000000-0005-0000-0000-000062590000}"/>
    <cellStyle name="Normal 3 3 5 13" xfId="13337" xr:uid="{00000000-0005-0000-0000-000063590000}"/>
    <cellStyle name="Normal 3 3 5 13 10" xfId="13338" xr:uid="{00000000-0005-0000-0000-000064590000}"/>
    <cellStyle name="Normal 3 3 5 13 10 2" xfId="30850" xr:uid="{00000000-0005-0000-0000-000065590000}"/>
    <cellStyle name="Normal 3 3 5 13 11" xfId="13339" xr:uid="{00000000-0005-0000-0000-000066590000}"/>
    <cellStyle name="Normal 3 3 5 13 11 2" xfId="30851" xr:uid="{00000000-0005-0000-0000-000067590000}"/>
    <cellStyle name="Normal 3 3 5 13 12" xfId="13340" xr:uid="{00000000-0005-0000-0000-000068590000}"/>
    <cellStyle name="Normal 3 3 5 13 12 2" xfId="30852" xr:uid="{00000000-0005-0000-0000-000069590000}"/>
    <cellStyle name="Normal 3 3 5 13 13" xfId="13341" xr:uid="{00000000-0005-0000-0000-00006A590000}"/>
    <cellStyle name="Normal 3 3 5 13 13 2" xfId="30853" xr:uid="{00000000-0005-0000-0000-00006B590000}"/>
    <cellStyle name="Normal 3 3 5 13 14" xfId="13342" xr:uid="{00000000-0005-0000-0000-00006C590000}"/>
    <cellStyle name="Normal 3 3 5 13 14 2" xfId="30854" xr:uid="{00000000-0005-0000-0000-00006D590000}"/>
    <cellStyle name="Normal 3 3 5 13 15" xfId="30849" xr:uid="{00000000-0005-0000-0000-00006E590000}"/>
    <cellStyle name="Normal 3 3 5 13 2" xfId="13343" xr:uid="{00000000-0005-0000-0000-00006F590000}"/>
    <cellStyle name="Normal 3 3 5 13 2 2" xfId="30855" xr:uid="{00000000-0005-0000-0000-000070590000}"/>
    <cellStyle name="Normal 3 3 5 13 3" xfId="13344" xr:uid="{00000000-0005-0000-0000-000071590000}"/>
    <cellStyle name="Normal 3 3 5 13 3 2" xfId="30856" xr:uid="{00000000-0005-0000-0000-000072590000}"/>
    <cellStyle name="Normal 3 3 5 13 4" xfId="13345" xr:uid="{00000000-0005-0000-0000-000073590000}"/>
    <cellStyle name="Normal 3 3 5 13 4 2" xfId="30857" xr:uid="{00000000-0005-0000-0000-000074590000}"/>
    <cellStyle name="Normal 3 3 5 13 5" xfId="13346" xr:uid="{00000000-0005-0000-0000-000075590000}"/>
    <cellStyle name="Normal 3 3 5 13 5 2" xfId="30858" xr:uid="{00000000-0005-0000-0000-000076590000}"/>
    <cellStyle name="Normal 3 3 5 13 6" xfId="13347" xr:uid="{00000000-0005-0000-0000-000077590000}"/>
    <cellStyle name="Normal 3 3 5 13 6 2" xfId="30859" xr:uid="{00000000-0005-0000-0000-000078590000}"/>
    <cellStyle name="Normal 3 3 5 13 7" xfId="13348" xr:uid="{00000000-0005-0000-0000-000079590000}"/>
    <cellStyle name="Normal 3 3 5 13 7 2" xfId="30860" xr:uid="{00000000-0005-0000-0000-00007A590000}"/>
    <cellStyle name="Normal 3 3 5 13 8" xfId="13349" xr:uid="{00000000-0005-0000-0000-00007B590000}"/>
    <cellStyle name="Normal 3 3 5 13 8 2" xfId="30861" xr:uid="{00000000-0005-0000-0000-00007C590000}"/>
    <cellStyle name="Normal 3 3 5 13 9" xfId="13350" xr:uid="{00000000-0005-0000-0000-00007D590000}"/>
    <cellStyle name="Normal 3 3 5 13 9 2" xfId="30862" xr:uid="{00000000-0005-0000-0000-00007E590000}"/>
    <cellStyle name="Normal 3 3 5 14" xfId="13351" xr:uid="{00000000-0005-0000-0000-00007F590000}"/>
    <cellStyle name="Normal 3 3 5 14 10" xfId="13352" xr:uid="{00000000-0005-0000-0000-000080590000}"/>
    <cellStyle name="Normal 3 3 5 14 10 2" xfId="30864" xr:uid="{00000000-0005-0000-0000-000081590000}"/>
    <cellStyle name="Normal 3 3 5 14 11" xfId="13353" xr:uid="{00000000-0005-0000-0000-000082590000}"/>
    <cellStyle name="Normal 3 3 5 14 11 2" xfId="30865" xr:uid="{00000000-0005-0000-0000-000083590000}"/>
    <cellStyle name="Normal 3 3 5 14 12" xfId="13354" xr:uid="{00000000-0005-0000-0000-000084590000}"/>
    <cellStyle name="Normal 3 3 5 14 12 2" xfId="30866" xr:uid="{00000000-0005-0000-0000-000085590000}"/>
    <cellStyle name="Normal 3 3 5 14 13" xfId="13355" xr:uid="{00000000-0005-0000-0000-000086590000}"/>
    <cellStyle name="Normal 3 3 5 14 13 2" xfId="30867" xr:uid="{00000000-0005-0000-0000-000087590000}"/>
    <cellStyle name="Normal 3 3 5 14 14" xfId="13356" xr:uid="{00000000-0005-0000-0000-000088590000}"/>
    <cellStyle name="Normal 3 3 5 14 14 2" xfId="30868" xr:uid="{00000000-0005-0000-0000-000089590000}"/>
    <cellStyle name="Normal 3 3 5 14 15" xfId="30863" xr:uid="{00000000-0005-0000-0000-00008A590000}"/>
    <cellStyle name="Normal 3 3 5 14 2" xfId="13357" xr:uid="{00000000-0005-0000-0000-00008B590000}"/>
    <cellStyle name="Normal 3 3 5 14 2 2" xfId="30869" xr:uid="{00000000-0005-0000-0000-00008C590000}"/>
    <cellStyle name="Normal 3 3 5 14 3" xfId="13358" xr:uid="{00000000-0005-0000-0000-00008D590000}"/>
    <cellStyle name="Normal 3 3 5 14 3 2" xfId="30870" xr:uid="{00000000-0005-0000-0000-00008E590000}"/>
    <cellStyle name="Normal 3 3 5 14 4" xfId="13359" xr:uid="{00000000-0005-0000-0000-00008F590000}"/>
    <cellStyle name="Normal 3 3 5 14 4 2" xfId="30871" xr:uid="{00000000-0005-0000-0000-000090590000}"/>
    <cellStyle name="Normal 3 3 5 14 5" xfId="13360" xr:uid="{00000000-0005-0000-0000-000091590000}"/>
    <cellStyle name="Normal 3 3 5 14 5 2" xfId="30872" xr:uid="{00000000-0005-0000-0000-000092590000}"/>
    <cellStyle name="Normal 3 3 5 14 6" xfId="13361" xr:uid="{00000000-0005-0000-0000-000093590000}"/>
    <cellStyle name="Normal 3 3 5 14 6 2" xfId="30873" xr:uid="{00000000-0005-0000-0000-000094590000}"/>
    <cellStyle name="Normal 3 3 5 14 7" xfId="13362" xr:uid="{00000000-0005-0000-0000-000095590000}"/>
    <cellStyle name="Normal 3 3 5 14 7 2" xfId="30874" xr:uid="{00000000-0005-0000-0000-000096590000}"/>
    <cellStyle name="Normal 3 3 5 14 8" xfId="13363" xr:uid="{00000000-0005-0000-0000-000097590000}"/>
    <cellStyle name="Normal 3 3 5 14 8 2" xfId="30875" xr:uid="{00000000-0005-0000-0000-000098590000}"/>
    <cellStyle name="Normal 3 3 5 14 9" xfId="13364" xr:uid="{00000000-0005-0000-0000-000099590000}"/>
    <cellStyle name="Normal 3 3 5 14 9 2" xfId="30876" xr:uid="{00000000-0005-0000-0000-00009A590000}"/>
    <cellStyle name="Normal 3 3 5 15" xfId="13365" xr:uid="{00000000-0005-0000-0000-00009B590000}"/>
    <cellStyle name="Normal 3 3 5 15 2" xfId="30877" xr:uid="{00000000-0005-0000-0000-00009C590000}"/>
    <cellStyle name="Normal 3 3 5 16" xfId="13366" xr:uid="{00000000-0005-0000-0000-00009D590000}"/>
    <cellStyle name="Normal 3 3 5 16 2" xfId="30878" xr:uid="{00000000-0005-0000-0000-00009E590000}"/>
    <cellStyle name="Normal 3 3 5 17" xfId="13367" xr:uid="{00000000-0005-0000-0000-00009F590000}"/>
    <cellStyle name="Normal 3 3 5 17 2" xfId="30879" xr:uid="{00000000-0005-0000-0000-0000A0590000}"/>
    <cellStyle name="Normal 3 3 5 18" xfId="13368" xr:uid="{00000000-0005-0000-0000-0000A1590000}"/>
    <cellStyle name="Normal 3 3 5 18 2" xfId="30880" xr:uid="{00000000-0005-0000-0000-0000A2590000}"/>
    <cellStyle name="Normal 3 3 5 19" xfId="13369" xr:uid="{00000000-0005-0000-0000-0000A3590000}"/>
    <cellStyle name="Normal 3 3 5 19 2" xfId="30881" xr:uid="{00000000-0005-0000-0000-0000A4590000}"/>
    <cellStyle name="Normal 3 3 5 2" xfId="13370" xr:uid="{00000000-0005-0000-0000-0000A5590000}"/>
    <cellStyle name="Normal 3 3 5 20" xfId="13371" xr:uid="{00000000-0005-0000-0000-0000A6590000}"/>
    <cellStyle name="Normal 3 3 5 20 2" xfId="30882" xr:uid="{00000000-0005-0000-0000-0000A7590000}"/>
    <cellStyle name="Normal 3 3 5 21" xfId="13372" xr:uid="{00000000-0005-0000-0000-0000A8590000}"/>
    <cellStyle name="Normal 3 3 5 21 2" xfId="30883" xr:uid="{00000000-0005-0000-0000-0000A9590000}"/>
    <cellStyle name="Normal 3 3 5 22" xfId="13373" xr:uid="{00000000-0005-0000-0000-0000AA590000}"/>
    <cellStyle name="Normal 3 3 5 22 2" xfId="30884" xr:uid="{00000000-0005-0000-0000-0000AB590000}"/>
    <cellStyle name="Normal 3 3 5 23" xfId="13374" xr:uid="{00000000-0005-0000-0000-0000AC590000}"/>
    <cellStyle name="Normal 3 3 5 23 2" xfId="30885" xr:uid="{00000000-0005-0000-0000-0000AD590000}"/>
    <cellStyle name="Normal 3 3 5 24" xfId="13375" xr:uid="{00000000-0005-0000-0000-0000AE590000}"/>
    <cellStyle name="Normal 3 3 5 24 2" xfId="30886" xr:uid="{00000000-0005-0000-0000-0000AF590000}"/>
    <cellStyle name="Normal 3 3 5 25" xfId="13376" xr:uid="{00000000-0005-0000-0000-0000B0590000}"/>
    <cellStyle name="Normal 3 3 5 25 2" xfId="30887" xr:uid="{00000000-0005-0000-0000-0000B1590000}"/>
    <cellStyle name="Normal 3 3 5 26" xfId="13377" xr:uid="{00000000-0005-0000-0000-0000B2590000}"/>
    <cellStyle name="Normal 3 3 5 26 2" xfId="30888" xr:uid="{00000000-0005-0000-0000-0000B3590000}"/>
    <cellStyle name="Normal 3 3 5 27" xfId="13378" xr:uid="{00000000-0005-0000-0000-0000B4590000}"/>
    <cellStyle name="Normal 3 3 5 27 2" xfId="30889" xr:uid="{00000000-0005-0000-0000-0000B5590000}"/>
    <cellStyle name="Normal 3 3 5 28" xfId="30806" xr:uid="{00000000-0005-0000-0000-0000B6590000}"/>
    <cellStyle name="Normal 3 3 5 3" xfId="13379" xr:uid="{00000000-0005-0000-0000-0000B7590000}"/>
    <cellStyle name="Normal 3 3 5 4" xfId="13380" xr:uid="{00000000-0005-0000-0000-0000B8590000}"/>
    <cellStyle name="Normal 3 3 5 5" xfId="13381" xr:uid="{00000000-0005-0000-0000-0000B9590000}"/>
    <cellStyle name="Normal 3 3 5 6" xfId="13382" xr:uid="{00000000-0005-0000-0000-0000BA590000}"/>
    <cellStyle name="Normal 3 3 5 6 10" xfId="13383" xr:uid="{00000000-0005-0000-0000-0000BB590000}"/>
    <cellStyle name="Normal 3 3 5 6 10 2" xfId="30891" xr:uid="{00000000-0005-0000-0000-0000BC590000}"/>
    <cellStyle name="Normal 3 3 5 6 11" xfId="13384" xr:uid="{00000000-0005-0000-0000-0000BD590000}"/>
    <cellStyle name="Normal 3 3 5 6 11 2" xfId="30892" xr:uid="{00000000-0005-0000-0000-0000BE590000}"/>
    <cellStyle name="Normal 3 3 5 6 12" xfId="13385" xr:uid="{00000000-0005-0000-0000-0000BF590000}"/>
    <cellStyle name="Normal 3 3 5 6 12 2" xfId="30893" xr:uid="{00000000-0005-0000-0000-0000C0590000}"/>
    <cellStyle name="Normal 3 3 5 6 13" xfId="13386" xr:uid="{00000000-0005-0000-0000-0000C1590000}"/>
    <cellStyle name="Normal 3 3 5 6 13 2" xfId="30894" xr:uid="{00000000-0005-0000-0000-0000C2590000}"/>
    <cellStyle name="Normal 3 3 5 6 14" xfId="13387" xr:uid="{00000000-0005-0000-0000-0000C3590000}"/>
    <cellStyle name="Normal 3 3 5 6 14 2" xfId="30895" xr:uid="{00000000-0005-0000-0000-0000C4590000}"/>
    <cellStyle name="Normal 3 3 5 6 15" xfId="13388" xr:uid="{00000000-0005-0000-0000-0000C5590000}"/>
    <cellStyle name="Normal 3 3 5 6 15 2" xfId="30896" xr:uid="{00000000-0005-0000-0000-0000C6590000}"/>
    <cellStyle name="Normal 3 3 5 6 16" xfId="30890" xr:uid="{00000000-0005-0000-0000-0000C7590000}"/>
    <cellStyle name="Normal 3 3 5 6 2" xfId="13389" xr:uid="{00000000-0005-0000-0000-0000C8590000}"/>
    <cellStyle name="Normal 3 3 5 6 2 10" xfId="13390" xr:uid="{00000000-0005-0000-0000-0000C9590000}"/>
    <cellStyle name="Normal 3 3 5 6 2 10 2" xfId="30898" xr:uid="{00000000-0005-0000-0000-0000CA590000}"/>
    <cellStyle name="Normal 3 3 5 6 2 11" xfId="13391" xr:uid="{00000000-0005-0000-0000-0000CB590000}"/>
    <cellStyle name="Normal 3 3 5 6 2 11 2" xfId="30899" xr:uid="{00000000-0005-0000-0000-0000CC590000}"/>
    <cellStyle name="Normal 3 3 5 6 2 12" xfId="13392" xr:uid="{00000000-0005-0000-0000-0000CD590000}"/>
    <cellStyle name="Normal 3 3 5 6 2 12 2" xfId="30900" xr:uid="{00000000-0005-0000-0000-0000CE590000}"/>
    <cellStyle name="Normal 3 3 5 6 2 13" xfId="13393" xr:uid="{00000000-0005-0000-0000-0000CF590000}"/>
    <cellStyle name="Normal 3 3 5 6 2 13 2" xfId="30901" xr:uid="{00000000-0005-0000-0000-0000D0590000}"/>
    <cellStyle name="Normal 3 3 5 6 2 14" xfId="13394" xr:uid="{00000000-0005-0000-0000-0000D1590000}"/>
    <cellStyle name="Normal 3 3 5 6 2 14 2" xfId="30902" xr:uid="{00000000-0005-0000-0000-0000D2590000}"/>
    <cellStyle name="Normal 3 3 5 6 2 15" xfId="30897" xr:uid="{00000000-0005-0000-0000-0000D3590000}"/>
    <cellStyle name="Normal 3 3 5 6 2 2" xfId="13395" xr:uid="{00000000-0005-0000-0000-0000D4590000}"/>
    <cellStyle name="Normal 3 3 5 6 2 2 2" xfId="30903" xr:uid="{00000000-0005-0000-0000-0000D5590000}"/>
    <cellStyle name="Normal 3 3 5 6 2 3" xfId="13396" xr:uid="{00000000-0005-0000-0000-0000D6590000}"/>
    <cellStyle name="Normal 3 3 5 6 2 3 2" xfId="30904" xr:uid="{00000000-0005-0000-0000-0000D7590000}"/>
    <cellStyle name="Normal 3 3 5 6 2 4" xfId="13397" xr:uid="{00000000-0005-0000-0000-0000D8590000}"/>
    <cellStyle name="Normal 3 3 5 6 2 4 2" xfId="30905" xr:uid="{00000000-0005-0000-0000-0000D9590000}"/>
    <cellStyle name="Normal 3 3 5 6 2 5" xfId="13398" xr:uid="{00000000-0005-0000-0000-0000DA590000}"/>
    <cellStyle name="Normal 3 3 5 6 2 5 2" xfId="30906" xr:uid="{00000000-0005-0000-0000-0000DB590000}"/>
    <cellStyle name="Normal 3 3 5 6 2 6" xfId="13399" xr:uid="{00000000-0005-0000-0000-0000DC590000}"/>
    <cellStyle name="Normal 3 3 5 6 2 6 2" xfId="30907" xr:uid="{00000000-0005-0000-0000-0000DD590000}"/>
    <cellStyle name="Normal 3 3 5 6 2 7" xfId="13400" xr:uid="{00000000-0005-0000-0000-0000DE590000}"/>
    <cellStyle name="Normal 3 3 5 6 2 7 2" xfId="30908" xr:uid="{00000000-0005-0000-0000-0000DF590000}"/>
    <cellStyle name="Normal 3 3 5 6 2 8" xfId="13401" xr:uid="{00000000-0005-0000-0000-0000E0590000}"/>
    <cellStyle name="Normal 3 3 5 6 2 8 2" xfId="30909" xr:uid="{00000000-0005-0000-0000-0000E1590000}"/>
    <cellStyle name="Normal 3 3 5 6 2 9" xfId="13402" xr:uid="{00000000-0005-0000-0000-0000E2590000}"/>
    <cellStyle name="Normal 3 3 5 6 2 9 2" xfId="30910" xr:uid="{00000000-0005-0000-0000-0000E3590000}"/>
    <cellStyle name="Normal 3 3 5 6 3" xfId="13403" xr:uid="{00000000-0005-0000-0000-0000E4590000}"/>
    <cellStyle name="Normal 3 3 5 6 3 2" xfId="30911" xr:uid="{00000000-0005-0000-0000-0000E5590000}"/>
    <cellStyle name="Normal 3 3 5 6 4" xfId="13404" xr:uid="{00000000-0005-0000-0000-0000E6590000}"/>
    <cellStyle name="Normal 3 3 5 6 4 2" xfId="30912" xr:uid="{00000000-0005-0000-0000-0000E7590000}"/>
    <cellStyle name="Normal 3 3 5 6 5" xfId="13405" xr:uid="{00000000-0005-0000-0000-0000E8590000}"/>
    <cellStyle name="Normal 3 3 5 6 5 2" xfId="30913" xr:uid="{00000000-0005-0000-0000-0000E9590000}"/>
    <cellStyle name="Normal 3 3 5 6 6" xfId="13406" xr:uid="{00000000-0005-0000-0000-0000EA590000}"/>
    <cellStyle name="Normal 3 3 5 6 6 2" xfId="30914" xr:uid="{00000000-0005-0000-0000-0000EB590000}"/>
    <cellStyle name="Normal 3 3 5 6 7" xfId="13407" xr:uid="{00000000-0005-0000-0000-0000EC590000}"/>
    <cellStyle name="Normal 3 3 5 6 7 2" xfId="30915" xr:uid="{00000000-0005-0000-0000-0000ED590000}"/>
    <cellStyle name="Normal 3 3 5 6 8" xfId="13408" xr:uid="{00000000-0005-0000-0000-0000EE590000}"/>
    <cellStyle name="Normal 3 3 5 6 8 2" xfId="30916" xr:uid="{00000000-0005-0000-0000-0000EF590000}"/>
    <cellStyle name="Normal 3 3 5 6 9" xfId="13409" xr:uid="{00000000-0005-0000-0000-0000F0590000}"/>
    <cellStyle name="Normal 3 3 5 6 9 2" xfId="30917" xr:uid="{00000000-0005-0000-0000-0000F1590000}"/>
    <cellStyle name="Normal 3 3 5 7" xfId="13410" xr:uid="{00000000-0005-0000-0000-0000F2590000}"/>
    <cellStyle name="Normal 3 3 5 7 10" xfId="13411" xr:uid="{00000000-0005-0000-0000-0000F3590000}"/>
    <cellStyle name="Normal 3 3 5 7 10 2" xfId="30919" xr:uid="{00000000-0005-0000-0000-0000F4590000}"/>
    <cellStyle name="Normal 3 3 5 7 11" xfId="13412" xr:uid="{00000000-0005-0000-0000-0000F5590000}"/>
    <cellStyle name="Normal 3 3 5 7 11 2" xfId="30920" xr:uid="{00000000-0005-0000-0000-0000F6590000}"/>
    <cellStyle name="Normal 3 3 5 7 12" xfId="13413" xr:uid="{00000000-0005-0000-0000-0000F7590000}"/>
    <cellStyle name="Normal 3 3 5 7 12 2" xfId="30921" xr:uid="{00000000-0005-0000-0000-0000F8590000}"/>
    <cellStyle name="Normal 3 3 5 7 13" xfId="13414" xr:uid="{00000000-0005-0000-0000-0000F9590000}"/>
    <cellStyle name="Normal 3 3 5 7 13 2" xfId="30922" xr:uid="{00000000-0005-0000-0000-0000FA590000}"/>
    <cellStyle name="Normal 3 3 5 7 14" xfId="13415" xr:uid="{00000000-0005-0000-0000-0000FB590000}"/>
    <cellStyle name="Normal 3 3 5 7 14 2" xfId="30923" xr:uid="{00000000-0005-0000-0000-0000FC590000}"/>
    <cellStyle name="Normal 3 3 5 7 15" xfId="13416" xr:uid="{00000000-0005-0000-0000-0000FD590000}"/>
    <cellStyle name="Normal 3 3 5 7 15 2" xfId="30924" xr:uid="{00000000-0005-0000-0000-0000FE590000}"/>
    <cellStyle name="Normal 3 3 5 7 16" xfId="30918" xr:uid="{00000000-0005-0000-0000-0000FF590000}"/>
    <cellStyle name="Normal 3 3 5 7 2" xfId="13417" xr:uid="{00000000-0005-0000-0000-0000005A0000}"/>
    <cellStyle name="Normal 3 3 5 7 2 10" xfId="13418" xr:uid="{00000000-0005-0000-0000-0000015A0000}"/>
    <cellStyle name="Normal 3 3 5 7 2 10 2" xfId="30926" xr:uid="{00000000-0005-0000-0000-0000025A0000}"/>
    <cellStyle name="Normal 3 3 5 7 2 11" xfId="13419" xr:uid="{00000000-0005-0000-0000-0000035A0000}"/>
    <cellStyle name="Normal 3 3 5 7 2 11 2" xfId="30927" xr:uid="{00000000-0005-0000-0000-0000045A0000}"/>
    <cellStyle name="Normal 3 3 5 7 2 12" xfId="13420" xr:uid="{00000000-0005-0000-0000-0000055A0000}"/>
    <cellStyle name="Normal 3 3 5 7 2 12 2" xfId="30928" xr:uid="{00000000-0005-0000-0000-0000065A0000}"/>
    <cellStyle name="Normal 3 3 5 7 2 13" xfId="13421" xr:uid="{00000000-0005-0000-0000-0000075A0000}"/>
    <cellStyle name="Normal 3 3 5 7 2 13 2" xfId="30929" xr:uid="{00000000-0005-0000-0000-0000085A0000}"/>
    <cellStyle name="Normal 3 3 5 7 2 14" xfId="13422" xr:uid="{00000000-0005-0000-0000-0000095A0000}"/>
    <cellStyle name="Normal 3 3 5 7 2 14 2" xfId="30930" xr:uid="{00000000-0005-0000-0000-00000A5A0000}"/>
    <cellStyle name="Normal 3 3 5 7 2 15" xfId="30925" xr:uid="{00000000-0005-0000-0000-00000B5A0000}"/>
    <cellStyle name="Normal 3 3 5 7 2 2" xfId="13423" xr:uid="{00000000-0005-0000-0000-00000C5A0000}"/>
    <cellStyle name="Normal 3 3 5 7 2 2 2" xfId="30931" xr:uid="{00000000-0005-0000-0000-00000D5A0000}"/>
    <cellStyle name="Normal 3 3 5 7 2 3" xfId="13424" xr:uid="{00000000-0005-0000-0000-00000E5A0000}"/>
    <cellStyle name="Normal 3 3 5 7 2 3 2" xfId="30932" xr:uid="{00000000-0005-0000-0000-00000F5A0000}"/>
    <cellStyle name="Normal 3 3 5 7 2 4" xfId="13425" xr:uid="{00000000-0005-0000-0000-0000105A0000}"/>
    <cellStyle name="Normal 3 3 5 7 2 4 2" xfId="30933" xr:uid="{00000000-0005-0000-0000-0000115A0000}"/>
    <cellStyle name="Normal 3 3 5 7 2 5" xfId="13426" xr:uid="{00000000-0005-0000-0000-0000125A0000}"/>
    <cellStyle name="Normal 3 3 5 7 2 5 2" xfId="30934" xr:uid="{00000000-0005-0000-0000-0000135A0000}"/>
    <cellStyle name="Normal 3 3 5 7 2 6" xfId="13427" xr:uid="{00000000-0005-0000-0000-0000145A0000}"/>
    <cellStyle name="Normal 3 3 5 7 2 6 2" xfId="30935" xr:uid="{00000000-0005-0000-0000-0000155A0000}"/>
    <cellStyle name="Normal 3 3 5 7 2 7" xfId="13428" xr:uid="{00000000-0005-0000-0000-0000165A0000}"/>
    <cellStyle name="Normal 3 3 5 7 2 7 2" xfId="30936" xr:uid="{00000000-0005-0000-0000-0000175A0000}"/>
    <cellStyle name="Normal 3 3 5 7 2 8" xfId="13429" xr:uid="{00000000-0005-0000-0000-0000185A0000}"/>
    <cellStyle name="Normal 3 3 5 7 2 8 2" xfId="30937" xr:uid="{00000000-0005-0000-0000-0000195A0000}"/>
    <cellStyle name="Normal 3 3 5 7 2 9" xfId="13430" xr:uid="{00000000-0005-0000-0000-00001A5A0000}"/>
    <cellStyle name="Normal 3 3 5 7 2 9 2" xfId="30938" xr:uid="{00000000-0005-0000-0000-00001B5A0000}"/>
    <cellStyle name="Normal 3 3 5 7 3" xfId="13431" xr:uid="{00000000-0005-0000-0000-00001C5A0000}"/>
    <cellStyle name="Normal 3 3 5 7 3 2" xfId="30939" xr:uid="{00000000-0005-0000-0000-00001D5A0000}"/>
    <cellStyle name="Normal 3 3 5 7 4" xfId="13432" xr:uid="{00000000-0005-0000-0000-00001E5A0000}"/>
    <cellStyle name="Normal 3 3 5 7 4 2" xfId="30940" xr:uid="{00000000-0005-0000-0000-00001F5A0000}"/>
    <cellStyle name="Normal 3 3 5 7 5" xfId="13433" xr:uid="{00000000-0005-0000-0000-0000205A0000}"/>
    <cellStyle name="Normal 3 3 5 7 5 2" xfId="30941" xr:uid="{00000000-0005-0000-0000-0000215A0000}"/>
    <cellStyle name="Normal 3 3 5 7 6" xfId="13434" xr:uid="{00000000-0005-0000-0000-0000225A0000}"/>
    <cellStyle name="Normal 3 3 5 7 6 2" xfId="30942" xr:uid="{00000000-0005-0000-0000-0000235A0000}"/>
    <cellStyle name="Normal 3 3 5 7 7" xfId="13435" xr:uid="{00000000-0005-0000-0000-0000245A0000}"/>
    <cellStyle name="Normal 3 3 5 7 7 2" xfId="30943" xr:uid="{00000000-0005-0000-0000-0000255A0000}"/>
    <cellStyle name="Normal 3 3 5 7 8" xfId="13436" xr:uid="{00000000-0005-0000-0000-0000265A0000}"/>
    <cellStyle name="Normal 3 3 5 7 8 2" xfId="30944" xr:uid="{00000000-0005-0000-0000-0000275A0000}"/>
    <cellStyle name="Normal 3 3 5 7 9" xfId="13437" xr:uid="{00000000-0005-0000-0000-0000285A0000}"/>
    <cellStyle name="Normal 3 3 5 7 9 2" xfId="30945" xr:uid="{00000000-0005-0000-0000-0000295A0000}"/>
    <cellStyle name="Normal 3 3 5 8" xfId="13438" xr:uid="{00000000-0005-0000-0000-00002A5A0000}"/>
    <cellStyle name="Normal 3 3 5 8 10" xfId="13439" xr:uid="{00000000-0005-0000-0000-00002B5A0000}"/>
    <cellStyle name="Normal 3 3 5 8 10 2" xfId="30947" xr:uid="{00000000-0005-0000-0000-00002C5A0000}"/>
    <cellStyle name="Normal 3 3 5 8 11" xfId="13440" xr:uid="{00000000-0005-0000-0000-00002D5A0000}"/>
    <cellStyle name="Normal 3 3 5 8 11 2" xfId="30948" xr:uid="{00000000-0005-0000-0000-00002E5A0000}"/>
    <cellStyle name="Normal 3 3 5 8 12" xfId="13441" xr:uid="{00000000-0005-0000-0000-00002F5A0000}"/>
    <cellStyle name="Normal 3 3 5 8 12 2" xfId="30949" xr:uid="{00000000-0005-0000-0000-0000305A0000}"/>
    <cellStyle name="Normal 3 3 5 8 13" xfId="13442" xr:uid="{00000000-0005-0000-0000-0000315A0000}"/>
    <cellStyle name="Normal 3 3 5 8 13 2" xfId="30950" xr:uid="{00000000-0005-0000-0000-0000325A0000}"/>
    <cellStyle name="Normal 3 3 5 8 14" xfId="13443" xr:uid="{00000000-0005-0000-0000-0000335A0000}"/>
    <cellStyle name="Normal 3 3 5 8 14 2" xfId="30951" xr:uid="{00000000-0005-0000-0000-0000345A0000}"/>
    <cellStyle name="Normal 3 3 5 8 15" xfId="13444" xr:uid="{00000000-0005-0000-0000-0000355A0000}"/>
    <cellStyle name="Normal 3 3 5 8 15 2" xfId="30952" xr:uid="{00000000-0005-0000-0000-0000365A0000}"/>
    <cellStyle name="Normal 3 3 5 8 16" xfId="30946" xr:uid="{00000000-0005-0000-0000-0000375A0000}"/>
    <cellStyle name="Normal 3 3 5 8 2" xfId="13445" xr:uid="{00000000-0005-0000-0000-0000385A0000}"/>
    <cellStyle name="Normal 3 3 5 8 2 10" xfId="13446" xr:uid="{00000000-0005-0000-0000-0000395A0000}"/>
    <cellStyle name="Normal 3 3 5 8 2 10 2" xfId="30954" xr:uid="{00000000-0005-0000-0000-00003A5A0000}"/>
    <cellStyle name="Normal 3 3 5 8 2 11" xfId="13447" xr:uid="{00000000-0005-0000-0000-00003B5A0000}"/>
    <cellStyle name="Normal 3 3 5 8 2 11 2" xfId="30955" xr:uid="{00000000-0005-0000-0000-00003C5A0000}"/>
    <cellStyle name="Normal 3 3 5 8 2 12" xfId="13448" xr:uid="{00000000-0005-0000-0000-00003D5A0000}"/>
    <cellStyle name="Normal 3 3 5 8 2 12 2" xfId="30956" xr:uid="{00000000-0005-0000-0000-00003E5A0000}"/>
    <cellStyle name="Normal 3 3 5 8 2 13" xfId="13449" xr:uid="{00000000-0005-0000-0000-00003F5A0000}"/>
    <cellStyle name="Normal 3 3 5 8 2 13 2" xfId="30957" xr:uid="{00000000-0005-0000-0000-0000405A0000}"/>
    <cellStyle name="Normal 3 3 5 8 2 14" xfId="13450" xr:uid="{00000000-0005-0000-0000-0000415A0000}"/>
    <cellStyle name="Normal 3 3 5 8 2 14 2" xfId="30958" xr:uid="{00000000-0005-0000-0000-0000425A0000}"/>
    <cellStyle name="Normal 3 3 5 8 2 15" xfId="30953" xr:uid="{00000000-0005-0000-0000-0000435A0000}"/>
    <cellStyle name="Normal 3 3 5 8 2 2" xfId="13451" xr:uid="{00000000-0005-0000-0000-0000445A0000}"/>
    <cellStyle name="Normal 3 3 5 8 2 2 2" xfId="30959" xr:uid="{00000000-0005-0000-0000-0000455A0000}"/>
    <cellStyle name="Normal 3 3 5 8 2 3" xfId="13452" xr:uid="{00000000-0005-0000-0000-0000465A0000}"/>
    <cellStyle name="Normal 3 3 5 8 2 3 2" xfId="30960" xr:uid="{00000000-0005-0000-0000-0000475A0000}"/>
    <cellStyle name="Normal 3 3 5 8 2 4" xfId="13453" xr:uid="{00000000-0005-0000-0000-0000485A0000}"/>
    <cellStyle name="Normal 3 3 5 8 2 4 2" xfId="30961" xr:uid="{00000000-0005-0000-0000-0000495A0000}"/>
    <cellStyle name="Normal 3 3 5 8 2 5" xfId="13454" xr:uid="{00000000-0005-0000-0000-00004A5A0000}"/>
    <cellStyle name="Normal 3 3 5 8 2 5 2" xfId="30962" xr:uid="{00000000-0005-0000-0000-00004B5A0000}"/>
    <cellStyle name="Normal 3 3 5 8 2 6" xfId="13455" xr:uid="{00000000-0005-0000-0000-00004C5A0000}"/>
    <cellStyle name="Normal 3 3 5 8 2 6 2" xfId="30963" xr:uid="{00000000-0005-0000-0000-00004D5A0000}"/>
    <cellStyle name="Normal 3 3 5 8 2 7" xfId="13456" xr:uid="{00000000-0005-0000-0000-00004E5A0000}"/>
    <cellStyle name="Normal 3 3 5 8 2 7 2" xfId="30964" xr:uid="{00000000-0005-0000-0000-00004F5A0000}"/>
    <cellStyle name="Normal 3 3 5 8 2 8" xfId="13457" xr:uid="{00000000-0005-0000-0000-0000505A0000}"/>
    <cellStyle name="Normal 3 3 5 8 2 8 2" xfId="30965" xr:uid="{00000000-0005-0000-0000-0000515A0000}"/>
    <cellStyle name="Normal 3 3 5 8 2 9" xfId="13458" xr:uid="{00000000-0005-0000-0000-0000525A0000}"/>
    <cellStyle name="Normal 3 3 5 8 2 9 2" xfId="30966" xr:uid="{00000000-0005-0000-0000-0000535A0000}"/>
    <cellStyle name="Normal 3 3 5 8 3" xfId="13459" xr:uid="{00000000-0005-0000-0000-0000545A0000}"/>
    <cellStyle name="Normal 3 3 5 8 3 2" xfId="30967" xr:uid="{00000000-0005-0000-0000-0000555A0000}"/>
    <cellStyle name="Normal 3 3 5 8 4" xfId="13460" xr:uid="{00000000-0005-0000-0000-0000565A0000}"/>
    <cellStyle name="Normal 3 3 5 8 4 2" xfId="30968" xr:uid="{00000000-0005-0000-0000-0000575A0000}"/>
    <cellStyle name="Normal 3 3 5 8 5" xfId="13461" xr:uid="{00000000-0005-0000-0000-0000585A0000}"/>
    <cellStyle name="Normal 3 3 5 8 5 2" xfId="30969" xr:uid="{00000000-0005-0000-0000-0000595A0000}"/>
    <cellStyle name="Normal 3 3 5 8 6" xfId="13462" xr:uid="{00000000-0005-0000-0000-00005A5A0000}"/>
    <cellStyle name="Normal 3 3 5 8 6 2" xfId="30970" xr:uid="{00000000-0005-0000-0000-00005B5A0000}"/>
    <cellStyle name="Normal 3 3 5 8 7" xfId="13463" xr:uid="{00000000-0005-0000-0000-00005C5A0000}"/>
    <cellStyle name="Normal 3 3 5 8 7 2" xfId="30971" xr:uid="{00000000-0005-0000-0000-00005D5A0000}"/>
    <cellStyle name="Normal 3 3 5 8 8" xfId="13464" xr:uid="{00000000-0005-0000-0000-00005E5A0000}"/>
    <cellStyle name="Normal 3 3 5 8 8 2" xfId="30972" xr:uid="{00000000-0005-0000-0000-00005F5A0000}"/>
    <cellStyle name="Normal 3 3 5 8 9" xfId="13465" xr:uid="{00000000-0005-0000-0000-0000605A0000}"/>
    <cellStyle name="Normal 3 3 5 8 9 2" xfId="30973" xr:uid="{00000000-0005-0000-0000-0000615A0000}"/>
    <cellStyle name="Normal 3 3 5 9" xfId="13466" xr:uid="{00000000-0005-0000-0000-0000625A0000}"/>
    <cellStyle name="Normal 3 3 5 9 10" xfId="13467" xr:uid="{00000000-0005-0000-0000-0000635A0000}"/>
    <cellStyle name="Normal 3 3 5 9 10 2" xfId="30975" xr:uid="{00000000-0005-0000-0000-0000645A0000}"/>
    <cellStyle name="Normal 3 3 5 9 11" xfId="13468" xr:uid="{00000000-0005-0000-0000-0000655A0000}"/>
    <cellStyle name="Normal 3 3 5 9 11 2" xfId="30976" xr:uid="{00000000-0005-0000-0000-0000665A0000}"/>
    <cellStyle name="Normal 3 3 5 9 12" xfId="13469" xr:uid="{00000000-0005-0000-0000-0000675A0000}"/>
    <cellStyle name="Normal 3 3 5 9 12 2" xfId="30977" xr:uid="{00000000-0005-0000-0000-0000685A0000}"/>
    <cellStyle name="Normal 3 3 5 9 13" xfId="13470" xr:uid="{00000000-0005-0000-0000-0000695A0000}"/>
    <cellStyle name="Normal 3 3 5 9 13 2" xfId="30978" xr:uid="{00000000-0005-0000-0000-00006A5A0000}"/>
    <cellStyle name="Normal 3 3 5 9 14" xfId="13471" xr:uid="{00000000-0005-0000-0000-00006B5A0000}"/>
    <cellStyle name="Normal 3 3 5 9 14 2" xfId="30979" xr:uid="{00000000-0005-0000-0000-00006C5A0000}"/>
    <cellStyle name="Normal 3 3 5 9 15" xfId="30974" xr:uid="{00000000-0005-0000-0000-00006D5A0000}"/>
    <cellStyle name="Normal 3 3 5 9 2" xfId="13472" xr:uid="{00000000-0005-0000-0000-00006E5A0000}"/>
    <cellStyle name="Normal 3 3 5 9 2 2" xfId="30980" xr:uid="{00000000-0005-0000-0000-00006F5A0000}"/>
    <cellStyle name="Normal 3 3 5 9 3" xfId="13473" xr:uid="{00000000-0005-0000-0000-0000705A0000}"/>
    <cellStyle name="Normal 3 3 5 9 3 2" xfId="30981" xr:uid="{00000000-0005-0000-0000-0000715A0000}"/>
    <cellStyle name="Normal 3 3 5 9 4" xfId="13474" xr:uid="{00000000-0005-0000-0000-0000725A0000}"/>
    <cellStyle name="Normal 3 3 5 9 4 2" xfId="30982" xr:uid="{00000000-0005-0000-0000-0000735A0000}"/>
    <cellStyle name="Normal 3 3 5 9 5" xfId="13475" xr:uid="{00000000-0005-0000-0000-0000745A0000}"/>
    <cellStyle name="Normal 3 3 5 9 5 2" xfId="30983" xr:uid="{00000000-0005-0000-0000-0000755A0000}"/>
    <cellStyle name="Normal 3 3 5 9 6" xfId="13476" xr:uid="{00000000-0005-0000-0000-0000765A0000}"/>
    <cellStyle name="Normal 3 3 5 9 6 2" xfId="30984" xr:uid="{00000000-0005-0000-0000-0000775A0000}"/>
    <cellStyle name="Normal 3 3 5 9 7" xfId="13477" xr:uid="{00000000-0005-0000-0000-0000785A0000}"/>
    <cellStyle name="Normal 3 3 5 9 7 2" xfId="30985" xr:uid="{00000000-0005-0000-0000-0000795A0000}"/>
    <cellStyle name="Normal 3 3 5 9 8" xfId="13478" xr:uid="{00000000-0005-0000-0000-00007A5A0000}"/>
    <cellStyle name="Normal 3 3 5 9 8 2" xfId="30986" xr:uid="{00000000-0005-0000-0000-00007B5A0000}"/>
    <cellStyle name="Normal 3 3 5 9 9" xfId="13479" xr:uid="{00000000-0005-0000-0000-00007C5A0000}"/>
    <cellStyle name="Normal 3 3 5 9 9 2" xfId="30987" xr:uid="{00000000-0005-0000-0000-00007D5A0000}"/>
    <cellStyle name="Normal 3 3 6" xfId="13480" xr:uid="{00000000-0005-0000-0000-00007E5A0000}"/>
    <cellStyle name="Normal 3 3 6 10" xfId="13481" xr:uid="{00000000-0005-0000-0000-00007F5A0000}"/>
    <cellStyle name="Normal 3 3 6 10 10" xfId="13482" xr:uid="{00000000-0005-0000-0000-0000805A0000}"/>
    <cellStyle name="Normal 3 3 6 10 10 2" xfId="30990" xr:uid="{00000000-0005-0000-0000-0000815A0000}"/>
    <cellStyle name="Normal 3 3 6 10 11" xfId="13483" xr:uid="{00000000-0005-0000-0000-0000825A0000}"/>
    <cellStyle name="Normal 3 3 6 10 11 2" xfId="30991" xr:uid="{00000000-0005-0000-0000-0000835A0000}"/>
    <cellStyle name="Normal 3 3 6 10 12" xfId="13484" xr:uid="{00000000-0005-0000-0000-0000845A0000}"/>
    <cellStyle name="Normal 3 3 6 10 12 2" xfId="30992" xr:uid="{00000000-0005-0000-0000-0000855A0000}"/>
    <cellStyle name="Normal 3 3 6 10 13" xfId="13485" xr:uid="{00000000-0005-0000-0000-0000865A0000}"/>
    <cellStyle name="Normal 3 3 6 10 13 2" xfId="30993" xr:uid="{00000000-0005-0000-0000-0000875A0000}"/>
    <cellStyle name="Normal 3 3 6 10 14" xfId="13486" xr:uid="{00000000-0005-0000-0000-0000885A0000}"/>
    <cellStyle name="Normal 3 3 6 10 14 2" xfId="30994" xr:uid="{00000000-0005-0000-0000-0000895A0000}"/>
    <cellStyle name="Normal 3 3 6 10 15" xfId="30989" xr:uid="{00000000-0005-0000-0000-00008A5A0000}"/>
    <cellStyle name="Normal 3 3 6 10 2" xfId="13487" xr:uid="{00000000-0005-0000-0000-00008B5A0000}"/>
    <cellStyle name="Normal 3 3 6 10 2 2" xfId="30995" xr:uid="{00000000-0005-0000-0000-00008C5A0000}"/>
    <cellStyle name="Normal 3 3 6 10 3" xfId="13488" xr:uid="{00000000-0005-0000-0000-00008D5A0000}"/>
    <cellStyle name="Normal 3 3 6 10 3 2" xfId="30996" xr:uid="{00000000-0005-0000-0000-00008E5A0000}"/>
    <cellStyle name="Normal 3 3 6 10 4" xfId="13489" xr:uid="{00000000-0005-0000-0000-00008F5A0000}"/>
    <cellStyle name="Normal 3 3 6 10 4 2" xfId="30997" xr:uid="{00000000-0005-0000-0000-0000905A0000}"/>
    <cellStyle name="Normal 3 3 6 10 5" xfId="13490" xr:uid="{00000000-0005-0000-0000-0000915A0000}"/>
    <cellStyle name="Normal 3 3 6 10 5 2" xfId="30998" xr:uid="{00000000-0005-0000-0000-0000925A0000}"/>
    <cellStyle name="Normal 3 3 6 10 6" xfId="13491" xr:uid="{00000000-0005-0000-0000-0000935A0000}"/>
    <cellStyle name="Normal 3 3 6 10 6 2" xfId="30999" xr:uid="{00000000-0005-0000-0000-0000945A0000}"/>
    <cellStyle name="Normal 3 3 6 10 7" xfId="13492" xr:uid="{00000000-0005-0000-0000-0000955A0000}"/>
    <cellStyle name="Normal 3 3 6 10 7 2" xfId="31000" xr:uid="{00000000-0005-0000-0000-0000965A0000}"/>
    <cellStyle name="Normal 3 3 6 10 8" xfId="13493" xr:uid="{00000000-0005-0000-0000-0000975A0000}"/>
    <cellStyle name="Normal 3 3 6 10 8 2" xfId="31001" xr:uid="{00000000-0005-0000-0000-0000985A0000}"/>
    <cellStyle name="Normal 3 3 6 10 9" xfId="13494" xr:uid="{00000000-0005-0000-0000-0000995A0000}"/>
    <cellStyle name="Normal 3 3 6 10 9 2" xfId="31002" xr:uid="{00000000-0005-0000-0000-00009A5A0000}"/>
    <cellStyle name="Normal 3 3 6 11" xfId="13495" xr:uid="{00000000-0005-0000-0000-00009B5A0000}"/>
    <cellStyle name="Normal 3 3 6 11 10" xfId="13496" xr:uid="{00000000-0005-0000-0000-00009C5A0000}"/>
    <cellStyle name="Normal 3 3 6 11 10 2" xfId="31004" xr:uid="{00000000-0005-0000-0000-00009D5A0000}"/>
    <cellStyle name="Normal 3 3 6 11 11" xfId="13497" xr:uid="{00000000-0005-0000-0000-00009E5A0000}"/>
    <cellStyle name="Normal 3 3 6 11 11 2" xfId="31005" xr:uid="{00000000-0005-0000-0000-00009F5A0000}"/>
    <cellStyle name="Normal 3 3 6 11 12" xfId="13498" xr:uid="{00000000-0005-0000-0000-0000A05A0000}"/>
    <cellStyle name="Normal 3 3 6 11 12 2" xfId="31006" xr:uid="{00000000-0005-0000-0000-0000A15A0000}"/>
    <cellStyle name="Normal 3 3 6 11 13" xfId="13499" xr:uid="{00000000-0005-0000-0000-0000A25A0000}"/>
    <cellStyle name="Normal 3 3 6 11 13 2" xfId="31007" xr:uid="{00000000-0005-0000-0000-0000A35A0000}"/>
    <cellStyle name="Normal 3 3 6 11 14" xfId="13500" xr:uid="{00000000-0005-0000-0000-0000A45A0000}"/>
    <cellStyle name="Normal 3 3 6 11 14 2" xfId="31008" xr:uid="{00000000-0005-0000-0000-0000A55A0000}"/>
    <cellStyle name="Normal 3 3 6 11 15" xfId="31003" xr:uid="{00000000-0005-0000-0000-0000A65A0000}"/>
    <cellStyle name="Normal 3 3 6 11 2" xfId="13501" xr:uid="{00000000-0005-0000-0000-0000A75A0000}"/>
    <cellStyle name="Normal 3 3 6 11 2 2" xfId="31009" xr:uid="{00000000-0005-0000-0000-0000A85A0000}"/>
    <cellStyle name="Normal 3 3 6 11 3" xfId="13502" xr:uid="{00000000-0005-0000-0000-0000A95A0000}"/>
    <cellStyle name="Normal 3 3 6 11 3 2" xfId="31010" xr:uid="{00000000-0005-0000-0000-0000AA5A0000}"/>
    <cellStyle name="Normal 3 3 6 11 4" xfId="13503" xr:uid="{00000000-0005-0000-0000-0000AB5A0000}"/>
    <cellStyle name="Normal 3 3 6 11 4 2" xfId="31011" xr:uid="{00000000-0005-0000-0000-0000AC5A0000}"/>
    <cellStyle name="Normal 3 3 6 11 5" xfId="13504" xr:uid="{00000000-0005-0000-0000-0000AD5A0000}"/>
    <cellStyle name="Normal 3 3 6 11 5 2" xfId="31012" xr:uid="{00000000-0005-0000-0000-0000AE5A0000}"/>
    <cellStyle name="Normal 3 3 6 11 6" xfId="13505" xr:uid="{00000000-0005-0000-0000-0000AF5A0000}"/>
    <cellStyle name="Normal 3 3 6 11 6 2" xfId="31013" xr:uid="{00000000-0005-0000-0000-0000B05A0000}"/>
    <cellStyle name="Normal 3 3 6 11 7" xfId="13506" xr:uid="{00000000-0005-0000-0000-0000B15A0000}"/>
    <cellStyle name="Normal 3 3 6 11 7 2" xfId="31014" xr:uid="{00000000-0005-0000-0000-0000B25A0000}"/>
    <cellStyle name="Normal 3 3 6 11 8" xfId="13507" xr:uid="{00000000-0005-0000-0000-0000B35A0000}"/>
    <cellStyle name="Normal 3 3 6 11 8 2" xfId="31015" xr:uid="{00000000-0005-0000-0000-0000B45A0000}"/>
    <cellStyle name="Normal 3 3 6 11 9" xfId="13508" xr:uid="{00000000-0005-0000-0000-0000B55A0000}"/>
    <cellStyle name="Normal 3 3 6 11 9 2" xfId="31016" xr:uid="{00000000-0005-0000-0000-0000B65A0000}"/>
    <cellStyle name="Normal 3 3 6 12" xfId="13509" xr:uid="{00000000-0005-0000-0000-0000B75A0000}"/>
    <cellStyle name="Normal 3 3 6 12 10" xfId="13510" xr:uid="{00000000-0005-0000-0000-0000B85A0000}"/>
    <cellStyle name="Normal 3 3 6 12 10 2" xfId="31018" xr:uid="{00000000-0005-0000-0000-0000B95A0000}"/>
    <cellStyle name="Normal 3 3 6 12 11" xfId="13511" xr:uid="{00000000-0005-0000-0000-0000BA5A0000}"/>
    <cellStyle name="Normal 3 3 6 12 11 2" xfId="31019" xr:uid="{00000000-0005-0000-0000-0000BB5A0000}"/>
    <cellStyle name="Normal 3 3 6 12 12" xfId="13512" xr:uid="{00000000-0005-0000-0000-0000BC5A0000}"/>
    <cellStyle name="Normal 3 3 6 12 12 2" xfId="31020" xr:uid="{00000000-0005-0000-0000-0000BD5A0000}"/>
    <cellStyle name="Normal 3 3 6 12 13" xfId="13513" xr:uid="{00000000-0005-0000-0000-0000BE5A0000}"/>
    <cellStyle name="Normal 3 3 6 12 13 2" xfId="31021" xr:uid="{00000000-0005-0000-0000-0000BF5A0000}"/>
    <cellStyle name="Normal 3 3 6 12 14" xfId="13514" xr:uid="{00000000-0005-0000-0000-0000C05A0000}"/>
    <cellStyle name="Normal 3 3 6 12 14 2" xfId="31022" xr:uid="{00000000-0005-0000-0000-0000C15A0000}"/>
    <cellStyle name="Normal 3 3 6 12 15" xfId="31017" xr:uid="{00000000-0005-0000-0000-0000C25A0000}"/>
    <cellStyle name="Normal 3 3 6 12 2" xfId="13515" xr:uid="{00000000-0005-0000-0000-0000C35A0000}"/>
    <cellStyle name="Normal 3 3 6 12 2 2" xfId="31023" xr:uid="{00000000-0005-0000-0000-0000C45A0000}"/>
    <cellStyle name="Normal 3 3 6 12 3" xfId="13516" xr:uid="{00000000-0005-0000-0000-0000C55A0000}"/>
    <cellStyle name="Normal 3 3 6 12 3 2" xfId="31024" xr:uid="{00000000-0005-0000-0000-0000C65A0000}"/>
    <cellStyle name="Normal 3 3 6 12 4" xfId="13517" xr:uid="{00000000-0005-0000-0000-0000C75A0000}"/>
    <cellStyle name="Normal 3 3 6 12 4 2" xfId="31025" xr:uid="{00000000-0005-0000-0000-0000C85A0000}"/>
    <cellStyle name="Normal 3 3 6 12 5" xfId="13518" xr:uid="{00000000-0005-0000-0000-0000C95A0000}"/>
    <cellStyle name="Normal 3 3 6 12 5 2" xfId="31026" xr:uid="{00000000-0005-0000-0000-0000CA5A0000}"/>
    <cellStyle name="Normal 3 3 6 12 6" xfId="13519" xr:uid="{00000000-0005-0000-0000-0000CB5A0000}"/>
    <cellStyle name="Normal 3 3 6 12 6 2" xfId="31027" xr:uid="{00000000-0005-0000-0000-0000CC5A0000}"/>
    <cellStyle name="Normal 3 3 6 12 7" xfId="13520" xr:uid="{00000000-0005-0000-0000-0000CD5A0000}"/>
    <cellStyle name="Normal 3 3 6 12 7 2" xfId="31028" xr:uid="{00000000-0005-0000-0000-0000CE5A0000}"/>
    <cellStyle name="Normal 3 3 6 12 8" xfId="13521" xr:uid="{00000000-0005-0000-0000-0000CF5A0000}"/>
    <cellStyle name="Normal 3 3 6 12 8 2" xfId="31029" xr:uid="{00000000-0005-0000-0000-0000D05A0000}"/>
    <cellStyle name="Normal 3 3 6 12 9" xfId="13522" xr:uid="{00000000-0005-0000-0000-0000D15A0000}"/>
    <cellStyle name="Normal 3 3 6 12 9 2" xfId="31030" xr:uid="{00000000-0005-0000-0000-0000D25A0000}"/>
    <cellStyle name="Normal 3 3 6 13" xfId="13523" xr:uid="{00000000-0005-0000-0000-0000D35A0000}"/>
    <cellStyle name="Normal 3 3 6 13 10" xfId="13524" xr:uid="{00000000-0005-0000-0000-0000D45A0000}"/>
    <cellStyle name="Normal 3 3 6 13 10 2" xfId="31032" xr:uid="{00000000-0005-0000-0000-0000D55A0000}"/>
    <cellStyle name="Normal 3 3 6 13 11" xfId="13525" xr:uid="{00000000-0005-0000-0000-0000D65A0000}"/>
    <cellStyle name="Normal 3 3 6 13 11 2" xfId="31033" xr:uid="{00000000-0005-0000-0000-0000D75A0000}"/>
    <cellStyle name="Normal 3 3 6 13 12" xfId="13526" xr:uid="{00000000-0005-0000-0000-0000D85A0000}"/>
    <cellStyle name="Normal 3 3 6 13 12 2" xfId="31034" xr:uid="{00000000-0005-0000-0000-0000D95A0000}"/>
    <cellStyle name="Normal 3 3 6 13 13" xfId="13527" xr:uid="{00000000-0005-0000-0000-0000DA5A0000}"/>
    <cellStyle name="Normal 3 3 6 13 13 2" xfId="31035" xr:uid="{00000000-0005-0000-0000-0000DB5A0000}"/>
    <cellStyle name="Normal 3 3 6 13 14" xfId="13528" xr:uid="{00000000-0005-0000-0000-0000DC5A0000}"/>
    <cellStyle name="Normal 3 3 6 13 14 2" xfId="31036" xr:uid="{00000000-0005-0000-0000-0000DD5A0000}"/>
    <cellStyle name="Normal 3 3 6 13 15" xfId="31031" xr:uid="{00000000-0005-0000-0000-0000DE5A0000}"/>
    <cellStyle name="Normal 3 3 6 13 2" xfId="13529" xr:uid="{00000000-0005-0000-0000-0000DF5A0000}"/>
    <cellStyle name="Normal 3 3 6 13 2 2" xfId="31037" xr:uid="{00000000-0005-0000-0000-0000E05A0000}"/>
    <cellStyle name="Normal 3 3 6 13 3" xfId="13530" xr:uid="{00000000-0005-0000-0000-0000E15A0000}"/>
    <cellStyle name="Normal 3 3 6 13 3 2" xfId="31038" xr:uid="{00000000-0005-0000-0000-0000E25A0000}"/>
    <cellStyle name="Normal 3 3 6 13 4" xfId="13531" xr:uid="{00000000-0005-0000-0000-0000E35A0000}"/>
    <cellStyle name="Normal 3 3 6 13 4 2" xfId="31039" xr:uid="{00000000-0005-0000-0000-0000E45A0000}"/>
    <cellStyle name="Normal 3 3 6 13 5" xfId="13532" xr:uid="{00000000-0005-0000-0000-0000E55A0000}"/>
    <cellStyle name="Normal 3 3 6 13 5 2" xfId="31040" xr:uid="{00000000-0005-0000-0000-0000E65A0000}"/>
    <cellStyle name="Normal 3 3 6 13 6" xfId="13533" xr:uid="{00000000-0005-0000-0000-0000E75A0000}"/>
    <cellStyle name="Normal 3 3 6 13 6 2" xfId="31041" xr:uid="{00000000-0005-0000-0000-0000E85A0000}"/>
    <cellStyle name="Normal 3 3 6 13 7" xfId="13534" xr:uid="{00000000-0005-0000-0000-0000E95A0000}"/>
    <cellStyle name="Normal 3 3 6 13 7 2" xfId="31042" xr:uid="{00000000-0005-0000-0000-0000EA5A0000}"/>
    <cellStyle name="Normal 3 3 6 13 8" xfId="13535" xr:uid="{00000000-0005-0000-0000-0000EB5A0000}"/>
    <cellStyle name="Normal 3 3 6 13 8 2" xfId="31043" xr:uid="{00000000-0005-0000-0000-0000EC5A0000}"/>
    <cellStyle name="Normal 3 3 6 13 9" xfId="13536" xr:uid="{00000000-0005-0000-0000-0000ED5A0000}"/>
    <cellStyle name="Normal 3 3 6 13 9 2" xfId="31044" xr:uid="{00000000-0005-0000-0000-0000EE5A0000}"/>
    <cellStyle name="Normal 3 3 6 14" xfId="13537" xr:uid="{00000000-0005-0000-0000-0000EF5A0000}"/>
    <cellStyle name="Normal 3 3 6 14 10" xfId="13538" xr:uid="{00000000-0005-0000-0000-0000F05A0000}"/>
    <cellStyle name="Normal 3 3 6 14 10 2" xfId="31046" xr:uid="{00000000-0005-0000-0000-0000F15A0000}"/>
    <cellStyle name="Normal 3 3 6 14 11" xfId="13539" xr:uid="{00000000-0005-0000-0000-0000F25A0000}"/>
    <cellStyle name="Normal 3 3 6 14 11 2" xfId="31047" xr:uid="{00000000-0005-0000-0000-0000F35A0000}"/>
    <cellStyle name="Normal 3 3 6 14 12" xfId="13540" xr:uid="{00000000-0005-0000-0000-0000F45A0000}"/>
    <cellStyle name="Normal 3 3 6 14 12 2" xfId="31048" xr:uid="{00000000-0005-0000-0000-0000F55A0000}"/>
    <cellStyle name="Normal 3 3 6 14 13" xfId="13541" xr:uid="{00000000-0005-0000-0000-0000F65A0000}"/>
    <cellStyle name="Normal 3 3 6 14 13 2" xfId="31049" xr:uid="{00000000-0005-0000-0000-0000F75A0000}"/>
    <cellStyle name="Normal 3 3 6 14 14" xfId="13542" xr:uid="{00000000-0005-0000-0000-0000F85A0000}"/>
    <cellStyle name="Normal 3 3 6 14 14 2" xfId="31050" xr:uid="{00000000-0005-0000-0000-0000F95A0000}"/>
    <cellStyle name="Normal 3 3 6 14 15" xfId="31045" xr:uid="{00000000-0005-0000-0000-0000FA5A0000}"/>
    <cellStyle name="Normal 3 3 6 14 2" xfId="13543" xr:uid="{00000000-0005-0000-0000-0000FB5A0000}"/>
    <cellStyle name="Normal 3 3 6 14 2 2" xfId="31051" xr:uid="{00000000-0005-0000-0000-0000FC5A0000}"/>
    <cellStyle name="Normal 3 3 6 14 3" xfId="13544" xr:uid="{00000000-0005-0000-0000-0000FD5A0000}"/>
    <cellStyle name="Normal 3 3 6 14 3 2" xfId="31052" xr:uid="{00000000-0005-0000-0000-0000FE5A0000}"/>
    <cellStyle name="Normal 3 3 6 14 4" xfId="13545" xr:uid="{00000000-0005-0000-0000-0000FF5A0000}"/>
    <cellStyle name="Normal 3 3 6 14 4 2" xfId="31053" xr:uid="{00000000-0005-0000-0000-0000005B0000}"/>
    <cellStyle name="Normal 3 3 6 14 5" xfId="13546" xr:uid="{00000000-0005-0000-0000-0000015B0000}"/>
    <cellStyle name="Normal 3 3 6 14 5 2" xfId="31054" xr:uid="{00000000-0005-0000-0000-0000025B0000}"/>
    <cellStyle name="Normal 3 3 6 14 6" xfId="13547" xr:uid="{00000000-0005-0000-0000-0000035B0000}"/>
    <cellStyle name="Normal 3 3 6 14 6 2" xfId="31055" xr:uid="{00000000-0005-0000-0000-0000045B0000}"/>
    <cellStyle name="Normal 3 3 6 14 7" xfId="13548" xr:uid="{00000000-0005-0000-0000-0000055B0000}"/>
    <cellStyle name="Normal 3 3 6 14 7 2" xfId="31056" xr:uid="{00000000-0005-0000-0000-0000065B0000}"/>
    <cellStyle name="Normal 3 3 6 14 8" xfId="13549" xr:uid="{00000000-0005-0000-0000-0000075B0000}"/>
    <cellStyle name="Normal 3 3 6 14 8 2" xfId="31057" xr:uid="{00000000-0005-0000-0000-0000085B0000}"/>
    <cellStyle name="Normal 3 3 6 14 9" xfId="13550" xr:uid="{00000000-0005-0000-0000-0000095B0000}"/>
    <cellStyle name="Normal 3 3 6 14 9 2" xfId="31058" xr:uid="{00000000-0005-0000-0000-00000A5B0000}"/>
    <cellStyle name="Normal 3 3 6 15" xfId="13551" xr:uid="{00000000-0005-0000-0000-00000B5B0000}"/>
    <cellStyle name="Normal 3 3 6 15 2" xfId="31059" xr:uid="{00000000-0005-0000-0000-00000C5B0000}"/>
    <cellStyle name="Normal 3 3 6 16" xfId="13552" xr:uid="{00000000-0005-0000-0000-00000D5B0000}"/>
    <cellStyle name="Normal 3 3 6 16 2" xfId="31060" xr:uid="{00000000-0005-0000-0000-00000E5B0000}"/>
    <cellStyle name="Normal 3 3 6 17" xfId="13553" xr:uid="{00000000-0005-0000-0000-00000F5B0000}"/>
    <cellStyle name="Normal 3 3 6 17 2" xfId="31061" xr:uid="{00000000-0005-0000-0000-0000105B0000}"/>
    <cellStyle name="Normal 3 3 6 18" xfId="13554" xr:uid="{00000000-0005-0000-0000-0000115B0000}"/>
    <cellStyle name="Normal 3 3 6 18 2" xfId="31062" xr:uid="{00000000-0005-0000-0000-0000125B0000}"/>
    <cellStyle name="Normal 3 3 6 19" xfId="13555" xr:uid="{00000000-0005-0000-0000-0000135B0000}"/>
    <cellStyle name="Normal 3 3 6 19 2" xfId="31063" xr:uid="{00000000-0005-0000-0000-0000145B0000}"/>
    <cellStyle name="Normal 3 3 6 2" xfId="13556" xr:uid="{00000000-0005-0000-0000-0000155B0000}"/>
    <cellStyle name="Normal 3 3 6 20" xfId="13557" xr:uid="{00000000-0005-0000-0000-0000165B0000}"/>
    <cellStyle name="Normal 3 3 6 20 2" xfId="31064" xr:uid="{00000000-0005-0000-0000-0000175B0000}"/>
    <cellStyle name="Normal 3 3 6 21" xfId="13558" xr:uid="{00000000-0005-0000-0000-0000185B0000}"/>
    <cellStyle name="Normal 3 3 6 21 2" xfId="31065" xr:uid="{00000000-0005-0000-0000-0000195B0000}"/>
    <cellStyle name="Normal 3 3 6 22" xfId="13559" xr:uid="{00000000-0005-0000-0000-00001A5B0000}"/>
    <cellStyle name="Normal 3 3 6 22 2" xfId="31066" xr:uid="{00000000-0005-0000-0000-00001B5B0000}"/>
    <cellStyle name="Normal 3 3 6 23" xfId="13560" xr:uid="{00000000-0005-0000-0000-00001C5B0000}"/>
    <cellStyle name="Normal 3 3 6 23 2" xfId="31067" xr:uid="{00000000-0005-0000-0000-00001D5B0000}"/>
    <cellStyle name="Normal 3 3 6 24" xfId="13561" xr:uid="{00000000-0005-0000-0000-00001E5B0000}"/>
    <cellStyle name="Normal 3 3 6 24 2" xfId="31068" xr:uid="{00000000-0005-0000-0000-00001F5B0000}"/>
    <cellStyle name="Normal 3 3 6 25" xfId="13562" xr:uid="{00000000-0005-0000-0000-0000205B0000}"/>
    <cellStyle name="Normal 3 3 6 25 2" xfId="31069" xr:uid="{00000000-0005-0000-0000-0000215B0000}"/>
    <cellStyle name="Normal 3 3 6 26" xfId="13563" xr:uid="{00000000-0005-0000-0000-0000225B0000}"/>
    <cellStyle name="Normal 3 3 6 26 2" xfId="31070" xr:uid="{00000000-0005-0000-0000-0000235B0000}"/>
    <cellStyle name="Normal 3 3 6 27" xfId="13564" xr:uid="{00000000-0005-0000-0000-0000245B0000}"/>
    <cellStyle name="Normal 3 3 6 27 2" xfId="31071" xr:uid="{00000000-0005-0000-0000-0000255B0000}"/>
    <cellStyle name="Normal 3 3 6 28" xfId="30988" xr:uid="{00000000-0005-0000-0000-0000265B0000}"/>
    <cellStyle name="Normal 3 3 6 3" xfId="13565" xr:uid="{00000000-0005-0000-0000-0000275B0000}"/>
    <cellStyle name="Normal 3 3 6 4" xfId="13566" xr:uid="{00000000-0005-0000-0000-0000285B0000}"/>
    <cellStyle name="Normal 3 3 6 5" xfId="13567" xr:uid="{00000000-0005-0000-0000-0000295B0000}"/>
    <cellStyle name="Normal 3 3 6 6" xfId="13568" xr:uid="{00000000-0005-0000-0000-00002A5B0000}"/>
    <cellStyle name="Normal 3 3 6 6 10" xfId="13569" xr:uid="{00000000-0005-0000-0000-00002B5B0000}"/>
    <cellStyle name="Normal 3 3 6 6 10 2" xfId="31073" xr:uid="{00000000-0005-0000-0000-00002C5B0000}"/>
    <cellStyle name="Normal 3 3 6 6 11" xfId="13570" xr:uid="{00000000-0005-0000-0000-00002D5B0000}"/>
    <cellStyle name="Normal 3 3 6 6 11 2" xfId="31074" xr:uid="{00000000-0005-0000-0000-00002E5B0000}"/>
    <cellStyle name="Normal 3 3 6 6 12" xfId="13571" xr:uid="{00000000-0005-0000-0000-00002F5B0000}"/>
    <cellStyle name="Normal 3 3 6 6 12 2" xfId="31075" xr:uid="{00000000-0005-0000-0000-0000305B0000}"/>
    <cellStyle name="Normal 3 3 6 6 13" xfId="13572" xr:uid="{00000000-0005-0000-0000-0000315B0000}"/>
    <cellStyle name="Normal 3 3 6 6 13 2" xfId="31076" xr:uid="{00000000-0005-0000-0000-0000325B0000}"/>
    <cellStyle name="Normal 3 3 6 6 14" xfId="13573" xr:uid="{00000000-0005-0000-0000-0000335B0000}"/>
    <cellStyle name="Normal 3 3 6 6 14 2" xfId="31077" xr:uid="{00000000-0005-0000-0000-0000345B0000}"/>
    <cellStyle name="Normal 3 3 6 6 15" xfId="13574" xr:uid="{00000000-0005-0000-0000-0000355B0000}"/>
    <cellStyle name="Normal 3 3 6 6 15 2" xfId="31078" xr:uid="{00000000-0005-0000-0000-0000365B0000}"/>
    <cellStyle name="Normal 3 3 6 6 16" xfId="31072" xr:uid="{00000000-0005-0000-0000-0000375B0000}"/>
    <cellStyle name="Normal 3 3 6 6 2" xfId="13575" xr:uid="{00000000-0005-0000-0000-0000385B0000}"/>
    <cellStyle name="Normal 3 3 6 6 2 10" xfId="13576" xr:uid="{00000000-0005-0000-0000-0000395B0000}"/>
    <cellStyle name="Normal 3 3 6 6 2 10 2" xfId="31080" xr:uid="{00000000-0005-0000-0000-00003A5B0000}"/>
    <cellStyle name="Normal 3 3 6 6 2 11" xfId="13577" xr:uid="{00000000-0005-0000-0000-00003B5B0000}"/>
    <cellStyle name="Normal 3 3 6 6 2 11 2" xfId="31081" xr:uid="{00000000-0005-0000-0000-00003C5B0000}"/>
    <cellStyle name="Normal 3 3 6 6 2 12" xfId="13578" xr:uid="{00000000-0005-0000-0000-00003D5B0000}"/>
    <cellStyle name="Normal 3 3 6 6 2 12 2" xfId="31082" xr:uid="{00000000-0005-0000-0000-00003E5B0000}"/>
    <cellStyle name="Normal 3 3 6 6 2 13" xfId="13579" xr:uid="{00000000-0005-0000-0000-00003F5B0000}"/>
    <cellStyle name="Normal 3 3 6 6 2 13 2" xfId="31083" xr:uid="{00000000-0005-0000-0000-0000405B0000}"/>
    <cellStyle name="Normal 3 3 6 6 2 14" xfId="13580" xr:uid="{00000000-0005-0000-0000-0000415B0000}"/>
    <cellStyle name="Normal 3 3 6 6 2 14 2" xfId="31084" xr:uid="{00000000-0005-0000-0000-0000425B0000}"/>
    <cellStyle name="Normal 3 3 6 6 2 15" xfId="31079" xr:uid="{00000000-0005-0000-0000-0000435B0000}"/>
    <cellStyle name="Normal 3 3 6 6 2 2" xfId="13581" xr:uid="{00000000-0005-0000-0000-0000445B0000}"/>
    <cellStyle name="Normal 3 3 6 6 2 2 2" xfId="31085" xr:uid="{00000000-0005-0000-0000-0000455B0000}"/>
    <cellStyle name="Normal 3 3 6 6 2 3" xfId="13582" xr:uid="{00000000-0005-0000-0000-0000465B0000}"/>
    <cellStyle name="Normal 3 3 6 6 2 3 2" xfId="31086" xr:uid="{00000000-0005-0000-0000-0000475B0000}"/>
    <cellStyle name="Normal 3 3 6 6 2 4" xfId="13583" xr:uid="{00000000-0005-0000-0000-0000485B0000}"/>
    <cellStyle name="Normal 3 3 6 6 2 4 2" xfId="31087" xr:uid="{00000000-0005-0000-0000-0000495B0000}"/>
    <cellStyle name="Normal 3 3 6 6 2 5" xfId="13584" xr:uid="{00000000-0005-0000-0000-00004A5B0000}"/>
    <cellStyle name="Normal 3 3 6 6 2 5 2" xfId="31088" xr:uid="{00000000-0005-0000-0000-00004B5B0000}"/>
    <cellStyle name="Normal 3 3 6 6 2 6" xfId="13585" xr:uid="{00000000-0005-0000-0000-00004C5B0000}"/>
    <cellStyle name="Normal 3 3 6 6 2 6 2" xfId="31089" xr:uid="{00000000-0005-0000-0000-00004D5B0000}"/>
    <cellStyle name="Normal 3 3 6 6 2 7" xfId="13586" xr:uid="{00000000-0005-0000-0000-00004E5B0000}"/>
    <cellStyle name="Normal 3 3 6 6 2 7 2" xfId="31090" xr:uid="{00000000-0005-0000-0000-00004F5B0000}"/>
    <cellStyle name="Normal 3 3 6 6 2 8" xfId="13587" xr:uid="{00000000-0005-0000-0000-0000505B0000}"/>
    <cellStyle name="Normal 3 3 6 6 2 8 2" xfId="31091" xr:uid="{00000000-0005-0000-0000-0000515B0000}"/>
    <cellStyle name="Normal 3 3 6 6 2 9" xfId="13588" xr:uid="{00000000-0005-0000-0000-0000525B0000}"/>
    <cellStyle name="Normal 3 3 6 6 2 9 2" xfId="31092" xr:uid="{00000000-0005-0000-0000-0000535B0000}"/>
    <cellStyle name="Normal 3 3 6 6 3" xfId="13589" xr:uid="{00000000-0005-0000-0000-0000545B0000}"/>
    <cellStyle name="Normal 3 3 6 6 3 2" xfId="31093" xr:uid="{00000000-0005-0000-0000-0000555B0000}"/>
    <cellStyle name="Normal 3 3 6 6 4" xfId="13590" xr:uid="{00000000-0005-0000-0000-0000565B0000}"/>
    <cellStyle name="Normal 3 3 6 6 4 2" xfId="31094" xr:uid="{00000000-0005-0000-0000-0000575B0000}"/>
    <cellStyle name="Normal 3 3 6 6 5" xfId="13591" xr:uid="{00000000-0005-0000-0000-0000585B0000}"/>
    <cellStyle name="Normal 3 3 6 6 5 2" xfId="31095" xr:uid="{00000000-0005-0000-0000-0000595B0000}"/>
    <cellStyle name="Normal 3 3 6 6 6" xfId="13592" xr:uid="{00000000-0005-0000-0000-00005A5B0000}"/>
    <cellStyle name="Normal 3 3 6 6 6 2" xfId="31096" xr:uid="{00000000-0005-0000-0000-00005B5B0000}"/>
    <cellStyle name="Normal 3 3 6 6 7" xfId="13593" xr:uid="{00000000-0005-0000-0000-00005C5B0000}"/>
    <cellStyle name="Normal 3 3 6 6 7 2" xfId="31097" xr:uid="{00000000-0005-0000-0000-00005D5B0000}"/>
    <cellStyle name="Normal 3 3 6 6 8" xfId="13594" xr:uid="{00000000-0005-0000-0000-00005E5B0000}"/>
    <cellStyle name="Normal 3 3 6 6 8 2" xfId="31098" xr:uid="{00000000-0005-0000-0000-00005F5B0000}"/>
    <cellStyle name="Normal 3 3 6 6 9" xfId="13595" xr:uid="{00000000-0005-0000-0000-0000605B0000}"/>
    <cellStyle name="Normal 3 3 6 6 9 2" xfId="31099" xr:uid="{00000000-0005-0000-0000-0000615B0000}"/>
    <cellStyle name="Normal 3 3 6 7" xfId="13596" xr:uid="{00000000-0005-0000-0000-0000625B0000}"/>
    <cellStyle name="Normal 3 3 6 7 10" xfId="13597" xr:uid="{00000000-0005-0000-0000-0000635B0000}"/>
    <cellStyle name="Normal 3 3 6 7 10 2" xfId="31101" xr:uid="{00000000-0005-0000-0000-0000645B0000}"/>
    <cellStyle name="Normal 3 3 6 7 11" xfId="13598" xr:uid="{00000000-0005-0000-0000-0000655B0000}"/>
    <cellStyle name="Normal 3 3 6 7 11 2" xfId="31102" xr:uid="{00000000-0005-0000-0000-0000665B0000}"/>
    <cellStyle name="Normal 3 3 6 7 12" xfId="13599" xr:uid="{00000000-0005-0000-0000-0000675B0000}"/>
    <cellStyle name="Normal 3 3 6 7 12 2" xfId="31103" xr:uid="{00000000-0005-0000-0000-0000685B0000}"/>
    <cellStyle name="Normal 3 3 6 7 13" xfId="13600" xr:uid="{00000000-0005-0000-0000-0000695B0000}"/>
    <cellStyle name="Normal 3 3 6 7 13 2" xfId="31104" xr:uid="{00000000-0005-0000-0000-00006A5B0000}"/>
    <cellStyle name="Normal 3 3 6 7 14" xfId="13601" xr:uid="{00000000-0005-0000-0000-00006B5B0000}"/>
    <cellStyle name="Normal 3 3 6 7 14 2" xfId="31105" xr:uid="{00000000-0005-0000-0000-00006C5B0000}"/>
    <cellStyle name="Normal 3 3 6 7 15" xfId="13602" xr:uid="{00000000-0005-0000-0000-00006D5B0000}"/>
    <cellStyle name="Normal 3 3 6 7 15 2" xfId="31106" xr:uid="{00000000-0005-0000-0000-00006E5B0000}"/>
    <cellStyle name="Normal 3 3 6 7 16" xfId="31100" xr:uid="{00000000-0005-0000-0000-00006F5B0000}"/>
    <cellStyle name="Normal 3 3 6 7 2" xfId="13603" xr:uid="{00000000-0005-0000-0000-0000705B0000}"/>
    <cellStyle name="Normal 3 3 6 7 2 10" xfId="13604" xr:uid="{00000000-0005-0000-0000-0000715B0000}"/>
    <cellStyle name="Normal 3 3 6 7 2 10 2" xfId="31108" xr:uid="{00000000-0005-0000-0000-0000725B0000}"/>
    <cellStyle name="Normal 3 3 6 7 2 11" xfId="13605" xr:uid="{00000000-0005-0000-0000-0000735B0000}"/>
    <cellStyle name="Normal 3 3 6 7 2 11 2" xfId="31109" xr:uid="{00000000-0005-0000-0000-0000745B0000}"/>
    <cellStyle name="Normal 3 3 6 7 2 12" xfId="13606" xr:uid="{00000000-0005-0000-0000-0000755B0000}"/>
    <cellStyle name="Normal 3 3 6 7 2 12 2" xfId="31110" xr:uid="{00000000-0005-0000-0000-0000765B0000}"/>
    <cellStyle name="Normal 3 3 6 7 2 13" xfId="13607" xr:uid="{00000000-0005-0000-0000-0000775B0000}"/>
    <cellStyle name="Normal 3 3 6 7 2 13 2" xfId="31111" xr:uid="{00000000-0005-0000-0000-0000785B0000}"/>
    <cellStyle name="Normal 3 3 6 7 2 14" xfId="13608" xr:uid="{00000000-0005-0000-0000-0000795B0000}"/>
    <cellStyle name="Normal 3 3 6 7 2 14 2" xfId="31112" xr:uid="{00000000-0005-0000-0000-00007A5B0000}"/>
    <cellStyle name="Normal 3 3 6 7 2 15" xfId="31107" xr:uid="{00000000-0005-0000-0000-00007B5B0000}"/>
    <cellStyle name="Normal 3 3 6 7 2 2" xfId="13609" xr:uid="{00000000-0005-0000-0000-00007C5B0000}"/>
    <cellStyle name="Normal 3 3 6 7 2 2 2" xfId="31113" xr:uid="{00000000-0005-0000-0000-00007D5B0000}"/>
    <cellStyle name="Normal 3 3 6 7 2 3" xfId="13610" xr:uid="{00000000-0005-0000-0000-00007E5B0000}"/>
    <cellStyle name="Normal 3 3 6 7 2 3 2" xfId="31114" xr:uid="{00000000-0005-0000-0000-00007F5B0000}"/>
    <cellStyle name="Normal 3 3 6 7 2 4" xfId="13611" xr:uid="{00000000-0005-0000-0000-0000805B0000}"/>
    <cellStyle name="Normal 3 3 6 7 2 4 2" xfId="31115" xr:uid="{00000000-0005-0000-0000-0000815B0000}"/>
    <cellStyle name="Normal 3 3 6 7 2 5" xfId="13612" xr:uid="{00000000-0005-0000-0000-0000825B0000}"/>
    <cellStyle name="Normal 3 3 6 7 2 5 2" xfId="31116" xr:uid="{00000000-0005-0000-0000-0000835B0000}"/>
    <cellStyle name="Normal 3 3 6 7 2 6" xfId="13613" xr:uid="{00000000-0005-0000-0000-0000845B0000}"/>
    <cellStyle name="Normal 3 3 6 7 2 6 2" xfId="31117" xr:uid="{00000000-0005-0000-0000-0000855B0000}"/>
    <cellStyle name="Normal 3 3 6 7 2 7" xfId="13614" xr:uid="{00000000-0005-0000-0000-0000865B0000}"/>
    <cellStyle name="Normal 3 3 6 7 2 7 2" xfId="31118" xr:uid="{00000000-0005-0000-0000-0000875B0000}"/>
    <cellStyle name="Normal 3 3 6 7 2 8" xfId="13615" xr:uid="{00000000-0005-0000-0000-0000885B0000}"/>
    <cellStyle name="Normal 3 3 6 7 2 8 2" xfId="31119" xr:uid="{00000000-0005-0000-0000-0000895B0000}"/>
    <cellStyle name="Normal 3 3 6 7 2 9" xfId="13616" xr:uid="{00000000-0005-0000-0000-00008A5B0000}"/>
    <cellStyle name="Normal 3 3 6 7 2 9 2" xfId="31120" xr:uid="{00000000-0005-0000-0000-00008B5B0000}"/>
    <cellStyle name="Normal 3 3 6 7 3" xfId="13617" xr:uid="{00000000-0005-0000-0000-00008C5B0000}"/>
    <cellStyle name="Normal 3 3 6 7 3 2" xfId="31121" xr:uid="{00000000-0005-0000-0000-00008D5B0000}"/>
    <cellStyle name="Normal 3 3 6 7 4" xfId="13618" xr:uid="{00000000-0005-0000-0000-00008E5B0000}"/>
    <cellStyle name="Normal 3 3 6 7 4 2" xfId="31122" xr:uid="{00000000-0005-0000-0000-00008F5B0000}"/>
    <cellStyle name="Normal 3 3 6 7 5" xfId="13619" xr:uid="{00000000-0005-0000-0000-0000905B0000}"/>
    <cellStyle name="Normal 3 3 6 7 5 2" xfId="31123" xr:uid="{00000000-0005-0000-0000-0000915B0000}"/>
    <cellStyle name="Normal 3 3 6 7 6" xfId="13620" xr:uid="{00000000-0005-0000-0000-0000925B0000}"/>
    <cellStyle name="Normal 3 3 6 7 6 2" xfId="31124" xr:uid="{00000000-0005-0000-0000-0000935B0000}"/>
    <cellStyle name="Normal 3 3 6 7 7" xfId="13621" xr:uid="{00000000-0005-0000-0000-0000945B0000}"/>
    <cellStyle name="Normal 3 3 6 7 7 2" xfId="31125" xr:uid="{00000000-0005-0000-0000-0000955B0000}"/>
    <cellStyle name="Normal 3 3 6 7 8" xfId="13622" xr:uid="{00000000-0005-0000-0000-0000965B0000}"/>
    <cellStyle name="Normal 3 3 6 7 8 2" xfId="31126" xr:uid="{00000000-0005-0000-0000-0000975B0000}"/>
    <cellStyle name="Normal 3 3 6 7 9" xfId="13623" xr:uid="{00000000-0005-0000-0000-0000985B0000}"/>
    <cellStyle name="Normal 3 3 6 7 9 2" xfId="31127" xr:uid="{00000000-0005-0000-0000-0000995B0000}"/>
    <cellStyle name="Normal 3 3 6 8" xfId="13624" xr:uid="{00000000-0005-0000-0000-00009A5B0000}"/>
    <cellStyle name="Normal 3 3 6 8 10" xfId="13625" xr:uid="{00000000-0005-0000-0000-00009B5B0000}"/>
    <cellStyle name="Normal 3 3 6 8 10 2" xfId="31129" xr:uid="{00000000-0005-0000-0000-00009C5B0000}"/>
    <cellStyle name="Normal 3 3 6 8 11" xfId="13626" xr:uid="{00000000-0005-0000-0000-00009D5B0000}"/>
    <cellStyle name="Normal 3 3 6 8 11 2" xfId="31130" xr:uid="{00000000-0005-0000-0000-00009E5B0000}"/>
    <cellStyle name="Normal 3 3 6 8 12" xfId="13627" xr:uid="{00000000-0005-0000-0000-00009F5B0000}"/>
    <cellStyle name="Normal 3 3 6 8 12 2" xfId="31131" xr:uid="{00000000-0005-0000-0000-0000A05B0000}"/>
    <cellStyle name="Normal 3 3 6 8 13" xfId="13628" xr:uid="{00000000-0005-0000-0000-0000A15B0000}"/>
    <cellStyle name="Normal 3 3 6 8 13 2" xfId="31132" xr:uid="{00000000-0005-0000-0000-0000A25B0000}"/>
    <cellStyle name="Normal 3 3 6 8 14" xfId="13629" xr:uid="{00000000-0005-0000-0000-0000A35B0000}"/>
    <cellStyle name="Normal 3 3 6 8 14 2" xfId="31133" xr:uid="{00000000-0005-0000-0000-0000A45B0000}"/>
    <cellStyle name="Normal 3 3 6 8 15" xfId="13630" xr:uid="{00000000-0005-0000-0000-0000A55B0000}"/>
    <cellStyle name="Normal 3 3 6 8 15 2" xfId="31134" xr:uid="{00000000-0005-0000-0000-0000A65B0000}"/>
    <cellStyle name="Normal 3 3 6 8 16" xfId="31128" xr:uid="{00000000-0005-0000-0000-0000A75B0000}"/>
    <cellStyle name="Normal 3 3 6 8 2" xfId="13631" xr:uid="{00000000-0005-0000-0000-0000A85B0000}"/>
    <cellStyle name="Normal 3 3 6 8 2 10" xfId="13632" xr:uid="{00000000-0005-0000-0000-0000A95B0000}"/>
    <cellStyle name="Normal 3 3 6 8 2 10 2" xfId="31136" xr:uid="{00000000-0005-0000-0000-0000AA5B0000}"/>
    <cellStyle name="Normal 3 3 6 8 2 11" xfId="13633" xr:uid="{00000000-0005-0000-0000-0000AB5B0000}"/>
    <cellStyle name="Normal 3 3 6 8 2 11 2" xfId="31137" xr:uid="{00000000-0005-0000-0000-0000AC5B0000}"/>
    <cellStyle name="Normal 3 3 6 8 2 12" xfId="13634" xr:uid="{00000000-0005-0000-0000-0000AD5B0000}"/>
    <cellStyle name="Normal 3 3 6 8 2 12 2" xfId="31138" xr:uid="{00000000-0005-0000-0000-0000AE5B0000}"/>
    <cellStyle name="Normal 3 3 6 8 2 13" xfId="13635" xr:uid="{00000000-0005-0000-0000-0000AF5B0000}"/>
    <cellStyle name="Normal 3 3 6 8 2 13 2" xfId="31139" xr:uid="{00000000-0005-0000-0000-0000B05B0000}"/>
    <cellStyle name="Normal 3 3 6 8 2 14" xfId="13636" xr:uid="{00000000-0005-0000-0000-0000B15B0000}"/>
    <cellStyle name="Normal 3 3 6 8 2 14 2" xfId="31140" xr:uid="{00000000-0005-0000-0000-0000B25B0000}"/>
    <cellStyle name="Normal 3 3 6 8 2 15" xfId="31135" xr:uid="{00000000-0005-0000-0000-0000B35B0000}"/>
    <cellStyle name="Normal 3 3 6 8 2 2" xfId="13637" xr:uid="{00000000-0005-0000-0000-0000B45B0000}"/>
    <cellStyle name="Normal 3 3 6 8 2 2 2" xfId="31141" xr:uid="{00000000-0005-0000-0000-0000B55B0000}"/>
    <cellStyle name="Normal 3 3 6 8 2 3" xfId="13638" xr:uid="{00000000-0005-0000-0000-0000B65B0000}"/>
    <cellStyle name="Normal 3 3 6 8 2 3 2" xfId="31142" xr:uid="{00000000-0005-0000-0000-0000B75B0000}"/>
    <cellStyle name="Normal 3 3 6 8 2 4" xfId="13639" xr:uid="{00000000-0005-0000-0000-0000B85B0000}"/>
    <cellStyle name="Normal 3 3 6 8 2 4 2" xfId="31143" xr:uid="{00000000-0005-0000-0000-0000B95B0000}"/>
    <cellStyle name="Normal 3 3 6 8 2 5" xfId="13640" xr:uid="{00000000-0005-0000-0000-0000BA5B0000}"/>
    <cellStyle name="Normal 3 3 6 8 2 5 2" xfId="31144" xr:uid="{00000000-0005-0000-0000-0000BB5B0000}"/>
    <cellStyle name="Normal 3 3 6 8 2 6" xfId="13641" xr:uid="{00000000-0005-0000-0000-0000BC5B0000}"/>
    <cellStyle name="Normal 3 3 6 8 2 6 2" xfId="31145" xr:uid="{00000000-0005-0000-0000-0000BD5B0000}"/>
    <cellStyle name="Normal 3 3 6 8 2 7" xfId="13642" xr:uid="{00000000-0005-0000-0000-0000BE5B0000}"/>
    <cellStyle name="Normal 3 3 6 8 2 7 2" xfId="31146" xr:uid="{00000000-0005-0000-0000-0000BF5B0000}"/>
    <cellStyle name="Normal 3 3 6 8 2 8" xfId="13643" xr:uid="{00000000-0005-0000-0000-0000C05B0000}"/>
    <cellStyle name="Normal 3 3 6 8 2 8 2" xfId="31147" xr:uid="{00000000-0005-0000-0000-0000C15B0000}"/>
    <cellStyle name="Normal 3 3 6 8 2 9" xfId="13644" xr:uid="{00000000-0005-0000-0000-0000C25B0000}"/>
    <cellStyle name="Normal 3 3 6 8 2 9 2" xfId="31148" xr:uid="{00000000-0005-0000-0000-0000C35B0000}"/>
    <cellStyle name="Normal 3 3 6 8 3" xfId="13645" xr:uid="{00000000-0005-0000-0000-0000C45B0000}"/>
    <cellStyle name="Normal 3 3 6 8 3 2" xfId="31149" xr:uid="{00000000-0005-0000-0000-0000C55B0000}"/>
    <cellStyle name="Normal 3 3 6 8 4" xfId="13646" xr:uid="{00000000-0005-0000-0000-0000C65B0000}"/>
    <cellStyle name="Normal 3 3 6 8 4 2" xfId="31150" xr:uid="{00000000-0005-0000-0000-0000C75B0000}"/>
    <cellStyle name="Normal 3 3 6 8 5" xfId="13647" xr:uid="{00000000-0005-0000-0000-0000C85B0000}"/>
    <cellStyle name="Normal 3 3 6 8 5 2" xfId="31151" xr:uid="{00000000-0005-0000-0000-0000C95B0000}"/>
    <cellStyle name="Normal 3 3 6 8 6" xfId="13648" xr:uid="{00000000-0005-0000-0000-0000CA5B0000}"/>
    <cellStyle name="Normal 3 3 6 8 6 2" xfId="31152" xr:uid="{00000000-0005-0000-0000-0000CB5B0000}"/>
    <cellStyle name="Normal 3 3 6 8 7" xfId="13649" xr:uid="{00000000-0005-0000-0000-0000CC5B0000}"/>
    <cellStyle name="Normal 3 3 6 8 7 2" xfId="31153" xr:uid="{00000000-0005-0000-0000-0000CD5B0000}"/>
    <cellStyle name="Normal 3 3 6 8 8" xfId="13650" xr:uid="{00000000-0005-0000-0000-0000CE5B0000}"/>
    <cellStyle name="Normal 3 3 6 8 8 2" xfId="31154" xr:uid="{00000000-0005-0000-0000-0000CF5B0000}"/>
    <cellStyle name="Normal 3 3 6 8 9" xfId="13651" xr:uid="{00000000-0005-0000-0000-0000D05B0000}"/>
    <cellStyle name="Normal 3 3 6 8 9 2" xfId="31155" xr:uid="{00000000-0005-0000-0000-0000D15B0000}"/>
    <cellStyle name="Normal 3 3 6 9" xfId="13652" xr:uid="{00000000-0005-0000-0000-0000D25B0000}"/>
    <cellStyle name="Normal 3 3 6 9 10" xfId="13653" xr:uid="{00000000-0005-0000-0000-0000D35B0000}"/>
    <cellStyle name="Normal 3 3 6 9 10 2" xfId="31157" xr:uid="{00000000-0005-0000-0000-0000D45B0000}"/>
    <cellStyle name="Normal 3 3 6 9 11" xfId="13654" xr:uid="{00000000-0005-0000-0000-0000D55B0000}"/>
    <cellStyle name="Normal 3 3 6 9 11 2" xfId="31158" xr:uid="{00000000-0005-0000-0000-0000D65B0000}"/>
    <cellStyle name="Normal 3 3 6 9 12" xfId="13655" xr:uid="{00000000-0005-0000-0000-0000D75B0000}"/>
    <cellStyle name="Normal 3 3 6 9 12 2" xfId="31159" xr:uid="{00000000-0005-0000-0000-0000D85B0000}"/>
    <cellStyle name="Normal 3 3 6 9 13" xfId="13656" xr:uid="{00000000-0005-0000-0000-0000D95B0000}"/>
    <cellStyle name="Normal 3 3 6 9 13 2" xfId="31160" xr:uid="{00000000-0005-0000-0000-0000DA5B0000}"/>
    <cellStyle name="Normal 3 3 6 9 14" xfId="13657" xr:uid="{00000000-0005-0000-0000-0000DB5B0000}"/>
    <cellStyle name="Normal 3 3 6 9 14 2" xfId="31161" xr:uid="{00000000-0005-0000-0000-0000DC5B0000}"/>
    <cellStyle name="Normal 3 3 6 9 15" xfId="31156" xr:uid="{00000000-0005-0000-0000-0000DD5B0000}"/>
    <cellStyle name="Normal 3 3 6 9 2" xfId="13658" xr:uid="{00000000-0005-0000-0000-0000DE5B0000}"/>
    <cellStyle name="Normal 3 3 6 9 2 2" xfId="31162" xr:uid="{00000000-0005-0000-0000-0000DF5B0000}"/>
    <cellStyle name="Normal 3 3 6 9 3" xfId="13659" xr:uid="{00000000-0005-0000-0000-0000E05B0000}"/>
    <cellStyle name="Normal 3 3 6 9 3 2" xfId="31163" xr:uid="{00000000-0005-0000-0000-0000E15B0000}"/>
    <cellStyle name="Normal 3 3 6 9 4" xfId="13660" xr:uid="{00000000-0005-0000-0000-0000E25B0000}"/>
    <cellStyle name="Normal 3 3 6 9 4 2" xfId="31164" xr:uid="{00000000-0005-0000-0000-0000E35B0000}"/>
    <cellStyle name="Normal 3 3 6 9 5" xfId="13661" xr:uid="{00000000-0005-0000-0000-0000E45B0000}"/>
    <cellStyle name="Normal 3 3 6 9 5 2" xfId="31165" xr:uid="{00000000-0005-0000-0000-0000E55B0000}"/>
    <cellStyle name="Normal 3 3 6 9 6" xfId="13662" xr:uid="{00000000-0005-0000-0000-0000E65B0000}"/>
    <cellStyle name="Normal 3 3 6 9 6 2" xfId="31166" xr:uid="{00000000-0005-0000-0000-0000E75B0000}"/>
    <cellStyle name="Normal 3 3 6 9 7" xfId="13663" xr:uid="{00000000-0005-0000-0000-0000E85B0000}"/>
    <cellStyle name="Normal 3 3 6 9 7 2" xfId="31167" xr:uid="{00000000-0005-0000-0000-0000E95B0000}"/>
    <cellStyle name="Normal 3 3 6 9 8" xfId="13664" xr:uid="{00000000-0005-0000-0000-0000EA5B0000}"/>
    <cellStyle name="Normal 3 3 6 9 8 2" xfId="31168" xr:uid="{00000000-0005-0000-0000-0000EB5B0000}"/>
    <cellStyle name="Normal 3 3 6 9 9" xfId="13665" xr:uid="{00000000-0005-0000-0000-0000EC5B0000}"/>
    <cellStyle name="Normal 3 3 6 9 9 2" xfId="31169" xr:uid="{00000000-0005-0000-0000-0000ED5B0000}"/>
    <cellStyle name="Normal 3 3 7" xfId="13666" xr:uid="{00000000-0005-0000-0000-0000EE5B0000}"/>
    <cellStyle name="Normal 3 3 7 10" xfId="13667" xr:uid="{00000000-0005-0000-0000-0000EF5B0000}"/>
    <cellStyle name="Normal 3 3 7 10 10" xfId="13668" xr:uid="{00000000-0005-0000-0000-0000F05B0000}"/>
    <cellStyle name="Normal 3 3 7 10 10 2" xfId="31172" xr:uid="{00000000-0005-0000-0000-0000F15B0000}"/>
    <cellStyle name="Normal 3 3 7 10 11" xfId="13669" xr:uid="{00000000-0005-0000-0000-0000F25B0000}"/>
    <cellStyle name="Normal 3 3 7 10 11 2" xfId="31173" xr:uid="{00000000-0005-0000-0000-0000F35B0000}"/>
    <cellStyle name="Normal 3 3 7 10 12" xfId="13670" xr:uid="{00000000-0005-0000-0000-0000F45B0000}"/>
    <cellStyle name="Normal 3 3 7 10 12 2" xfId="31174" xr:uid="{00000000-0005-0000-0000-0000F55B0000}"/>
    <cellStyle name="Normal 3 3 7 10 13" xfId="13671" xr:uid="{00000000-0005-0000-0000-0000F65B0000}"/>
    <cellStyle name="Normal 3 3 7 10 13 2" xfId="31175" xr:uid="{00000000-0005-0000-0000-0000F75B0000}"/>
    <cellStyle name="Normal 3 3 7 10 14" xfId="13672" xr:uid="{00000000-0005-0000-0000-0000F85B0000}"/>
    <cellStyle name="Normal 3 3 7 10 14 2" xfId="31176" xr:uid="{00000000-0005-0000-0000-0000F95B0000}"/>
    <cellStyle name="Normal 3 3 7 10 15" xfId="31171" xr:uid="{00000000-0005-0000-0000-0000FA5B0000}"/>
    <cellStyle name="Normal 3 3 7 10 2" xfId="13673" xr:uid="{00000000-0005-0000-0000-0000FB5B0000}"/>
    <cellStyle name="Normal 3 3 7 10 2 2" xfId="31177" xr:uid="{00000000-0005-0000-0000-0000FC5B0000}"/>
    <cellStyle name="Normal 3 3 7 10 3" xfId="13674" xr:uid="{00000000-0005-0000-0000-0000FD5B0000}"/>
    <cellStyle name="Normal 3 3 7 10 3 2" xfId="31178" xr:uid="{00000000-0005-0000-0000-0000FE5B0000}"/>
    <cellStyle name="Normal 3 3 7 10 4" xfId="13675" xr:uid="{00000000-0005-0000-0000-0000FF5B0000}"/>
    <cellStyle name="Normal 3 3 7 10 4 2" xfId="31179" xr:uid="{00000000-0005-0000-0000-0000005C0000}"/>
    <cellStyle name="Normal 3 3 7 10 5" xfId="13676" xr:uid="{00000000-0005-0000-0000-0000015C0000}"/>
    <cellStyle name="Normal 3 3 7 10 5 2" xfId="31180" xr:uid="{00000000-0005-0000-0000-0000025C0000}"/>
    <cellStyle name="Normal 3 3 7 10 6" xfId="13677" xr:uid="{00000000-0005-0000-0000-0000035C0000}"/>
    <cellStyle name="Normal 3 3 7 10 6 2" xfId="31181" xr:uid="{00000000-0005-0000-0000-0000045C0000}"/>
    <cellStyle name="Normal 3 3 7 10 7" xfId="13678" xr:uid="{00000000-0005-0000-0000-0000055C0000}"/>
    <cellStyle name="Normal 3 3 7 10 7 2" xfId="31182" xr:uid="{00000000-0005-0000-0000-0000065C0000}"/>
    <cellStyle name="Normal 3 3 7 10 8" xfId="13679" xr:uid="{00000000-0005-0000-0000-0000075C0000}"/>
    <cellStyle name="Normal 3 3 7 10 8 2" xfId="31183" xr:uid="{00000000-0005-0000-0000-0000085C0000}"/>
    <cellStyle name="Normal 3 3 7 10 9" xfId="13680" xr:uid="{00000000-0005-0000-0000-0000095C0000}"/>
    <cellStyle name="Normal 3 3 7 10 9 2" xfId="31184" xr:uid="{00000000-0005-0000-0000-00000A5C0000}"/>
    <cellStyle name="Normal 3 3 7 11" xfId="13681" xr:uid="{00000000-0005-0000-0000-00000B5C0000}"/>
    <cellStyle name="Normal 3 3 7 11 2" xfId="31185" xr:uid="{00000000-0005-0000-0000-00000C5C0000}"/>
    <cellStyle name="Normal 3 3 7 12" xfId="13682" xr:uid="{00000000-0005-0000-0000-00000D5C0000}"/>
    <cellStyle name="Normal 3 3 7 12 2" xfId="31186" xr:uid="{00000000-0005-0000-0000-00000E5C0000}"/>
    <cellStyle name="Normal 3 3 7 13" xfId="13683" xr:uid="{00000000-0005-0000-0000-00000F5C0000}"/>
    <cellStyle name="Normal 3 3 7 13 2" xfId="31187" xr:uid="{00000000-0005-0000-0000-0000105C0000}"/>
    <cellStyle name="Normal 3 3 7 14" xfId="13684" xr:uid="{00000000-0005-0000-0000-0000115C0000}"/>
    <cellStyle name="Normal 3 3 7 14 2" xfId="31188" xr:uid="{00000000-0005-0000-0000-0000125C0000}"/>
    <cellStyle name="Normal 3 3 7 15" xfId="13685" xr:uid="{00000000-0005-0000-0000-0000135C0000}"/>
    <cellStyle name="Normal 3 3 7 15 2" xfId="31189" xr:uid="{00000000-0005-0000-0000-0000145C0000}"/>
    <cellStyle name="Normal 3 3 7 16" xfId="13686" xr:uid="{00000000-0005-0000-0000-0000155C0000}"/>
    <cellStyle name="Normal 3 3 7 16 2" xfId="31190" xr:uid="{00000000-0005-0000-0000-0000165C0000}"/>
    <cellStyle name="Normal 3 3 7 17" xfId="13687" xr:uid="{00000000-0005-0000-0000-0000175C0000}"/>
    <cellStyle name="Normal 3 3 7 17 2" xfId="31191" xr:uid="{00000000-0005-0000-0000-0000185C0000}"/>
    <cellStyle name="Normal 3 3 7 18" xfId="13688" xr:uid="{00000000-0005-0000-0000-0000195C0000}"/>
    <cellStyle name="Normal 3 3 7 18 2" xfId="31192" xr:uid="{00000000-0005-0000-0000-00001A5C0000}"/>
    <cellStyle name="Normal 3 3 7 19" xfId="13689" xr:uid="{00000000-0005-0000-0000-00001B5C0000}"/>
    <cellStyle name="Normal 3 3 7 19 2" xfId="31193" xr:uid="{00000000-0005-0000-0000-00001C5C0000}"/>
    <cellStyle name="Normal 3 3 7 2" xfId="13690" xr:uid="{00000000-0005-0000-0000-00001D5C0000}"/>
    <cellStyle name="Normal 3 3 7 2 10" xfId="13691" xr:uid="{00000000-0005-0000-0000-00001E5C0000}"/>
    <cellStyle name="Normal 3 3 7 2 10 2" xfId="31195" xr:uid="{00000000-0005-0000-0000-00001F5C0000}"/>
    <cellStyle name="Normal 3 3 7 2 11" xfId="13692" xr:uid="{00000000-0005-0000-0000-0000205C0000}"/>
    <cellStyle name="Normal 3 3 7 2 11 2" xfId="31196" xr:uid="{00000000-0005-0000-0000-0000215C0000}"/>
    <cellStyle name="Normal 3 3 7 2 12" xfId="13693" xr:uid="{00000000-0005-0000-0000-0000225C0000}"/>
    <cellStyle name="Normal 3 3 7 2 12 2" xfId="31197" xr:uid="{00000000-0005-0000-0000-0000235C0000}"/>
    <cellStyle name="Normal 3 3 7 2 13" xfId="13694" xr:uid="{00000000-0005-0000-0000-0000245C0000}"/>
    <cellStyle name="Normal 3 3 7 2 13 2" xfId="31198" xr:uid="{00000000-0005-0000-0000-0000255C0000}"/>
    <cellStyle name="Normal 3 3 7 2 14" xfId="13695" xr:uid="{00000000-0005-0000-0000-0000265C0000}"/>
    <cellStyle name="Normal 3 3 7 2 14 2" xfId="31199" xr:uid="{00000000-0005-0000-0000-0000275C0000}"/>
    <cellStyle name="Normal 3 3 7 2 15" xfId="13696" xr:uid="{00000000-0005-0000-0000-0000285C0000}"/>
    <cellStyle name="Normal 3 3 7 2 15 2" xfId="31200" xr:uid="{00000000-0005-0000-0000-0000295C0000}"/>
    <cellStyle name="Normal 3 3 7 2 16" xfId="31194" xr:uid="{00000000-0005-0000-0000-00002A5C0000}"/>
    <cellStyle name="Normal 3 3 7 2 2" xfId="13697" xr:uid="{00000000-0005-0000-0000-00002B5C0000}"/>
    <cellStyle name="Normal 3 3 7 2 2 10" xfId="13698" xr:uid="{00000000-0005-0000-0000-00002C5C0000}"/>
    <cellStyle name="Normal 3 3 7 2 2 10 2" xfId="31202" xr:uid="{00000000-0005-0000-0000-00002D5C0000}"/>
    <cellStyle name="Normal 3 3 7 2 2 11" xfId="13699" xr:uid="{00000000-0005-0000-0000-00002E5C0000}"/>
    <cellStyle name="Normal 3 3 7 2 2 11 2" xfId="31203" xr:uid="{00000000-0005-0000-0000-00002F5C0000}"/>
    <cellStyle name="Normal 3 3 7 2 2 12" xfId="13700" xr:uid="{00000000-0005-0000-0000-0000305C0000}"/>
    <cellStyle name="Normal 3 3 7 2 2 12 2" xfId="31204" xr:uid="{00000000-0005-0000-0000-0000315C0000}"/>
    <cellStyle name="Normal 3 3 7 2 2 13" xfId="13701" xr:uid="{00000000-0005-0000-0000-0000325C0000}"/>
    <cellStyle name="Normal 3 3 7 2 2 13 2" xfId="31205" xr:uid="{00000000-0005-0000-0000-0000335C0000}"/>
    <cellStyle name="Normal 3 3 7 2 2 14" xfId="13702" xr:uid="{00000000-0005-0000-0000-0000345C0000}"/>
    <cellStyle name="Normal 3 3 7 2 2 14 2" xfId="31206" xr:uid="{00000000-0005-0000-0000-0000355C0000}"/>
    <cellStyle name="Normal 3 3 7 2 2 15" xfId="31201" xr:uid="{00000000-0005-0000-0000-0000365C0000}"/>
    <cellStyle name="Normal 3 3 7 2 2 2" xfId="13703" xr:uid="{00000000-0005-0000-0000-0000375C0000}"/>
    <cellStyle name="Normal 3 3 7 2 2 2 2" xfId="31207" xr:uid="{00000000-0005-0000-0000-0000385C0000}"/>
    <cellStyle name="Normal 3 3 7 2 2 3" xfId="13704" xr:uid="{00000000-0005-0000-0000-0000395C0000}"/>
    <cellStyle name="Normal 3 3 7 2 2 3 2" xfId="31208" xr:uid="{00000000-0005-0000-0000-00003A5C0000}"/>
    <cellStyle name="Normal 3 3 7 2 2 4" xfId="13705" xr:uid="{00000000-0005-0000-0000-00003B5C0000}"/>
    <cellStyle name="Normal 3 3 7 2 2 4 2" xfId="31209" xr:uid="{00000000-0005-0000-0000-00003C5C0000}"/>
    <cellStyle name="Normal 3 3 7 2 2 5" xfId="13706" xr:uid="{00000000-0005-0000-0000-00003D5C0000}"/>
    <cellStyle name="Normal 3 3 7 2 2 5 2" xfId="31210" xr:uid="{00000000-0005-0000-0000-00003E5C0000}"/>
    <cellStyle name="Normal 3 3 7 2 2 6" xfId="13707" xr:uid="{00000000-0005-0000-0000-00003F5C0000}"/>
    <cellStyle name="Normal 3 3 7 2 2 6 2" xfId="31211" xr:uid="{00000000-0005-0000-0000-0000405C0000}"/>
    <cellStyle name="Normal 3 3 7 2 2 7" xfId="13708" xr:uid="{00000000-0005-0000-0000-0000415C0000}"/>
    <cellStyle name="Normal 3 3 7 2 2 7 2" xfId="31212" xr:uid="{00000000-0005-0000-0000-0000425C0000}"/>
    <cellStyle name="Normal 3 3 7 2 2 8" xfId="13709" xr:uid="{00000000-0005-0000-0000-0000435C0000}"/>
    <cellStyle name="Normal 3 3 7 2 2 8 2" xfId="31213" xr:uid="{00000000-0005-0000-0000-0000445C0000}"/>
    <cellStyle name="Normal 3 3 7 2 2 9" xfId="13710" xr:uid="{00000000-0005-0000-0000-0000455C0000}"/>
    <cellStyle name="Normal 3 3 7 2 2 9 2" xfId="31214" xr:uid="{00000000-0005-0000-0000-0000465C0000}"/>
    <cellStyle name="Normal 3 3 7 2 3" xfId="13711" xr:uid="{00000000-0005-0000-0000-0000475C0000}"/>
    <cellStyle name="Normal 3 3 7 2 3 2" xfId="31215" xr:uid="{00000000-0005-0000-0000-0000485C0000}"/>
    <cellStyle name="Normal 3 3 7 2 4" xfId="13712" xr:uid="{00000000-0005-0000-0000-0000495C0000}"/>
    <cellStyle name="Normal 3 3 7 2 4 2" xfId="31216" xr:uid="{00000000-0005-0000-0000-00004A5C0000}"/>
    <cellStyle name="Normal 3 3 7 2 5" xfId="13713" xr:uid="{00000000-0005-0000-0000-00004B5C0000}"/>
    <cellStyle name="Normal 3 3 7 2 5 2" xfId="31217" xr:uid="{00000000-0005-0000-0000-00004C5C0000}"/>
    <cellStyle name="Normal 3 3 7 2 6" xfId="13714" xr:uid="{00000000-0005-0000-0000-00004D5C0000}"/>
    <cellStyle name="Normal 3 3 7 2 6 2" xfId="31218" xr:uid="{00000000-0005-0000-0000-00004E5C0000}"/>
    <cellStyle name="Normal 3 3 7 2 7" xfId="13715" xr:uid="{00000000-0005-0000-0000-00004F5C0000}"/>
    <cellStyle name="Normal 3 3 7 2 7 2" xfId="31219" xr:uid="{00000000-0005-0000-0000-0000505C0000}"/>
    <cellStyle name="Normal 3 3 7 2 8" xfId="13716" xr:uid="{00000000-0005-0000-0000-0000515C0000}"/>
    <cellStyle name="Normal 3 3 7 2 8 2" xfId="31220" xr:uid="{00000000-0005-0000-0000-0000525C0000}"/>
    <cellStyle name="Normal 3 3 7 2 9" xfId="13717" xr:uid="{00000000-0005-0000-0000-0000535C0000}"/>
    <cellStyle name="Normal 3 3 7 2 9 2" xfId="31221" xr:uid="{00000000-0005-0000-0000-0000545C0000}"/>
    <cellStyle name="Normal 3 3 7 20" xfId="13718" xr:uid="{00000000-0005-0000-0000-0000555C0000}"/>
    <cellStyle name="Normal 3 3 7 20 2" xfId="31222" xr:uid="{00000000-0005-0000-0000-0000565C0000}"/>
    <cellStyle name="Normal 3 3 7 21" xfId="13719" xr:uid="{00000000-0005-0000-0000-0000575C0000}"/>
    <cellStyle name="Normal 3 3 7 21 2" xfId="31223" xr:uid="{00000000-0005-0000-0000-0000585C0000}"/>
    <cellStyle name="Normal 3 3 7 22" xfId="13720" xr:uid="{00000000-0005-0000-0000-0000595C0000}"/>
    <cellStyle name="Normal 3 3 7 22 2" xfId="31224" xr:uid="{00000000-0005-0000-0000-00005A5C0000}"/>
    <cellStyle name="Normal 3 3 7 23" xfId="13721" xr:uid="{00000000-0005-0000-0000-00005B5C0000}"/>
    <cellStyle name="Normal 3 3 7 23 2" xfId="31225" xr:uid="{00000000-0005-0000-0000-00005C5C0000}"/>
    <cellStyle name="Normal 3 3 7 24" xfId="31170" xr:uid="{00000000-0005-0000-0000-00005D5C0000}"/>
    <cellStyle name="Normal 3 3 7 3" xfId="13722" xr:uid="{00000000-0005-0000-0000-00005E5C0000}"/>
    <cellStyle name="Normal 3 3 7 3 10" xfId="13723" xr:uid="{00000000-0005-0000-0000-00005F5C0000}"/>
    <cellStyle name="Normal 3 3 7 3 10 2" xfId="31227" xr:uid="{00000000-0005-0000-0000-0000605C0000}"/>
    <cellStyle name="Normal 3 3 7 3 11" xfId="13724" xr:uid="{00000000-0005-0000-0000-0000615C0000}"/>
    <cellStyle name="Normal 3 3 7 3 11 2" xfId="31228" xr:uid="{00000000-0005-0000-0000-0000625C0000}"/>
    <cellStyle name="Normal 3 3 7 3 12" xfId="13725" xr:uid="{00000000-0005-0000-0000-0000635C0000}"/>
    <cellStyle name="Normal 3 3 7 3 12 2" xfId="31229" xr:uid="{00000000-0005-0000-0000-0000645C0000}"/>
    <cellStyle name="Normal 3 3 7 3 13" xfId="13726" xr:uid="{00000000-0005-0000-0000-0000655C0000}"/>
    <cellStyle name="Normal 3 3 7 3 13 2" xfId="31230" xr:uid="{00000000-0005-0000-0000-0000665C0000}"/>
    <cellStyle name="Normal 3 3 7 3 14" xfId="13727" xr:uid="{00000000-0005-0000-0000-0000675C0000}"/>
    <cellStyle name="Normal 3 3 7 3 14 2" xfId="31231" xr:uid="{00000000-0005-0000-0000-0000685C0000}"/>
    <cellStyle name="Normal 3 3 7 3 15" xfId="13728" xr:uid="{00000000-0005-0000-0000-0000695C0000}"/>
    <cellStyle name="Normal 3 3 7 3 15 2" xfId="31232" xr:uid="{00000000-0005-0000-0000-00006A5C0000}"/>
    <cellStyle name="Normal 3 3 7 3 16" xfId="31226" xr:uid="{00000000-0005-0000-0000-00006B5C0000}"/>
    <cellStyle name="Normal 3 3 7 3 2" xfId="13729" xr:uid="{00000000-0005-0000-0000-00006C5C0000}"/>
    <cellStyle name="Normal 3 3 7 3 2 10" xfId="13730" xr:uid="{00000000-0005-0000-0000-00006D5C0000}"/>
    <cellStyle name="Normal 3 3 7 3 2 10 2" xfId="31234" xr:uid="{00000000-0005-0000-0000-00006E5C0000}"/>
    <cellStyle name="Normal 3 3 7 3 2 11" xfId="13731" xr:uid="{00000000-0005-0000-0000-00006F5C0000}"/>
    <cellStyle name="Normal 3 3 7 3 2 11 2" xfId="31235" xr:uid="{00000000-0005-0000-0000-0000705C0000}"/>
    <cellStyle name="Normal 3 3 7 3 2 12" xfId="13732" xr:uid="{00000000-0005-0000-0000-0000715C0000}"/>
    <cellStyle name="Normal 3 3 7 3 2 12 2" xfId="31236" xr:uid="{00000000-0005-0000-0000-0000725C0000}"/>
    <cellStyle name="Normal 3 3 7 3 2 13" xfId="13733" xr:uid="{00000000-0005-0000-0000-0000735C0000}"/>
    <cellStyle name="Normal 3 3 7 3 2 13 2" xfId="31237" xr:uid="{00000000-0005-0000-0000-0000745C0000}"/>
    <cellStyle name="Normal 3 3 7 3 2 14" xfId="13734" xr:uid="{00000000-0005-0000-0000-0000755C0000}"/>
    <cellStyle name="Normal 3 3 7 3 2 14 2" xfId="31238" xr:uid="{00000000-0005-0000-0000-0000765C0000}"/>
    <cellStyle name="Normal 3 3 7 3 2 15" xfId="31233" xr:uid="{00000000-0005-0000-0000-0000775C0000}"/>
    <cellStyle name="Normal 3 3 7 3 2 2" xfId="13735" xr:uid="{00000000-0005-0000-0000-0000785C0000}"/>
    <cellStyle name="Normal 3 3 7 3 2 2 2" xfId="31239" xr:uid="{00000000-0005-0000-0000-0000795C0000}"/>
    <cellStyle name="Normal 3 3 7 3 2 3" xfId="13736" xr:uid="{00000000-0005-0000-0000-00007A5C0000}"/>
    <cellStyle name="Normal 3 3 7 3 2 3 2" xfId="31240" xr:uid="{00000000-0005-0000-0000-00007B5C0000}"/>
    <cellStyle name="Normal 3 3 7 3 2 4" xfId="13737" xr:uid="{00000000-0005-0000-0000-00007C5C0000}"/>
    <cellStyle name="Normal 3 3 7 3 2 4 2" xfId="31241" xr:uid="{00000000-0005-0000-0000-00007D5C0000}"/>
    <cellStyle name="Normal 3 3 7 3 2 5" xfId="13738" xr:uid="{00000000-0005-0000-0000-00007E5C0000}"/>
    <cellStyle name="Normal 3 3 7 3 2 5 2" xfId="31242" xr:uid="{00000000-0005-0000-0000-00007F5C0000}"/>
    <cellStyle name="Normal 3 3 7 3 2 6" xfId="13739" xr:uid="{00000000-0005-0000-0000-0000805C0000}"/>
    <cellStyle name="Normal 3 3 7 3 2 6 2" xfId="31243" xr:uid="{00000000-0005-0000-0000-0000815C0000}"/>
    <cellStyle name="Normal 3 3 7 3 2 7" xfId="13740" xr:uid="{00000000-0005-0000-0000-0000825C0000}"/>
    <cellStyle name="Normal 3 3 7 3 2 7 2" xfId="31244" xr:uid="{00000000-0005-0000-0000-0000835C0000}"/>
    <cellStyle name="Normal 3 3 7 3 2 8" xfId="13741" xr:uid="{00000000-0005-0000-0000-0000845C0000}"/>
    <cellStyle name="Normal 3 3 7 3 2 8 2" xfId="31245" xr:uid="{00000000-0005-0000-0000-0000855C0000}"/>
    <cellStyle name="Normal 3 3 7 3 2 9" xfId="13742" xr:uid="{00000000-0005-0000-0000-0000865C0000}"/>
    <cellStyle name="Normal 3 3 7 3 2 9 2" xfId="31246" xr:uid="{00000000-0005-0000-0000-0000875C0000}"/>
    <cellStyle name="Normal 3 3 7 3 3" xfId="13743" xr:uid="{00000000-0005-0000-0000-0000885C0000}"/>
    <cellStyle name="Normal 3 3 7 3 3 2" xfId="31247" xr:uid="{00000000-0005-0000-0000-0000895C0000}"/>
    <cellStyle name="Normal 3 3 7 3 4" xfId="13744" xr:uid="{00000000-0005-0000-0000-00008A5C0000}"/>
    <cellStyle name="Normal 3 3 7 3 4 2" xfId="31248" xr:uid="{00000000-0005-0000-0000-00008B5C0000}"/>
    <cellStyle name="Normal 3 3 7 3 5" xfId="13745" xr:uid="{00000000-0005-0000-0000-00008C5C0000}"/>
    <cellStyle name="Normal 3 3 7 3 5 2" xfId="31249" xr:uid="{00000000-0005-0000-0000-00008D5C0000}"/>
    <cellStyle name="Normal 3 3 7 3 6" xfId="13746" xr:uid="{00000000-0005-0000-0000-00008E5C0000}"/>
    <cellStyle name="Normal 3 3 7 3 6 2" xfId="31250" xr:uid="{00000000-0005-0000-0000-00008F5C0000}"/>
    <cellStyle name="Normal 3 3 7 3 7" xfId="13747" xr:uid="{00000000-0005-0000-0000-0000905C0000}"/>
    <cellStyle name="Normal 3 3 7 3 7 2" xfId="31251" xr:uid="{00000000-0005-0000-0000-0000915C0000}"/>
    <cellStyle name="Normal 3 3 7 3 8" xfId="13748" xr:uid="{00000000-0005-0000-0000-0000925C0000}"/>
    <cellStyle name="Normal 3 3 7 3 8 2" xfId="31252" xr:uid="{00000000-0005-0000-0000-0000935C0000}"/>
    <cellStyle name="Normal 3 3 7 3 9" xfId="13749" xr:uid="{00000000-0005-0000-0000-0000945C0000}"/>
    <cellStyle name="Normal 3 3 7 3 9 2" xfId="31253" xr:uid="{00000000-0005-0000-0000-0000955C0000}"/>
    <cellStyle name="Normal 3 3 7 4" xfId="13750" xr:uid="{00000000-0005-0000-0000-0000965C0000}"/>
    <cellStyle name="Normal 3 3 7 4 10" xfId="13751" xr:uid="{00000000-0005-0000-0000-0000975C0000}"/>
    <cellStyle name="Normal 3 3 7 4 10 2" xfId="31255" xr:uid="{00000000-0005-0000-0000-0000985C0000}"/>
    <cellStyle name="Normal 3 3 7 4 11" xfId="13752" xr:uid="{00000000-0005-0000-0000-0000995C0000}"/>
    <cellStyle name="Normal 3 3 7 4 11 2" xfId="31256" xr:uid="{00000000-0005-0000-0000-00009A5C0000}"/>
    <cellStyle name="Normal 3 3 7 4 12" xfId="13753" xr:uid="{00000000-0005-0000-0000-00009B5C0000}"/>
    <cellStyle name="Normal 3 3 7 4 12 2" xfId="31257" xr:uid="{00000000-0005-0000-0000-00009C5C0000}"/>
    <cellStyle name="Normal 3 3 7 4 13" xfId="13754" xr:uid="{00000000-0005-0000-0000-00009D5C0000}"/>
    <cellStyle name="Normal 3 3 7 4 13 2" xfId="31258" xr:uid="{00000000-0005-0000-0000-00009E5C0000}"/>
    <cellStyle name="Normal 3 3 7 4 14" xfId="13755" xr:uid="{00000000-0005-0000-0000-00009F5C0000}"/>
    <cellStyle name="Normal 3 3 7 4 14 2" xfId="31259" xr:uid="{00000000-0005-0000-0000-0000A05C0000}"/>
    <cellStyle name="Normal 3 3 7 4 15" xfId="13756" xr:uid="{00000000-0005-0000-0000-0000A15C0000}"/>
    <cellStyle name="Normal 3 3 7 4 15 2" xfId="31260" xr:uid="{00000000-0005-0000-0000-0000A25C0000}"/>
    <cellStyle name="Normal 3 3 7 4 16" xfId="31254" xr:uid="{00000000-0005-0000-0000-0000A35C0000}"/>
    <cellStyle name="Normal 3 3 7 4 2" xfId="13757" xr:uid="{00000000-0005-0000-0000-0000A45C0000}"/>
    <cellStyle name="Normal 3 3 7 4 2 10" xfId="13758" xr:uid="{00000000-0005-0000-0000-0000A55C0000}"/>
    <cellStyle name="Normal 3 3 7 4 2 10 2" xfId="31262" xr:uid="{00000000-0005-0000-0000-0000A65C0000}"/>
    <cellStyle name="Normal 3 3 7 4 2 11" xfId="13759" xr:uid="{00000000-0005-0000-0000-0000A75C0000}"/>
    <cellStyle name="Normal 3 3 7 4 2 11 2" xfId="31263" xr:uid="{00000000-0005-0000-0000-0000A85C0000}"/>
    <cellStyle name="Normal 3 3 7 4 2 12" xfId="13760" xr:uid="{00000000-0005-0000-0000-0000A95C0000}"/>
    <cellStyle name="Normal 3 3 7 4 2 12 2" xfId="31264" xr:uid="{00000000-0005-0000-0000-0000AA5C0000}"/>
    <cellStyle name="Normal 3 3 7 4 2 13" xfId="13761" xr:uid="{00000000-0005-0000-0000-0000AB5C0000}"/>
    <cellStyle name="Normal 3 3 7 4 2 13 2" xfId="31265" xr:uid="{00000000-0005-0000-0000-0000AC5C0000}"/>
    <cellStyle name="Normal 3 3 7 4 2 14" xfId="13762" xr:uid="{00000000-0005-0000-0000-0000AD5C0000}"/>
    <cellStyle name="Normal 3 3 7 4 2 14 2" xfId="31266" xr:uid="{00000000-0005-0000-0000-0000AE5C0000}"/>
    <cellStyle name="Normal 3 3 7 4 2 15" xfId="31261" xr:uid="{00000000-0005-0000-0000-0000AF5C0000}"/>
    <cellStyle name="Normal 3 3 7 4 2 2" xfId="13763" xr:uid="{00000000-0005-0000-0000-0000B05C0000}"/>
    <cellStyle name="Normal 3 3 7 4 2 2 2" xfId="31267" xr:uid="{00000000-0005-0000-0000-0000B15C0000}"/>
    <cellStyle name="Normal 3 3 7 4 2 3" xfId="13764" xr:uid="{00000000-0005-0000-0000-0000B25C0000}"/>
    <cellStyle name="Normal 3 3 7 4 2 3 2" xfId="31268" xr:uid="{00000000-0005-0000-0000-0000B35C0000}"/>
    <cellStyle name="Normal 3 3 7 4 2 4" xfId="13765" xr:uid="{00000000-0005-0000-0000-0000B45C0000}"/>
    <cellStyle name="Normal 3 3 7 4 2 4 2" xfId="31269" xr:uid="{00000000-0005-0000-0000-0000B55C0000}"/>
    <cellStyle name="Normal 3 3 7 4 2 5" xfId="13766" xr:uid="{00000000-0005-0000-0000-0000B65C0000}"/>
    <cellStyle name="Normal 3 3 7 4 2 5 2" xfId="31270" xr:uid="{00000000-0005-0000-0000-0000B75C0000}"/>
    <cellStyle name="Normal 3 3 7 4 2 6" xfId="13767" xr:uid="{00000000-0005-0000-0000-0000B85C0000}"/>
    <cellStyle name="Normal 3 3 7 4 2 6 2" xfId="31271" xr:uid="{00000000-0005-0000-0000-0000B95C0000}"/>
    <cellStyle name="Normal 3 3 7 4 2 7" xfId="13768" xr:uid="{00000000-0005-0000-0000-0000BA5C0000}"/>
    <cellStyle name="Normal 3 3 7 4 2 7 2" xfId="31272" xr:uid="{00000000-0005-0000-0000-0000BB5C0000}"/>
    <cellStyle name="Normal 3 3 7 4 2 8" xfId="13769" xr:uid="{00000000-0005-0000-0000-0000BC5C0000}"/>
    <cellStyle name="Normal 3 3 7 4 2 8 2" xfId="31273" xr:uid="{00000000-0005-0000-0000-0000BD5C0000}"/>
    <cellStyle name="Normal 3 3 7 4 2 9" xfId="13770" xr:uid="{00000000-0005-0000-0000-0000BE5C0000}"/>
    <cellStyle name="Normal 3 3 7 4 2 9 2" xfId="31274" xr:uid="{00000000-0005-0000-0000-0000BF5C0000}"/>
    <cellStyle name="Normal 3 3 7 4 3" xfId="13771" xr:uid="{00000000-0005-0000-0000-0000C05C0000}"/>
    <cellStyle name="Normal 3 3 7 4 3 2" xfId="31275" xr:uid="{00000000-0005-0000-0000-0000C15C0000}"/>
    <cellStyle name="Normal 3 3 7 4 4" xfId="13772" xr:uid="{00000000-0005-0000-0000-0000C25C0000}"/>
    <cellStyle name="Normal 3 3 7 4 4 2" xfId="31276" xr:uid="{00000000-0005-0000-0000-0000C35C0000}"/>
    <cellStyle name="Normal 3 3 7 4 5" xfId="13773" xr:uid="{00000000-0005-0000-0000-0000C45C0000}"/>
    <cellStyle name="Normal 3 3 7 4 5 2" xfId="31277" xr:uid="{00000000-0005-0000-0000-0000C55C0000}"/>
    <cellStyle name="Normal 3 3 7 4 6" xfId="13774" xr:uid="{00000000-0005-0000-0000-0000C65C0000}"/>
    <cellStyle name="Normal 3 3 7 4 6 2" xfId="31278" xr:uid="{00000000-0005-0000-0000-0000C75C0000}"/>
    <cellStyle name="Normal 3 3 7 4 7" xfId="13775" xr:uid="{00000000-0005-0000-0000-0000C85C0000}"/>
    <cellStyle name="Normal 3 3 7 4 7 2" xfId="31279" xr:uid="{00000000-0005-0000-0000-0000C95C0000}"/>
    <cellStyle name="Normal 3 3 7 4 8" xfId="13776" xr:uid="{00000000-0005-0000-0000-0000CA5C0000}"/>
    <cellStyle name="Normal 3 3 7 4 8 2" xfId="31280" xr:uid="{00000000-0005-0000-0000-0000CB5C0000}"/>
    <cellStyle name="Normal 3 3 7 4 9" xfId="13777" xr:uid="{00000000-0005-0000-0000-0000CC5C0000}"/>
    <cellStyle name="Normal 3 3 7 4 9 2" xfId="31281" xr:uid="{00000000-0005-0000-0000-0000CD5C0000}"/>
    <cellStyle name="Normal 3 3 7 5" xfId="13778" xr:uid="{00000000-0005-0000-0000-0000CE5C0000}"/>
    <cellStyle name="Normal 3 3 7 5 10" xfId="13779" xr:uid="{00000000-0005-0000-0000-0000CF5C0000}"/>
    <cellStyle name="Normal 3 3 7 5 10 2" xfId="31283" xr:uid="{00000000-0005-0000-0000-0000D05C0000}"/>
    <cellStyle name="Normal 3 3 7 5 11" xfId="13780" xr:uid="{00000000-0005-0000-0000-0000D15C0000}"/>
    <cellStyle name="Normal 3 3 7 5 11 2" xfId="31284" xr:uid="{00000000-0005-0000-0000-0000D25C0000}"/>
    <cellStyle name="Normal 3 3 7 5 12" xfId="13781" xr:uid="{00000000-0005-0000-0000-0000D35C0000}"/>
    <cellStyle name="Normal 3 3 7 5 12 2" xfId="31285" xr:uid="{00000000-0005-0000-0000-0000D45C0000}"/>
    <cellStyle name="Normal 3 3 7 5 13" xfId="13782" xr:uid="{00000000-0005-0000-0000-0000D55C0000}"/>
    <cellStyle name="Normal 3 3 7 5 13 2" xfId="31286" xr:uid="{00000000-0005-0000-0000-0000D65C0000}"/>
    <cellStyle name="Normal 3 3 7 5 14" xfId="13783" xr:uid="{00000000-0005-0000-0000-0000D75C0000}"/>
    <cellStyle name="Normal 3 3 7 5 14 2" xfId="31287" xr:uid="{00000000-0005-0000-0000-0000D85C0000}"/>
    <cellStyle name="Normal 3 3 7 5 15" xfId="31282" xr:uid="{00000000-0005-0000-0000-0000D95C0000}"/>
    <cellStyle name="Normal 3 3 7 5 2" xfId="13784" xr:uid="{00000000-0005-0000-0000-0000DA5C0000}"/>
    <cellStyle name="Normal 3 3 7 5 2 2" xfId="31288" xr:uid="{00000000-0005-0000-0000-0000DB5C0000}"/>
    <cellStyle name="Normal 3 3 7 5 3" xfId="13785" xr:uid="{00000000-0005-0000-0000-0000DC5C0000}"/>
    <cellStyle name="Normal 3 3 7 5 3 2" xfId="31289" xr:uid="{00000000-0005-0000-0000-0000DD5C0000}"/>
    <cellStyle name="Normal 3 3 7 5 4" xfId="13786" xr:uid="{00000000-0005-0000-0000-0000DE5C0000}"/>
    <cellStyle name="Normal 3 3 7 5 4 2" xfId="31290" xr:uid="{00000000-0005-0000-0000-0000DF5C0000}"/>
    <cellStyle name="Normal 3 3 7 5 5" xfId="13787" xr:uid="{00000000-0005-0000-0000-0000E05C0000}"/>
    <cellStyle name="Normal 3 3 7 5 5 2" xfId="31291" xr:uid="{00000000-0005-0000-0000-0000E15C0000}"/>
    <cellStyle name="Normal 3 3 7 5 6" xfId="13788" xr:uid="{00000000-0005-0000-0000-0000E25C0000}"/>
    <cellStyle name="Normal 3 3 7 5 6 2" xfId="31292" xr:uid="{00000000-0005-0000-0000-0000E35C0000}"/>
    <cellStyle name="Normal 3 3 7 5 7" xfId="13789" xr:uid="{00000000-0005-0000-0000-0000E45C0000}"/>
    <cellStyle name="Normal 3 3 7 5 7 2" xfId="31293" xr:uid="{00000000-0005-0000-0000-0000E55C0000}"/>
    <cellStyle name="Normal 3 3 7 5 8" xfId="13790" xr:uid="{00000000-0005-0000-0000-0000E65C0000}"/>
    <cellStyle name="Normal 3 3 7 5 8 2" xfId="31294" xr:uid="{00000000-0005-0000-0000-0000E75C0000}"/>
    <cellStyle name="Normal 3 3 7 5 9" xfId="13791" xr:uid="{00000000-0005-0000-0000-0000E85C0000}"/>
    <cellStyle name="Normal 3 3 7 5 9 2" xfId="31295" xr:uid="{00000000-0005-0000-0000-0000E95C0000}"/>
    <cellStyle name="Normal 3 3 7 6" xfId="13792" xr:uid="{00000000-0005-0000-0000-0000EA5C0000}"/>
    <cellStyle name="Normal 3 3 7 6 10" xfId="13793" xr:uid="{00000000-0005-0000-0000-0000EB5C0000}"/>
    <cellStyle name="Normal 3 3 7 6 10 2" xfId="31297" xr:uid="{00000000-0005-0000-0000-0000EC5C0000}"/>
    <cellStyle name="Normal 3 3 7 6 11" xfId="13794" xr:uid="{00000000-0005-0000-0000-0000ED5C0000}"/>
    <cellStyle name="Normal 3 3 7 6 11 2" xfId="31298" xr:uid="{00000000-0005-0000-0000-0000EE5C0000}"/>
    <cellStyle name="Normal 3 3 7 6 12" xfId="13795" xr:uid="{00000000-0005-0000-0000-0000EF5C0000}"/>
    <cellStyle name="Normal 3 3 7 6 12 2" xfId="31299" xr:uid="{00000000-0005-0000-0000-0000F05C0000}"/>
    <cellStyle name="Normal 3 3 7 6 13" xfId="13796" xr:uid="{00000000-0005-0000-0000-0000F15C0000}"/>
    <cellStyle name="Normal 3 3 7 6 13 2" xfId="31300" xr:uid="{00000000-0005-0000-0000-0000F25C0000}"/>
    <cellStyle name="Normal 3 3 7 6 14" xfId="13797" xr:uid="{00000000-0005-0000-0000-0000F35C0000}"/>
    <cellStyle name="Normal 3 3 7 6 14 2" xfId="31301" xr:uid="{00000000-0005-0000-0000-0000F45C0000}"/>
    <cellStyle name="Normal 3 3 7 6 15" xfId="31296" xr:uid="{00000000-0005-0000-0000-0000F55C0000}"/>
    <cellStyle name="Normal 3 3 7 6 2" xfId="13798" xr:uid="{00000000-0005-0000-0000-0000F65C0000}"/>
    <cellStyle name="Normal 3 3 7 6 2 2" xfId="31302" xr:uid="{00000000-0005-0000-0000-0000F75C0000}"/>
    <cellStyle name="Normal 3 3 7 6 3" xfId="13799" xr:uid="{00000000-0005-0000-0000-0000F85C0000}"/>
    <cellStyle name="Normal 3 3 7 6 3 2" xfId="31303" xr:uid="{00000000-0005-0000-0000-0000F95C0000}"/>
    <cellStyle name="Normal 3 3 7 6 4" xfId="13800" xr:uid="{00000000-0005-0000-0000-0000FA5C0000}"/>
    <cellStyle name="Normal 3 3 7 6 4 2" xfId="31304" xr:uid="{00000000-0005-0000-0000-0000FB5C0000}"/>
    <cellStyle name="Normal 3 3 7 6 5" xfId="13801" xr:uid="{00000000-0005-0000-0000-0000FC5C0000}"/>
    <cellStyle name="Normal 3 3 7 6 5 2" xfId="31305" xr:uid="{00000000-0005-0000-0000-0000FD5C0000}"/>
    <cellStyle name="Normal 3 3 7 6 6" xfId="13802" xr:uid="{00000000-0005-0000-0000-0000FE5C0000}"/>
    <cellStyle name="Normal 3 3 7 6 6 2" xfId="31306" xr:uid="{00000000-0005-0000-0000-0000FF5C0000}"/>
    <cellStyle name="Normal 3 3 7 6 7" xfId="13803" xr:uid="{00000000-0005-0000-0000-0000005D0000}"/>
    <cellStyle name="Normal 3 3 7 6 7 2" xfId="31307" xr:uid="{00000000-0005-0000-0000-0000015D0000}"/>
    <cellStyle name="Normal 3 3 7 6 8" xfId="13804" xr:uid="{00000000-0005-0000-0000-0000025D0000}"/>
    <cellStyle name="Normal 3 3 7 6 8 2" xfId="31308" xr:uid="{00000000-0005-0000-0000-0000035D0000}"/>
    <cellStyle name="Normal 3 3 7 6 9" xfId="13805" xr:uid="{00000000-0005-0000-0000-0000045D0000}"/>
    <cellStyle name="Normal 3 3 7 6 9 2" xfId="31309" xr:uid="{00000000-0005-0000-0000-0000055D0000}"/>
    <cellStyle name="Normal 3 3 7 7" xfId="13806" xr:uid="{00000000-0005-0000-0000-0000065D0000}"/>
    <cellStyle name="Normal 3 3 7 7 10" xfId="13807" xr:uid="{00000000-0005-0000-0000-0000075D0000}"/>
    <cellStyle name="Normal 3 3 7 7 10 2" xfId="31311" xr:uid="{00000000-0005-0000-0000-0000085D0000}"/>
    <cellStyle name="Normal 3 3 7 7 11" xfId="13808" xr:uid="{00000000-0005-0000-0000-0000095D0000}"/>
    <cellStyle name="Normal 3 3 7 7 11 2" xfId="31312" xr:uid="{00000000-0005-0000-0000-00000A5D0000}"/>
    <cellStyle name="Normal 3 3 7 7 12" xfId="13809" xr:uid="{00000000-0005-0000-0000-00000B5D0000}"/>
    <cellStyle name="Normal 3 3 7 7 12 2" xfId="31313" xr:uid="{00000000-0005-0000-0000-00000C5D0000}"/>
    <cellStyle name="Normal 3 3 7 7 13" xfId="13810" xr:uid="{00000000-0005-0000-0000-00000D5D0000}"/>
    <cellStyle name="Normal 3 3 7 7 13 2" xfId="31314" xr:uid="{00000000-0005-0000-0000-00000E5D0000}"/>
    <cellStyle name="Normal 3 3 7 7 14" xfId="13811" xr:uid="{00000000-0005-0000-0000-00000F5D0000}"/>
    <cellStyle name="Normal 3 3 7 7 14 2" xfId="31315" xr:uid="{00000000-0005-0000-0000-0000105D0000}"/>
    <cellStyle name="Normal 3 3 7 7 15" xfId="31310" xr:uid="{00000000-0005-0000-0000-0000115D0000}"/>
    <cellStyle name="Normal 3 3 7 7 2" xfId="13812" xr:uid="{00000000-0005-0000-0000-0000125D0000}"/>
    <cellStyle name="Normal 3 3 7 7 2 2" xfId="31316" xr:uid="{00000000-0005-0000-0000-0000135D0000}"/>
    <cellStyle name="Normal 3 3 7 7 3" xfId="13813" xr:uid="{00000000-0005-0000-0000-0000145D0000}"/>
    <cellStyle name="Normal 3 3 7 7 3 2" xfId="31317" xr:uid="{00000000-0005-0000-0000-0000155D0000}"/>
    <cellStyle name="Normal 3 3 7 7 4" xfId="13814" xr:uid="{00000000-0005-0000-0000-0000165D0000}"/>
    <cellStyle name="Normal 3 3 7 7 4 2" xfId="31318" xr:uid="{00000000-0005-0000-0000-0000175D0000}"/>
    <cellStyle name="Normal 3 3 7 7 5" xfId="13815" xr:uid="{00000000-0005-0000-0000-0000185D0000}"/>
    <cellStyle name="Normal 3 3 7 7 5 2" xfId="31319" xr:uid="{00000000-0005-0000-0000-0000195D0000}"/>
    <cellStyle name="Normal 3 3 7 7 6" xfId="13816" xr:uid="{00000000-0005-0000-0000-00001A5D0000}"/>
    <cellStyle name="Normal 3 3 7 7 6 2" xfId="31320" xr:uid="{00000000-0005-0000-0000-00001B5D0000}"/>
    <cellStyle name="Normal 3 3 7 7 7" xfId="13817" xr:uid="{00000000-0005-0000-0000-00001C5D0000}"/>
    <cellStyle name="Normal 3 3 7 7 7 2" xfId="31321" xr:uid="{00000000-0005-0000-0000-00001D5D0000}"/>
    <cellStyle name="Normal 3 3 7 7 8" xfId="13818" xr:uid="{00000000-0005-0000-0000-00001E5D0000}"/>
    <cellStyle name="Normal 3 3 7 7 8 2" xfId="31322" xr:uid="{00000000-0005-0000-0000-00001F5D0000}"/>
    <cellStyle name="Normal 3 3 7 7 9" xfId="13819" xr:uid="{00000000-0005-0000-0000-0000205D0000}"/>
    <cellStyle name="Normal 3 3 7 7 9 2" xfId="31323" xr:uid="{00000000-0005-0000-0000-0000215D0000}"/>
    <cellStyle name="Normal 3 3 7 8" xfId="13820" xr:uid="{00000000-0005-0000-0000-0000225D0000}"/>
    <cellStyle name="Normal 3 3 7 8 10" xfId="13821" xr:uid="{00000000-0005-0000-0000-0000235D0000}"/>
    <cellStyle name="Normal 3 3 7 8 10 2" xfId="31325" xr:uid="{00000000-0005-0000-0000-0000245D0000}"/>
    <cellStyle name="Normal 3 3 7 8 11" xfId="13822" xr:uid="{00000000-0005-0000-0000-0000255D0000}"/>
    <cellStyle name="Normal 3 3 7 8 11 2" xfId="31326" xr:uid="{00000000-0005-0000-0000-0000265D0000}"/>
    <cellStyle name="Normal 3 3 7 8 12" xfId="13823" xr:uid="{00000000-0005-0000-0000-0000275D0000}"/>
    <cellStyle name="Normal 3 3 7 8 12 2" xfId="31327" xr:uid="{00000000-0005-0000-0000-0000285D0000}"/>
    <cellStyle name="Normal 3 3 7 8 13" xfId="13824" xr:uid="{00000000-0005-0000-0000-0000295D0000}"/>
    <cellStyle name="Normal 3 3 7 8 13 2" xfId="31328" xr:uid="{00000000-0005-0000-0000-00002A5D0000}"/>
    <cellStyle name="Normal 3 3 7 8 14" xfId="13825" xr:uid="{00000000-0005-0000-0000-00002B5D0000}"/>
    <cellStyle name="Normal 3 3 7 8 14 2" xfId="31329" xr:uid="{00000000-0005-0000-0000-00002C5D0000}"/>
    <cellStyle name="Normal 3 3 7 8 15" xfId="31324" xr:uid="{00000000-0005-0000-0000-00002D5D0000}"/>
    <cellStyle name="Normal 3 3 7 8 2" xfId="13826" xr:uid="{00000000-0005-0000-0000-00002E5D0000}"/>
    <cellStyle name="Normal 3 3 7 8 2 2" xfId="31330" xr:uid="{00000000-0005-0000-0000-00002F5D0000}"/>
    <cellStyle name="Normal 3 3 7 8 3" xfId="13827" xr:uid="{00000000-0005-0000-0000-0000305D0000}"/>
    <cellStyle name="Normal 3 3 7 8 3 2" xfId="31331" xr:uid="{00000000-0005-0000-0000-0000315D0000}"/>
    <cellStyle name="Normal 3 3 7 8 4" xfId="13828" xr:uid="{00000000-0005-0000-0000-0000325D0000}"/>
    <cellStyle name="Normal 3 3 7 8 4 2" xfId="31332" xr:uid="{00000000-0005-0000-0000-0000335D0000}"/>
    <cellStyle name="Normal 3 3 7 8 5" xfId="13829" xr:uid="{00000000-0005-0000-0000-0000345D0000}"/>
    <cellStyle name="Normal 3 3 7 8 5 2" xfId="31333" xr:uid="{00000000-0005-0000-0000-0000355D0000}"/>
    <cellStyle name="Normal 3 3 7 8 6" xfId="13830" xr:uid="{00000000-0005-0000-0000-0000365D0000}"/>
    <cellStyle name="Normal 3 3 7 8 6 2" xfId="31334" xr:uid="{00000000-0005-0000-0000-0000375D0000}"/>
    <cellStyle name="Normal 3 3 7 8 7" xfId="13831" xr:uid="{00000000-0005-0000-0000-0000385D0000}"/>
    <cellStyle name="Normal 3 3 7 8 7 2" xfId="31335" xr:uid="{00000000-0005-0000-0000-0000395D0000}"/>
    <cellStyle name="Normal 3 3 7 8 8" xfId="13832" xr:uid="{00000000-0005-0000-0000-00003A5D0000}"/>
    <cellStyle name="Normal 3 3 7 8 8 2" xfId="31336" xr:uid="{00000000-0005-0000-0000-00003B5D0000}"/>
    <cellStyle name="Normal 3 3 7 8 9" xfId="13833" xr:uid="{00000000-0005-0000-0000-00003C5D0000}"/>
    <cellStyle name="Normal 3 3 7 8 9 2" xfId="31337" xr:uid="{00000000-0005-0000-0000-00003D5D0000}"/>
    <cellStyle name="Normal 3 3 7 9" xfId="13834" xr:uid="{00000000-0005-0000-0000-00003E5D0000}"/>
    <cellStyle name="Normal 3 3 7 9 10" xfId="13835" xr:uid="{00000000-0005-0000-0000-00003F5D0000}"/>
    <cellStyle name="Normal 3 3 7 9 10 2" xfId="31339" xr:uid="{00000000-0005-0000-0000-0000405D0000}"/>
    <cellStyle name="Normal 3 3 7 9 11" xfId="13836" xr:uid="{00000000-0005-0000-0000-0000415D0000}"/>
    <cellStyle name="Normal 3 3 7 9 11 2" xfId="31340" xr:uid="{00000000-0005-0000-0000-0000425D0000}"/>
    <cellStyle name="Normal 3 3 7 9 12" xfId="13837" xr:uid="{00000000-0005-0000-0000-0000435D0000}"/>
    <cellStyle name="Normal 3 3 7 9 12 2" xfId="31341" xr:uid="{00000000-0005-0000-0000-0000445D0000}"/>
    <cellStyle name="Normal 3 3 7 9 13" xfId="13838" xr:uid="{00000000-0005-0000-0000-0000455D0000}"/>
    <cellStyle name="Normal 3 3 7 9 13 2" xfId="31342" xr:uid="{00000000-0005-0000-0000-0000465D0000}"/>
    <cellStyle name="Normal 3 3 7 9 14" xfId="13839" xr:uid="{00000000-0005-0000-0000-0000475D0000}"/>
    <cellStyle name="Normal 3 3 7 9 14 2" xfId="31343" xr:uid="{00000000-0005-0000-0000-0000485D0000}"/>
    <cellStyle name="Normal 3 3 7 9 15" xfId="31338" xr:uid="{00000000-0005-0000-0000-0000495D0000}"/>
    <cellStyle name="Normal 3 3 7 9 2" xfId="13840" xr:uid="{00000000-0005-0000-0000-00004A5D0000}"/>
    <cellStyle name="Normal 3 3 7 9 2 2" xfId="31344" xr:uid="{00000000-0005-0000-0000-00004B5D0000}"/>
    <cellStyle name="Normal 3 3 7 9 3" xfId="13841" xr:uid="{00000000-0005-0000-0000-00004C5D0000}"/>
    <cellStyle name="Normal 3 3 7 9 3 2" xfId="31345" xr:uid="{00000000-0005-0000-0000-00004D5D0000}"/>
    <cellStyle name="Normal 3 3 7 9 4" xfId="13842" xr:uid="{00000000-0005-0000-0000-00004E5D0000}"/>
    <cellStyle name="Normal 3 3 7 9 4 2" xfId="31346" xr:uid="{00000000-0005-0000-0000-00004F5D0000}"/>
    <cellStyle name="Normal 3 3 7 9 5" xfId="13843" xr:uid="{00000000-0005-0000-0000-0000505D0000}"/>
    <cellStyle name="Normal 3 3 7 9 5 2" xfId="31347" xr:uid="{00000000-0005-0000-0000-0000515D0000}"/>
    <cellStyle name="Normal 3 3 7 9 6" xfId="13844" xr:uid="{00000000-0005-0000-0000-0000525D0000}"/>
    <cellStyle name="Normal 3 3 7 9 6 2" xfId="31348" xr:uid="{00000000-0005-0000-0000-0000535D0000}"/>
    <cellStyle name="Normal 3 3 7 9 7" xfId="13845" xr:uid="{00000000-0005-0000-0000-0000545D0000}"/>
    <cellStyle name="Normal 3 3 7 9 7 2" xfId="31349" xr:uid="{00000000-0005-0000-0000-0000555D0000}"/>
    <cellStyle name="Normal 3 3 7 9 8" xfId="13846" xr:uid="{00000000-0005-0000-0000-0000565D0000}"/>
    <cellStyle name="Normal 3 3 7 9 8 2" xfId="31350" xr:uid="{00000000-0005-0000-0000-0000575D0000}"/>
    <cellStyle name="Normal 3 3 7 9 9" xfId="13847" xr:uid="{00000000-0005-0000-0000-0000585D0000}"/>
    <cellStyle name="Normal 3 3 7 9 9 2" xfId="31351" xr:uid="{00000000-0005-0000-0000-0000595D0000}"/>
    <cellStyle name="Normal 3 3 8" xfId="13848" xr:uid="{00000000-0005-0000-0000-00005A5D0000}"/>
    <cellStyle name="Normal 3 3 8 10" xfId="13849" xr:uid="{00000000-0005-0000-0000-00005B5D0000}"/>
    <cellStyle name="Normal 3 3 8 10 10" xfId="13850" xr:uid="{00000000-0005-0000-0000-00005C5D0000}"/>
    <cellStyle name="Normal 3 3 8 10 10 2" xfId="31354" xr:uid="{00000000-0005-0000-0000-00005D5D0000}"/>
    <cellStyle name="Normal 3 3 8 10 11" xfId="13851" xr:uid="{00000000-0005-0000-0000-00005E5D0000}"/>
    <cellStyle name="Normal 3 3 8 10 11 2" xfId="31355" xr:uid="{00000000-0005-0000-0000-00005F5D0000}"/>
    <cellStyle name="Normal 3 3 8 10 12" xfId="13852" xr:uid="{00000000-0005-0000-0000-0000605D0000}"/>
    <cellStyle name="Normal 3 3 8 10 12 2" xfId="31356" xr:uid="{00000000-0005-0000-0000-0000615D0000}"/>
    <cellStyle name="Normal 3 3 8 10 13" xfId="13853" xr:uid="{00000000-0005-0000-0000-0000625D0000}"/>
    <cellStyle name="Normal 3 3 8 10 13 2" xfId="31357" xr:uid="{00000000-0005-0000-0000-0000635D0000}"/>
    <cellStyle name="Normal 3 3 8 10 14" xfId="13854" xr:uid="{00000000-0005-0000-0000-0000645D0000}"/>
    <cellStyle name="Normal 3 3 8 10 14 2" xfId="31358" xr:uid="{00000000-0005-0000-0000-0000655D0000}"/>
    <cellStyle name="Normal 3 3 8 10 15" xfId="31353" xr:uid="{00000000-0005-0000-0000-0000665D0000}"/>
    <cellStyle name="Normal 3 3 8 10 2" xfId="13855" xr:uid="{00000000-0005-0000-0000-0000675D0000}"/>
    <cellStyle name="Normal 3 3 8 10 2 2" xfId="31359" xr:uid="{00000000-0005-0000-0000-0000685D0000}"/>
    <cellStyle name="Normal 3 3 8 10 3" xfId="13856" xr:uid="{00000000-0005-0000-0000-0000695D0000}"/>
    <cellStyle name="Normal 3 3 8 10 3 2" xfId="31360" xr:uid="{00000000-0005-0000-0000-00006A5D0000}"/>
    <cellStyle name="Normal 3 3 8 10 4" xfId="13857" xr:uid="{00000000-0005-0000-0000-00006B5D0000}"/>
    <cellStyle name="Normal 3 3 8 10 4 2" xfId="31361" xr:uid="{00000000-0005-0000-0000-00006C5D0000}"/>
    <cellStyle name="Normal 3 3 8 10 5" xfId="13858" xr:uid="{00000000-0005-0000-0000-00006D5D0000}"/>
    <cellStyle name="Normal 3 3 8 10 5 2" xfId="31362" xr:uid="{00000000-0005-0000-0000-00006E5D0000}"/>
    <cellStyle name="Normal 3 3 8 10 6" xfId="13859" xr:uid="{00000000-0005-0000-0000-00006F5D0000}"/>
    <cellStyle name="Normal 3 3 8 10 6 2" xfId="31363" xr:uid="{00000000-0005-0000-0000-0000705D0000}"/>
    <cellStyle name="Normal 3 3 8 10 7" xfId="13860" xr:uid="{00000000-0005-0000-0000-0000715D0000}"/>
    <cellStyle name="Normal 3 3 8 10 7 2" xfId="31364" xr:uid="{00000000-0005-0000-0000-0000725D0000}"/>
    <cellStyle name="Normal 3 3 8 10 8" xfId="13861" xr:uid="{00000000-0005-0000-0000-0000735D0000}"/>
    <cellStyle name="Normal 3 3 8 10 8 2" xfId="31365" xr:uid="{00000000-0005-0000-0000-0000745D0000}"/>
    <cellStyle name="Normal 3 3 8 10 9" xfId="13862" xr:uid="{00000000-0005-0000-0000-0000755D0000}"/>
    <cellStyle name="Normal 3 3 8 10 9 2" xfId="31366" xr:uid="{00000000-0005-0000-0000-0000765D0000}"/>
    <cellStyle name="Normal 3 3 8 11" xfId="13863" xr:uid="{00000000-0005-0000-0000-0000775D0000}"/>
    <cellStyle name="Normal 3 3 8 11 2" xfId="31367" xr:uid="{00000000-0005-0000-0000-0000785D0000}"/>
    <cellStyle name="Normal 3 3 8 12" xfId="13864" xr:uid="{00000000-0005-0000-0000-0000795D0000}"/>
    <cellStyle name="Normal 3 3 8 12 2" xfId="31368" xr:uid="{00000000-0005-0000-0000-00007A5D0000}"/>
    <cellStyle name="Normal 3 3 8 13" xfId="13865" xr:uid="{00000000-0005-0000-0000-00007B5D0000}"/>
    <cellStyle name="Normal 3 3 8 13 2" xfId="31369" xr:uid="{00000000-0005-0000-0000-00007C5D0000}"/>
    <cellStyle name="Normal 3 3 8 14" xfId="13866" xr:uid="{00000000-0005-0000-0000-00007D5D0000}"/>
    <cellStyle name="Normal 3 3 8 14 2" xfId="31370" xr:uid="{00000000-0005-0000-0000-00007E5D0000}"/>
    <cellStyle name="Normal 3 3 8 15" xfId="13867" xr:uid="{00000000-0005-0000-0000-00007F5D0000}"/>
    <cellStyle name="Normal 3 3 8 15 2" xfId="31371" xr:uid="{00000000-0005-0000-0000-0000805D0000}"/>
    <cellStyle name="Normal 3 3 8 16" xfId="13868" xr:uid="{00000000-0005-0000-0000-0000815D0000}"/>
    <cellStyle name="Normal 3 3 8 16 2" xfId="31372" xr:uid="{00000000-0005-0000-0000-0000825D0000}"/>
    <cellStyle name="Normal 3 3 8 17" xfId="13869" xr:uid="{00000000-0005-0000-0000-0000835D0000}"/>
    <cellStyle name="Normal 3 3 8 17 2" xfId="31373" xr:uid="{00000000-0005-0000-0000-0000845D0000}"/>
    <cellStyle name="Normal 3 3 8 18" xfId="13870" xr:uid="{00000000-0005-0000-0000-0000855D0000}"/>
    <cellStyle name="Normal 3 3 8 18 2" xfId="31374" xr:uid="{00000000-0005-0000-0000-0000865D0000}"/>
    <cellStyle name="Normal 3 3 8 19" xfId="13871" xr:uid="{00000000-0005-0000-0000-0000875D0000}"/>
    <cellStyle name="Normal 3 3 8 19 2" xfId="31375" xr:uid="{00000000-0005-0000-0000-0000885D0000}"/>
    <cellStyle name="Normal 3 3 8 2" xfId="13872" xr:uid="{00000000-0005-0000-0000-0000895D0000}"/>
    <cellStyle name="Normal 3 3 8 2 10" xfId="13873" xr:uid="{00000000-0005-0000-0000-00008A5D0000}"/>
    <cellStyle name="Normal 3 3 8 2 10 2" xfId="31377" xr:uid="{00000000-0005-0000-0000-00008B5D0000}"/>
    <cellStyle name="Normal 3 3 8 2 11" xfId="13874" xr:uid="{00000000-0005-0000-0000-00008C5D0000}"/>
    <cellStyle name="Normal 3 3 8 2 11 2" xfId="31378" xr:uid="{00000000-0005-0000-0000-00008D5D0000}"/>
    <cellStyle name="Normal 3 3 8 2 12" xfId="13875" xr:uid="{00000000-0005-0000-0000-00008E5D0000}"/>
    <cellStyle name="Normal 3 3 8 2 12 2" xfId="31379" xr:uid="{00000000-0005-0000-0000-00008F5D0000}"/>
    <cellStyle name="Normal 3 3 8 2 13" xfId="13876" xr:uid="{00000000-0005-0000-0000-0000905D0000}"/>
    <cellStyle name="Normal 3 3 8 2 13 2" xfId="31380" xr:uid="{00000000-0005-0000-0000-0000915D0000}"/>
    <cellStyle name="Normal 3 3 8 2 14" xfId="13877" xr:uid="{00000000-0005-0000-0000-0000925D0000}"/>
    <cellStyle name="Normal 3 3 8 2 14 2" xfId="31381" xr:uid="{00000000-0005-0000-0000-0000935D0000}"/>
    <cellStyle name="Normal 3 3 8 2 15" xfId="13878" xr:uid="{00000000-0005-0000-0000-0000945D0000}"/>
    <cellStyle name="Normal 3 3 8 2 15 2" xfId="31382" xr:uid="{00000000-0005-0000-0000-0000955D0000}"/>
    <cellStyle name="Normal 3 3 8 2 16" xfId="31376" xr:uid="{00000000-0005-0000-0000-0000965D0000}"/>
    <cellStyle name="Normal 3 3 8 2 2" xfId="13879" xr:uid="{00000000-0005-0000-0000-0000975D0000}"/>
    <cellStyle name="Normal 3 3 8 2 2 10" xfId="13880" xr:uid="{00000000-0005-0000-0000-0000985D0000}"/>
    <cellStyle name="Normal 3 3 8 2 2 10 2" xfId="31384" xr:uid="{00000000-0005-0000-0000-0000995D0000}"/>
    <cellStyle name="Normal 3 3 8 2 2 11" xfId="13881" xr:uid="{00000000-0005-0000-0000-00009A5D0000}"/>
    <cellStyle name="Normal 3 3 8 2 2 11 2" xfId="31385" xr:uid="{00000000-0005-0000-0000-00009B5D0000}"/>
    <cellStyle name="Normal 3 3 8 2 2 12" xfId="13882" xr:uid="{00000000-0005-0000-0000-00009C5D0000}"/>
    <cellStyle name="Normal 3 3 8 2 2 12 2" xfId="31386" xr:uid="{00000000-0005-0000-0000-00009D5D0000}"/>
    <cellStyle name="Normal 3 3 8 2 2 13" xfId="13883" xr:uid="{00000000-0005-0000-0000-00009E5D0000}"/>
    <cellStyle name="Normal 3 3 8 2 2 13 2" xfId="31387" xr:uid="{00000000-0005-0000-0000-00009F5D0000}"/>
    <cellStyle name="Normal 3 3 8 2 2 14" xfId="13884" xr:uid="{00000000-0005-0000-0000-0000A05D0000}"/>
    <cellStyle name="Normal 3 3 8 2 2 14 2" xfId="31388" xr:uid="{00000000-0005-0000-0000-0000A15D0000}"/>
    <cellStyle name="Normal 3 3 8 2 2 15" xfId="31383" xr:uid="{00000000-0005-0000-0000-0000A25D0000}"/>
    <cellStyle name="Normal 3 3 8 2 2 2" xfId="13885" xr:uid="{00000000-0005-0000-0000-0000A35D0000}"/>
    <cellStyle name="Normal 3 3 8 2 2 2 2" xfId="31389" xr:uid="{00000000-0005-0000-0000-0000A45D0000}"/>
    <cellStyle name="Normal 3 3 8 2 2 3" xfId="13886" xr:uid="{00000000-0005-0000-0000-0000A55D0000}"/>
    <cellStyle name="Normal 3 3 8 2 2 3 2" xfId="31390" xr:uid="{00000000-0005-0000-0000-0000A65D0000}"/>
    <cellStyle name="Normal 3 3 8 2 2 4" xfId="13887" xr:uid="{00000000-0005-0000-0000-0000A75D0000}"/>
    <cellStyle name="Normal 3 3 8 2 2 4 2" xfId="31391" xr:uid="{00000000-0005-0000-0000-0000A85D0000}"/>
    <cellStyle name="Normal 3 3 8 2 2 5" xfId="13888" xr:uid="{00000000-0005-0000-0000-0000A95D0000}"/>
    <cellStyle name="Normal 3 3 8 2 2 5 2" xfId="31392" xr:uid="{00000000-0005-0000-0000-0000AA5D0000}"/>
    <cellStyle name="Normal 3 3 8 2 2 6" xfId="13889" xr:uid="{00000000-0005-0000-0000-0000AB5D0000}"/>
    <cellStyle name="Normal 3 3 8 2 2 6 2" xfId="31393" xr:uid="{00000000-0005-0000-0000-0000AC5D0000}"/>
    <cellStyle name="Normal 3 3 8 2 2 7" xfId="13890" xr:uid="{00000000-0005-0000-0000-0000AD5D0000}"/>
    <cellStyle name="Normal 3 3 8 2 2 7 2" xfId="31394" xr:uid="{00000000-0005-0000-0000-0000AE5D0000}"/>
    <cellStyle name="Normal 3 3 8 2 2 8" xfId="13891" xr:uid="{00000000-0005-0000-0000-0000AF5D0000}"/>
    <cellStyle name="Normal 3 3 8 2 2 8 2" xfId="31395" xr:uid="{00000000-0005-0000-0000-0000B05D0000}"/>
    <cellStyle name="Normal 3 3 8 2 2 9" xfId="13892" xr:uid="{00000000-0005-0000-0000-0000B15D0000}"/>
    <cellStyle name="Normal 3 3 8 2 2 9 2" xfId="31396" xr:uid="{00000000-0005-0000-0000-0000B25D0000}"/>
    <cellStyle name="Normal 3 3 8 2 3" xfId="13893" xr:uid="{00000000-0005-0000-0000-0000B35D0000}"/>
    <cellStyle name="Normal 3 3 8 2 3 2" xfId="31397" xr:uid="{00000000-0005-0000-0000-0000B45D0000}"/>
    <cellStyle name="Normal 3 3 8 2 4" xfId="13894" xr:uid="{00000000-0005-0000-0000-0000B55D0000}"/>
    <cellStyle name="Normal 3 3 8 2 4 2" xfId="31398" xr:uid="{00000000-0005-0000-0000-0000B65D0000}"/>
    <cellStyle name="Normal 3 3 8 2 5" xfId="13895" xr:uid="{00000000-0005-0000-0000-0000B75D0000}"/>
    <cellStyle name="Normal 3 3 8 2 5 2" xfId="31399" xr:uid="{00000000-0005-0000-0000-0000B85D0000}"/>
    <cellStyle name="Normal 3 3 8 2 6" xfId="13896" xr:uid="{00000000-0005-0000-0000-0000B95D0000}"/>
    <cellStyle name="Normal 3 3 8 2 6 2" xfId="31400" xr:uid="{00000000-0005-0000-0000-0000BA5D0000}"/>
    <cellStyle name="Normal 3 3 8 2 7" xfId="13897" xr:uid="{00000000-0005-0000-0000-0000BB5D0000}"/>
    <cellStyle name="Normal 3 3 8 2 7 2" xfId="31401" xr:uid="{00000000-0005-0000-0000-0000BC5D0000}"/>
    <cellStyle name="Normal 3 3 8 2 8" xfId="13898" xr:uid="{00000000-0005-0000-0000-0000BD5D0000}"/>
    <cellStyle name="Normal 3 3 8 2 8 2" xfId="31402" xr:uid="{00000000-0005-0000-0000-0000BE5D0000}"/>
    <cellStyle name="Normal 3 3 8 2 9" xfId="13899" xr:uid="{00000000-0005-0000-0000-0000BF5D0000}"/>
    <cellStyle name="Normal 3 3 8 2 9 2" xfId="31403" xr:uid="{00000000-0005-0000-0000-0000C05D0000}"/>
    <cellStyle name="Normal 3 3 8 20" xfId="13900" xr:uid="{00000000-0005-0000-0000-0000C15D0000}"/>
    <cellStyle name="Normal 3 3 8 20 2" xfId="31404" xr:uid="{00000000-0005-0000-0000-0000C25D0000}"/>
    <cellStyle name="Normal 3 3 8 21" xfId="13901" xr:uid="{00000000-0005-0000-0000-0000C35D0000}"/>
    <cellStyle name="Normal 3 3 8 21 2" xfId="31405" xr:uid="{00000000-0005-0000-0000-0000C45D0000}"/>
    <cellStyle name="Normal 3 3 8 22" xfId="13902" xr:uid="{00000000-0005-0000-0000-0000C55D0000}"/>
    <cellStyle name="Normal 3 3 8 22 2" xfId="31406" xr:uid="{00000000-0005-0000-0000-0000C65D0000}"/>
    <cellStyle name="Normal 3 3 8 23" xfId="13903" xr:uid="{00000000-0005-0000-0000-0000C75D0000}"/>
    <cellStyle name="Normal 3 3 8 23 2" xfId="31407" xr:uid="{00000000-0005-0000-0000-0000C85D0000}"/>
    <cellStyle name="Normal 3 3 8 24" xfId="31352" xr:uid="{00000000-0005-0000-0000-0000C95D0000}"/>
    <cellStyle name="Normal 3 3 8 3" xfId="13904" xr:uid="{00000000-0005-0000-0000-0000CA5D0000}"/>
    <cellStyle name="Normal 3 3 8 3 10" xfId="13905" xr:uid="{00000000-0005-0000-0000-0000CB5D0000}"/>
    <cellStyle name="Normal 3 3 8 3 10 2" xfId="31409" xr:uid="{00000000-0005-0000-0000-0000CC5D0000}"/>
    <cellStyle name="Normal 3 3 8 3 11" xfId="13906" xr:uid="{00000000-0005-0000-0000-0000CD5D0000}"/>
    <cellStyle name="Normal 3 3 8 3 11 2" xfId="31410" xr:uid="{00000000-0005-0000-0000-0000CE5D0000}"/>
    <cellStyle name="Normal 3 3 8 3 12" xfId="13907" xr:uid="{00000000-0005-0000-0000-0000CF5D0000}"/>
    <cellStyle name="Normal 3 3 8 3 12 2" xfId="31411" xr:uid="{00000000-0005-0000-0000-0000D05D0000}"/>
    <cellStyle name="Normal 3 3 8 3 13" xfId="13908" xr:uid="{00000000-0005-0000-0000-0000D15D0000}"/>
    <cellStyle name="Normal 3 3 8 3 13 2" xfId="31412" xr:uid="{00000000-0005-0000-0000-0000D25D0000}"/>
    <cellStyle name="Normal 3 3 8 3 14" xfId="13909" xr:uid="{00000000-0005-0000-0000-0000D35D0000}"/>
    <cellStyle name="Normal 3 3 8 3 14 2" xfId="31413" xr:uid="{00000000-0005-0000-0000-0000D45D0000}"/>
    <cellStyle name="Normal 3 3 8 3 15" xfId="13910" xr:uid="{00000000-0005-0000-0000-0000D55D0000}"/>
    <cellStyle name="Normal 3 3 8 3 15 2" xfId="31414" xr:uid="{00000000-0005-0000-0000-0000D65D0000}"/>
    <cellStyle name="Normal 3 3 8 3 16" xfId="31408" xr:uid="{00000000-0005-0000-0000-0000D75D0000}"/>
    <cellStyle name="Normal 3 3 8 3 2" xfId="13911" xr:uid="{00000000-0005-0000-0000-0000D85D0000}"/>
    <cellStyle name="Normal 3 3 8 3 2 10" xfId="13912" xr:uid="{00000000-0005-0000-0000-0000D95D0000}"/>
    <cellStyle name="Normal 3 3 8 3 2 10 2" xfId="31416" xr:uid="{00000000-0005-0000-0000-0000DA5D0000}"/>
    <cellStyle name="Normal 3 3 8 3 2 11" xfId="13913" xr:uid="{00000000-0005-0000-0000-0000DB5D0000}"/>
    <cellStyle name="Normal 3 3 8 3 2 11 2" xfId="31417" xr:uid="{00000000-0005-0000-0000-0000DC5D0000}"/>
    <cellStyle name="Normal 3 3 8 3 2 12" xfId="13914" xr:uid="{00000000-0005-0000-0000-0000DD5D0000}"/>
    <cellStyle name="Normal 3 3 8 3 2 12 2" xfId="31418" xr:uid="{00000000-0005-0000-0000-0000DE5D0000}"/>
    <cellStyle name="Normal 3 3 8 3 2 13" xfId="13915" xr:uid="{00000000-0005-0000-0000-0000DF5D0000}"/>
    <cellStyle name="Normal 3 3 8 3 2 13 2" xfId="31419" xr:uid="{00000000-0005-0000-0000-0000E05D0000}"/>
    <cellStyle name="Normal 3 3 8 3 2 14" xfId="13916" xr:uid="{00000000-0005-0000-0000-0000E15D0000}"/>
    <cellStyle name="Normal 3 3 8 3 2 14 2" xfId="31420" xr:uid="{00000000-0005-0000-0000-0000E25D0000}"/>
    <cellStyle name="Normal 3 3 8 3 2 15" xfId="31415" xr:uid="{00000000-0005-0000-0000-0000E35D0000}"/>
    <cellStyle name="Normal 3 3 8 3 2 2" xfId="13917" xr:uid="{00000000-0005-0000-0000-0000E45D0000}"/>
    <cellStyle name="Normal 3 3 8 3 2 2 2" xfId="31421" xr:uid="{00000000-0005-0000-0000-0000E55D0000}"/>
    <cellStyle name="Normal 3 3 8 3 2 3" xfId="13918" xr:uid="{00000000-0005-0000-0000-0000E65D0000}"/>
    <cellStyle name="Normal 3 3 8 3 2 3 2" xfId="31422" xr:uid="{00000000-0005-0000-0000-0000E75D0000}"/>
    <cellStyle name="Normal 3 3 8 3 2 4" xfId="13919" xr:uid="{00000000-0005-0000-0000-0000E85D0000}"/>
    <cellStyle name="Normal 3 3 8 3 2 4 2" xfId="31423" xr:uid="{00000000-0005-0000-0000-0000E95D0000}"/>
    <cellStyle name="Normal 3 3 8 3 2 5" xfId="13920" xr:uid="{00000000-0005-0000-0000-0000EA5D0000}"/>
    <cellStyle name="Normal 3 3 8 3 2 5 2" xfId="31424" xr:uid="{00000000-0005-0000-0000-0000EB5D0000}"/>
    <cellStyle name="Normal 3 3 8 3 2 6" xfId="13921" xr:uid="{00000000-0005-0000-0000-0000EC5D0000}"/>
    <cellStyle name="Normal 3 3 8 3 2 6 2" xfId="31425" xr:uid="{00000000-0005-0000-0000-0000ED5D0000}"/>
    <cellStyle name="Normal 3 3 8 3 2 7" xfId="13922" xr:uid="{00000000-0005-0000-0000-0000EE5D0000}"/>
    <cellStyle name="Normal 3 3 8 3 2 7 2" xfId="31426" xr:uid="{00000000-0005-0000-0000-0000EF5D0000}"/>
    <cellStyle name="Normal 3 3 8 3 2 8" xfId="13923" xr:uid="{00000000-0005-0000-0000-0000F05D0000}"/>
    <cellStyle name="Normal 3 3 8 3 2 8 2" xfId="31427" xr:uid="{00000000-0005-0000-0000-0000F15D0000}"/>
    <cellStyle name="Normal 3 3 8 3 2 9" xfId="13924" xr:uid="{00000000-0005-0000-0000-0000F25D0000}"/>
    <cellStyle name="Normal 3 3 8 3 2 9 2" xfId="31428" xr:uid="{00000000-0005-0000-0000-0000F35D0000}"/>
    <cellStyle name="Normal 3 3 8 3 3" xfId="13925" xr:uid="{00000000-0005-0000-0000-0000F45D0000}"/>
    <cellStyle name="Normal 3 3 8 3 3 2" xfId="31429" xr:uid="{00000000-0005-0000-0000-0000F55D0000}"/>
    <cellStyle name="Normal 3 3 8 3 4" xfId="13926" xr:uid="{00000000-0005-0000-0000-0000F65D0000}"/>
    <cellStyle name="Normal 3 3 8 3 4 2" xfId="31430" xr:uid="{00000000-0005-0000-0000-0000F75D0000}"/>
    <cellStyle name="Normal 3 3 8 3 5" xfId="13927" xr:uid="{00000000-0005-0000-0000-0000F85D0000}"/>
    <cellStyle name="Normal 3 3 8 3 5 2" xfId="31431" xr:uid="{00000000-0005-0000-0000-0000F95D0000}"/>
    <cellStyle name="Normal 3 3 8 3 6" xfId="13928" xr:uid="{00000000-0005-0000-0000-0000FA5D0000}"/>
    <cellStyle name="Normal 3 3 8 3 6 2" xfId="31432" xr:uid="{00000000-0005-0000-0000-0000FB5D0000}"/>
    <cellStyle name="Normal 3 3 8 3 7" xfId="13929" xr:uid="{00000000-0005-0000-0000-0000FC5D0000}"/>
    <cellStyle name="Normal 3 3 8 3 7 2" xfId="31433" xr:uid="{00000000-0005-0000-0000-0000FD5D0000}"/>
    <cellStyle name="Normal 3 3 8 3 8" xfId="13930" xr:uid="{00000000-0005-0000-0000-0000FE5D0000}"/>
    <cellStyle name="Normal 3 3 8 3 8 2" xfId="31434" xr:uid="{00000000-0005-0000-0000-0000FF5D0000}"/>
    <cellStyle name="Normal 3 3 8 3 9" xfId="13931" xr:uid="{00000000-0005-0000-0000-0000005E0000}"/>
    <cellStyle name="Normal 3 3 8 3 9 2" xfId="31435" xr:uid="{00000000-0005-0000-0000-0000015E0000}"/>
    <cellStyle name="Normal 3 3 8 4" xfId="13932" xr:uid="{00000000-0005-0000-0000-0000025E0000}"/>
    <cellStyle name="Normal 3 3 8 4 10" xfId="13933" xr:uid="{00000000-0005-0000-0000-0000035E0000}"/>
    <cellStyle name="Normal 3 3 8 4 10 2" xfId="31437" xr:uid="{00000000-0005-0000-0000-0000045E0000}"/>
    <cellStyle name="Normal 3 3 8 4 11" xfId="13934" xr:uid="{00000000-0005-0000-0000-0000055E0000}"/>
    <cellStyle name="Normal 3 3 8 4 11 2" xfId="31438" xr:uid="{00000000-0005-0000-0000-0000065E0000}"/>
    <cellStyle name="Normal 3 3 8 4 12" xfId="13935" xr:uid="{00000000-0005-0000-0000-0000075E0000}"/>
    <cellStyle name="Normal 3 3 8 4 12 2" xfId="31439" xr:uid="{00000000-0005-0000-0000-0000085E0000}"/>
    <cellStyle name="Normal 3 3 8 4 13" xfId="13936" xr:uid="{00000000-0005-0000-0000-0000095E0000}"/>
    <cellStyle name="Normal 3 3 8 4 13 2" xfId="31440" xr:uid="{00000000-0005-0000-0000-00000A5E0000}"/>
    <cellStyle name="Normal 3 3 8 4 14" xfId="13937" xr:uid="{00000000-0005-0000-0000-00000B5E0000}"/>
    <cellStyle name="Normal 3 3 8 4 14 2" xfId="31441" xr:uid="{00000000-0005-0000-0000-00000C5E0000}"/>
    <cellStyle name="Normal 3 3 8 4 15" xfId="13938" xr:uid="{00000000-0005-0000-0000-00000D5E0000}"/>
    <cellStyle name="Normal 3 3 8 4 15 2" xfId="31442" xr:uid="{00000000-0005-0000-0000-00000E5E0000}"/>
    <cellStyle name="Normal 3 3 8 4 16" xfId="31436" xr:uid="{00000000-0005-0000-0000-00000F5E0000}"/>
    <cellStyle name="Normal 3 3 8 4 2" xfId="13939" xr:uid="{00000000-0005-0000-0000-0000105E0000}"/>
    <cellStyle name="Normal 3 3 8 4 2 10" xfId="13940" xr:uid="{00000000-0005-0000-0000-0000115E0000}"/>
    <cellStyle name="Normal 3 3 8 4 2 10 2" xfId="31444" xr:uid="{00000000-0005-0000-0000-0000125E0000}"/>
    <cellStyle name="Normal 3 3 8 4 2 11" xfId="13941" xr:uid="{00000000-0005-0000-0000-0000135E0000}"/>
    <cellStyle name="Normal 3 3 8 4 2 11 2" xfId="31445" xr:uid="{00000000-0005-0000-0000-0000145E0000}"/>
    <cellStyle name="Normal 3 3 8 4 2 12" xfId="13942" xr:uid="{00000000-0005-0000-0000-0000155E0000}"/>
    <cellStyle name="Normal 3 3 8 4 2 12 2" xfId="31446" xr:uid="{00000000-0005-0000-0000-0000165E0000}"/>
    <cellStyle name="Normal 3 3 8 4 2 13" xfId="13943" xr:uid="{00000000-0005-0000-0000-0000175E0000}"/>
    <cellStyle name="Normal 3 3 8 4 2 13 2" xfId="31447" xr:uid="{00000000-0005-0000-0000-0000185E0000}"/>
    <cellStyle name="Normal 3 3 8 4 2 14" xfId="13944" xr:uid="{00000000-0005-0000-0000-0000195E0000}"/>
    <cellStyle name="Normal 3 3 8 4 2 14 2" xfId="31448" xr:uid="{00000000-0005-0000-0000-00001A5E0000}"/>
    <cellStyle name="Normal 3 3 8 4 2 15" xfId="31443" xr:uid="{00000000-0005-0000-0000-00001B5E0000}"/>
    <cellStyle name="Normal 3 3 8 4 2 2" xfId="13945" xr:uid="{00000000-0005-0000-0000-00001C5E0000}"/>
    <cellStyle name="Normal 3 3 8 4 2 2 2" xfId="31449" xr:uid="{00000000-0005-0000-0000-00001D5E0000}"/>
    <cellStyle name="Normal 3 3 8 4 2 3" xfId="13946" xr:uid="{00000000-0005-0000-0000-00001E5E0000}"/>
    <cellStyle name="Normal 3 3 8 4 2 3 2" xfId="31450" xr:uid="{00000000-0005-0000-0000-00001F5E0000}"/>
    <cellStyle name="Normal 3 3 8 4 2 4" xfId="13947" xr:uid="{00000000-0005-0000-0000-0000205E0000}"/>
    <cellStyle name="Normal 3 3 8 4 2 4 2" xfId="31451" xr:uid="{00000000-0005-0000-0000-0000215E0000}"/>
    <cellStyle name="Normal 3 3 8 4 2 5" xfId="13948" xr:uid="{00000000-0005-0000-0000-0000225E0000}"/>
    <cellStyle name="Normal 3 3 8 4 2 5 2" xfId="31452" xr:uid="{00000000-0005-0000-0000-0000235E0000}"/>
    <cellStyle name="Normal 3 3 8 4 2 6" xfId="13949" xr:uid="{00000000-0005-0000-0000-0000245E0000}"/>
    <cellStyle name="Normal 3 3 8 4 2 6 2" xfId="31453" xr:uid="{00000000-0005-0000-0000-0000255E0000}"/>
    <cellStyle name="Normal 3 3 8 4 2 7" xfId="13950" xr:uid="{00000000-0005-0000-0000-0000265E0000}"/>
    <cellStyle name="Normal 3 3 8 4 2 7 2" xfId="31454" xr:uid="{00000000-0005-0000-0000-0000275E0000}"/>
    <cellStyle name="Normal 3 3 8 4 2 8" xfId="13951" xr:uid="{00000000-0005-0000-0000-0000285E0000}"/>
    <cellStyle name="Normal 3 3 8 4 2 8 2" xfId="31455" xr:uid="{00000000-0005-0000-0000-0000295E0000}"/>
    <cellStyle name="Normal 3 3 8 4 2 9" xfId="13952" xr:uid="{00000000-0005-0000-0000-00002A5E0000}"/>
    <cellStyle name="Normal 3 3 8 4 2 9 2" xfId="31456" xr:uid="{00000000-0005-0000-0000-00002B5E0000}"/>
    <cellStyle name="Normal 3 3 8 4 3" xfId="13953" xr:uid="{00000000-0005-0000-0000-00002C5E0000}"/>
    <cellStyle name="Normal 3 3 8 4 3 2" xfId="31457" xr:uid="{00000000-0005-0000-0000-00002D5E0000}"/>
    <cellStyle name="Normal 3 3 8 4 4" xfId="13954" xr:uid="{00000000-0005-0000-0000-00002E5E0000}"/>
    <cellStyle name="Normal 3 3 8 4 4 2" xfId="31458" xr:uid="{00000000-0005-0000-0000-00002F5E0000}"/>
    <cellStyle name="Normal 3 3 8 4 5" xfId="13955" xr:uid="{00000000-0005-0000-0000-0000305E0000}"/>
    <cellStyle name="Normal 3 3 8 4 5 2" xfId="31459" xr:uid="{00000000-0005-0000-0000-0000315E0000}"/>
    <cellStyle name="Normal 3 3 8 4 6" xfId="13956" xr:uid="{00000000-0005-0000-0000-0000325E0000}"/>
    <cellStyle name="Normal 3 3 8 4 6 2" xfId="31460" xr:uid="{00000000-0005-0000-0000-0000335E0000}"/>
    <cellStyle name="Normal 3 3 8 4 7" xfId="13957" xr:uid="{00000000-0005-0000-0000-0000345E0000}"/>
    <cellStyle name="Normal 3 3 8 4 7 2" xfId="31461" xr:uid="{00000000-0005-0000-0000-0000355E0000}"/>
    <cellStyle name="Normal 3 3 8 4 8" xfId="13958" xr:uid="{00000000-0005-0000-0000-0000365E0000}"/>
    <cellStyle name="Normal 3 3 8 4 8 2" xfId="31462" xr:uid="{00000000-0005-0000-0000-0000375E0000}"/>
    <cellStyle name="Normal 3 3 8 4 9" xfId="13959" xr:uid="{00000000-0005-0000-0000-0000385E0000}"/>
    <cellStyle name="Normal 3 3 8 4 9 2" xfId="31463" xr:uid="{00000000-0005-0000-0000-0000395E0000}"/>
    <cellStyle name="Normal 3 3 8 5" xfId="13960" xr:uid="{00000000-0005-0000-0000-00003A5E0000}"/>
    <cellStyle name="Normal 3 3 8 5 10" xfId="13961" xr:uid="{00000000-0005-0000-0000-00003B5E0000}"/>
    <cellStyle name="Normal 3 3 8 5 10 2" xfId="31465" xr:uid="{00000000-0005-0000-0000-00003C5E0000}"/>
    <cellStyle name="Normal 3 3 8 5 11" xfId="13962" xr:uid="{00000000-0005-0000-0000-00003D5E0000}"/>
    <cellStyle name="Normal 3 3 8 5 11 2" xfId="31466" xr:uid="{00000000-0005-0000-0000-00003E5E0000}"/>
    <cellStyle name="Normal 3 3 8 5 12" xfId="13963" xr:uid="{00000000-0005-0000-0000-00003F5E0000}"/>
    <cellStyle name="Normal 3 3 8 5 12 2" xfId="31467" xr:uid="{00000000-0005-0000-0000-0000405E0000}"/>
    <cellStyle name="Normal 3 3 8 5 13" xfId="13964" xr:uid="{00000000-0005-0000-0000-0000415E0000}"/>
    <cellStyle name="Normal 3 3 8 5 13 2" xfId="31468" xr:uid="{00000000-0005-0000-0000-0000425E0000}"/>
    <cellStyle name="Normal 3 3 8 5 14" xfId="13965" xr:uid="{00000000-0005-0000-0000-0000435E0000}"/>
    <cellStyle name="Normal 3 3 8 5 14 2" xfId="31469" xr:uid="{00000000-0005-0000-0000-0000445E0000}"/>
    <cellStyle name="Normal 3 3 8 5 15" xfId="31464" xr:uid="{00000000-0005-0000-0000-0000455E0000}"/>
    <cellStyle name="Normal 3 3 8 5 2" xfId="13966" xr:uid="{00000000-0005-0000-0000-0000465E0000}"/>
    <cellStyle name="Normal 3 3 8 5 2 2" xfId="31470" xr:uid="{00000000-0005-0000-0000-0000475E0000}"/>
    <cellStyle name="Normal 3 3 8 5 3" xfId="13967" xr:uid="{00000000-0005-0000-0000-0000485E0000}"/>
    <cellStyle name="Normal 3 3 8 5 3 2" xfId="31471" xr:uid="{00000000-0005-0000-0000-0000495E0000}"/>
    <cellStyle name="Normal 3 3 8 5 4" xfId="13968" xr:uid="{00000000-0005-0000-0000-00004A5E0000}"/>
    <cellStyle name="Normal 3 3 8 5 4 2" xfId="31472" xr:uid="{00000000-0005-0000-0000-00004B5E0000}"/>
    <cellStyle name="Normal 3 3 8 5 5" xfId="13969" xr:uid="{00000000-0005-0000-0000-00004C5E0000}"/>
    <cellStyle name="Normal 3 3 8 5 5 2" xfId="31473" xr:uid="{00000000-0005-0000-0000-00004D5E0000}"/>
    <cellStyle name="Normal 3 3 8 5 6" xfId="13970" xr:uid="{00000000-0005-0000-0000-00004E5E0000}"/>
    <cellStyle name="Normal 3 3 8 5 6 2" xfId="31474" xr:uid="{00000000-0005-0000-0000-00004F5E0000}"/>
    <cellStyle name="Normal 3 3 8 5 7" xfId="13971" xr:uid="{00000000-0005-0000-0000-0000505E0000}"/>
    <cellStyle name="Normal 3 3 8 5 7 2" xfId="31475" xr:uid="{00000000-0005-0000-0000-0000515E0000}"/>
    <cellStyle name="Normal 3 3 8 5 8" xfId="13972" xr:uid="{00000000-0005-0000-0000-0000525E0000}"/>
    <cellStyle name="Normal 3 3 8 5 8 2" xfId="31476" xr:uid="{00000000-0005-0000-0000-0000535E0000}"/>
    <cellStyle name="Normal 3 3 8 5 9" xfId="13973" xr:uid="{00000000-0005-0000-0000-0000545E0000}"/>
    <cellStyle name="Normal 3 3 8 5 9 2" xfId="31477" xr:uid="{00000000-0005-0000-0000-0000555E0000}"/>
    <cellStyle name="Normal 3 3 8 6" xfId="13974" xr:uid="{00000000-0005-0000-0000-0000565E0000}"/>
    <cellStyle name="Normal 3 3 8 6 10" xfId="13975" xr:uid="{00000000-0005-0000-0000-0000575E0000}"/>
    <cellStyle name="Normal 3 3 8 6 10 2" xfId="31479" xr:uid="{00000000-0005-0000-0000-0000585E0000}"/>
    <cellStyle name="Normal 3 3 8 6 11" xfId="13976" xr:uid="{00000000-0005-0000-0000-0000595E0000}"/>
    <cellStyle name="Normal 3 3 8 6 11 2" xfId="31480" xr:uid="{00000000-0005-0000-0000-00005A5E0000}"/>
    <cellStyle name="Normal 3 3 8 6 12" xfId="13977" xr:uid="{00000000-0005-0000-0000-00005B5E0000}"/>
    <cellStyle name="Normal 3 3 8 6 12 2" xfId="31481" xr:uid="{00000000-0005-0000-0000-00005C5E0000}"/>
    <cellStyle name="Normal 3 3 8 6 13" xfId="13978" xr:uid="{00000000-0005-0000-0000-00005D5E0000}"/>
    <cellStyle name="Normal 3 3 8 6 13 2" xfId="31482" xr:uid="{00000000-0005-0000-0000-00005E5E0000}"/>
    <cellStyle name="Normal 3 3 8 6 14" xfId="13979" xr:uid="{00000000-0005-0000-0000-00005F5E0000}"/>
    <cellStyle name="Normal 3 3 8 6 14 2" xfId="31483" xr:uid="{00000000-0005-0000-0000-0000605E0000}"/>
    <cellStyle name="Normal 3 3 8 6 15" xfId="31478" xr:uid="{00000000-0005-0000-0000-0000615E0000}"/>
    <cellStyle name="Normal 3 3 8 6 2" xfId="13980" xr:uid="{00000000-0005-0000-0000-0000625E0000}"/>
    <cellStyle name="Normal 3 3 8 6 2 2" xfId="31484" xr:uid="{00000000-0005-0000-0000-0000635E0000}"/>
    <cellStyle name="Normal 3 3 8 6 3" xfId="13981" xr:uid="{00000000-0005-0000-0000-0000645E0000}"/>
    <cellStyle name="Normal 3 3 8 6 3 2" xfId="31485" xr:uid="{00000000-0005-0000-0000-0000655E0000}"/>
    <cellStyle name="Normal 3 3 8 6 4" xfId="13982" xr:uid="{00000000-0005-0000-0000-0000665E0000}"/>
    <cellStyle name="Normal 3 3 8 6 4 2" xfId="31486" xr:uid="{00000000-0005-0000-0000-0000675E0000}"/>
    <cellStyle name="Normal 3 3 8 6 5" xfId="13983" xr:uid="{00000000-0005-0000-0000-0000685E0000}"/>
    <cellStyle name="Normal 3 3 8 6 5 2" xfId="31487" xr:uid="{00000000-0005-0000-0000-0000695E0000}"/>
    <cellStyle name="Normal 3 3 8 6 6" xfId="13984" xr:uid="{00000000-0005-0000-0000-00006A5E0000}"/>
    <cellStyle name="Normal 3 3 8 6 6 2" xfId="31488" xr:uid="{00000000-0005-0000-0000-00006B5E0000}"/>
    <cellStyle name="Normal 3 3 8 6 7" xfId="13985" xr:uid="{00000000-0005-0000-0000-00006C5E0000}"/>
    <cellStyle name="Normal 3 3 8 6 7 2" xfId="31489" xr:uid="{00000000-0005-0000-0000-00006D5E0000}"/>
    <cellStyle name="Normal 3 3 8 6 8" xfId="13986" xr:uid="{00000000-0005-0000-0000-00006E5E0000}"/>
    <cellStyle name="Normal 3 3 8 6 8 2" xfId="31490" xr:uid="{00000000-0005-0000-0000-00006F5E0000}"/>
    <cellStyle name="Normal 3 3 8 6 9" xfId="13987" xr:uid="{00000000-0005-0000-0000-0000705E0000}"/>
    <cellStyle name="Normal 3 3 8 6 9 2" xfId="31491" xr:uid="{00000000-0005-0000-0000-0000715E0000}"/>
    <cellStyle name="Normal 3 3 8 7" xfId="13988" xr:uid="{00000000-0005-0000-0000-0000725E0000}"/>
    <cellStyle name="Normal 3 3 8 7 10" xfId="13989" xr:uid="{00000000-0005-0000-0000-0000735E0000}"/>
    <cellStyle name="Normal 3 3 8 7 10 2" xfId="31493" xr:uid="{00000000-0005-0000-0000-0000745E0000}"/>
    <cellStyle name="Normal 3 3 8 7 11" xfId="13990" xr:uid="{00000000-0005-0000-0000-0000755E0000}"/>
    <cellStyle name="Normal 3 3 8 7 11 2" xfId="31494" xr:uid="{00000000-0005-0000-0000-0000765E0000}"/>
    <cellStyle name="Normal 3 3 8 7 12" xfId="13991" xr:uid="{00000000-0005-0000-0000-0000775E0000}"/>
    <cellStyle name="Normal 3 3 8 7 12 2" xfId="31495" xr:uid="{00000000-0005-0000-0000-0000785E0000}"/>
    <cellStyle name="Normal 3 3 8 7 13" xfId="13992" xr:uid="{00000000-0005-0000-0000-0000795E0000}"/>
    <cellStyle name="Normal 3 3 8 7 13 2" xfId="31496" xr:uid="{00000000-0005-0000-0000-00007A5E0000}"/>
    <cellStyle name="Normal 3 3 8 7 14" xfId="13993" xr:uid="{00000000-0005-0000-0000-00007B5E0000}"/>
    <cellStyle name="Normal 3 3 8 7 14 2" xfId="31497" xr:uid="{00000000-0005-0000-0000-00007C5E0000}"/>
    <cellStyle name="Normal 3 3 8 7 15" xfId="31492" xr:uid="{00000000-0005-0000-0000-00007D5E0000}"/>
    <cellStyle name="Normal 3 3 8 7 2" xfId="13994" xr:uid="{00000000-0005-0000-0000-00007E5E0000}"/>
    <cellStyle name="Normal 3 3 8 7 2 2" xfId="31498" xr:uid="{00000000-0005-0000-0000-00007F5E0000}"/>
    <cellStyle name="Normal 3 3 8 7 3" xfId="13995" xr:uid="{00000000-0005-0000-0000-0000805E0000}"/>
    <cellStyle name="Normal 3 3 8 7 3 2" xfId="31499" xr:uid="{00000000-0005-0000-0000-0000815E0000}"/>
    <cellStyle name="Normal 3 3 8 7 4" xfId="13996" xr:uid="{00000000-0005-0000-0000-0000825E0000}"/>
    <cellStyle name="Normal 3 3 8 7 4 2" xfId="31500" xr:uid="{00000000-0005-0000-0000-0000835E0000}"/>
    <cellStyle name="Normal 3 3 8 7 5" xfId="13997" xr:uid="{00000000-0005-0000-0000-0000845E0000}"/>
    <cellStyle name="Normal 3 3 8 7 5 2" xfId="31501" xr:uid="{00000000-0005-0000-0000-0000855E0000}"/>
    <cellStyle name="Normal 3 3 8 7 6" xfId="13998" xr:uid="{00000000-0005-0000-0000-0000865E0000}"/>
    <cellStyle name="Normal 3 3 8 7 6 2" xfId="31502" xr:uid="{00000000-0005-0000-0000-0000875E0000}"/>
    <cellStyle name="Normal 3 3 8 7 7" xfId="13999" xr:uid="{00000000-0005-0000-0000-0000885E0000}"/>
    <cellStyle name="Normal 3 3 8 7 7 2" xfId="31503" xr:uid="{00000000-0005-0000-0000-0000895E0000}"/>
    <cellStyle name="Normal 3 3 8 7 8" xfId="14000" xr:uid="{00000000-0005-0000-0000-00008A5E0000}"/>
    <cellStyle name="Normal 3 3 8 7 8 2" xfId="31504" xr:uid="{00000000-0005-0000-0000-00008B5E0000}"/>
    <cellStyle name="Normal 3 3 8 7 9" xfId="14001" xr:uid="{00000000-0005-0000-0000-00008C5E0000}"/>
    <cellStyle name="Normal 3 3 8 7 9 2" xfId="31505" xr:uid="{00000000-0005-0000-0000-00008D5E0000}"/>
    <cellStyle name="Normal 3 3 8 8" xfId="14002" xr:uid="{00000000-0005-0000-0000-00008E5E0000}"/>
    <cellStyle name="Normal 3 3 8 8 10" xfId="14003" xr:uid="{00000000-0005-0000-0000-00008F5E0000}"/>
    <cellStyle name="Normal 3 3 8 8 10 2" xfId="31507" xr:uid="{00000000-0005-0000-0000-0000905E0000}"/>
    <cellStyle name="Normal 3 3 8 8 11" xfId="14004" xr:uid="{00000000-0005-0000-0000-0000915E0000}"/>
    <cellStyle name="Normal 3 3 8 8 11 2" xfId="31508" xr:uid="{00000000-0005-0000-0000-0000925E0000}"/>
    <cellStyle name="Normal 3 3 8 8 12" xfId="14005" xr:uid="{00000000-0005-0000-0000-0000935E0000}"/>
    <cellStyle name="Normal 3 3 8 8 12 2" xfId="31509" xr:uid="{00000000-0005-0000-0000-0000945E0000}"/>
    <cellStyle name="Normal 3 3 8 8 13" xfId="14006" xr:uid="{00000000-0005-0000-0000-0000955E0000}"/>
    <cellStyle name="Normal 3 3 8 8 13 2" xfId="31510" xr:uid="{00000000-0005-0000-0000-0000965E0000}"/>
    <cellStyle name="Normal 3 3 8 8 14" xfId="14007" xr:uid="{00000000-0005-0000-0000-0000975E0000}"/>
    <cellStyle name="Normal 3 3 8 8 14 2" xfId="31511" xr:uid="{00000000-0005-0000-0000-0000985E0000}"/>
    <cellStyle name="Normal 3 3 8 8 15" xfId="31506" xr:uid="{00000000-0005-0000-0000-0000995E0000}"/>
    <cellStyle name="Normal 3 3 8 8 2" xfId="14008" xr:uid="{00000000-0005-0000-0000-00009A5E0000}"/>
    <cellStyle name="Normal 3 3 8 8 2 2" xfId="31512" xr:uid="{00000000-0005-0000-0000-00009B5E0000}"/>
    <cellStyle name="Normal 3 3 8 8 3" xfId="14009" xr:uid="{00000000-0005-0000-0000-00009C5E0000}"/>
    <cellStyle name="Normal 3 3 8 8 3 2" xfId="31513" xr:uid="{00000000-0005-0000-0000-00009D5E0000}"/>
    <cellStyle name="Normal 3 3 8 8 4" xfId="14010" xr:uid="{00000000-0005-0000-0000-00009E5E0000}"/>
    <cellStyle name="Normal 3 3 8 8 4 2" xfId="31514" xr:uid="{00000000-0005-0000-0000-00009F5E0000}"/>
    <cellStyle name="Normal 3 3 8 8 5" xfId="14011" xr:uid="{00000000-0005-0000-0000-0000A05E0000}"/>
    <cellStyle name="Normal 3 3 8 8 5 2" xfId="31515" xr:uid="{00000000-0005-0000-0000-0000A15E0000}"/>
    <cellStyle name="Normal 3 3 8 8 6" xfId="14012" xr:uid="{00000000-0005-0000-0000-0000A25E0000}"/>
    <cellStyle name="Normal 3 3 8 8 6 2" xfId="31516" xr:uid="{00000000-0005-0000-0000-0000A35E0000}"/>
    <cellStyle name="Normal 3 3 8 8 7" xfId="14013" xr:uid="{00000000-0005-0000-0000-0000A45E0000}"/>
    <cellStyle name="Normal 3 3 8 8 7 2" xfId="31517" xr:uid="{00000000-0005-0000-0000-0000A55E0000}"/>
    <cellStyle name="Normal 3 3 8 8 8" xfId="14014" xr:uid="{00000000-0005-0000-0000-0000A65E0000}"/>
    <cellStyle name="Normal 3 3 8 8 8 2" xfId="31518" xr:uid="{00000000-0005-0000-0000-0000A75E0000}"/>
    <cellStyle name="Normal 3 3 8 8 9" xfId="14015" xr:uid="{00000000-0005-0000-0000-0000A85E0000}"/>
    <cellStyle name="Normal 3 3 8 8 9 2" xfId="31519" xr:uid="{00000000-0005-0000-0000-0000A95E0000}"/>
    <cellStyle name="Normal 3 3 8 9" xfId="14016" xr:uid="{00000000-0005-0000-0000-0000AA5E0000}"/>
    <cellStyle name="Normal 3 3 8 9 10" xfId="14017" xr:uid="{00000000-0005-0000-0000-0000AB5E0000}"/>
    <cellStyle name="Normal 3 3 8 9 10 2" xfId="31521" xr:uid="{00000000-0005-0000-0000-0000AC5E0000}"/>
    <cellStyle name="Normal 3 3 8 9 11" xfId="14018" xr:uid="{00000000-0005-0000-0000-0000AD5E0000}"/>
    <cellStyle name="Normal 3 3 8 9 11 2" xfId="31522" xr:uid="{00000000-0005-0000-0000-0000AE5E0000}"/>
    <cellStyle name="Normal 3 3 8 9 12" xfId="14019" xr:uid="{00000000-0005-0000-0000-0000AF5E0000}"/>
    <cellStyle name="Normal 3 3 8 9 12 2" xfId="31523" xr:uid="{00000000-0005-0000-0000-0000B05E0000}"/>
    <cellStyle name="Normal 3 3 8 9 13" xfId="14020" xr:uid="{00000000-0005-0000-0000-0000B15E0000}"/>
    <cellStyle name="Normal 3 3 8 9 13 2" xfId="31524" xr:uid="{00000000-0005-0000-0000-0000B25E0000}"/>
    <cellStyle name="Normal 3 3 8 9 14" xfId="14021" xr:uid="{00000000-0005-0000-0000-0000B35E0000}"/>
    <cellStyle name="Normal 3 3 8 9 14 2" xfId="31525" xr:uid="{00000000-0005-0000-0000-0000B45E0000}"/>
    <cellStyle name="Normal 3 3 8 9 15" xfId="31520" xr:uid="{00000000-0005-0000-0000-0000B55E0000}"/>
    <cellStyle name="Normal 3 3 8 9 2" xfId="14022" xr:uid="{00000000-0005-0000-0000-0000B65E0000}"/>
    <cellStyle name="Normal 3 3 8 9 2 2" xfId="31526" xr:uid="{00000000-0005-0000-0000-0000B75E0000}"/>
    <cellStyle name="Normal 3 3 8 9 3" xfId="14023" xr:uid="{00000000-0005-0000-0000-0000B85E0000}"/>
    <cellStyle name="Normal 3 3 8 9 3 2" xfId="31527" xr:uid="{00000000-0005-0000-0000-0000B95E0000}"/>
    <cellStyle name="Normal 3 3 8 9 4" xfId="14024" xr:uid="{00000000-0005-0000-0000-0000BA5E0000}"/>
    <cellStyle name="Normal 3 3 8 9 4 2" xfId="31528" xr:uid="{00000000-0005-0000-0000-0000BB5E0000}"/>
    <cellStyle name="Normal 3 3 8 9 5" xfId="14025" xr:uid="{00000000-0005-0000-0000-0000BC5E0000}"/>
    <cellStyle name="Normal 3 3 8 9 5 2" xfId="31529" xr:uid="{00000000-0005-0000-0000-0000BD5E0000}"/>
    <cellStyle name="Normal 3 3 8 9 6" xfId="14026" xr:uid="{00000000-0005-0000-0000-0000BE5E0000}"/>
    <cellStyle name="Normal 3 3 8 9 6 2" xfId="31530" xr:uid="{00000000-0005-0000-0000-0000BF5E0000}"/>
    <cellStyle name="Normal 3 3 8 9 7" xfId="14027" xr:uid="{00000000-0005-0000-0000-0000C05E0000}"/>
    <cellStyle name="Normal 3 3 8 9 7 2" xfId="31531" xr:uid="{00000000-0005-0000-0000-0000C15E0000}"/>
    <cellStyle name="Normal 3 3 8 9 8" xfId="14028" xr:uid="{00000000-0005-0000-0000-0000C25E0000}"/>
    <cellStyle name="Normal 3 3 8 9 8 2" xfId="31532" xr:uid="{00000000-0005-0000-0000-0000C35E0000}"/>
    <cellStyle name="Normal 3 3 8 9 9" xfId="14029" xr:uid="{00000000-0005-0000-0000-0000C45E0000}"/>
    <cellStyle name="Normal 3 3 8 9 9 2" xfId="31533" xr:uid="{00000000-0005-0000-0000-0000C55E0000}"/>
    <cellStyle name="Normal 3 3 9" xfId="14030" xr:uid="{00000000-0005-0000-0000-0000C65E0000}"/>
    <cellStyle name="Normal 3 3 9 10" xfId="14031" xr:uid="{00000000-0005-0000-0000-0000C75E0000}"/>
    <cellStyle name="Normal 3 3 9 10 10" xfId="14032" xr:uid="{00000000-0005-0000-0000-0000C85E0000}"/>
    <cellStyle name="Normal 3 3 9 10 10 2" xfId="31536" xr:uid="{00000000-0005-0000-0000-0000C95E0000}"/>
    <cellStyle name="Normal 3 3 9 10 11" xfId="14033" xr:uid="{00000000-0005-0000-0000-0000CA5E0000}"/>
    <cellStyle name="Normal 3 3 9 10 11 2" xfId="31537" xr:uid="{00000000-0005-0000-0000-0000CB5E0000}"/>
    <cellStyle name="Normal 3 3 9 10 12" xfId="14034" xr:uid="{00000000-0005-0000-0000-0000CC5E0000}"/>
    <cellStyle name="Normal 3 3 9 10 12 2" xfId="31538" xr:uid="{00000000-0005-0000-0000-0000CD5E0000}"/>
    <cellStyle name="Normal 3 3 9 10 13" xfId="14035" xr:uid="{00000000-0005-0000-0000-0000CE5E0000}"/>
    <cellStyle name="Normal 3 3 9 10 13 2" xfId="31539" xr:uid="{00000000-0005-0000-0000-0000CF5E0000}"/>
    <cellStyle name="Normal 3 3 9 10 14" xfId="14036" xr:uid="{00000000-0005-0000-0000-0000D05E0000}"/>
    <cellStyle name="Normal 3 3 9 10 14 2" xfId="31540" xr:uid="{00000000-0005-0000-0000-0000D15E0000}"/>
    <cellStyle name="Normal 3 3 9 10 15" xfId="31535" xr:uid="{00000000-0005-0000-0000-0000D25E0000}"/>
    <cellStyle name="Normal 3 3 9 10 2" xfId="14037" xr:uid="{00000000-0005-0000-0000-0000D35E0000}"/>
    <cellStyle name="Normal 3 3 9 10 2 2" xfId="31541" xr:uid="{00000000-0005-0000-0000-0000D45E0000}"/>
    <cellStyle name="Normal 3 3 9 10 3" xfId="14038" xr:uid="{00000000-0005-0000-0000-0000D55E0000}"/>
    <cellStyle name="Normal 3 3 9 10 3 2" xfId="31542" xr:uid="{00000000-0005-0000-0000-0000D65E0000}"/>
    <cellStyle name="Normal 3 3 9 10 4" xfId="14039" xr:uid="{00000000-0005-0000-0000-0000D75E0000}"/>
    <cellStyle name="Normal 3 3 9 10 4 2" xfId="31543" xr:uid="{00000000-0005-0000-0000-0000D85E0000}"/>
    <cellStyle name="Normal 3 3 9 10 5" xfId="14040" xr:uid="{00000000-0005-0000-0000-0000D95E0000}"/>
    <cellStyle name="Normal 3 3 9 10 5 2" xfId="31544" xr:uid="{00000000-0005-0000-0000-0000DA5E0000}"/>
    <cellStyle name="Normal 3 3 9 10 6" xfId="14041" xr:uid="{00000000-0005-0000-0000-0000DB5E0000}"/>
    <cellStyle name="Normal 3 3 9 10 6 2" xfId="31545" xr:uid="{00000000-0005-0000-0000-0000DC5E0000}"/>
    <cellStyle name="Normal 3 3 9 10 7" xfId="14042" xr:uid="{00000000-0005-0000-0000-0000DD5E0000}"/>
    <cellStyle name="Normal 3 3 9 10 7 2" xfId="31546" xr:uid="{00000000-0005-0000-0000-0000DE5E0000}"/>
    <cellStyle name="Normal 3 3 9 10 8" xfId="14043" xr:uid="{00000000-0005-0000-0000-0000DF5E0000}"/>
    <cellStyle name="Normal 3 3 9 10 8 2" xfId="31547" xr:uid="{00000000-0005-0000-0000-0000E05E0000}"/>
    <cellStyle name="Normal 3 3 9 10 9" xfId="14044" xr:uid="{00000000-0005-0000-0000-0000E15E0000}"/>
    <cellStyle name="Normal 3 3 9 10 9 2" xfId="31548" xr:uid="{00000000-0005-0000-0000-0000E25E0000}"/>
    <cellStyle name="Normal 3 3 9 11" xfId="14045" xr:uid="{00000000-0005-0000-0000-0000E35E0000}"/>
    <cellStyle name="Normal 3 3 9 11 2" xfId="31549" xr:uid="{00000000-0005-0000-0000-0000E45E0000}"/>
    <cellStyle name="Normal 3 3 9 12" xfId="14046" xr:uid="{00000000-0005-0000-0000-0000E55E0000}"/>
    <cellStyle name="Normal 3 3 9 12 2" xfId="31550" xr:uid="{00000000-0005-0000-0000-0000E65E0000}"/>
    <cellStyle name="Normal 3 3 9 13" xfId="14047" xr:uid="{00000000-0005-0000-0000-0000E75E0000}"/>
    <cellStyle name="Normal 3 3 9 13 2" xfId="31551" xr:uid="{00000000-0005-0000-0000-0000E85E0000}"/>
    <cellStyle name="Normal 3 3 9 14" xfId="14048" xr:uid="{00000000-0005-0000-0000-0000E95E0000}"/>
    <cellStyle name="Normal 3 3 9 14 2" xfId="31552" xr:uid="{00000000-0005-0000-0000-0000EA5E0000}"/>
    <cellStyle name="Normal 3 3 9 15" xfId="14049" xr:uid="{00000000-0005-0000-0000-0000EB5E0000}"/>
    <cellStyle name="Normal 3 3 9 15 2" xfId="31553" xr:uid="{00000000-0005-0000-0000-0000EC5E0000}"/>
    <cellStyle name="Normal 3 3 9 16" xfId="14050" xr:uid="{00000000-0005-0000-0000-0000ED5E0000}"/>
    <cellStyle name="Normal 3 3 9 16 2" xfId="31554" xr:uid="{00000000-0005-0000-0000-0000EE5E0000}"/>
    <cellStyle name="Normal 3 3 9 17" xfId="14051" xr:uid="{00000000-0005-0000-0000-0000EF5E0000}"/>
    <cellStyle name="Normal 3 3 9 17 2" xfId="31555" xr:uid="{00000000-0005-0000-0000-0000F05E0000}"/>
    <cellStyle name="Normal 3 3 9 18" xfId="14052" xr:uid="{00000000-0005-0000-0000-0000F15E0000}"/>
    <cellStyle name="Normal 3 3 9 18 2" xfId="31556" xr:uid="{00000000-0005-0000-0000-0000F25E0000}"/>
    <cellStyle name="Normal 3 3 9 19" xfId="14053" xr:uid="{00000000-0005-0000-0000-0000F35E0000}"/>
    <cellStyle name="Normal 3 3 9 19 2" xfId="31557" xr:uid="{00000000-0005-0000-0000-0000F45E0000}"/>
    <cellStyle name="Normal 3 3 9 2" xfId="14054" xr:uid="{00000000-0005-0000-0000-0000F55E0000}"/>
    <cellStyle name="Normal 3 3 9 2 10" xfId="14055" xr:uid="{00000000-0005-0000-0000-0000F65E0000}"/>
    <cellStyle name="Normal 3 3 9 2 10 2" xfId="31559" xr:uid="{00000000-0005-0000-0000-0000F75E0000}"/>
    <cellStyle name="Normal 3 3 9 2 11" xfId="14056" xr:uid="{00000000-0005-0000-0000-0000F85E0000}"/>
    <cellStyle name="Normal 3 3 9 2 11 2" xfId="31560" xr:uid="{00000000-0005-0000-0000-0000F95E0000}"/>
    <cellStyle name="Normal 3 3 9 2 12" xfId="14057" xr:uid="{00000000-0005-0000-0000-0000FA5E0000}"/>
    <cellStyle name="Normal 3 3 9 2 12 2" xfId="31561" xr:uid="{00000000-0005-0000-0000-0000FB5E0000}"/>
    <cellStyle name="Normal 3 3 9 2 13" xfId="14058" xr:uid="{00000000-0005-0000-0000-0000FC5E0000}"/>
    <cellStyle name="Normal 3 3 9 2 13 2" xfId="31562" xr:uid="{00000000-0005-0000-0000-0000FD5E0000}"/>
    <cellStyle name="Normal 3 3 9 2 14" xfId="14059" xr:uid="{00000000-0005-0000-0000-0000FE5E0000}"/>
    <cellStyle name="Normal 3 3 9 2 14 2" xfId="31563" xr:uid="{00000000-0005-0000-0000-0000FF5E0000}"/>
    <cellStyle name="Normal 3 3 9 2 15" xfId="14060" xr:uid="{00000000-0005-0000-0000-0000005F0000}"/>
    <cellStyle name="Normal 3 3 9 2 15 2" xfId="31564" xr:uid="{00000000-0005-0000-0000-0000015F0000}"/>
    <cellStyle name="Normal 3 3 9 2 16" xfId="31558" xr:uid="{00000000-0005-0000-0000-0000025F0000}"/>
    <cellStyle name="Normal 3 3 9 2 2" xfId="14061" xr:uid="{00000000-0005-0000-0000-0000035F0000}"/>
    <cellStyle name="Normal 3 3 9 2 2 10" xfId="14062" xr:uid="{00000000-0005-0000-0000-0000045F0000}"/>
    <cellStyle name="Normal 3 3 9 2 2 10 2" xfId="31566" xr:uid="{00000000-0005-0000-0000-0000055F0000}"/>
    <cellStyle name="Normal 3 3 9 2 2 11" xfId="14063" xr:uid="{00000000-0005-0000-0000-0000065F0000}"/>
    <cellStyle name="Normal 3 3 9 2 2 11 2" xfId="31567" xr:uid="{00000000-0005-0000-0000-0000075F0000}"/>
    <cellStyle name="Normal 3 3 9 2 2 12" xfId="14064" xr:uid="{00000000-0005-0000-0000-0000085F0000}"/>
    <cellStyle name="Normal 3 3 9 2 2 12 2" xfId="31568" xr:uid="{00000000-0005-0000-0000-0000095F0000}"/>
    <cellStyle name="Normal 3 3 9 2 2 13" xfId="14065" xr:uid="{00000000-0005-0000-0000-00000A5F0000}"/>
    <cellStyle name="Normal 3 3 9 2 2 13 2" xfId="31569" xr:uid="{00000000-0005-0000-0000-00000B5F0000}"/>
    <cellStyle name="Normal 3 3 9 2 2 14" xfId="14066" xr:uid="{00000000-0005-0000-0000-00000C5F0000}"/>
    <cellStyle name="Normal 3 3 9 2 2 14 2" xfId="31570" xr:uid="{00000000-0005-0000-0000-00000D5F0000}"/>
    <cellStyle name="Normal 3 3 9 2 2 15" xfId="31565" xr:uid="{00000000-0005-0000-0000-00000E5F0000}"/>
    <cellStyle name="Normal 3 3 9 2 2 2" xfId="14067" xr:uid="{00000000-0005-0000-0000-00000F5F0000}"/>
    <cellStyle name="Normal 3 3 9 2 2 2 2" xfId="31571" xr:uid="{00000000-0005-0000-0000-0000105F0000}"/>
    <cellStyle name="Normal 3 3 9 2 2 3" xfId="14068" xr:uid="{00000000-0005-0000-0000-0000115F0000}"/>
    <cellStyle name="Normal 3 3 9 2 2 3 2" xfId="31572" xr:uid="{00000000-0005-0000-0000-0000125F0000}"/>
    <cellStyle name="Normal 3 3 9 2 2 4" xfId="14069" xr:uid="{00000000-0005-0000-0000-0000135F0000}"/>
    <cellStyle name="Normal 3 3 9 2 2 4 2" xfId="31573" xr:uid="{00000000-0005-0000-0000-0000145F0000}"/>
    <cellStyle name="Normal 3 3 9 2 2 5" xfId="14070" xr:uid="{00000000-0005-0000-0000-0000155F0000}"/>
    <cellStyle name="Normal 3 3 9 2 2 5 2" xfId="31574" xr:uid="{00000000-0005-0000-0000-0000165F0000}"/>
    <cellStyle name="Normal 3 3 9 2 2 6" xfId="14071" xr:uid="{00000000-0005-0000-0000-0000175F0000}"/>
    <cellStyle name="Normal 3 3 9 2 2 6 2" xfId="31575" xr:uid="{00000000-0005-0000-0000-0000185F0000}"/>
    <cellStyle name="Normal 3 3 9 2 2 7" xfId="14072" xr:uid="{00000000-0005-0000-0000-0000195F0000}"/>
    <cellStyle name="Normal 3 3 9 2 2 7 2" xfId="31576" xr:uid="{00000000-0005-0000-0000-00001A5F0000}"/>
    <cellStyle name="Normal 3 3 9 2 2 8" xfId="14073" xr:uid="{00000000-0005-0000-0000-00001B5F0000}"/>
    <cellStyle name="Normal 3 3 9 2 2 8 2" xfId="31577" xr:uid="{00000000-0005-0000-0000-00001C5F0000}"/>
    <cellStyle name="Normal 3 3 9 2 2 9" xfId="14074" xr:uid="{00000000-0005-0000-0000-00001D5F0000}"/>
    <cellStyle name="Normal 3 3 9 2 2 9 2" xfId="31578" xr:uid="{00000000-0005-0000-0000-00001E5F0000}"/>
    <cellStyle name="Normal 3 3 9 2 3" xfId="14075" xr:uid="{00000000-0005-0000-0000-00001F5F0000}"/>
    <cellStyle name="Normal 3 3 9 2 3 2" xfId="31579" xr:uid="{00000000-0005-0000-0000-0000205F0000}"/>
    <cellStyle name="Normal 3 3 9 2 4" xfId="14076" xr:uid="{00000000-0005-0000-0000-0000215F0000}"/>
    <cellStyle name="Normal 3 3 9 2 4 2" xfId="31580" xr:uid="{00000000-0005-0000-0000-0000225F0000}"/>
    <cellStyle name="Normal 3 3 9 2 5" xfId="14077" xr:uid="{00000000-0005-0000-0000-0000235F0000}"/>
    <cellStyle name="Normal 3 3 9 2 5 2" xfId="31581" xr:uid="{00000000-0005-0000-0000-0000245F0000}"/>
    <cellStyle name="Normal 3 3 9 2 6" xfId="14078" xr:uid="{00000000-0005-0000-0000-0000255F0000}"/>
    <cellStyle name="Normal 3 3 9 2 6 2" xfId="31582" xr:uid="{00000000-0005-0000-0000-0000265F0000}"/>
    <cellStyle name="Normal 3 3 9 2 7" xfId="14079" xr:uid="{00000000-0005-0000-0000-0000275F0000}"/>
    <cellStyle name="Normal 3 3 9 2 7 2" xfId="31583" xr:uid="{00000000-0005-0000-0000-0000285F0000}"/>
    <cellStyle name="Normal 3 3 9 2 8" xfId="14080" xr:uid="{00000000-0005-0000-0000-0000295F0000}"/>
    <cellStyle name="Normal 3 3 9 2 8 2" xfId="31584" xr:uid="{00000000-0005-0000-0000-00002A5F0000}"/>
    <cellStyle name="Normal 3 3 9 2 9" xfId="14081" xr:uid="{00000000-0005-0000-0000-00002B5F0000}"/>
    <cellStyle name="Normal 3 3 9 2 9 2" xfId="31585" xr:uid="{00000000-0005-0000-0000-00002C5F0000}"/>
    <cellStyle name="Normal 3 3 9 20" xfId="14082" xr:uid="{00000000-0005-0000-0000-00002D5F0000}"/>
    <cellStyle name="Normal 3 3 9 20 2" xfId="31586" xr:uid="{00000000-0005-0000-0000-00002E5F0000}"/>
    <cellStyle name="Normal 3 3 9 21" xfId="14083" xr:uid="{00000000-0005-0000-0000-00002F5F0000}"/>
    <cellStyle name="Normal 3 3 9 21 2" xfId="31587" xr:uid="{00000000-0005-0000-0000-0000305F0000}"/>
    <cellStyle name="Normal 3 3 9 22" xfId="14084" xr:uid="{00000000-0005-0000-0000-0000315F0000}"/>
    <cellStyle name="Normal 3 3 9 22 2" xfId="31588" xr:uid="{00000000-0005-0000-0000-0000325F0000}"/>
    <cellStyle name="Normal 3 3 9 23" xfId="14085" xr:uid="{00000000-0005-0000-0000-0000335F0000}"/>
    <cellStyle name="Normal 3 3 9 23 2" xfId="31589" xr:uid="{00000000-0005-0000-0000-0000345F0000}"/>
    <cellStyle name="Normal 3 3 9 24" xfId="31534" xr:uid="{00000000-0005-0000-0000-0000355F0000}"/>
    <cellStyle name="Normal 3 3 9 3" xfId="14086" xr:uid="{00000000-0005-0000-0000-0000365F0000}"/>
    <cellStyle name="Normal 3 3 9 3 10" xfId="14087" xr:uid="{00000000-0005-0000-0000-0000375F0000}"/>
    <cellStyle name="Normal 3 3 9 3 10 2" xfId="31591" xr:uid="{00000000-0005-0000-0000-0000385F0000}"/>
    <cellStyle name="Normal 3 3 9 3 11" xfId="14088" xr:uid="{00000000-0005-0000-0000-0000395F0000}"/>
    <cellStyle name="Normal 3 3 9 3 11 2" xfId="31592" xr:uid="{00000000-0005-0000-0000-00003A5F0000}"/>
    <cellStyle name="Normal 3 3 9 3 12" xfId="14089" xr:uid="{00000000-0005-0000-0000-00003B5F0000}"/>
    <cellStyle name="Normal 3 3 9 3 12 2" xfId="31593" xr:uid="{00000000-0005-0000-0000-00003C5F0000}"/>
    <cellStyle name="Normal 3 3 9 3 13" xfId="14090" xr:uid="{00000000-0005-0000-0000-00003D5F0000}"/>
    <cellStyle name="Normal 3 3 9 3 13 2" xfId="31594" xr:uid="{00000000-0005-0000-0000-00003E5F0000}"/>
    <cellStyle name="Normal 3 3 9 3 14" xfId="14091" xr:uid="{00000000-0005-0000-0000-00003F5F0000}"/>
    <cellStyle name="Normal 3 3 9 3 14 2" xfId="31595" xr:uid="{00000000-0005-0000-0000-0000405F0000}"/>
    <cellStyle name="Normal 3 3 9 3 15" xfId="14092" xr:uid="{00000000-0005-0000-0000-0000415F0000}"/>
    <cellStyle name="Normal 3 3 9 3 15 2" xfId="31596" xr:uid="{00000000-0005-0000-0000-0000425F0000}"/>
    <cellStyle name="Normal 3 3 9 3 16" xfId="31590" xr:uid="{00000000-0005-0000-0000-0000435F0000}"/>
    <cellStyle name="Normal 3 3 9 3 2" xfId="14093" xr:uid="{00000000-0005-0000-0000-0000445F0000}"/>
    <cellStyle name="Normal 3 3 9 3 2 10" xfId="14094" xr:uid="{00000000-0005-0000-0000-0000455F0000}"/>
    <cellStyle name="Normal 3 3 9 3 2 10 2" xfId="31598" xr:uid="{00000000-0005-0000-0000-0000465F0000}"/>
    <cellStyle name="Normal 3 3 9 3 2 11" xfId="14095" xr:uid="{00000000-0005-0000-0000-0000475F0000}"/>
    <cellStyle name="Normal 3 3 9 3 2 11 2" xfId="31599" xr:uid="{00000000-0005-0000-0000-0000485F0000}"/>
    <cellStyle name="Normal 3 3 9 3 2 12" xfId="14096" xr:uid="{00000000-0005-0000-0000-0000495F0000}"/>
    <cellStyle name="Normal 3 3 9 3 2 12 2" xfId="31600" xr:uid="{00000000-0005-0000-0000-00004A5F0000}"/>
    <cellStyle name="Normal 3 3 9 3 2 13" xfId="14097" xr:uid="{00000000-0005-0000-0000-00004B5F0000}"/>
    <cellStyle name="Normal 3 3 9 3 2 13 2" xfId="31601" xr:uid="{00000000-0005-0000-0000-00004C5F0000}"/>
    <cellStyle name="Normal 3 3 9 3 2 14" xfId="14098" xr:uid="{00000000-0005-0000-0000-00004D5F0000}"/>
    <cellStyle name="Normal 3 3 9 3 2 14 2" xfId="31602" xr:uid="{00000000-0005-0000-0000-00004E5F0000}"/>
    <cellStyle name="Normal 3 3 9 3 2 15" xfId="31597" xr:uid="{00000000-0005-0000-0000-00004F5F0000}"/>
    <cellStyle name="Normal 3 3 9 3 2 2" xfId="14099" xr:uid="{00000000-0005-0000-0000-0000505F0000}"/>
    <cellStyle name="Normal 3 3 9 3 2 2 2" xfId="31603" xr:uid="{00000000-0005-0000-0000-0000515F0000}"/>
    <cellStyle name="Normal 3 3 9 3 2 3" xfId="14100" xr:uid="{00000000-0005-0000-0000-0000525F0000}"/>
    <cellStyle name="Normal 3 3 9 3 2 3 2" xfId="31604" xr:uid="{00000000-0005-0000-0000-0000535F0000}"/>
    <cellStyle name="Normal 3 3 9 3 2 4" xfId="14101" xr:uid="{00000000-0005-0000-0000-0000545F0000}"/>
    <cellStyle name="Normal 3 3 9 3 2 4 2" xfId="31605" xr:uid="{00000000-0005-0000-0000-0000555F0000}"/>
    <cellStyle name="Normal 3 3 9 3 2 5" xfId="14102" xr:uid="{00000000-0005-0000-0000-0000565F0000}"/>
    <cellStyle name="Normal 3 3 9 3 2 5 2" xfId="31606" xr:uid="{00000000-0005-0000-0000-0000575F0000}"/>
    <cellStyle name="Normal 3 3 9 3 2 6" xfId="14103" xr:uid="{00000000-0005-0000-0000-0000585F0000}"/>
    <cellStyle name="Normal 3 3 9 3 2 6 2" xfId="31607" xr:uid="{00000000-0005-0000-0000-0000595F0000}"/>
    <cellStyle name="Normal 3 3 9 3 2 7" xfId="14104" xr:uid="{00000000-0005-0000-0000-00005A5F0000}"/>
    <cellStyle name="Normal 3 3 9 3 2 7 2" xfId="31608" xr:uid="{00000000-0005-0000-0000-00005B5F0000}"/>
    <cellStyle name="Normal 3 3 9 3 2 8" xfId="14105" xr:uid="{00000000-0005-0000-0000-00005C5F0000}"/>
    <cellStyle name="Normal 3 3 9 3 2 8 2" xfId="31609" xr:uid="{00000000-0005-0000-0000-00005D5F0000}"/>
    <cellStyle name="Normal 3 3 9 3 2 9" xfId="14106" xr:uid="{00000000-0005-0000-0000-00005E5F0000}"/>
    <cellStyle name="Normal 3 3 9 3 2 9 2" xfId="31610" xr:uid="{00000000-0005-0000-0000-00005F5F0000}"/>
    <cellStyle name="Normal 3 3 9 3 3" xfId="14107" xr:uid="{00000000-0005-0000-0000-0000605F0000}"/>
    <cellStyle name="Normal 3 3 9 3 3 2" xfId="31611" xr:uid="{00000000-0005-0000-0000-0000615F0000}"/>
    <cellStyle name="Normal 3 3 9 3 4" xfId="14108" xr:uid="{00000000-0005-0000-0000-0000625F0000}"/>
    <cellStyle name="Normal 3 3 9 3 4 2" xfId="31612" xr:uid="{00000000-0005-0000-0000-0000635F0000}"/>
    <cellStyle name="Normal 3 3 9 3 5" xfId="14109" xr:uid="{00000000-0005-0000-0000-0000645F0000}"/>
    <cellStyle name="Normal 3 3 9 3 5 2" xfId="31613" xr:uid="{00000000-0005-0000-0000-0000655F0000}"/>
    <cellStyle name="Normal 3 3 9 3 6" xfId="14110" xr:uid="{00000000-0005-0000-0000-0000665F0000}"/>
    <cellStyle name="Normal 3 3 9 3 6 2" xfId="31614" xr:uid="{00000000-0005-0000-0000-0000675F0000}"/>
    <cellStyle name="Normal 3 3 9 3 7" xfId="14111" xr:uid="{00000000-0005-0000-0000-0000685F0000}"/>
    <cellStyle name="Normal 3 3 9 3 7 2" xfId="31615" xr:uid="{00000000-0005-0000-0000-0000695F0000}"/>
    <cellStyle name="Normal 3 3 9 3 8" xfId="14112" xr:uid="{00000000-0005-0000-0000-00006A5F0000}"/>
    <cellStyle name="Normal 3 3 9 3 8 2" xfId="31616" xr:uid="{00000000-0005-0000-0000-00006B5F0000}"/>
    <cellStyle name="Normal 3 3 9 3 9" xfId="14113" xr:uid="{00000000-0005-0000-0000-00006C5F0000}"/>
    <cellStyle name="Normal 3 3 9 3 9 2" xfId="31617" xr:uid="{00000000-0005-0000-0000-00006D5F0000}"/>
    <cellStyle name="Normal 3 3 9 4" xfId="14114" xr:uid="{00000000-0005-0000-0000-00006E5F0000}"/>
    <cellStyle name="Normal 3 3 9 4 10" xfId="14115" xr:uid="{00000000-0005-0000-0000-00006F5F0000}"/>
    <cellStyle name="Normal 3 3 9 4 10 2" xfId="31619" xr:uid="{00000000-0005-0000-0000-0000705F0000}"/>
    <cellStyle name="Normal 3 3 9 4 11" xfId="14116" xr:uid="{00000000-0005-0000-0000-0000715F0000}"/>
    <cellStyle name="Normal 3 3 9 4 11 2" xfId="31620" xr:uid="{00000000-0005-0000-0000-0000725F0000}"/>
    <cellStyle name="Normal 3 3 9 4 12" xfId="14117" xr:uid="{00000000-0005-0000-0000-0000735F0000}"/>
    <cellStyle name="Normal 3 3 9 4 12 2" xfId="31621" xr:uid="{00000000-0005-0000-0000-0000745F0000}"/>
    <cellStyle name="Normal 3 3 9 4 13" xfId="14118" xr:uid="{00000000-0005-0000-0000-0000755F0000}"/>
    <cellStyle name="Normal 3 3 9 4 13 2" xfId="31622" xr:uid="{00000000-0005-0000-0000-0000765F0000}"/>
    <cellStyle name="Normal 3 3 9 4 14" xfId="14119" xr:uid="{00000000-0005-0000-0000-0000775F0000}"/>
    <cellStyle name="Normal 3 3 9 4 14 2" xfId="31623" xr:uid="{00000000-0005-0000-0000-0000785F0000}"/>
    <cellStyle name="Normal 3 3 9 4 15" xfId="14120" xr:uid="{00000000-0005-0000-0000-0000795F0000}"/>
    <cellStyle name="Normal 3 3 9 4 15 2" xfId="31624" xr:uid="{00000000-0005-0000-0000-00007A5F0000}"/>
    <cellStyle name="Normal 3 3 9 4 16" xfId="31618" xr:uid="{00000000-0005-0000-0000-00007B5F0000}"/>
    <cellStyle name="Normal 3 3 9 4 2" xfId="14121" xr:uid="{00000000-0005-0000-0000-00007C5F0000}"/>
    <cellStyle name="Normal 3 3 9 4 2 10" xfId="14122" xr:uid="{00000000-0005-0000-0000-00007D5F0000}"/>
    <cellStyle name="Normal 3 3 9 4 2 10 2" xfId="31626" xr:uid="{00000000-0005-0000-0000-00007E5F0000}"/>
    <cellStyle name="Normal 3 3 9 4 2 11" xfId="14123" xr:uid="{00000000-0005-0000-0000-00007F5F0000}"/>
    <cellStyle name="Normal 3 3 9 4 2 11 2" xfId="31627" xr:uid="{00000000-0005-0000-0000-0000805F0000}"/>
    <cellStyle name="Normal 3 3 9 4 2 12" xfId="14124" xr:uid="{00000000-0005-0000-0000-0000815F0000}"/>
    <cellStyle name="Normal 3 3 9 4 2 12 2" xfId="31628" xr:uid="{00000000-0005-0000-0000-0000825F0000}"/>
    <cellStyle name="Normal 3 3 9 4 2 13" xfId="14125" xr:uid="{00000000-0005-0000-0000-0000835F0000}"/>
    <cellStyle name="Normal 3 3 9 4 2 13 2" xfId="31629" xr:uid="{00000000-0005-0000-0000-0000845F0000}"/>
    <cellStyle name="Normal 3 3 9 4 2 14" xfId="14126" xr:uid="{00000000-0005-0000-0000-0000855F0000}"/>
    <cellStyle name="Normal 3 3 9 4 2 14 2" xfId="31630" xr:uid="{00000000-0005-0000-0000-0000865F0000}"/>
    <cellStyle name="Normal 3 3 9 4 2 15" xfId="31625" xr:uid="{00000000-0005-0000-0000-0000875F0000}"/>
    <cellStyle name="Normal 3 3 9 4 2 2" xfId="14127" xr:uid="{00000000-0005-0000-0000-0000885F0000}"/>
    <cellStyle name="Normal 3 3 9 4 2 2 2" xfId="31631" xr:uid="{00000000-0005-0000-0000-0000895F0000}"/>
    <cellStyle name="Normal 3 3 9 4 2 3" xfId="14128" xr:uid="{00000000-0005-0000-0000-00008A5F0000}"/>
    <cellStyle name="Normal 3 3 9 4 2 3 2" xfId="31632" xr:uid="{00000000-0005-0000-0000-00008B5F0000}"/>
    <cellStyle name="Normal 3 3 9 4 2 4" xfId="14129" xr:uid="{00000000-0005-0000-0000-00008C5F0000}"/>
    <cellStyle name="Normal 3 3 9 4 2 4 2" xfId="31633" xr:uid="{00000000-0005-0000-0000-00008D5F0000}"/>
    <cellStyle name="Normal 3 3 9 4 2 5" xfId="14130" xr:uid="{00000000-0005-0000-0000-00008E5F0000}"/>
    <cellStyle name="Normal 3 3 9 4 2 5 2" xfId="31634" xr:uid="{00000000-0005-0000-0000-00008F5F0000}"/>
    <cellStyle name="Normal 3 3 9 4 2 6" xfId="14131" xr:uid="{00000000-0005-0000-0000-0000905F0000}"/>
    <cellStyle name="Normal 3 3 9 4 2 6 2" xfId="31635" xr:uid="{00000000-0005-0000-0000-0000915F0000}"/>
    <cellStyle name="Normal 3 3 9 4 2 7" xfId="14132" xr:uid="{00000000-0005-0000-0000-0000925F0000}"/>
    <cellStyle name="Normal 3 3 9 4 2 7 2" xfId="31636" xr:uid="{00000000-0005-0000-0000-0000935F0000}"/>
    <cellStyle name="Normal 3 3 9 4 2 8" xfId="14133" xr:uid="{00000000-0005-0000-0000-0000945F0000}"/>
    <cellStyle name="Normal 3 3 9 4 2 8 2" xfId="31637" xr:uid="{00000000-0005-0000-0000-0000955F0000}"/>
    <cellStyle name="Normal 3 3 9 4 2 9" xfId="14134" xr:uid="{00000000-0005-0000-0000-0000965F0000}"/>
    <cellStyle name="Normal 3 3 9 4 2 9 2" xfId="31638" xr:uid="{00000000-0005-0000-0000-0000975F0000}"/>
    <cellStyle name="Normal 3 3 9 4 3" xfId="14135" xr:uid="{00000000-0005-0000-0000-0000985F0000}"/>
    <cellStyle name="Normal 3 3 9 4 3 2" xfId="31639" xr:uid="{00000000-0005-0000-0000-0000995F0000}"/>
    <cellStyle name="Normal 3 3 9 4 4" xfId="14136" xr:uid="{00000000-0005-0000-0000-00009A5F0000}"/>
    <cellStyle name="Normal 3 3 9 4 4 2" xfId="31640" xr:uid="{00000000-0005-0000-0000-00009B5F0000}"/>
    <cellStyle name="Normal 3 3 9 4 5" xfId="14137" xr:uid="{00000000-0005-0000-0000-00009C5F0000}"/>
    <cellStyle name="Normal 3 3 9 4 5 2" xfId="31641" xr:uid="{00000000-0005-0000-0000-00009D5F0000}"/>
    <cellStyle name="Normal 3 3 9 4 6" xfId="14138" xr:uid="{00000000-0005-0000-0000-00009E5F0000}"/>
    <cellStyle name="Normal 3 3 9 4 6 2" xfId="31642" xr:uid="{00000000-0005-0000-0000-00009F5F0000}"/>
    <cellStyle name="Normal 3 3 9 4 7" xfId="14139" xr:uid="{00000000-0005-0000-0000-0000A05F0000}"/>
    <cellStyle name="Normal 3 3 9 4 7 2" xfId="31643" xr:uid="{00000000-0005-0000-0000-0000A15F0000}"/>
    <cellStyle name="Normal 3 3 9 4 8" xfId="14140" xr:uid="{00000000-0005-0000-0000-0000A25F0000}"/>
    <cellStyle name="Normal 3 3 9 4 8 2" xfId="31644" xr:uid="{00000000-0005-0000-0000-0000A35F0000}"/>
    <cellStyle name="Normal 3 3 9 4 9" xfId="14141" xr:uid="{00000000-0005-0000-0000-0000A45F0000}"/>
    <cellStyle name="Normal 3 3 9 4 9 2" xfId="31645" xr:uid="{00000000-0005-0000-0000-0000A55F0000}"/>
    <cellStyle name="Normal 3 3 9 5" xfId="14142" xr:uid="{00000000-0005-0000-0000-0000A65F0000}"/>
    <cellStyle name="Normal 3 3 9 5 10" xfId="14143" xr:uid="{00000000-0005-0000-0000-0000A75F0000}"/>
    <cellStyle name="Normal 3 3 9 5 10 2" xfId="31647" xr:uid="{00000000-0005-0000-0000-0000A85F0000}"/>
    <cellStyle name="Normal 3 3 9 5 11" xfId="14144" xr:uid="{00000000-0005-0000-0000-0000A95F0000}"/>
    <cellStyle name="Normal 3 3 9 5 11 2" xfId="31648" xr:uid="{00000000-0005-0000-0000-0000AA5F0000}"/>
    <cellStyle name="Normal 3 3 9 5 12" xfId="14145" xr:uid="{00000000-0005-0000-0000-0000AB5F0000}"/>
    <cellStyle name="Normal 3 3 9 5 12 2" xfId="31649" xr:uid="{00000000-0005-0000-0000-0000AC5F0000}"/>
    <cellStyle name="Normal 3 3 9 5 13" xfId="14146" xr:uid="{00000000-0005-0000-0000-0000AD5F0000}"/>
    <cellStyle name="Normal 3 3 9 5 13 2" xfId="31650" xr:uid="{00000000-0005-0000-0000-0000AE5F0000}"/>
    <cellStyle name="Normal 3 3 9 5 14" xfId="14147" xr:uid="{00000000-0005-0000-0000-0000AF5F0000}"/>
    <cellStyle name="Normal 3 3 9 5 14 2" xfId="31651" xr:uid="{00000000-0005-0000-0000-0000B05F0000}"/>
    <cellStyle name="Normal 3 3 9 5 15" xfId="31646" xr:uid="{00000000-0005-0000-0000-0000B15F0000}"/>
    <cellStyle name="Normal 3 3 9 5 2" xfId="14148" xr:uid="{00000000-0005-0000-0000-0000B25F0000}"/>
    <cellStyle name="Normal 3 3 9 5 2 2" xfId="31652" xr:uid="{00000000-0005-0000-0000-0000B35F0000}"/>
    <cellStyle name="Normal 3 3 9 5 3" xfId="14149" xr:uid="{00000000-0005-0000-0000-0000B45F0000}"/>
    <cellStyle name="Normal 3 3 9 5 3 2" xfId="31653" xr:uid="{00000000-0005-0000-0000-0000B55F0000}"/>
    <cellStyle name="Normal 3 3 9 5 4" xfId="14150" xr:uid="{00000000-0005-0000-0000-0000B65F0000}"/>
    <cellStyle name="Normal 3 3 9 5 4 2" xfId="31654" xr:uid="{00000000-0005-0000-0000-0000B75F0000}"/>
    <cellStyle name="Normal 3 3 9 5 5" xfId="14151" xr:uid="{00000000-0005-0000-0000-0000B85F0000}"/>
    <cellStyle name="Normal 3 3 9 5 5 2" xfId="31655" xr:uid="{00000000-0005-0000-0000-0000B95F0000}"/>
    <cellStyle name="Normal 3 3 9 5 6" xfId="14152" xr:uid="{00000000-0005-0000-0000-0000BA5F0000}"/>
    <cellStyle name="Normal 3 3 9 5 6 2" xfId="31656" xr:uid="{00000000-0005-0000-0000-0000BB5F0000}"/>
    <cellStyle name="Normal 3 3 9 5 7" xfId="14153" xr:uid="{00000000-0005-0000-0000-0000BC5F0000}"/>
    <cellStyle name="Normal 3 3 9 5 7 2" xfId="31657" xr:uid="{00000000-0005-0000-0000-0000BD5F0000}"/>
    <cellStyle name="Normal 3 3 9 5 8" xfId="14154" xr:uid="{00000000-0005-0000-0000-0000BE5F0000}"/>
    <cellStyle name="Normal 3 3 9 5 8 2" xfId="31658" xr:uid="{00000000-0005-0000-0000-0000BF5F0000}"/>
    <cellStyle name="Normal 3 3 9 5 9" xfId="14155" xr:uid="{00000000-0005-0000-0000-0000C05F0000}"/>
    <cellStyle name="Normal 3 3 9 5 9 2" xfId="31659" xr:uid="{00000000-0005-0000-0000-0000C15F0000}"/>
    <cellStyle name="Normal 3 3 9 6" xfId="14156" xr:uid="{00000000-0005-0000-0000-0000C25F0000}"/>
    <cellStyle name="Normal 3 3 9 6 10" xfId="14157" xr:uid="{00000000-0005-0000-0000-0000C35F0000}"/>
    <cellStyle name="Normal 3 3 9 6 10 2" xfId="31661" xr:uid="{00000000-0005-0000-0000-0000C45F0000}"/>
    <cellStyle name="Normal 3 3 9 6 11" xfId="14158" xr:uid="{00000000-0005-0000-0000-0000C55F0000}"/>
    <cellStyle name="Normal 3 3 9 6 11 2" xfId="31662" xr:uid="{00000000-0005-0000-0000-0000C65F0000}"/>
    <cellStyle name="Normal 3 3 9 6 12" xfId="14159" xr:uid="{00000000-0005-0000-0000-0000C75F0000}"/>
    <cellStyle name="Normal 3 3 9 6 12 2" xfId="31663" xr:uid="{00000000-0005-0000-0000-0000C85F0000}"/>
    <cellStyle name="Normal 3 3 9 6 13" xfId="14160" xr:uid="{00000000-0005-0000-0000-0000C95F0000}"/>
    <cellStyle name="Normal 3 3 9 6 13 2" xfId="31664" xr:uid="{00000000-0005-0000-0000-0000CA5F0000}"/>
    <cellStyle name="Normal 3 3 9 6 14" xfId="14161" xr:uid="{00000000-0005-0000-0000-0000CB5F0000}"/>
    <cellStyle name="Normal 3 3 9 6 14 2" xfId="31665" xr:uid="{00000000-0005-0000-0000-0000CC5F0000}"/>
    <cellStyle name="Normal 3 3 9 6 15" xfId="31660" xr:uid="{00000000-0005-0000-0000-0000CD5F0000}"/>
    <cellStyle name="Normal 3 3 9 6 2" xfId="14162" xr:uid="{00000000-0005-0000-0000-0000CE5F0000}"/>
    <cellStyle name="Normal 3 3 9 6 2 2" xfId="31666" xr:uid="{00000000-0005-0000-0000-0000CF5F0000}"/>
    <cellStyle name="Normal 3 3 9 6 3" xfId="14163" xr:uid="{00000000-0005-0000-0000-0000D05F0000}"/>
    <cellStyle name="Normal 3 3 9 6 3 2" xfId="31667" xr:uid="{00000000-0005-0000-0000-0000D15F0000}"/>
    <cellStyle name="Normal 3 3 9 6 4" xfId="14164" xr:uid="{00000000-0005-0000-0000-0000D25F0000}"/>
    <cellStyle name="Normal 3 3 9 6 4 2" xfId="31668" xr:uid="{00000000-0005-0000-0000-0000D35F0000}"/>
    <cellStyle name="Normal 3 3 9 6 5" xfId="14165" xr:uid="{00000000-0005-0000-0000-0000D45F0000}"/>
    <cellStyle name="Normal 3 3 9 6 5 2" xfId="31669" xr:uid="{00000000-0005-0000-0000-0000D55F0000}"/>
    <cellStyle name="Normal 3 3 9 6 6" xfId="14166" xr:uid="{00000000-0005-0000-0000-0000D65F0000}"/>
    <cellStyle name="Normal 3 3 9 6 6 2" xfId="31670" xr:uid="{00000000-0005-0000-0000-0000D75F0000}"/>
    <cellStyle name="Normal 3 3 9 6 7" xfId="14167" xr:uid="{00000000-0005-0000-0000-0000D85F0000}"/>
    <cellStyle name="Normal 3 3 9 6 7 2" xfId="31671" xr:uid="{00000000-0005-0000-0000-0000D95F0000}"/>
    <cellStyle name="Normal 3 3 9 6 8" xfId="14168" xr:uid="{00000000-0005-0000-0000-0000DA5F0000}"/>
    <cellStyle name="Normal 3 3 9 6 8 2" xfId="31672" xr:uid="{00000000-0005-0000-0000-0000DB5F0000}"/>
    <cellStyle name="Normal 3 3 9 6 9" xfId="14169" xr:uid="{00000000-0005-0000-0000-0000DC5F0000}"/>
    <cellStyle name="Normal 3 3 9 6 9 2" xfId="31673" xr:uid="{00000000-0005-0000-0000-0000DD5F0000}"/>
    <cellStyle name="Normal 3 3 9 7" xfId="14170" xr:uid="{00000000-0005-0000-0000-0000DE5F0000}"/>
    <cellStyle name="Normal 3 3 9 7 10" xfId="14171" xr:uid="{00000000-0005-0000-0000-0000DF5F0000}"/>
    <cellStyle name="Normal 3 3 9 7 10 2" xfId="31675" xr:uid="{00000000-0005-0000-0000-0000E05F0000}"/>
    <cellStyle name="Normal 3 3 9 7 11" xfId="14172" xr:uid="{00000000-0005-0000-0000-0000E15F0000}"/>
    <cellStyle name="Normal 3 3 9 7 11 2" xfId="31676" xr:uid="{00000000-0005-0000-0000-0000E25F0000}"/>
    <cellStyle name="Normal 3 3 9 7 12" xfId="14173" xr:uid="{00000000-0005-0000-0000-0000E35F0000}"/>
    <cellStyle name="Normal 3 3 9 7 12 2" xfId="31677" xr:uid="{00000000-0005-0000-0000-0000E45F0000}"/>
    <cellStyle name="Normal 3 3 9 7 13" xfId="14174" xr:uid="{00000000-0005-0000-0000-0000E55F0000}"/>
    <cellStyle name="Normal 3 3 9 7 13 2" xfId="31678" xr:uid="{00000000-0005-0000-0000-0000E65F0000}"/>
    <cellStyle name="Normal 3 3 9 7 14" xfId="14175" xr:uid="{00000000-0005-0000-0000-0000E75F0000}"/>
    <cellStyle name="Normal 3 3 9 7 14 2" xfId="31679" xr:uid="{00000000-0005-0000-0000-0000E85F0000}"/>
    <cellStyle name="Normal 3 3 9 7 15" xfId="31674" xr:uid="{00000000-0005-0000-0000-0000E95F0000}"/>
    <cellStyle name="Normal 3 3 9 7 2" xfId="14176" xr:uid="{00000000-0005-0000-0000-0000EA5F0000}"/>
    <cellStyle name="Normal 3 3 9 7 2 2" xfId="31680" xr:uid="{00000000-0005-0000-0000-0000EB5F0000}"/>
    <cellStyle name="Normal 3 3 9 7 3" xfId="14177" xr:uid="{00000000-0005-0000-0000-0000EC5F0000}"/>
    <cellStyle name="Normal 3 3 9 7 3 2" xfId="31681" xr:uid="{00000000-0005-0000-0000-0000ED5F0000}"/>
    <cellStyle name="Normal 3 3 9 7 4" xfId="14178" xr:uid="{00000000-0005-0000-0000-0000EE5F0000}"/>
    <cellStyle name="Normal 3 3 9 7 4 2" xfId="31682" xr:uid="{00000000-0005-0000-0000-0000EF5F0000}"/>
    <cellStyle name="Normal 3 3 9 7 5" xfId="14179" xr:uid="{00000000-0005-0000-0000-0000F05F0000}"/>
    <cellStyle name="Normal 3 3 9 7 5 2" xfId="31683" xr:uid="{00000000-0005-0000-0000-0000F15F0000}"/>
    <cellStyle name="Normal 3 3 9 7 6" xfId="14180" xr:uid="{00000000-0005-0000-0000-0000F25F0000}"/>
    <cellStyle name="Normal 3 3 9 7 6 2" xfId="31684" xr:uid="{00000000-0005-0000-0000-0000F35F0000}"/>
    <cellStyle name="Normal 3 3 9 7 7" xfId="14181" xr:uid="{00000000-0005-0000-0000-0000F45F0000}"/>
    <cellStyle name="Normal 3 3 9 7 7 2" xfId="31685" xr:uid="{00000000-0005-0000-0000-0000F55F0000}"/>
    <cellStyle name="Normal 3 3 9 7 8" xfId="14182" xr:uid="{00000000-0005-0000-0000-0000F65F0000}"/>
    <cellStyle name="Normal 3 3 9 7 8 2" xfId="31686" xr:uid="{00000000-0005-0000-0000-0000F75F0000}"/>
    <cellStyle name="Normal 3 3 9 7 9" xfId="14183" xr:uid="{00000000-0005-0000-0000-0000F85F0000}"/>
    <cellStyle name="Normal 3 3 9 7 9 2" xfId="31687" xr:uid="{00000000-0005-0000-0000-0000F95F0000}"/>
    <cellStyle name="Normal 3 3 9 8" xfId="14184" xr:uid="{00000000-0005-0000-0000-0000FA5F0000}"/>
    <cellStyle name="Normal 3 3 9 8 10" xfId="14185" xr:uid="{00000000-0005-0000-0000-0000FB5F0000}"/>
    <cellStyle name="Normal 3 3 9 8 10 2" xfId="31689" xr:uid="{00000000-0005-0000-0000-0000FC5F0000}"/>
    <cellStyle name="Normal 3 3 9 8 11" xfId="14186" xr:uid="{00000000-0005-0000-0000-0000FD5F0000}"/>
    <cellStyle name="Normal 3 3 9 8 11 2" xfId="31690" xr:uid="{00000000-0005-0000-0000-0000FE5F0000}"/>
    <cellStyle name="Normal 3 3 9 8 12" xfId="14187" xr:uid="{00000000-0005-0000-0000-0000FF5F0000}"/>
    <cellStyle name="Normal 3 3 9 8 12 2" xfId="31691" xr:uid="{00000000-0005-0000-0000-000000600000}"/>
    <cellStyle name="Normal 3 3 9 8 13" xfId="14188" xr:uid="{00000000-0005-0000-0000-000001600000}"/>
    <cellStyle name="Normal 3 3 9 8 13 2" xfId="31692" xr:uid="{00000000-0005-0000-0000-000002600000}"/>
    <cellStyle name="Normal 3 3 9 8 14" xfId="14189" xr:uid="{00000000-0005-0000-0000-000003600000}"/>
    <cellStyle name="Normal 3 3 9 8 14 2" xfId="31693" xr:uid="{00000000-0005-0000-0000-000004600000}"/>
    <cellStyle name="Normal 3 3 9 8 15" xfId="31688" xr:uid="{00000000-0005-0000-0000-000005600000}"/>
    <cellStyle name="Normal 3 3 9 8 2" xfId="14190" xr:uid="{00000000-0005-0000-0000-000006600000}"/>
    <cellStyle name="Normal 3 3 9 8 2 2" xfId="31694" xr:uid="{00000000-0005-0000-0000-000007600000}"/>
    <cellStyle name="Normal 3 3 9 8 3" xfId="14191" xr:uid="{00000000-0005-0000-0000-000008600000}"/>
    <cellStyle name="Normal 3 3 9 8 3 2" xfId="31695" xr:uid="{00000000-0005-0000-0000-000009600000}"/>
    <cellStyle name="Normal 3 3 9 8 4" xfId="14192" xr:uid="{00000000-0005-0000-0000-00000A600000}"/>
    <cellStyle name="Normal 3 3 9 8 4 2" xfId="31696" xr:uid="{00000000-0005-0000-0000-00000B600000}"/>
    <cellStyle name="Normal 3 3 9 8 5" xfId="14193" xr:uid="{00000000-0005-0000-0000-00000C600000}"/>
    <cellStyle name="Normal 3 3 9 8 5 2" xfId="31697" xr:uid="{00000000-0005-0000-0000-00000D600000}"/>
    <cellStyle name="Normal 3 3 9 8 6" xfId="14194" xr:uid="{00000000-0005-0000-0000-00000E600000}"/>
    <cellStyle name="Normal 3 3 9 8 6 2" xfId="31698" xr:uid="{00000000-0005-0000-0000-00000F600000}"/>
    <cellStyle name="Normal 3 3 9 8 7" xfId="14195" xr:uid="{00000000-0005-0000-0000-000010600000}"/>
    <cellStyle name="Normal 3 3 9 8 7 2" xfId="31699" xr:uid="{00000000-0005-0000-0000-000011600000}"/>
    <cellStyle name="Normal 3 3 9 8 8" xfId="14196" xr:uid="{00000000-0005-0000-0000-000012600000}"/>
    <cellStyle name="Normal 3 3 9 8 8 2" xfId="31700" xr:uid="{00000000-0005-0000-0000-000013600000}"/>
    <cellStyle name="Normal 3 3 9 8 9" xfId="14197" xr:uid="{00000000-0005-0000-0000-000014600000}"/>
    <cellStyle name="Normal 3 3 9 8 9 2" xfId="31701" xr:uid="{00000000-0005-0000-0000-000015600000}"/>
    <cellStyle name="Normal 3 3 9 9" xfId="14198" xr:uid="{00000000-0005-0000-0000-000016600000}"/>
    <cellStyle name="Normal 3 3 9 9 10" xfId="14199" xr:uid="{00000000-0005-0000-0000-000017600000}"/>
    <cellStyle name="Normal 3 3 9 9 10 2" xfId="31703" xr:uid="{00000000-0005-0000-0000-000018600000}"/>
    <cellStyle name="Normal 3 3 9 9 11" xfId="14200" xr:uid="{00000000-0005-0000-0000-000019600000}"/>
    <cellStyle name="Normal 3 3 9 9 11 2" xfId="31704" xr:uid="{00000000-0005-0000-0000-00001A600000}"/>
    <cellStyle name="Normal 3 3 9 9 12" xfId="14201" xr:uid="{00000000-0005-0000-0000-00001B600000}"/>
    <cellStyle name="Normal 3 3 9 9 12 2" xfId="31705" xr:uid="{00000000-0005-0000-0000-00001C600000}"/>
    <cellStyle name="Normal 3 3 9 9 13" xfId="14202" xr:uid="{00000000-0005-0000-0000-00001D600000}"/>
    <cellStyle name="Normal 3 3 9 9 13 2" xfId="31706" xr:uid="{00000000-0005-0000-0000-00001E600000}"/>
    <cellStyle name="Normal 3 3 9 9 14" xfId="14203" xr:uid="{00000000-0005-0000-0000-00001F600000}"/>
    <cellStyle name="Normal 3 3 9 9 14 2" xfId="31707" xr:uid="{00000000-0005-0000-0000-000020600000}"/>
    <cellStyle name="Normal 3 3 9 9 15" xfId="31702" xr:uid="{00000000-0005-0000-0000-000021600000}"/>
    <cellStyle name="Normal 3 3 9 9 2" xfId="14204" xr:uid="{00000000-0005-0000-0000-000022600000}"/>
    <cellStyle name="Normal 3 3 9 9 2 2" xfId="31708" xr:uid="{00000000-0005-0000-0000-000023600000}"/>
    <cellStyle name="Normal 3 3 9 9 3" xfId="14205" xr:uid="{00000000-0005-0000-0000-000024600000}"/>
    <cellStyle name="Normal 3 3 9 9 3 2" xfId="31709" xr:uid="{00000000-0005-0000-0000-000025600000}"/>
    <cellStyle name="Normal 3 3 9 9 4" xfId="14206" xr:uid="{00000000-0005-0000-0000-000026600000}"/>
    <cellStyle name="Normal 3 3 9 9 4 2" xfId="31710" xr:uid="{00000000-0005-0000-0000-000027600000}"/>
    <cellStyle name="Normal 3 3 9 9 5" xfId="14207" xr:uid="{00000000-0005-0000-0000-000028600000}"/>
    <cellStyle name="Normal 3 3 9 9 5 2" xfId="31711" xr:uid="{00000000-0005-0000-0000-000029600000}"/>
    <cellStyle name="Normal 3 3 9 9 6" xfId="14208" xr:uid="{00000000-0005-0000-0000-00002A600000}"/>
    <cellStyle name="Normal 3 3 9 9 6 2" xfId="31712" xr:uid="{00000000-0005-0000-0000-00002B600000}"/>
    <cellStyle name="Normal 3 3 9 9 7" xfId="14209" xr:uid="{00000000-0005-0000-0000-00002C600000}"/>
    <cellStyle name="Normal 3 3 9 9 7 2" xfId="31713" xr:uid="{00000000-0005-0000-0000-00002D600000}"/>
    <cellStyle name="Normal 3 3 9 9 8" xfId="14210" xr:uid="{00000000-0005-0000-0000-00002E600000}"/>
    <cellStyle name="Normal 3 3 9 9 8 2" xfId="31714" xr:uid="{00000000-0005-0000-0000-00002F600000}"/>
    <cellStyle name="Normal 3 3 9 9 9" xfId="14211" xr:uid="{00000000-0005-0000-0000-000030600000}"/>
    <cellStyle name="Normal 3 3 9 9 9 2" xfId="31715" xr:uid="{00000000-0005-0000-0000-000031600000}"/>
    <cellStyle name="Normal 3 30" xfId="14212" xr:uid="{00000000-0005-0000-0000-000032600000}"/>
    <cellStyle name="Normal 3 31" xfId="14213" xr:uid="{00000000-0005-0000-0000-000033600000}"/>
    <cellStyle name="Normal 3 32" xfId="14214" xr:uid="{00000000-0005-0000-0000-000034600000}"/>
    <cellStyle name="Normal 3 33" xfId="14215" xr:uid="{00000000-0005-0000-0000-000035600000}"/>
    <cellStyle name="Normal 3 34" xfId="14216" xr:uid="{00000000-0005-0000-0000-000036600000}"/>
    <cellStyle name="Normal 3 35" xfId="14217" xr:uid="{00000000-0005-0000-0000-000037600000}"/>
    <cellStyle name="Normal 3 36" xfId="14218" xr:uid="{00000000-0005-0000-0000-000038600000}"/>
    <cellStyle name="Normal 3 36 10" xfId="14219" xr:uid="{00000000-0005-0000-0000-000039600000}"/>
    <cellStyle name="Normal 3 36 10 10" xfId="14220" xr:uid="{00000000-0005-0000-0000-00003A600000}"/>
    <cellStyle name="Normal 3 36 10 10 2" xfId="31718" xr:uid="{00000000-0005-0000-0000-00003B600000}"/>
    <cellStyle name="Normal 3 36 10 11" xfId="14221" xr:uid="{00000000-0005-0000-0000-00003C600000}"/>
    <cellStyle name="Normal 3 36 10 11 2" xfId="31719" xr:uid="{00000000-0005-0000-0000-00003D600000}"/>
    <cellStyle name="Normal 3 36 10 12" xfId="14222" xr:uid="{00000000-0005-0000-0000-00003E600000}"/>
    <cellStyle name="Normal 3 36 10 12 2" xfId="31720" xr:uid="{00000000-0005-0000-0000-00003F600000}"/>
    <cellStyle name="Normal 3 36 10 13" xfId="14223" xr:uid="{00000000-0005-0000-0000-000040600000}"/>
    <cellStyle name="Normal 3 36 10 13 2" xfId="31721" xr:uid="{00000000-0005-0000-0000-000041600000}"/>
    <cellStyle name="Normal 3 36 10 14" xfId="14224" xr:uid="{00000000-0005-0000-0000-000042600000}"/>
    <cellStyle name="Normal 3 36 10 14 2" xfId="31722" xr:uid="{00000000-0005-0000-0000-000043600000}"/>
    <cellStyle name="Normal 3 36 10 15" xfId="31717" xr:uid="{00000000-0005-0000-0000-000044600000}"/>
    <cellStyle name="Normal 3 36 10 2" xfId="14225" xr:uid="{00000000-0005-0000-0000-000045600000}"/>
    <cellStyle name="Normal 3 36 10 2 2" xfId="31723" xr:uid="{00000000-0005-0000-0000-000046600000}"/>
    <cellStyle name="Normal 3 36 10 3" xfId="14226" xr:uid="{00000000-0005-0000-0000-000047600000}"/>
    <cellStyle name="Normal 3 36 10 3 2" xfId="31724" xr:uid="{00000000-0005-0000-0000-000048600000}"/>
    <cellStyle name="Normal 3 36 10 4" xfId="14227" xr:uid="{00000000-0005-0000-0000-000049600000}"/>
    <cellStyle name="Normal 3 36 10 4 2" xfId="31725" xr:uid="{00000000-0005-0000-0000-00004A600000}"/>
    <cellStyle name="Normal 3 36 10 5" xfId="14228" xr:uid="{00000000-0005-0000-0000-00004B600000}"/>
    <cellStyle name="Normal 3 36 10 5 2" xfId="31726" xr:uid="{00000000-0005-0000-0000-00004C600000}"/>
    <cellStyle name="Normal 3 36 10 6" xfId="14229" xr:uid="{00000000-0005-0000-0000-00004D600000}"/>
    <cellStyle name="Normal 3 36 10 6 2" xfId="31727" xr:uid="{00000000-0005-0000-0000-00004E600000}"/>
    <cellStyle name="Normal 3 36 10 7" xfId="14230" xr:uid="{00000000-0005-0000-0000-00004F600000}"/>
    <cellStyle name="Normal 3 36 10 7 2" xfId="31728" xr:uid="{00000000-0005-0000-0000-000050600000}"/>
    <cellStyle name="Normal 3 36 10 8" xfId="14231" xr:uid="{00000000-0005-0000-0000-000051600000}"/>
    <cellStyle name="Normal 3 36 10 8 2" xfId="31729" xr:uid="{00000000-0005-0000-0000-000052600000}"/>
    <cellStyle name="Normal 3 36 10 9" xfId="14232" xr:uid="{00000000-0005-0000-0000-000053600000}"/>
    <cellStyle name="Normal 3 36 10 9 2" xfId="31730" xr:uid="{00000000-0005-0000-0000-000054600000}"/>
    <cellStyle name="Normal 3 36 11" xfId="14233" xr:uid="{00000000-0005-0000-0000-000055600000}"/>
    <cellStyle name="Normal 3 36 11 2" xfId="31731" xr:uid="{00000000-0005-0000-0000-000056600000}"/>
    <cellStyle name="Normal 3 36 12" xfId="14234" xr:uid="{00000000-0005-0000-0000-000057600000}"/>
    <cellStyle name="Normal 3 36 12 2" xfId="31732" xr:uid="{00000000-0005-0000-0000-000058600000}"/>
    <cellStyle name="Normal 3 36 13" xfId="14235" xr:uid="{00000000-0005-0000-0000-000059600000}"/>
    <cellStyle name="Normal 3 36 13 2" xfId="31733" xr:uid="{00000000-0005-0000-0000-00005A600000}"/>
    <cellStyle name="Normal 3 36 14" xfId="14236" xr:uid="{00000000-0005-0000-0000-00005B600000}"/>
    <cellStyle name="Normal 3 36 14 2" xfId="31734" xr:uid="{00000000-0005-0000-0000-00005C600000}"/>
    <cellStyle name="Normal 3 36 15" xfId="14237" xr:uid="{00000000-0005-0000-0000-00005D600000}"/>
    <cellStyle name="Normal 3 36 15 2" xfId="31735" xr:uid="{00000000-0005-0000-0000-00005E600000}"/>
    <cellStyle name="Normal 3 36 16" xfId="14238" xr:uid="{00000000-0005-0000-0000-00005F600000}"/>
    <cellStyle name="Normal 3 36 16 2" xfId="31736" xr:uid="{00000000-0005-0000-0000-000060600000}"/>
    <cellStyle name="Normal 3 36 17" xfId="14239" xr:uid="{00000000-0005-0000-0000-000061600000}"/>
    <cellStyle name="Normal 3 36 17 2" xfId="31737" xr:uid="{00000000-0005-0000-0000-000062600000}"/>
    <cellStyle name="Normal 3 36 18" xfId="14240" xr:uid="{00000000-0005-0000-0000-000063600000}"/>
    <cellStyle name="Normal 3 36 18 2" xfId="31738" xr:uid="{00000000-0005-0000-0000-000064600000}"/>
    <cellStyle name="Normal 3 36 19" xfId="14241" xr:uid="{00000000-0005-0000-0000-000065600000}"/>
    <cellStyle name="Normal 3 36 19 2" xfId="31739" xr:uid="{00000000-0005-0000-0000-000066600000}"/>
    <cellStyle name="Normal 3 36 2" xfId="14242" xr:uid="{00000000-0005-0000-0000-000067600000}"/>
    <cellStyle name="Normal 3 36 2 10" xfId="14243" xr:uid="{00000000-0005-0000-0000-000068600000}"/>
    <cellStyle name="Normal 3 36 2 10 2" xfId="31741" xr:uid="{00000000-0005-0000-0000-000069600000}"/>
    <cellStyle name="Normal 3 36 2 11" xfId="14244" xr:uid="{00000000-0005-0000-0000-00006A600000}"/>
    <cellStyle name="Normal 3 36 2 11 2" xfId="31742" xr:uid="{00000000-0005-0000-0000-00006B600000}"/>
    <cellStyle name="Normal 3 36 2 12" xfId="14245" xr:uid="{00000000-0005-0000-0000-00006C600000}"/>
    <cellStyle name="Normal 3 36 2 12 2" xfId="31743" xr:uid="{00000000-0005-0000-0000-00006D600000}"/>
    <cellStyle name="Normal 3 36 2 13" xfId="14246" xr:uid="{00000000-0005-0000-0000-00006E600000}"/>
    <cellStyle name="Normal 3 36 2 13 2" xfId="31744" xr:uid="{00000000-0005-0000-0000-00006F600000}"/>
    <cellStyle name="Normal 3 36 2 14" xfId="14247" xr:uid="{00000000-0005-0000-0000-000070600000}"/>
    <cellStyle name="Normal 3 36 2 14 2" xfId="31745" xr:uid="{00000000-0005-0000-0000-000071600000}"/>
    <cellStyle name="Normal 3 36 2 15" xfId="14248" xr:uid="{00000000-0005-0000-0000-000072600000}"/>
    <cellStyle name="Normal 3 36 2 15 2" xfId="31746" xr:uid="{00000000-0005-0000-0000-000073600000}"/>
    <cellStyle name="Normal 3 36 2 16" xfId="31740" xr:uid="{00000000-0005-0000-0000-000074600000}"/>
    <cellStyle name="Normal 3 36 2 2" xfId="14249" xr:uid="{00000000-0005-0000-0000-000075600000}"/>
    <cellStyle name="Normal 3 36 2 2 10" xfId="14250" xr:uid="{00000000-0005-0000-0000-000076600000}"/>
    <cellStyle name="Normal 3 36 2 2 10 2" xfId="31748" xr:uid="{00000000-0005-0000-0000-000077600000}"/>
    <cellStyle name="Normal 3 36 2 2 11" xfId="14251" xr:uid="{00000000-0005-0000-0000-000078600000}"/>
    <cellStyle name="Normal 3 36 2 2 11 2" xfId="31749" xr:uid="{00000000-0005-0000-0000-000079600000}"/>
    <cellStyle name="Normal 3 36 2 2 12" xfId="14252" xr:uid="{00000000-0005-0000-0000-00007A600000}"/>
    <cellStyle name="Normal 3 36 2 2 12 2" xfId="31750" xr:uid="{00000000-0005-0000-0000-00007B600000}"/>
    <cellStyle name="Normal 3 36 2 2 13" xfId="14253" xr:uid="{00000000-0005-0000-0000-00007C600000}"/>
    <cellStyle name="Normal 3 36 2 2 13 2" xfId="31751" xr:uid="{00000000-0005-0000-0000-00007D600000}"/>
    <cellStyle name="Normal 3 36 2 2 14" xfId="14254" xr:uid="{00000000-0005-0000-0000-00007E600000}"/>
    <cellStyle name="Normal 3 36 2 2 14 2" xfId="31752" xr:uid="{00000000-0005-0000-0000-00007F600000}"/>
    <cellStyle name="Normal 3 36 2 2 15" xfId="31747" xr:uid="{00000000-0005-0000-0000-000080600000}"/>
    <cellStyle name="Normal 3 36 2 2 2" xfId="14255" xr:uid="{00000000-0005-0000-0000-000081600000}"/>
    <cellStyle name="Normal 3 36 2 2 2 2" xfId="31753" xr:uid="{00000000-0005-0000-0000-000082600000}"/>
    <cellStyle name="Normal 3 36 2 2 3" xfId="14256" xr:uid="{00000000-0005-0000-0000-000083600000}"/>
    <cellStyle name="Normal 3 36 2 2 3 2" xfId="31754" xr:uid="{00000000-0005-0000-0000-000084600000}"/>
    <cellStyle name="Normal 3 36 2 2 4" xfId="14257" xr:uid="{00000000-0005-0000-0000-000085600000}"/>
    <cellStyle name="Normal 3 36 2 2 4 2" xfId="31755" xr:uid="{00000000-0005-0000-0000-000086600000}"/>
    <cellStyle name="Normal 3 36 2 2 5" xfId="14258" xr:uid="{00000000-0005-0000-0000-000087600000}"/>
    <cellStyle name="Normal 3 36 2 2 5 2" xfId="31756" xr:uid="{00000000-0005-0000-0000-000088600000}"/>
    <cellStyle name="Normal 3 36 2 2 6" xfId="14259" xr:uid="{00000000-0005-0000-0000-000089600000}"/>
    <cellStyle name="Normal 3 36 2 2 6 2" xfId="31757" xr:uid="{00000000-0005-0000-0000-00008A600000}"/>
    <cellStyle name="Normal 3 36 2 2 7" xfId="14260" xr:uid="{00000000-0005-0000-0000-00008B600000}"/>
    <cellStyle name="Normal 3 36 2 2 7 2" xfId="31758" xr:uid="{00000000-0005-0000-0000-00008C600000}"/>
    <cellStyle name="Normal 3 36 2 2 8" xfId="14261" xr:uid="{00000000-0005-0000-0000-00008D600000}"/>
    <cellStyle name="Normal 3 36 2 2 8 2" xfId="31759" xr:uid="{00000000-0005-0000-0000-00008E600000}"/>
    <cellStyle name="Normal 3 36 2 2 9" xfId="14262" xr:uid="{00000000-0005-0000-0000-00008F600000}"/>
    <cellStyle name="Normal 3 36 2 2 9 2" xfId="31760" xr:uid="{00000000-0005-0000-0000-000090600000}"/>
    <cellStyle name="Normal 3 36 2 3" xfId="14263" xr:uid="{00000000-0005-0000-0000-000091600000}"/>
    <cellStyle name="Normal 3 36 2 3 2" xfId="31761" xr:uid="{00000000-0005-0000-0000-000092600000}"/>
    <cellStyle name="Normal 3 36 2 4" xfId="14264" xr:uid="{00000000-0005-0000-0000-000093600000}"/>
    <cellStyle name="Normal 3 36 2 4 2" xfId="31762" xr:uid="{00000000-0005-0000-0000-000094600000}"/>
    <cellStyle name="Normal 3 36 2 5" xfId="14265" xr:uid="{00000000-0005-0000-0000-000095600000}"/>
    <cellStyle name="Normal 3 36 2 5 2" xfId="31763" xr:uid="{00000000-0005-0000-0000-000096600000}"/>
    <cellStyle name="Normal 3 36 2 6" xfId="14266" xr:uid="{00000000-0005-0000-0000-000097600000}"/>
    <cellStyle name="Normal 3 36 2 6 2" xfId="31764" xr:uid="{00000000-0005-0000-0000-000098600000}"/>
    <cellStyle name="Normal 3 36 2 7" xfId="14267" xr:uid="{00000000-0005-0000-0000-000099600000}"/>
    <cellStyle name="Normal 3 36 2 7 2" xfId="31765" xr:uid="{00000000-0005-0000-0000-00009A600000}"/>
    <cellStyle name="Normal 3 36 2 8" xfId="14268" xr:uid="{00000000-0005-0000-0000-00009B600000}"/>
    <cellStyle name="Normal 3 36 2 8 2" xfId="31766" xr:uid="{00000000-0005-0000-0000-00009C600000}"/>
    <cellStyle name="Normal 3 36 2 9" xfId="14269" xr:uid="{00000000-0005-0000-0000-00009D600000}"/>
    <cellStyle name="Normal 3 36 2 9 2" xfId="31767" xr:uid="{00000000-0005-0000-0000-00009E600000}"/>
    <cellStyle name="Normal 3 36 20" xfId="14270" xr:uid="{00000000-0005-0000-0000-00009F600000}"/>
    <cellStyle name="Normal 3 36 20 2" xfId="31768" xr:uid="{00000000-0005-0000-0000-0000A0600000}"/>
    <cellStyle name="Normal 3 36 21" xfId="14271" xr:uid="{00000000-0005-0000-0000-0000A1600000}"/>
    <cellStyle name="Normal 3 36 21 2" xfId="31769" xr:uid="{00000000-0005-0000-0000-0000A2600000}"/>
    <cellStyle name="Normal 3 36 22" xfId="14272" xr:uid="{00000000-0005-0000-0000-0000A3600000}"/>
    <cellStyle name="Normal 3 36 22 2" xfId="31770" xr:uid="{00000000-0005-0000-0000-0000A4600000}"/>
    <cellStyle name="Normal 3 36 23" xfId="14273" xr:uid="{00000000-0005-0000-0000-0000A5600000}"/>
    <cellStyle name="Normal 3 36 23 2" xfId="31771" xr:uid="{00000000-0005-0000-0000-0000A6600000}"/>
    <cellStyle name="Normal 3 36 24" xfId="31716" xr:uid="{00000000-0005-0000-0000-0000A7600000}"/>
    <cellStyle name="Normal 3 36 3" xfId="14274" xr:uid="{00000000-0005-0000-0000-0000A8600000}"/>
    <cellStyle name="Normal 3 36 3 10" xfId="14275" xr:uid="{00000000-0005-0000-0000-0000A9600000}"/>
    <cellStyle name="Normal 3 36 3 10 2" xfId="31773" xr:uid="{00000000-0005-0000-0000-0000AA600000}"/>
    <cellStyle name="Normal 3 36 3 11" xfId="14276" xr:uid="{00000000-0005-0000-0000-0000AB600000}"/>
    <cellStyle name="Normal 3 36 3 11 2" xfId="31774" xr:uid="{00000000-0005-0000-0000-0000AC600000}"/>
    <cellStyle name="Normal 3 36 3 12" xfId="14277" xr:uid="{00000000-0005-0000-0000-0000AD600000}"/>
    <cellStyle name="Normal 3 36 3 12 2" xfId="31775" xr:uid="{00000000-0005-0000-0000-0000AE600000}"/>
    <cellStyle name="Normal 3 36 3 13" xfId="14278" xr:uid="{00000000-0005-0000-0000-0000AF600000}"/>
    <cellStyle name="Normal 3 36 3 13 2" xfId="31776" xr:uid="{00000000-0005-0000-0000-0000B0600000}"/>
    <cellStyle name="Normal 3 36 3 14" xfId="14279" xr:uid="{00000000-0005-0000-0000-0000B1600000}"/>
    <cellStyle name="Normal 3 36 3 14 2" xfId="31777" xr:uid="{00000000-0005-0000-0000-0000B2600000}"/>
    <cellStyle name="Normal 3 36 3 15" xfId="14280" xr:uid="{00000000-0005-0000-0000-0000B3600000}"/>
    <cellStyle name="Normal 3 36 3 15 2" xfId="31778" xr:uid="{00000000-0005-0000-0000-0000B4600000}"/>
    <cellStyle name="Normal 3 36 3 16" xfId="31772" xr:uid="{00000000-0005-0000-0000-0000B5600000}"/>
    <cellStyle name="Normal 3 36 3 2" xfId="14281" xr:uid="{00000000-0005-0000-0000-0000B6600000}"/>
    <cellStyle name="Normal 3 36 3 2 10" xfId="14282" xr:uid="{00000000-0005-0000-0000-0000B7600000}"/>
    <cellStyle name="Normal 3 36 3 2 10 2" xfId="31780" xr:uid="{00000000-0005-0000-0000-0000B8600000}"/>
    <cellStyle name="Normal 3 36 3 2 11" xfId="14283" xr:uid="{00000000-0005-0000-0000-0000B9600000}"/>
    <cellStyle name="Normal 3 36 3 2 11 2" xfId="31781" xr:uid="{00000000-0005-0000-0000-0000BA600000}"/>
    <cellStyle name="Normal 3 36 3 2 12" xfId="14284" xr:uid="{00000000-0005-0000-0000-0000BB600000}"/>
    <cellStyle name="Normal 3 36 3 2 12 2" xfId="31782" xr:uid="{00000000-0005-0000-0000-0000BC600000}"/>
    <cellStyle name="Normal 3 36 3 2 13" xfId="14285" xr:uid="{00000000-0005-0000-0000-0000BD600000}"/>
    <cellStyle name="Normal 3 36 3 2 13 2" xfId="31783" xr:uid="{00000000-0005-0000-0000-0000BE600000}"/>
    <cellStyle name="Normal 3 36 3 2 14" xfId="14286" xr:uid="{00000000-0005-0000-0000-0000BF600000}"/>
    <cellStyle name="Normal 3 36 3 2 14 2" xfId="31784" xr:uid="{00000000-0005-0000-0000-0000C0600000}"/>
    <cellStyle name="Normal 3 36 3 2 15" xfId="31779" xr:uid="{00000000-0005-0000-0000-0000C1600000}"/>
    <cellStyle name="Normal 3 36 3 2 2" xfId="14287" xr:uid="{00000000-0005-0000-0000-0000C2600000}"/>
    <cellStyle name="Normal 3 36 3 2 2 2" xfId="31785" xr:uid="{00000000-0005-0000-0000-0000C3600000}"/>
    <cellStyle name="Normal 3 36 3 2 3" xfId="14288" xr:uid="{00000000-0005-0000-0000-0000C4600000}"/>
    <cellStyle name="Normal 3 36 3 2 3 2" xfId="31786" xr:uid="{00000000-0005-0000-0000-0000C5600000}"/>
    <cellStyle name="Normal 3 36 3 2 4" xfId="14289" xr:uid="{00000000-0005-0000-0000-0000C6600000}"/>
    <cellStyle name="Normal 3 36 3 2 4 2" xfId="31787" xr:uid="{00000000-0005-0000-0000-0000C7600000}"/>
    <cellStyle name="Normal 3 36 3 2 5" xfId="14290" xr:uid="{00000000-0005-0000-0000-0000C8600000}"/>
    <cellStyle name="Normal 3 36 3 2 5 2" xfId="31788" xr:uid="{00000000-0005-0000-0000-0000C9600000}"/>
    <cellStyle name="Normal 3 36 3 2 6" xfId="14291" xr:uid="{00000000-0005-0000-0000-0000CA600000}"/>
    <cellStyle name="Normal 3 36 3 2 6 2" xfId="31789" xr:uid="{00000000-0005-0000-0000-0000CB600000}"/>
    <cellStyle name="Normal 3 36 3 2 7" xfId="14292" xr:uid="{00000000-0005-0000-0000-0000CC600000}"/>
    <cellStyle name="Normal 3 36 3 2 7 2" xfId="31790" xr:uid="{00000000-0005-0000-0000-0000CD600000}"/>
    <cellStyle name="Normal 3 36 3 2 8" xfId="14293" xr:uid="{00000000-0005-0000-0000-0000CE600000}"/>
    <cellStyle name="Normal 3 36 3 2 8 2" xfId="31791" xr:uid="{00000000-0005-0000-0000-0000CF600000}"/>
    <cellStyle name="Normal 3 36 3 2 9" xfId="14294" xr:uid="{00000000-0005-0000-0000-0000D0600000}"/>
    <cellStyle name="Normal 3 36 3 2 9 2" xfId="31792" xr:uid="{00000000-0005-0000-0000-0000D1600000}"/>
    <cellStyle name="Normal 3 36 3 3" xfId="14295" xr:uid="{00000000-0005-0000-0000-0000D2600000}"/>
    <cellStyle name="Normal 3 36 3 3 2" xfId="31793" xr:uid="{00000000-0005-0000-0000-0000D3600000}"/>
    <cellStyle name="Normal 3 36 3 4" xfId="14296" xr:uid="{00000000-0005-0000-0000-0000D4600000}"/>
    <cellStyle name="Normal 3 36 3 4 2" xfId="31794" xr:uid="{00000000-0005-0000-0000-0000D5600000}"/>
    <cellStyle name="Normal 3 36 3 5" xfId="14297" xr:uid="{00000000-0005-0000-0000-0000D6600000}"/>
    <cellStyle name="Normal 3 36 3 5 2" xfId="31795" xr:uid="{00000000-0005-0000-0000-0000D7600000}"/>
    <cellStyle name="Normal 3 36 3 6" xfId="14298" xr:uid="{00000000-0005-0000-0000-0000D8600000}"/>
    <cellStyle name="Normal 3 36 3 6 2" xfId="31796" xr:uid="{00000000-0005-0000-0000-0000D9600000}"/>
    <cellStyle name="Normal 3 36 3 7" xfId="14299" xr:uid="{00000000-0005-0000-0000-0000DA600000}"/>
    <cellStyle name="Normal 3 36 3 7 2" xfId="31797" xr:uid="{00000000-0005-0000-0000-0000DB600000}"/>
    <cellStyle name="Normal 3 36 3 8" xfId="14300" xr:uid="{00000000-0005-0000-0000-0000DC600000}"/>
    <cellStyle name="Normal 3 36 3 8 2" xfId="31798" xr:uid="{00000000-0005-0000-0000-0000DD600000}"/>
    <cellStyle name="Normal 3 36 3 9" xfId="14301" xr:uid="{00000000-0005-0000-0000-0000DE600000}"/>
    <cellStyle name="Normal 3 36 3 9 2" xfId="31799" xr:uid="{00000000-0005-0000-0000-0000DF600000}"/>
    <cellStyle name="Normal 3 36 4" xfId="14302" xr:uid="{00000000-0005-0000-0000-0000E0600000}"/>
    <cellStyle name="Normal 3 36 4 10" xfId="14303" xr:uid="{00000000-0005-0000-0000-0000E1600000}"/>
    <cellStyle name="Normal 3 36 4 10 2" xfId="31801" xr:uid="{00000000-0005-0000-0000-0000E2600000}"/>
    <cellStyle name="Normal 3 36 4 11" xfId="14304" xr:uid="{00000000-0005-0000-0000-0000E3600000}"/>
    <cellStyle name="Normal 3 36 4 11 2" xfId="31802" xr:uid="{00000000-0005-0000-0000-0000E4600000}"/>
    <cellStyle name="Normal 3 36 4 12" xfId="14305" xr:uid="{00000000-0005-0000-0000-0000E5600000}"/>
    <cellStyle name="Normal 3 36 4 12 2" xfId="31803" xr:uid="{00000000-0005-0000-0000-0000E6600000}"/>
    <cellStyle name="Normal 3 36 4 13" xfId="14306" xr:uid="{00000000-0005-0000-0000-0000E7600000}"/>
    <cellStyle name="Normal 3 36 4 13 2" xfId="31804" xr:uid="{00000000-0005-0000-0000-0000E8600000}"/>
    <cellStyle name="Normal 3 36 4 14" xfId="14307" xr:uid="{00000000-0005-0000-0000-0000E9600000}"/>
    <cellStyle name="Normal 3 36 4 14 2" xfId="31805" xr:uid="{00000000-0005-0000-0000-0000EA600000}"/>
    <cellStyle name="Normal 3 36 4 15" xfId="14308" xr:uid="{00000000-0005-0000-0000-0000EB600000}"/>
    <cellStyle name="Normal 3 36 4 15 2" xfId="31806" xr:uid="{00000000-0005-0000-0000-0000EC600000}"/>
    <cellStyle name="Normal 3 36 4 16" xfId="31800" xr:uid="{00000000-0005-0000-0000-0000ED600000}"/>
    <cellStyle name="Normal 3 36 4 2" xfId="14309" xr:uid="{00000000-0005-0000-0000-0000EE600000}"/>
    <cellStyle name="Normal 3 36 4 2 10" xfId="14310" xr:uid="{00000000-0005-0000-0000-0000EF600000}"/>
    <cellStyle name="Normal 3 36 4 2 10 2" xfId="31808" xr:uid="{00000000-0005-0000-0000-0000F0600000}"/>
    <cellStyle name="Normal 3 36 4 2 11" xfId="14311" xr:uid="{00000000-0005-0000-0000-0000F1600000}"/>
    <cellStyle name="Normal 3 36 4 2 11 2" xfId="31809" xr:uid="{00000000-0005-0000-0000-0000F2600000}"/>
    <cellStyle name="Normal 3 36 4 2 12" xfId="14312" xr:uid="{00000000-0005-0000-0000-0000F3600000}"/>
    <cellStyle name="Normal 3 36 4 2 12 2" xfId="31810" xr:uid="{00000000-0005-0000-0000-0000F4600000}"/>
    <cellStyle name="Normal 3 36 4 2 13" xfId="14313" xr:uid="{00000000-0005-0000-0000-0000F5600000}"/>
    <cellStyle name="Normal 3 36 4 2 13 2" xfId="31811" xr:uid="{00000000-0005-0000-0000-0000F6600000}"/>
    <cellStyle name="Normal 3 36 4 2 14" xfId="14314" xr:uid="{00000000-0005-0000-0000-0000F7600000}"/>
    <cellStyle name="Normal 3 36 4 2 14 2" xfId="31812" xr:uid="{00000000-0005-0000-0000-0000F8600000}"/>
    <cellStyle name="Normal 3 36 4 2 15" xfId="31807" xr:uid="{00000000-0005-0000-0000-0000F9600000}"/>
    <cellStyle name="Normal 3 36 4 2 2" xfId="14315" xr:uid="{00000000-0005-0000-0000-0000FA600000}"/>
    <cellStyle name="Normal 3 36 4 2 2 2" xfId="31813" xr:uid="{00000000-0005-0000-0000-0000FB600000}"/>
    <cellStyle name="Normal 3 36 4 2 3" xfId="14316" xr:uid="{00000000-0005-0000-0000-0000FC600000}"/>
    <cellStyle name="Normal 3 36 4 2 3 2" xfId="31814" xr:uid="{00000000-0005-0000-0000-0000FD600000}"/>
    <cellStyle name="Normal 3 36 4 2 4" xfId="14317" xr:uid="{00000000-0005-0000-0000-0000FE600000}"/>
    <cellStyle name="Normal 3 36 4 2 4 2" xfId="31815" xr:uid="{00000000-0005-0000-0000-0000FF600000}"/>
    <cellStyle name="Normal 3 36 4 2 5" xfId="14318" xr:uid="{00000000-0005-0000-0000-000000610000}"/>
    <cellStyle name="Normal 3 36 4 2 5 2" xfId="31816" xr:uid="{00000000-0005-0000-0000-000001610000}"/>
    <cellStyle name="Normal 3 36 4 2 6" xfId="14319" xr:uid="{00000000-0005-0000-0000-000002610000}"/>
    <cellStyle name="Normal 3 36 4 2 6 2" xfId="31817" xr:uid="{00000000-0005-0000-0000-000003610000}"/>
    <cellStyle name="Normal 3 36 4 2 7" xfId="14320" xr:uid="{00000000-0005-0000-0000-000004610000}"/>
    <cellStyle name="Normal 3 36 4 2 7 2" xfId="31818" xr:uid="{00000000-0005-0000-0000-000005610000}"/>
    <cellStyle name="Normal 3 36 4 2 8" xfId="14321" xr:uid="{00000000-0005-0000-0000-000006610000}"/>
    <cellStyle name="Normal 3 36 4 2 8 2" xfId="31819" xr:uid="{00000000-0005-0000-0000-000007610000}"/>
    <cellStyle name="Normal 3 36 4 2 9" xfId="14322" xr:uid="{00000000-0005-0000-0000-000008610000}"/>
    <cellStyle name="Normal 3 36 4 2 9 2" xfId="31820" xr:uid="{00000000-0005-0000-0000-000009610000}"/>
    <cellStyle name="Normal 3 36 4 3" xfId="14323" xr:uid="{00000000-0005-0000-0000-00000A610000}"/>
    <cellStyle name="Normal 3 36 4 3 2" xfId="31821" xr:uid="{00000000-0005-0000-0000-00000B610000}"/>
    <cellStyle name="Normal 3 36 4 4" xfId="14324" xr:uid="{00000000-0005-0000-0000-00000C610000}"/>
    <cellStyle name="Normal 3 36 4 4 2" xfId="31822" xr:uid="{00000000-0005-0000-0000-00000D610000}"/>
    <cellStyle name="Normal 3 36 4 5" xfId="14325" xr:uid="{00000000-0005-0000-0000-00000E610000}"/>
    <cellStyle name="Normal 3 36 4 5 2" xfId="31823" xr:uid="{00000000-0005-0000-0000-00000F610000}"/>
    <cellStyle name="Normal 3 36 4 6" xfId="14326" xr:uid="{00000000-0005-0000-0000-000010610000}"/>
    <cellStyle name="Normal 3 36 4 6 2" xfId="31824" xr:uid="{00000000-0005-0000-0000-000011610000}"/>
    <cellStyle name="Normal 3 36 4 7" xfId="14327" xr:uid="{00000000-0005-0000-0000-000012610000}"/>
    <cellStyle name="Normal 3 36 4 7 2" xfId="31825" xr:uid="{00000000-0005-0000-0000-000013610000}"/>
    <cellStyle name="Normal 3 36 4 8" xfId="14328" xr:uid="{00000000-0005-0000-0000-000014610000}"/>
    <cellStyle name="Normal 3 36 4 8 2" xfId="31826" xr:uid="{00000000-0005-0000-0000-000015610000}"/>
    <cellStyle name="Normal 3 36 4 9" xfId="14329" xr:uid="{00000000-0005-0000-0000-000016610000}"/>
    <cellStyle name="Normal 3 36 4 9 2" xfId="31827" xr:uid="{00000000-0005-0000-0000-000017610000}"/>
    <cellStyle name="Normal 3 36 5" xfId="14330" xr:uid="{00000000-0005-0000-0000-000018610000}"/>
    <cellStyle name="Normal 3 36 5 10" xfId="14331" xr:uid="{00000000-0005-0000-0000-000019610000}"/>
    <cellStyle name="Normal 3 36 5 10 2" xfId="31829" xr:uid="{00000000-0005-0000-0000-00001A610000}"/>
    <cellStyle name="Normal 3 36 5 11" xfId="14332" xr:uid="{00000000-0005-0000-0000-00001B610000}"/>
    <cellStyle name="Normal 3 36 5 11 2" xfId="31830" xr:uid="{00000000-0005-0000-0000-00001C610000}"/>
    <cellStyle name="Normal 3 36 5 12" xfId="14333" xr:uid="{00000000-0005-0000-0000-00001D610000}"/>
    <cellStyle name="Normal 3 36 5 12 2" xfId="31831" xr:uid="{00000000-0005-0000-0000-00001E610000}"/>
    <cellStyle name="Normal 3 36 5 13" xfId="14334" xr:uid="{00000000-0005-0000-0000-00001F610000}"/>
    <cellStyle name="Normal 3 36 5 13 2" xfId="31832" xr:uid="{00000000-0005-0000-0000-000020610000}"/>
    <cellStyle name="Normal 3 36 5 14" xfId="14335" xr:uid="{00000000-0005-0000-0000-000021610000}"/>
    <cellStyle name="Normal 3 36 5 14 2" xfId="31833" xr:uid="{00000000-0005-0000-0000-000022610000}"/>
    <cellStyle name="Normal 3 36 5 15" xfId="31828" xr:uid="{00000000-0005-0000-0000-000023610000}"/>
    <cellStyle name="Normal 3 36 5 2" xfId="14336" xr:uid="{00000000-0005-0000-0000-000024610000}"/>
    <cellStyle name="Normal 3 36 5 2 2" xfId="31834" xr:uid="{00000000-0005-0000-0000-000025610000}"/>
    <cellStyle name="Normal 3 36 5 3" xfId="14337" xr:uid="{00000000-0005-0000-0000-000026610000}"/>
    <cellStyle name="Normal 3 36 5 3 2" xfId="31835" xr:uid="{00000000-0005-0000-0000-000027610000}"/>
    <cellStyle name="Normal 3 36 5 4" xfId="14338" xr:uid="{00000000-0005-0000-0000-000028610000}"/>
    <cellStyle name="Normal 3 36 5 4 2" xfId="31836" xr:uid="{00000000-0005-0000-0000-000029610000}"/>
    <cellStyle name="Normal 3 36 5 5" xfId="14339" xr:uid="{00000000-0005-0000-0000-00002A610000}"/>
    <cellStyle name="Normal 3 36 5 5 2" xfId="31837" xr:uid="{00000000-0005-0000-0000-00002B610000}"/>
    <cellStyle name="Normal 3 36 5 6" xfId="14340" xr:uid="{00000000-0005-0000-0000-00002C610000}"/>
    <cellStyle name="Normal 3 36 5 6 2" xfId="31838" xr:uid="{00000000-0005-0000-0000-00002D610000}"/>
    <cellStyle name="Normal 3 36 5 7" xfId="14341" xr:uid="{00000000-0005-0000-0000-00002E610000}"/>
    <cellStyle name="Normal 3 36 5 7 2" xfId="31839" xr:uid="{00000000-0005-0000-0000-00002F610000}"/>
    <cellStyle name="Normal 3 36 5 8" xfId="14342" xr:uid="{00000000-0005-0000-0000-000030610000}"/>
    <cellStyle name="Normal 3 36 5 8 2" xfId="31840" xr:uid="{00000000-0005-0000-0000-000031610000}"/>
    <cellStyle name="Normal 3 36 5 9" xfId="14343" xr:uid="{00000000-0005-0000-0000-000032610000}"/>
    <cellStyle name="Normal 3 36 5 9 2" xfId="31841" xr:uid="{00000000-0005-0000-0000-000033610000}"/>
    <cellStyle name="Normal 3 36 6" xfId="14344" xr:uid="{00000000-0005-0000-0000-000034610000}"/>
    <cellStyle name="Normal 3 36 6 10" xfId="14345" xr:uid="{00000000-0005-0000-0000-000035610000}"/>
    <cellStyle name="Normal 3 36 6 10 2" xfId="31843" xr:uid="{00000000-0005-0000-0000-000036610000}"/>
    <cellStyle name="Normal 3 36 6 11" xfId="14346" xr:uid="{00000000-0005-0000-0000-000037610000}"/>
    <cellStyle name="Normal 3 36 6 11 2" xfId="31844" xr:uid="{00000000-0005-0000-0000-000038610000}"/>
    <cellStyle name="Normal 3 36 6 12" xfId="14347" xr:uid="{00000000-0005-0000-0000-000039610000}"/>
    <cellStyle name="Normal 3 36 6 12 2" xfId="31845" xr:uid="{00000000-0005-0000-0000-00003A610000}"/>
    <cellStyle name="Normal 3 36 6 13" xfId="14348" xr:uid="{00000000-0005-0000-0000-00003B610000}"/>
    <cellStyle name="Normal 3 36 6 13 2" xfId="31846" xr:uid="{00000000-0005-0000-0000-00003C610000}"/>
    <cellStyle name="Normal 3 36 6 14" xfId="14349" xr:uid="{00000000-0005-0000-0000-00003D610000}"/>
    <cellStyle name="Normal 3 36 6 14 2" xfId="31847" xr:uid="{00000000-0005-0000-0000-00003E610000}"/>
    <cellStyle name="Normal 3 36 6 15" xfId="31842" xr:uid="{00000000-0005-0000-0000-00003F610000}"/>
    <cellStyle name="Normal 3 36 6 2" xfId="14350" xr:uid="{00000000-0005-0000-0000-000040610000}"/>
    <cellStyle name="Normal 3 36 6 2 2" xfId="31848" xr:uid="{00000000-0005-0000-0000-000041610000}"/>
    <cellStyle name="Normal 3 36 6 3" xfId="14351" xr:uid="{00000000-0005-0000-0000-000042610000}"/>
    <cellStyle name="Normal 3 36 6 3 2" xfId="31849" xr:uid="{00000000-0005-0000-0000-000043610000}"/>
    <cellStyle name="Normal 3 36 6 4" xfId="14352" xr:uid="{00000000-0005-0000-0000-000044610000}"/>
    <cellStyle name="Normal 3 36 6 4 2" xfId="31850" xr:uid="{00000000-0005-0000-0000-000045610000}"/>
    <cellStyle name="Normal 3 36 6 5" xfId="14353" xr:uid="{00000000-0005-0000-0000-000046610000}"/>
    <cellStyle name="Normal 3 36 6 5 2" xfId="31851" xr:uid="{00000000-0005-0000-0000-000047610000}"/>
    <cellStyle name="Normal 3 36 6 6" xfId="14354" xr:uid="{00000000-0005-0000-0000-000048610000}"/>
    <cellStyle name="Normal 3 36 6 6 2" xfId="31852" xr:uid="{00000000-0005-0000-0000-000049610000}"/>
    <cellStyle name="Normal 3 36 6 7" xfId="14355" xr:uid="{00000000-0005-0000-0000-00004A610000}"/>
    <cellStyle name="Normal 3 36 6 7 2" xfId="31853" xr:uid="{00000000-0005-0000-0000-00004B610000}"/>
    <cellStyle name="Normal 3 36 6 8" xfId="14356" xr:uid="{00000000-0005-0000-0000-00004C610000}"/>
    <cellStyle name="Normal 3 36 6 8 2" xfId="31854" xr:uid="{00000000-0005-0000-0000-00004D610000}"/>
    <cellStyle name="Normal 3 36 6 9" xfId="14357" xr:uid="{00000000-0005-0000-0000-00004E610000}"/>
    <cellStyle name="Normal 3 36 6 9 2" xfId="31855" xr:uid="{00000000-0005-0000-0000-00004F610000}"/>
    <cellStyle name="Normal 3 36 7" xfId="14358" xr:uid="{00000000-0005-0000-0000-000050610000}"/>
    <cellStyle name="Normal 3 36 7 10" xfId="14359" xr:uid="{00000000-0005-0000-0000-000051610000}"/>
    <cellStyle name="Normal 3 36 7 10 2" xfId="31857" xr:uid="{00000000-0005-0000-0000-000052610000}"/>
    <cellStyle name="Normal 3 36 7 11" xfId="14360" xr:uid="{00000000-0005-0000-0000-000053610000}"/>
    <cellStyle name="Normal 3 36 7 11 2" xfId="31858" xr:uid="{00000000-0005-0000-0000-000054610000}"/>
    <cellStyle name="Normal 3 36 7 12" xfId="14361" xr:uid="{00000000-0005-0000-0000-000055610000}"/>
    <cellStyle name="Normal 3 36 7 12 2" xfId="31859" xr:uid="{00000000-0005-0000-0000-000056610000}"/>
    <cellStyle name="Normal 3 36 7 13" xfId="14362" xr:uid="{00000000-0005-0000-0000-000057610000}"/>
    <cellStyle name="Normal 3 36 7 13 2" xfId="31860" xr:uid="{00000000-0005-0000-0000-000058610000}"/>
    <cellStyle name="Normal 3 36 7 14" xfId="14363" xr:uid="{00000000-0005-0000-0000-000059610000}"/>
    <cellStyle name="Normal 3 36 7 14 2" xfId="31861" xr:uid="{00000000-0005-0000-0000-00005A610000}"/>
    <cellStyle name="Normal 3 36 7 15" xfId="31856" xr:uid="{00000000-0005-0000-0000-00005B610000}"/>
    <cellStyle name="Normal 3 36 7 2" xfId="14364" xr:uid="{00000000-0005-0000-0000-00005C610000}"/>
    <cellStyle name="Normal 3 36 7 2 2" xfId="31862" xr:uid="{00000000-0005-0000-0000-00005D610000}"/>
    <cellStyle name="Normal 3 36 7 3" xfId="14365" xr:uid="{00000000-0005-0000-0000-00005E610000}"/>
    <cellStyle name="Normal 3 36 7 3 2" xfId="31863" xr:uid="{00000000-0005-0000-0000-00005F610000}"/>
    <cellStyle name="Normal 3 36 7 4" xfId="14366" xr:uid="{00000000-0005-0000-0000-000060610000}"/>
    <cellStyle name="Normal 3 36 7 4 2" xfId="31864" xr:uid="{00000000-0005-0000-0000-000061610000}"/>
    <cellStyle name="Normal 3 36 7 5" xfId="14367" xr:uid="{00000000-0005-0000-0000-000062610000}"/>
    <cellStyle name="Normal 3 36 7 5 2" xfId="31865" xr:uid="{00000000-0005-0000-0000-000063610000}"/>
    <cellStyle name="Normal 3 36 7 6" xfId="14368" xr:uid="{00000000-0005-0000-0000-000064610000}"/>
    <cellStyle name="Normal 3 36 7 6 2" xfId="31866" xr:uid="{00000000-0005-0000-0000-000065610000}"/>
    <cellStyle name="Normal 3 36 7 7" xfId="14369" xr:uid="{00000000-0005-0000-0000-000066610000}"/>
    <cellStyle name="Normal 3 36 7 7 2" xfId="31867" xr:uid="{00000000-0005-0000-0000-000067610000}"/>
    <cellStyle name="Normal 3 36 7 8" xfId="14370" xr:uid="{00000000-0005-0000-0000-000068610000}"/>
    <cellStyle name="Normal 3 36 7 8 2" xfId="31868" xr:uid="{00000000-0005-0000-0000-000069610000}"/>
    <cellStyle name="Normal 3 36 7 9" xfId="14371" xr:uid="{00000000-0005-0000-0000-00006A610000}"/>
    <cellStyle name="Normal 3 36 7 9 2" xfId="31869" xr:uid="{00000000-0005-0000-0000-00006B610000}"/>
    <cellStyle name="Normal 3 36 8" xfId="14372" xr:uid="{00000000-0005-0000-0000-00006C610000}"/>
    <cellStyle name="Normal 3 36 8 10" xfId="14373" xr:uid="{00000000-0005-0000-0000-00006D610000}"/>
    <cellStyle name="Normal 3 36 8 10 2" xfId="31871" xr:uid="{00000000-0005-0000-0000-00006E610000}"/>
    <cellStyle name="Normal 3 36 8 11" xfId="14374" xr:uid="{00000000-0005-0000-0000-00006F610000}"/>
    <cellStyle name="Normal 3 36 8 11 2" xfId="31872" xr:uid="{00000000-0005-0000-0000-000070610000}"/>
    <cellStyle name="Normal 3 36 8 12" xfId="14375" xr:uid="{00000000-0005-0000-0000-000071610000}"/>
    <cellStyle name="Normal 3 36 8 12 2" xfId="31873" xr:uid="{00000000-0005-0000-0000-000072610000}"/>
    <cellStyle name="Normal 3 36 8 13" xfId="14376" xr:uid="{00000000-0005-0000-0000-000073610000}"/>
    <cellStyle name="Normal 3 36 8 13 2" xfId="31874" xr:uid="{00000000-0005-0000-0000-000074610000}"/>
    <cellStyle name="Normal 3 36 8 14" xfId="14377" xr:uid="{00000000-0005-0000-0000-000075610000}"/>
    <cellStyle name="Normal 3 36 8 14 2" xfId="31875" xr:uid="{00000000-0005-0000-0000-000076610000}"/>
    <cellStyle name="Normal 3 36 8 15" xfId="31870" xr:uid="{00000000-0005-0000-0000-000077610000}"/>
    <cellStyle name="Normal 3 36 8 2" xfId="14378" xr:uid="{00000000-0005-0000-0000-000078610000}"/>
    <cellStyle name="Normal 3 36 8 2 2" xfId="31876" xr:uid="{00000000-0005-0000-0000-000079610000}"/>
    <cellStyle name="Normal 3 36 8 3" xfId="14379" xr:uid="{00000000-0005-0000-0000-00007A610000}"/>
    <cellStyle name="Normal 3 36 8 3 2" xfId="31877" xr:uid="{00000000-0005-0000-0000-00007B610000}"/>
    <cellStyle name="Normal 3 36 8 4" xfId="14380" xr:uid="{00000000-0005-0000-0000-00007C610000}"/>
    <cellStyle name="Normal 3 36 8 4 2" xfId="31878" xr:uid="{00000000-0005-0000-0000-00007D610000}"/>
    <cellStyle name="Normal 3 36 8 5" xfId="14381" xr:uid="{00000000-0005-0000-0000-00007E610000}"/>
    <cellStyle name="Normal 3 36 8 5 2" xfId="31879" xr:uid="{00000000-0005-0000-0000-00007F610000}"/>
    <cellStyle name="Normal 3 36 8 6" xfId="14382" xr:uid="{00000000-0005-0000-0000-000080610000}"/>
    <cellStyle name="Normal 3 36 8 6 2" xfId="31880" xr:uid="{00000000-0005-0000-0000-000081610000}"/>
    <cellStyle name="Normal 3 36 8 7" xfId="14383" xr:uid="{00000000-0005-0000-0000-000082610000}"/>
    <cellStyle name="Normal 3 36 8 7 2" xfId="31881" xr:uid="{00000000-0005-0000-0000-000083610000}"/>
    <cellStyle name="Normal 3 36 8 8" xfId="14384" xr:uid="{00000000-0005-0000-0000-000084610000}"/>
    <cellStyle name="Normal 3 36 8 8 2" xfId="31882" xr:uid="{00000000-0005-0000-0000-000085610000}"/>
    <cellStyle name="Normal 3 36 8 9" xfId="14385" xr:uid="{00000000-0005-0000-0000-000086610000}"/>
    <cellStyle name="Normal 3 36 8 9 2" xfId="31883" xr:uid="{00000000-0005-0000-0000-000087610000}"/>
    <cellStyle name="Normal 3 36 9" xfId="14386" xr:uid="{00000000-0005-0000-0000-000088610000}"/>
    <cellStyle name="Normal 3 36 9 10" xfId="14387" xr:uid="{00000000-0005-0000-0000-000089610000}"/>
    <cellStyle name="Normal 3 36 9 10 2" xfId="31885" xr:uid="{00000000-0005-0000-0000-00008A610000}"/>
    <cellStyle name="Normal 3 36 9 11" xfId="14388" xr:uid="{00000000-0005-0000-0000-00008B610000}"/>
    <cellStyle name="Normal 3 36 9 11 2" xfId="31886" xr:uid="{00000000-0005-0000-0000-00008C610000}"/>
    <cellStyle name="Normal 3 36 9 12" xfId="14389" xr:uid="{00000000-0005-0000-0000-00008D610000}"/>
    <cellStyle name="Normal 3 36 9 12 2" xfId="31887" xr:uid="{00000000-0005-0000-0000-00008E610000}"/>
    <cellStyle name="Normal 3 36 9 13" xfId="14390" xr:uid="{00000000-0005-0000-0000-00008F610000}"/>
    <cellStyle name="Normal 3 36 9 13 2" xfId="31888" xr:uid="{00000000-0005-0000-0000-000090610000}"/>
    <cellStyle name="Normal 3 36 9 14" xfId="14391" xr:uid="{00000000-0005-0000-0000-000091610000}"/>
    <cellStyle name="Normal 3 36 9 14 2" xfId="31889" xr:uid="{00000000-0005-0000-0000-000092610000}"/>
    <cellStyle name="Normal 3 36 9 15" xfId="31884" xr:uid="{00000000-0005-0000-0000-000093610000}"/>
    <cellStyle name="Normal 3 36 9 2" xfId="14392" xr:uid="{00000000-0005-0000-0000-000094610000}"/>
    <cellStyle name="Normal 3 36 9 2 2" xfId="31890" xr:uid="{00000000-0005-0000-0000-000095610000}"/>
    <cellStyle name="Normal 3 36 9 3" xfId="14393" xr:uid="{00000000-0005-0000-0000-000096610000}"/>
    <cellStyle name="Normal 3 36 9 3 2" xfId="31891" xr:uid="{00000000-0005-0000-0000-000097610000}"/>
    <cellStyle name="Normal 3 36 9 4" xfId="14394" xr:uid="{00000000-0005-0000-0000-000098610000}"/>
    <cellStyle name="Normal 3 36 9 4 2" xfId="31892" xr:uid="{00000000-0005-0000-0000-000099610000}"/>
    <cellStyle name="Normal 3 36 9 5" xfId="14395" xr:uid="{00000000-0005-0000-0000-00009A610000}"/>
    <cellStyle name="Normal 3 36 9 5 2" xfId="31893" xr:uid="{00000000-0005-0000-0000-00009B610000}"/>
    <cellStyle name="Normal 3 36 9 6" xfId="14396" xr:uid="{00000000-0005-0000-0000-00009C610000}"/>
    <cellStyle name="Normal 3 36 9 6 2" xfId="31894" xr:uid="{00000000-0005-0000-0000-00009D610000}"/>
    <cellStyle name="Normal 3 36 9 7" xfId="14397" xr:uid="{00000000-0005-0000-0000-00009E610000}"/>
    <cellStyle name="Normal 3 36 9 7 2" xfId="31895" xr:uid="{00000000-0005-0000-0000-00009F610000}"/>
    <cellStyle name="Normal 3 36 9 8" xfId="14398" xr:uid="{00000000-0005-0000-0000-0000A0610000}"/>
    <cellStyle name="Normal 3 36 9 8 2" xfId="31896" xr:uid="{00000000-0005-0000-0000-0000A1610000}"/>
    <cellStyle name="Normal 3 36 9 9" xfId="14399" xr:uid="{00000000-0005-0000-0000-0000A2610000}"/>
    <cellStyle name="Normal 3 36 9 9 2" xfId="31897" xr:uid="{00000000-0005-0000-0000-0000A3610000}"/>
    <cellStyle name="Normal 3 37" xfId="14400" xr:uid="{00000000-0005-0000-0000-0000A4610000}"/>
    <cellStyle name="Normal 3 37 10" xfId="14401" xr:uid="{00000000-0005-0000-0000-0000A5610000}"/>
    <cellStyle name="Normal 3 37 10 10" xfId="14402" xr:uid="{00000000-0005-0000-0000-0000A6610000}"/>
    <cellStyle name="Normal 3 37 10 10 2" xfId="31900" xr:uid="{00000000-0005-0000-0000-0000A7610000}"/>
    <cellStyle name="Normal 3 37 10 11" xfId="14403" xr:uid="{00000000-0005-0000-0000-0000A8610000}"/>
    <cellStyle name="Normal 3 37 10 11 2" xfId="31901" xr:uid="{00000000-0005-0000-0000-0000A9610000}"/>
    <cellStyle name="Normal 3 37 10 12" xfId="14404" xr:uid="{00000000-0005-0000-0000-0000AA610000}"/>
    <cellStyle name="Normal 3 37 10 12 2" xfId="31902" xr:uid="{00000000-0005-0000-0000-0000AB610000}"/>
    <cellStyle name="Normal 3 37 10 13" xfId="14405" xr:uid="{00000000-0005-0000-0000-0000AC610000}"/>
    <cellStyle name="Normal 3 37 10 13 2" xfId="31903" xr:uid="{00000000-0005-0000-0000-0000AD610000}"/>
    <cellStyle name="Normal 3 37 10 14" xfId="14406" xr:uid="{00000000-0005-0000-0000-0000AE610000}"/>
    <cellStyle name="Normal 3 37 10 14 2" xfId="31904" xr:uid="{00000000-0005-0000-0000-0000AF610000}"/>
    <cellStyle name="Normal 3 37 10 15" xfId="31899" xr:uid="{00000000-0005-0000-0000-0000B0610000}"/>
    <cellStyle name="Normal 3 37 10 2" xfId="14407" xr:uid="{00000000-0005-0000-0000-0000B1610000}"/>
    <cellStyle name="Normal 3 37 10 2 2" xfId="31905" xr:uid="{00000000-0005-0000-0000-0000B2610000}"/>
    <cellStyle name="Normal 3 37 10 3" xfId="14408" xr:uid="{00000000-0005-0000-0000-0000B3610000}"/>
    <cellStyle name="Normal 3 37 10 3 2" xfId="31906" xr:uid="{00000000-0005-0000-0000-0000B4610000}"/>
    <cellStyle name="Normal 3 37 10 4" xfId="14409" xr:uid="{00000000-0005-0000-0000-0000B5610000}"/>
    <cellStyle name="Normal 3 37 10 4 2" xfId="31907" xr:uid="{00000000-0005-0000-0000-0000B6610000}"/>
    <cellStyle name="Normal 3 37 10 5" xfId="14410" xr:uid="{00000000-0005-0000-0000-0000B7610000}"/>
    <cellStyle name="Normal 3 37 10 5 2" xfId="31908" xr:uid="{00000000-0005-0000-0000-0000B8610000}"/>
    <cellStyle name="Normal 3 37 10 6" xfId="14411" xr:uid="{00000000-0005-0000-0000-0000B9610000}"/>
    <cellStyle name="Normal 3 37 10 6 2" xfId="31909" xr:uid="{00000000-0005-0000-0000-0000BA610000}"/>
    <cellStyle name="Normal 3 37 10 7" xfId="14412" xr:uid="{00000000-0005-0000-0000-0000BB610000}"/>
    <cellStyle name="Normal 3 37 10 7 2" xfId="31910" xr:uid="{00000000-0005-0000-0000-0000BC610000}"/>
    <cellStyle name="Normal 3 37 10 8" xfId="14413" xr:uid="{00000000-0005-0000-0000-0000BD610000}"/>
    <cellStyle name="Normal 3 37 10 8 2" xfId="31911" xr:uid="{00000000-0005-0000-0000-0000BE610000}"/>
    <cellStyle name="Normal 3 37 10 9" xfId="14414" xr:uid="{00000000-0005-0000-0000-0000BF610000}"/>
    <cellStyle name="Normal 3 37 10 9 2" xfId="31912" xr:uid="{00000000-0005-0000-0000-0000C0610000}"/>
    <cellStyle name="Normal 3 37 11" xfId="14415" xr:uid="{00000000-0005-0000-0000-0000C1610000}"/>
    <cellStyle name="Normal 3 37 11 2" xfId="31913" xr:uid="{00000000-0005-0000-0000-0000C2610000}"/>
    <cellStyle name="Normal 3 37 12" xfId="14416" xr:uid="{00000000-0005-0000-0000-0000C3610000}"/>
    <cellStyle name="Normal 3 37 12 2" xfId="31914" xr:uid="{00000000-0005-0000-0000-0000C4610000}"/>
    <cellStyle name="Normal 3 37 13" xfId="14417" xr:uid="{00000000-0005-0000-0000-0000C5610000}"/>
    <cellStyle name="Normal 3 37 13 2" xfId="31915" xr:uid="{00000000-0005-0000-0000-0000C6610000}"/>
    <cellStyle name="Normal 3 37 14" xfId="14418" xr:uid="{00000000-0005-0000-0000-0000C7610000}"/>
    <cellStyle name="Normal 3 37 14 2" xfId="31916" xr:uid="{00000000-0005-0000-0000-0000C8610000}"/>
    <cellStyle name="Normal 3 37 15" xfId="14419" xr:uid="{00000000-0005-0000-0000-0000C9610000}"/>
    <cellStyle name="Normal 3 37 15 2" xfId="31917" xr:uid="{00000000-0005-0000-0000-0000CA610000}"/>
    <cellStyle name="Normal 3 37 16" xfId="14420" xr:uid="{00000000-0005-0000-0000-0000CB610000}"/>
    <cellStyle name="Normal 3 37 16 2" xfId="31918" xr:uid="{00000000-0005-0000-0000-0000CC610000}"/>
    <cellStyle name="Normal 3 37 17" xfId="14421" xr:uid="{00000000-0005-0000-0000-0000CD610000}"/>
    <cellStyle name="Normal 3 37 17 2" xfId="31919" xr:uid="{00000000-0005-0000-0000-0000CE610000}"/>
    <cellStyle name="Normal 3 37 18" xfId="14422" xr:uid="{00000000-0005-0000-0000-0000CF610000}"/>
    <cellStyle name="Normal 3 37 18 2" xfId="31920" xr:uid="{00000000-0005-0000-0000-0000D0610000}"/>
    <cellStyle name="Normal 3 37 19" xfId="14423" xr:uid="{00000000-0005-0000-0000-0000D1610000}"/>
    <cellStyle name="Normal 3 37 19 2" xfId="31921" xr:uid="{00000000-0005-0000-0000-0000D2610000}"/>
    <cellStyle name="Normal 3 37 2" xfId="14424" xr:uid="{00000000-0005-0000-0000-0000D3610000}"/>
    <cellStyle name="Normal 3 37 2 10" xfId="14425" xr:uid="{00000000-0005-0000-0000-0000D4610000}"/>
    <cellStyle name="Normal 3 37 2 10 2" xfId="31923" xr:uid="{00000000-0005-0000-0000-0000D5610000}"/>
    <cellStyle name="Normal 3 37 2 11" xfId="14426" xr:uid="{00000000-0005-0000-0000-0000D6610000}"/>
    <cellStyle name="Normal 3 37 2 11 2" xfId="31924" xr:uid="{00000000-0005-0000-0000-0000D7610000}"/>
    <cellStyle name="Normal 3 37 2 12" xfId="14427" xr:uid="{00000000-0005-0000-0000-0000D8610000}"/>
    <cellStyle name="Normal 3 37 2 12 2" xfId="31925" xr:uid="{00000000-0005-0000-0000-0000D9610000}"/>
    <cellStyle name="Normal 3 37 2 13" xfId="14428" xr:uid="{00000000-0005-0000-0000-0000DA610000}"/>
    <cellStyle name="Normal 3 37 2 13 2" xfId="31926" xr:uid="{00000000-0005-0000-0000-0000DB610000}"/>
    <cellStyle name="Normal 3 37 2 14" xfId="14429" xr:uid="{00000000-0005-0000-0000-0000DC610000}"/>
    <cellStyle name="Normal 3 37 2 14 2" xfId="31927" xr:uid="{00000000-0005-0000-0000-0000DD610000}"/>
    <cellStyle name="Normal 3 37 2 15" xfId="14430" xr:uid="{00000000-0005-0000-0000-0000DE610000}"/>
    <cellStyle name="Normal 3 37 2 15 2" xfId="31928" xr:uid="{00000000-0005-0000-0000-0000DF610000}"/>
    <cellStyle name="Normal 3 37 2 16" xfId="31922" xr:uid="{00000000-0005-0000-0000-0000E0610000}"/>
    <cellStyle name="Normal 3 37 2 2" xfId="14431" xr:uid="{00000000-0005-0000-0000-0000E1610000}"/>
    <cellStyle name="Normal 3 37 2 2 10" xfId="14432" xr:uid="{00000000-0005-0000-0000-0000E2610000}"/>
    <cellStyle name="Normal 3 37 2 2 10 2" xfId="31930" xr:uid="{00000000-0005-0000-0000-0000E3610000}"/>
    <cellStyle name="Normal 3 37 2 2 11" xfId="14433" xr:uid="{00000000-0005-0000-0000-0000E4610000}"/>
    <cellStyle name="Normal 3 37 2 2 11 2" xfId="31931" xr:uid="{00000000-0005-0000-0000-0000E5610000}"/>
    <cellStyle name="Normal 3 37 2 2 12" xfId="14434" xr:uid="{00000000-0005-0000-0000-0000E6610000}"/>
    <cellStyle name="Normal 3 37 2 2 12 2" xfId="31932" xr:uid="{00000000-0005-0000-0000-0000E7610000}"/>
    <cellStyle name="Normal 3 37 2 2 13" xfId="14435" xr:uid="{00000000-0005-0000-0000-0000E8610000}"/>
    <cellStyle name="Normal 3 37 2 2 13 2" xfId="31933" xr:uid="{00000000-0005-0000-0000-0000E9610000}"/>
    <cellStyle name="Normal 3 37 2 2 14" xfId="14436" xr:uid="{00000000-0005-0000-0000-0000EA610000}"/>
    <cellStyle name="Normal 3 37 2 2 14 2" xfId="31934" xr:uid="{00000000-0005-0000-0000-0000EB610000}"/>
    <cellStyle name="Normal 3 37 2 2 15" xfId="31929" xr:uid="{00000000-0005-0000-0000-0000EC610000}"/>
    <cellStyle name="Normal 3 37 2 2 2" xfId="14437" xr:uid="{00000000-0005-0000-0000-0000ED610000}"/>
    <cellStyle name="Normal 3 37 2 2 2 2" xfId="31935" xr:uid="{00000000-0005-0000-0000-0000EE610000}"/>
    <cellStyle name="Normal 3 37 2 2 3" xfId="14438" xr:uid="{00000000-0005-0000-0000-0000EF610000}"/>
    <cellStyle name="Normal 3 37 2 2 3 2" xfId="31936" xr:uid="{00000000-0005-0000-0000-0000F0610000}"/>
    <cellStyle name="Normal 3 37 2 2 4" xfId="14439" xr:uid="{00000000-0005-0000-0000-0000F1610000}"/>
    <cellStyle name="Normal 3 37 2 2 4 2" xfId="31937" xr:uid="{00000000-0005-0000-0000-0000F2610000}"/>
    <cellStyle name="Normal 3 37 2 2 5" xfId="14440" xr:uid="{00000000-0005-0000-0000-0000F3610000}"/>
    <cellStyle name="Normal 3 37 2 2 5 2" xfId="31938" xr:uid="{00000000-0005-0000-0000-0000F4610000}"/>
    <cellStyle name="Normal 3 37 2 2 6" xfId="14441" xr:uid="{00000000-0005-0000-0000-0000F5610000}"/>
    <cellStyle name="Normal 3 37 2 2 6 2" xfId="31939" xr:uid="{00000000-0005-0000-0000-0000F6610000}"/>
    <cellStyle name="Normal 3 37 2 2 7" xfId="14442" xr:uid="{00000000-0005-0000-0000-0000F7610000}"/>
    <cellStyle name="Normal 3 37 2 2 7 2" xfId="31940" xr:uid="{00000000-0005-0000-0000-0000F8610000}"/>
    <cellStyle name="Normal 3 37 2 2 8" xfId="14443" xr:uid="{00000000-0005-0000-0000-0000F9610000}"/>
    <cellStyle name="Normal 3 37 2 2 8 2" xfId="31941" xr:uid="{00000000-0005-0000-0000-0000FA610000}"/>
    <cellStyle name="Normal 3 37 2 2 9" xfId="14444" xr:uid="{00000000-0005-0000-0000-0000FB610000}"/>
    <cellStyle name="Normal 3 37 2 2 9 2" xfId="31942" xr:uid="{00000000-0005-0000-0000-0000FC610000}"/>
    <cellStyle name="Normal 3 37 2 3" xfId="14445" xr:uid="{00000000-0005-0000-0000-0000FD610000}"/>
    <cellStyle name="Normal 3 37 2 3 2" xfId="31943" xr:uid="{00000000-0005-0000-0000-0000FE610000}"/>
    <cellStyle name="Normal 3 37 2 4" xfId="14446" xr:uid="{00000000-0005-0000-0000-0000FF610000}"/>
    <cellStyle name="Normal 3 37 2 4 2" xfId="31944" xr:uid="{00000000-0005-0000-0000-000000620000}"/>
    <cellStyle name="Normal 3 37 2 5" xfId="14447" xr:uid="{00000000-0005-0000-0000-000001620000}"/>
    <cellStyle name="Normal 3 37 2 5 2" xfId="31945" xr:uid="{00000000-0005-0000-0000-000002620000}"/>
    <cellStyle name="Normal 3 37 2 6" xfId="14448" xr:uid="{00000000-0005-0000-0000-000003620000}"/>
    <cellStyle name="Normal 3 37 2 6 2" xfId="31946" xr:uid="{00000000-0005-0000-0000-000004620000}"/>
    <cellStyle name="Normal 3 37 2 7" xfId="14449" xr:uid="{00000000-0005-0000-0000-000005620000}"/>
    <cellStyle name="Normal 3 37 2 7 2" xfId="31947" xr:uid="{00000000-0005-0000-0000-000006620000}"/>
    <cellStyle name="Normal 3 37 2 8" xfId="14450" xr:uid="{00000000-0005-0000-0000-000007620000}"/>
    <cellStyle name="Normal 3 37 2 8 2" xfId="31948" xr:uid="{00000000-0005-0000-0000-000008620000}"/>
    <cellStyle name="Normal 3 37 2 9" xfId="14451" xr:uid="{00000000-0005-0000-0000-000009620000}"/>
    <cellStyle name="Normal 3 37 2 9 2" xfId="31949" xr:uid="{00000000-0005-0000-0000-00000A620000}"/>
    <cellStyle name="Normal 3 37 20" xfId="14452" xr:uid="{00000000-0005-0000-0000-00000B620000}"/>
    <cellStyle name="Normal 3 37 20 2" xfId="31950" xr:uid="{00000000-0005-0000-0000-00000C620000}"/>
    <cellStyle name="Normal 3 37 21" xfId="14453" xr:uid="{00000000-0005-0000-0000-00000D620000}"/>
    <cellStyle name="Normal 3 37 21 2" xfId="31951" xr:uid="{00000000-0005-0000-0000-00000E620000}"/>
    <cellStyle name="Normal 3 37 22" xfId="14454" xr:uid="{00000000-0005-0000-0000-00000F620000}"/>
    <cellStyle name="Normal 3 37 22 2" xfId="31952" xr:uid="{00000000-0005-0000-0000-000010620000}"/>
    <cellStyle name="Normal 3 37 23" xfId="14455" xr:uid="{00000000-0005-0000-0000-000011620000}"/>
    <cellStyle name="Normal 3 37 23 2" xfId="31953" xr:uid="{00000000-0005-0000-0000-000012620000}"/>
    <cellStyle name="Normal 3 37 24" xfId="31898" xr:uid="{00000000-0005-0000-0000-000013620000}"/>
    <cellStyle name="Normal 3 37 3" xfId="14456" xr:uid="{00000000-0005-0000-0000-000014620000}"/>
    <cellStyle name="Normal 3 37 3 10" xfId="14457" xr:uid="{00000000-0005-0000-0000-000015620000}"/>
    <cellStyle name="Normal 3 37 3 10 2" xfId="31955" xr:uid="{00000000-0005-0000-0000-000016620000}"/>
    <cellStyle name="Normal 3 37 3 11" xfId="14458" xr:uid="{00000000-0005-0000-0000-000017620000}"/>
    <cellStyle name="Normal 3 37 3 11 2" xfId="31956" xr:uid="{00000000-0005-0000-0000-000018620000}"/>
    <cellStyle name="Normal 3 37 3 12" xfId="14459" xr:uid="{00000000-0005-0000-0000-000019620000}"/>
    <cellStyle name="Normal 3 37 3 12 2" xfId="31957" xr:uid="{00000000-0005-0000-0000-00001A620000}"/>
    <cellStyle name="Normal 3 37 3 13" xfId="14460" xr:uid="{00000000-0005-0000-0000-00001B620000}"/>
    <cellStyle name="Normal 3 37 3 13 2" xfId="31958" xr:uid="{00000000-0005-0000-0000-00001C620000}"/>
    <cellStyle name="Normal 3 37 3 14" xfId="14461" xr:uid="{00000000-0005-0000-0000-00001D620000}"/>
    <cellStyle name="Normal 3 37 3 14 2" xfId="31959" xr:uid="{00000000-0005-0000-0000-00001E620000}"/>
    <cellStyle name="Normal 3 37 3 15" xfId="14462" xr:uid="{00000000-0005-0000-0000-00001F620000}"/>
    <cellStyle name="Normal 3 37 3 15 2" xfId="31960" xr:uid="{00000000-0005-0000-0000-000020620000}"/>
    <cellStyle name="Normal 3 37 3 16" xfId="31954" xr:uid="{00000000-0005-0000-0000-000021620000}"/>
    <cellStyle name="Normal 3 37 3 2" xfId="14463" xr:uid="{00000000-0005-0000-0000-000022620000}"/>
    <cellStyle name="Normal 3 37 3 2 10" xfId="14464" xr:uid="{00000000-0005-0000-0000-000023620000}"/>
    <cellStyle name="Normal 3 37 3 2 10 2" xfId="31962" xr:uid="{00000000-0005-0000-0000-000024620000}"/>
    <cellStyle name="Normal 3 37 3 2 11" xfId="14465" xr:uid="{00000000-0005-0000-0000-000025620000}"/>
    <cellStyle name="Normal 3 37 3 2 11 2" xfId="31963" xr:uid="{00000000-0005-0000-0000-000026620000}"/>
    <cellStyle name="Normal 3 37 3 2 12" xfId="14466" xr:uid="{00000000-0005-0000-0000-000027620000}"/>
    <cellStyle name="Normal 3 37 3 2 12 2" xfId="31964" xr:uid="{00000000-0005-0000-0000-000028620000}"/>
    <cellStyle name="Normal 3 37 3 2 13" xfId="14467" xr:uid="{00000000-0005-0000-0000-000029620000}"/>
    <cellStyle name="Normal 3 37 3 2 13 2" xfId="31965" xr:uid="{00000000-0005-0000-0000-00002A620000}"/>
    <cellStyle name="Normal 3 37 3 2 14" xfId="14468" xr:uid="{00000000-0005-0000-0000-00002B620000}"/>
    <cellStyle name="Normal 3 37 3 2 14 2" xfId="31966" xr:uid="{00000000-0005-0000-0000-00002C620000}"/>
    <cellStyle name="Normal 3 37 3 2 15" xfId="31961" xr:uid="{00000000-0005-0000-0000-00002D620000}"/>
    <cellStyle name="Normal 3 37 3 2 2" xfId="14469" xr:uid="{00000000-0005-0000-0000-00002E620000}"/>
    <cellStyle name="Normal 3 37 3 2 2 2" xfId="31967" xr:uid="{00000000-0005-0000-0000-00002F620000}"/>
    <cellStyle name="Normal 3 37 3 2 3" xfId="14470" xr:uid="{00000000-0005-0000-0000-000030620000}"/>
    <cellStyle name="Normal 3 37 3 2 3 2" xfId="31968" xr:uid="{00000000-0005-0000-0000-000031620000}"/>
    <cellStyle name="Normal 3 37 3 2 4" xfId="14471" xr:uid="{00000000-0005-0000-0000-000032620000}"/>
    <cellStyle name="Normal 3 37 3 2 4 2" xfId="31969" xr:uid="{00000000-0005-0000-0000-000033620000}"/>
    <cellStyle name="Normal 3 37 3 2 5" xfId="14472" xr:uid="{00000000-0005-0000-0000-000034620000}"/>
    <cellStyle name="Normal 3 37 3 2 5 2" xfId="31970" xr:uid="{00000000-0005-0000-0000-000035620000}"/>
    <cellStyle name="Normal 3 37 3 2 6" xfId="14473" xr:uid="{00000000-0005-0000-0000-000036620000}"/>
    <cellStyle name="Normal 3 37 3 2 6 2" xfId="31971" xr:uid="{00000000-0005-0000-0000-000037620000}"/>
    <cellStyle name="Normal 3 37 3 2 7" xfId="14474" xr:uid="{00000000-0005-0000-0000-000038620000}"/>
    <cellStyle name="Normal 3 37 3 2 7 2" xfId="31972" xr:uid="{00000000-0005-0000-0000-000039620000}"/>
    <cellStyle name="Normal 3 37 3 2 8" xfId="14475" xr:uid="{00000000-0005-0000-0000-00003A620000}"/>
    <cellStyle name="Normal 3 37 3 2 8 2" xfId="31973" xr:uid="{00000000-0005-0000-0000-00003B620000}"/>
    <cellStyle name="Normal 3 37 3 2 9" xfId="14476" xr:uid="{00000000-0005-0000-0000-00003C620000}"/>
    <cellStyle name="Normal 3 37 3 2 9 2" xfId="31974" xr:uid="{00000000-0005-0000-0000-00003D620000}"/>
    <cellStyle name="Normal 3 37 3 3" xfId="14477" xr:uid="{00000000-0005-0000-0000-00003E620000}"/>
    <cellStyle name="Normal 3 37 3 3 2" xfId="31975" xr:uid="{00000000-0005-0000-0000-00003F620000}"/>
    <cellStyle name="Normal 3 37 3 4" xfId="14478" xr:uid="{00000000-0005-0000-0000-000040620000}"/>
    <cellStyle name="Normal 3 37 3 4 2" xfId="31976" xr:uid="{00000000-0005-0000-0000-000041620000}"/>
    <cellStyle name="Normal 3 37 3 5" xfId="14479" xr:uid="{00000000-0005-0000-0000-000042620000}"/>
    <cellStyle name="Normal 3 37 3 5 2" xfId="31977" xr:uid="{00000000-0005-0000-0000-000043620000}"/>
    <cellStyle name="Normal 3 37 3 6" xfId="14480" xr:uid="{00000000-0005-0000-0000-000044620000}"/>
    <cellStyle name="Normal 3 37 3 6 2" xfId="31978" xr:uid="{00000000-0005-0000-0000-000045620000}"/>
    <cellStyle name="Normal 3 37 3 7" xfId="14481" xr:uid="{00000000-0005-0000-0000-000046620000}"/>
    <cellStyle name="Normal 3 37 3 7 2" xfId="31979" xr:uid="{00000000-0005-0000-0000-000047620000}"/>
    <cellStyle name="Normal 3 37 3 8" xfId="14482" xr:uid="{00000000-0005-0000-0000-000048620000}"/>
    <cellStyle name="Normal 3 37 3 8 2" xfId="31980" xr:uid="{00000000-0005-0000-0000-000049620000}"/>
    <cellStyle name="Normal 3 37 3 9" xfId="14483" xr:uid="{00000000-0005-0000-0000-00004A620000}"/>
    <cellStyle name="Normal 3 37 3 9 2" xfId="31981" xr:uid="{00000000-0005-0000-0000-00004B620000}"/>
    <cellStyle name="Normal 3 37 4" xfId="14484" xr:uid="{00000000-0005-0000-0000-00004C620000}"/>
    <cellStyle name="Normal 3 37 4 10" xfId="14485" xr:uid="{00000000-0005-0000-0000-00004D620000}"/>
    <cellStyle name="Normal 3 37 4 10 2" xfId="31983" xr:uid="{00000000-0005-0000-0000-00004E620000}"/>
    <cellStyle name="Normal 3 37 4 11" xfId="14486" xr:uid="{00000000-0005-0000-0000-00004F620000}"/>
    <cellStyle name="Normal 3 37 4 11 2" xfId="31984" xr:uid="{00000000-0005-0000-0000-000050620000}"/>
    <cellStyle name="Normal 3 37 4 12" xfId="14487" xr:uid="{00000000-0005-0000-0000-000051620000}"/>
    <cellStyle name="Normal 3 37 4 12 2" xfId="31985" xr:uid="{00000000-0005-0000-0000-000052620000}"/>
    <cellStyle name="Normal 3 37 4 13" xfId="14488" xr:uid="{00000000-0005-0000-0000-000053620000}"/>
    <cellStyle name="Normal 3 37 4 13 2" xfId="31986" xr:uid="{00000000-0005-0000-0000-000054620000}"/>
    <cellStyle name="Normal 3 37 4 14" xfId="14489" xr:uid="{00000000-0005-0000-0000-000055620000}"/>
    <cellStyle name="Normal 3 37 4 14 2" xfId="31987" xr:uid="{00000000-0005-0000-0000-000056620000}"/>
    <cellStyle name="Normal 3 37 4 15" xfId="14490" xr:uid="{00000000-0005-0000-0000-000057620000}"/>
    <cellStyle name="Normal 3 37 4 15 2" xfId="31988" xr:uid="{00000000-0005-0000-0000-000058620000}"/>
    <cellStyle name="Normal 3 37 4 16" xfId="31982" xr:uid="{00000000-0005-0000-0000-000059620000}"/>
    <cellStyle name="Normal 3 37 4 2" xfId="14491" xr:uid="{00000000-0005-0000-0000-00005A620000}"/>
    <cellStyle name="Normal 3 37 4 2 10" xfId="14492" xr:uid="{00000000-0005-0000-0000-00005B620000}"/>
    <cellStyle name="Normal 3 37 4 2 10 2" xfId="31990" xr:uid="{00000000-0005-0000-0000-00005C620000}"/>
    <cellStyle name="Normal 3 37 4 2 11" xfId="14493" xr:uid="{00000000-0005-0000-0000-00005D620000}"/>
    <cellStyle name="Normal 3 37 4 2 11 2" xfId="31991" xr:uid="{00000000-0005-0000-0000-00005E620000}"/>
    <cellStyle name="Normal 3 37 4 2 12" xfId="14494" xr:uid="{00000000-0005-0000-0000-00005F620000}"/>
    <cellStyle name="Normal 3 37 4 2 12 2" xfId="31992" xr:uid="{00000000-0005-0000-0000-000060620000}"/>
    <cellStyle name="Normal 3 37 4 2 13" xfId="14495" xr:uid="{00000000-0005-0000-0000-000061620000}"/>
    <cellStyle name="Normal 3 37 4 2 13 2" xfId="31993" xr:uid="{00000000-0005-0000-0000-000062620000}"/>
    <cellStyle name="Normal 3 37 4 2 14" xfId="14496" xr:uid="{00000000-0005-0000-0000-000063620000}"/>
    <cellStyle name="Normal 3 37 4 2 14 2" xfId="31994" xr:uid="{00000000-0005-0000-0000-000064620000}"/>
    <cellStyle name="Normal 3 37 4 2 15" xfId="31989" xr:uid="{00000000-0005-0000-0000-000065620000}"/>
    <cellStyle name="Normal 3 37 4 2 2" xfId="14497" xr:uid="{00000000-0005-0000-0000-000066620000}"/>
    <cellStyle name="Normal 3 37 4 2 2 2" xfId="31995" xr:uid="{00000000-0005-0000-0000-000067620000}"/>
    <cellStyle name="Normal 3 37 4 2 3" xfId="14498" xr:uid="{00000000-0005-0000-0000-000068620000}"/>
    <cellStyle name="Normal 3 37 4 2 3 2" xfId="31996" xr:uid="{00000000-0005-0000-0000-000069620000}"/>
    <cellStyle name="Normal 3 37 4 2 4" xfId="14499" xr:uid="{00000000-0005-0000-0000-00006A620000}"/>
    <cellStyle name="Normal 3 37 4 2 4 2" xfId="31997" xr:uid="{00000000-0005-0000-0000-00006B620000}"/>
    <cellStyle name="Normal 3 37 4 2 5" xfId="14500" xr:uid="{00000000-0005-0000-0000-00006C620000}"/>
    <cellStyle name="Normal 3 37 4 2 5 2" xfId="31998" xr:uid="{00000000-0005-0000-0000-00006D620000}"/>
    <cellStyle name="Normal 3 37 4 2 6" xfId="14501" xr:uid="{00000000-0005-0000-0000-00006E620000}"/>
    <cellStyle name="Normal 3 37 4 2 6 2" xfId="31999" xr:uid="{00000000-0005-0000-0000-00006F620000}"/>
    <cellStyle name="Normal 3 37 4 2 7" xfId="14502" xr:uid="{00000000-0005-0000-0000-000070620000}"/>
    <cellStyle name="Normal 3 37 4 2 7 2" xfId="32000" xr:uid="{00000000-0005-0000-0000-000071620000}"/>
    <cellStyle name="Normal 3 37 4 2 8" xfId="14503" xr:uid="{00000000-0005-0000-0000-000072620000}"/>
    <cellStyle name="Normal 3 37 4 2 8 2" xfId="32001" xr:uid="{00000000-0005-0000-0000-000073620000}"/>
    <cellStyle name="Normal 3 37 4 2 9" xfId="14504" xr:uid="{00000000-0005-0000-0000-000074620000}"/>
    <cellStyle name="Normal 3 37 4 2 9 2" xfId="32002" xr:uid="{00000000-0005-0000-0000-000075620000}"/>
    <cellStyle name="Normal 3 37 4 3" xfId="14505" xr:uid="{00000000-0005-0000-0000-000076620000}"/>
    <cellStyle name="Normal 3 37 4 3 2" xfId="32003" xr:uid="{00000000-0005-0000-0000-000077620000}"/>
    <cellStyle name="Normal 3 37 4 4" xfId="14506" xr:uid="{00000000-0005-0000-0000-000078620000}"/>
    <cellStyle name="Normal 3 37 4 4 2" xfId="32004" xr:uid="{00000000-0005-0000-0000-000079620000}"/>
    <cellStyle name="Normal 3 37 4 5" xfId="14507" xr:uid="{00000000-0005-0000-0000-00007A620000}"/>
    <cellStyle name="Normal 3 37 4 5 2" xfId="32005" xr:uid="{00000000-0005-0000-0000-00007B620000}"/>
    <cellStyle name="Normal 3 37 4 6" xfId="14508" xr:uid="{00000000-0005-0000-0000-00007C620000}"/>
    <cellStyle name="Normal 3 37 4 6 2" xfId="32006" xr:uid="{00000000-0005-0000-0000-00007D620000}"/>
    <cellStyle name="Normal 3 37 4 7" xfId="14509" xr:uid="{00000000-0005-0000-0000-00007E620000}"/>
    <cellStyle name="Normal 3 37 4 7 2" xfId="32007" xr:uid="{00000000-0005-0000-0000-00007F620000}"/>
    <cellStyle name="Normal 3 37 4 8" xfId="14510" xr:uid="{00000000-0005-0000-0000-000080620000}"/>
    <cellStyle name="Normal 3 37 4 8 2" xfId="32008" xr:uid="{00000000-0005-0000-0000-000081620000}"/>
    <cellStyle name="Normal 3 37 4 9" xfId="14511" xr:uid="{00000000-0005-0000-0000-000082620000}"/>
    <cellStyle name="Normal 3 37 4 9 2" xfId="32009" xr:uid="{00000000-0005-0000-0000-000083620000}"/>
    <cellStyle name="Normal 3 37 5" xfId="14512" xr:uid="{00000000-0005-0000-0000-000084620000}"/>
    <cellStyle name="Normal 3 37 5 10" xfId="14513" xr:uid="{00000000-0005-0000-0000-000085620000}"/>
    <cellStyle name="Normal 3 37 5 10 2" xfId="32011" xr:uid="{00000000-0005-0000-0000-000086620000}"/>
    <cellStyle name="Normal 3 37 5 11" xfId="14514" xr:uid="{00000000-0005-0000-0000-000087620000}"/>
    <cellStyle name="Normal 3 37 5 11 2" xfId="32012" xr:uid="{00000000-0005-0000-0000-000088620000}"/>
    <cellStyle name="Normal 3 37 5 12" xfId="14515" xr:uid="{00000000-0005-0000-0000-000089620000}"/>
    <cellStyle name="Normal 3 37 5 12 2" xfId="32013" xr:uid="{00000000-0005-0000-0000-00008A620000}"/>
    <cellStyle name="Normal 3 37 5 13" xfId="14516" xr:uid="{00000000-0005-0000-0000-00008B620000}"/>
    <cellStyle name="Normal 3 37 5 13 2" xfId="32014" xr:uid="{00000000-0005-0000-0000-00008C620000}"/>
    <cellStyle name="Normal 3 37 5 14" xfId="14517" xr:uid="{00000000-0005-0000-0000-00008D620000}"/>
    <cellStyle name="Normal 3 37 5 14 2" xfId="32015" xr:uid="{00000000-0005-0000-0000-00008E620000}"/>
    <cellStyle name="Normal 3 37 5 15" xfId="32010" xr:uid="{00000000-0005-0000-0000-00008F620000}"/>
    <cellStyle name="Normal 3 37 5 2" xfId="14518" xr:uid="{00000000-0005-0000-0000-000090620000}"/>
    <cellStyle name="Normal 3 37 5 2 2" xfId="32016" xr:uid="{00000000-0005-0000-0000-000091620000}"/>
    <cellStyle name="Normal 3 37 5 3" xfId="14519" xr:uid="{00000000-0005-0000-0000-000092620000}"/>
    <cellStyle name="Normal 3 37 5 3 2" xfId="32017" xr:uid="{00000000-0005-0000-0000-000093620000}"/>
    <cellStyle name="Normal 3 37 5 4" xfId="14520" xr:uid="{00000000-0005-0000-0000-000094620000}"/>
    <cellStyle name="Normal 3 37 5 4 2" xfId="32018" xr:uid="{00000000-0005-0000-0000-000095620000}"/>
    <cellStyle name="Normal 3 37 5 5" xfId="14521" xr:uid="{00000000-0005-0000-0000-000096620000}"/>
    <cellStyle name="Normal 3 37 5 5 2" xfId="32019" xr:uid="{00000000-0005-0000-0000-000097620000}"/>
    <cellStyle name="Normal 3 37 5 6" xfId="14522" xr:uid="{00000000-0005-0000-0000-000098620000}"/>
    <cellStyle name="Normal 3 37 5 6 2" xfId="32020" xr:uid="{00000000-0005-0000-0000-000099620000}"/>
    <cellStyle name="Normal 3 37 5 7" xfId="14523" xr:uid="{00000000-0005-0000-0000-00009A620000}"/>
    <cellStyle name="Normal 3 37 5 7 2" xfId="32021" xr:uid="{00000000-0005-0000-0000-00009B620000}"/>
    <cellStyle name="Normal 3 37 5 8" xfId="14524" xr:uid="{00000000-0005-0000-0000-00009C620000}"/>
    <cellStyle name="Normal 3 37 5 8 2" xfId="32022" xr:uid="{00000000-0005-0000-0000-00009D620000}"/>
    <cellStyle name="Normal 3 37 5 9" xfId="14525" xr:uid="{00000000-0005-0000-0000-00009E620000}"/>
    <cellStyle name="Normal 3 37 5 9 2" xfId="32023" xr:uid="{00000000-0005-0000-0000-00009F620000}"/>
    <cellStyle name="Normal 3 37 6" xfId="14526" xr:uid="{00000000-0005-0000-0000-0000A0620000}"/>
    <cellStyle name="Normal 3 37 6 10" xfId="14527" xr:uid="{00000000-0005-0000-0000-0000A1620000}"/>
    <cellStyle name="Normal 3 37 6 10 2" xfId="32025" xr:uid="{00000000-0005-0000-0000-0000A2620000}"/>
    <cellStyle name="Normal 3 37 6 11" xfId="14528" xr:uid="{00000000-0005-0000-0000-0000A3620000}"/>
    <cellStyle name="Normal 3 37 6 11 2" xfId="32026" xr:uid="{00000000-0005-0000-0000-0000A4620000}"/>
    <cellStyle name="Normal 3 37 6 12" xfId="14529" xr:uid="{00000000-0005-0000-0000-0000A5620000}"/>
    <cellStyle name="Normal 3 37 6 12 2" xfId="32027" xr:uid="{00000000-0005-0000-0000-0000A6620000}"/>
    <cellStyle name="Normal 3 37 6 13" xfId="14530" xr:uid="{00000000-0005-0000-0000-0000A7620000}"/>
    <cellStyle name="Normal 3 37 6 13 2" xfId="32028" xr:uid="{00000000-0005-0000-0000-0000A8620000}"/>
    <cellStyle name="Normal 3 37 6 14" xfId="14531" xr:uid="{00000000-0005-0000-0000-0000A9620000}"/>
    <cellStyle name="Normal 3 37 6 14 2" xfId="32029" xr:uid="{00000000-0005-0000-0000-0000AA620000}"/>
    <cellStyle name="Normal 3 37 6 15" xfId="32024" xr:uid="{00000000-0005-0000-0000-0000AB620000}"/>
    <cellStyle name="Normal 3 37 6 2" xfId="14532" xr:uid="{00000000-0005-0000-0000-0000AC620000}"/>
    <cellStyle name="Normal 3 37 6 2 2" xfId="32030" xr:uid="{00000000-0005-0000-0000-0000AD620000}"/>
    <cellStyle name="Normal 3 37 6 3" xfId="14533" xr:uid="{00000000-0005-0000-0000-0000AE620000}"/>
    <cellStyle name="Normal 3 37 6 3 2" xfId="32031" xr:uid="{00000000-0005-0000-0000-0000AF620000}"/>
    <cellStyle name="Normal 3 37 6 4" xfId="14534" xr:uid="{00000000-0005-0000-0000-0000B0620000}"/>
    <cellStyle name="Normal 3 37 6 4 2" xfId="32032" xr:uid="{00000000-0005-0000-0000-0000B1620000}"/>
    <cellStyle name="Normal 3 37 6 5" xfId="14535" xr:uid="{00000000-0005-0000-0000-0000B2620000}"/>
    <cellStyle name="Normal 3 37 6 5 2" xfId="32033" xr:uid="{00000000-0005-0000-0000-0000B3620000}"/>
    <cellStyle name="Normal 3 37 6 6" xfId="14536" xr:uid="{00000000-0005-0000-0000-0000B4620000}"/>
    <cellStyle name="Normal 3 37 6 6 2" xfId="32034" xr:uid="{00000000-0005-0000-0000-0000B5620000}"/>
    <cellStyle name="Normal 3 37 6 7" xfId="14537" xr:uid="{00000000-0005-0000-0000-0000B6620000}"/>
    <cellStyle name="Normal 3 37 6 7 2" xfId="32035" xr:uid="{00000000-0005-0000-0000-0000B7620000}"/>
    <cellStyle name="Normal 3 37 6 8" xfId="14538" xr:uid="{00000000-0005-0000-0000-0000B8620000}"/>
    <cellStyle name="Normal 3 37 6 8 2" xfId="32036" xr:uid="{00000000-0005-0000-0000-0000B9620000}"/>
    <cellStyle name="Normal 3 37 6 9" xfId="14539" xr:uid="{00000000-0005-0000-0000-0000BA620000}"/>
    <cellStyle name="Normal 3 37 6 9 2" xfId="32037" xr:uid="{00000000-0005-0000-0000-0000BB620000}"/>
    <cellStyle name="Normal 3 37 7" xfId="14540" xr:uid="{00000000-0005-0000-0000-0000BC620000}"/>
    <cellStyle name="Normal 3 37 7 10" xfId="14541" xr:uid="{00000000-0005-0000-0000-0000BD620000}"/>
    <cellStyle name="Normal 3 37 7 10 2" xfId="32039" xr:uid="{00000000-0005-0000-0000-0000BE620000}"/>
    <cellStyle name="Normal 3 37 7 11" xfId="14542" xr:uid="{00000000-0005-0000-0000-0000BF620000}"/>
    <cellStyle name="Normal 3 37 7 11 2" xfId="32040" xr:uid="{00000000-0005-0000-0000-0000C0620000}"/>
    <cellStyle name="Normal 3 37 7 12" xfId="14543" xr:uid="{00000000-0005-0000-0000-0000C1620000}"/>
    <cellStyle name="Normal 3 37 7 12 2" xfId="32041" xr:uid="{00000000-0005-0000-0000-0000C2620000}"/>
    <cellStyle name="Normal 3 37 7 13" xfId="14544" xr:uid="{00000000-0005-0000-0000-0000C3620000}"/>
    <cellStyle name="Normal 3 37 7 13 2" xfId="32042" xr:uid="{00000000-0005-0000-0000-0000C4620000}"/>
    <cellStyle name="Normal 3 37 7 14" xfId="14545" xr:uid="{00000000-0005-0000-0000-0000C5620000}"/>
    <cellStyle name="Normal 3 37 7 14 2" xfId="32043" xr:uid="{00000000-0005-0000-0000-0000C6620000}"/>
    <cellStyle name="Normal 3 37 7 15" xfId="32038" xr:uid="{00000000-0005-0000-0000-0000C7620000}"/>
    <cellStyle name="Normal 3 37 7 2" xfId="14546" xr:uid="{00000000-0005-0000-0000-0000C8620000}"/>
    <cellStyle name="Normal 3 37 7 2 2" xfId="32044" xr:uid="{00000000-0005-0000-0000-0000C9620000}"/>
    <cellStyle name="Normal 3 37 7 3" xfId="14547" xr:uid="{00000000-0005-0000-0000-0000CA620000}"/>
    <cellStyle name="Normal 3 37 7 3 2" xfId="32045" xr:uid="{00000000-0005-0000-0000-0000CB620000}"/>
    <cellStyle name="Normal 3 37 7 4" xfId="14548" xr:uid="{00000000-0005-0000-0000-0000CC620000}"/>
    <cellStyle name="Normal 3 37 7 4 2" xfId="32046" xr:uid="{00000000-0005-0000-0000-0000CD620000}"/>
    <cellStyle name="Normal 3 37 7 5" xfId="14549" xr:uid="{00000000-0005-0000-0000-0000CE620000}"/>
    <cellStyle name="Normal 3 37 7 5 2" xfId="32047" xr:uid="{00000000-0005-0000-0000-0000CF620000}"/>
    <cellStyle name="Normal 3 37 7 6" xfId="14550" xr:uid="{00000000-0005-0000-0000-0000D0620000}"/>
    <cellStyle name="Normal 3 37 7 6 2" xfId="32048" xr:uid="{00000000-0005-0000-0000-0000D1620000}"/>
    <cellStyle name="Normal 3 37 7 7" xfId="14551" xr:uid="{00000000-0005-0000-0000-0000D2620000}"/>
    <cellStyle name="Normal 3 37 7 7 2" xfId="32049" xr:uid="{00000000-0005-0000-0000-0000D3620000}"/>
    <cellStyle name="Normal 3 37 7 8" xfId="14552" xr:uid="{00000000-0005-0000-0000-0000D4620000}"/>
    <cellStyle name="Normal 3 37 7 8 2" xfId="32050" xr:uid="{00000000-0005-0000-0000-0000D5620000}"/>
    <cellStyle name="Normal 3 37 7 9" xfId="14553" xr:uid="{00000000-0005-0000-0000-0000D6620000}"/>
    <cellStyle name="Normal 3 37 7 9 2" xfId="32051" xr:uid="{00000000-0005-0000-0000-0000D7620000}"/>
    <cellStyle name="Normal 3 37 8" xfId="14554" xr:uid="{00000000-0005-0000-0000-0000D8620000}"/>
    <cellStyle name="Normal 3 37 8 10" xfId="14555" xr:uid="{00000000-0005-0000-0000-0000D9620000}"/>
    <cellStyle name="Normal 3 37 8 10 2" xfId="32053" xr:uid="{00000000-0005-0000-0000-0000DA620000}"/>
    <cellStyle name="Normal 3 37 8 11" xfId="14556" xr:uid="{00000000-0005-0000-0000-0000DB620000}"/>
    <cellStyle name="Normal 3 37 8 11 2" xfId="32054" xr:uid="{00000000-0005-0000-0000-0000DC620000}"/>
    <cellStyle name="Normal 3 37 8 12" xfId="14557" xr:uid="{00000000-0005-0000-0000-0000DD620000}"/>
    <cellStyle name="Normal 3 37 8 12 2" xfId="32055" xr:uid="{00000000-0005-0000-0000-0000DE620000}"/>
    <cellStyle name="Normal 3 37 8 13" xfId="14558" xr:uid="{00000000-0005-0000-0000-0000DF620000}"/>
    <cellStyle name="Normal 3 37 8 13 2" xfId="32056" xr:uid="{00000000-0005-0000-0000-0000E0620000}"/>
    <cellStyle name="Normal 3 37 8 14" xfId="14559" xr:uid="{00000000-0005-0000-0000-0000E1620000}"/>
    <cellStyle name="Normal 3 37 8 14 2" xfId="32057" xr:uid="{00000000-0005-0000-0000-0000E2620000}"/>
    <cellStyle name="Normal 3 37 8 15" xfId="32052" xr:uid="{00000000-0005-0000-0000-0000E3620000}"/>
    <cellStyle name="Normal 3 37 8 2" xfId="14560" xr:uid="{00000000-0005-0000-0000-0000E4620000}"/>
    <cellStyle name="Normal 3 37 8 2 2" xfId="32058" xr:uid="{00000000-0005-0000-0000-0000E5620000}"/>
    <cellStyle name="Normal 3 37 8 3" xfId="14561" xr:uid="{00000000-0005-0000-0000-0000E6620000}"/>
    <cellStyle name="Normal 3 37 8 3 2" xfId="32059" xr:uid="{00000000-0005-0000-0000-0000E7620000}"/>
    <cellStyle name="Normal 3 37 8 4" xfId="14562" xr:uid="{00000000-0005-0000-0000-0000E8620000}"/>
    <cellStyle name="Normal 3 37 8 4 2" xfId="32060" xr:uid="{00000000-0005-0000-0000-0000E9620000}"/>
    <cellStyle name="Normal 3 37 8 5" xfId="14563" xr:uid="{00000000-0005-0000-0000-0000EA620000}"/>
    <cellStyle name="Normal 3 37 8 5 2" xfId="32061" xr:uid="{00000000-0005-0000-0000-0000EB620000}"/>
    <cellStyle name="Normal 3 37 8 6" xfId="14564" xr:uid="{00000000-0005-0000-0000-0000EC620000}"/>
    <cellStyle name="Normal 3 37 8 6 2" xfId="32062" xr:uid="{00000000-0005-0000-0000-0000ED620000}"/>
    <cellStyle name="Normal 3 37 8 7" xfId="14565" xr:uid="{00000000-0005-0000-0000-0000EE620000}"/>
    <cellStyle name="Normal 3 37 8 7 2" xfId="32063" xr:uid="{00000000-0005-0000-0000-0000EF620000}"/>
    <cellStyle name="Normal 3 37 8 8" xfId="14566" xr:uid="{00000000-0005-0000-0000-0000F0620000}"/>
    <cellStyle name="Normal 3 37 8 8 2" xfId="32064" xr:uid="{00000000-0005-0000-0000-0000F1620000}"/>
    <cellStyle name="Normal 3 37 8 9" xfId="14567" xr:uid="{00000000-0005-0000-0000-0000F2620000}"/>
    <cellStyle name="Normal 3 37 8 9 2" xfId="32065" xr:uid="{00000000-0005-0000-0000-0000F3620000}"/>
    <cellStyle name="Normal 3 37 9" xfId="14568" xr:uid="{00000000-0005-0000-0000-0000F4620000}"/>
    <cellStyle name="Normal 3 37 9 10" xfId="14569" xr:uid="{00000000-0005-0000-0000-0000F5620000}"/>
    <cellStyle name="Normal 3 37 9 10 2" xfId="32067" xr:uid="{00000000-0005-0000-0000-0000F6620000}"/>
    <cellStyle name="Normal 3 37 9 11" xfId="14570" xr:uid="{00000000-0005-0000-0000-0000F7620000}"/>
    <cellStyle name="Normal 3 37 9 11 2" xfId="32068" xr:uid="{00000000-0005-0000-0000-0000F8620000}"/>
    <cellStyle name="Normal 3 37 9 12" xfId="14571" xr:uid="{00000000-0005-0000-0000-0000F9620000}"/>
    <cellStyle name="Normal 3 37 9 12 2" xfId="32069" xr:uid="{00000000-0005-0000-0000-0000FA620000}"/>
    <cellStyle name="Normal 3 37 9 13" xfId="14572" xr:uid="{00000000-0005-0000-0000-0000FB620000}"/>
    <cellStyle name="Normal 3 37 9 13 2" xfId="32070" xr:uid="{00000000-0005-0000-0000-0000FC620000}"/>
    <cellStyle name="Normal 3 37 9 14" xfId="14573" xr:uid="{00000000-0005-0000-0000-0000FD620000}"/>
    <cellStyle name="Normal 3 37 9 14 2" xfId="32071" xr:uid="{00000000-0005-0000-0000-0000FE620000}"/>
    <cellStyle name="Normal 3 37 9 15" xfId="32066" xr:uid="{00000000-0005-0000-0000-0000FF620000}"/>
    <cellStyle name="Normal 3 37 9 2" xfId="14574" xr:uid="{00000000-0005-0000-0000-000000630000}"/>
    <cellStyle name="Normal 3 37 9 2 2" xfId="32072" xr:uid="{00000000-0005-0000-0000-000001630000}"/>
    <cellStyle name="Normal 3 37 9 3" xfId="14575" xr:uid="{00000000-0005-0000-0000-000002630000}"/>
    <cellStyle name="Normal 3 37 9 3 2" xfId="32073" xr:uid="{00000000-0005-0000-0000-000003630000}"/>
    <cellStyle name="Normal 3 37 9 4" xfId="14576" xr:uid="{00000000-0005-0000-0000-000004630000}"/>
    <cellStyle name="Normal 3 37 9 4 2" xfId="32074" xr:uid="{00000000-0005-0000-0000-000005630000}"/>
    <cellStyle name="Normal 3 37 9 5" xfId="14577" xr:uid="{00000000-0005-0000-0000-000006630000}"/>
    <cellStyle name="Normal 3 37 9 5 2" xfId="32075" xr:uid="{00000000-0005-0000-0000-000007630000}"/>
    <cellStyle name="Normal 3 37 9 6" xfId="14578" xr:uid="{00000000-0005-0000-0000-000008630000}"/>
    <cellStyle name="Normal 3 37 9 6 2" xfId="32076" xr:uid="{00000000-0005-0000-0000-000009630000}"/>
    <cellStyle name="Normal 3 37 9 7" xfId="14579" xr:uid="{00000000-0005-0000-0000-00000A630000}"/>
    <cellStyle name="Normal 3 37 9 7 2" xfId="32077" xr:uid="{00000000-0005-0000-0000-00000B630000}"/>
    <cellStyle name="Normal 3 37 9 8" xfId="14580" xr:uid="{00000000-0005-0000-0000-00000C630000}"/>
    <cellStyle name="Normal 3 37 9 8 2" xfId="32078" xr:uid="{00000000-0005-0000-0000-00000D630000}"/>
    <cellStyle name="Normal 3 37 9 9" xfId="14581" xr:uid="{00000000-0005-0000-0000-00000E630000}"/>
    <cellStyle name="Normal 3 37 9 9 2" xfId="32079" xr:uid="{00000000-0005-0000-0000-00000F630000}"/>
    <cellStyle name="Normal 3 38" xfId="14582" xr:uid="{00000000-0005-0000-0000-000010630000}"/>
    <cellStyle name="Normal 3 38 10" xfId="14583" xr:uid="{00000000-0005-0000-0000-000011630000}"/>
    <cellStyle name="Normal 3 38 10 10" xfId="14584" xr:uid="{00000000-0005-0000-0000-000012630000}"/>
    <cellStyle name="Normal 3 38 10 10 2" xfId="32082" xr:uid="{00000000-0005-0000-0000-000013630000}"/>
    <cellStyle name="Normal 3 38 10 11" xfId="14585" xr:uid="{00000000-0005-0000-0000-000014630000}"/>
    <cellStyle name="Normal 3 38 10 11 2" xfId="32083" xr:uid="{00000000-0005-0000-0000-000015630000}"/>
    <cellStyle name="Normal 3 38 10 12" xfId="14586" xr:uid="{00000000-0005-0000-0000-000016630000}"/>
    <cellStyle name="Normal 3 38 10 12 2" xfId="32084" xr:uid="{00000000-0005-0000-0000-000017630000}"/>
    <cellStyle name="Normal 3 38 10 13" xfId="14587" xr:uid="{00000000-0005-0000-0000-000018630000}"/>
    <cellStyle name="Normal 3 38 10 13 2" xfId="32085" xr:uid="{00000000-0005-0000-0000-000019630000}"/>
    <cellStyle name="Normal 3 38 10 14" xfId="14588" xr:uid="{00000000-0005-0000-0000-00001A630000}"/>
    <cellStyle name="Normal 3 38 10 14 2" xfId="32086" xr:uid="{00000000-0005-0000-0000-00001B630000}"/>
    <cellStyle name="Normal 3 38 10 15" xfId="32081" xr:uid="{00000000-0005-0000-0000-00001C630000}"/>
    <cellStyle name="Normal 3 38 10 2" xfId="14589" xr:uid="{00000000-0005-0000-0000-00001D630000}"/>
    <cellStyle name="Normal 3 38 10 2 2" xfId="32087" xr:uid="{00000000-0005-0000-0000-00001E630000}"/>
    <cellStyle name="Normal 3 38 10 3" xfId="14590" xr:uid="{00000000-0005-0000-0000-00001F630000}"/>
    <cellStyle name="Normal 3 38 10 3 2" xfId="32088" xr:uid="{00000000-0005-0000-0000-000020630000}"/>
    <cellStyle name="Normal 3 38 10 4" xfId="14591" xr:uid="{00000000-0005-0000-0000-000021630000}"/>
    <cellStyle name="Normal 3 38 10 4 2" xfId="32089" xr:uid="{00000000-0005-0000-0000-000022630000}"/>
    <cellStyle name="Normal 3 38 10 5" xfId="14592" xr:uid="{00000000-0005-0000-0000-000023630000}"/>
    <cellStyle name="Normal 3 38 10 5 2" xfId="32090" xr:uid="{00000000-0005-0000-0000-000024630000}"/>
    <cellStyle name="Normal 3 38 10 6" xfId="14593" xr:uid="{00000000-0005-0000-0000-000025630000}"/>
    <cellStyle name="Normal 3 38 10 6 2" xfId="32091" xr:uid="{00000000-0005-0000-0000-000026630000}"/>
    <cellStyle name="Normal 3 38 10 7" xfId="14594" xr:uid="{00000000-0005-0000-0000-000027630000}"/>
    <cellStyle name="Normal 3 38 10 7 2" xfId="32092" xr:uid="{00000000-0005-0000-0000-000028630000}"/>
    <cellStyle name="Normal 3 38 10 8" xfId="14595" xr:uid="{00000000-0005-0000-0000-000029630000}"/>
    <cellStyle name="Normal 3 38 10 8 2" xfId="32093" xr:uid="{00000000-0005-0000-0000-00002A630000}"/>
    <cellStyle name="Normal 3 38 10 9" xfId="14596" xr:uid="{00000000-0005-0000-0000-00002B630000}"/>
    <cellStyle name="Normal 3 38 10 9 2" xfId="32094" xr:uid="{00000000-0005-0000-0000-00002C630000}"/>
    <cellStyle name="Normal 3 38 11" xfId="14597" xr:uid="{00000000-0005-0000-0000-00002D630000}"/>
    <cellStyle name="Normal 3 38 11 2" xfId="32095" xr:uid="{00000000-0005-0000-0000-00002E630000}"/>
    <cellStyle name="Normal 3 38 12" xfId="14598" xr:uid="{00000000-0005-0000-0000-00002F630000}"/>
    <cellStyle name="Normal 3 38 12 2" xfId="32096" xr:uid="{00000000-0005-0000-0000-000030630000}"/>
    <cellStyle name="Normal 3 38 13" xfId="14599" xr:uid="{00000000-0005-0000-0000-000031630000}"/>
    <cellStyle name="Normal 3 38 13 2" xfId="32097" xr:uid="{00000000-0005-0000-0000-000032630000}"/>
    <cellStyle name="Normal 3 38 14" xfId="14600" xr:uid="{00000000-0005-0000-0000-000033630000}"/>
    <cellStyle name="Normal 3 38 14 2" xfId="32098" xr:uid="{00000000-0005-0000-0000-000034630000}"/>
    <cellStyle name="Normal 3 38 15" xfId="14601" xr:uid="{00000000-0005-0000-0000-000035630000}"/>
    <cellStyle name="Normal 3 38 15 2" xfId="32099" xr:uid="{00000000-0005-0000-0000-000036630000}"/>
    <cellStyle name="Normal 3 38 16" xfId="14602" xr:uid="{00000000-0005-0000-0000-000037630000}"/>
    <cellStyle name="Normal 3 38 16 2" xfId="32100" xr:uid="{00000000-0005-0000-0000-000038630000}"/>
    <cellStyle name="Normal 3 38 17" xfId="14603" xr:uid="{00000000-0005-0000-0000-000039630000}"/>
    <cellStyle name="Normal 3 38 17 2" xfId="32101" xr:uid="{00000000-0005-0000-0000-00003A630000}"/>
    <cellStyle name="Normal 3 38 18" xfId="14604" xr:uid="{00000000-0005-0000-0000-00003B630000}"/>
    <cellStyle name="Normal 3 38 18 2" xfId="32102" xr:uid="{00000000-0005-0000-0000-00003C630000}"/>
    <cellStyle name="Normal 3 38 19" xfId="14605" xr:uid="{00000000-0005-0000-0000-00003D630000}"/>
    <cellStyle name="Normal 3 38 19 2" xfId="32103" xr:uid="{00000000-0005-0000-0000-00003E630000}"/>
    <cellStyle name="Normal 3 38 2" xfId="14606" xr:uid="{00000000-0005-0000-0000-00003F630000}"/>
    <cellStyle name="Normal 3 38 2 10" xfId="14607" xr:uid="{00000000-0005-0000-0000-000040630000}"/>
    <cellStyle name="Normal 3 38 2 10 2" xfId="32105" xr:uid="{00000000-0005-0000-0000-000041630000}"/>
    <cellStyle name="Normal 3 38 2 11" xfId="14608" xr:uid="{00000000-0005-0000-0000-000042630000}"/>
    <cellStyle name="Normal 3 38 2 11 2" xfId="32106" xr:uid="{00000000-0005-0000-0000-000043630000}"/>
    <cellStyle name="Normal 3 38 2 12" xfId="14609" xr:uid="{00000000-0005-0000-0000-000044630000}"/>
    <cellStyle name="Normal 3 38 2 12 2" xfId="32107" xr:uid="{00000000-0005-0000-0000-000045630000}"/>
    <cellStyle name="Normal 3 38 2 13" xfId="14610" xr:uid="{00000000-0005-0000-0000-000046630000}"/>
    <cellStyle name="Normal 3 38 2 13 2" xfId="32108" xr:uid="{00000000-0005-0000-0000-000047630000}"/>
    <cellStyle name="Normal 3 38 2 14" xfId="14611" xr:uid="{00000000-0005-0000-0000-000048630000}"/>
    <cellStyle name="Normal 3 38 2 14 2" xfId="32109" xr:uid="{00000000-0005-0000-0000-000049630000}"/>
    <cellStyle name="Normal 3 38 2 15" xfId="14612" xr:uid="{00000000-0005-0000-0000-00004A630000}"/>
    <cellStyle name="Normal 3 38 2 15 2" xfId="32110" xr:uid="{00000000-0005-0000-0000-00004B630000}"/>
    <cellStyle name="Normal 3 38 2 16" xfId="32104" xr:uid="{00000000-0005-0000-0000-00004C630000}"/>
    <cellStyle name="Normal 3 38 2 2" xfId="14613" xr:uid="{00000000-0005-0000-0000-00004D630000}"/>
    <cellStyle name="Normal 3 38 2 2 10" xfId="14614" xr:uid="{00000000-0005-0000-0000-00004E630000}"/>
    <cellStyle name="Normal 3 38 2 2 10 2" xfId="32112" xr:uid="{00000000-0005-0000-0000-00004F630000}"/>
    <cellStyle name="Normal 3 38 2 2 11" xfId="14615" xr:uid="{00000000-0005-0000-0000-000050630000}"/>
    <cellStyle name="Normal 3 38 2 2 11 2" xfId="32113" xr:uid="{00000000-0005-0000-0000-000051630000}"/>
    <cellStyle name="Normal 3 38 2 2 12" xfId="14616" xr:uid="{00000000-0005-0000-0000-000052630000}"/>
    <cellStyle name="Normal 3 38 2 2 12 2" xfId="32114" xr:uid="{00000000-0005-0000-0000-000053630000}"/>
    <cellStyle name="Normal 3 38 2 2 13" xfId="14617" xr:uid="{00000000-0005-0000-0000-000054630000}"/>
    <cellStyle name="Normal 3 38 2 2 13 2" xfId="32115" xr:uid="{00000000-0005-0000-0000-000055630000}"/>
    <cellStyle name="Normal 3 38 2 2 14" xfId="14618" xr:uid="{00000000-0005-0000-0000-000056630000}"/>
    <cellStyle name="Normal 3 38 2 2 14 2" xfId="32116" xr:uid="{00000000-0005-0000-0000-000057630000}"/>
    <cellStyle name="Normal 3 38 2 2 15" xfId="32111" xr:uid="{00000000-0005-0000-0000-000058630000}"/>
    <cellStyle name="Normal 3 38 2 2 2" xfId="14619" xr:uid="{00000000-0005-0000-0000-000059630000}"/>
    <cellStyle name="Normal 3 38 2 2 2 2" xfId="32117" xr:uid="{00000000-0005-0000-0000-00005A630000}"/>
    <cellStyle name="Normal 3 38 2 2 3" xfId="14620" xr:uid="{00000000-0005-0000-0000-00005B630000}"/>
    <cellStyle name="Normal 3 38 2 2 3 2" xfId="32118" xr:uid="{00000000-0005-0000-0000-00005C630000}"/>
    <cellStyle name="Normal 3 38 2 2 4" xfId="14621" xr:uid="{00000000-0005-0000-0000-00005D630000}"/>
    <cellStyle name="Normal 3 38 2 2 4 2" xfId="32119" xr:uid="{00000000-0005-0000-0000-00005E630000}"/>
    <cellStyle name="Normal 3 38 2 2 5" xfId="14622" xr:uid="{00000000-0005-0000-0000-00005F630000}"/>
    <cellStyle name="Normal 3 38 2 2 5 2" xfId="32120" xr:uid="{00000000-0005-0000-0000-000060630000}"/>
    <cellStyle name="Normal 3 38 2 2 6" xfId="14623" xr:uid="{00000000-0005-0000-0000-000061630000}"/>
    <cellStyle name="Normal 3 38 2 2 6 2" xfId="32121" xr:uid="{00000000-0005-0000-0000-000062630000}"/>
    <cellStyle name="Normal 3 38 2 2 7" xfId="14624" xr:uid="{00000000-0005-0000-0000-000063630000}"/>
    <cellStyle name="Normal 3 38 2 2 7 2" xfId="32122" xr:uid="{00000000-0005-0000-0000-000064630000}"/>
    <cellStyle name="Normal 3 38 2 2 8" xfId="14625" xr:uid="{00000000-0005-0000-0000-000065630000}"/>
    <cellStyle name="Normal 3 38 2 2 8 2" xfId="32123" xr:uid="{00000000-0005-0000-0000-000066630000}"/>
    <cellStyle name="Normal 3 38 2 2 9" xfId="14626" xr:uid="{00000000-0005-0000-0000-000067630000}"/>
    <cellStyle name="Normal 3 38 2 2 9 2" xfId="32124" xr:uid="{00000000-0005-0000-0000-000068630000}"/>
    <cellStyle name="Normal 3 38 2 3" xfId="14627" xr:uid="{00000000-0005-0000-0000-000069630000}"/>
    <cellStyle name="Normal 3 38 2 3 2" xfId="32125" xr:uid="{00000000-0005-0000-0000-00006A630000}"/>
    <cellStyle name="Normal 3 38 2 4" xfId="14628" xr:uid="{00000000-0005-0000-0000-00006B630000}"/>
    <cellStyle name="Normal 3 38 2 4 2" xfId="32126" xr:uid="{00000000-0005-0000-0000-00006C630000}"/>
    <cellStyle name="Normal 3 38 2 5" xfId="14629" xr:uid="{00000000-0005-0000-0000-00006D630000}"/>
    <cellStyle name="Normal 3 38 2 5 2" xfId="32127" xr:uid="{00000000-0005-0000-0000-00006E630000}"/>
    <cellStyle name="Normal 3 38 2 6" xfId="14630" xr:uid="{00000000-0005-0000-0000-00006F630000}"/>
    <cellStyle name="Normal 3 38 2 6 2" xfId="32128" xr:uid="{00000000-0005-0000-0000-000070630000}"/>
    <cellStyle name="Normal 3 38 2 7" xfId="14631" xr:uid="{00000000-0005-0000-0000-000071630000}"/>
    <cellStyle name="Normal 3 38 2 7 2" xfId="32129" xr:uid="{00000000-0005-0000-0000-000072630000}"/>
    <cellStyle name="Normal 3 38 2 8" xfId="14632" xr:uid="{00000000-0005-0000-0000-000073630000}"/>
    <cellStyle name="Normal 3 38 2 8 2" xfId="32130" xr:uid="{00000000-0005-0000-0000-000074630000}"/>
    <cellStyle name="Normal 3 38 2 9" xfId="14633" xr:uid="{00000000-0005-0000-0000-000075630000}"/>
    <cellStyle name="Normal 3 38 2 9 2" xfId="32131" xr:uid="{00000000-0005-0000-0000-000076630000}"/>
    <cellStyle name="Normal 3 38 20" xfId="14634" xr:uid="{00000000-0005-0000-0000-000077630000}"/>
    <cellStyle name="Normal 3 38 20 2" xfId="32132" xr:uid="{00000000-0005-0000-0000-000078630000}"/>
    <cellStyle name="Normal 3 38 21" xfId="14635" xr:uid="{00000000-0005-0000-0000-000079630000}"/>
    <cellStyle name="Normal 3 38 21 2" xfId="32133" xr:uid="{00000000-0005-0000-0000-00007A630000}"/>
    <cellStyle name="Normal 3 38 22" xfId="14636" xr:uid="{00000000-0005-0000-0000-00007B630000}"/>
    <cellStyle name="Normal 3 38 22 2" xfId="32134" xr:uid="{00000000-0005-0000-0000-00007C630000}"/>
    <cellStyle name="Normal 3 38 23" xfId="14637" xr:uid="{00000000-0005-0000-0000-00007D630000}"/>
    <cellStyle name="Normal 3 38 23 2" xfId="32135" xr:uid="{00000000-0005-0000-0000-00007E630000}"/>
    <cellStyle name="Normal 3 38 24" xfId="32080" xr:uid="{00000000-0005-0000-0000-00007F630000}"/>
    <cellStyle name="Normal 3 38 3" xfId="14638" xr:uid="{00000000-0005-0000-0000-000080630000}"/>
    <cellStyle name="Normal 3 38 3 10" xfId="14639" xr:uid="{00000000-0005-0000-0000-000081630000}"/>
    <cellStyle name="Normal 3 38 3 10 2" xfId="32137" xr:uid="{00000000-0005-0000-0000-000082630000}"/>
    <cellStyle name="Normal 3 38 3 11" xfId="14640" xr:uid="{00000000-0005-0000-0000-000083630000}"/>
    <cellStyle name="Normal 3 38 3 11 2" xfId="32138" xr:uid="{00000000-0005-0000-0000-000084630000}"/>
    <cellStyle name="Normal 3 38 3 12" xfId="14641" xr:uid="{00000000-0005-0000-0000-000085630000}"/>
    <cellStyle name="Normal 3 38 3 12 2" xfId="32139" xr:uid="{00000000-0005-0000-0000-000086630000}"/>
    <cellStyle name="Normal 3 38 3 13" xfId="14642" xr:uid="{00000000-0005-0000-0000-000087630000}"/>
    <cellStyle name="Normal 3 38 3 13 2" xfId="32140" xr:uid="{00000000-0005-0000-0000-000088630000}"/>
    <cellStyle name="Normal 3 38 3 14" xfId="14643" xr:uid="{00000000-0005-0000-0000-000089630000}"/>
    <cellStyle name="Normal 3 38 3 14 2" xfId="32141" xr:uid="{00000000-0005-0000-0000-00008A630000}"/>
    <cellStyle name="Normal 3 38 3 15" xfId="14644" xr:uid="{00000000-0005-0000-0000-00008B630000}"/>
    <cellStyle name="Normal 3 38 3 15 2" xfId="32142" xr:uid="{00000000-0005-0000-0000-00008C630000}"/>
    <cellStyle name="Normal 3 38 3 16" xfId="32136" xr:uid="{00000000-0005-0000-0000-00008D630000}"/>
    <cellStyle name="Normal 3 38 3 2" xfId="14645" xr:uid="{00000000-0005-0000-0000-00008E630000}"/>
    <cellStyle name="Normal 3 38 3 2 10" xfId="14646" xr:uid="{00000000-0005-0000-0000-00008F630000}"/>
    <cellStyle name="Normal 3 38 3 2 10 2" xfId="32144" xr:uid="{00000000-0005-0000-0000-000090630000}"/>
    <cellStyle name="Normal 3 38 3 2 11" xfId="14647" xr:uid="{00000000-0005-0000-0000-000091630000}"/>
    <cellStyle name="Normal 3 38 3 2 11 2" xfId="32145" xr:uid="{00000000-0005-0000-0000-000092630000}"/>
    <cellStyle name="Normal 3 38 3 2 12" xfId="14648" xr:uid="{00000000-0005-0000-0000-000093630000}"/>
    <cellStyle name="Normal 3 38 3 2 12 2" xfId="32146" xr:uid="{00000000-0005-0000-0000-000094630000}"/>
    <cellStyle name="Normal 3 38 3 2 13" xfId="14649" xr:uid="{00000000-0005-0000-0000-000095630000}"/>
    <cellStyle name="Normal 3 38 3 2 13 2" xfId="32147" xr:uid="{00000000-0005-0000-0000-000096630000}"/>
    <cellStyle name="Normal 3 38 3 2 14" xfId="14650" xr:uid="{00000000-0005-0000-0000-000097630000}"/>
    <cellStyle name="Normal 3 38 3 2 14 2" xfId="32148" xr:uid="{00000000-0005-0000-0000-000098630000}"/>
    <cellStyle name="Normal 3 38 3 2 15" xfId="32143" xr:uid="{00000000-0005-0000-0000-000099630000}"/>
    <cellStyle name="Normal 3 38 3 2 2" xfId="14651" xr:uid="{00000000-0005-0000-0000-00009A630000}"/>
    <cellStyle name="Normal 3 38 3 2 2 2" xfId="32149" xr:uid="{00000000-0005-0000-0000-00009B630000}"/>
    <cellStyle name="Normal 3 38 3 2 3" xfId="14652" xr:uid="{00000000-0005-0000-0000-00009C630000}"/>
    <cellStyle name="Normal 3 38 3 2 3 2" xfId="32150" xr:uid="{00000000-0005-0000-0000-00009D630000}"/>
    <cellStyle name="Normal 3 38 3 2 4" xfId="14653" xr:uid="{00000000-0005-0000-0000-00009E630000}"/>
    <cellStyle name="Normal 3 38 3 2 4 2" xfId="32151" xr:uid="{00000000-0005-0000-0000-00009F630000}"/>
    <cellStyle name="Normal 3 38 3 2 5" xfId="14654" xr:uid="{00000000-0005-0000-0000-0000A0630000}"/>
    <cellStyle name="Normal 3 38 3 2 5 2" xfId="32152" xr:uid="{00000000-0005-0000-0000-0000A1630000}"/>
    <cellStyle name="Normal 3 38 3 2 6" xfId="14655" xr:uid="{00000000-0005-0000-0000-0000A2630000}"/>
    <cellStyle name="Normal 3 38 3 2 6 2" xfId="32153" xr:uid="{00000000-0005-0000-0000-0000A3630000}"/>
    <cellStyle name="Normal 3 38 3 2 7" xfId="14656" xr:uid="{00000000-0005-0000-0000-0000A4630000}"/>
    <cellStyle name="Normal 3 38 3 2 7 2" xfId="32154" xr:uid="{00000000-0005-0000-0000-0000A5630000}"/>
    <cellStyle name="Normal 3 38 3 2 8" xfId="14657" xr:uid="{00000000-0005-0000-0000-0000A6630000}"/>
    <cellStyle name="Normal 3 38 3 2 8 2" xfId="32155" xr:uid="{00000000-0005-0000-0000-0000A7630000}"/>
    <cellStyle name="Normal 3 38 3 2 9" xfId="14658" xr:uid="{00000000-0005-0000-0000-0000A8630000}"/>
    <cellStyle name="Normal 3 38 3 2 9 2" xfId="32156" xr:uid="{00000000-0005-0000-0000-0000A9630000}"/>
    <cellStyle name="Normal 3 38 3 3" xfId="14659" xr:uid="{00000000-0005-0000-0000-0000AA630000}"/>
    <cellStyle name="Normal 3 38 3 3 2" xfId="32157" xr:uid="{00000000-0005-0000-0000-0000AB630000}"/>
    <cellStyle name="Normal 3 38 3 4" xfId="14660" xr:uid="{00000000-0005-0000-0000-0000AC630000}"/>
    <cellStyle name="Normal 3 38 3 4 2" xfId="32158" xr:uid="{00000000-0005-0000-0000-0000AD630000}"/>
    <cellStyle name="Normal 3 38 3 5" xfId="14661" xr:uid="{00000000-0005-0000-0000-0000AE630000}"/>
    <cellStyle name="Normal 3 38 3 5 2" xfId="32159" xr:uid="{00000000-0005-0000-0000-0000AF630000}"/>
    <cellStyle name="Normal 3 38 3 6" xfId="14662" xr:uid="{00000000-0005-0000-0000-0000B0630000}"/>
    <cellStyle name="Normal 3 38 3 6 2" xfId="32160" xr:uid="{00000000-0005-0000-0000-0000B1630000}"/>
    <cellStyle name="Normal 3 38 3 7" xfId="14663" xr:uid="{00000000-0005-0000-0000-0000B2630000}"/>
    <cellStyle name="Normal 3 38 3 7 2" xfId="32161" xr:uid="{00000000-0005-0000-0000-0000B3630000}"/>
    <cellStyle name="Normal 3 38 3 8" xfId="14664" xr:uid="{00000000-0005-0000-0000-0000B4630000}"/>
    <cellStyle name="Normal 3 38 3 8 2" xfId="32162" xr:uid="{00000000-0005-0000-0000-0000B5630000}"/>
    <cellStyle name="Normal 3 38 3 9" xfId="14665" xr:uid="{00000000-0005-0000-0000-0000B6630000}"/>
    <cellStyle name="Normal 3 38 3 9 2" xfId="32163" xr:uid="{00000000-0005-0000-0000-0000B7630000}"/>
    <cellStyle name="Normal 3 38 4" xfId="14666" xr:uid="{00000000-0005-0000-0000-0000B8630000}"/>
    <cellStyle name="Normal 3 38 4 10" xfId="14667" xr:uid="{00000000-0005-0000-0000-0000B9630000}"/>
    <cellStyle name="Normal 3 38 4 10 2" xfId="32165" xr:uid="{00000000-0005-0000-0000-0000BA630000}"/>
    <cellStyle name="Normal 3 38 4 11" xfId="14668" xr:uid="{00000000-0005-0000-0000-0000BB630000}"/>
    <cellStyle name="Normal 3 38 4 11 2" xfId="32166" xr:uid="{00000000-0005-0000-0000-0000BC630000}"/>
    <cellStyle name="Normal 3 38 4 12" xfId="14669" xr:uid="{00000000-0005-0000-0000-0000BD630000}"/>
    <cellStyle name="Normal 3 38 4 12 2" xfId="32167" xr:uid="{00000000-0005-0000-0000-0000BE630000}"/>
    <cellStyle name="Normal 3 38 4 13" xfId="14670" xr:uid="{00000000-0005-0000-0000-0000BF630000}"/>
    <cellStyle name="Normal 3 38 4 13 2" xfId="32168" xr:uid="{00000000-0005-0000-0000-0000C0630000}"/>
    <cellStyle name="Normal 3 38 4 14" xfId="14671" xr:uid="{00000000-0005-0000-0000-0000C1630000}"/>
    <cellStyle name="Normal 3 38 4 14 2" xfId="32169" xr:uid="{00000000-0005-0000-0000-0000C2630000}"/>
    <cellStyle name="Normal 3 38 4 15" xfId="14672" xr:uid="{00000000-0005-0000-0000-0000C3630000}"/>
    <cellStyle name="Normal 3 38 4 15 2" xfId="32170" xr:uid="{00000000-0005-0000-0000-0000C4630000}"/>
    <cellStyle name="Normal 3 38 4 16" xfId="32164" xr:uid="{00000000-0005-0000-0000-0000C5630000}"/>
    <cellStyle name="Normal 3 38 4 2" xfId="14673" xr:uid="{00000000-0005-0000-0000-0000C6630000}"/>
    <cellStyle name="Normal 3 38 4 2 10" xfId="14674" xr:uid="{00000000-0005-0000-0000-0000C7630000}"/>
    <cellStyle name="Normal 3 38 4 2 10 2" xfId="32172" xr:uid="{00000000-0005-0000-0000-0000C8630000}"/>
    <cellStyle name="Normal 3 38 4 2 11" xfId="14675" xr:uid="{00000000-0005-0000-0000-0000C9630000}"/>
    <cellStyle name="Normal 3 38 4 2 11 2" xfId="32173" xr:uid="{00000000-0005-0000-0000-0000CA630000}"/>
    <cellStyle name="Normal 3 38 4 2 12" xfId="14676" xr:uid="{00000000-0005-0000-0000-0000CB630000}"/>
    <cellStyle name="Normal 3 38 4 2 12 2" xfId="32174" xr:uid="{00000000-0005-0000-0000-0000CC630000}"/>
    <cellStyle name="Normal 3 38 4 2 13" xfId="14677" xr:uid="{00000000-0005-0000-0000-0000CD630000}"/>
    <cellStyle name="Normal 3 38 4 2 13 2" xfId="32175" xr:uid="{00000000-0005-0000-0000-0000CE630000}"/>
    <cellStyle name="Normal 3 38 4 2 14" xfId="14678" xr:uid="{00000000-0005-0000-0000-0000CF630000}"/>
    <cellStyle name="Normal 3 38 4 2 14 2" xfId="32176" xr:uid="{00000000-0005-0000-0000-0000D0630000}"/>
    <cellStyle name="Normal 3 38 4 2 15" xfId="32171" xr:uid="{00000000-0005-0000-0000-0000D1630000}"/>
    <cellStyle name="Normal 3 38 4 2 2" xfId="14679" xr:uid="{00000000-0005-0000-0000-0000D2630000}"/>
    <cellStyle name="Normal 3 38 4 2 2 2" xfId="32177" xr:uid="{00000000-0005-0000-0000-0000D3630000}"/>
    <cellStyle name="Normal 3 38 4 2 3" xfId="14680" xr:uid="{00000000-0005-0000-0000-0000D4630000}"/>
    <cellStyle name="Normal 3 38 4 2 3 2" xfId="32178" xr:uid="{00000000-0005-0000-0000-0000D5630000}"/>
    <cellStyle name="Normal 3 38 4 2 4" xfId="14681" xr:uid="{00000000-0005-0000-0000-0000D6630000}"/>
    <cellStyle name="Normal 3 38 4 2 4 2" xfId="32179" xr:uid="{00000000-0005-0000-0000-0000D7630000}"/>
    <cellStyle name="Normal 3 38 4 2 5" xfId="14682" xr:uid="{00000000-0005-0000-0000-0000D8630000}"/>
    <cellStyle name="Normal 3 38 4 2 5 2" xfId="32180" xr:uid="{00000000-0005-0000-0000-0000D9630000}"/>
    <cellStyle name="Normal 3 38 4 2 6" xfId="14683" xr:uid="{00000000-0005-0000-0000-0000DA630000}"/>
    <cellStyle name="Normal 3 38 4 2 6 2" xfId="32181" xr:uid="{00000000-0005-0000-0000-0000DB630000}"/>
    <cellStyle name="Normal 3 38 4 2 7" xfId="14684" xr:uid="{00000000-0005-0000-0000-0000DC630000}"/>
    <cellStyle name="Normal 3 38 4 2 7 2" xfId="32182" xr:uid="{00000000-0005-0000-0000-0000DD630000}"/>
    <cellStyle name="Normal 3 38 4 2 8" xfId="14685" xr:uid="{00000000-0005-0000-0000-0000DE630000}"/>
    <cellStyle name="Normal 3 38 4 2 8 2" xfId="32183" xr:uid="{00000000-0005-0000-0000-0000DF630000}"/>
    <cellStyle name="Normal 3 38 4 2 9" xfId="14686" xr:uid="{00000000-0005-0000-0000-0000E0630000}"/>
    <cellStyle name="Normal 3 38 4 2 9 2" xfId="32184" xr:uid="{00000000-0005-0000-0000-0000E1630000}"/>
    <cellStyle name="Normal 3 38 4 3" xfId="14687" xr:uid="{00000000-0005-0000-0000-0000E2630000}"/>
    <cellStyle name="Normal 3 38 4 3 2" xfId="32185" xr:uid="{00000000-0005-0000-0000-0000E3630000}"/>
    <cellStyle name="Normal 3 38 4 4" xfId="14688" xr:uid="{00000000-0005-0000-0000-0000E4630000}"/>
    <cellStyle name="Normal 3 38 4 4 2" xfId="32186" xr:uid="{00000000-0005-0000-0000-0000E5630000}"/>
    <cellStyle name="Normal 3 38 4 5" xfId="14689" xr:uid="{00000000-0005-0000-0000-0000E6630000}"/>
    <cellStyle name="Normal 3 38 4 5 2" xfId="32187" xr:uid="{00000000-0005-0000-0000-0000E7630000}"/>
    <cellStyle name="Normal 3 38 4 6" xfId="14690" xr:uid="{00000000-0005-0000-0000-0000E8630000}"/>
    <cellStyle name="Normal 3 38 4 6 2" xfId="32188" xr:uid="{00000000-0005-0000-0000-0000E9630000}"/>
    <cellStyle name="Normal 3 38 4 7" xfId="14691" xr:uid="{00000000-0005-0000-0000-0000EA630000}"/>
    <cellStyle name="Normal 3 38 4 7 2" xfId="32189" xr:uid="{00000000-0005-0000-0000-0000EB630000}"/>
    <cellStyle name="Normal 3 38 4 8" xfId="14692" xr:uid="{00000000-0005-0000-0000-0000EC630000}"/>
    <cellStyle name="Normal 3 38 4 8 2" xfId="32190" xr:uid="{00000000-0005-0000-0000-0000ED630000}"/>
    <cellStyle name="Normal 3 38 4 9" xfId="14693" xr:uid="{00000000-0005-0000-0000-0000EE630000}"/>
    <cellStyle name="Normal 3 38 4 9 2" xfId="32191" xr:uid="{00000000-0005-0000-0000-0000EF630000}"/>
    <cellStyle name="Normal 3 38 5" xfId="14694" xr:uid="{00000000-0005-0000-0000-0000F0630000}"/>
    <cellStyle name="Normal 3 38 5 10" xfId="14695" xr:uid="{00000000-0005-0000-0000-0000F1630000}"/>
    <cellStyle name="Normal 3 38 5 10 2" xfId="32193" xr:uid="{00000000-0005-0000-0000-0000F2630000}"/>
    <cellStyle name="Normal 3 38 5 11" xfId="14696" xr:uid="{00000000-0005-0000-0000-0000F3630000}"/>
    <cellStyle name="Normal 3 38 5 11 2" xfId="32194" xr:uid="{00000000-0005-0000-0000-0000F4630000}"/>
    <cellStyle name="Normal 3 38 5 12" xfId="14697" xr:uid="{00000000-0005-0000-0000-0000F5630000}"/>
    <cellStyle name="Normal 3 38 5 12 2" xfId="32195" xr:uid="{00000000-0005-0000-0000-0000F6630000}"/>
    <cellStyle name="Normal 3 38 5 13" xfId="14698" xr:uid="{00000000-0005-0000-0000-0000F7630000}"/>
    <cellStyle name="Normal 3 38 5 13 2" xfId="32196" xr:uid="{00000000-0005-0000-0000-0000F8630000}"/>
    <cellStyle name="Normal 3 38 5 14" xfId="14699" xr:uid="{00000000-0005-0000-0000-0000F9630000}"/>
    <cellStyle name="Normal 3 38 5 14 2" xfId="32197" xr:uid="{00000000-0005-0000-0000-0000FA630000}"/>
    <cellStyle name="Normal 3 38 5 15" xfId="32192" xr:uid="{00000000-0005-0000-0000-0000FB630000}"/>
    <cellStyle name="Normal 3 38 5 2" xfId="14700" xr:uid="{00000000-0005-0000-0000-0000FC630000}"/>
    <cellStyle name="Normal 3 38 5 2 2" xfId="32198" xr:uid="{00000000-0005-0000-0000-0000FD630000}"/>
    <cellStyle name="Normal 3 38 5 3" xfId="14701" xr:uid="{00000000-0005-0000-0000-0000FE630000}"/>
    <cellStyle name="Normal 3 38 5 3 2" xfId="32199" xr:uid="{00000000-0005-0000-0000-0000FF630000}"/>
    <cellStyle name="Normal 3 38 5 4" xfId="14702" xr:uid="{00000000-0005-0000-0000-000000640000}"/>
    <cellStyle name="Normal 3 38 5 4 2" xfId="32200" xr:uid="{00000000-0005-0000-0000-000001640000}"/>
    <cellStyle name="Normal 3 38 5 5" xfId="14703" xr:uid="{00000000-0005-0000-0000-000002640000}"/>
    <cellStyle name="Normal 3 38 5 5 2" xfId="32201" xr:uid="{00000000-0005-0000-0000-000003640000}"/>
    <cellStyle name="Normal 3 38 5 6" xfId="14704" xr:uid="{00000000-0005-0000-0000-000004640000}"/>
    <cellStyle name="Normal 3 38 5 6 2" xfId="32202" xr:uid="{00000000-0005-0000-0000-000005640000}"/>
    <cellStyle name="Normal 3 38 5 7" xfId="14705" xr:uid="{00000000-0005-0000-0000-000006640000}"/>
    <cellStyle name="Normal 3 38 5 7 2" xfId="32203" xr:uid="{00000000-0005-0000-0000-000007640000}"/>
    <cellStyle name="Normal 3 38 5 8" xfId="14706" xr:uid="{00000000-0005-0000-0000-000008640000}"/>
    <cellStyle name="Normal 3 38 5 8 2" xfId="32204" xr:uid="{00000000-0005-0000-0000-000009640000}"/>
    <cellStyle name="Normal 3 38 5 9" xfId="14707" xr:uid="{00000000-0005-0000-0000-00000A640000}"/>
    <cellStyle name="Normal 3 38 5 9 2" xfId="32205" xr:uid="{00000000-0005-0000-0000-00000B640000}"/>
    <cellStyle name="Normal 3 38 6" xfId="14708" xr:uid="{00000000-0005-0000-0000-00000C640000}"/>
    <cellStyle name="Normal 3 38 6 10" xfId="14709" xr:uid="{00000000-0005-0000-0000-00000D640000}"/>
    <cellStyle name="Normal 3 38 6 10 2" xfId="32207" xr:uid="{00000000-0005-0000-0000-00000E640000}"/>
    <cellStyle name="Normal 3 38 6 11" xfId="14710" xr:uid="{00000000-0005-0000-0000-00000F640000}"/>
    <cellStyle name="Normal 3 38 6 11 2" xfId="32208" xr:uid="{00000000-0005-0000-0000-000010640000}"/>
    <cellStyle name="Normal 3 38 6 12" xfId="14711" xr:uid="{00000000-0005-0000-0000-000011640000}"/>
    <cellStyle name="Normal 3 38 6 12 2" xfId="32209" xr:uid="{00000000-0005-0000-0000-000012640000}"/>
    <cellStyle name="Normal 3 38 6 13" xfId="14712" xr:uid="{00000000-0005-0000-0000-000013640000}"/>
    <cellStyle name="Normal 3 38 6 13 2" xfId="32210" xr:uid="{00000000-0005-0000-0000-000014640000}"/>
    <cellStyle name="Normal 3 38 6 14" xfId="14713" xr:uid="{00000000-0005-0000-0000-000015640000}"/>
    <cellStyle name="Normal 3 38 6 14 2" xfId="32211" xr:uid="{00000000-0005-0000-0000-000016640000}"/>
    <cellStyle name="Normal 3 38 6 15" xfId="32206" xr:uid="{00000000-0005-0000-0000-000017640000}"/>
    <cellStyle name="Normal 3 38 6 2" xfId="14714" xr:uid="{00000000-0005-0000-0000-000018640000}"/>
    <cellStyle name="Normal 3 38 6 2 2" xfId="32212" xr:uid="{00000000-0005-0000-0000-000019640000}"/>
    <cellStyle name="Normal 3 38 6 3" xfId="14715" xr:uid="{00000000-0005-0000-0000-00001A640000}"/>
    <cellStyle name="Normal 3 38 6 3 2" xfId="32213" xr:uid="{00000000-0005-0000-0000-00001B640000}"/>
    <cellStyle name="Normal 3 38 6 4" xfId="14716" xr:uid="{00000000-0005-0000-0000-00001C640000}"/>
    <cellStyle name="Normal 3 38 6 4 2" xfId="32214" xr:uid="{00000000-0005-0000-0000-00001D640000}"/>
    <cellStyle name="Normal 3 38 6 5" xfId="14717" xr:uid="{00000000-0005-0000-0000-00001E640000}"/>
    <cellStyle name="Normal 3 38 6 5 2" xfId="32215" xr:uid="{00000000-0005-0000-0000-00001F640000}"/>
    <cellStyle name="Normal 3 38 6 6" xfId="14718" xr:uid="{00000000-0005-0000-0000-000020640000}"/>
    <cellStyle name="Normal 3 38 6 6 2" xfId="32216" xr:uid="{00000000-0005-0000-0000-000021640000}"/>
    <cellStyle name="Normal 3 38 6 7" xfId="14719" xr:uid="{00000000-0005-0000-0000-000022640000}"/>
    <cellStyle name="Normal 3 38 6 7 2" xfId="32217" xr:uid="{00000000-0005-0000-0000-000023640000}"/>
    <cellStyle name="Normal 3 38 6 8" xfId="14720" xr:uid="{00000000-0005-0000-0000-000024640000}"/>
    <cellStyle name="Normal 3 38 6 8 2" xfId="32218" xr:uid="{00000000-0005-0000-0000-000025640000}"/>
    <cellStyle name="Normal 3 38 6 9" xfId="14721" xr:uid="{00000000-0005-0000-0000-000026640000}"/>
    <cellStyle name="Normal 3 38 6 9 2" xfId="32219" xr:uid="{00000000-0005-0000-0000-000027640000}"/>
    <cellStyle name="Normal 3 38 7" xfId="14722" xr:uid="{00000000-0005-0000-0000-000028640000}"/>
    <cellStyle name="Normal 3 38 7 10" xfId="14723" xr:uid="{00000000-0005-0000-0000-000029640000}"/>
    <cellStyle name="Normal 3 38 7 10 2" xfId="32221" xr:uid="{00000000-0005-0000-0000-00002A640000}"/>
    <cellStyle name="Normal 3 38 7 11" xfId="14724" xr:uid="{00000000-0005-0000-0000-00002B640000}"/>
    <cellStyle name="Normal 3 38 7 11 2" xfId="32222" xr:uid="{00000000-0005-0000-0000-00002C640000}"/>
    <cellStyle name="Normal 3 38 7 12" xfId="14725" xr:uid="{00000000-0005-0000-0000-00002D640000}"/>
    <cellStyle name="Normal 3 38 7 12 2" xfId="32223" xr:uid="{00000000-0005-0000-0000-00002E640000}"/>
    <cellStyle name="Normal 3 38 7 13" xfId="14726" xr:uid="{00000000-0005-0000-0000-00002F640000}"/>
    <cellStyle name="Normal 3 38 7 13 2" xfId="32224" xr:uid="{00000000-0005-0000-0000-000030640000}"/>
    <cellStyle name="Normal 3 38 7 14" xfId="14727" xr:uid="{00000000-0005-0000-0000-000031640000}"/>
    <cellStyle name="Normal 3 38 7 14 2" xfId="32225" xr:uid="{00000000-0005-0000-0000-000032640000}"/>
    <cellStyle name="Normal 3 38 7 15" xfId="32220" xr:uid="{00000000-0005-0000-0000-000033640000}"/>
    <cellStyle name="Normal 3 38 7 2" xfId="14728" xr:uid="{00000000-0005-0000-0000-000034640000}"/>
    <cellStyle name="Normal 3 38 7 2 2" xfId="32226" xr:uid="{00000000-0005-0000-0000-000035640000}"/>
    <cellStyle name="Normal 3 38 7 3" xfId="14729" xr:uid="{00000000-0005-0000-0000-000036640000}"/>
    <cellStyle name="Normal 3 38 7 3 2" xfId="32227" xr:uid="{00000000-0005-0000-0000-000037640000}"/>
    <cellStyle name="Normal 3 38 7 4" xfId="14730" xr:uid="{00000000-0005-0000-0000-000038640000}"/>
    <cellStyle name="Normal 3 38 7 4 2" xfId="32228" xr:uid="{00000000-0005-0000-0000-000039640000}"/>
    <cellStyle name="Normal 3 38 7 5" xfId="14731" xr:uid="{00000000-0005-0000-0000-00003A640000}"/>
    <cellStyle name="Normal 3 38 7 5 2" xfId="32229" xr:uid="{00000000-0005-0000-0000-00003B640000}"/>
    <cellStyle name="Normal 3 38 7 6" xfId="14732" xr:uid="{00000000-0005-0000-0000-00003C640000}"/>
    <cellStyle name="Normal 3 38 7 6 2" xfId="32230" xr:uid="{00000000-0005-0000-0000-00003D640000}"/>
    <cellStyle name="Normal 3 38 7 7" xfId="14733" xr:uid="{00000000-0005-0000-0000-00003E640000}"/>
    <cellStyle name="Normal 3 38 7 7 2" xfId="32231" xr:uid="{00000000-0005-0000-0000-00003F640000}"/>
    <cellStyle name="Normal 3 38 7 8" xfId="14734" xr:uid="{00000000-0005-0000-0000-000040640000}"/>
    <cellStyle name="Normal 3 38 7 8 2" xfId="32232" xr:uid="{00000000-0005-0000-0000-000041640000}"/>
    <cellStyle name="Normal 3 38 7 9" xfId="14735" xr:uid="{00000000-0005-0000-0000-000042640000}"/>
    <cellStyle name="Normal 3 38 7 9 2" xfId="32233" xr:uid="{00000000-0005-0000-0000-000043640000}"/>
    <cellStyle name="Normal 3 38 8" xfId="14736" xr:uid="{00000000-0005-0000-0000-000044640000}"/>
    <cellStyle name="Normal 3 38 8 10" xfId="14737" xr:uid="{00000000-0005-0000-0000-000045640000}"/>
    <cellStyle name="Normal 3 38 8 10 2" xfId="32235" xr:uid="{00000000-0005-0000-0000-000046640000}"/>
    <cellStyle name="Normal 3 38 8 11" xfId="14738" xr:uid="{00000000-0005-0000-0000-000047640000}"/>
    <cellStyle name="Normal 3 38 8 11 2" xfId="32236" xr:uid="{00000000-0005-0000-0000-000048640000}"/>
    <cellStyle name="Normal 3 38 8 12" xfId="14739" xr:uid="{00000000-0005-0000-0000-000049640000}"/>
    <cellStyle name="Normal 3 38 8 12 2" xfId="32237" xr:uid="{00000000-0005-0000-0000-00004A640000}"/>
    <cellStyle name="Normal 3 38 8 13" xfId="14740" xr:uid="{00000000-0005-0000-0000-00004B640000}"/>
    <cellStyle name="Normal 3 38 8 13 2" xfId="32238" xr:uid="{00000000-0005-0000-0000-00004C640000}"/>
    <cellStyle name="Normal 3 38 8 14" xfId="14741" xr:uid="{00000000-0005-0000-0000-00004D640000}"/>
    <cellStyle name="Normal 3 38 8 14 2" xfId="32239" xr:uid="{00000000-0005-0000-0000-00004E640000}"/>
    <cellStyle name="Normal 3 38 8 15" xfId="32234" xr:uid="{00000000-0005-0000-0000-00004F640000}"/>
    <cellStyle name="Normal 3 38 8 2" xfId="14742" xr:uid="{00000000-0005-0000-0000-000050640000}"/>
    <cellStyle name="Normal 3 38 8 2 2" xfId="32240" xr:uid="{00000000-0005-0000-0000-000051640000}"/>
    <cellStyle name="Normal 3 38 8 3" xfId="14743" xr:uid="{00000000-0005-0000-0000-000052640000}"/>
    <cellStyle name="Normal 3 38 8 3 2" xfId="32241" xr:uid="{00000000-0005-0000-0000-000053640000}"/>
    <cellStyle name="Normal 3 38 8 4" xfId="14744" xr:uid="{00000000-0005-0000-0000-000054640000}"/>
    <cellStyle name="Normal 3 38 8 4 2" xfId="32242" xr:uid="{00000000-0005-0000-0000-000055640000}"/>
    <cellStyle name="Normal 3 38 8 5" xfId="14745" xr:uid="{00000000-0005-0000-0000-000056640000}"/>
    <cellStyle name="Normal 3 38 8 5 2" xfId="32243" xr:uid="{00000000-0005-0000-0000-000057640000}"/>
    <cellStyle name="Normal 3 38 8 6" xfId="14746" xr:uid="{00000000-0005-0000-0000-000058640000}"/>
    <cellStyle name="Normal 3 38 8 6 2" xfId="32244" xr:uid="{00000000-0005-0000-0000-000059640000}"/>
    <cellStyle name="Normal 3 38 8 7" xfId="14747" xr:uid="{00000000-0005-0000-0000-00005A640000}"/>
    <cellStyle name="Normal 3 38 8 7 2" xfId="32245" xr:uid="{00000000-0005-0000-0000-00005B640000}"/>
    <cellStyle name="Normal 3 38 8 8" xfId="14748" xr:uid="{00000000-0005-0000-0000-00005C640000}"/>
    <cellStyle name="Normal 3 38 8 8 2" xfId="32246" xr:uid="{00000000-0005-0000-0000-00005D640000}"/>
    <cellStyle name="Normal 3 38 8 9" xfId="14749" xr:uid="{00000000-0005-0000-0000-00005E640000}"/>
    <cellStyle name="Normal 3 38 8 9 2" xfId="32247" xr:uid="{00000000-0005-0000-0000-00005F640000}"/>
    <cellStyle name="Normal 3 38 9" xfId="14750" xr:uid="{00000000-0005-0000-0000-000060640000}"/>
    <cellStyle name="Normal 3 38 9 10" xfId="14751" xr:uid="{00000000-0005-0000-0000-000061640000}"/>
    <cellStyle name="Normal 3 38 9 10 2" xfId="32249" xr:uid="{00000000-0005-0000-0000-000062640000}"/>
    <cellStyle name="Normal 3 38 9 11" xfId="14752" xr:uid="{00000000-0005-0000-0000-000063640000}"/>
    <cellStyle name="Normal 3 38 9 11 2" xfId="32250" xr:uid="{00000000-0005-0000-0000-000064640000}"/>
    <cellStyle name="Normal 3 38 9 12" xfId="14753" xr:uid="{00000000-0005-0000-0000-000065640000}"/>
    <cellStyle name="Normal 3 38 9 12 2" xfId="32251" xr:uid="{00000000-0005-0000-0000-000066640000}"/>
    <cellStyle name="Normal 3 38 9 13" xfId="14754" xr:uid="{00000000-0005-0000-0000-000067640000}"/>
    <cellStyle name="Normal 3 38 9 13 2" xfId="32252" xr:uid="{00000000-0005-0000-0000-000068640000}"/>
    <cellStyle name="Normal 3 38 9 14" xfId="14755" xr:uid="{00000000-0005-0000-0000-000069640000}"/>
    <cellStyle name="Normal 3 38 9 14 2" xfId="32253" xr:uid="{00000000-0005-0000-0000-00006A640000}"/>
    <cellStyle name="Normal 3 38 9 15" xfId="32248" xr:uid="{00000000-0005-0000-0000-00006B640000}"/>
    <cellStyle name="Normal 3 38 9 2" xfId="14756" xr:uid="{00000000-0005-0000-0000-00006C640000}"/>
    <cellStyle name="Normal 3 38 9 2 2" xfId="32254" xr:uid="{00000000-0005-0000-0000-00006D640000}"/>
    <cellStyle name="Normal 3 38 9 3" xfId="14757" xr:uid="{00000000-0005-0000-0000-00006E640000}"/>
    <cellStyle name="Normal 3 38 9 3 2" xfId="32255" xr:uid="{00000000-0005-0000-0000-00006F640000}"/>
    <cellStyle name="Normal 3 38 9 4" xfId="14758" xr:uid="{00000000-0005-0000-0000-000070640000}"/>
    <cellStyle name="Normal 3 38 9 4 2" xfId="32256" xr:uid="{00000000-0005-0000-0000-000071640000}"/>
    <cellStyle name="Normal 3 38 9 5" xfId="14759" xr:uid="{00000000-0005-0000-0000-000072640000}"/>
    <cellStyle name="Normal 3 38 9 5 2" xfId="32257" xr:uid="{00000000-0005-0000-0000-000073640000}"/>
    <cellStyle name="Normal 3 38 9 6" xfId="14760" xr:uid="{00000000-0005-0000-0000-000074640000}"/>
    <cellStyle name="Normal 3 38 9 6 2" xfId="32258" xr:uid="{00000000-0005-0000-0000-000075640000}"/>
    <cellStyle name="Normal 3 38 9 7" xfId="14761" xr:uid="{00000000-0005-0000-0000-000076640000}"/>
    <cellStyle name="Normal 3 38 9 7 2" xfId="32259" xr:uid="{00000000-0005-0000-0000-000077640000}"/>
    <cellStyle name="Normal 3 38 9 8" xfId="14762" xr:uid="{00000000-0005-0000-0000-000078640000}"/>
    <cellStyle name="Normal 3 38 9 8 2" xfId="32260" xr:uid="{00000000-0005-0000-0000-000079640000}"/>
    <cellStyle name="Normal 3 38 9 9" xfId="14763" xr:uid="{00000000-0005-0000-0000-00007A640000}"/>
    <cellStyle name="Normal 3 38 9 9 2" xfId="32261" xr:uid="{00000000-0005-0000-0000-00007B640000}"/>
    <cellStyle name="Normal 3 39" xfId="14764" xr:uid="{00000000-0005-0000-0000-00007C640000}"/>
    <cellStyle name="Normal 3 4" xfId="324" xr:uid="{00000000-0005-0000-0000-00007D640000}"/>
    <cellStyle name="Normal 3 4 10" xfId="14765" xr:uid="{00000000-0005-0000-0000-00007E640000}"/>
    <cellStyle name="Normal 3 4 10 10" xfId="14766" xr:uid="{00000000-0005-0000-0000-00007F640000}"/>
    <cellStyle name="Normal 3 4 10 10 10" xfId="14767" xr:uid="{00000000-0005-0000-0000-000080640000}"/>
    <cellStyle name="Normal 3 4 10 10 10 2" xfId="32264" xr:uid="{00000000-0005-0000-0000-000081640000}"/>
    <cellStyle name="Normal 3 4 10 10 11" xfId="14768" xr:uid="{00000000-0005-0000-0000-000082640000}"/>
    <cellStyle name="Normal 3 4 10 10 11 2" xfId="32265" xr:uid="{00000000-0005-0000-0000-000083640000}"/>
    <cellStyle name="Normal 3 4 10 10 12" xfId="14769" xr:uid="{00000000-0005-0000-0000-000084640000}"/>
    <cellStyle name="Normal 3 4 10 10 12 2" xfId="32266" xr:uid="{00000000-0005-0000-0000-000085640000}"/>
    <cellStyle name="Normal 3 4 10 10 13" xfId="14770" xr:uid="{00000000-0005-0000-0000-000086640000}"/>
    <cellStyle name="Normal 3 4 10 10 13 2" xfId="32267" xr:uid="{00000000-0005-0000-0000-000087640000}"/>
    <cellStyle name="Normal 3 4 10 10 14" xfId="14771" xr:uid="{00000000-0005-0000-0000-000088640000}"/>
    <cellStyle name="Normal 3 4 10 10 14 2" xfId="32268" xr:uid="{00000000-0005-0000-0000-000089640000}"/>
    <cellStyle name="Normal 3 4 10 10 15" xfId="32263" xr:uid="{00000000-0005-0000-0000-00008A640000}"/>
    <cellStyle name="Normal 3 4 10 10 2" xfId="14772" xr:uid="{00000000-0005-0000-0000-00008B640000}"/>
    <cellStyle name="Normal 3 4 10 10 2 2" xfId="32269" xr:uid="{00000000-0005-0000-0000-00008C640000}"/>
    <cellStyle name="Normal 3 4 10 10 3" xfId="14773" xr:uid="{00000000-0005-0000-0000-00008D640000}"/>
    <cellStyle name="Normal 3 4 10 10 3 2" xfId="32270" xr:uid="{00000000-0005-0000-0000-00008E640000}"/>
    <cellStyle name="Normal 3 4 10 10 4" xfId="14774" xr:uid="{00000000-0005-0000-0000-00008F640000}"/>
    <cellStyle name="Normal 3 4 10 10 4 2" xfId="32271" xr:uid="{00000000-0005-0000-0000-000090640000}"/>
    <cellStyle name="Normal 3 4 10 10 5" xfId="14775" xr:uid="{00000000-0005-0000-0000-000091640000}"/>
    <cellStyle name="Normal 3 4 10 10 5 2" xfId="32272" xr:uid="{00000000-0005-0000-0000-000092640000}"/>
    <cellStyle name="Normal 3 4 10 10 6" xfId="14776" xr:uid="{00000000-0005-0000-0000-000093640000}"/>
    <cellStyle name="Normal 3 4 10 10 6 2" xfId="32273" xr:uid="{00000000-0005-0000-0000-000094640000}"/>
    <cellStyle name="Normal 3 4 10 10 7" xfId="14777" xr:uid="{00000000-0005-0000-0000-000095640000}"/>
    <cellStyle name="Normal 3 4 10 10 7 2" xfId="32274" xr:uid="{00000000-0005-0000-0000-000096640000}"/>
    <cellStyle name="Normal 3 4 10 10 8" xfId="14778" xr:uid="{00000000-0005-0000-0000-000097640000}"/>
    <cellStyle name="Normal 3 4 10 10 8 2" xfId="32275" xr:uid="{00000000-0005-0000-0000-000098640000}"/>
    <cellStyle name="Normal 3 4 10 10 9" xfId="14779" xr:uid="{00000000-0005-0000-0000-000099640000}"/>
    <cellStyle name="Normal 3 4 10 10 9 2" xfId="32276" xr:uid="{00000000-0005-0000-0000-00009A640000}"/>
    <cellStyle name="Normal 3 4 10 11" xfId="14780" xr:uid="{00000000-0005-0000-0000-00009B640000}"/>
    <cellStyle name="Normal 3 4 10 11 2" xfId="32277" xr:uid="{00000000-0005-0000-0000-00009C640000}"/>
    <cellStyle name="Normal 3 4 10 12" xfId="14781" xr:uid="{00000000-0005-0000-0000-00009D640000}"/>
    <cellStyle name="Normal 3 4 10 12 2" xfId="32278" xr:uid="{00000000-0005-0000-0000-00009E640000}"/>
    <cellStyle name="Normal 3 4 10 13" xfId="14782" xr:uid="{00000000-0005-0000-0000-00009F640000}"/>
    <cellStyle name="Normal 3 4 10 13 2" xfId="32279" xr:uid="{00000000-0005-0000-0000-0000A0640000}"/>
    <cellStyle name="Normal 3 4 10 14" xfId="14783" xr:uid="{00000000-0005-0000-0000-0000A1640000}"/>
    <cellStyle name="Normal 3 4 10 14 2" xfId="32280" xr:uid="{00000000-0005-0000-0000-0000A2640000}"/>
    <cellStyle name="Normal 3 4 10 15" xfId="14784" xr:uid="{00000000-0005-0000-0000-0000A3640000}"/>
    <cellStyle name="Normal 3 4 10 15 2" xfId="32281" xr:uid="{00000000-0005-0000-0000-0000A4640000}"/>
    <cellStyle name="Normal 3 4 10 16" xfId="14785" xr:uid="{00000000-0005-0000-0000-0000A5640000}"/>
    <cellStyle name="Normal 3 4 10 16 2" xfId="32282" xr:uid="{00000000-0005-0000-0000-0000A6640000}"/>
    <cellStyle name="Normal 3 4 10 17" xfId="14786" xr:uid="{00000000-0005-0000-0000-0000A7640000}"/>
    <cellStyle name="Normal 3 4 10 17 2" xfId="32283" xr:uid="{00000000-0005-0000-0000-0000A8640000}"/>
    <cellStyle name="Normal 3 4 10 18" xfId="14787" xr:uid="{00000000-0005-0000-0000-0000A9640000}"/>
    <cellStyle name="Normal 3 4 10 18 2" xfId="32284" xr:uid="{00000000-0005-0000-0000-0000AA640000}"/>
    <cellStyle name="Normal 3 4 10 19" xfId="14788" xr:uid="{00000000-0005-0000-0000-0000AB640000}"/>
    <cellStyle name="Normal 3 4 10 19 2" xfId="32285" xr:uid="{00000000-0005-0000-0000-0000AC640000}"/>
    <cellStyle name="Normal 3 4 10 2" xfId="14789" xr:uid="{00000000-0005-0000-0000-0000AD640000}"/>
    <cellStyle name="Normal 3 4 10 2 10" xfId="14790" xr:uid="{00000000-0005-0000-0000-0000AE640000}"/>
    <cellStyle name="Normal 3 4 10 2 10 2" xfId="32287" xr:uid="{00000000-0005-0000-0000-0000AF640000}"/>
    <cellStyle name="Normal 3 4 10 2 11" xfId="14791" xr:uid="{00000000-0005-0000-0000-0000B0640000}"/>
    <cellStyle name="Normal 3 4 10 2 11 2" xfId="32288" xr:uid="{00000000-0005-0000-0000-0000B1640000}"/>
    <cellStyle name="Normal 3 4 10 2 12" xfId="14792" xr:uid="{00000000-0005-0000-0000-0000B2640000}"/>
    <cellStyle name="Normal 3 4 10 2 12 2" xfId="32289" xr:uid="{00000000-0005-0000-0000-0000B3640000}"/>
    <cellStyle name="Normal 3 4 10 2 13" xfId="14793" xr:uid="{00000000-0005-0000-0000-0000B4640000}"/>
    <cellStyle name="Normal 3 4 10 2 13 2" xfId="32290" xr:uid="{00000000-0005-0000-0000-0000B5640000}"/>
    <cellStyle name="Normal 3 4 10 2 14" xfId="14794" xr:uid="{00000000-0005-0000-0000-0000B6640000}"/>
    <cellStyle name="Normal 3 4 10 2 14 2" xfId="32291" xr:uid="{00000000-0005-0000-0000-0000B7640000}"/>
    <cellStyle name="Normal 3 4 10 2 15" xfId="14795" xr:uid="{00000000-0005-0000-0000-0000B8640000}"/>
    <cellStyle name="Normal 3 4 10 2 15 2" xfId="32292" xr:uid="{00000000-0005-0000-0000-0000B9640000}"/>
    <cellStyle name="Normal 3 4 10 2 16" xfId="32286" xr:uid="{00000000-0005-0000-0000-0000BA640000}"/>
    <cellStyle name="Normal 3 4 10 2 2" xfId="14796" xr:uid="{00000000-0005-0000-0000-0000BB640000}"/>
    <cellStyle name="Normal 3 4 10 2 2 10" xfId="14797" xr:uid="{00000000-0005-0000-0000-0000BC640000}"/>
    <cellStyle name="Normal 3 4 10 2 2 10 2" xfId="32294" xr:uid="{00000000-0005-0000-0000-0000BD640000}"/>
    <cellStyle name="Normal 3 4 10 2 2 11" xfId="14798" xr:uid="{00000000-0005-0000-0000-0000BE640000}"/>
    <cellStyle name="Normal 3 4 10 2 2 11 2" xfId="32295" xr:uid="{00000000-0005-0000-0000-0000BF640000}"/>
    <cellStyle name="Normal 3 4 10 2 2 12" xfId="14799" xr:uid="{00000000-0005-0000-0000-0000C0640000}"/>
    <cellStyle name="Normal 3 4 10 2 2 12 2" xfId="32296" xr:uid="{00000000-0005-0000-0000-0000C1640000}"/>
    <cellStyle name="Normal 3 4 10 2 2 13" xfId="14800" xr:uid="{00000000-0005-0000-0000-0000C2640000}"/>
    <cellStyle name="Normal 3 4 10 2 2 13 2" xfId="32297" xr:uid="{00000000-0005-0000-0000-0000C3640000}"/>
    <cellStyle name="Normal 3 4 10 2 2 14" xfId="14801" xr:uid="{00000000-0005-0000-0000-0000C4640000}"/>
    <cellStyle name="Normal 3 4 10 2 2 14 2" xfId="32298" xr:uid="{00000000-0005-0000-0000-0000C5640000}"/>
    <cellStyle name="Normal 3 4 10 2 2 15" xfId="32293" xr:uid="{00000000-0005-0000-0000-0000C6640000}"/>
    <cellStyle name="Normal 3 4 10 2 2 2" xfId="14802" xr:uid="{00000000-0005-0000-0000-0000C7640000}"/>
    <cellStyle name="Normal 3 4 10 2 2 2 2" xfId="32299" xr:uid="{00000000-0005-0000-0000-0000C8640000}"/>
    <cellStyle name="Normal 3 4 10 2 2 3" xfId="14803" xr:uid="{00000000-0005-0000-0000-0000C9640000}"/>
    <cellStyle name="Normal 3 4 10 2 2 3 2" xfId="32300" xr:uid="{00000000-0005-0000-0000-0000CA640000}"/>
    <cellStyle name="Normal 3 4 10 2 2 4" xfId="14804" xr:uid="{00000000-0005-0000-0000-0000CB640000}"/>
    <cellStyle name="Normal 3 4 10 2 2 4 2" xfId="32301" xr:uid="{00000000-0005-0000-0000-0000CC640000}"/>
    <cellStyle name="Normal 3 4 10 2 2 5" xfId="14805" xr:uid="{00000000-0005-0000-0000-0000CD640000}"/>
    <cellStyle name="Normal 3 4 10 2 2 5 2" xfId="32302" xr:uid="{00000000-0005-0000-0000-0000CE640000}"/>
    <cellStyle name="Normal 3 4 10 2 2 6" xfId="14806" xr:uid="{00000000-0005-0000-0000-0000CF640000}"/>
    <cellStyle name="Normal 3 4 10 2 2 6 2" xfId="32303" xr:uid="{00000000-0005-0000-0000-0000D0640000}"/>
    <cellStyle name="Normal 3 4 10 2 2 7" xfId="14807" xr:uid="{00000000-0005-0000-0000-0000D1640000}"/>
    <cellStyle name="Normal 3 4 10 2 2 7 2" xfId="32304" xr:uid="{00000000-0005-0000-0000-0000D2640000}"/>
    <cellStyle name="Normal 3 4 10 2 2 8" xfId="14808" xr:uid="{00000000-0005-0000-0000-0000D3640000}"/>
    <cellStyle name="Normal 3 4 10 2 2 8 2" xfId="32305" xr:uid="{00000000-0005-0000-0000-0000D4640000}"/>
    <cellStyle name="Normal 3 4 10 2 2 9" xfId="14809" xr:uid="{00000000-0005-0000-0000-0000D5640000}"/>
    <cellStyle name="Normal 3 4 10 2 2 9 2" xfId="32306" xr:uid="{00000000-0005-0000-0000-0000D6640000}"/>
    <cellStyle name="Normal 3 4 10 2 3" xfId="14810" xr:uid="{00000000-0005-0000-0000-0000D7640000}"/>
    <cellStyle name="Normal 3 4 10 2 3 2" xfId="32307" xr:uid="{00000000-0005-0000-0000-0000D8640000}"/>
    <cellStyle name="Normal 3 4 10 2 4" xfId="14811" xr:uid="{00000000-0005-0000-0000-0000D9640000}"/>
    <cellStyle name="Normal 3 4 10 2 4 2" xfId="32308" xr:uid="{00000000-0005-0000-0000-0000DA640000}"/>
    <cellStyle name="Normal 3 4 10 2 5" xfId="14812" xr:uid="{00000000-0005-0000-0000-0000DB640000}"/>
    <cellStyle name="Normal 3 4 10 2 5 2" xfId="32309" xr:uid="{00000000-0005-0000-0000-0000DC640000}"/>
    <cellStyle name="Normal 3 4 10 2 6" xfId="14813" xr:uid="{00000000-0005-0000-0000-0000DD640000}"/>
    <cellStyle name="Normal 3 4 10 2 6 2" xfId="32310" xr:uid="{00000000-0005-0000-0000-0000DE640000}"/>
    <cellStyle name="Normal 3 4 10 2 7" xfId="14814" xr:uid="{00000000-0005-0000-0000-0000DF640000}"/>
    <cellStyle name="Normal 3 4 10 2 7 2" xfId="32311" xr:uid="{00000000-0005-0000-0000-0000E0640000}"/>
    <cellStyle name="Normal 3 4 10 2 8" xfId="14815" xr:uid="{00000000-0005-0000-0000-0000E1640000}"/>
    <cellStyle name="Normal 3 4 10 2 8 2" xfId="32312" xr:uid="{00000000-0005-0000-0000-0000E2640000}"/>
    <cellStyle name="Normal 3 4 10 2 9" xfId="14816" xr:uid="{00000000-0005-0000-0000-0000E3640000}"/>
    <cellStyle name="Normal 3 4 10 2 9 2" xfId="32313" xr:uid="{00000000-0005-0000-0000-0000E4640000}"/>
    <cellStyle name="Normal 3 4 10 20" xfId="14817" xr:uid="{00000000-0005-0000-0000-0000E5640000}"/>
    <cellStyle name="Normal 3 4 10 20 2" xfId="32314" xr:uid="{00000000-0005-0000-0000-0000E6640000}"/>
    <cellStyle name="Normal 3 4 10 21" xfId="14818" xr:uid="{00000000-0005-0000-0000-0000E7640000}"/>
    <cellStyle name="Normal 3 4 10 21 2" xfId="32315" xr:uid="{00000000-0005-0000-0000-0000E8640000}"/>
    <cellStyle name="Normal 3 4 10 22" xfId="14819" xr:uid="{00000000-0005-0000-0000-0000E9640000}"/>
    <cellStyle name="Normal 3 4 10 22 2" xfId="32316" xr:uid="{00000000-0005-0000-0000-0000EA640000}"/>
    <cellStyle name="Normal 3 4 10 23" xfId="14820" xr:uid="{00000000-0005-0000-0000-0000EB640000}"/>
    <cellStyle name="Normal 3 4 10 23 2" xfId="32317" xr:uid="{00000000-0005-0000-0000-0000EC640000}"/>
    <cellStyle name="Normal 3 4 10 24" xfId="32262" xr:uid="{00000000-0005-0000-0000-0000ED640000}"/>
    <cellStyle name="Normal 3 4 10 3" xfId="14821" xr:uid="{00000000-0005-0000-0000-0000EE640000}"/>
    <cellStyle name="Normal 3 4 10 3 10" xfId="14822" xr:uid="{00000000-0005-0000-0000-0000EF640000}"/>
    <cellStyle name="Normal 3 4 10 3 10 2" xfId="32319" xr:uid="{00000000-0005-0000-0000-0000F0640000}"/>
    <cellStyle name="Normal 3 4 10 3 11" xfId="14823" xr:uid="{00000000-0005-0000-0000-0000F1640000}"/>
    <cellStyle name="Normal 3 4 10 3 11 2" xfId="32320" xr:uid="{00000000-0005-0000-0000-0000F2640000}"/>
    <cellStyle name="Normal 3 4 10 3 12" xfId="14824" xr:uid="{00000000-0005-0000-0000-0000F3640000}"/>
    <cellStyle name="Normal 3 4 10 3 12 2" xfId="32321" xr:uid="{00000000-0005-0000-0000-0000F4640000}"/>
    <cellStyle name="Normal 3 4 10 3 13" xfId="14825" xr:uid="{00000000-0005-0000-0000-0000F5640000}"/>
    <cellStyle name="Normal 3 4 10 3 13 2" xfId="32322" xr:uid="{00000000-0005-0000-0000-0000F6640000}"/>
    <cellStyle name="Normal 3 4 10 3 14" xfId="14826" xr:uid="{00000000-0005-0000-0000-0000F7640000}"/>
    <cellStyle name="Normal 3 4 10 3 14 2" xfId="32323" xr:uid="{00000000-0005-0000-0000-0000F8640000}"/>
    <cellStyle name="Normal 3 4 10 3 15" xfId="14827" xr:uid="{00000000-0005-0000-0000-0000F9640000}"/>
    <cellStyle name="Normal 3 4 10 3 15 2" xfId="32324" xr:uid="{00000000-0005-0000-0000-0000FA640000}"/>
    <cellStyle name="Normal 3 4 10 3 16" xfId="32318" xr:uid="{00000000-0005-0000-0000-0000FB640000}"/>
    <cellStyle name="Normal 3 4 10 3 2" xfId="14828" xr:uid="{00000000-0005-0000-0000-0000FC640000}"/>
    <cellStyle name="Normal 3 4 10 3 2 10" xfId="14829" xr:uid="{00000000-0005-0000-0000-0000FD640000}"/>
    <cellStyle name="Normal 3 4 10 3 2 10 2" xfId="32326" xr:uid="{00000000-0005-0000-0000-0000FE640000}"/>
    <cellStyle name="Normal 3 4 10 3 2 11" xfId="14830" xr:uid="{00000000-0005-0000-0000-0000FF640000}"/>
    <cellStyle name="Normal 3 4 10 3 2 11 2" xfId="32327" xr:uid="{00000000-0005-0000-0000-000000650000}"/>
    <cellStyle name="Normal 3 4 10 3 2 12" xfId="14831" xr:uid="{00000000-0005-0000-0000-000001650000}"/>
    <cellStyle name="Normal 3 4 10 3 2 12 2" xfId="32328" xr:uid="{00000000-0005-0000-0000-000002650000}"/>
    <cellStyle name="Normal 3 4 10 3 2 13" xfId="14832" xr:uid="{00000000-0005-0000-0000-000003650000}"/>
    <cellStyle name="Normal 3 4 10 3 2 13 2" xfId="32329" xr:uid="{00000000-0005-0000-0000-000004650000}"/>
    <cellStyle name="Normal 3 4 10 3 2 14" xfId="14833" xr:uid="{00000000-0005-0000-0000-000005650000}"/>
    <cellStyle name="Normal 3 4 10 3 2 14 2" xfId="32330" xr:uid="{00000000-0005-0000-0000-000006650000}"/>
    <cellStyle name="Normal 3 4 10 3 2 15" xfId="32325" xr:uid="{00000000-0005-0000-0000-000007650000}"/>
    <cellStyle name="Normal 3 4 10 3 2 2" xfId="14834" xr:uid="{00000000-0005-0000-0000-000008650000}"/>
    <cellStyle name="Normal 3 4 10 3 2 2 2" xfId="32331" xr:uid="{00000000-0005-0000-0000-000009650000}"/>
    <cellStyle name="Normal 3 4 10 3 2 3" xfId="14835" xr:uid="{00000000-0005-0000-0000-00000A650000}"/>
    <cellStyle name="Normal 3 4 10 3 2 3 2" xfId="32332" xr:uid="{00000000-0005-0000-0000-00000B650000}"/>
    <cellStyle name="Normal 3 4 10 3 2 4" xfId="14836" xr:uid="{00000000-0005-0000-0000-00000C650000}"/>
    <cellStyle name="Normal 3 4 10 3 2 4 2" xfId="32333" xr:uid="{00000000-0005-0000-0000-00000D650000}"/>
    <cellStyle name="Normal 3 4 10 3 2 5" xfId="14837" xr:uid="{00000000-0005-0000-0000-00000E650000}"/>
    <cellStyle name="Normal 3 4 10 3 2 5 2" xfId="32334" xr:uid="{00000000-0005-0000-0000-00000F650000}"/>
    <cellStyle name="Normal 3 4 10 3 2 6" xfId="14838" xr:uid="{00000000-0005-0000-0000-000010650000}"/>
    <cellStyle name="Normal 3 4 10 3 2 6 2" xfId="32335" xr:uid="{00000000-0005-0000-0000-000011650000}"/>
    <cellStyle name="Normal 3 4 10 3 2 7" xfId="14839" xr:uid="{00000000-0005-0000-0000-000012650000}"/>
    <cellStyle name="Normal 3 4 10 3 2 7 2" xfId="32336" xr:uid="{00000000-0005-0000-0000-000013650000}"/>
    <cellStyle name="Normal 3 4 10 3 2 8" xfId="14840" xr:uid="{00000000-0005-0000-0000-000014650000}"/>
    <cellStyle name="Normal 3 4 10 3 2 8 2" xfId="32337" xr:uid="{00000000-0005-0000-0000-000015650000}"/>
    <cellStyle name="Normal 3 4 10 3 2 9" xfId="14841" xr:uid="{00000000-0005-0000-0000-000016650000}"/>
    <cellStyle name="Normal 3 4 10 3 2 9 2" xfId="32338" xr:uid="{00000000-0005-0000-0000-000017650000}"/>
    <cellStyle name="Normal 3 4 10 3 3" xfId="14842" xr:uid="{00000000-0005-0000-0000-000018650000}"/>
    <cellStyle name="Normal 3 4 10 3 3 2" xfId="32339" xr:uid="{00000000-0005-0000-0000-000019650000}"/>
    <cellStyle name="Normal 3 4 10 3 4" xfId="14843" xr:uid="{00000000-0005-0000-0000-00001A650000}"/>
    <cellStyle name="Normal 3 4 10 3 4 2" xfId="32340" xr:uid="{00000000-0005-0000-0000-00001B650000}"/>
    <cellStyle name="Normal 3 4 10 3 5" xfId="14844" xr:uid="{00000000-0005-0000-0000-00001C650000}"/>
    <cellStyle name="Normal 3 4 10 3 5 2" xfId="32341" xr:uid="{00000000-0005-0000-0000-00001D650000}"/>
    <cellStyle name="Normal 3 4 10 3 6" xfId="14845" xr:uid="{00000000-0005-0000-0000-00001E650000}"/>
    <cellStyle name="Normal 3 4 10 3 6 2" xfId="32342" xr:uid="{00000000-0005-0000-0000-00001F650000}"/>
    <cellStyle name="Normal 3 4 10 3 7" xfId="14846" xr:uid="{00000000-0005-0000-0000-000020650000}"/>
    <cellStyle name="Normal 3 4 10 3 7 2" xfId="32343" xr:uid="{00000000-0005-0000-0000-000021650000}"/>
    <cellStyle name="Normal 3 4 10 3 8" xfId="14847" xr:uid="{00000000-0005-0000-0000-000022650000}"/>
    <cellStyle name="Normal 3 4 10 3 8 2" xfId="32344" xr:uid="{00000000-0005-0000-0000-000023650000}"/>
    <cellStyle name="Normal 3 4 10 3 9" xfId="14848" xr:uid="{00000000-0005-0000-0000-000024650000}"/>
    <cellStyle name="Normal 3 4 10 3 9 2" xfId="32345" xr:uid="{00000000-0005-0000-0000-000025650000}"/>
    <cellStyle name="Normal 3 4 10 4" xfId="14849" xr:uid="{00000000-0005-0000-0000-000026650000}"/>
    <cellStyle name="Normal 3 4 10 4 10" xfId="14850" xr:uid="{00000000-0005-0000-0000-000027650000}"/>
    <cellStyle name="Normal 3 4 10 4 10 2" xfId="32347" xr:uid="{00000000-0005-0000-0000-000028650000}"/>
    <cellStyle name="Normal 3 4 10 4 11" xfId="14851" xr:uid="{00000000-0005-0000-0000-000029650000}"/>
    <cellStyle name="Normal 3 4 10 4 11 2" xfId="32348" xr:uid="{00000000-0005-0000-0000-00002A650000}"/>
    <cellStyle name="Normal 3 4 10 4 12" xfId="14852" xr:uid="{00000000-0005-0000-0000-00002B650000}"/>
    <cellStyle name="Normal 3 4 10 4 12 2" xfId="32349" xr:uid="{00000000-0005-0000-0000-00002C650000}"/>
    <cellStyle name="Normal 3 4 10 4 13" xfId="14853" xr:uid="{00000000-0005-0000-0000-00002D650000}"/>
    <cellStyle name="Normal 3 4 10 4 13 2" xfId="32350" xr:uid="{00000000-0005-0000-0000-00002E650000}"/>
    <cellStyle name="Normal 3 4 10 4 14" xfId="14854" xr:uid="{00000000-0005-0000-0000-00002F650000}"/>
    <cellStyle name="Normal 3 4 10 4 14 2" xfId="32351" xr:uid="{00000000-0005-0000-0000-000030650000}"/>
    <cellStyle name="Normal 3 4 10 4 15" xfId="14855" xr:uid="{00000000-0005-0000-0000-000031650000}"/>
    <cellStyle name="Normal 3 4 10 4 15 2" xfId="32352" xr:uid="{00000000-0005-0000-0000-000032650000}"/>
    <cellStyle name="Normal 3 4 10 4 16" xfId="32346" xr:uid="{00000000-0005-0000-0000-000033650000}"/>
    <cellStyle name="Normal 3 4 10 4 2" xfId="14856" xr:uid="{00000000-0005-0000-0000-000034650000}"/>
    <cellStyle name="Normal 3 4 10 4 2 10" xfId="14857" xr:uid="{00000000-0005-0000-0000-000035650000}"/>
    <cellStyle name="Normal 3 4 10 4 2 10 2" xfId="32354" xr:uid="{00000000-0005-0000-0000-000036650000}"/>
    <cellStyle name="Normal 3 4 10 4 2 11" xfId="14858" xr:uid="{00000000-0005-0000-0000-000037650000}"/>
    <cellStyle name="Normal 3 4 10 4 2 11 2" xfId="32355" xr:uid="{00000000-0005-0000-0000-000038650000}"/>
    <cellStyle name="Normal 3 4 10 4 2 12" xfId="14859" xr:uid="{00000000-0005-0000-0000-000039650000}"/>
    <cellStyle name="Normal 3 4 10 4 2 12 2" xfId="32356" xr:uid="{00000000-0005-0000-0000-00003A650000}"/>
    <cellStyle name="Normal 3 4 10 4 2 13" xfId="14860" xr:uid="{00000000-0005-0000-0000-00003B650000}"/>
    <cellStyle name="Normal 3 4 10 4 2 13 2" xfId="32357" xr:uid="{00000000-0005-0000-0000-00003C650000}"/>
    <cellStyle name="Normal 3 4 10 4 2 14" xfId="14861" xr:uid="{00000000-0005-0000-0000-00003D650000}"/>
    <cellStyle name="Normal 3 4 10 4 2 14 2" xfId="32358" xr:uid="{00000000-0005-0000-0000-00003E650000}"/>
    <cellStyle name="Normal 3 4 10 4 2 15" xfId="32353" xr:uid="{00000000-0005-0000-0000-00003F650000}"/>
    <cellStyle name="Normal 3 4 10 4 2 2" xfId="14862" xr:uid="{00000000-0005-0000-0000-000040650000}"/>
    <cellStyle name="Normal 3 4 10 4 2 2 2" xfId="32359" xr:uid="{00000000-0005-0000-0000-000041650000}"/>
    <cellStyle name="Normal 3 4 10 4 2 3" xfId="14863" xr:uid="{00000000-0005-0000-0000-000042650000}"/>
    <cellStyle name="Normal 3 4 10 4 2 3 2" xfId="32360" xr:uid="{00000000-0005-0000-0000-000043650000}"/>
    <cellStyle name="Normal 3 4 10 4 2 4" xfId="14864" xr:uid="{00000000-0005-0000-0000-000044650000}"/>
    <cellStyle name="Normal 3 4 10 4 2 4 2" xfId="32361" xr:uid="{00000000-0005-0000-0000-000045650000}"/>
    <cellStyle name="Normal 3 4 10 4 2 5" xfId="14865" xr:uid="{00000000-0005-0000-0000-000046650000}"/>
    <cellStyle name="Normal 3 4 10 4 2 5 2" xfId="32362" xr:uid="{00000000-0005-0000-0000-000047650000}"/>
    <cellStyle name="Normal 3 4 10 4 2 6" xfId="14866" xr:uid="{00000000-0005-0000-0000-000048650000}"/>
    <cellStyle name="Normal 3 4 10 4 2 6 2" xfId="32363" xr:uid="{00000000-0005-0000-0000-000049650000}"/>
    <cellStyle name="Normal 3 4 10 4 2 7" xfId="14867" xr:uid="{00000000-0005-0000-0000-00004A650000}"/>
    <cellStyle name="Normal 3 4 10 4 2 7 2" xfId="32364" xr:uid="{00000000-0005-0000-0000-00004B650000}"/>
    <cellStyle name="Normal 3 4 10 4 2 8" xfId="14868" xr:uid="{00000000-0005-0000-0000-00004C650000}"/>
    <cellStyle name="Normal 3 4 10 4 2 8 2" xfId="32365" xr:uid="{00000000-0005-0000-0000-00004D650000}"/>
    <cellStyle name="Normal 3 4 10 4 2 9" xfId="14869" xr:uid="{00000000-0005-0000-0000-00004E650000}"/>
    <cellStyle name="Normal 3 4 10 4 2 9 2" xfId="32366" xr:uid="{00000000-0005-0000-0000-00004F650000}"/>
    <cellStyle name="Normal 3 4 10 4 3" xfId="14870" xr:uid="{00000000-0005-0000-0000-000050650000}"/>
    <cellStyle name="Normal 3 4 10 4 3 2" xfId="32367" xr:uid="{00000000-0005-0000-0000-000051650000}"/>
    <cellStyle name="Normal 3 4 10 4 4" xfId="14871" xr:uid="{00000000-0005-0000-0000-000052650000}"/>
    <cellStyle name="Normal 3 4 10 4 4 2" xfId="32368" xr:uid="{00000000-0005-0000-0000-000053650000}"/>
    <cellStyle name="Normal 3 4 10 4 5" xfId="14872" xr:uid="{00000000-0005-0000-0000-000054650000}"/>
    <cellStyle name="Normal 3 4 10 4 5 2" xfId="32369" xr:uid="{00000000-0005-0000-0000-000055650000}"/>
    <cellStyle name="Normal 3 4 10 4 6" xfId="14873" xr:uid="{00000000-0005-0000-0000-000056650000}"/>
    <cellStyle name="Normal 3 4 10 4 6 2" xfId="32370" xr:uid="{00000000-0005-0000-0000-000057650000}"/>
    <cellStyle name="Normal 3 4 10 4 7" xfId="14874" xr:uid="{00000000-0005-0000-0000-000058650000}"/>
    <cellStyle name="Normal 3 4 10 4 7 2" xfId="32371" xr:uid="{00000000-0005-0000-0000-000059650000}"/>
    <cellStyle name="Normal 3 4 10 4 8" xfId="14875" xr:uid="{00000000-0005-0000-0000-00005A650000}"/>
    <cellStyle name="Normal 3 4 10 4 8 2" xfId="32372" xr:uid="{00000000-0005-0000-0000-00005B650000}"/>
    <cellStyle name="Normal 3 4 10 4 9" xfId="14876" xr:uid="{00000000-0005-0000-0000-00005C650000}"/>
    <cellStyle name="Normal 3 4 10 4 9 2" xfId="32373" xr:uid="{00000000-0005-0000-0000-00005D650000}"/>
    <cellStyle name="Normal 3 4 10 5" xfId="14877" xr:uid="{00000000-0005-0000-0000-00005E650000}"/>
    <cellStyle name="Normal 3 4 10 5 10" xfId="14878" xr:uid="{00000000-0005-0000-0000-00005F650000}"/>
    <cellStyle name="Normal 3 4 10 5 10 2" xfId="32375" xr:uid="{00000000-0005-0000-0000-000060650000}"/>
    <cellStyle name="Normal 3 4 10 5 11" xfId="14879" xr:uid="{00000000-0005-0000-0000-000061650000}"/>
    <cellStyle name="Normal 3 4 10 5 11 2" xfId="32376" xr:uid="{00000000-0005-0000-0000-000062650000}"/>
    <cellStyle name="Normal 3 4 10 5 12" xfId="14880" xr:uid="{00000000-0005-0000-0000-000063650000}"/>
    <cellStyle name="Normal 3 4 10 5 12 2" xfId="32377" xr:uid="{00000000-0005-0000-0000-000064650000}"/>
    <cellStyle name="Normal 3 4 10 5 13" xfId="14881" xr:uid="{00000000-0005-0000-0000-000065650000}"/>
    <cellStyle name="Normal 3 4 10 5 13 2" xfId="32378" xr:uid="{00000000-0005-0000-0000-000066650000}"/>
    <cellStyle name="Normal 3 4 10 5 14" xfId="14882" xr:uid="{00000000-0005-0000-0000-000067650000}"/>
    <cellStyle name="Normal 3 4 10 5 14 2" xfId="32379" xr:uid="{00000000-0005-0000-0000-000068650000}"/>
    <cellStyle name="Normal 3 4 10 5 15" xfId="32374" xr:uid="{00000000-0005-0000-0000-000069650000}"/>
    <cellStyle name="Normal 3 4 10 5 2" xfId="14883" xr:uid="{00000000-0005-0000-0000-00006A650000}"/>
    <cellStyle name="Normal 3 4 10 5 2 2" xfId="32380" xr:uid="{00000000-0005-0000-0000-00006B650000}"/>
    <cellStyle name="Normal 3 4 10 5 3" xfId="14884" xr:uid="{00000000-0005-0000-0000-00006C650000}"/>
    <cellStyle name="Normal 3 4 10 5 3 2" xfId="32381" xr:uid="{00000000-0005-0000-0000-00006D650000}"/>
    <cellStyle name="Normal 3 4 10 5 4" xfId="14885" xr:uid="{00000000-0005-0000-0000-00006E650000}"/>
    <cellStyle name="Normal 3 4 10 5 4 2" xfId="32382" xr:uid="{00000000-0005-0000-0000-00006F650000}"/>
    <cellStyle name="Normal 3 4 10 5 5" xfId="14886" xr:uid="{00000000-0005-0000-0000-000070650000}"/>
    <cellStyle name="Normal 3 4 10 5 5 2" xfId="32383" xr:uid="{00000000-0005-0000-0000-000071650000}"/>
    <cellStyle name="Normal 3 4 10 5 6" xfId="14887" xr:uid="{00000000-0005-0000-0000-000072650000}"/>
    <cellStyle name="Normal 3 4 10 5 6 2" xfId="32384" xr:uid="{00000000-0005-0000-0000-000073650000}"/>
    <cellStyle name="Normal 3 4 10 5 7" xfId="14888" xr:uid="{00000000-0005-0000-0000-000074650000}"/>
    <cellStyle name="Normal 3 4 10 5 7 2" xfId="32385" xr:uid="{00000000-0005-0000-0000-000075650000}"/>
    <cellStyle name="Normal 3 4 10 5 8" xfId="14889" xr:uid="{00000000-0005-0000-0000-000076650000}"/>
    <cellStyle name="Normal 3 4 10 5 8 2" xfId="32386" xr:uid="{00000000-0005-0000-0000-000077650000}"/>
    <cellStyle name="Normal 3 4 10 5 9" xfId="14890" xr:uid="{00000000-0005-0000-0000-000078650000}"/>
    <cellStyle name="Normal 3 4 10 5 9 2" xfId="32387" xr:uid="{00000000-0005-0000-0000-000079650000}"/>
    <cellStyle name="Normal 3 4 10 6" xfId="14891" xr:uid="{00000000-0005-0000-0000-00007A650000}"/>
    <cellStyle name="Normal 3 4 10 6 10" xfId="14892" xr:uid="{00000000-0005-0000-0000-00007B650000}"/>
    <cellStyle name="Normal 3 4 10 6 10 2" xfId="32389" xr:uid="{00000000-0005-0000-0000-00007C650000}"/>
    <cellStyle name="Normal 3 4 10 6 11" xfId="14893" xr:uid="{00000000-0005-0000-0000-00007D650000}"/>
    <cellStyle name="Normal 3 4 10 6 11 2" xfId="32390" xr:uid="{00000000-0005-0000-0000-00007E650000}"/>
    <cellStyle name="Normal 3 4 10 6 12" xfId="14894" xr:uid="{00000000-0005-0000-0000-00007F650000}"/>
    <cellStyle name="Normal 3 4 10 6 12 2" xfId="32391" xr:uid="{00000000-0005-0000-0000-000080650000}"/>
    <cellStyle name="Normal 3 4 10 6 13" xfId="14895" xr:uid="{00000000-0005-0000-0000-000081650000}"/>
    <cellStyle name="Normal 3 4 10 6 13 2" xfId="32392" xr:uid="{00000000-0005-0000-0000-000082650000}"/>
    <cellStyle name="Normal 3 4 10 6 14" xfId="14896" xr:uid="{00000000-0005-0000-0000-000083650000}"/>
    <cellStyle name="Normal 3 4 10 6 14 2" xfId="32393" xr:uid="{00000000-0005-0000-0000-000084650000}"/>
    <cellStyle name="Normal 3 4 10 6 15" xfId="32388" xr:uid="{00000000-0005-0000-0000-000085650000}"/>
    <cellStyle name="Normal 3 4 10 6 2" xfId="14897" xr:uid="{00000000-0005-0000-0000-000086650000}"/>
    <cellStyle name="Normal 3 4 10 6 2 2" xfId="32394" xr:uid="{00000000-0005-0000-0000-000087650000}"/>
    <cellStyle name="Normal 3 4 10 6 3" xfId="14898" xr:uid="{00000000-0005-0000-0000-000088650000}"/>
    <cellStyle name="Normal 3 4 10 6 3 2" xfId="32395" xr:uid="{00000000-0005-0000-0000-000089650000}"/>
    <cellStyle name="Normal 3 4 10 6 4" xfId="14899" xr:uid="{00000000-0005-0000-0000-00008A650000}"/>
    <cellStyle name="Normal 3 4 10 6 4 2" xfId="32396" xr:uid="{00000000-0005-0000-0000-00008B650000}"/>
    <cellStyle name="Normal 3 4 10 6 5" xfId="14900" xr:uid="{00000000-0005-0000-0000-00008C650000}"/>
    <cellStyle name="Normal 3 4 10 6 5 2" xfId="32397" xr:uid="{00000000-0005-0000-0000-00008D650000}"/>
    <cellStyle name="Normal 3 4 10 6 6" xfId="14901" xr:uid="{00000000-0005-0000-0000-00008E650000}"/>
    <cellStyle name="Normal 3 4 10 6 6 2" xfId="32398" xr:uid="{00000000-0005-0000-0000-00008F650000}"/>
    <cellStyle name="Normal 3 4 10 6 7" xfId="14902" xr:uid="{00000000-0005-0000-0000-000090650000}"/>
    <cellStyle name="Normal 3 4 10 6 7 2" xfId="32399" xr:uid="{00000000-0005-0000-0000-000091650000}"/>
    <cellStyle name="Normal 3 4 10 6 8" xfId="14903" xr:uid="{00000000-0005-0000-0000-000092650000}"/>
    <cellStyle name="Normal 3 4 10 6 8 2" xfId="32400" xr:uid="{00000000-0005-0000-0000-000093650000}"/>
    <cellStyle name="Normal 3 4 10 6 9" xfId="14904" xr:uid="{00000000-0005-0000-0000-000094650000}"/>
    <cellStyle name="Normal 3 4 10 6 9 2" xfId="32401" xr:uid="{00000000-0005-0000-0000-000095650000}"/>
    <cellStyle name="Normal 3 4 10 7" xfId="14905" xr:uid="{00000000-0005-0000-0000-000096650000}"/>
    <cellStyle name="Normal 3 4 10 7 10" xfId="14906" xr:uid="{00000000-0005-0000-0000-000097650000}"/>
    <cellStyle name="Normal 3 4 10 7 10 2" xfId="32403" xr:uid="{00000000-0005-0000-0000-000098650000}"/>
    <cellStyle name="Normal 3 4 10 7 11" xfId="14907" xr:uid="{00000000-0005-0000-0000-000099650000}"/>
    <cellStyle name="Normal 3 4 10 7 11 2" xfId="32404" xr:uid="{00000000-0005-0000-0000-00009A650000}"/>
    <cellStyle name="Normal 3 4 10 7 12" xfId="14908" xr:uid="{00000000-0005-0000-0000-00009B650000}"/>
    <cellStyle name="Normal 3 4 10 7 12 2" xfId="32405" xr:uid="{00000000-0005-0000-0000-00009C650000}"/>
    <cellStyle name="Normal 3 4 10 7 13" xfId="14909" xr:uid="{00000000-0005-0000-0000-00009D650000}"/>
    <cellStyle name="Normal 3 4 10 7 13 2" xfId="32406" xr:uid="{00000000-0005-0000-0000-00009E650000}"/>
    <cellStyle name="Normal 3 4 10 7 14" xfId="14910" xr:uid="{00000000-0005-0000-0000-00009F650000}"/>
    <cellStyle name="Normal 3 4 10 7 14 2" xfId="32407" xr:uid="{00000000-0005-0000-0000-0000A0650000}"/>
    <cellStyle name="Normal 3 4 10 7 15" xfId="32402" xr:uid="{00000000-0005-0000-0000-0000A1650000}"/>
    <cellStyle name="Normal 3 4 10 7 2" xfId="14911" xr:uid="{00000000-0005-0000-0000-0000A2650000}"/>
    <cellStyle name="Normal 3 4 10 7 2 2" xfId="32408" xr:uid="{00000000-0005-0000-0000-0000A3650000}"/>
    <cellStyle name="Normal 3 4 10 7 3" xfId="14912" xr:uid="{00000000-0005-0000-0000-0000A4650000}"/>
    <cellStyle name="Normal 3 4 10 7 3 2" xfId="32409" xr:uid="{00000000-0005-0000-0000-0000A5650000}"/>
    <cellStyle name="Normal 3 4 10 7 4" xfId="14913" xr:uid="{00000000-0005-0000-0000-0000A6650000}"/>
    <cellStyle name="Normal 3 4 10 7 4 2" xfId="32410" xr:uid="{00000000-0005-0000-0000-0000A7650000}"/>
    <cellStyle name="Normal 3 4 10 7 5" xfId="14914" xr:uid="{00000000-0005-0000-0000-0000A8650000}"/>
    <cellStyle name="Normal 3 4 10 7 5 2" xfId="32411" xr:uid="{00000000-0005-0000-0000-0000A9650000}"/>
    <cellStyle name="Normal 3 4 10 7 6" xfId="14915" xr:uid="{00000000-0005-0000-0000-0000AA650000}"/>
    <cellStyle name="Normal 3 4 10 7 6 2" xfId="32412" xr:uid="{00000000-0005-0000-0000-0000AB650000}"/>
    <cellStyle name="Normal 3 4 10 7 7" xfId="14916" xr:uid="{00000000-0005-0000-0000-0000AC650000}"/>
    <cellStyle name="Normal 3 4 10 7 7 2" xfId="32413" xr:uid="{00000000-0005-0000-0000-0000AD650000}"/>
    <cellStyle name="Normal 3 4 10 7 8" xfId="14917" xr:uid="{00000000-0005-0000-0000-0000AE650000}"/>
    <cellStyle name="Normal 3 4 10 7 8 2" xfId="32414" xr:uid="{00000000-0005-0000-0000-0000AF650000}"/>
    <cellStyle name="Normal 3 4 10 7 9" xfId="14918" xr:uid="{00000000-0005-0000-0000-0000B0650000}"/>
    <cellStyle name="Normal 3 4 10 7 9 2" xfId="32415" xr:uid="{00000000-0005-0000-0000-0000B1650000}"/>
    <cellStyle name="Normal 3 4 10 8" xfId="14919" xr:uid="{00000000-0005-0000-0000-0000B2650000}"/>
    <cellStyle name="Normal 3 4 10 8 10" xfId="14920" xr:uid="{00000000-0005-0000-0000-0000B3650000}"/>
    <cellStyle name="Normal 3 4 10 8 10 2" xfId="32417" xr:uid="{00000000-0005-0000-0000-0000B4650000}"/>
    <cellStyle name="Normal 3 4 10 8 11" xfId="14921" xr:uid="{00000000-0005-0000-0000-0000B5650000}"/>
    <cellStyle name="Normal 3 4 10 8 11 2" xfId="32418" xr:uid="{00000000-0005-0000-0000-0000B6650000}"/>
    <cellStyle name="Normal 3 4 10 8 12" xfId="14922" xr:uid="{00000000-0005-0000-0000-0000B7650000}"/>
    <cellStyle name="Normal 3 4 10 8 12 2" xfId="32419" xr:uid="{00000000-0005-0000-0000-0000B8650000}"/>
    <cellStyle name="Normal 3 4 10 8 13" xfId="14923" xr:uid="{00000000-0005-0000-0000-0000B9650000}"/>
    <cellStyle name="Normal 3 4 10 8 13 2" xfId="32420" xr:uid="{00000000-0005-0000-0000-0000BA650000}"/>
    <cellStyle name="Normal 3 4 10 8 14" xfId="14924" xr:uid="{00000000-0005-0000-0000-0000BB650000}"/>
    <cellStyle name="Normal 3 4 10 8 14 2" xfId="32421" xr:uid="{00000000-0005-0000-0000-0000BC650000}"/>
    <cellStyle name="Normal 3 4 10 8 15" xfId="32416" xr:uid="{00000000-0005-0000-0000-0000BD650000}"/>
    <cellStyle name="Normal 3 4 10 8 2" xfId="14925" xr:uid="{00000000-0005-0000-0000-0000BE650000}"/>
    <cellStyle name="Normal 3 4 10 8 2 2" xfId="32422" xr:uid="{00000000-0005-0000-0000-0000BF650000}"/>
    <cellStyle name="Normal 3 4 10 8 3" xfId="14926" xr:uid="{00000000-0005-0000-0000-0000C0650000}"/>
    <cellStyle name="Normal 3 4 10 8 3 2" xfId="32423" xr:uid="{00000000-0005-0000-0000-0000C1650000}"/>
    <cellStyle name="Normal 3 4 10 8 4" xfId="14927" xr:uid="{00000000-0005-0000-0000-0000C2650000}"/>
    <cellStyle name="Normal 3 4 10 8 4 2" xfId="32424" xr:uid="{00000000-0005-0000-0000-0000C3650000}"/>
    <cellStyle name="Normal 3 4 10 8 5" xfId="14928" xr:uid="{00000000-0005-0000-0000-0000C4650000}"/>
    <cellStyle name="Normal 3 4 10 8 5 2" xfId="32425" xr:uid="{00000000-0005-0000-0000-0000C5650000}"/>
    <cellStyle name="Normal 3 4 10 8 6" xfId="14929" xr:uid="{00000000-0005-0000-0000-0000C6650000}"/>
    <cellStyle name="Normal 3 4 10 8 6 2" xfId="32426" xr:uid="{00000000-0005-0000-0000-0000C7650000}"/>
    <cellStyle name="Normal 3 4 10 8 7" xfId="14930" xr:uid="{00000000-0005-0000-0000-0000C8650000}"/>
    <cellStyle name="Normal 3 4 10 8 7 2" xfId="32427" xr:uid="{00000000-0005-0000-0000-0000C9650000}"/>
    <cellStyle name="Normal 3 4 10 8 8" xfId="14931" xr:uid="{00000000-0005-0000-0000-0000CA650000}"/>
    <cellStyle name="Normal 3 4 10 8 8 2" xfId="32428" xr:uid="{00000000-0005-0000-0000-0000CB650000}"/>
    <cellStyle name="Normal 3 4 10 8 9" xfId="14932" xr:uid="{00000000-0005-0000-0000-0000CC650000}"/>
    <cellStyle name="Normal 3 4 10 8 9 2" xfId="32429" xr:uid="{00000000-0005-0000-0000-0000CD650000}"/>
    <cellStyle name="Normal 3 4 10 9" xfId="14933" xr:uid="{00000000-0005-0000-0000-0000CE650000}"/>
    <cellStyle name="Normal 3 4 10 9 10" xfId="14934" xr:uid="{00000000-0005-0000-0000-0000CF650000}"/>
    <cellStyle name="Normal 3 4 10 9 10 2" xfId="32431" xr:uid="{00000000-0005-0000-0000-0000D0650000}"/>
    <cellStyle name="Normal 3 4 10 9 11" xfId="14935" xr:uid="{00000000-0005-0000-0000-0000D1650000}"/>
    <cellStyle name="Normal 3 4 10 9 11 2" xfId="32432" xr:uid="{00000000-0005-0000-0000-0000D2650000}"/>
    <cellStyle name="Normal 3 4 10 9 12" xfId="14936" xr:uid="{00000000-0005-0000-0000-0000D3650000}"/>
    <cellStyle name="Normal 3 4 10 9 12 2" xfId="32433" xr:uid="{00000000-0005-0000-0000-0000D4650000}"/>
    <cellStyle name="Normal 3 4 10 9 13" xfId="14937" xr:uid="{00000000-0005-0000-0000-0000D5650000}"/>
    <cellStyle name="Normal 3 4 10 9 13 2" xfId="32434" xr:uid="{00000000-0005-0000-0000-0000D6650000}"/>
    <cellStyle name="Normal 3 4 10 9 14" xfId="14938" xr:uid="{00000000-0005-0000-0000-0000D7650000}"/>
    <cellStyle name="Normal 3 4 10 9 14 2" xfId="32435" xr:uid="{00000000-0005-0000-0000-0000D8650000}"/>
    <cellStyle name="Normal 3 4 10 9 15" xfId="32430" xr:uid="{00000000-0005-0000-0000-0000D9650000}"/>
    <cellStyle name="Normal 3 4 10 9 2" xfId="14939" xr:uid="{00000000-0005-0000-0000-0000DA650000}"/>
    <cellStyle name="Normal 3 4 10 9 2 2" xfId="32436" xr:uid="{00000000-0005-0000-0000-0000DB650000}"/>
    <cellStyle name="Normal 3 4 10 9 3" xfId="14940" xr:uid="{00000000-0005-0000-0000-0000DC650000}"/>
    <cellStyle name="Normal 3 4 10 9 3 2" xfId="32437" xr:uid="{00000000-0005-0000-0000-0000DD650000}"/>
    <cellStyle name="Normal 3 4 10 9 4" xfId="14941" xr:uid="{00000000-0005-0000-0000-0000DE650000}"/>
    <cellStyle name="Normal 3 4 10 9 4 2" xfId="32438" xr:uid="{00000000-0005-0000-0000-0000DF650000}"/>
    <cellStyle name="Normal 3 4 10 9 5" xfId="14942" xr:uid="{00000000-0005-0000-0000-0000E0650000}"/>
    <cellStyle name="Normal 3 4 10 9 5 2" xfId="32439" xr:uid="{00000000-0005-0000-0000-0000E1650000}"/>
    <cellStyle name="Normal 3 4 10 9 6" xfId="14943" xr:uid="{00000000-0005-0000-0000-0000E2650000}"/>
    <cellStyle name="Normal 3 4 10 9 6 2" xfId="32440" xr:uid="{00000000-0005-0000-0000-0000E3650000}"/>
    <cellStyle name="Normal 3 4 10 9 7" xfId="14944" xr:uid="{00000000-0005-0000-0000-0000E4650000}"/>
    <cellStyle name="Normal 3 4 10 9 7 2" xfId="32441" xr:uid="{00000000-0005-0000-0000-0000E5650000}"/>
    <cellStyle name="Normal 3 4 10 9 8" xfId="14945" xr:uid="{00000000-0005-0000-0000-0000E6650000}"/>
    <cellStyle name="Normal 3 4 10 9 8 2" xfId="32442" xr:uid="{00000000-0005-0000-0000-0000E7650000}"/>
    <cellStyle name="Normal 3 4 10 9 9" xfId="14946" xr:uid="{00000000-0005-0000-0000-0000E8650000}"/>
    <cellStyle name="Normal 3 4 10 9 9 2" xfId="32443" xr:uid="{00000000-0005-0000-0000-0000E9650000}"/>
    <cellStyle name="Normal 3 4 11" xfId="14947" xr:uid="{00000000-0005-0000-0000-0000EA650000}"/>
    <cellStyle name="Normal 3 4 11 10" xfId="14948" xr:uid="{00000000-0005-0000-0000-0000EB650000}"/>
    <cellStyle name="Normal 3 4 11 10 10" xfId="14949" xr:uid="{00000000-0005-0000-0000-0000EC650000}"/>
    <cellStyle name="Normal 3 4 11 10 10 2" xfId="32446" xr:uid="{00000000-0005-0000-0000-0000ED650000}"/>
    <cellStyle name="Normal 3 4 11 10 11" xfId="14950" xr:uid="{00000000-0005-0000-0000-0000EE650000}"/>
    <cellStyle name="Normal 3 4 11 10 11 2" xfId="32447" xr:uid="{00000000-0005-0000-0000-0000EF650000}"/>
    <cellStyle name="Normal 3 4 11 10 12" xfId="14951" xr:uid="{00000000-0005-0000-0000-0000F0650000}"/>
    <cellStyle name="Normal 3 4 11 10 12 2" xfId="32448" xr:uid="{00000000-0005-0000-0000-0000F1650000}"/>
    <cellStyle name="Normal 3 4 11 10 13" xfId="14952" xr:uid="{00000000-0005-0000-0000-0000F2650000}"/>
    <cellStyle name="Normal 3 4 11 10 13 2" xfId="32449" xr:uid="{00000000-0005-0000-0000-0000F3650000}"/>
    <cellStyle name="Normal 3 4 11 10 14" xfId="14953" xr:uid="{00000000-0005-0000-0000-0000F4650000}"/>
    <cellStyle name="Normal 3 4 11 10 14 2" xfId="32450" xr:uid="{00000000-0005-0000-0000-0000F5650000}"/>
    <cellStyle name="Normal 3 4 11 10 15" xfId="32445" xr:uid="{00000000-0005-0000-0000-0000F6650000}"/>
    <cellStyle name="Normal 3 4 11 10 2" xfId="14954" xr:uid="{00000000-0005-0000-0000-0000F7650000}"/>
    <cellStyle name="Normal 3 4 11 10 2 2" xfId="32451" xr:uid="{00000000-0005-0000-0000-0000F8650000}"/>
    <cellStyle name="Normal 3 4 11 10 3" xfId="14955" xr:uid="{00000000-0005-0000-0000-0000F9650000}"/>
    <cellStyle name="Normal 3 4 11 10 3 2" xfId="32452" xr:uid="{00000000-0005-0000-0000-0000FA650000}"/>
    <cellStyle name="Normal 3 4 11 10 4" xfId="14956" xr:uid="{00000000-0005-0000-0000-0000FB650000}"/>
    <cellStyle name="Normal 3 4 11 10 4 2" xfId="32453" xr:uid="{00000000-0005-0000-0000-0000FC650000}"/>
    <cellStyle name="Normal 3 4 11 10 5" xfId="14957" xr:uid="{00000000-0005-0000-0000-0000FD650000}"/>
    <cellStyle name="Normal 3 4 11 10 5 2" xfId="32454" xr:uid="{00000000-0005-0000-0000-0000FE650000}"/>
    <cellStyle name="Normal 3 4 11 10 6" xfId="14958" xr:uid="{00000000-0005-0000-0000-0000FF650000}"/>
    <cellStyle name="Normal 3 4 11 10 6 2" xfId="32455" xr:uid="{00000000-0005-0000-0000-000000660000}"/>
    <cellStyle name="Normal 3 4 11 10 7" xfId="14959" xr:uid="{00000000-0005-0000-0000-000001660000}"/>
    <cellStyle name="Normal 3 4 11 10 7 2" xfId="32456" xr:uid="{00000000-0005-0000-0000-000002660000}"/>
    <cellStyle name="Normal 3 4 11 10 8" xfId="14960" xr:uid="{00000000-0005-0000-0000-000003660000}"/>
    <cellStyle name="Normal 3 4 11 10 8 2" xfId="32457" xr:uid="{00000000-0005-0000-0000-000004660000}"/>
    <cellStyle name="Normal 3 4 11 10 9" xfId="14961" xr:uid="{00000000-0005-0000-0000-000005660000}"/>
    <cellStyle name="Normal 3 4 11 10 9 2" xfId="32458" xr:uid="{00000000-0005-0000-0000-000006660000}"/>
    <cellStyle name="Normal 3 4 11 11" xfId="14962" xr:uid="{00000000-0005-0000-0000-000007660000}"/>
    <cellStyle name="Normal 3 4 11 11 2" xfId="32459" xr:uid="{00000000-0005-0000-0000-000008660000}"/>
    <cellStyle name="Normal 3 4 11 12" xfId="14963" xr:uid="{00000000-0005-0000-0000-000009660000}"/>
    <cellStyle name="Normal 3 4 11 12 2" xfId="32460" xr:uid="{00000000-0005-0000-0000-00000A660000}"/>
    <cellStyle name="Normal 3 4 11 13" xfId="14964" xr:uid="{00000000-0005-0000-0000-00000B660000}"/>
    <cellStyle name="Normal 3 4 11 13 2" xfId="32461" xr:uid="{00000000-0005-0000-0000-00000C660000}"/>
    <cellStyle name="Normal 3 4 11 14" xfId="14965" xr:uid="{00000000-0005-0000-0000-00000D660000}"/>
    <cellStyle name="Normal 3 4 11 14 2" xfId="32462" xr:uid="{00000000-0005-0000-0000-00000E660000}"/>
    <cellStyle name="Normal 3 4 11 15" xfId="14966" xr:uid="{00000000-0005-0000-0000-00000F660000}"/>
    <cellStyle name="Normal 3 4 11 15 2" xfId="32463" xr:uid="{00000000-0005-0000-0000-000010660000}"/>
    <cellStyle name="Normal 3 4 11 16" xfId="14967" xr:uid="{00000000-0005-0000-0000-000011660000}"/>
    <cellStyle name="Normal 3 4 11 16 2" xfId="32464" xr:uid="{00000000-0005-0000-0000-000012660000}"/>
    <cellStyle name="Normal 3 4 11 17" xfId="14968" xr:uid="{00000000-0005-0000-0000-000013660000}"/>
    <cellStyle name="Normal 3 4 11 17 2" xfId="32465" xr:uid="{00000000-0005-0000-0000-000014660000}"/>
    <cellStyle name="Normal 3 4 11 18" xfId="14969" xr:uid="{00000000-0005-0000-0000-000015660000}"/>
    <cellStyle name="Normal 3 4 11 18 2" xfId="32466" xr:uid="{00000000-0005-0000-0000-000016660000}"/>
    <cellStyle name="Normal 3 4 11 19" xfId="14970" xr:uid="{00000000-0005-0000-0000-000017660000}"/>
    <cellStyle name="Normal 3 4 11 19 2" xfId="32467" xr:uid="{00000000-0005-0000-0000-000018660000}"/>
    <cellStyle name="Normal 3 4 11 2" xfId="14971" xr:uid="{00000000-0005-0000-0000-000019660000}"/>
    <cellStyle name="Normal 3 4 11 2 10" xfId="14972" xr:uid="{00000000-0005-0000-0000-00001A660000}"/>
    <cellStyle name="Normal 3 4 11 2 10 2" xfId="32469" xr:uid="{00000000-0005-0000-0000-00001B660000}"/>
    <cellStyle name="Normal 3 4 11 2 11" xfId="14973" xr:uid="{00000000-0005-0000-0000-00001C660000}"/>
    <cellStyle name="Normal 3 4 11 2 11 2" xfId="32470" xr:uid="{00000000-0005-0000-0000-00001D660000}"/>
    <cellStyle name="Normal 3 4 11 2 12" xfId="14974" xr:uid="{00000000-0005-0000-0000-00001E660000}"/>
    <cellStyle name="Normal 3 4 11 2 12 2" xfId="32471" xr:uid="{00000000-0005-0000-0000-00001F660000}"/>
    <cellStyle name="Normal 3 4 11 2 13" xfId="14975" xr:uid="{00000000-0005-0000-0000-000020660000}"/>
    <cellStyle name="Normal 3 4 11 2 13 2" xfId="32472" xr:uid="{00000000-0005-0000-0000-000021660000}"/>
    <cellStyle name="Normal 3 4 11 2 14" xfId="14976" xr:uid="{00000000-0005-0000-0000-000022660000}"/>
    <cellStyle name="Normal 3 4 11 2 14 2" xfId="32473" xr:uid="{00000000-0005-0000-0000-000023660000}"/>
    <cellStyle name="Normal 3 4 11 2 15" xfId="14977" xr:uid="{00000000-0005-0000-0000-000024660000}"/>
    <cellStyle name="Normal 3 4 11 2 15 2" xfId="32474" xr:uid="{00000000-0005-0000-0000-000025660000}"/>
    <cellStyle name="Normal 3 4 11 2 16" xfId="32468" xr:uid="{00000000-0005-0000-0000-000026660000}"/>
    <cellStyle name="Normal 3 4 11 2 2" xfId="14978" xr:uid="{00000000-0005-0000-0000-000027660000}"/>
    <cellStyle name="Normal 3 4 11 2 2 10" xfId="14979" xr:uid="{00000000-0005-0000-0000-000028660000}"/>
    <cellStyle name="Normal 3 4 11 2 2 10 2" xfId="32476" xr:uid="{00000000-0005-0000-0000-000029660000}"/>
    <cellStyle name="Normal 3 4 11 2 2 11" xfId="14980" xr:uid="{00000000-0005-0000-0000-00002A660000}"/>
    <cellStyle name="Normal 3 4 11 2 2 11 2" xfId="32477" xr:uid="{00000000-0005-0000-0000-00002B660000}"/>
    <cellStyle name="Normal 3 4 11 2 2 12" xfId="14981" xr:uid="{00000000-0005-0000-0000-00002C660000}"/>
    <cellStyle name="Normal 3 4 11 2 2 12 2" xfId="32478" xr:uid="{00000000-0005-0000-0000-00002D660000}"/>
    <cellStyle name="Normal 3 4 11 2 2 13" xfId="14982" xr:uid="{00000000-0005-0000-0000-00002E660000}"/>
    <cellStyle name="Normal 3 4 11 2 2 13 2" xfId="32479" xr:uid="{00000000-0005-0000-0000-00002F660000}"/>
    <cellStyle name="Normal 3 4 11 2 2 14" xfId="14983" xr:uid="{00000000-0005-0000-0000-000030660000}"/>
    <cellStyle name="Normal 3 4 11 2 2 14 2" xfId="32480" xr:uid="{00000000-0005-0000-0000-000031660000}"/>
    <cellStyle name="Normal 3 4 11 2 2 15" xfId="32475" xr:uid="{00000000-0005-0000-0000-000032660000}"/>
    <cellStyle name="Normal 3 4 11 2 2 2" xfId="14984" xr:uid="{00000000-0005-0000-0000-000033660000}"/>
    <cellStyle name="Normal 3 4 11 2 2 2 2" xfId="32481" xr:uid="{00000000-0005-0000-0000-000034660000}"/>
    <cellStyle name="Normal 3 4 11 2 2 3" xfId="14985" xr:uid="{00000000-0005-0000-0000-000035660000}"/>
    <cellStyle name="Normal 3 4 11 2 2 3 2" xfId="32482" xr:uid="{00000000-0005-0000-0000-000036660000}"/>
    <cellStyle name="Normal 3 4 11 2 2 4" xfId="14986" xr:uid="{00000000-0005-0000-0000-000037660000}"/>
    <cellStyle name="Normal 3 4 11 2 2 4 2" xfId="32483" xr:uid="{00000000-0005-0000-0000-000038660000}"/>
    <cellStyle name="Normal 3 4 11 2 2 5" xfId="14987" xr:uid="{00000000-0005-0000-0000-000039660000}"/>
    <cellStyle name="Normal 3 4 11 2 2 5 2" xfId="32484" xr:uid="{00000000-0005-0000-0000-00003A660000}"/>
    <cellStyle name="Normal 3 4 11 2 2 6" xfId="14988" xr:uid="{00000000-0005-0000-0000-00003B660000}"/>
    <cellStyle name="Normal 3 4 11 2 2 6 2" xfId="32485" xr:uid="{00000000-0005-0000-0000-00003C660000}"/>
    <cellStyle name="Normal 3 4 11 2 2 7" xfId="14989" xr:uid="{00000000-0005-0000-0000-00003D660000}"/>
    <cellStyle name="Normal 3 4 11 2 2 7 2" xfId="32486" xr:uid="{00000000-0005-0000-0000-00003E660000}"/>
    <cellStyle name="Normal 3 4 11 2 2 8" xfId="14990" xr:uid="{00000000-0005-0000-0000-00003F660000}"/>
    <cellStyle name="Normal 3 4 11 2 2 8 2" xfId="32487" xr:uid="{00000000-0005-0000-0000-000040660000}"/>
    <cellStyle name="Normal 3 4 11 2 2 9" xfId="14991" xr:uid="{00000000-0005-0000-0000-000041660000}"/>
    <cellStyle name="Normal 3 4 11 2 2 9 2" xfId="32488" xr:uid="{00000000-0005-0000-0000-000042660000}"/>
    <cellStyle name="Normal 3 4 11 2 3" xfId="14992" xr:uid="{00000000-0005-0000-0000-000043660000}"/>
    <cellStyle name="Normal 3 4 11 2 3 2" xfId="32489" xr:uid="{00000000-0005-0000-0000-000044660000}"/>
    <cellStyle name="Normal 3 4 11 2 4" xfId="14993" xr:uid="{00000000-0005-0000-0000-000045660000}"/>
    <cellStyle name="Normal 3 4 11 2 4 2" xfId="32490" xr:uid="{00000000-0005-0000-0000-000046660000}"/>
    <cellStyle name="Normal 3 4 11 2 5" xfId="14994" xr:uid="{00000000-0005-0000-0000-000047660000}"/>
    <cellStyle name="Normal 3 4 11 2 5 2" xfId="32491" xr:uid="{00000000-0005-0000-0000-000048660000}"/>
    <cellStyle name="Normal 3 4 11 2 6" xfId="14995" xr:uid="{00000000-0005-0000-0000-000049660000}"/>
    <cellStyle name="Normal 3 4 11 2 6 2" xfId="32492" xr:uid="{00000000-0005-0000-0000-00004A660000}"/>
    <cellStyle name="Normal 3 4 11 2 7" xfId="14996" xr:uid="{00000000-0005-0000-0000-00004B660000}"/>
    <cellStyle name="Normal 3 4 11 2 7 2" xfId="32493" xr:uid="{00000000-0005-0000-0000-00004C660000}"/>
    <cellStyle name="Normal 3 4 11 2 8" xfId="14997" xr:uid="{00000000-0005-0000-0000-00004D660000}"/>
    <cellStyle name="Normal 3 4 11 2 8 2" xfId="32494" xr:uid="{00000000-0005-0000-0000-00004E660000}"/>
    <cellStyle name="Normal 3 4 11 2 9" xfId="14998" xr:uid="{00000000-0005-0000-0000-00004F660000}"/>
    <cellStyle name="Normal 3 4 11 2 9 2" xfId="32495" xr:uid="{00000000-0005-0000-0000-000050660000}"/>
    <cellStyle name="Normal 3 4 11 20" xfId="14999" xr:uid="{00000000-0005-0000-0000-000051660000}"/>
    <cellStyle name="Normal 3 4 11 20 2" xfId="32496" xr:uid="{00000000-0005-0000-0000-000052660000}"/>
    <cellStyle name="Normal 3 4 11 21" xfId="15000" xr:uid="{00000000-0005-0000-0000-000053660000}"/>
    <cellStyle name="Normal 3 4 11 21 2" xfId="32497" xr:uid="{00000000-0005-0000-0000-000054660000}"/>
    <cellStyle name="Normal 3 4 11 22" xfId="15001" xr:uid="{00000000-0005-0000-0000-000055660000}"/>
    <cellStyle name="Normal 3 4 11 22 2" xfId="32498" xr:uid="{00000000-0005-0000-0000-000056660000}"/>
    <cellStyle name="Normal 3 4 11 23" xfId="15002" xr:uid="{00000000-0005-0000-0000-000057660000}"/>
    <cellStyle name="Normal 3 4 11 23 2" xfId="32499" xr:uid="{00000000-0005-0000-0000-000058660000}"/>
    <cellStyle name="Normal 3 4 11 24" xfId="32444" xr:uid="{00000000-0005-0000-0000-000059660000}"/>
    <cellStyle name="Normal 3 4 11 3" xfId="15003" xr:uid="{00000000-0005-0000-0000-00005A660000}"/>
    <cellStyle name="Normal 3 4 11 3 10" xfId="15004" xr:uid="{00000000-0005-0000-0000-00005B660000}"/>
    <cellStyle name="Normal 3 4 11 3 10 2" xfId="32501" xr:uid="{00000000-0005-0000-0000-00005C660000}"/>
    <cellStyle name="Normal 3 4 11 3 11" xfId="15005" xr:uid="{00000000-0005-0000-0000-00005D660000}"/>
    <cellStyle name="Normal 3 4 11 3 11 2" xfId="32502" xr:uid="{00000000-0005-0000-0000-00005E660000}"/>
    <cellStyle name="Normal 3 4 11 3 12" xfId="15006" xr:uid="{00000000-0005-0000-0000-00005F660000}"/>
    <cellStyle name="Normal 3 4 11 3 12 2" xfId="32503" xr:uid="{00000000-0005-0000-0000-000060660000}"/>
    <cellStyle name="Normal 3 4 11 3 13" xfId="15007" xr:uid="{00000000-0005-0000-0000-000061660000}"/>
    <cellStyle name="Normal 3 4 11 3 13 2" xfId="32504" xr:uid="{00000000-0005-0000-0000-000062660000}"/>
    <cellStyle name="Normal 3 4 11 3 14" xfId="15008" xr:uid="{00000000-0005-0000-0000-000063660000}"/>
    <cellStyle name="Normal 3 4 11 3 14 2" xfId="32505" xr:uid="{00000000-0005-0000-0000-000064660000}"/>
    <cellStyle name="Normal 3 4 11 3 15" xfId="15009" xr:uid="{00000000-0005-0000-0000-000065660000}"/>
    <cellStyle name="Normal 3 4 11 3 15 2" xfId="32506" xr:uid="{00000000-0005-0000-0000-000066660000}"/>
    <cellStyle name="Normal 3 4 11 3 16" xfId="32500" xr:uid="{00000000-0005-0000-0000-000067660000}"/>
    <cellStyle name="Normal 3 4 11 3 2" xfId="15010" xr:uid="{00000000-0005-0000-0000-000068660000}"/>
    <cellStyle name="Normal 3 4 11 3 2 10" xfId="15011" xr:uid="{00000000-0005-0000-0000-000069660000}"/>
    <cellStyle name="Normal 3 4 11 3 2 10 2" xfId="32508" xr:uid="{00000000-0005-0000-0000-00006A660000}"/>
    <cellStyle name="Normal 3 4 11 3 2 11" xfId="15012" xr:uid="{00000000-0005-0000-0000-00006B660000}"/>
    <cellStyle name="Normal 3 4 11 3 2 11 2" xfId="32509" xr:uid="{00000000-0005-0000-0000-00006C660000}"/>
    <cellStyle name="Normal 3 4 11 3 2 12" xfId="15013" xr:uid="{00000000-0005-0000-0000-00006D660000}"/>
    <cellStyle name="Normal 3 4 11 3 2 12 2" xfId="32510" xr:uid="{00000000-0005-0000-0000-00006E660000}"/>
    <cellStyle name="Normal 3 4 11 3 2 13" xfId="15014" xr:uid="{00000000-0005-0000-0000-00006F660000}"/>
    <cellStyle name="Normal 3 4 11 3 2 13 2" xfId="32511" xr:uid="{00000000-0005-0000-0000-000070660000}"/>
    <cellStyle name="Normal 3 4 11 3 2 14" xfId="15015" xr:uid="{00000000-0005-0000-0000-000071660000}"/>
    <cellStyle name="Normal 3 4 11 3 2 14 2" xfId="32512" xr:uid="{00000000-0005-0000-0000-000072660000}"/>
    <cellStyle name="Normal 3 4 11 3 2 15" xfId="32507" xr:uid="{00000000-0005-0000-0000-000073660000}"/>
    <cellStyle name="Normal 3 4 11 3 2 2" xfId="15016" xr:uid="{00000000-0005-0000-0000-000074660000}"/>
    <cellStyle name="Normal 3 4 11 3 2 2 2" xfId="32513" xr:uid="{00000000-0005-0000-0000-000075660000}"/>
    <cellStyle name="Normal 3 4 11 3 2 3" xfId="15017" xr:uid="{00000000-0005-0000-0000-000076660000}"/>
    <cellStyle name="Normal 3 4 11 3 2 3 2" xfId="32514" xr:uid="{00000000-0005-0000-0000-000077660000}"/>
    <cellStyle name="Normal 3 4 11 3 2 4" xfId="15018" xr:uid="{00000000-0005-0000-0000-000078660000}"/>
    <cellStyle name="Normal 3 4 11 3 2 4 2" xfId="32515" xr:uid="{00000000-0005-0000-0000-000079660000}"/>
    <cellStyle name="Normal 3 4 11 3 2 5" xfId="15019" xr:uid="{00000000-0005-0000-0000-00007A660000}"/>
    <cellStyle name="Normal 3 4 11 3 2 5 2" xfId="32516" xr:uid="{00000000-0005-0000-0000-00007B660000}"/>
    <cellStyle name="Normal 3 4 11 3 2 6" xfId="15020" xr:uid="{00000000-0005-0000-0000-00007C660000}"/>
    <cellStyle name="Normal 3 4 11 3 2 6 2" xfId="32517" xr:uid="{00000000-0005-0000-0000-00007D660000}"/>
    <cellStyle name="Normal 3 4 11 3 2 7" xfId="15021" xr:uid="{00000000-0005-0000-0000-00007E660000}"/>
    <cellStyle name="Normal 3 4 11 3 2 7 2" xfId="32518" xr:uid="{00000000-0005-0000-0000-00007F660000}"/>
    <cellStyle name="Normal 3 4 11 3 2 8" xfId="15022" xr:uid="{00000000-0005-0000-0000-000080660000}"/>
    <cellStyle name="Normal 3 4 11 3 2 8 2" xfId="32519" xr:uid="{00000000-0005-0000-0000-000081660000}"/>
    <cellStyle name="Normal 3 4 11 3 2 9" xfId="15023" xr:uid="{00000000-0005-0000-0000-000082660000}"/>
    <cellStyle name="Normal 3 4 11 3 2 9 2" xfId="32520" xr:uid="{00000000-0005-0000-0000-000083660000}"/>
    <cellStyle name="Normal 3 4 11 3 3" xfId="15024" xr:uid="{00000000-0005-0000-0000-000084660000}"/>
    <cellStyle name="Normal 3 4 11 3 3 2" xfId="32521" xr:uid="{00000000-0005-0000-0000-000085660000}"/>
    <cellStyle name="Normal 3 4 11 3 4" xfId="15025" xr:uid="{00000000-0005-0000-0000-000086660000}"/>
    <cellStyle name="Normal 3 4 11 3 4 2" xfId="32522" xr:uid="{00000000-0005-0000-0000-000087660000}"/>
    <cellStyle name="Normal 3 4 11 3 5" xfId="15026" xr:uid="{00000000-0005-0000-0000-000088660000}"/>
    <cellStyle name="Normal 3 4 11 3 5 2" xfId="32523" xr:uid="{00000000-0005-0000-0000-000089660000}"/>
    <cellStyle name="Normal 3 4 11 3 6" xfId="15027" xr:uid="{00000000-0005-0000-0000-00008A660000}"/>
    <cellStyle name="Normal 3 4 11 3 6 2" xfId="32524" xr:uid="{00000000-0005-0000-0000-00008B660000}"/>
    <cellStyle name="Normal 3 4 11 3 7" xfId="15028" xr:uid="{00000000-0005-0000-0000-00008C660000}"/>
    <cellStyle name="Normal 3 4 11 3 7 2" xfId="32525" xr:uid="{00000000-0005-0000-0000-00008D660000}"/>
    <cellStyle name="Normal 3 4 11 3 8" xfId="15029" xr:uid="{00000000-0005-0000-0000-00008E660000}"/>
    <cellStyle name="Normal 3 4 11 3 8 2" xfId="32526" xr:uid="{00000000-0005-0000-0000-00008F660000}"/>
    <cellStyle name="Normal 3 4 11 3 9" xfId="15030" xr:uid="{00000000-0005-0000-0000-000090660000}"/>
    <cellStyle name="Normal 3 4 11 3 9 2" xfId="32527" xr:uid="{00000000-0005-0000-0000-000091660000}"/>
    <cellStyle name="Normal 3 4 11 4" xfId="15031" xr:uid="{00000000-0005-0000-0000-000092660000}"/>
    <cellStyle name="Normal 3 4 11 4 10" xfId="15032" xr:uid="{00000000-0005-0000-0000-000093660000}"/>
    <cellStyle name="Normal 3 4 11 4 10 2" xfId="32529" xr:uid="{00000000-0005-0000-0000-000094660000}"/>
    <cellStyle name="Normal 3 4 11 4 11" xfId="15033" xr:uid="{00000000-0005-0000-0000-000095660000}"/>
    <cellStyle name="Normal 3 4 11 4 11 2" xfId="32530" xr:uid="{00000000-0005-0000-0000-000096660000}"/>
    <cellStyle name="Normal 3 4 11 4 12" xfId="15034" xr:uid="{00000000-0005-0000-0000-000097660000}"/>
    <cellStyle name="Normal 3 4 11 4 12 2" xfId="32531" xr:uid="{00000000-0005-0000-0000-000098660000}"/>
    <cellStyle name="Normal 3 4 11 4 13" xfId="15035" xr:uid="{00000000-0005-0000-0000-000099660000}"/>
    <cellStyle name="Normal 3 4 11 4 13 2" xfId="32532" xr:uid="{00000000-0005-0000-0000-00009A660000}"/>
    <cellStyle name="Normal 3 4 11 4 14" xfId="15036" xr:uid="{00000000-0005-0000-0000-00009B660000}"/>
    <cellStyle name="Normal 3 4 11 4 14 2" xfId="32533" xr:uid="{00000000-0005-0000-0000-00009C660000}"/>
    <cellStyle name="Normal 3 4 11 4 15" xfId="15037" xr:uid="{00000000-0005-0000-0000-00009D660000}"/>
    <cellStyle name="Normal 3 4 11 4 15 2" xfId="32534" xr:uid="{00000000-0005-0000-0000-00009E660000}"/>
    <cellStyle name="Normal 3 4 11 4 16" xfId="32528" xr:uid="{00000000-0005-0000-0000-00009F660000}"/>
    <cellStyle name="Normal 3 4 11 4 2" xfId="15038" xr:uid="{00000000-0005-0000-0000-0000A0660000}"/>
    <cellStyle name="Normal 3 4 11 4 2 10" xfId="15039" xr:uid="{00000000-0005-0000-0000-0000A1660000}"/>
    <cellStyle name="Normal 3 4 11 4 2 10 2" xfId="32536" xr:uid="{00000000-0005-0000-0000-0000A2660000}"/>
    <cellStyle name="Normal 3 4 11 4 2 11" xfId="15040" xr:uid="{00000000-0005-0000-0000-0000A3660000}"/>
    <cellStyle name="Normal 3 4 11 4 2 11 2" xfId="32537" xr:uid="{00000000-0005-0000-0000-0000A4660000}"/>
    <cellStyle name="Normal 3 4 11 4 2 12" xfId="15041" xr:uid="{00000000-0005-0000-0000-0000A5660000}"/>
    <cellStyle name="Normal 3 4 11 4 2 12 2" xfId="32538" xr:uid="{00000000-0005-0000-0000-0000A6660000}"/>
    <cellStyle name="Normal 3 4 11 4 2 13" xfId="15042" xr:uid="{00000000-0005-0000-0000-0000A7660000}"/>
    <cellStyle name="Normal 3 4 11 4 2 13 2" xfId="32539" xr:uid="{00000000-0005-0000-0000-0000A8660000}"/>
    <cellStyle name="Normal 3 4 11 4 2 14" xfId="15043" xr:uid="{00000000-0005-0000-0000-0000A9660000}"/>
    <cellStyle name="Normal 3 4 11 4 2 14 2" xfId="32540" xr:uid="{00000000-0005-0000-0000-0000AA660000}"/>
    <cellStyle name="Normal 3 4 11 4 2 15" xfId="32535" xr:uid="{00000000-0005-0000-0000-0000AB660000}"/>
    <cellStyle name="Normal 3 4 11 4 2 2" xfId="15044" xr:uid="{00000000-0005-0000-0000-0000AC660000}"/>
    <cellStyle name="Normal 3 4 11 4 2 2 2" xfId="32541" xr:uid="{00000000-0005-0000-0000-0000AD660000}"/>
    <cellStyle name="Normal 3 4 11 4 2 3" xfId="15045" xr:uid="{00000000-0005-0000-0000-0000AE660000}"/>
    <cellStyle name="Normal 3 4 11 4 2 3 2" xfId="32542" xr:uid="{00000000-0005-0000-0000-0000AF660000}"/>
    <cellStyle name="Normal 3 4 11 4 2 4" xfId="15046" xr:uid="{00000000-0005-0000-0000-0000B0660000}"/>
    <cellStyle name="Normal 3 4 11 4 2 4 2" xfId="32543" xr:uid="{00000000-0005-0000-0000-0000B1660000}"/>
    <cellStyle name="Normal 3 4 11 4 2 5" xfId="15047" xr:uid="{00000000-0005-0000-0000-0000B2660000}"/>
    <cellStyle name="Normal 3 4 11 4 2 5 2" xfId="32544" xr:uid="{00000000-0005-0000-0000-0000B3660000}"/>
    <cellStyle name="Normal 3 4 11 4 2 6" xfId="15048" xr:uid="{00000000-0005-0000-0000-0000B4660000}"/>
    <cellStyle name="Normal 3 4 11 4 2 6 2" xfId="32545" xr:uid="{00000000-0005-0000-0000-0000B5660000}"/>
    <cellStyle name="Normal 3 4 11 4 2 7" xfId="15049" xr:uid="{00000000-0005-0000-0000-0000B6660000}"/>
    <cellStyle name="Normal 3 4 11 4 2 7 2" xfId="32546" xr:uid="{00000000-0005-0000-0000-0000B7660000}"/>
    <cellStyle name="Normal 3 4 11 4 2 8" xfId="15050" xr:uid="{00000000-0005-0000-0000-0000B8660000}"/>
    <cellStyle name="Normal 3 4 11 4 2 8 2" xfId="32547" xr:uid="{00000000-0005-0000-0000-0000B9660000}"/>
    <cellStyle name="Normal 3 4 11 4 2 9" xfId="15051" xr:uid="{00000000-0005-0000-0000-0000BA660000}"/>
    <cellStyle name="Normal 3 4 11 4 2 9 2" xfId="32548" xr:uid="{00000000-0005-0000-0000-0000BB660000}"/>
    <cellStyle name="Normal 3 4 11 4 3" xfId="15052" xr:uid="{00000000-0005-0000-0000-0000BC660000}"/>
    <cellStyle name="Normal 3 4 11 4 3 2" xfId="32549" xr:uid="{00000000-0005-0000-0000-0000BD660000}"/>
    <cellStyle name="Normal 3 4 11 4 4" xfId="15053" xr:uid="{00000000-0005-0000-0000-0000BE660000}"/>
    <cellStyle name="Normal 3 4 11 4 4 2" xfId="32550" xr:uid="{00000000-0005-0000-0000-0000BF660000}"/>
    <cellStyle name="Normal 3 4 11 4 5" xfId="15054" xr:uid="{00000000-0005-0000-0000-0000C0660000}"/>
    <cellStyle name="Normal 3 4 11 4 5 2" xfId="32551" xr:uid="{00000000-0005-0000-0000-0000C1660000}"/>
    <cellStyle name="Normal 3 4 11 4 6" xfId="15055" xr:uid="{00000000-0005-0000-0000-0000C2660000}"/>
    <cellStyle name="Normal 3 4 11 4 6 2" xfId="32552" xr:uid="{00000000-0005-0000-0000-0000C3660000}"/>
    <cellStyle name="Normal 3 4 11 4 7" xfId="15056" xr:uid="{00000000-0005-0000-0000-0000C4660000}"/>
    <cellStyle name="Normal 3 4 11 4 7 2" xfId="32553" xr:uid="{00000000-0005-0000-0000-0000C5660000}"/>
    <cellStyle name="Normal 3 4 11 4 8" xfId="15057" xr:uid="{00000000-0005-0000-0000-0000C6660000}"/>
    <cellStyle name="Normal 3 4 11 4 8 2" xfId="32554" xr:uid="{00000000-0005-0000-0000-0000C7660000}"/>
    <cellStyle name="Normal 3 4 11 4 9" xfId="15058" xr:uid="{00000000-0005-0000-0000-0000C8660000}"/>
    <cellStyle name="Normal 3 4 11 4 9 2" xfId="32555" xr:uid="{00000000-0005-0000-0000-0000C9660000}"/>
    <cellStyle name="Normal 3 4 11 5" xfId="15059" xr:uid="{00000000-0005-0000-0000-0000CA660000}"/>
    <cellStyle name="Normal 3 4 11 5 10" xfId="15060" xr:uid="{00000000-0005-0000-0000-0000CB660000}"/>
    <cellStyle name="Normal 3 4 11 5 10 2" xfId="32557" xr:uid="{00000000-0005-0000-0000-0000CC660000}"/>
    <cellStyle name="Normal 3 4 11 5 11" xfId="15061" xr:uid="{00000000-0005-0000-0000-0000CD660000}"/>
    <cellStyle name="Normal 3 4 11 5 11 2" xfId="32558" xr:uid="{00000000-0005-0000-0000-0000CE660000}"/>
    <cellStyle name="Normal 3 4 11 5 12" xfId="15062" xr:uid="{00000000-0005-0000-0000-0000CF660000}"/>
    <cellStyle name="Normal 3 4 11 5 12 2" xfId="32559" xr:uid="{00000000-0005-0000-0000-0000D0660000}"/>
    <cellStyle name="Normal 3 4 11 5 13" xfId="15063" xr:uid="{00000000-0005-0000-0000-0000D1660000}"/>
    <cellStyle name="Normal 3 4 11 5 13 2" xfId="32560" xr:uid="{00000000-0005-0000-0000-0000D2660000}"/>
    <cellStyle name="Normal 3 4 11 5 14" xfId="15064" xr:uid="{00000000-0005-0000-0000-0000D3660000}"/>
    <cellStyle name="Normal 3 4 11 5 14 2" xfId="32561" xr:uid="{00000000-0005-0000-0000-0000D4660000}"/>
    <cellStyle name="Normal 3 4 11 5 15" xfId="32556" xr:uid="{00000000-0005-0000-0000-0000D5660000}"/>
    <cellStyle name="Normal 3 4 11 5 2" xfId="15065" xr:uid="{00000000-0005-0000-0000-0000D6660000}"/>
    <cellStyle name="Normal 3 4 11 5 2 2" xfId="32562" xr:uid="{00000000-0005-0000-0000-0000D7660000}"/>
    <cellStyle name="Normal 3 4 11 5 3" xfId="15066" xr:uid="{00000000-0005-0000-0000-0000D8660000}"/>
    <cellStyle name="Normal 3 4 11 5 3 2" xfId="32563" xr:uid="{00000000-0005-0000-0000-0000D9660000}"/>
    <cellStyle name="Normal 3 4 11 5 4" xfId="15067" xr:uid="{00000000-0005-0000-0000-0000DA660000}"/>
    <cellStyle name="Normal 3 4 11 5 4 2" xfId="32564" xr:uid="{00000000-0005-0000-0000-0000DB660000}"/>
    <cellStyle name="Normal 3 4 11 5 5" xfId="15068" xr:uid="{00000000-0005-0000-0000-0000DC660000}"/>
    <cellStyle name="Normal 3 4 11 5 5 2" xfId="32565" xr:uid="{00000000-0005-0000-0000-0000DD660000}"/>
    <cellStyle name="Normal 3 4 11 5 6" xfId="15069" xr:uid="{00000000-0005-0000-0000-0000DE660000}"/>
    <cellStyle name="Normal 3 4 11 5 6 2" xfId="32566" xr:uid="{00000000-0005-0000-0000-0000DF660000}"/>
    <cellStyle name="Normal 3 4 11 5 7" xfId="15070" xr:uid="{00000000-0005-0000-0000-0000E0660000}"/>
    <cellStyle name="Normal 3 4 11 5 7 2" xfId="32567" xr:uid="{00000000-0005-0000-0000-0000E1660000}"/>
    <cellStyle name="Normal 3 4 11 5 8" xfId="15071" xr:uid="{00000000-0005-0000-0000-0000E2660000}"/>
    <cellStyle name="Normal 3 4 11 5 8 2" xfId="32568" xr:uid="{00000000-0005-0000-0000-0000E3660000}"/>
    <cellStyle name="Normal 3 4 11 5 9" xfId="15072" xr:uid="{00000000-0005-0000-0000-0000E4660000}"/>
    <cellStyle name="Normal 3 4 11 5 9 2" xfId="32569" xr:uid="{00000000-0005-0000-0000-0000E5660000}"/>
    <cellStyle name="Normal 3 4 11 6" xfId="15073" xr:uid="{00000000-0005-0000-0000-0000E6660000}"/>
    <cellStyle name="Normal 3 4 11 6 10" xfId="15074" xr:uid="{00000000-0005-0000-0000-0000E7660000}"/>
    <cellStyle name="Normal 3 4 11 6 10 2" xfId="32571" xr:uid="{00000000-0005-0000-0000-0000E8660000}"/>
    <cellStyle name="Normal 3 4 11 6 11" xfId="15075" xr:uid="{00000000-0005-0000-0000-0000E9660000}"/>
    <cellStyle name="Normal 3 4 11 6 11 2" xfId="32572" xr:uid="{00000000-0005-0000-0000-0000EA660000}"/>
    <cellStyle name="Normal 3 4 11 6 12" xfId="15076" xr:uid="{00000000-0005-0000-0000-0000EB660000}"/>
    <cellStyle name="Normal 3 4 11 6 12 2" xfId="32573" xr:uid="{00000000-0005-0000-0000-0000EC660000}"/>
    <cellStyle name="Normal 3 4 11 6 13" xfId="15077" xr:uid="{00000000-0005-0000-0000-0000ED660000}"/>
    <cellStyle name="Normal 3 4 11 6 13 2" xfId="32574" xr:uid="{00000000-0005-0000-0000-0000EE660000}"/>
    <cellStyle name="Normal 3 4 11 6 14" xfId="15078" xr:uid="{00000000-0005-0000-0000-0000EF660000}"/>
    <cellStyle name="Normal 3 4 11 6 14 2" xfId="32575" xr:uid="{00000000-0005-0000-0000-0000F0660000}"/>
    <cellStyle name="Normal 3 4 11 6 15" xfId="32570" xr:uid="{00000000-0005-0000-0000-0000F1660000}"/>
    <cellStyle name="Normal 3 4 11 6 2" xfId="15079" xr:uid="{00000000-0005-0000-0000-0000F2660000}"/>
    <cellStyle name="Normal 3 4 11 6 2 2" xfId="32576" xr:uid="{00000000-0005-0000-0000-0000F3660000}"/>
    <cellStyle name="Normal 3 4 11 6 3" xfId="15080" xr:uid="{00000000-0005-0000-0000-0000F4660000}"/>
    <cellStyle name="Normal 3 4 11 6 3 2" xfId="32577" xr:uid="{00000000-0005-0000-0000-0000F5660000}"/>
    <cellStyle name="Normal 3 4 11 6 4" xfId="15081" xr:uid="{00000000-0005-0000-0000-0000F6660000}"/>
    <cellStyle name="Normal 3 4 11 6 4 2" xfId="32578" xr:uid="{00000000-0005-0000-0000-0000F7660000}"/>
    <cellStyle name="Normal 3 4 11 6 5" xfId="15082" xr:uid="{00000000-0005-0000-0000-0000F8660000}"/>
    <cellStyle name="Normal 3 4 11 6 5 2" xfId="32579" xr:uid="{00000000-0005-0000-0000-0000F9660000}"/>
    <cellStyle name="Normal 3 4 11 6 6" xfId="15083" xr:uid="{00000000-0005-0000-0000-0000FA660000}"/>
    <cellStyle name="Normal 3 4 11 6 6 2" xfId="32580" xr:uid="{00000000-0005-0000-0000-0000FB660000}"/>
    <cellStyle name="Normal 3 4 11 6 7" xfId="15084" xr:uid="{00000000-0005-0000-0000-0000FC660000}"/>
    <cellStyle name="Normal 3 4 11 6 7 2" xfId="32581" xr:uid="{00000000-0005-0000-0000-0000FD660000}"/>
    <cellStyle name="Normal 3 4 11 6 8" xfId="15085" xr:uid="{00000000-0005-0000-0000-0000FE660000}"/>
    <cellStyle name="Normal 3 4 11 6 8 2" xfId="32582" xr:uid="{00000000-0005-0000-0000-0000FF660000}"/>
    <cellStyle name="Normal 3 4 11 6 9" xfId="15086" xr:uid="{00000000-0005-0000-0000-000000670000}"/>
    <cellStyle name="Normal 3 4 11 6 9 2" xfId="32583" xr:uid="{00000000-0005-0000-0000-000001670000}"/>
    <cellStyle name="Normal 3 4 11 7" xfId="15087" xr:uid="{00000000-0005-0000-0000-000002670000}"/>
    <cellStyle name="Normal 3 4 11 7 10" xfId="15088" xr:uid="{00000000-0005-0000-0000-000003670000}"/>
    <cellStyle name="Normal 3 4 11 7 10 2" xfId="32585" xr:uid="{00000000-0005-0000-0000-000004670000}"/>
    <cellStyle name="Normal 3 4 11 7 11" xfId="15089" xr:uid="{00000000-0005-0000-0000-000005670000}"/>
    <cellStyle name="Normal 3 4 11 7 11 2" xfId="32586" xr:uid="{00000000-0005-0000-0000-000006670000}"/>
    <cellStyle name="Normal 3 4 11 7 12" xfId="15090" xr:uid="{00000000-0005-0000-0000-000007670000}"/>
    <cellStyle name="Normal 3 4 11 7 12 2" xfId="32587" xr:uid="{00000000-0005-0000-0000-000008670000}"/>
    <cellStyle name="Normal 3 4 11 7 13" xfId="15091" xr:uid="{00000000-0005-0000-0000-000009670000}"/>
    <cellStyle name="Normal 3 4 11 7 13 2" xfId="32588" xr:uid="{00000000-0005-0000-0000-00000A670000}"/>
    <cellStyle name="Normal 3 4 11 7 14" xfId="15092" xr:uid="{00000000-0005-0000-0000-00000B670000}"/>
    <cellStyle name="Normal 3 4 11 7 14 2" xfId="32589" xr:uid="{00000000-0005-0000-0000-00000C670000}"/>
    <cellStyle name="Normal 3 4 11 7 15" xfId="32584" xr:uid="{00000000-0005-0000-0000-00000D670000}"/>
    <cellStyle name="Normal 3 4 11 7 2" xfId="15093" xr:uid="{00000000-0005-0000-0000-00000E670000}"/>
    <cellStyle name="Normal 3 4 11 7 2 2" xfId="32590" xr:uid="{00000000-0005-0000-0000-00000F670000}"/>
    <cellStyle name="Normal 3 4 11 7 3" xfId="15094" xr:uid="{00000000-0005-0000-0000-000010670000}"/>
    <cellStyle name="Normal 3 4 11 7 3 2" xfId="32591" xr:uid="{00000000-0005-0000-0000-000011670000}"/>
    <cellStyle name="Normal 3 4 11 7 4" xfId="15095" xr:uid="{00000000-0005-0000-0000-000012670000}"/>
    <cellStyle name="Normal 3 4 11 7 4 2" xfId="32592" xr:uid="{00000000-0005-0000-0000-000013670000}"/>
    <cellStyle name="Normal 3 4 11 7 5" xfId="15096" xr:uid="{00000000-0005-0000-0000-000014670000}"/>
    <cellStyle name="Normal 3 4 11 7 5 2" xfId="32593" xr:uid="{00000000-0005-0000-0000-000015670000}"/>
    <cellStyle name="Normal 3 4 11 7 6" xfId="15097" xr:uid="{00000000-0005-0000-0000-000016670000}"/>
    <cellStyle name="Normal 3 4 11 7 6 2" xfId="32594" xr:uid="{00000000-0005-0000-0000-000017670000}"/>
    <cellStyle name="Normal 3 4 11 7 7" xfId="15098" xr:uid="{00000000-0005-0000-0000-000018670000}"/>
    <cellStyle name="Normal 3 4 11 7 7 2" xfId="32595" xr:uid="{00000000-0005-0000-0000-000019670000}"/>
    <cellStyle name="Normal 3 4 11 7 8" xfId="15099" xr:uid="{00000000-0005-0000-0000-00001A670000}"/>
    <cellStyle name="Normal 3 4 11 7 8 2" xfId="32596" xr:uid="{00000000-0005-0000-0000-00001B670000}"/>
    <cellStyle name="Normal 3 4 11 7 9" xfId="15100" xr:uid="{00000000-0005-0000-0000-00001C670000}"/>
    <cellStyle name="Normal 3 4 11 7 9 2" xfId="32597" xr:uid="{00000000-0005-0000-0000-00001D670000}"/>
    <cellStyle name="Normal 3 4 11 8" xfId="15101" xr:uid="{00000000-0005-0000-0000-00001E670000}"/>
    <cellStyle name="Normal 3 4 11 8 10" xfId="15102" xr:uid="{00000000-0005-0000-0000-00001F670000}"/>
    <cellStyle name="Normal 3 4 11 8 10 2" xfId="32599" xr:uid="{00000000-0005-0000-0000-000020670000}"/>
    <cellStyle name="Normal 3 4 11 8 11" xfId="15103" xr:uid="{00000000-0005-0000-0000-000021670000}"/>
    <cellStyle name="Normal 3 4 11 8 11 2" xfId="32600" xr:uid="{00000000-0005-0000-0000-000022670000}"/>
    <cellStyle name="Normal 3 4 11 8 12" xfId="15104" xr:uid="{00000000-0005-0000-0000-000023670000}"/>
    <cellStyle name="Normal 3 4 11 8 12 2" xfId="32601" xr:uid="{00000000-0005-0000-0000-000024670000}"/>
    <cellStyle name="Normal 3 4 11 8 13" xfId="15105" xr:uid="{00000000-0005-0000-0000-000025670000}"/>
    <cellStyle name="Normal 3 4 11 8 13 2" xfId="32602" xr:uid="{00000000-0005-0000-0000-000026670000}"/>
    <cellStyle name="Normal 3 4 11 8 14" xfId="15106" xr:uid="{00000000-0005-0000-0000-000027670000}"/>
    <cellStyle name="Normal 3 4 11 8 14 2" xfId="32603" xr:uid="{00000000-0005-0000-0000-000028670000}"/>
    <cellStyle name="Normal 3 4 11 8 15" xfId="32598" xr:uid="{00000000-0005-0000-0000-000029670000}"/>
    <cellStyle name="Normal 3 4 11 8 2" xfId="15107" xr:uid="{00000000-0005-0000-0000-00002A670000}"/>
    <cellStyle name="Normal 3 4 11 8 2 2" xfId="32604" xr:uid="{00000000-0005-0000-0000-00002B670000}"/>
    <cellStyle name="Normal 3 4 11 8 3" xfId="15108" xr:uid="{00000000-0005-0000-0000-00002C670000}"/>
    <cellStyle name="Normal 3 4 11 8 3 2" xfId="32605" xr:uid="{00000000-0005-0000-0000-00002D670000}"/>
    <cellStyle name="Normal 3 4 11 8 4" xfId="15109" xr:uid="{00000000-0005-0000-0000-00002E670000}"/>
    <cellStyle name="Normal 3 4 11 8 4 2" xfId="32606" xr:uid="{00000000-0005-0000-0000-00002F670000}"/>
    <cellStyle name="Normal 3 4 11 8 5" xfId="15110" xr:uid="{00000000-0005-0000-0000-000030670000}"/>
    <cellStyle name="Normal 3 4 11 8 5 2" xfId="32607" xr:uid="{00000000-0005-0000-0000-000031670000}"/>
    <cellStyle name="Normal 3 4 11 8 6" xfId="15111" xr:uid="{00000000-0005-0000-0000-000032670000}"/>
    <cellStyle name="Normal 3 4 11 8 6 2" xfId="32608" xr:uid="{00000000-0005-0000-0000-000033670000}"/>
    <cellStyle name="Normal 3 4 11 8 7" xfId="15112" xr:uid="{00000000-0005-0000-0000-000034670000}"/>
    <cellStyle name="Normal 3 4 11 8 7 2" xfId="32609" xr:uid="{00000000-0005-0000-0000-000035670000}"/>
    <cellStyle name="Normal 3 4 11 8 8" xfId="15113" xr:uid="{00000000-0005-0000-0000-000036670000}"/>
    <cellStyle name="Normal 3 4 11 8 8 2" xfId="32610" xr:uid="{00000000-0005-0000-0000-000037670000}"/>
    <cellStyle name="Normal 3 4 11 8 9" xfId="15114" xr:uid="{00000000-0005-0000-0000-000038670000}"/>
    <cellStyle name="Normal 3 4 11 8 9 2" xfId="32611" xr:uid="{00000000-0005-0000-0000-000039670000}"/>
    <cellStyle name="Normal 3 4 11 9" xfId="15115" xr:uid="{00000000-0005-0000-0000-00003A670000}"/>
    <cellStyle name="Normal 3 4 11 9 10" xfId="15116" xr:uid="{00000000-0005-0000-0000-00003B670000}"/>
    <cellStyle name="Normal 3 4 11 9 10 2" xfId="32613" xr:uid="{00000000-0005-0000-0000-00003C670000}"/>
    <cellStyle name="Normal 3 4 11 9 11" xfId="15117" xr:uid="{00000000-0005-0000-0000-00003D670000}"/>
    <cellStyle name="Normal 3 4 11 9 11 2" xfId="32614" xr:uid="{00000000-0005-0000-0000-00003E670000}"/>
    <cellStyle name="Normal 3 4 11 9 12" xfId="15118" xr:uid="{00000000-0005-0000-0000-00003F670000}"/>
    <cellStyle name="Normal 3 4 11 9 12 2" xfId="32615" xr:uid="{00000000-0005-0000-0000-000040670000}"/>
    <cellStyle name="Normal 3 4 11 9 13" xfId="15119" xr:uid="{00000000-0005-0000-0000-000041670000}"/>
    <cellStyle name="Normal 3 4 11 9 13 2" xfId="32616" xr:uid="{00000000-0005-0000-0000-000042670000}"/>
    <cellStyle name="Normal 3 4 11 9 14" xfId="15120" xr:uid="{00000000-0005-0000-0000-000043670000}"/>
    <cellStyle name="Normal 3 4 11 9 14 2" xfId="32617" xr:uid="{00000000-0005-0000-0000-000044670000}"/>
    <cellStyle name="Normal 3 4 11 9 15" xfId="32612" xr:uid="{00000000-0005-0000-0000-000045670000}"/>
    <cellStyle name="Normal 3 4 11 9 2" xfId="15121" xr:uid="{00000000-0005-0000-0000-000046670000}"/>
    <cellStyle name="Normal 3 4 11 9 2 2" xfId="32618" xr:uid="{00000000-0005-0000-0000-000047670000}"/>
    <cellStyle name="Normal 3 4 11 9 3" xfId="15122" xr:uid="{00000000-0005-0000-0000-000048670000}"/>
    <cellStyle name="Normal 3 4 11 9 3 2" xfId="32619" xr:uid="{00000000-0005-0000-0000-000049670000}"/>
    <cellStyle name="Normal 3 4 11 9 4" xfId="15123" xr:uid="{00000000-0005-0000-0000-00004A670000}"/>
    <cellStyle name="Normal 3 4 11 9 4 2" xfId="32620" xr:uid="{00000000-0005-0000-0000-00004B670000}"/>
    <cellStyle name="Normal 3 4 11 9 5" xfId="15124" xr:uid="{00000000-0005-0000-0000-00004C670000}"/>
    <cellStyle name="Normal 3 4 11 9 5 2" xfId="32621" xr:uid="{00000000-0005-0000-0000-00004D670000}"/>
    <cellStyle name="Normal 3 4 11 9 6" xfId="15125" xr:uid="{00000000-0005-0000-0000-00004E670000}"/>
    <cellStyle name="Normal 3 4 11 9 6 2" xfId="32622" xr:uid="{00000000-0005-0000-0000-00004F670000}"/>
    <cellStyle name="Normal 3 4 11 9 7" xfId="15126" xr:uid="{00000000-0005-0000-0000-000050670000}"/>
    <cellStyle name="Normal 3 4 11 9 7 2" xfId="32623" xr:uid="{00000000-0005-0000-0000-000051670000}"/>
    <cellStyle name="Normal 3 4 11 9 8" xfId="15127" xr:uid="{00000000-0005-0000-0000-000052670000}"/>
    <cellStyle name="Normal 3 4 11 9 8 2" xfId="32624" xr:uid="{00000000-0005-0000-0000-000053670000}"/>
    <cellStyle name="Normal 3 4 11 9 9" xfId="15128" xr:uid="{00000000-0005-0000-0000-000054670000}"/>
    <cellStyle name="Normal 3 4 11 9 9 2" xfId="32625" xr:uid="{00000000-0005-0000-0000-000055670000}"/>
    <cellStyle name="Normal 3 4 12" xfId="15129" xr:uid="{00000000-0005-0000-0000-000056670000}"/>
    <cellStyle name="Normal 3 4 12 10" xfId="15130" xr:uid="{00000000-0005-0000-0000-000057670000}"/>
    <cellStyle name="Normal 3 4 12 10 10" xfId="15131" xr:uid="{00000000-0005-0000-0000-000058670000}"/>
    <cellStyle name="Normal 3 4 12 10 10 2" xfId="32628" xr:uid="{00000000-0005-0000-0000-000059670000}"/>
    <cellStyle name="Normal 3 4 12 10 11" xfId="15132" xr:uid="{00000000-0005-0000-0000-00005A670000}"/>
    <cellStyle name="Normal 3 4 12 10 11 2" xfId="32629" xr:uid="{00000000-0005-0000-0000-00005B670000}"/>
    <cellStyle name="Normal 3 4 12 10 12" xfId="15133" xr:uid="{00000000-0005-0000-0000-00005C670000}"/>
    <cellStyle name="Normal 3 4 12 10 12 2" xfId="32630" xr:uid="{00000000-0005-0000-0000-00005D670000}"/>
    <cellStyle name="Normal 3 4 12 10 13" xfId="15134" xr:uid="{00000000-0005-0000-0000-00005E670000}"/>
    <cellStyle name="Normal 3 4 12 10 13 2" xfId="32631" xr:uid="{00000000-0005-0000-0000-00005F670000}"/>
    <cellStyle name="Normal 3 4 12 10 14" xfId="15135" xr:uid="{00000000-0005-0000-0000-000060670000}"/>
    <cellStyle name="Normal 3 4 12 10 14 2" xfId="32632" xr:uid="{00000000-0005-0000-0000-000061670000}"/>
    <cellStyle name="Normal 3 4 12 10 15" xfId="32627" xr:uid="{00000000-0005-0000-0000-000062670000}"/>
    <cellStyle name="Normal 3 4 12 10 2" xfId="15136" xr:uid="{00000000-0005-0000-0000-000063670000}"/>
    <cellStyle name="Normal 3 4 12 10 2 2" xfId="32633" xr:uid="{00000000-0005-0000-0000-000064670000}"/>
    <cellStyle name="Normal 3 4 12 10 3" xfId="15137" xr:uid="{00000000-0005-0000-0000-000065670000}"/>
    <cellStyle name="Normal 3 4 12 10 3 2" xfId="32634" xr:uid="{00000000-0005-0000-0000-000066670000}"/>
    <cellStyle name="Normal 3 4 12 10 4" xfId="15138" xr:uid="{00000000-0005-0000-0000-000067670000}"/>
    <cellStyle name="Normal 3 4 12 10 4 2" xfId="32635" xr:uid="{00000000-0005-0000-0000-000068670000}"/>
    <cellStyle name="Normal 3 4 12 10 5" xfId="15139" xr:uid="{00000000-0005-0000-0000-000069670000}"/>
    <cellStyle name="Normal 3 4 12 10 5 2" xfId="32636" xr:uid="{00000000-0005-0000-0000-00006A670000}"/>
    <cellStyle name="Normal 3 4 12 10 6" xfId="15140" xr:uid="{00000000-0005-0000-0000-00006B670000}"/>
    <cellStyle name="Normal 3 4 12 10 6 2" xfId="32637" xr:uid="{00000000-0005-0000-0000-00006C670000}"/>
    <cellStyle name="Normal 3 4 12 10 7" xfId="15141" xr:uid="{00000000-0005-0000-0000-00006D670000}"/>
    <cellStyle name="Normal 3 4 12 10 7 2" xfId="32638" xr:uid="{00000000-0005-0000-0000-00006E670000}"/>
    <cellStyle name="Normal 3 4 12 10 8" xfId="15142" xr:uid="{00000000-0005-0000-0000-00006F670000}"/>
    <cellStyle name="Normal 3 4 12 10 8 2" xfId="32639" xr:uid="{00000000-0005-0000-0000-000070670000}"/>
    <cellStyle name="Normal 3 4 12 10 9" xfId="15143" xr:uid="{00000000-0005-0000-0000-000071670000}"/>
    <cellStyle name="Normal 3 4 12 10 9 2" xfId="32640" xr:uid="{00000000-0005-0000-0000-000072670000}"/>
    <cellStyle name="Normal 3 4 12 11" xfId="15144" xr:uid="{00000000-0005-0000-0000-000073670000}"/>
    <cellStyle name="Normal 3 4 12 11 2" xfId="32641" xr:uid="{00000000-0005-0000-0000-000074670000}"/>
    <cellStyle name="Normal 3 4 12 12" xfId="15145" xr:uid="{00000000-0005-0000-0000-000075670000}"/>
    <cellStyle name="Normal 3 4 12 12 2" xfId="32642" xr:uid="{00000000-0005-0000-0000-000076670000}"/>
    <cellStyle name="Normal 3 4 12 13" xfId="15146" xr:uid="{00000000-0005-0000-0000-000077670000}"/>
    <cellStyle name="Normal 3 4 12 13 2" xfId="32643" xr:uid="{00000000-0005-0000-0000-000078670000}"/>
    <cellStyle name="Normal 3 4 12 14" xfId="15147" xr:uid="{00000000-0005-0000-0000-000079670000}"/>
    <cellStyle name="Normal 3 4 12 14 2" xfId="32644" xr:uid="{00000000-0005-0000-0000-00007A670000}"/>
    <cellStyle name="Normal 3 4 12 15" xfId="15148" xr:uid="{00000000-0005-0000-0000-00007B670000}"/>
    <cellStyle name="Normal 3 4 12 15 2" xfId="32645" xr:uid="{00000000-0005-0000-0000-00007C670000}"/>
    <cellStyle name="Normal 3 4 12 16" xfId="15149" xr:uid="{00000000-0005-0000-0000-00007D670000}"/>
    <cellStyle name="Normal 3 4 12 16 2" xfId="32646" xr:uid="{00000000-0005-0000-0000-00007E670000}"/>
    <cellStyle name="Normal 3 4 12 17" xfId="15150" xr:uid="{00000000-0005-0000-0000-00007F670000}"/>
    <cellStyle name="Normal 3 4 12 17 2" xfId="32647" xr:uid="{00000000-0005-0000-0000-000080670000}"/>
    <cellStyle name="Normal 3 4 12 18" xfId="15151" xr:uid="{00000000-0005-0000-0000-000081670000}"/>
    <cellStyle name="Normal 3 4 12 18 2" xfId="32648" xr:uid="{00000000-0005-0000-0000-000082670000}"/>
    <cellStyle name="Normal 3 4 12 19" xfId="15152" xr:uid="{00000000-0005-0000-0000-000083670000}"/>
    <cellStyle name="Normal 3 4 12 19 2" xfId="32649" xr:uid="{00000000-0005-0000-0000-000084670000}"/>
    <cellStyle name="Normal 3 4 12 2" xfId="15153" xr:uid="{00000000-0005-0000-0000-000085670000}"/>
    <cellStyle name="Normal 3 4 12 2 10" xfId="15154" xr:uid="{00000000-0005-0000-0000-000086670000}"/>
    <cellStyle name="Normal 3 4 12 2 10 2" xfId="32651" xr:uid="{00000000-0005-0000-0000-000087670000}"/>
    <cellStyle name="Normal 3 4 12 2 11" xfId="15155" xr:uid="{00000000-0005-0000-0000-000088670000}"/>
    <cellStyle name="Normal 3 4 12 2 11 2" xfId="32652" xr:uid="{00000000-0005-0000-0000-000089670000}"/>
    <cellStyle name="Normal 3 4 12 2 12" xfId="15156" xr:uid="{00000000-0005-0000-0000-00008A670000}"/>
    <cellStyle name="Normal 3 4 12 2 12 2" xfId="32653" xr:uid="{00000000-0005-0000-0000-00008B670000}"/>
    <cellStyle name="Normal 3 4 12 2 13" xfId="15157" xr:uid="{00000000-0005-0000-0000-00008C670000}"/>
    <cellStyle name="Normal 3 4 12 2 13 2" xfId="32654" xr:uid="{00000000-0005-0000-0000-00008D670000}"/>
    <cellStyle name="Normal 3 4 12 2 14" xfId="15158" xr:uid="{00000000-0005-0000-0000-00008E670000}"/>
    <cellStyle name="Normal 3 4 12 2 14 2" xfId="32655" xr:uid="{00000000-0005-0000-0000-00008F670000}"/>
    <cellStyle name="Normal 3 4 12 2 15" xfId="15159" xr:uid="{00000000-0005-0000-0000-000090670000}"/>
    <cellStyle name="Normal 3 4 12 2 15 2" xfId="32656" xr:uid="{00000000-0005-0000-0000-000091670000}"/>
    <cellStyle name="Normal 3 4 12 2 16" xfId="32650" xr:uid="{00000000-0005-0000-0000-000092670000}"/>
    <cellStyle name="Normal 3 4 12 2 2" xfId="15160" xr:uid="{00000000-0005-0000-0000-000093670000}"/>
    <cellStyle name="Normal 3 4 12 2 2 10" xfId="15161" xr:uid="{00000000-0005-0000-0000-000094670000}"/>
    <cellStyle name="Normal 3 4 12 2 2 10 2" xfId="32658" xr:uid="{00000000-0005-0000-0000-000095670000}"/>
    <cellStyle name="Normal 3 4 12 2 2 11" xfId="15162" xr:uid="{00000000-0005-0000-0000-000096670000}"/>
    <cellStyle name="Normal 3 4 12 2 2 11 2" xfId="32659" xr:uid="{00000000-0005-0000-0000-000097670000}"/>
    <cellStyle name="Normal 3 4 12 2 2 12" xfId="15163" xr:uid="{00000000-0005-0000-0000-000098670000}"/>
    <cellStyle name="Normal 3 4 12 2 2 12 2" xfId="32660" xr:uid="{00000000-0005-0000-0000-000099670000}"/>
    <cellStyle name="Normal 3 4 12 2 2 13" xfId="15164" xr:uid="{00000000-0005-0000-0000-00009A670000}"/>
    <cellStyle name="Normal 3 4 12 2 2 13 2" xfId="32661" xr:uid="{00000000-0005-0000-0000-00009B670000}"/>
    <cellStyle name="Normal 3 4 12 2 2 14" xfId="15165" xr:uid="{00000000-0005-0000-0000-00009C670000}"/>
    <cellStyle name="Normal 3 4 12 2 2 14 2" xfId="32662" xr:uid="{00000000-0005-0000-0000-00009D670000}"/>
    <cellStyle name="Normal 3 4 12 2 2 15" xfId="32657" xr:uid="{00000000-0005-0000-0000-00009E670000}"/>
    <cellStyle name="Normal 3 4 12 2 2 2" xfId="15166" xr:uid="{00000000-0005-0000-0000-00009F670000}"/>
    <cellStyle name="Normal 3 4 12 2 2 2 2" xfId="32663" xr:uid="{00000000-0005-0000-0000-0000A0670000}"/>
    <cellStyle name="Normal 3 4 12 2 2 3" xfId="15167" xr:uid="{00000000-0005-0000-0000-0000A1670000}"/>
    <cellStyle name="Normal 3 4 12 2 2 3 2" xfId="32664" xr:uid="{00000000-0005-0000-0000-0000A2670000}"/>
    <cellStyle name="Normal 3 4 12 2 2 4" xfId="15168" xr:uid="{00000000-0005-0000-0000-0000A3670000}"/>
    <cellStyle name="Normal 3 4 12 2 2 4 2" xfId="32665" xr:uid="{00000000-0005-0000-0000-0000A4670000}"/>
    <cellStyle name="Normal 3 4 12 2 2 5" xfId="15169" xr:uid="{00000000-0005-0000-0000-0000A5670000}"/>
    <cellStyle name="Normal 3 4 12 2 2 5 2" xfId="32666" xr:uid="{00000000-0005-0000-0000-0000A6670000}"/>
    <cellStyle name="Normal 3 4 12 2 2 6" xfId="15170" xr:uid="{00000000-0005-0000-0000-0000A7670000}"/>
    <cellStyle name="Normal 3 4 12 2 2 6 2" xfId="32667" xr:uid="{00000000-0005-0000-0000-0000A8670000}"/>
    <cellStyle name="Normal 3 4 12 2 2 7" xfId="15171" xr:uid="{00000000-0005-0000-0000-0000A9670000}"/>
    <cellStyle name="Normal 3 4 12 2 2 7 2" xfId="32668" xr:uid="{00000000-0005-0000-0000-0000AA670000}"/>
    <cellStyle name="Normal 3 4 12 2 2 8" xfId="15172" xr:uid="{00000000-0005-0000-0000-0000AB670000}"/>
    <cellStyle name="Normal 3 4 12 2 2 8 2" xfId="32669" xr:uid="{00000000-0005-0000-0000-0000AC670000}"/>
    <cellStyle name="Normal 3 4 12 2 2 9" xfId="15173" xr:uid="{00000000-0005-0000-0000-0000AD670000}"/>
    <cellStyle name="Normal 3 4 12 2 2 9 2" xfId="32670" xr:uid="{00000000-0005-0000-0000-0000AE670000}"/>
    <cellStyle name="Normal 3 4 12 2 3" xfId="15174" xr:uid="{00000000-0005-0000-0000-0000AF670000}"/>
    <cellStyle name="Normal 3 4 12 2 3 2" xfId="32671" xr:uid="{00000000-0005-0000-0000-0000B0670000}"/>
    <cellStyle name="Normal 3 4 12 2 4" xfId="15175" xr:uid="{00000000-0005-0000-0000-0000B1670000}"/>
    <cellStyle name="Normal 3 4 12 2 4 2" xfId="32672" xr:uid="{00000000-0005-0000-0000-0000B2670000}"/>
    <cellStyle name="Normal 3 4 12 2 5" xfId="15176" xr:uid="{00000000-0005-0000-0000-0000B3670000}"/>
    <cellStyle name="Normal 3 4 12 2 5 2" xfId="32673" xr:uid="{00000000-0005-0000-0000-0000B4670000}"/>
    <cellStyle name="Normal 3 4 12 2 6" xfId="15177" xr:uid="{00000000-0005-0000-0000-0000B5670000}"/>
    <cellStyle name="Normal 3 4 12 2 6 2" xfId="32674" xr:uid="{00000000-0005-0000-0000-0000B6670000}"/>
    <cellStyle name="Normal 3 4 12 2 7" xfId="15178" xr:uid="{00000000-0005-0000-0000-0000B7670000}"/>
    <cellStyle name="Normal 3 4 12 2 7 2" xfId="32675" xr:uid="{00000000-0005-0000-0000-0000B8670000}"/>
    <cellStyle name="Normal 3 4 12 2 8" xfId="15179" xr:uid="{00000000-0005-0000-0000-0000B9670000}"/>
    <cellStyle name="Normal 3 4 12 2 8 2" xfId="32676" xr:uid="{00000000-0005-0000-0000-0000BA670000}"/>
    <cellStyle name="Normal 3 4 12 2 9" xfId="15180" xr:uid="{00000000-0005-0000-0000-0000BB670000}"/>
    <cellStyle name="Normal 3 4 12 2 9 2" xfId="32677" xr:uid="{00000000-0005-0000-0000-0000BC670000}"/>
    <cellStyle name="Normal 3 4 12 20" xfId="15181" xr:uid="{00000000-0005-0000-0000-0000BD670000}"/>
    <cellStyle name="Normal 3 4 12 20 2" xfId="32678" xr:uid="{00000000-0005-0000-0000-0000BE670000}"/>
    <cellStyle name="Normal 3 4 12 21" xfId="15182" xr:uid="{00000000-0005-0000-0000-0000BF670000}"/>
    <cellStyle name="Normal 3 4 12 21 2" xfId="32679" xr:uid="{00000000-0005-0000-0000-0000C0670000}"/>
    <cellStyle name="Normal 3 4 12 22" xfId="15183" xr:uid="{00000000-0005-0000-0000-0000C1670000}"/>
    <cellStyle name="Normal 3 4 12 22 2" xfId="32680" xr:uid="{00000000-0005-0000-0000-0000C2670000}"/>
    <cellStyle name="Normal 3 4 12 23" xfId="15184" xr:uid="{00000000-0005-0000-0000-0000C3670000}"/>
    <cellStyle name="Normal 3 4 12 23 2" xfId="32681" xr:uid="{00000000-0005-0000-0000-0000C4670000}"/>
    <cellStyle name="Normal 3 4 12 24" xfId="32626" xr:uid="{00000000-0005-0000-0000-0000C5670000}"/>
    <cellStyle name="Normal 3 4 12 3" xfId="15185" xr:uid="{00000000-0005-0000-0000-0000C6670000}"/>
    <cellStyle name="Normal 3 4 12 3 10" xfId="15186" xr:uid="{00000000-0005-0000-0000-0000C7670000}"/>
    <cellStyle name="Normal 3 4 12 3 10 2" xfId="32683" xr:uid="{00000000-0005-0000-0000-0000C8670000}"/>
    <cellStyle name="Normal 3 4 12 3 11" xfId="15187" xr:uid="{00000000-0005-0000-0000-0000C9670000}"/>
    <cellStyle name="Normal 3 4 12 3 11 2" xfId="32684" xr:uid="{00000000-0005-0000-0000-0000CA670000}"/>
    <cellStyle name="Normal 3 4 12 3 12" xfId="15188" xr:uid="{00000000-0005-0000-0000-0000CB670000}"/>
    <cellStyle name="Normal 3 4 12 3 12 2" xfId="32685" xr:uid="{00000000-0005-0000-0000-0000CC670000}"/>
    <cellStyle name="Normal 3 4 12 3 13" xfId="15189" xr:uid="{00000000-0005-0000-0000-0000CD670000}"/>
    <cellStyle name="Normal 3 4 12 3 13 2" xfId="32686" xr:uid="{00000000-0005-0000-0000-0000CE670000}"/>
    <cellStyle name="Normal 3 4 12 3 14" xfId="15190" xr:uid="{00000000-0005-0000-0000-0000CF670000}"/>
    <cellStyle name="Normal 3 4 12 3 14 2" xfId="32687" xr:uid="{00000000-0005-0000-0000-0000D0670000}"/>
    <cellStyle name="Normal 3 4 12 3 15" xfId="15191" xr:uid="{00000000-0005-0000-0000-0000D1670000}"/>
    <cellStyle name="Normal 3 4 12 3 15 2" xfId="32688" xr:uid="{00000000-0005-0000-0000-0000D2670000}"/>
    <cellStyle name="Normal 3 4 12 3 16" xfId="32682" xr:uid="{00000000-0005-0000-0000-0000D3670000}"/>
    <cellStyle name="Normal 3 4 12 3 2" xfId="15192" xr:uid="{00000000-0005-0000-0000-0000D4670000}"/>
    <cellStyle name="Normal 3 4 12 3 2 10" xfId="15193" xr:uid="{00000000-0005-0000-0000-0000D5670000}"/>
    <cellStyle name="Normal 3 4 12 3 2 10 2" xfId="32690" xr:uid="{00000000-0005-0000-0000-0000D6670000}"/>
    <cellStyle name="Normal 3 4 12 3 2 11" xfId="15194" xr:uid="{00000000-0005-0000-0000-0000D7670000}"/>
    <cellStyle name="Normal 3 4 12 3 2 11 2" xfId="32691" xr:uid="{00000000-0005-0000-0000-0000D8670000}"/>
    <cellStyle name="Normal 3 4 12 3 2 12" xfId="15195" xr:uid="{00000000-0005-0000-0000-0000D9670000}"/>
    <cellStyle name="Normal 3 4 12 3 2 12 2" xfId="32692" xr:uid="{00000000-0005-0000-0000-0000DA670000}"/>
    <cellStyle name="Normal 3 4 12 3 2 13" xfId="15196" xr:uid="{00000000-0005-0000-0000-0000DB670000}"/>
    <cellStyle name="Normal 3 4 12 3 2 13 2" xfId="32693" xr:uid="{00000000-0005-0000-0000-0000DC670000}"/>
    <cellStyle name="Normal 3 4 12 3 2 14" xfId="15197" xr:uid="{00000000-0005-0000-0000-0000DD670000}"/>
    <cellStyle name="Normal 3 4 12 3 2 14 2" xfId="32694" xr:uid="{00000000-0005-0000-0000-0000DE670000}"/>
    <cellStyle name="Normal 3 4 12 3 2 15" xfId="32689" xr:uid="{00000000-0005-0000-0000-0000DF670000}"/>
    <cellStyle name="Normal 3 4 12 3 2 2" xfId="15198" xr:uid="{00000000-0005-0000-0000-0000E0670000}"/>
    <cellStyle name="Normal 3 4 12 3 2 2 2" xfId="32695" xr:uid="{00000000-0005-0000-0000-0000E1670000}"/>
    <cellStyle name="Normal 3 4 12 3 2 3" xfId="15199" xr:uid="{00000000-0005-0000-0000-0000E2670000}"/>
    <cellStyle name="Normal 3 4 12 3 2 3 2" xfId="32696" xr:uid="{00000000-0005-0000-0000-0000E3670000}"/>
    <cellStyle name="Normal 3 4 12 3 2 4" xfId="15200" xr:uid="{00000000-0005-0000-0000-0000E4670000}"/>
    <cellStyle name="Normal 3 4 12 3 2 4 2" xfId="32697" xr:uid="{00000000-0005-0000-0000-0000E5670000}"/>
    <cellStyle name="Normal 3 4 12 3 2 5" xfId="15201" xr:uid="{00000000-0005-0000-0000-0000E6670000}"/>
    <cellStyle name="Normal 3 4 12 3 2 5 2" xfId="32698" xr:uid="{00000000-0005-0000-0000-0000E7670000}"/>
    <cellStyle name="Normal 3 4 12 3 2 6" xfId="15202" xr:uid="{00000000-0005-0000-0000-0000E8670000}"/>
    <cellStyle name="Normal 3 4 12 3 2 6 2" xfId="32699" xr:uid="{00000000-0005-0000-0000-0000E9670000}"/>
    <cellStyle name="Normal 3 4 12 3 2 7" xfId="15203" xr:uid="{00000000-0005-0000-0000-0000EA670000}"/>
    <cellStyle name="Normal 3 4 12 3 2 7 2" xfId="32700" xr:uid="{00000000-0005-0000-0000-0000EB670000}"/>
    <cellStyle name="Normal 3 4 12 3 2 8" xfId="15204" xr:uid="{00000000-0005-0000-0000-0000EC670000}"/>
    <cellStyle name="Normal 3 4 12 3 2 8 2" xfId="32701" xr:uid="{00000000-0005-0000-0000-0000ED670000}"/>
    <cellStyle name="Normal 3 4 12 3 2 9" xfId="15205" xr:uid="{00000000-0005-0000-0000-0000EE670000}"/>
    <cellStyle name="Normal 3 4 12 3 2 9 2" xfId="32702" xr:uid="{00000000-0005-0000-0000-0000EF670000}"/>
    <cellStyle name="Normal 3 4 12 3 3" xfId="15206" xr:uid="{00000000-0005-0000-0000-0000F0670000}"/>
    <cellStyle name="Normal 3 4 12 3 3 2" xfId="32703" xr:uid="{00000000-0005-0000-0000-0000F1670000}"/>
    <cellStyle name="Normal 3 4 12 3 4" xfId="15207" xr:uid="{00000000-0005-0000-0000-0000F2670000}"/>
    <cellStyle name="Normal 3 4 12 3 4 2" xfId="32704" xr:uid="{00000000-0005-0000-0000-0000F3670000}"/>
    <cellStyle name="Normal 3 4 12 3 5" xfId="15208" xr:uid="{00000000-0005-0000-0000-0000F4670000}"/>
    <cellStyle name="Normal 3 4 12 3 5 2" xfId="32705" xr:uid="{00000000-0005-0000-0000-0000F5670000}"/>
    <cellStyle name="Normal 3 4 12 3 6" xfId="15209" xr:uid="{00000000-0005-0000-0000-0000F6670000}"/>
    <cellStyle name="Normal 3 4 12 3 6 2" xfId="32706" xr:uid="{00000000-0005-0000-0000-0000F7670000}"/>
    <cellStyle name="Normal 3 4 12 3 7" xfId="15210" xr:uid="{00000000-0005-0000-0000-0000F8670000}"/>
    <cellStyle name="Normal 3 4 12 3 7 2" xfId="32707" xr:uid="{00000000-0005-0000-0000-0000F9670000}"/>
    <cellStyle name="Normal 3 4 12 3 8" xfId="15211" xr:uid="{00000000-0005-0000-0000-0000FA670000}"/>
    <cellStyle name="Normal 3 4 12 3 8 2" xfId="32708" xr:uid="{00000000-0005-0000-0000-0000FB670000}"/>
    <cellStyle name="Normal 3 4 12 3 9" xfId="15212" xr:uid="{00000000-0005-0000-0000-0000FC670000}"/>
    <cellStyle name="Normal 3 4 12 3 9 2" xfId="32709" xr:uid="{00000000-0005-0000-0000-0000FD670000}"/>
    <cellStyle name="Normal 3 4 12 4" xfId="15213" xr:uid="{00000000-0005-0000-0000-0000FE670000}"/>
    <cellStyle name="Normal 3 4 12 4 10" xfId="15214" xr:uid="{00000000-0005-0000-0000-0000FF670000}"/>
    <cellStyle name="Normal 3 4 12 4 10 2" xfId="32711" xr:uid="{00000000-0005-0000-0000-000000680000}"/>
    <cellStyle name="Normal 3 4 12 4 11" xfId="15215" xr:uid="{00000000-0005-0000-0000-000001680000}"/>
    <cellStyle name="Normal 3 4 12 4 11 2" xfId="32712" xr:uid="{00000000-0005-0000-0000-000002680000}"/>
    <cellStyle name="Normal 3 4 12 4 12" xfId="15216" xr:uid="{00000000-0005-0000-0000-000003680000}"/>
    <cellStyle name="Normal 3 4 12 4 12 2" xfId="32713" xr:uid="{00000000-0005-0000-0000-000004680000}"/>
    <cellStyle name="Normal 3 4 12 4 13" xfId="15217" xr:uid="{00000000-0005-0000-0000-000005680000}"/>
    <cellStyle name="Normal 3 4 12 4 13 2" xfId="32714" xr:uid="{00000000-0005-0000-0000-000006680000}"/>
    <cellStyle name="Normal 3 4 12 4 14" xfId="15218" xr:uid="{00000000-0005-0000-0000-000007680000}"/>
    <cellStyle name="Normal 3 4 12 4 14 2" xfId="32715" xr:uid="{00000000-0005-0000-0000-000008680000}"/>
    <cellStyle name="Normal 3 4 12 4 15" xfId="15219" xr:uid="{00000000-0005-0000-0000-000009680000}"/>
    <cellStyle name="Normal 3 4 12 4 15 2" xfId="32716" xr:uid="{00000000-0005-0000-0000-00000A680000}"/>
    <cellStyle name="Normal 3 4 12 4 16" xfId="32710" xr:uid="{00000000-0005-0000-0000-00000B680000}"/>
    <cellStyle name="Normal 3 4 12 4 2" xfId="15220" xr:uid="{00000000-0005-0000-0000-00000C680000}"/>
    <cellStyle name="Normal 3 4 12 4 2 10" xfId="15221" xr:uid="{00000000-0005-0000-0000-00000D680000}"/>
    <cellStyle name="Normal 3 4 12 4 2 10 2" xfId="32718" xr:uid="{00000000-0005-0000-0000-00000E680000}"/>
    <cellStyle name="Normal 3 4 12 4 2 11" xfId="15222" xr:uid="{00000000-0005-0000-0000-00000F680000}"/>
    <cellStyle name="Normal 3 4 12 4 2 11 2" xfId="32719" xr:uid="{00000000-0005-0000-0000-000010680000}"/>
    <cellStyle name="Normal 3 4 12 4 2 12" xfId="15223" xr:uid="{00000000-0005-0000-0000-000011680000}"/>
    <cellStyle name="Normal 3 4 12 4 2 12 2" xfId="32720" xr:uid="{00000000-0005-0000-0000-000012680000}"/>
    <cellStyle name="Normal 3 4 12 4 2 13" xfId="15224" xr:uid="{00000000-0005-0000-0000-000013680000}"/>
    <cellStyle name="Normal 3 4 12 4 2 13 2" xfId="32721" xr:uid="{00000000-0005-0000-0000-000014680000}"/>
    <cellStyle name="Normal 3 4 12 4 2 14" xfId="15225" xr:uid="{00000000-0005-0000-0000-000015680000}"/>
    <cellStyle name="Normal 3 4 12 4 2 14 2" xfId="32722" xr:uid="{00000000-0005-0000-0000-000016680000}"/>
    <cellStyle name="Normal 3 4 12 4 2 15" xfId="32717" xr:uid="{00000000-0005-0000-0000-000017680000}"/>
    <cellStyle name="Normal 3 4 12 4 2 2" xfId="15226" xr:uid="{00000000-0005-0000-0000-000018680000}"/>
    <cellStyle name="Normal 3 4 12 4 2 2 2" xfId="32723" xr:uid="{00000000-0005-0000-0000-000019680000}"/>
    <cellStyle name="Normal 3 4 12 4 2 3" xfId="15227" xr:uid="{00000000-0005-0000-0000-00001A680000}"/>
    <cellStyle name="Normal 3 4 12 4 2 3 2" xfId="32724" xr:uid="{00000000-0005-0000-0000-00001B680000}"/>
    <cellStyle name="Normal 3 4 12 4 2 4" xfId="15228" xr:uid="{00000000-0005-0000-0000-00001C680000}"/>
    <cellStyle name="Normal 3 4 12 4 2 4 2" xfId="32725" xr:uid="{00000000-0005-0000-0000-00001D680000}"/>
    <cellStyle name="Normal 3 4 12 4 2 5" xfId="15229" xr:uid="{00000000-0005-0000-0000-00001E680000}"/>
    <cellStyle name="Normal 3 4 12 4 2 5 2" xfId="32726" xr:uid="{00000000-0005-0000-0000-00001F680000}"/>
    <cellStyle name="Normal 3 4 12 4 2 6" xfId="15230" xr:uid="{00000000-0005-0000-0000-000020680000}"/>
    <cellStyle name="Normal 3 4 12 4 2 6 2" xfId="32727" xr:uid="{00000000-0005-0000-0000-000021680000}"/>
    <cellStyle name="Normal 3 4 12 4 2 7" xfId="15231" xr:uid="{00000000-0005-0000-0000-000022680000}"/>
    <cellStyle name="Normal 3 4 12 4 2 7 2" xfId="32728" xr:uid="{00000000-0005-0000-0000-000023680000}"/>
    <cellStyle name="Normal 3 4 12 4 2 8" xfId="15232" xr:uid="{00000000-0005-0000-0000-000024680000}"/>
    <cellStyle name="Normal 3 4 12 4 2 8 2" xfId="32729" xr:uid="{00000000-0005-0000-0000-000025680000}"/>
    <cellStyle name="Normal 3 4 12 4 2 9" xfId="15233" xr:uid="{00000000-0005-0000-0000-000026680000}"/>
    <cellStyle name="Normal 3 4 12 4 2 9 2" xfId="32730" xr:uid="{00000000-0005-0000-0000-000027680000}"/>
    <cellStyle name="Normal 3 4 12 4 3" xfId="15234" xr:uid="{00000000-0005-0000-0000-000028680000}"/>
    <cellStyle name="Normal 3 4 12 4 3 2" xfId="32731" xr:uid="{00000000-0005-0000-0000-000029680000}"/>
    <cellStyle name="Normal 3 4 12 4 4" xfId="15235" xr:uid="{00000000-0005-0000-0000-00002A680000}"/>
    <cellStyle name="Normal 3 4 12 4 4 2" xfId="32732" xr:uid="{00000000-0005-0000-0000-00002B680000}"/>
    <cellStyle name="Normal 3 4 12 4 5" xfId="15236" xr:uid="{00000000-0005-0000-0000-00002C680000}"/>
    <cellStyle name="Normal 3 4 12 4 5 2" xfId="32733" xr:uid="{00000000-0005-0000-0000-00002D680000}"/>
    <cellStyle name="Normal 3 4 12 4 6" xfId="15237" xr:uid="{00000000-0005-0000-0000-00002E680000}"/>
    <cellStyle name="Normal 3 4 12 4 6 2" xfId="32734" xr:uid="{00000000-0005-0000-0000-00002F680000}"/>
    <cellStyle name="Normal 3 4 12 4 7" xfId="15238" xr:uid="{00000000-0005-0000-0000-000030680000}"/>
    <cellStyle name="Normal 3 4 12 4 7 2" xfId="32735" xr:uid="{00000000-0005-0000-0000-000031680000}"/>
    <cellStyle name="Normal 3 4 12 4 8" xfId="15239" xr:uid="{00000000-0005-0000-0000-000032680000}"/>
    <cellStyle name="Normal 3 4 12 4 8 2" xfId="32736" xr:uid="{00000000-0005-0000-0000-000033680000}"/>
    <cellStyle name="Normal 3 4 12 4 9" xfId="15240" xr:uid="{00000000-0005-0000-0000-000034680000}"/>
    <cellStyle name="Normal 3 4 12 4 9 2" xfId="32737" xr:uid="{00000000-0005-0000-0000-000035680000}"/>
    <cellStyle name="Normal 3 4 12 5" xfId="15241" xr:uid="{00000000-0005-0000-0000-000036680000}"/>
    <cellStyle name="Normal 3 4 12 5 10" xfId="15242" xr:uid="{00000000-0005-0000-0000-000037680000}"/>
    <cellStyle name="Normal 3 4 12 5 10 2" xfId="32739" xr:uid="{00000000-0005-0000-0000-000038680000}"/>
    <cellStyle name="Normal 3 4 12 5 11" xfId="15243" xr:uid="{00000000-0005-0000-0000-000039680000}"/>
    <cellStyle name="Normal 3 4 12 5 11 2" xfId="32740" xr:uid="{00000000-0005-0000-0000-00003A680000}"/>
    <cellStyle name="Normal 3 4 12 5 12" xfId="15244" xr:uid="{00000000-0005-0000-0000-00003B680000}"/>
    <cellStyle name="Normal 3 4 12 5 12 2" xfId="32741" xr:uid="{00000000-0005-0000-0000-00003C680000}"/>
    <cellStyle name="Normal 3 4 12 5 13" xfId="15245" xr:uid="{00000000-0005-0000-0000-00003D680000}"/>
    <cellStyle name="Normal 3 4 12 5 13 2" xfId="32742" xr:uid="{00000000-0005-0000-0000-00003E680000}"/>
    <cellStyle name="Normal 3 4 12 5 14" xfId="15246" xr:uid="{00000000-0005-0000-0000-00003F680000}"/>
    <cellStyle name="Normal 3 4 12 5 14 2" xfId="32743" xr:uid="{00000000-0005-0000-0000-000040680000}"/>
    <cellStyle name="Normal 3 4 12 5 15" xfId="32738" xr:uid="{00000000-0005-0000-0000-000041680000}"/>
    <cellStyle name="Normal 3 4 12 5 2" xfId="15247" xr:uid="{00000000-0005-0000-0000-000042680000}"/>
    <cellStyle name="Normal 3 4 12 5 2 2" xfId="32744" xr:uid="{00000000-0005-0000-0000-000043680000}"/>
    <cellStyle name="Normal 3 4 12 5 3" xfId="15248" xr:uid="{00000000-0005-0000-0000-000044680000}"/>
    <cellStyle name="Normal 3 4 12 5 3 2" xfId="32745" xr:uid="{00000000-0005-0000-0000-000045680000}"/>
    <cellStyle name="Normal 3 4 12 5 4" xfId="15249" xr:uid="{00000000-0005-0000-0000-000046680000}"/>
    <cellStyle name="Normal 3 4 12 5 4 2" xfId="32746" xr:uid="{00000000-0005-0000-0000-000047680000}"/>
    <cellStyle name="Normal 3 4 12 5 5" xfId="15250" xr:uid="{00000000-0005-0000-0000-000048680000}"/>
    <cellStyle name="Normal 3 4 12 5 5 2" xfId="32747" xr:uid="{00000000-0005-0000-0000-000049680000}"/>
    <cellStyle name="Normal 3 4 12 5 6" xfId="15251" xr:uid="{00000000-0005-0000-0000-00004A680000}"/>
    <cellStyle name="Normal 3 4 12 5 6 2" xfId="32748" xr:uid="{00000000-0005-0000-0000-00004B680000}"/>
    <cellStyle name="Normal 3 4 12 5 7" xfId="15252" xr:uid="{00000000-0005-0000-0000-00004C680000}"/>
    <cellStyle name="Normal 3 4 12 5 7 2" xfId="32749" xr:uid="{00000000-0005-0000-0000-00004D680000}"/>
    <cellStyle name="Normal 3 4 12 5 8" xfId="15253" xr:uid="{00000000-0005-0000-0000-00004E680000}"/>
    <cellStyle name="Normal 3 4 12 5 8 2" xfId="32750" xr:uid="{00000000-0005-0000-0000-00004F680000}"/>
    <cellStyle name="Normal 3 4 12 5 9" xfId="15254" xr:uid="{00000000-0005-0000-0000-000050680000}"/>
    <cellStyle name="Normal 3 4 12 5 9 2" xfId="32751" xr:uid="{00000000-0005-0000-0000-000051680000}"/>
    <cellStyle name="Normal 3 4 12 6" xfId="15255" xr:uid="{00000000-0005-0000-0000-000052680000}"/>
    <cellStyle name="Normal 3 4 12 6 10" xfId="15256" xr:uid="{00000000-0005-0000-0000-000053680000}"/>
    <cellStyle name="Normal 3 4 12 6 10 2" xfId="32753" xr:uid="{00000000-0005-0000-0000-000054680000}"/>
    <cellStyle name="Normal 3 4 12 6 11" xfId="15257" xr:uid="{00000000-0005-0000-0000-000055680000}"/>
    <cellStyle name="Normal 3 4 12 6 11 2" xfId="32754" xr:uid="{00000000-0005-0000-0000-000056680000}"/>
    <cellStyle name="Normal 3 4 12 6 12" xfId="15258" xr:uid="{00000000-0005-0000-0000-000057680000}"/>
    <cellStyle name="Normal 3 4 12 6 12 2" xfId="32755" xr:uid="{00000000-0005-0000-0000-000058680000}"/>
    <cellStyle name="Normal 3 4 12 6 13" xfId="15259" xr:uid="{00000000-0005-0000-0000-000059680000}"/>
    <cellStyle name="Normal 3 4 12 6 13 2" xfId="32756" xr:uid="{00000000-0005-0000-0000-00005A680000}"/>
    <cellStyle name="Normal 3 4 12 6 14" xfId="15260" xr:uid="{00000000-0005-0000-0000-00005B680000}"/>
    <cellStyle name="Normal 3 4 12 6 14 2" xfId="32757" xr:uid="{00000000-0005-0000-0000-00005C680000}"/>
    <cellStyle name="Normal 3 4 12 6 15" xfId="32752" xr:uid="{00000000-0005-0000-0000-00005D680000}"/>
    <cellStyle name="Normal 3 4 12 6 2" xfId="15261" xr:uid="{00000000-0005-0000-0000-00005E680000}"/>
    <cellStyle name="Normal 3 4 12 6 2 2" xfId="32758" xr:uid="{00000000-0005-0000-0000-00005F680000}"/>
    <cellStyle name="Normal 3 4 12 6 3" xfId="15262" xr:uid="{00000000-0005-0000-0000-000060680000}"/>
    <cellStyle name="Normal 3 4 12 6 3 2" xfId="32759" xr:uid="{00000000-0005-0000-0000-000061680000}"/>
    <cellStyle name="Normal 3 4 12 6 4" xfId="15263" xr:uid="{00000000-0005-0000-0000-000062680000}"/>
    <cellStyle name="Normal 3 4 12 6 4 2" xfId="32760" xr:uid="{00000000-0005-0000-0000-000063680000}"/>
    <cellStyle name="Normal 3 4 12 6 5" xfId="15264" xr:uid="{00000000-0005-0000-0000-000064680000}"/>
    <cellStyle name="Normal 3 4 12 6 5 2" xfId="32761" xr:uid="{00000000-0005-0000-0000-000065680000}"/>
    <cellStyle name="Normal 3 4 12 6 6" xfId="15265" xr:uid="{00000000-0005-0000-0000-000066680000}"/>
    <cellStyle name="Normal 3 4 12 6 6 2" xfId="32762" xr:uid="{00000000-0005-0000-0000-000067680000}"/>
    <cellStyle name="Normal 3 4 12 6 7" xfId="15266" xr:uid="{00000000-0005-0000-0000-000068680000}"/>
    <cellStyle name="Normal 3 4 12 6 7 2" xfId="32763" xr:uid="{00000000-0005-0000-0000-000069680000}"/>
    <cellStyle name="Normal 3 4 12 6 8" xfId="15267" xr:uid="{00000000-0005-0000-0000-00006A680000}"/>
    <cellStyle name="Normal 3 4 12 6 8 2" xfId="32764" xr:uid="{00000000-0005-0000-0000-00006B680000}"/>
    <cellStyle name="Normal 3 4 12 6 9" xfId="15268" xr:uid="{00000000-0005-0000-0000-00006C680000}"/>
    <cellStyle name="Normal 3 4 12 6 9 2" xfId="32765" xr:uid="{00000000-0005-0000-0000-00006D680000}"/>
    <cellStyle name="Normal 3 4 12 7" xfId="15269" xr:uid="{00000000-0005-0000-0000-00006E680000}"/>
    <cellStyle name="Normal 3 4 12 7 10" xfId="15270" xr:uid="{00000000-0005-0000-0000-00006F680000}"/>
    <cellStyle name="Normal 3 4 12 7 10 2" xfId="32767" xr:uid="{00000000-0005-0000-0000-000070680000}"/>
    <cellStyle name="Normal 3 4 12 7 11" xfId="15271" xr:uid="{00000000-0005-0000-0000-000071680000}"/>
    <cellStyle name="Normal 3 4 12 7 11 2" xfId="32768" xr:uid="{00000000-0005-0000-0000-000072680000}"/>
    <cellStyle name="Normal 3 4 12 7 12" xfId="15272" xr:uid="{00000000-0005-0000-0000-000073680000}"/>
    <cellStyle name="Normal 3 4 12 7 12 2" xfId="32769" xr:uid="{00000000-0005-0000-0000-000074680000}"/>
    <cellStyle name="Normal 3 4 12 7 13" xfId="15273" xr:uid="{00000000-0005-0000-0000-000075680000}"/>
    <cellStyle name="Normal 3 4 12 7 13 2" xfId="32770" xr:uid="{00000000-0005-0000-0000-000076680000}"/>
    <cellStyle name="Normal 3 4 12 7 14" xfId="15274" xr:uid="{00000000-0005-0000-0000-000077680000}"/>
    <cellStyle name="Normal 3 4 12 7 14 2" xfId="32771" xr:uid="{00000000-0005-0000-0000-000078680000}"/>
    <cellStyle name="Normal 3 4 12 7 15" xfId="32766" xr:uid="{00000000-0005-0000-0000-000079680000}"/>
    <cellStyle name="Normal 3 4 12 7 2" xfId="15275" xr:uid="{00000000-0005-0000-0000-00007A680000}"/>
    <cellStyle name="Normal 3 4 12 7 2 2" xfId="32772" xr:uid="{00000000-0005-0000-0000-00007B680000}"/>
    <cellStyle name="Normal 3 4 12 7 3" xfId="15276" xr:uid="{00000000-0005-0000-0000-00007C680000}"/>
    <cellStyle name="Normal 3 4 12 7 3 2" xfId="32773" xr:uid="{00000000-0005-0000-0000-00007D680000}"/>
    <cellStyle name="Normal 3 4 12 7 4" xfId="15277" xr:uid="{00000000-0005-0000-0000-00007E680000}"/>
    <cellStyle name="Normal 3 4 12 7 4 2" xfId="32774" xr:uid="{00000000-0005-0000-0000-00007F680000}"/>
    <cellStyle name="Normal 3 4 12 7 5" xfId="15278" xr:uid="{00000000-0005-0000-0000-000080680000}"/>
    <cellStyle name="Normal 3 4 12 7 5 2" xfId="32775" xr:uid="{00000000-0005-0000-0000-000081680000}"/>
    <cellStyle name="Normal 3 4 12 7 6" xfId="15279" xr:uid="{00000000-0005-0000-0000-000082680000}"/>
    <cellStyle name="Normal 3 4 12 7 6 2" xfId="32776" xr:uid="{00000000-0005-0000-0000-000083680000}"/>
    <cellStyle name="Normal 3 4 12 7 7" xfId="15280" xr:uid="{00000000-0005-0000-0000-000084680000}"/>
    <cellStyle name="Normal 3 4 12 7 7 2" xfId="32777" xr:uid="{00000000-0005-0000-0000-000085680000}"/>
    <cellStyle name="Normal 3 4 12 7 8" xfId="15281" xr:uid="{00000000-0005-0000-0000-000086680000}"/>
    <cellStyle name="Normal 3 4 12 7 8 2" xfId="32778" xr:uid="{00000000-0005-0000-0000-000087680000}"/>
    <cellStyle name="Normal 3 4 12 7 9" xfId="15282" xr:uid="{00000000-0005-0000-0000-000088680000}"/>
    <cellStyle name="Normal 3 4 12 7 9 2" xfId="32779" xr:uid="{00000000-0005-0000-0000-000089680000}"/>
    <cellStyle name="Normal 3 4 12 8" xfId="15283" xr:uid="{00000000-0005-0000-0000-00008A680000}"/>
    <cellStyle name="Normal 3 4 12 8 10" xfId="15284" xr:uid="{00000000-0005-0000-0000-00008B680000}"/>
    <cellStyle name="Normal 3 4 12 8 10 2" xfId="32781" xr:uid="{00000000-0005-0000-0000-00008C680000}"/>
    <cellStyle name="Normal 3 4 12 8 11" xfId="15285" xr:uid="{00000000-0005-0000-0000-00008D680000}"/>
    <cellStyle name="Normal 3 4 12 8 11 2" xfId="32782" xr:uid="{00000000-0005-0000-0000-00008E680000}"/>
    <cellStyle name="Normal 3 4 12 8 12" xfId="15286" xr:uid="{00000000-0005-0000-0000-00008F680000}"/>
    <cellStyle name="Normal 3 4 12 8 12 2" xfId="32783" xr:uid="{00000000-0005-0000-0000-000090680000}"/>
    <cellStyle name="Normal 3 4 12 8 13" xfId="15287" xr:uid="{00000000-0005-0000-0000-000091680000}"/>
    <cellStyle name="Normal 3 4 12 8 13 2" xfId="32784" xr:uid="{00000000-0005-0000-0000-000092680000}"/>
    <cellStyle name="Normal 3 4 12 8 14" xfId="15288" xr:uid="{00000000-0005-0000-0000-000093680000}"/>
    <cellStyle name="Normal 3 4 12 8 14 2" xfId="32785" xr:uid="{00000000-0005-0000-0000-000094680000}"/>
    <cellStyle name="Normal 3 4 12 8 15" xfId="32780" xr:uid="{00000000-0005-0000-0000-000095680000}"/>
    <cellStyle name="Normal 3 4 12 8 2" xfId="15289" xr:uid="{00000000-0005-0000-0000-000096680000}"/>
    <cellStyle name="Normal 3 4 12 8 2 2" xfId="32786" xr:uid="{00000000-0005-0000-0000-000097680000}"/>
    <cellStyle name="Normal 3 4 12 8 3" xfId="15290" xr:uid="{00000000-0005-0000-0000-000098680000}"/>
    <cellStyle name="Normal 3 4 12 8 3 2" xfId="32787" xr:uid="{00000000-0005-0000-0000-000099680000}"/>
    <cellStyle name="Normal 3 4 12 8 4" xfId="15291" xr:uid="{00000000-0005-0000-0000-00009A680000}"/>
    <cellStyle name="Normal 3 4 12 8 4 2" xfId="32788" xr:uid="{00000000-0005-0000-0000-00009B680000}"/>
    <cellStyle name="Normal 3 4 12 8 5" xfId="15292" xr:uid="{00000000-0005-0000-0000-00009C680000}"/>
    <cellStyle name="Normal 3 4 12 8 5 2" xfId="32789" xr:uid="{00000000-0005-0000-0000-00009D680000}"/>
    <cellStyle name="Normal 3 4 12 8 6" xfId="15293" xr:uid="{00000000-0005-0000-0000-00009E680000}"/>
    <cellStyle name="Normal 3 4 12 8 6 2" xfId="32790" xr:uid="{00000000-0005-0000-0000-00009F680000}"/>
    <cellStyle name="Normal 3 4 12 8 7" xfId="15294" xr:uid="{00000000-0005-0000-0000-0000A0680000}"/>
    <cellStyle name="Normal 3 4 12 8 7 2" xfId="32791" xr:uid="{00000000-0005-0000-0000-0000A1680000}"/>
    <cellStyle name="Normal 3 4 12 8 8" xfId="15295" xr:uid="{00000000-0005-0000-0000-0000A2680000}"/>
    <cellStyle name="Normal 3 4 12 8 8 2" xfId="32792" xr:uid="{00000000-0005-0000-0000-0000A3680000}"/>
    <cellStyle name="Normal 3 4 12 8 9" xfId="15296" xr:uid="{00000000-0005-0000-0000-0000A4680000}"/>
    <cellStyle name="Normal 3 4 12 8 9 2" xfId="32793" xr:uid="{00000000-0005-0000-0000-0000A5680000}"/>
    <cellStyle name="Normal 3 4 12 9" xfId="15297" xr:uid="{00000000-0005-0000-0000-0000A6680000}"/>
    <cellStyle name="Normal 3 4 12 9 10" xfId="15298" xr:uid="{00000000-0005-0000-0000-0000A7680000}"/>
    <cellStyle name="Normal 3 4 12 9 10 2" xfId="32795" xr:uid="{00000000-0005-0000-0000-0000A8680000}"/>
    <cellStyle name="Normal 3 4 12 9 11" xfId="15299" xr:uid="{00000000-0005-0000-0000-0000A9680000}"/>
    <cellStyle name="Normal 3 4 12 9 11 2" xfId="32796" xr:uid="{00000000-0005-0000-0000-0000AA680000}"/>
    <cellStyle name="Normal 3 4 12 9 12" xfId="15300" xr:uid="{00000000-0005-0000-0000-0000AB680000}"/>
    <cellStyle name="Normal 3 4 12 9 12 2" xfId="32797" xr:uid="{00000000-0005-0000-0000-0000AC680000}"/>
    <cellStyle name="Normal 3 4 12 9 13" xfId="15301" xr:uid="{00000000-0005-0000-0000-0000AD680000}"/>
    <cellStyle name="Normal 3 4 12 9 13 2" xfId="32798" xr:uid="{00000000-0005-0000-0000-0000AE680000}"/>
    <cellStyle name="Normal 3 4 12 9 14" xfId="15302" xr:uid="{00000000-0005-0000-0000-0000AF680000}"/>
    <cellStyle name="Normal 3 4 12 9 14 2" xfId="32799" xr:uid="{00000000-0005-0000-0000-0000B0680000}"/>
    <cellStyle name="Normal 3 4 12 9 15" xfId="32794" xr:uid="{00000000-0005-0000-0000-0000B1680000}"/>
    <cellStyle name="Normal 3 4 12 9 2" xfId="15303" xr:uid="{00000000-0005-0000-0000-0000B2680000}"/>
    <cellStyle name="Normal 3 4 12 9 2 2" xfId="32800" xr:uid="{00000000-0005-0000-0000-0000B3680000}"/>
    <cellStyle name="Normal 3 4 12 9 3" xfId="15304" xr:uid="{00000000-0005-0000-0000-0000B4680000}"/>
    <cellStyle name="Normal 3 4 12 9 3 2" xfId="32801" xr:uid="{00000000-0005-0000-0000-0000B5680000}"/>
    <cellStyle name="Normal 3 4 12 9 4" xfId="15305" xr:uid="{00000000-0005-0000-0000-0000B6680000}"/>
    <cellStyle name="Normal 3 4 12 9 4 2" xfId="32802" xr:uid="{00000000-0005-0000-0000-0000B7680000}"/>
    <cellStyle name="Normal 3 4 12 9 5" xfId="15306" xr:uid="{00000000-0005-0000-0000-0000B8680000}"/>
    <cellStyle name="Normal 3 4 12 9 5 2" xfId="32803" xr:uid="{00000000-0005-0000-0000-0000B9680000}"/>
    <cellStyle name="Normal 3 4 12 9 6" xfId="15307" xr:uid="{00000000-0005-0000-0000-0000BA680000}"/>
    <cellStyle name="Normal 3 4 12 9 6 2" xfId="32804" xr:uid="{00000000-0005-0000-0000-0000BB680000}"/>
    <cellStyle name="Normal 3 4 12 9 7" xfId="15308" xr:uid="{00000000-0005-0000-0000-0000BC680000}"/>
    <cellStyle name="Normal 3 4 12 9 7 2" xfId="32805" xr:uid="{00000000-0005-0000-0000-0000BD680000}"/>
    <cellStyle name="Normal 3 4 12 9 8" xfId="15309" xr:uid="{00000000-0005-0000-0000-0000BE680000}"/>
    <cellStyle name="Normal 3 4 12 9 8 2" xfId="32806" xr:uid="{00000000-0005-0000-0000-0000BF680000}"/>
    <cellStyle name="Normal 3 4 12 9 9" xfId="15310" xr:uid="{00000000-0005-0000-0000-0000C0680000}"/>
    <cellStyle name="Normal 3 4 12 9 9 2" xfId="32807" xr:uid="{00000000-0005-0000-0000-0000C1680000}"/>
    <cellStyle name="Normal 3 4 13" xfId="15311" xr:uid="{00000000-0005-0000-0000-0000C2680000}"/>
    <cellStyle name="Normal 3 4 13 10" xfId="15312" xr:uid="{00000000-0005-0000-0000-0000C3680000}"/>
    <cellStyle name="Normal 3 4 13 10 2" xfId="32809" xr:uid="{00000000-0005-0000-0000-0000C4680000}"/>
    <cellStyle name="Normal 3 4 13 11" xfId="15313" xr:uid="{00000000-0005-0000-0000-0000C5680000}"/>
    <cellStyle name="Normal 3 4 13 11 2" xfId="32810" xr:uid="{00000000-0005-0000-0000-0000C6680000}"/>
    <cellStyle name="Normal 3 4 13 12" xfId="15314" xr:uid="{00000000-0005-0000-0000-0000C7680000}"/>
    <cellStyle name="Normal 3 4 13 12 2" xfId="32811" xr:uid="{00000000-0005-0000-0000-0000C8680000}"/>
    <cellStyle name="Normal 3 4 13 13" xfId="15315" xr:uid="{00000000-0005-0000-0000-0000C9680000}"/>
    <cellStyle name="Normal 3 4 13 13 2" xfId="32812" xr:uid="{00000000-0005-0000-0000-0000CA680000}"/>
    <cellStyle name="Normal 3 4 13 14" xfId="15316" xr:uid="{00000000-0005-0000-0000-0000CB680000}"/>
    <cellStyle name="Normal 3 4 13 14 2" xfId="32813" xr:uid="{00000000-0005-0000-0000-0000CC680000}"/>
    <cellStyle name="Normal 3 4 13 15" xfId="15317" xr:uid="{00000000-0005-0000-0000-0000CD680000}"/>
    <cellStyle name="Normal 3 4 13 15 2" xfId="32814" xr:uid="{00000000-0005-0000-0000-0000CE680000}"/>
    <cellStyle name="Normal 3 4 13 16" xfId="32808" xr:uid="{00000000-0005-0000-0000-0000CF680000}"/>
    <cellStyle name="Normal 3 4 13 2" xfId="15318" xr:uid="{00000000-0005-0000-0000-0000D0680000}"/>
    <cellStyle name="Normal 3 4 13 2 10" xfId="15319" xr:uid="{00000000-0005-0000-0000-0000D1680000}"/>
    <cellStyle name="Normal 3 4 13 2 10 2" xfId="32816" xr:uid="{00000000-0005-0000-0000-0000D2680000}"/>
    <cellStyle name="Normal 3 4 13 2 11" xfId="15320" xr:uid="{00000000-0005-0000-0000-0000D3680000}"/>
    <cellStyle name="Normal 3 4 13 2 11 2" xfId="32817" xr:uid="{00000000-0005-0000-0000-0000D4680000}"/>
    <cellStyle name="Normal 3 4 13 2 12" xfId="15321" xr:uid="{00000000-0005-0000-0000-0000D5680000}"/>
    <cellStyle name="Normal 3 4 13 2 12 2" xfId="32818" xr:uid="{00000000-0005-0000-0000-0000D6680000}"/>
    <cellStyle name="Normal 3 4 13 2 13" xfId="15322" xr:uid="{00000000-0005-0000-0000-0000D7680000}"/>
    <cellStyle name="Normal 3 4 13 2 13 2" xfId="32819" xr:uid="{00000000-0005-0000-0000-0000D8680000}"/>
    <cellStyle name="Normal 3 4 13 2 14" xfId="15323" xr:uid="{00000000-0005-0000-0000-0000D9680000}"/>
    <cellStyle name="Normal 3 4 13 2 14 2" xfId="32820" xr:uid="{00000000-0005-0000-0000-0000DA680000}"/>
    <cellStyle name="Normal 3 4 13 2 15" xfId="32815" xr:uid="{00000000-0005-0000-0000-0000DB680000}"/>
    <cellStyle name="Normal 3 4 13 2 2" xfId="15324" xr:uid="{00000000-0005-0000-0000-0000DC680000}"/>
    <cellStyle name="Normal 3 4 13 2 2 2" xfId="32821" xr:uid="{00000000-0005-0000-0000-0000DD680000}"/>
    <cellStyle name="Normal 3 4 13 2 3" xfId="15325" xr:uid="{00000000-0005-0000-0000-0000DE680000}"/>
    <cellStyle name="Normal 3 4 13 2 3 2" xfId="32822" xr:uid="{00000000-0005-0000-0000-0000DF680000}"/>
    <cellStyle name="Normal 3 4 13 2 4" xfId="15326" xr:uid="{00000000-0005-0000-0000-0000E0680000}"/>
    <cellStyle name="Normal 3 4 13 2 4 2" xfId="32823" xr:uid="{00000000-0005-0000-0000-0000E1680000}"/>
    <cellStyle name="Normal 3 4 13 2 5" xfId="15327" xr:uid="{00000000-0005-0000-0000-0000E2680000}"/>
    <cellStyle name="Normal 3 4 13 2 5 2" xfId="32824" xr:uid="{00000000-0005-0000-0000-0000E3680000}"/>
    <cellStyle name="Normal 3 4 13 2 6" xfId="15328" xr:uid="{00000000-0005-0000-0000-0000E4680000}"/>
    <cellStyle name="Normal 3 4 13 2 6 2" xfId="32825" xr:uid="{00000000-0005-0000-0000-0000E5680000}"/>
    <cellStyle name="Normal 3 4 13 2 7" xfId="15329" xr:uid="{00000000-0005-0000-0000-0000E6680000}"/>
    <cellStyle name="Normal 3 4 13 2 7 2" xfId="32826" xr:uid="{00000000-0005-0000-0000-0000E7680000}"/>
    <cellStyle name="Normal 3 4 13 2 8" xfId="15330" xr:uid="{00000000-0005-0000-0000-0000E8680000}"/>
    <cellStyle name="Normal 3 4 13 2 8 2" xfId="32827" xr:uid="{00000000-0005-0000-0000-0000E9680000}"/>
    <cellStyle name="Normal 3 4 13 2 9" xfId="15331" xr:uid="{00000000-0005-0000-0000-0000EA680000}"/>
    <cellStyle name="Normal 3 4 13 2 9 2" xfId="32828" xr:uid="{00000000-0005-0000-0000-0000EB680000}"/>
    <cellStyle name="Normal 3 4 13 3" xfId="15332" xr:uid="{00000000-0005-0000-0000-0000EC680000}"/>
    <cellStyle name="Normal 3 4 13 3 2" xfId="32829" xr:uid="{00000000-0005-0000-0000-0000ED680000}"/>
    <cellStyle name="Normal 3 4 13 4" xfId="15333" xr:uid="{00000000-0005-0000-0000-0000EE680000}"/>
    <cellStyle name="Normal 3 4 13 4 2" xfId="32830" xr:uid="{00000000-0005-0000-0000-0000EF680000}"/>
    <cellStyle name="Normal 3 4 13 5" xfId="15334" xr:uid="{00000000-0005-0000-0000-0000F0680000}"/>
    <cellStyle name="Normal 3 4 13 5 2" xfId="32831" xr:uid="{00000000-0005-0000-0000-0000F1680000}"/>
    <cellStyle name="Normal 3 4 13 6" xfId="15335" xr:uid="{00000000-0005-0000-0000-0000F2680000}"/>
    <cellStyle name="Normal 3 4 13 6 2" xfId="32832" xr:uid="{00000000-0005-0000-0000-0000F3680000}"/>
    <cellStyle name="Normal 3 4 13 7" xfId="15336" xr:uid="{00000000-0005-0000-0000-0000F4680000}"/>
    <cellStyle name="Normal 3 4 13 7 2" xfId="32833" xr:uid="{00000000-0005-0000-0000-0000F5680000}"/>
    <cellStyle name="Normal 3 4 13 8" xfId="15337" xr:uid="{00000000-0005-0000-0000-0000F6680000}"/>
    <cellStyle name="Normal 3 4 13 8 2" xfId="32834" xr:uid="{00000000-0005-0000-0000-0000F7680000}"/>
    <cellStyle name="Normal 3 4 13 9" xfId="15338" xr:uid="{00000000-0005-0000-0000-0000F8680000}"/>
    <cellStyle name="Normal 3 4 13 9 2" xfId="32835" xr:uid="{00000000-0005-0000-0000-0000F9680000}"/>
    <cellStyle name="Normal 3 4 14" xfId="15339" xr:uid="{00000000-0005-0000-0000-0000FA680000}"/>
    <cellStyle name="Normal 3 4 14 10" xfId="15340" xr:uid="{00000000-0005-0000-0000-0000FB680000}"/>
    <cellStyle name="Normal 3 4 14 10 2" xfId="32837" xr:uid="{00000000-0005-0000-0000-0000FC680000}"/>
    <cellStyle name="Normal 3 4 14 11" xfId="15341" xr:uid="{00000000-0005-0000-0000-0000FD680000}"/>
    <cellStyle name="Normal 3 4 14 11 2" xfId="32838" xr:uid="{00000000-0005-0000-0000-0000FE680000}"/>
    <cellStyle name="Normal 3 4 14 12" xfId="15342" xr:uid="{00000000-0005-0000-0000-0000FF680000}"/>
    <cellStyle name="Normal 3 4 14 12 2" xfId="32839" xr:uid="{00000000-0005-0000-0000-000000690000}"/>
    <cellStyle name="Normal 3 4 14 13" xfId="15343" xr:uid="{00000000-0005-0000-0000-000001690000}"/>
    <cellStyle name="Normal 3 4 14 13 2" xfId="32840" xr:uid="{00000000-0005-0000-0000-000002690000}"/>
    <cellStyle name="Normal 3 4 14 14" xfId="15344" xr:uid="{00000000-0005-0000-0000-000003690000}"/>
    <cellStyle name="Normal 3 4 14 14 2" xfId="32841" xr:uid="{00000000-0005-0000-0000-000004690000}"/>
    <cellStyle name="Normal 3 4 14 15" xfId="15345" xr:uid="{00000000-0005-0000-0000-000005690000}"/>
    <cellStyle name="Normal 3 4 14 15 2" xfId="32842" xr:uid="{00000000-0005-0000-0000-000006690000}"/>
    <cellStyle name="Normal 3 4 14 16" xfId="32836" xr:uid="{00000000-0005-0000-0000-000007690000}"/>
    <cellStyle name="Normal 3 4 14 2" xfId="15346" xr:uid="{00000000-0005-0000-0000-000008690000}"/>
    <cellStyle name="Normal 3 4 14 2 10" xfId="15347" xr:uid="{00000000-0005-0000-0000-000009690000}"/>
    <cellStyle name="Normal 3 4 14 2 10 2" xfId="32844" xr:uid="{00000000-0005-0000-0000-00000A690000}"/>
    <cellStyle name="Normal 3 4 14 2 11" xfId="15348" xr:uid="{00000000-0005-0000-0000-00000B690000}"/>
    <cellStyle name="Normal 3 4 14 2 11 2" xfId="32845" xr:uid="{00000000-0005-0000-0000-00000C690000}"/>
    <cellStyle name="Normal 3 4 14 2 12" xfId="15349" xr:uid="{00000000-0005-0000-0000-00000D690000}"/>
    <cellStyle name="Normal 3 4 14 2 12 2" xfId="32846" xr:uid="{00000000-0005-0000-0000-00000E690000}"/>
    <cellStyle name="Normal 3 4 14 2 13" xfId="15350" xr:uid="{00000000-0005-0000-0000-00000F690000}"/>
    <cellStyle name="Normal 3 4 14 2 13 2" xfId="32847" xr:uid="{00000000-0005-0000-0000-000010690000}"/>
    <cellStyle name="Normal 3 4 14 2 14" xfId="15351" xr:uid="{00000000-0005-0000-0000-000011690000}"/>
    <cellStyle name="Normal 3 4 14 2 14 2" xfId="32848" xr:uid="{00000000-0005-0000-0000-000012690000}"/>
    <cellStyle name="Normal 3 4 14 2 15" xfId="32843" xr:uid="{00000000-0005-0000-0000-000013690000}"/>
    <cellStyle name="Normal 3 4 14 2 2" xfId="15352" xr:uid="{00000000-0005-0000-0000-000014690000}"/>
    <cellStyle name="Normal 3 4 14 2 2 2" xfId="32849" xr:uid="{00000000-0005-0000-0000-000015690000}"/>
    <cellStyle name="Normal 3 4 14 2 3" xfId="15353" xr:uid="{00000000-0005-0000-0000-000016690000}"/>
    <cellStyle name="Normal 3 4 14 2 3 2" xfId="32850" xr:uid="{00000000-0005-0000-0000-000017690000}"/>
    <cellStyle name="Normal 3 4 14 2 4" xfId="15354" xr:uid="{00000000-0005-0000-0000-000018690000}"/>
    <cellStyle name="Normal 3 4 14 2 4 2" xfId="32851" xr:uid="{00000000-0005-0000-0000-000019690000}"/>
    <cellStyle name="Normal 3 4 14 2 5" xfId="15355" xr:uid="{00000000-0005-0000-0000-00001A690000}"/>
    <cellStyle name="Normal 3 4 14 2 5 2" xfId="32852" xr:uid="{00000000-0005-0000-0000-00001B690000}"/>
    <cellStyle name="Normal 3 4 14 2 6" xfId="15356" xr:uid="{00000000-0005-0000-0000-00001C690000}"/>
    <cellStyle name="Normal 3 4 14 2 6 2" xfId="32853" xr:uid="{00000000-0005-0000-0000-00001D690000}"/>
    <cellStyle name="Normal 3 4 14 2 7" xfId="15357" xr:uid="{00000000-0005-0000-0000-00001E690000}"/>
    <cellStyle name="Normal 3 4 14 2 7 2" xfId="32854" xr:uid="{00000000-0005-0000-0000-00001F690000}"/>
    <cellStyle name="Normal 3 4 14 2 8" xfId="15358" xr:uid="{00000000-0005-0000-0000-000020690000}"/>
    <cellStyle name="Normal 3 4 14 2 8 2" xfId="32855" xr:uid="{00000000-0005-0000-0000-000021690000}"/>
    <cellStyle name="Normal 3 4 14 2 9" xfId="15359" xr:uid="{00000000-0005-0000-0000-000022690000}"/>
    <cellStyle name="Normal 3 4 14 2 9 2" xfId="32856" xr:uid="{00000000-0005-0000-0000-000023690000}"/>
    <cellStyle name="Normal 3 4 14 3" xfId="15360" xr:uid="{00000000-0005-0000-0000-000024690000}"/>
    <cellStyle name="Normal 3 4 14 3 2" xfId="32857" xr:uid="{00000000-0005-0000-0000-000025690000}"/>
    <cellStyle name="Normal 3 4 14 4" xfId="15361" xr:uid="{00000000-0005-0000-0000-000026690000}"/>
    <cellStyle name="Normal 3 4 14 4 2" xfId="32858" xr:uid="{00000000-0005-0000-0000-000027690000}"/>
    <cellStyle name="Normal 3 4 14 5" xfId="15362" xr:uid="{00000000-0005-0000-0000-000028690000}"/>
    <cellStyle name="Normal 3 4 14 5 2" xfId="32859" xr:uid="{00000000-0005-0000-0000-000029690000}"/>
    <cellStyle name="Normal 3 4 14 6" xfId="15363" xr:uid="{00000000-0005-0000-0000-00002A690000}"/>
    <cellStyle name="Normal 3 4 14 6 2" xfId="32860" xr:uid="{00000000-0005-0000-0000-00002B690000}"/>
    <cellStyle name="Normal 3 4 14 7" xfId="15364" xr:uid="{00000000-0005-0000-0000-00002C690000}"/>
    <cellStyle name="Normal 3 4 14 7 2" xfId="32861" xr:uid="{00000000-0005-0000-0000-00002D690000}"/>
    <cellStyle name="Normal 3 4 14 8" xfId="15365" xr:uid="{00000000-0005-0000-0000-00002E690000}"/>
    <cellStyle name="Normal 3 4 14 8 2" xfId="32862" xr:uid="{00000000-0005-0000-0000-00002F690000}"/>
    <cellStyle name="Normal 3 4 14 9" xfId="15366" xr:uid="{00000000-0005-0000-0000-000030690000}"/>
    <cellStyle name="Normal 3 4 14 9 2" xfId="32863" xr:uid="{00000000-0005-0000-0000-000031690000}"/>
    <cellStyle name="Normal 3 4 15" xfId="15367" xr:uid="{00000000-0005-0000-0000-000032690000}"/>
    <cellStyle name="Normal 3 4 15 10" xfId="15368" xr:uid="{00000000-0005-0000-0000-000033690000}"/>
    <cellStyle name="Normal 3 4 15 10 2" xfId="32865" xr:uid="{00000000-0005-0000-0000-000034690000}"/>
    <cellStyle name="Normal 3 4 15 11" xfId="15369" xr:uid="{00000000-0005-0000-0000-000035690000}"/>
    <cellStyle name="Normal 3 4 15 11 2" xfId="32866" xr:uid="{00000000-0005-0000-0000-000036690000}"/>
    <cellStyle name="Normal 3 4 15 12" xfId="15370" xr:uid="{00000000-0005-0000-0000-000037690000}"/>
    <cellStyle name="Normal 3 4 15 12 2" xfId="32867" xr:uid="{00000000-0005-0000-0000-000038690000}"/>
    <cellStyle name="Normal 3 4 15 13" xfId="15371" xr:uid="{00000000-0005-0000-0000-000039690000}"/>
    <cellStyle name="Normal 3 4 15 13 2" xfId="32868" xr:uid="{00000000-0005-0000-0000-00003A690000}"/>
    <cellStyle name="Normal 3 4 15 14" xfId="15372" xr:uid="{00000000-0005-0000-0000-00003B690000}"/>
    <cellStyle name="Normal 3 4 15 14 2" xfId="32869" xr:uid="{00000000-0005-0000-0000-00003C690000}"/>
    <cellStyle name="Normal 3 4 15 15" xfId="15373" xr:uid="{00000000-0005-0000-0000-00003D690000}"/>
    <cellStyle name="Normal 3 4 15 15 2" xfId="32870" xr:uid="{00000000-0005-0000-0000-00003E690000}"/>
    <cellStyle name="Normal 3 4 15 16" xfId="32864" xr:uid="{00000000-0005-0000-0000-00003F690000}"/>
    <cellStyle name="Normal 3 4 15 2" xfId="15374" xr:uid="{00000000-0005-0000-0000-000040690000}"/>
    <cellStyle name="Normal 3 4 15 2 10" xfId="15375" xr:uid="{00000000-0005-0000-0000-000041690000}"/>
    <cellStyle name="Normal 3 4 15 2 10 2" xfId="32872" xr:uid="{00000000-0005-0000-0000-000042690000}"/>
    <cellStyle name="Normal 3 4 15 2 11" xfId="15376" xr:uid="{00000000-0005-0000-0000-000043690000}"/>
    <cellStyle name="Normal 3 4 15 2 11 2" xfId="32873" xr:uid="{00000000-0005-0000-0000-000044690000}"/>
    <cellStyle name="Normal 3 4 15 2 12" xfId="15377" xr:uid="{00000000-0005-0000-0000-000045690000}"/>
    <cellStyle name="Normal 3 4 15 2 12 2" xfId="32874" xr:uid="{00000000-0005-0000-0000-000046690000}"/>
    <cellStyle name="Normal 3 4 15 2 13" xfId="15378" xr:uid="{00000000-0005-0000-0000-000047690000}"/>
    <cellStyle name="Normal 3 4 15 2 13 2" xfId="32875" xr:uid="{00000000-0005-0000-0000-000048690000}"/>
    <cellStyle name="Normal 3 4 15 2 14" xfId="15379" xr:uid="{00000000-0005-0000-0000-000049690000}"/>
    <cellStyle name="Normal 3 4 15 2 14 2" xfId="32876" xr:uid="{00000000-0005-0000-0000-00004A690000}"/>
    <cellStyle name="Normal 3 4 15 2 15" xfId="32871" xr:uid="{00000000-0005-0000-0000-00004B690000}"/>
    <cellStyle name="Normal 3 4 15 2 2" xfId="15380" xr:uid="{00000000-0005-0000-0000-00004C690000}"/>
    <cellStyle name="Normal 3 4 15 2 2 2" xfId="32877" xr:uid="{00000000-0005-0000-0000-00004D690000}"/>
    <cellStyle name="Normal 3 4 15 2 3" xfId="15381" xr:uid="{00000000-0005-0000-0000-00004E690000}"/>
    <cellStyle name="Normal 3 4 15 2 3 2" xfId="32878" xr:uid="{00000000-0005-0000-0000-00004F690000}"/>
    <cellStyle name="Normal 3 4 15 2 4" xfId="15382" xr:uid="{00000000-0005-0000-0000-000050690000}"/>
    <cellStyle name="Normal 3 4 15 2 4 2" xfId="32879" xr:uid="{00000000-0005-0000-0000-000051690000}"/>
    <cellStyle name="Normal 3 4 15 2 5" xfId="15383" xr:uid="{00000000-0005-0000-0000-000052690000}"/>
    <cellStyle name="Normal 3 4 15 2 5 2" xfId="32880" xr:uid="{00000000-0005-0000-0000-000053690000}"/>
    <cellStyle name="Normal 3 4 15 2 6" xfId="15384" xr:uid="{00000000-0005-0000-0000-000054690000}"/>
    <cellStyle name="Normal 3 4 15 2 6 2" xfId="32881" xr:uid="{00000000-0005-0000-0000-000055690000}"/>
    <cellStyle name="Normal 3 4 15 2 7" xfId="15385" xr:uid="{00000000-0005-0000-0000-000056690000}"/>
    <cellStyle name="Normal 3 4 15 2 7 2" xfId="32882" xr:uid="{00000000-0005-0000-0000-000057690000}"/>
    <cellStyle name="Normal 3 4 15 2 8" xfId="15386" xr:uid="{00000000-0005-0000-0000-000058690000}"/>
    <cellStyle name="Normal 3 4 15 2 8 2" xfId="32883" xr:uid="{00000000-0005-0000-0000-000059690000}"/>
    <cellStyle name="Normal 3 4 15 2 9" xfId="15387" xr:uid="{00000000-0005-0000-0000-00005A690000}"/>
    <cellStyle name="Normal 3 4 15 2 9 2" xfId="32884" xr:uid="{00000000-0005-0000-0000-00005B690000}"/>
    <cellStyle name="Normal 3 4 15 3" xfId="15388" xr:uid="{00000000-0005-0000-0000-00005C690000}"/>
    <cellStyle name="Normal 3 4 15 3 2" xfId="32885" xr:uid="{00000000-0005-0000-0000-00005D690000}"/>
    <cellStyle name="Normal 3 4 15 4" xfId="15389" xr:uid="{00000000-0005-0000-0000-00005E690000}"/>
    <cellStyle name="Normal 3 4 15 4 2" xfId="32886" xr:uid="{00000000-0005-0000-0000-00005F690000}"/>
    <cellStyle name="Normal 3 4 15 5" xfId="15390" xr:uid="{00000000-0005-0000-0000-000060690000}"/>
    <cellStyle name="Normal 3 4 15 5 2" xfId="32887" xr:uid="{00000000-0005-0000-0000-000061690000}"/>
    <cellStyle name="Normal 3 4 15 6" xfId="15391" xr:uid="{00000000-0005-0000-0000-000062690000}"/>
    <cellStyle name="Normal 3 4 15 6 2" xfId="32888" xr:uid="{00000000-0005-0000-0000-000063690000}"/>
    <cellStyle name="Normal 3 4 15 7" xfId="15392" xr:uid="{00000000-0005-0000-0000-000064690000}"/>
    <cellStyle name="Normal 3 4 15 7 2" xfId="32889" xr:uid="{00000000-0005-0000-0000-000065690000}"/>
    <cellStyle name="Normal 3 4 15 8" xfId="15393" xr:uid="{00000000-0005-0000-0000-000066690000}"/>
    <cellStyle name="Normal 3 4 15 8 2" xfId="32890" xr:uid="{00000000-0005-0000-0000-000067690000}"/>
    <cellStyle name="Normal 3 4 15 9" xfId="15394" xr:uid="{00000000-0005-0000-0000-000068690000}"/>
    <cellStyle name="Normal 3 4 15 9 2" xfId="32891" xr:uid="{00000000-0005-0000-0000-000069690000}"/>
    <cellStyle name="Normal 3 4 16" xfId="15395" xr:uid="{00000000-0005-0000-0000-00006A690000}"/>
    <cellStyle name="Normal 3 4 16 10" xfId="15396" xr:uid="{00000000-0005-0000-0000-00006B690000}"/>
    <cellStyle name="Normal 3 4 16 10 2" xfId="32893" xr:uid="{00000000-0005-0000-0000-00006C690000}"/>
    <cellStyle name="Normal 3 4 16 11" xfId="15397" xr:uid="{00000000-0005-0000-0000-00006D690000}"/>
    <cellStyle name="Normal 3 4 16 11 2" xfId="32894" xr:uid="{00000000-0005-0000-0000-00006E690000}"/>
    <cellStyle name="Normal 3 4 16 12" xfId="15398" xr:uid="{00000000-0005-0000-0000-00006F690000}"/>
    <cellStyle name="Normal 3 4 16 12 2" xfId="32895" xr:uid="{00000000-0005-0000-0000-000070690000}"/>
    <cellStyle name="Normal 3 4 16 13" xfId="15399" xr:uid="{00000000-0005-0000-0000-000071690000}"/>
    <cellStyle name="Normal 3 4 16 13 2" xfId="32896" xr:uid="{00000000-0005-0000-0000-000072690000}"/>
    <cellStyle name="Normal 3 4 16 14" xfId="15400" xr:uid="{00000000-0005-0000-0000-000073690000}"/>
    <cellStyle name="Normal 3 4 16 14 2" xfId="32897" xr:uid="{00000000-0005-0000-0000-000074690000}"/>
    <cellStyle name="Normal 3 4 16 15" xfId="32892" xr:uid="{00000000-0005-0000-0000-000075690000}"/>
    <cellStyle name="Normal 3 4 16 2" xfId="15401" xr:uid="{00000000-0005-0000-0000-000076690000}"/>
    <cellStyle name="Normal 3 4 16 2 2" xfId="32898" xr:uid="{00000000-0005-0000-0000-000077690000}"/>
    <cellStyle name="Normal 3 4 16 3" xfId="15402" xr:uid="{00000000-0005-0000-0000-000078690000}"/>
    <cellStyle name="Normal 3 4 16 3 2" xfId="32899" xr:uid="{00000000-0005-0000-0000-000079690000}"/>
    <cellStyle name="Normal 3 4 16 4" xfId="15403" xr:uid="{00000000-0005-0000-0000-00007A690000}"/>
    <cellStyle name="Normal 3 4 16 4 2" xfId="32900" xr:uid="{00000000-0005-0000-0000-00007B690000}"/>
    <cellStyle name="Normal 3 4 16 5" xfId="15404" xr:uid="{00000000-0005-0000-0000-00007C690000}"/>
    <cellStyle name="Normal 3 4 16 5 2" xfId="32901" xr:uid="{00000000-0005-0000-0000-00007D690000}"/>
    <cellStyle name="Normal 3 4 16 6" xfId="15405" xr:uid="{00000000-0005-0000-0000-00007E690000}"/>
    <cellStyle name="Normal 3 4 16 6 2" xfId="32902" xr:uid="{00000000-0005-0000-0000-00007F690000}"/>
    <cellStyle name="Normal 3 4 16 7" xfId="15406" xr:uid="{00000000-0005-0000-0000-000080690000}"/>
    <cellStyle name="Normal 3 4 16 7 2" xfId="32903" xr:uid="{00000000-0005-0000-0000-000081690000}"/>
    <cellStyle name="Normal 3 4 16 8" xfId="15407" xr:uid="{00000000-0005-0000-0000-000082690000}"/>
    <cellStyle name="Normal 3 4 16 8 2" xfId="32904" xr:uid="{00000000-0005-0000-0000-000083690000}"/>
    <cellStyle name="Normal 3 4 16 9" xfId="15408" xr:uid="{00000000-0005-0000-0000-000084690000}"/>
    <cellStyle name="Normal 3 4 16 9 2" xfId="32905" xr:uid="{00000000-0005-0000-0000-000085690000}"/>
    <cellStyle name="Normal 3 4 17" xfId="15409" xr:uid="{00000000-0005-0000-0000-000086690000}"/>
    <cellStyle name="Normal 3 4 17 10" xfId="15410" xr:uid="{00000000-0005-0000-0000-000087690000}"/>
    <cellStyle name="Normal 3 4 17 10 2" xfId="32907" xr:uid="{00000000-0005-0000-0000-000088690000}"/>
    <cellStyle name="Normal 3 4 17 11" xfId="15411" xr:uid="{00000000-0005-0000-0000-000089690000}"/>
    <cellStyle name="Normal 3 4 17 11 2" xfId="32908" xr:uid="{00000000-0005-0000-0000-00008A690000}"/>
    <cellStyle name="Normal 3 4 17 12" xfId="15412" xr:uid="{00000000-0005-0000-0000-00008B690000}"/>
    <cellStyle name="Normal 3 4 17 12 2" xfId="32909" xr:uid="{00000000-0005-0000-0000-00008C690000}"/>
    <cellStyle name="Normal 3 4 17 13" xfId="15413" xr:uid="{00000000-0005-0000-0000-00008D690000}"/>
    <cellStyle name="Normal 3 4 17 13 2" xfId="32910" xr:uid="{00000000-0005-0000-0000-00008E690000}"/>
    <cellStyle name="Normal 3 4 17 14" xfId="15414" xr:uid="{00000000-0005-0000-0000-00008F690000}"/>
    <cellStyle name="Normal 3 4 17 14 2" xfId="32911" xr:uid="{00000000-0005-0000-0000-000090690000}"/>
    <cellStyle name="Normal 3 4 17 15" xfId="32906" xr:uid="{00000000-0005-0000-0000-000091690000}"/>
    <cellStyle name="Normal 3 4 17 2" xfId="15415" xr:uid="{00000000-0005-0000-0000-000092690000}"/>
    <cellStyle name="Normal 3 4 17 2 2" xfId="32912" xr:uid="{00000000-0005-0000-0000-000093690000}"/>
    <cellStyle name="Normal 3 4 17 3" xfId="15416" xr:uid="{00000000-0005-0000-0000-000094690000}"/>
    <cellStyle name="Normal 3 4 17 3 2" xfId="32913" xr:uid="{00000000-0005-0000-0000-000095690000}"/>
    <cellStyle name="Normal 3 4 17 4" xfId="15417" xr:uid="{00000000-0005-0000-0000-000096690000}"/>
    <cellStyle name="Normal 3 4 17 4 2" xfId="32914" xr:uid="{00000000-0005-0000-0000-000097690000}"/>
    <cellStyle name="Normal 3 4 17 5" xfId="15418" xr:uid="{00000000-0005-0000-0000-000098690000}"/>
    <cellStyle name="Normal 3 4 17 5 2" xfId="32915" xr:uid="{00000000-0005-0000-0000-000099690000}"/>
    <cellStyle name="Normal 3 4 17 6" xfId="15419" xr:uid="{00000000-0005-0000-0000-00009A690000}"/>
    <cellStyle name="Normal 3 4 17 6 2" xfId="32916" xr:uid="{00000000-0005-0000-0000-00009B690000}"/>
    <cellStyle name="Normal 3 4 17 7" xfId="15420" xr:uid="{00000000-0005-0000-0000-00009C690000}"/>
    <cellStyle name="Normal 3 4 17 7 2" xfId="32917" xr:uid="{00000000-0005-0000-0000-00009D690000}"/>
    <cellStyle name="Normal 3 4 17 8" xfId="15421" xr:uid="{00000000-0005-0000-0000-00009E690000}"/>
    <cellStyle name="Normal 3 4 17 8 2" xfId="32918" xr:uid="{00000000-0005-0000-0000-00009F690000}"/>
    <cellStyle name="Normal 3 4 17 9" xfId="15422" xr:uid="{00000000-0005-0000-0000-0000A0690000}"/>
    <cellStyle name="Normal 3 4 17 9 2" xfId="32919" xr:uid="{00000000-0005-0000-0000-0000A1690000}"/>
    <cellStyle name="Normal 3 4 18" xfId="15423" xr:uid="{00000000-0005-0000-0000-0000A2690000}"/>
    <cellStyle name="Normal 3 4 18 10" xfId="15424" xr:uid="{00000000-0005-0000-0000-0000A3690000}"/>
    <cellStyle name="Normal 3 4 18 10 2" xfId="32921" xr:uid="{00000000-0005-0000-0000-0000A4690000}"/>
    <cellStyle name="Normal 3 4 18 11" xfId="15425" xr:uid="{00000000-0005-0000-0000-0000A5690000}"/>
    <cellStyle name="Normal 3 4 18 11 2" xfId="32922" xr:uid="{00000000-0005-0000-0000-0000A6690000}"/>
    <cellStyle name="Normal 3 4 18 12" xfId="15426" xr:uid="{00000000-0005-0000-0000-0000A7690000}"/>
    <cellStyle name="Normal 3 4 18 12 2" xfId="32923" xr:uid="{00000000-0005-0000-0000-0000A8690000}"/>
    <cellStyle name="Normal 3 4 18 13" xfId="15427" xr:uid="{00000000-0005-0000-0000-0000A9690000}"/>
    <cellStyle name="Normal 3 4 18 13 2" xfId="32924" xr:uid="{00000000-0005-0000-0000-0000AA690000}"/>
    <cellStyle name="Normal 3 4 18 14" xfId="15428" xr:uid="{00000000-0005-0000-0000-0000AB690000}"/>
    <cellStyle name="Normal 3 4 18 14 2" xfId="32925" xr:uid="{00000000-0005-0000-0000-0000AC690000}"/>
    <cellStyle name="Normal 3 4 18 15" xfId="32920" xr:uid="{00000000-0005-0000-0000-0000AD690000}"/>
    <cellStyle name="Normal 3 4 18 2" xfId="15429" xr:uid="{00000000-0005-0000-0000-0000AE690000}"/>
    <cellStyle name="Normal 3 4 18 2 2" xfId="32926" xr:uid="{00000000-0005-0000-0000-0000AF690000}"/>
    <cellStyle name="Normal 3 4 18 3" xfId="15430" xr:uid="{00000000-0005-0000-0000-0000B0690000}"/>
    <cellStyle name="Normal 3 4 18 3 2" xfId="32927" xr:uid="{00000000-0005-0000-0000-0000B1690000}"/>
    <cellStyle name="Normal 3 4 18 4" xfId="15431" xr:uid="{00000000-0005-0000-0000-0000B2690000}"/>
    <cellStyle name="Normal 3 4 18 4 2" xfId="32928" xr:uid="{00000000-0005-0000-0000-0000B3690000}"/>
    <cellStyle name="Normal 3 4 18 5" xfId="15432" xr:uid="{00000000-0005-0000-0000-0000B4690000}"/>
    <cellStyle name="Normal 3 4 18 5 2" xfId="32929" xr:uid="{00000000-0005-0000-0000-0000B5690000}"/>
    <cellStyle name="Normal 3 4 18 6" xfId="15433" xr:uid="{00000000-0005-0000-0000-0000B6690000}"/>
    <cellStyle name="Normal 3 4 18 6 2" xfId="32930" xr:uid="{00000000-0005-0000-0000-0000B7690000}"/>
    <cellStyle name="Normal 3 4 18 7" xfId="15434" xr:uid="{00000000-0005-0000-0000-0000B8690000}"/>
    <cellStyle name="Normal 3 4 18 7 2" xfId="32931" xr:uid="{00000000-0005-0000-0000-0000B9690000}"/>
    <cellStyle name="Normal 3 4 18 8" xfId="15435" xr:uid="{00000000-0005-0000-0000-0000BA690000}"/>
    <cellStyle name="Normal 3 4 18 8 2" xfId="32932" xr:uid="{00000000-0005-0000-0000-0000BB690000}"/>
    <cellStyle name="Normal 3 4 18 9" xfId="15436" xr:uid="{00000000-0005-0000-0000-0000BC690000}"/>
    <cellStyle name="Normal 3 4 18 9 2" xfId="32933" xr:uid="{00000000-0005-0000-0000-0000BD690000}"/>
    <cellStyle name="Normal 3 4 19" xfId="15437" xr:uid="{00000000-0005-0000-0000-0000BE690000}"/>
    <cellStyle name="Normal 3 4 19 10" xfId="15438" xr:uid="{00000000-0005-0000-0000-0000BF690000}"/>
    <cellStyle name="Normal 3 4 19 10 2" xfId="32935" xr:uid="{00000000-0005-0000-0000-0000C0690000}"/>
    <cellStyle name="Normal 3 4 19 11" xfId="15439" xr:uid="{00000000-0005-0000-0000-0000C1690000}"/>
    <cellStyle name="Normal 3 4 19 11 2" xfId="32936" xr:uid="{00000000-0005-0000-0000-0000C2690000}"/>
    <cellStyle name="Normal 3 4 19 12" xfId="15440" xr:uid="{00000000-0005-0000-0000-0000C3690000}"/>
    <cellStyle name="Normal 3 4 19 12 2" xfId="32937" xr:uid="{00000000-0005-0000-0000-0000C4690000}"/>
    <cellStyle name="Normal 3 4 19 13" xfId="15441" xr:uid="{00000000-0005-0000-0000-0000C5690000}"/>
    <cellStyle name="Normal 3 4 19 13 2" xfId="32938" xr:uid="{00000000-0005-0000-0000-0000C6690000}"/>
    <cellStyle name="Normal 3 4 19 14" xfId="15442" xr:uid="{00000000-0005-0000-0000-0000C7690000}"/>
    <cellStyle name="Normal 3 4 19 14 2" xfId="32939" xr:uid="{00000000-0005-0000-0000-0000C8690000}"/>
    <cellStyle name="Normal 3 4 19 15" xfId="32934" xr:uid="{00000000-0005-0000-0000-0000C9690000}"/>
    <cellStyle name="Normal 3 4 19 2" xfId="15443" xr:uid="{00000000-0005-0000-0000-0000CA690000}"/>
    <cellStyle name="Normal 3 4 19 2 2" xfId="32940" xr:uid="{00000000-0005-0000-0000-0000CB690000}"/>
    <cellStyle name="Normal 3 4 19 3" xfId="15444" xr:uid="{00000000-0005-0000-0000-0000CC690000}"/>
    <cellStyle name="Normal 3 4 19 3 2" xfId="32941" xr:uid="{00000000-0005-0000-0000-0000CD690000}"/>
    <cellStyle name="Normal 3 4 19 4" xfId="15445" xr:uid="{00000000-0005-0000-0000-0000CE690000}"/>
    <cellStyle name="Normal 3 4 19 4 2" xfId="32942" xr:uid="{00000000-0005-0000-0000-0000CF690000}"/>
    <cellStyle name="Normal 3 4 19 5" xfId="15446" xr:uid="{00000000-0005-0000-0000-0000D0690000}"/>
    <cellStyle name="Normal 3 4 19 5 2" xfId="32943" xr:uid="{00000000-0005-0000-0000-0000D1690000}"/>
    <cellStyle name="Normal 3 4 19 6" xfId="15447" xr:uid="{00000000-0005-0000-0000-0000D2690000}"/>
    <cellStyle name="Normal 3 4 19 6 2" xfId="32944" xr:uid="{00000000-0005-0000-0000-0000D3690000}"/>
    <cellStyle name="Normal 3 4 19 7" xfId="15448" xr:uid="{00000000-0005-0000-0000-0000D4690000}"/>
    <cellStyle name="Normal 3 4 19 7 2" xfId="32945" xr:uid="{00000000-0005-0000-0000-0000D5690000}"/>
    <cellStyle name="Normal 3 4 19 8" xfId="15449" xr:uid="{00000000-0005-0000-0000-0000D6690000}"/>
    <cellStyle name="Normal 3 4 19 8 2" xfId="32946" xr:uid="{00000000-0005-0000-0000-0000D7690000}"/>
    <cellStyle name="Normal 3 4 19 9" xfId="15450" xr:uid="{00000000-0005-0000-0000-0000D8690000}"/>
    <cellStyle name="Normal 3 4 19 9 2" xfId="32947" xr:uid="{00000000-0005-0000-0000-0000D9690000}"/>
    <cellStyle name="Normal 3 4 2" xfId="15451" xr:uid="{00000000-0005-0000-0000-0000DA690000}"/>
    <cellStyle name="Normal 3 4 2 10" xfId="15452" xr:uid="{00000000-0005-0000-0000-0000DB690000}"/>
    <cellStyle name="Normal 3 4 2 10 10" xfId="15453" xr:uid="{00000000-0005-0000-0000-0000DC690000}"/>
    <cellStyle name="Normal 3 4 2 10 10 2" xfId="32949" xr:uid="{00000000-0005-0000-0000-0000DD690000}"/>
    <cellStyle name="Normal 3 4 2 10 11" xfId="15454" xr:uid="{00000000-0005-0000-0000-0000DE690000}"/>
    <cellStyle name="Normal 3 4 2 10 11 2" xfId="32950" xr:uid="{00000000-0005-0000-0000-0000DF690000}"/>
    <cellStyle name="Normal 3 4 2 10 12" xfId="15455" xr:uid="{00000000-0005-0000-0000-0000E0690000}"/>
    <cellStyle name="Normal 3 4 2 10 12 2" xfId="32951" xr:uid="{00000000-0005-0000-0000-0000E1690000}"/>
    <cellStyle name="Normal 3 4 2 10 13" xfId="15456" xr:uid="{00000000-0005-0000-0000-0000E2690000}"/>
    <cellStyle name="Normal 3 4 2 10 13 2" xfId="32952" xr:uid="{00000000-0005-0000-0000-0000E3690000}"/>
    <cellStyle name="Normal 3 4 2 10 14" xfId="15457" xr:uid="{00000000-0005-0000-0000-0000E4690000}"/>
    <cellStyle name="Normal 3 4 2 10 14 2" xfId="32953" xr:uid="{00000000-0005-0000-0000-0000E5690000}"/>
    <cellStyle name="Normal 3 4 2 10 15" xfId="32948" xr:uid="{00000000-0005-0000-0000-0000E6690000}"/>
    <cellStyle name="Normal 3 4 2 10 2" xfId="15458" xr:uid="{00000000-0005-0000-0000-0000E7690000}"/>
    <cellStyle name="Normal 3 4 2 10 2 2" xfId="32954" xr:uid="{00000000-0005-0000-0000-0000E8690000}"/>
    <cellStyle name="Normal 3 4 2 10 3" xfId="15459" xr:uid="{00000000-0005-0000-0000-0000E9690000}"/>
    <cellStyle name="Normal 3 4 2 10 3 2" xfId="32955" xr:uid="{00000000-0005-0000-0000-0000EA690000}"/>
    <cellStyle name="Normal 3 4 2 10 4" xfId="15460" xr:uid="{00000000-0005-0000-0000-0000EB690000}"/>
    <cellStyle name="Normal 3 4 2 10 4 2" xfId="32956" xr:uid="{00000000-0005-0000-0000-0000EC690000}"/>
    <cellStyle name="Normal 3 4 2 10 5" xfId="15461" xr:uid="{00000000-0005-0000-0000-0000ED690000}"/>
    <cellStyle name="Normal 3 4 2 10 5 2" xfId="32957" xr:uid="{00000000-0005-0000-0000-0000EE690000}"/>
    <cellStyle name="Normal 3 4 2 10 6" xfId="15462" xr:uid="{00000000-0005-0000-0000-0000EF690000}"/>
    <cellStyle name="Normal 3 4 2 10 6 2" xfId="32958" xr:uid="{00000000-0005-0000-0000-0000F0690000}"/>
    <cellStyle name="Normal 3 4 2 10 7" xfId="15463" xr:uid="{00000000-0005-0000-0000-0000F1690000}"/>
    <cellStyle name="Normal 3 4 2 10 7 2" xfId="32959" xr:uid="{00000000-0005-0000-0000-0000F2690000}"/>
    <cellStyle name="Normal 3 4 2 10 8" xfId="15464" xr:uid="{00000000-0005-0000-0000-0000F3690000}"/>
    <cellStyle name="Normal 3 4 2 10 8 2" xfId="32960" xr:uid="{00000000-0005-0000-0000-0000F4690000}"/>
    <cellStyle name="Normal 3 4 2 10 9" xfId="15465" xr:uid="{00000000-0005-0000-0000-0000F5690000}"/>
    <cellStyle name="Normal 3 4 2 10 9 2" xfId="32961" xr:uid="{00000000-0005-0000-0000-0000F6690000}"/>
    <cellStyle name="Normal 3 4 2 11" xfId="15466" xr:uid="{00000000-0005-0000-0000-0000F7690000}"/>
    <cellStyle name="Normal 3 4 2 11 10" xfId="15467" xr:uid="{00000000-0005-0000-0000-0000F8690000}"/>
    <cellStyle name="Normal 3 4 2 11 10 2" xfId="32963" xr:uid="{00000000-0005-0000-0000-0000F9690000}"/>
    <cellStyle name="Normal 3 4 2 11 11" xfId="15468" xr:uid="{00000000-0005-0000-0000-0000FA690000}"/>
    <cellStyle name="Normal 3 4 2 11 11 2" xfId="32964" xr:uid="{00000000-0005-0000-0000-0000FB690000}"/>
    <cellStyle name="Normal 3 4 2 11 12" xfId="15469" xr:uid="{00000000-0005-0000-0000-0000FC690000}"/>
    <cellStyle name="Normal 3 4 2 11 12 2" xfId="32965" xr:uid="{00000000-0005-0000-0000-0000FD690000}"/>
    <cellStyle name="Normal 3 4 2 11 13" xfId="15470" xr:uid="{00000000-0005-0000-0000-0000FE690000}"/>
    <cellStyle name="Normal 3 4 2 11 13 2" xfId="32966" xr:uid="{00000000-0005-0000-0000-0000FF690000}"/>
    <cellStyle name="Normal 3 4 2 11 14" xfId="15471" xr:uid="{00000000-0005-0000-0000-0000006A0000}"/>
    <cellStyle name="Normal 3 4 2 11 14 2" xfId="32967" xr:uid="{00000000-0005-0000-0000-0000016A0000}"/>
    <cellStyle name="Normal 3 4 2 11 15" xfId="32962" xr:uid="{00000000-0005-0000-0000-0000026A0000}"/>
    <cellStyle name="Normal 3 4 2 11 2" xfId="15472" xr:uid="{00000000-0005-0000-0000-0000036A0000}"/>
    <cellStyle name="Normal 3 4 2 11 2 2" xfId="32968" xr:uid="{00000000-0005-0000-0000-0000046A0000}"/>
    <cellStyle name="Normal 3 4 2 11 3" xfId="15473" xr:uid="{00000000-0005-0000-0000-0000056A0000}"/>
    <cellStyle name="Normal 3 4 2 11 3 2" xfId="32969" xr:uid="{00000000-0005-0000-0000-0000066A0000}"/>
    <cellStyle name="Normal 3 4 2 11 4" xfId="15474" xr:uid="{00000000-0005-0000-0000-0000076A0000}"/>
    <cellStyle name="Normal 3 4 2 11 4 2" xfId="32970" xr:uid="{00000000-0005-0000-0000-0000086A0000}"/>
    <cellStyle name="Normal 3 4 2 11 5" xfId="15475" xr:uid="{00000000-0005-0000-0000-0000096A0000}"/>
    <cellStyle name="Normal 3 4 2 11 5 2" xfId="32971" xr:uid="{00000000-0005-0000-0000-00000A6A0000}"/>
    <cellStyle name="Normal 3 4 2 11 6" xfId="15476" xr:uid="{00000000-0005-0000-0000-00000B6A0000}"/>
    <cellStyle name="Normal 3 4 2 11 6 2" xfId="32972" xr:uid="{00000000-0005-0000-0000-00000C6A0000}"/>
    <cellStyle name="Normal 3 4 2 11 7" xfId="15477" xr:uid="{00000000-0005-0000-0000-00000D6A0000}"/>
    <cellStyle name="Normal 3 4 2 11 7 2" xfId="32973" xr:uid="{00000000-0005-0000-0000-00000E6A0000}"/>
    <cellStyle name="Normal 3 4 2 11 8" xfId="15478" xr:uid="{00000000-0005-0000-0000-00000F6A0000}"/>
    <cellStyle name="Normal 3 4 2 11 8 2" xfId="32974" xr:uid="{00000000-0005-0000-0000-0000106A0000}"/>
    <cellStyle name="Normal 3 4 2 11 9" xfId="15479" xr:uid="{00000000-0005-0000-0000-0000116A0000}"/>
    <cellStyle name="Normal 3 4 2 11 9 2" xfId="32975" xr:uid="{00000000-0005-0000-0000-0000126A0000}"/>
    <cellStyle name="Normal 3 4 2 12" xfId="15480" xr:uid="{00000000-0005-0000-0000-0000136A0000}"/>
    <cellStyle name="Normal 3 4 2 12 10" xfId="15481" xr:uid="{00000000-0005-0000-0000-0000146A0000}"/>
    <cellStyle name="Normal 3 4 2 12 10 2" xfId="32977" xr:uid="{00000000-0005-0000-0000-0000156A0000}"/>
    <cellStyle name="Normal 3 4 2 12 11" xfId="15482" xr:uid="{00000000-0005-0000-0000-0000166A0000}"/>
    <cellStyle name="Normal 3 4 2 12 11 2" xfId="32978" xr:uid="{00000000-0005-0000-0000-0000176A0000}"/>
    <cellStyle name="Normal 3 4 2 12 12" xfId="15483" xr:uid="{00000000-0005-0000-0000-0000186A0000}"/>
    <cellStyle name="Normal 3 4 2 12 12 2" xfId="32979" xr:uid="{00000000-0005-0000-0000-0000196A0000}"/>
    <cellStyle name="Normal 3 4 2 12 13" xfId="15484" xr:uid="{00000000-0005-0000-0000-00001A6A0000}"/>
    <cellStyle name="Normal 3 4 2 12 13 2" xfId="32980" xr:uid="{00000000-0005-0000-0000-00001B6A0000}"/>
    <cellStyle name="Normal 3 4 2 12 14" xfId="15485" xr:uid="{00000000-0005-0000-0000-00001C6A0000}"/>
    <cellStyle name="Normal 3 4 2 12 14 2" xfId="32981" xr:uid="{00000000-0005-0000-0000-00001D6A0000}"/>
    <cellStyle name="Normal 3 4 2 12 15" xfId="32976" xr:uid="{00000000-0005-0000-0000-00001E6A0000}"/>
    <cellStyle name="Normal 3 4 2 12 2" xfId="15486" xr:uid="{00000000-0005-0000-0000-00001F6A0000}"/>
    <cellStyle name="Normal 3 4 2 12 2 2" xfId="32982" xr:uid="{00000000-0005-0000-0000-0000206A0000}"/>
    <cellStyle name="Normal 3 4 2 12 3" xfId="15487" xr:uid="{00000000-0005-0000-0000-0000216A0000}"/>
    <cellStyle name="Normal 3 4 2 12 3 2" xfId="32983" xr:uid="{00000000-0005-0000-0000-0000226A0000}"/>
    <cellStyle name="Normal 3 4 2 12 4" xfId="15488" xr:uid="{00000000-0005-0000-0000-0000236A0000}"/>
    <cellStyle name="Normal 3 4 2 12 4 2" xfId="32984" xr:uid="{00000000-0005-0000-0000-0000246A0000}"/>
    <cellStyle name="Normal 3 4 2 12 5" xfId="15489" xr:uid="{00000000-0005-0000-0000-0000256A0000}"/>
    <cellStyle name="Normal 3 4 2 12 5 2" xfId="32985" xr:uid="{00000000-0005-0000-0000-0000266A0000}"/>
    <cellStyle name="Normal 3 4 2 12 6" xfId="15490" xr:uid="{00000000-0005-0000-0000-0000276A0000}"/>
    <cellStyle name="Normal 3 4 2 12 6 2" xfId="32986" xr:uid="{00000000-0005-0000-0000-0000286A0000}"/>
    <cellStyle name="Normal 3 4 2 12 7" xfId="15491" xr:uid="{00000000-0005-0000-0000-0000296A0000}"/>
    <cellStyle name="Normal 3 4 2 12 7 2" xfId="32987" xr:uid="{00000000-0005-0000-0000-00002A6A0000}"/>
    <cellStyle name="Normal 3 4 2 12 8" xfId="15492" xr:uid="{00000000-0005-0000-0000-00002B6A0000}"/>
    <cellStyle name="Normal 3 4 2 12 8 2" xfId="32988" xr:uid="{00000000-0005-0000-0000-00002C6A0000}"/>
    <cellStyle name="Normal 3 4 2 12 9" xfId="15493" xr:uid="{00000000-0005-0000-0000-00002D6A0000}"/>
    <cellStyle name="Normal 3 4 2 12 9 2" xfId="32989" xr:uid="{00000000-0005-0000-0000-00002E6A0000}"/>
    <cellStyle name="Normal 3 4 2 13" xfId="15494" xr:uid="{00000000-0005-0000-0000-00002F6A0000}"/>
    <cellStyle name="Normal 3 4 2 13 10" xfId="15495" xr:uid="{00000000-0005-0000-0000-0000306A0000}"/>
    <cellStyle name="Normal 3 4 2 13 10 2" xfId="32991" xr:uid="{00000000-0005-0000-0000-0000316A0000}"/>
    <cellStyle name="Normal 3 4 2 13 11" xfId="15496" xr:uid="{00000000-0005-0000-0000-0000326A0000}"/>
    <cellStyle name="Normal 3 4 2 13 11 2" xfId="32992" xr:uid="{00000000-0005-0000-0000-0000336A0000}"/>
    <cellStyle name="Normal 3 4 2 13 12" xfId="15497" xr:uid="{00000000-0005-0000-0000-0000346A0000}"/>
    <cellStyle name="Normal 3 4 2 13 12 2" xfId="32993" xr:uid="{00000000-0005-0000-0000-0000356A0000}"/>
    <cellStyle name="Normal 3 4 2 13 13" xfId="15498" xr:uid="{00000000-0005-0000-0000-0000366A0000}"/>
    <cellStyle name="Normal 3 4 2 13 13 2" xfId="32994" xr:uid="{00000000-0005-0000-0000-0000376A0000}"/>
    <cellStyle name="Normal 3 4 2 13 14" xfId="15499" xr:uid="{00000000-0005-0000-0000-0000386A0000}"/>
    <cellStyle name="Normal 3 4 2 13 14 2" xfId="32995" xr:uid="{00000000-0005-0000-0000-0000396A0000}"/>
    <cellStyle name="Normal 3 4 2 13 15" xfId="32990" xr:uid="{00000000-0005-0000-0000-00003A6A0000}"/>
    <cellStyle name="Normal 3 4 2 13 2" xfId="15500" xr:uid="{00000000-0005-0000-0000-00003B6A0000}"/>
    <cellStyle name="Normal 3 4 2 13 2 2" xfId="32996" xr:uid="{00000000-0005-0000-0000-00003C6A0000}"/>
    <cellStyle name="Normal 3 4 2 13 3" xfId="15501" xr:uid="{00000000-0005-0000-0000-00003D6A0000}"/>
    <cellStyle name="Normal 3 4 2 13 3 2" xfId="32997" xr:uid="{00000000-0005-0000-0000-00003E6A0000}"/>
    <cellStyle name="Normal 3 4 2 13 4" xfId="15502" xr:uid="{00000000-0005-0000-0000-00003F6A0000}"/>
    <cellStyle name="Normal 3 4 2 13 4 2" xfId="32998" xr:uid="{00000000-0005-0000-0000-0000406A0000}"/>
    <cellStyle name="Normal 3 4 2 13 5" xfId="15503" xr:uid="{00000000-0005-0000-0000-0000416A0000}"/>
    <cellStyle name="Normal 3 4 2 13 5 2" xfId="32999" xr:uid="{00000000-0005-0000-0000-0000426A0000}"/>
    <cellStyle name="Normal 3 4 2 13 6" xfId="15504" xr:uid="{00000000-0005-0000-0000-0000436A0000}"/>
    <cellStyle name="Normal 3 4 2 13 6 2" xfId="33000" xr:uid="{00000000-0005-0000-0000-0000446A0000}"/>
    <cellStyle name="Normal 3 4 2 13 7" xfId="15505" xr:uid="{00000000-0005-0000-0000-0000456A0000}"/>
    <cellStyle name="Normal 3 4 2 13 7 2" xfId="33001" xr:uid="{00000000-0005-0000-0000-0000466A0000}"/>
    <cellStyle name="Normal 3 4 2 13 8" xfId="15506" xr:uid="{00000000-0005-0000-0000-0000476A0000}"/>
    <cellStyle name="Normal 3 4 2 13 8 2" xfId="33002" xr:uid="{00000000-0005-0000-0000-0000486A0000}"/>
    <cellStyle name="Normal 3 4 2 13 9" xfId="15507" xr:uid="{00000000-0005-0000-0000-0000496A0000}"/>
    <cellStyle name="Normal 3 4 2 13 9 2" xfId="33003" xr:uid="{00000000-0005-0000-0000-00004A6A0000}"/>
    <cellStyle name="Normal 3 4 2 14" xfId="15508" xr:uid="{00000000-0005-0000-0000-00004B6A0000}"/>
    <cellStyle name="Normal 3 4 2 14 10" xfId="15509" xr:uid="{00000000-0005-0000-0000-00004C6A0000}"/>
    <cellStyle name="Normal 3 4 2 14 10 2" xfId="33005" xr:uid="{00000000-0005-0000-0000-00004D6A0000}"/>
    <cellStyle name="Normal 3 4 2 14 11" xfId="15510" xr:uid="{00000000-0005-0000-0000-00004E6A0000}"/>
    <cellStyle name="Normal 3 4 2 14 11 2" xfId="33006" xr:uid="{00000000-0005-0000-0000-00004F6A0000}"/>
    <cellStyle name="Normal 3 4 2 14 12" xfId="15511" xr:uid="{00000000-0005-0000-0000-0000506A0000}"/>
    <cellStyle name="Normal 3 4 2 14 12 2" xfId="33007" xr:uid="{00000000-0005-0000-0000-0000516A0000}"/>
    <cellStyle name="Normal 3 4 2 14 13" xfId="15512" xr:uid="{00000000-0005-0000-0000-0000526A0000}"/>
    <cellStyle name="Normal 3 4 2 14 13 2" xfId="33008" xr:uid="{00000000-0005-0000-0000-0000536A0000}"/>
    <cellStyle name="Normal 3 4 2 14 14" xfId="15513" xr:uid="{00000000-0005-0000-0000-0000546A0000}"/>
    <cellStyle name="Normal 3 4 2 14 14 2" xfId="33009" xr:uid="{00000000-0005-0000-0000-0000556A0000}"/>
    <cellStyle name="Normal 3 4 2 14 15" xfId="33004" xr:uid="{00000000-0005-0000-0000-0000566A0000}"/>
    <cellStyle name="Normal 3 4 2 14 2" xfId="15514" xr:uid="{00000000-0005-0000-0000-0000576A0000}"/>
    <cellStyle name="Normal 3 4 2 14 2 2" xfId="33010" xr:uid="{00000000-0005-0000-0000-0000586A0000}"/>
    <cellStyle name="Normal 3 4 2 14 3" xfId="15515" xr:uid="{00000000-0005-0000-0000-0000596A0000}"/>
    <cellStyle name="Normal 3 4 2 14 3 2" xfId="33011" xr:uid="{00000000-0005-0000-0000-00005A6A0000}"/>
    <cellStyle name="Normal 3 4 2 14 4" xfId="15516" xr:uid="{00000000-0005-0000-0000-00005B6A0000}"/>
    <cellStyle name="Normal 3 4 2 14 4 2" xfId="33012" xr:uid="{00000000-0005-0000-0000-00005C6A0000}"/>
    <cellStyle name="Normal 3 4 2 14 5" xfId="15517" xr:uid="{00000000-0005-0000-0000-00005D6A0000}"/>
    <cellStyle name="Normal 3 4 2 14 5 2" xfId="33013" xr:uid="{00000000-0005-0000-0000-00005E6A0000}"/>
    <cellStyle name="Normal 3 4 2 14 6" xfId="15518" xr:uid="{00000000-0005-0000-0000-00005F6A0000}"/>
    <cellStyle name="Normal 3 4 2 14 6 2" xfId="33014" xr:uid="{00000000-0005-0000-0000-0000606A0000}"/>
    <cellStyle name="Normal 3 4 2 14 7" xfId="15519" xr:uid="{00000000-0005-0000-0000-0000616A0000}"/>
    <cellStyle name="Normal 3 4 2 14 7 2" xfId="33015" xr:uid="{00000000-0005-0000-0000-0000626A0000}"/>
    <cellStyle name="Normal 3 4 2 14 8" xfId="15520" xr:uid="{00000000-0005-0000-0000-0000636A0000}"/>
    <cellStyle name="Normal 3 4 2 14 8 2" xfId="33016" xr:uid="{00000000-0005-0000-0000-0000646A0000}"/>
    <cellStyle name="Normal 3 4 2 14 9" xfId="15521" xr:uid="{00000000-0005-0000-0000-0000656A0000}"/>
    <cellStyle name="Normal 3 4 2 14 9 2" xfId="33017" xr:uid="{00000000-0005-0000-0000-0000666A0000}"/>
    <cellStyle name="Normal 3 4 2 15" xfId="15522" xr:uid="{00000000-0005-0000-0000-0000676A0000}"/>
    <cellStyle name="Normal 3 4 2 16" xfId="15523" xr:uid="{00000000-0005-0000-0000-0000686A0000}"/>
    <cellStyle name="Normal 3 4 2 17" xfId="15524" xr:uid="{00000000-0005-0000-0000-0000696A0000}"/>
    <cellStyle name="Normal 3 4 2 17 10" xfId="15525" xr:uid="{00000000-0005-0000-0000-00006A6A0000}"/>
    <cellStyle name="Normal 3 4 2 17 10 2" xfId="33019" xr:uid="{00000000-0005-0000-0000-00006B6A0000}"/>
    <cellStyle name="Normal 3 4 2 17 11" xfId="15526" xr:uid="{00000000-0005-0000-0000-00006C6A0000}"/>
    <cellStyle name="Normal 3 4 2 17 11 2" xfId="33020" xr:uid="{00000000-0005-0000-0000-00006D6A0000}"/>
    <cellStyle name="Normal 3 4 2 17 12" xfId="15527" xr:uid="{00000000-0005-0000-0000-00006E6A0000}"/>
    <cellStyle name="Normal 3 4 2 17 12 2" xfId="33021" xr:uid="{00000000-0005-0000-0000-00006F6A0000}"/>
    <cellStyle name="Normal 3 4 2 17 13" xfId="15528" xr:uid="{00000000-0005-0000-0000-0000706A0000}"/>
    <cellStyle name="Normal 3 4 2 17 13 2" xfId="33022" xr:uid="{00000000-0005-0000-0000-0000716A0000}"/>
    <cellStyle name="Normal 3 4 2 17 14" xfId="15529" xr:uid="{00000000-0005-0000-0000-0000726A0000}"/>
    <cellStyle name="Normal 3 4 2 17 14 2" xfId="33023" xr:uid="{00000000-0005-0000-0000-0000736A0000}"/>
    <cellStyle name="Normal 3 4 2 17 15" xfId="33018" xr:uid="{00000000-0005-0000-0000-0000746A0000}"/>
    <cellStyle name="Normal 3 4 2 17 2" xfId="15530" xr:uid="{00000000-0005-0000-0000-0000756A0000}"/>
    <cellStyle name="Normal 3 4 2 17 2 2" xfId="33024" xr:uid="{00000000-0005-0000-0000-0000766A0000}"/>
    <cellStyle name="Normal 3 4 2 17 3" xfId="15531" xr:uid="{00000000-0005-0000-0000-0000776A0000}"/>
    <cellStyle name="Normal 3 4 2 17 3 2" xfId="33025" xr:uid="{00000000-0005-0000-0000-0000786A0000}"/>
    <cellStyle name="Normal 3 4 2 17 4" xfId="15532" xr:uid="{00000000-0005-0000-0000-0000796A0000}"/>
    <cellStyle name="Normal 3 4 2 17 4 2" xfId="33026" xr:uid="{00000000-0005-0000-0000-00007A6A0000}"/>
    <cellStyle name="Normal 3 4 2 17 5" xfId="15533" xr:uid="{00000000-0005-0000-0000-00007B6A0000}"/>
    <cellStyle name="Normal 3 4 2 17 5 2" xfId="33027" xr:uid="{00000000-0005-0000-0000-00007C6A0000}"/>
    <cellStyle name="Normal 3 4 2 17 6" xfId="15534" xr:uid="{00000000-0005-0000-0000-00007D6A0000}"/>
    <cellStyle name="Normal 3 4 2 17 6 2" xfId="33028" xr:uid="{00000000-0005-0000-0000-00007E6A0000}"/>
    <cellStyle name="Normal 3 4 2 17 7" xfId="15535" xr:uid="{00000000-0005-0000-0000-00007F6A0000}"/>
    <cellStyle name="Normal 3 4 2 17 7 2" xfId="33029" xr:uid="{00000000-0005-0000-0000-0000806A0000}"/>
    <cellStyle name="Normal 3 4 2 17 8" xfId="15536" xr:uid="{00000000-0005-0000-0000-0000816A0000}"/>
    <cellStyle name="Normal 3 4 2 17 8 2" xfId="33030" xr:uid="{00000000-0005-0000-0000-0000826A0000}"/>
    <cellStyle name="Normal 3 4 2 17 9" xfId="15537" xr:uid="{00000000-0005-0000-0000-0000836A0000}"/>
    <cellStyle name="Normal 3 4 2 17 9 2" xfId="33031" xr:uid="{00000000-0005-0000-0000-0000846A0000}"/>
    <cellStyle name="Normal 3 4 2 18" xfId="15538" xr:uid="{00000000-0005-0000-0000-0000856A0000}"/>
    <cellStyle name="Normal 3 4 2 18 10" xfId="15539" xr:uid="{00000000-0005-0000-0000-0000866A0000}"/>
    <cellStyle name="Normal 3 4 2 18 10 2" xfId="33033" xr:uid="{00000000-0005-0000-0000-0000876A0000}"/>
    <cellStyle name="Normal 3 4 2 18 11" xfId="15540" xr:uid="{00000000-0005-0000-0000-0000886A0000}"/>
    <cellStyle name="Normal 3 4 2 18 11 2" xfId="33034" xr:uid="{00000000-0005-0000-0000-0000896A0000}"/>
    <cellStyle name="Normal 3 4 2 18 12" xfId="15541" xr:uid="{00000000-0005-0000-0000-00008A6A0000}"/>
    <cellStyle name="Normal 3 4 2 18 12 2" xfId="33035" xr:uid="{00000000-0005-0000-0000-00008B6A0000}"/>
    <cellStyle name="Normal 3 4 2 18 13" xfId="15542" xr:uid="{00000000-0005-0000-0000-00008C6A0000}"/>
    <cellStyle name="Normal 3 4 2 18 13 2" xfId="33036" xr:uid="{00000000-0005-0000-0000-00008D6A0000}"/>
    <cellStyle name="Normal 3 4 2 18 14" xfId="15543" xr:uid="{00000000-0005-0000-0000-00008E6A0000}"/>
    <cellStyle name="Normal 3 4 2 18 14 2" xfId="33037" xr:uid="{00000000-0005-0000-0000-00008F6A0000}"/>
    <cellStyle name="Normal 3 4 2 18 15" xfId="33032" xr:uid="{00000000-0005-0000-0000-0000906A0000}"/>
    <cellStyle name="Normal 3 4 2 18 2" xfId="15544" xr:uid="{00000000-0005-0000-0000-0000916A0000}"/>
    <cellStyle name="Normal 3 4 2 18 2 2" xfId="33038" xr:uid="{00000000-0005-0000-0000-0000926A0000}"/>
    <cellStyle name="Normal 3 4 2 18 3" xfId="15545" xr:uid="{00000000-0005-0000-0000-0000936A0000}"/>
    <cellStyle name="Normal 3 4 2 18 3 2" xfId="33039" xr:uid="{00000000-0005-0000-0000-0000946A0000}"/>
    <cellStyle name="Normal 3 4 2 18 4" xfId="15546" xr:uid="{00000000-0005-0000-0000-0000956A0000}"/>
    <cellStyle name="Normal 3 4 2 18 4 2" xfId="33040" xr:uid="{00000000-0005-0000-0000-0000966A0000}"/>
    <cellStyle name="Normal 3 4 2 18 5" xfId="15547" xr:uid="{00000000-0005-0000-0000-0000976A0000}"/>
    <cellStyle name="Normal 3 4 2 18 5 2" xfId="33041" xr:uid="{00000000-0005-0000-0000-0000986A0000}"/>
    <cellStyle name="Normal 3 4 2 18 6" xfId="15548" xr:uid="{00000000-0005-0000-0000-0000996A0000}"/>
    <cellStyle name="Normal 3 4 2 18 6 2" xfId="33042" xr:uid="{00000000-0005-0000-0000-00009A6A0000}"/>
    <cellStyle name="Normal 3 4 2 18 7" xfId="15549" xr:uid="{00000000-0005-0000-0000-00009B6A0000}"/>
    <cellStyle name="Normal 3 4 2 18 7 2" xfId="33043" xr:uid="{00000000-0005-0000-0000-00009C6A0000}"/>
    <cellStyle name="Normal 3 4 2 18 8" xfId="15550" xr:uid="{00000000-0005-0000-0000-00009D6A0000}"/>
    <cellStyle name="Normal 3 4 2 18 8 2" xfId="33044" xr:uid="{00000000-0005-0000-0000-00009E6A0000}"/>
    <cellStyle name="Normal 3 4 2 18 9" xfId="15551" xr:uid="{00000000-0005-0000-0000-00009F6A0000}"/>
    <cellStyle name="Normal 3 4 2 18 9 2" xfId="33045" xr:uid="{00000000-0005-0000-0000-0000A06A0000}"/>
    <cellStyle name="Normal 3 4 2 2" xfId="15552" xr:uid="{00000000-0005-0000-0000-0000A16A0000}"/>
    <cellStyle name="Normal 3 4 2 2 10" xfId="15553" xr:uid="{00000000-0005-0000-0000-0000A26A0000}"/>
    <cellStyle name="Normal 3 4 2 2 10 2" xfId="33047" xr:uid="{00000000-0005-0000-0000-0000A36A0000}"/>
    <cellStyle name="Normal 3 4 2 2 11" xfId="15554" xr:uid="{00000000-0005-0000-0000-0000A46A0000}"/>
    <cellStyle name="Normal 3 4 2 2 11 2" xfId="33048" xr:uid="{00000000-0005-0000-0000-0000A56A0000}"/>
    <cellStyle name="Normal 3 4 2 2 12" xfId="15555" xr:uid="{00000000-0005-0000-0000-0000A66A0000}"/>
    <cellStyle name="Normal 3 4 2 2 12 2" xfId="33049" xr:uid="{00000000-0005-0000-0000-0000A76A0000}"/>
    <cellStyle name="Normal 3 4 2 2 13" xfId="15556" xr:uid="{00000000-0005-0000-0000-0000A86A0000}"/>
    <cellStyle name="Normal 3 4 2 2 13 2" xfId="33050" xr:uid="{00000000-0005-0000-0000-0000A96A0000}"/>
    <cellStyle name="Normal 3 4 2 2 14" xfId="15557" xr:uid="{00000000-0005-0000-0000-0000AA6A0000}"/>
    <cellStyle name="Normal 3 4 2 2 14 2" xfId="33051" xr:uid="{00000000-0005-0000-0000-0000AB6A0000}"/>
    <cellStyle name="Normal 3 4 2 2 15" xfId="15558" xr:uid="{00000000-0005-0000-0000-0000AC6A0000}"/>
    <cellStyle name="Normal 3 4 2 2 15 2" xfId="33052" xr:uid="{00000000-0005-0000-0000-0000AD6A0000}"/>
    <cellStyle name="Normal 3 4 2 2 16" xfId="15559" xr:uid="{00000000-0005-0000-0000-0000AE6A0000}"/>
    <cellStyle name="Normal 3 4 2 2 16 2" xfId="33053" xr:uid="{00000000-0005-0000-0000-0000AF6A0000}"/>
    <cellStyle name="Normal 3 4 2 2 17" xfId="15560" xr:uid="{00000000-0005-0000-0000-0000B06A0000}"/>
    <cellStyle name="Normal 3 4 2 2 17 2" xfId="33054" xr:uid="{00000000-0005-0000-0000-0000B16A0000}"/>
    <cellStyle name="Normal 3 4 2 2 18" xfId="33046" xr:uid="{00000000-0005-0000-0000-0000B26A0000}"/>
    <cellStyle name="Normal 3 4 2 2 2" xfId="15561" xr:uid="{00000000-0005-0000-0000-0000B36A0000}"/>
    <cellStyle name="Normal 3 4 2 2 3" xfId="15562" xr:uid="{00000000-0005-0000-0000-0000B46A0000}"/>
    <cellStyle name="Normal 3 4 2 2 4" xfId="15563" xr:uid="{00000000-0005-0000-0000-0000B56A0000}"/>
    <cellStyle name="Normal 3 4 2 2 5" xfId="15564" xr:uid="{00000000-0005-0000-0000-0000B66A0000}"/>
    <cellStyle name="Normal 3 4 2 2 5 2" xfId="33055" xr:uid="{00000000-0005-0000-0000-0000B76A0000}"/>
    <cellStyle name="Normal 3 4 2 2 6" xfId="15565" xr:uid="{00000000-0005-0000-0000-0000B86A0000}"/>
    <cellStyle name="Normal 3 4 2 2 6 2" xfId="33056" xr:uid="{00000000-0005-0000-0000-0000B96A0000}"/>
    <cellStyle name="Normal 3 4 2 2 7" xfId="15566" xr:uid="{00000000-0005-0000-0000-0000BA6A0000}"/>
    <cellStyle name="Normal 3 4 2 2 7 2" xfId="33057" xr:uid="{00000000-0005-0000-0000-0000BB6A0000}"/>
    <cellStyle name="Normal 3 4 2 2 8" xfId="15567" xr:uid="{00000000-0005-0000-0000-0000BC6A0000}"/>
    <cellStyle name="Normal 3 4 2 2 8 2" xfId="33058" xr:uid="{00000000-0005-0000-0000-0000BD6A0000}"/>
    <cellStyle name="Normal 3 4 2 2 9" xfId="15568" xr:uid="{00000000-0005-0000-0000-0000BE6A0000}"/>
    <cellStyle name="Normal 3 4 2 2 9 2" xfId="33059" xr:uid="{00000000-0005-0000-0000-0000BF6A0000}"/>
    <cellStyle name="Normal 3 4 2 3" xfId="15569" xr:uid="{00000000-0005-0000-0000-0000C06A0000}"/>
    <cellStyle name="Normal 3 4 2 4" xfId="15570" xr:uid="{00000000-0005-0000-0000-0000C16A0000}"/>
    <cellStyle name="Normal 3 4 2 5" xfId="15571" xr:uid="{00000000-0005-0000-0000-0000C26A0000}"/>
    <cellStyle name="Normal 3 4 2 6" xfId="15572" xr:uid="{00000000-0005-0000-0000-0000C36A0000}"/>
    <cellStyle name="Normal 3 4 2 6 10" xfId="15573" xr:uid="{00000000-0005-0000-0000-0000C46A0000}"/>
    <cellStyle name="Normal 3 4 2 6 10 2" xfId="33061" xr:uid="{00000000-0005-0000-0000-0000C56A0000}"/>
    <cellStyle name="Normal 3 4 2 6 11" xfId="15574" xr:uid="{00000000-0005-0000-0000-0000C66A0000}"/>
    <cellStyle name="Normal 3 4 2 6 11 2" xfId="33062" xr:uid="{00000000-0005-0000-0000-0000C76A0000}"/>
    <cellStyle name="Normal 3 4 2 6 12" xfId="15575" xr:uid="{00000000-0005-0000-0000-0000C86A0000}"/>
    <cellStyle name="Normal 3 4 2 6 12 2" xfId="33063" xr:uid="{00000000-0005-0000-0000-0000C96A0000}"/>
    <cellStyle name="Normal 3 4 2 6 13" xfId="15576" xr:uid="{00000000-0005-0000-0000-0000CA6A0000}"/>
    <cellStyle name="Normal 3 4 2 6 13 2" xfId="33064" xr:uid="{00000000-0005-0000-0000-0000CB6A0000}"/>
    <cellStyle name="Normal 3 4 2 6 14" xfId="15577" xr:uid="{00000000-0005-0000-0000-0000CC6A0000}"/>
    <cellStyle name="Normal 3 4 2 6 14 2" xfId="33065" xr:uid="{00000000-0005-0000-0000-0000CD6A0000}"/>
    <cellStyle name="Normal 3 4 2 6 15" xfId="15578" xr:uid="{00000000-0005-0000-0000-0000CE6A0000}"/>
    <cellStyle name="Normal 3 4 2 6 15 2" xfId="33066" xr:uid="{00000000-0005-0000-0000-0000CF6A0000}"/>
    <cellStyle name="Normal 3 4 2 6 16" xfId="33060" xr:uid="{00000000-0005-0000-0000-0000D06A0000}"/>
    <cellStyle name="Normal 3 4 2 6 2" xfId="15579" xr:uid="{00000000-0005-0000-0000-0000D16A0000}"/>
    <cellStyle name="Normal 3 4 2 6 2 10" xfId="15580" xr:uid="{00000000-0005-0000-0000-0000D26A0000}"/>
    <cellStyle name="Normal 3 4 2 6 2 10 2" xfId="33068" xr:uid="{00000000-0005-0000-0000-0000D36A0000}"/>
    <cellStyle name="Normal 3 4 2 6 2 11" xfId="15581" xr:uid="{00000000-0005-0000-0000-0000D46A0000}"/>
    <cellStyle name="Normal 3 4 2 6 2 11 2" xfId="33069" xr:uid="{00000000-0005-0000-0000-0000D56A0000}"/>
    <cellStyle name="Normal 3 4 2 6 2 12" xfId="15582" xr:uid="{00000000-0005-0000-0000-0000D66A0000}"/>
    <cellStyle name="Normal 3 4 2 6 2 12 2" xfId="33070" xr:uid="{00000000-0005-0000-0000-0000D76A0000}"/>
    <cellStyle name="Normal 3 4 2 6 2 13" xfId="15583" xr:uid="{00000000-0005-0000-0000-0000D86A0000}"/>
    <cellStyle name="Normal 3 4 2 6 2 13 2" xfId="33071" xr:uid="{00000000-0005-0000-0000-0000D96A0000}"/>
    <cellStyle name="Normal 3 4 2 6 2 14" xfId="15584" xr:uid="{00000000-0005-0000-0000-0000DA6A0000}"/>
    <cellStyle name="Normal 3 4 2 6 2 14 2" xfId="33072" xr:uid="{00000000-0005-0000-0000-0000DB6A0000}"/>
    <cellStyle name="Normal 3 4 2 6 2 15" xfId="33067" xr:uid="{00000000-0005-0000-0000-0000DC6A0000}"/>
    <cellStyle name="Normal 3 4 2 6 2 2" xfId="15585" xr:uid="{00000000-0005-0000-0000-0000DD6A0000}"/>
    <cellStyle name="Normal 3 4 2 6 2 2 2" xfId="33073" xr:uid="{00000000-0005-0000-0000-0000DE6A0000}"/>
    <cellStyle name="Normal 3 4 2 6 2 3" xfId="15586" xr:uid="{00000000-0005-0000-0000-0000DF6A0000}"/>
    <cellStyle name="Normal 3 4 2 6 2 3 2" xfId="33074" xr:uid="{00000000-0005-0000-0000-0000E06A0000}"/>
    <cellStyle name="Normal 3 4 2 6 2 4" xfId="15587" xr:uid="{00000000-0005-0000-0000-0000E16A0000}"/>
    <cellStyle name="Normal 3 4 2 6 2 4 2" xfId="33075" xr:uid="{00000000-0005-0000-0000-0000E26A0000}"/>
    <cellStyle name="Normal 3 4 2 6 2 5" xfId="15588" xr:uid="{00000000-0005-0000-0000-0000E36A0000}"/>
    <cellStyle name="Normal 3 4 2 6 2 5 2" xfId="33076" xr:uid="{00000000-0005-0000-0000-0000E46A0000}"/>
    <cellStyle name="Normal 3 4 2 6 2 6" xfId="15589" xr:uid="{00000000-0005-0000-0000-0000E56A0000}"/>
    <cellStyle name="Normal 3 4 2 6 2 6 2" xfId="33077" xr:uid="{00000000-0005-0000-0000-0000E66A0000}"/>
    <cellStyle name="Normal 3 4 2 6 2 7" xfId="15590" xr:uid="{00000000-0005-0000-0000-0000E76A0000}"/>
    <cellStyle name="Normal 3 4 2 6 2 7 2" xfId="33078" xr:uid="{00000000-0005-0000-0000-0000E86A0000}"/>
    <cellStyle name="Normal 3 4 2 6 2 8" xfId="15591" xr:uid="{00000000-0005-0000-0000-0000E96A0000}"/>
    <cellStyle name="Normal 3 4 2 6 2 8 2" xfId="33079" xr:uid="{00000000-0005-0000-0000-0000EA6A0000}"/>
    <cellStyle name="Normal 3 4 2 6 2 9" xfId="15592" xr:uid="{00000000-0005-0000-0000-0000EB6A0000}"/>
    <cellStyle name="Normal 3 4 2 6 2 9 2" xfId="33080" xr:uid="{00000000-0005-0000-0000-0000EC6A0000}"/>
    <cellStyle name="Normal 3 4 2 6 3" xfId="15593" xr:uid="{00000000-0005-0000-0000-0000ED6A0000}"/>
    <cellStyle name="Normal 3 4 2 6 3 2" xfId="33081" xr:uid="{00000000-0005-0000-0000-0000EE6A0000}"/>
    <cellStyle name="Normal 3 4 2 6 4" xfId="15594" xr:uid="{00000000-0005-0000-0000-0000EF6A0000}"/>
    <cellStyle name="Normal 3 4 2 6 4 2" xfId="33082" xr:uid="{00000000-0005-0000-0000-0000F06A0000}"/>
    <cellStyle name="Normal 3 4 2 6 5" xfId="15595" xr:uid="{00000000-0005-0000-0000-0000F16A0000}"/>
    <cellStyle name="Normal 3 4 2 6 5 2" xfId="33083" xr:uid="{00000000-0005-0000-0000-0000F26A0000}"/>
    <cellStyle name="Normal 3 4 2 6 6" xfId="15596" xr:uid="{00000000-0005-0000-0000-0000F36A0000}"/>
    <cellStyle name="Normal 3 4 2 6 6 2" xfId="33084" xr:uid="{00000000-0005-0000-0000-0000F46A0000}"/>
    <cellStyle name="Normal 3 4 2 6 7" xfId="15597" xr:uid="{00000000-0005-0000-0000-0000F56A0000}"/>
    <cellStyle name="Normal 3 4 2 6 7 2" xfId="33085" xr:uid="{00000000-0005-0000-0000-0000F66A0000}"/>
    <cellStyle name="Normal 3 4 2 6 8" xfId="15598" xr:uid="{00000000-0005-0000-0000-0000F76A0000}"/>
    <cellStyle name="Normal 3 4 2 6 8 2" xfId="33086" xr:uid="{00000000-0005-0000-0000-0000F86A0000}"/>
    <cellStyle name="Normal 3 4 2 6 9" xfId="15599" xr:uid="{00000000-0005-0000-0000-0000F96A0000}"/>
    <cellStyle name="Normal 3 4 2 6 9 2" xfId="33087" xr:uid="{00000000-0005-0000-0000-0000FA6A0000}"/>
    <cellStyle name="Normal 3 4 2 7" xfId="15600" xr:uid="{00000000-0005-0000-0000-0000FB6A0000}"/>
    <cellStyle name="Normal 3 4 2 7 10" xfId="15601" xr:uid="{00000000-0005-0000-0000-0000FC6A0000}"/>
    <cellStyle name="Normal 3 4 2 7 10 2" xfId="33089" xr:uid="{00000000-0005-0000-0000-0000FD6A0000}"/>
    <cellStyle name="Normal 3 4 2 7 11" xfId="15602" xr:uid="{00000000-0005-0000-0000-0000FE6A0000}"/>
    <cellStyle name="Normal 3 4 2 7 11 2" xfId="33090" xr:uid="{00000000-0005-0000-0000-0000FF6A0000}"/>
    <cellStyle name="Normal 3 4 2 7 12" xfId="15603" xr:uid="{00000000-0005-0000-0000-0000006B0000}"/>
    <cellStyle name="Normal 3 4 2 7 12 2" xfId="33091" xr:uid="{00000000-0005-0000-0000-0000016B0000}"/>
    <cellStyle name="Normal 3 4 2 7 13" xfId="15604" xr:uid="{00000000-0005-0000-0000-0000026B0000}"/>
    <cellStyle name="Normal 3 4 2 7 13 2" xfId="33092" xr:uid="{00000000-0005-0000-0000-0000036B0000}"/>
    <cellStyle name="Normal 3 4 2 7 14" xfId="15605" xr:uid="{00000000-0005-0000-0000-0000046B0000}"/>
    <cellStyle name="Normal 3 4 2 7 14 2" xfId="33093" xr:uid="{00000000-0005-0000-0000-0000056B0000}"/>
    <cellStyle name="Normal 3 4 2 7 15" xfId="15606" xr:uid="{00000000-0005-0000-0000-0000066B0000}"/>
    <cellStyle name="Normal 3 4 2 7 15 2" xfId="33094" xr:uid="{00000000-0005-0000-0000-0000076B0000}"/>
    <cellStyle name="Normal 3 4 2 7 16" xfId="33088" xr:uid="{00000000-0005-0000-0000-0000086B0000}"/>
    <cellStyle name="Normal 3 4 2 7 2" xfId="15607" xr:uid="{00000000-0005-0000-0000-0000096B0000}"/>
    <cellStyle name="Normal 3 4 2 7 2 10" xfId="15608" xr:uid="{00000000-0005-0000-0000-00000A6B0000}"/>
    <cellStyle name="Normal 3 4 2 7 2 10 2" xfId="33096" xr:uid="{00000000-0005-0000-0000-00000B6B0000}"/>
    <cellStyle name="Normal 3 4 2 7 2 11" xfId="15609" xr:uid="{00000000-0005-0000-0000-00000C6B0000}"/>
    <cellStyle name="Normal 3 4 2 7 2 11 2" xfId="33097" xr:uid="{00000000-0005-0000-0000-00000D6B0000}"/>
    <cellStyle name="Normal 3 4 2 7 2 12" xfId="15610" xr:uid="{00000000-0005-0000-0000-00000E6B0000}"/>
    <cellStyle name="Normal 3 4 2 7 2 12 2" xfId="33098" xr:uid="{00000000-0005-0000-0000-00000F6B0000}"/>
    <cellStyle name="Normal 3 4 2 7 2 13" xfId="15611" xr:uid="{00000000-0005-0000-0000-0000106B0000}"/>
    <cellStyle name="Normal 3 4 2 7 2 13 2" xfId="33099" xr:uid="{00000000-0005-0000-0000-0000116B0000}"/>
    <cellStyle name="Normal 3 4 2 7 2 14" xfId="15612" xr:uid="{00000000-0005-0000-0000-0000126B0000}"/>
    <cellStyle name="Normal 3 4 2 7 2 14 2" xfId="33100" xr:uid="{00000000-0005-0000-0000-0000136B0000}"/>
    <cellStyle name="Normal 3 4 2 7 2 15" xfId="33095" xr:uid="{00000000-0005-0000-0000-0000146B0000}"/>
    <cellStyle name="Normal 3 4 2 7 2 2" xfId="15613" xr:uid="{00000000-0005-0000-0000-0000156B0000}"/>
    <cellStyle name="Normal 3 4 2 7 2 2 2" xfId="33101" xr:uid="{00000000-0005-0000-0000-0000166B0000}"/>
    <cellStyle name="Normal 3 4 2 7 2 3" xfId="15614" xr:uid="{00000000-0005-0000-0000-0000176B0000}"/>
    <cellStyle name="Normal 3 4 2 7 2 3 2" xfId="33102" xr:uid="{00000000-0005-0000-0000-0000186B0000}"/>
    <cellStyle name="Normal 3 4 2 7 2 4" xfId="15615" xr:uid="{00000000-0005-0000-0000-0000196B0000}"/>
    <cellStyle name="Normal 3 4 2 7 2 4 2" xfId="33103" xr:uid="{00000000-0005-0000-0000-00001A6B0000}"/>
    <cellStyle name="Normal 3 4 2 7 2 5" xfId="15616" xr:uid="{00000000-0005-0000-0000-00001B6B0000}"/>
    <cellStyle name="Normal 3 4 2 7 2 5 2" xfId="33104" xr:uid="{00000000-0005-0000-0000-00001C6B0000}"/>
    <cellStyle name="Normal 3 4 2 7 2 6" xfId="15617" xr:uid="{00000000-0005-0000-0000-00001D6B0000}"/>
    <cellStyle name="Normal 3 4 2 7 2 6 2" xfId="33105" xr:uid="{00000000-0005-0000-0000-00001E6B0000}"/>
    <cellStyle name="Normal 3 4 2 7 2 7" xfId="15618" xr:uid="{00000000-0005-0000-0000-00001F6B0000}"/>
    <cellStyle name="Normal 3 4 2 7 2 7 2" xfId="33106" xr:uid="{00000000-0005-0000-0000-0000206B0000}"/>
    <cellStyle name="Normal 3 4 2 7 2 8" xfId="15619" xr:uid="{00000000-0005-0000-0000-0000216B0000}"/>
    <cellStyle name="Normal 3 4 2 7 2 8 2" xfId="33107" xr:uid="{00000000-0005-0000-0000-0000226B0000}"/>
    <cellStyle name="Normal 3 4 2 7 2 9" xfId="15620" xr:uid="{00000000-0005-0000-0000-0000236B0000}"/>
    <cellStyle name="Normal 3 4 2 7 2 9 2" xfId="33108" xr:uid="{00000000-0005-0000-0000-0000246B0000}"/>
    <cellStyle name="Normal 3 4 2 7 3" xfId="15621" xr:uid="{00000000-0005-0000-0000-0000256B0000}"/>
    <cellStyle name="Normal 3 4 2 7 3 2" xfId="33109" xr:uid="{00000000-0005-0000-0000-0000266B0000}"/>
    <cellStyle name="Normal 3 4 2 7 4" xfId="15622" xr:uid="{00000000-0005-0000-0000-0000276B0000}"/>
    <cellStyle name="Normal 3 4 2 7 4 2" xfId="33110" xr:uid="{00000000-0005-0000-0000-0000286B0000}"/>
    <cellStyle name="Normal 3 4 2 7 5" xfId="15623" xr:uid="{00000000-0005-0000-0000-0000296B0000}"/>
    <cellStyle name="Normal 3 4 2 7 5 2" xfId="33111" xr:uid="{00000000-0005-0000-0000-00002A6B0000}"/>
    <cellStyle name="Normal 3 4 2 7 6" xfId="15624" xr:uid="{00000000-0005-0000-0000-00002B6B0000}"/>
    <cellStyle name="Normal 3 4 2 7 6 2" xfId="33112" xr:uid="{00000000-0005-0000-0000-00002C6B0000}"/>
    <cellStyle name="Normal 3 4 2 7 7" xfId="15625" xr:uid="{00000000-0005-0000-0000-00002D6B0000}"/>
    <cellStyle name="Normal 3 4 2 7 7 2" xfId="33113" xr:uid="{00000000-0005-0000-0000-00002E6B0000}"/>
    <cellStyle name="Normal 3 4 2 7 8" xfId="15626" xr:uid="{00000000-0005-0000-0000-00002F6B0000}"/>
    <cellStyle name="Normal 3 4 2 7 8 2" xfId="33114" xr:uid="{00000000-0005-0000-0000-0000306B0000}"/>
    <cellStyle name="Normal 3 4 2 7 9" xfId="15627" xr:uid="{00000000-0005-0000-0000-0000316B0000}"/>
    <cellStyle name="Normal 3 4 2 7 9 2" xfId="33115" xr:uid="{00000000-0005-0000-0000-0000326B0000}"/>
    <cellStyle name="Normal 3 4 2 8" xfId="15628" xr:uid="{00000000-0005-0000-0000-0000336B0000}"/>
    <cellStyle name="Normal 3 4 2 8 10" xfId="15629" xr:uid="{00000000-0005-0000-0000-0000346B0000}"/>
    <cellStyle name="Normal 3 4 2 8 10 2" xfId="33117" xr:uid="{00000000-0005-0000-0000-0000356B0000}"/>
    <cellStyle name="Normal 3 4 2 8 11" xfId="15630" xr:uid="{00000000-0005-0000-0000-0000366B0000}"/>
    <cellStyle name="Normal 3 4 2 8 11 2" xfId="33118" xr:uid="{00000000-0005-0000-0000-0000376B0000}"/>
    <cellStyle name="Normal 3 4 2 8 12" xfId="15631" xr:uid="{00000000-0005-0000-0000-0000386B0000}"/>
    <cellStyle name="Normal 3 4 2 8 12 2" xfId="33119" xr:uid="{00000000-0005-0000-0000-0000396B0000}"/>
    <cellStyle name="Normal 3 4 2 8 13" xfId="15632" xr:uid="{00000000-0005-0000-0000-00003A6B0000}"/>
    <cellStyle name="Normal 3 4 2 8 13 2" xfId="33120" xr:uid="{00000000-0005-0000-0000-00003B6B0000}"/>
    <cellStyle name="Normal 3 4 2 8 14" xfId="15633" xr:uid="{00000000-0005-0000-0000-00003C6B0000}"/>
    <cellStyle name="Normal 3 4 2 8 14 2" xfId="33121" xr:uid="{00000000-0005-0000-0000-00003D6B0000}"/>
    <cellStyle name="Normal 3 4 2 8 15" xfId="15634" xr:uid="{00000000-0005-0000-0000-00003E6B0000}"/>
    <cellStyle name="Normal 3 4 2 8 15 2" xfId="33122" xr:uid="{00000000-0005-0000-0000-00003F6B0000}"/>
    <cellStyle name="Normal 3 4 2 8 16" xfId="33116" xr:uid="{00000000-0005-0000-0000-0000406B0000}"/>
    <cellStyle name="Normal 3 4 2 8 2" xfId="15635" xr:uid="{00000000-0005-0000-0000-0000416B0000}"/>
    <cellStyle name="Normal 3 4 2 8 2 10" xfId="15636" xr:uid="{00000000-0005-0000-0000-0000426B0000}"/>
    <cellStyle name="Normal 3 4 2 8 2 10 2" xfId="33124" xr:uid="{00000000-0005-0000-0000-0000436B0000}"/>
    <cellStyle name="Normal 3 4 2 8 2 11" xfId="15637" xr:uid="{00000000-0005-0000-0000-0000446B0000}"/>
    <cellStyle name="Normal 3 4 2 8 2 11 2" xfId="33125" xr:uid="{00000000-0005-0000-0000-0000456B0000}"/>
    <cellStyle name="Normal 3 4 2 8 2 12" xfId="15638" xr:uid="{00000000-0005-0000-0000-0000466B0000}"/>
    <cellStyle name="Normal 3 4 2 8 2 12 2" xfId="33126" xr:uid="{00000000-0005-0000-0000-0000476B0000}"/>
    <cellStyle name="Normal 3 4 2 8 2 13" xfId="15639" xr:uid="{00000000-0005-0000-0000-0000486B0000}"/>
    <cellStyle name="Normal 3 4 2 8 2 13 2" xfId="33127" xr:uid="{00000000-0005-0000-0000-0000496B0000}"/>
    <cellStyle name="Normal 3 4 2 8 2 14" xfId="15640" xr:uid="{00000000-0005-0000-0000-00004A6B0000}"/>
    <cellStyle name="Normal 3 4 2 8 2 14 2" xfId="33128" xr:uid="{00000000-0005-0000-0000-00004B6B0000}"/>
    <cellStyle name="Normal 3 4 2 8 2 15" xfId="33123" xr:uid="{00000000-0005-0000-0000-00004C6B0000}"/>
    <cellStyle name="Normal 3 4 2 8 2 2" xfId="15641" xr:uid="{00000000-0005-0000-0000-00004D6B0000}"/>
    <cellStyle name="Normal 3 4 2 8 2 2 2" xfId="33129" xr:uid="{00000000-0005-0000-0000-00004E6B0000}"/>
    <cellStyle name="Normal 3 4 2 8 2 3" xfId="15642" xr:uid="{00000000-0005-0000-0000-00004F6B0000}"/>
    <cellStyle name="Normal 3 4 2 8 2 3 2" xfId="33130" xr:uid="{00000000-0005-0000-0000-0000506B0000}"/>
    <cellStyle name="Normal 3 4 2 8 2 4" xfId="15643" xr:uid="{00000000-0005-0000-0000-0000516B0000}"/>
    <cellStyle name="Normal 3 4 2 8 2 4 2" xfId="33131" xr:uid="{00000000-0005-0000-0000-0000526B0000}"/>
    <cellStyle name="Normal 3 4 2 8 2 5" xfId="15644" xr:uid="{00000000-0005-0000-0000-0000536B0000}"/>
    <cellStyle name="Normal 3 4 2 8 2 5 2" xfId="33132" xr:uid="{00000000-0005-0000-0000-0000546B0000}"/>
    <cellStyle name="Normal 3 4 2 8 2 6" xfId="15645" xr:uid="{00000000-0005-0000-0000-0000556B0000}"/>
    <cellStyle name="Normal 3 4 2 8 2 6 2" xfId="33133" xr:uid="{00000000-0005-0000-0000-0000566B0000}"/>
    <cellStyle name="Normal 3 4 2 8 2 7" xfId="15646" xr:uid="{00000000-0005-0000-0000-0000576B0000}"/>
    <cellStyle name="Normal 3 4 2 8 2 7 2" xfId="33134" xr:uid="{00000000-0005-0000-0000-0000586B0000}"/>
    <cellStyle name="Normal 3 4 2 8 2 8" xfId="15647" xr:uid="{00000000-0005-0000-0000-0000596B0000}"/>
    <cellStyle name="Normal 3 4 2 8 2 8 2" xfId="33135" xr:uid="{00000000-0005-0000-0000-00005A6B0000}"/>
    <cellStyle name="Normal 3 4 2 8 2 9" xfId="15648" xr:uid="{00000000-0005-0000-0000-00005B6B0000}"/>
    <cellStyle name="Normal 3 4 2 8 2 9 2" xfId="33136" xr:uid="{00000000-0005-0000-0000-00005C6B0000}"/>
    <cellStyle name="Normal 3 4 2 8 3" xfId="15649" xr:uid="{00000000-0005-0000-0000-00005D6B0000}"/>
    <cellStyle name="Normal 3 4 2 8 3 2" xfId="33137" xr:uid="{00000000-0005-0000-0000-00005E6B0000}"/>
    <cellStyle name="Normal 3 4 2 8 4" xfId="15650" xr:uid="{00000000-0005-0000-0000-00005F6B0000}"/>
    <cellStyle name="Normal 3 4 2 8 4 2" xfId="33138" xr:uid="{00000000-0005-0000-0000-0000606B0000}"/>
    <cellStyle name="Normal 3 4 2 8 5" xfId="15651" xr:uid="{00000000-0005-0000-0000-0000616B0000}"/>
    <cellStyle name="Normal 3 4 2 8 5 2" xfId="33139" xr:uid="{00000000-0005-0000-0000-0000626B0000}"/>
    <cellStyle name="Normal 3 4 2 8 6" xfId="15652" xr:uid="{00000000-0005-0000-0000-0000636B0000}"/>
    <cellStyle name="Normal 3 4 2 8 6 2" xfId="33140" xr:uid="{00000000-0005-0000-0000-0000646B0000}"/>
    <cellStyle name="Normal 3 4 2 8 7" xfId="15653" xr:uid="{00000000-0005-0000-0000-0000656B0000}"/>
    <cellStyle name="Normal 3 4 2 8 7 2" xfId="33141" xr:uid="{00000000-0005-0000-0000-0000666B0000}"/>
    <cellStyle name="Normal 3 4 2 8 8" xfId="15654" xr:uid="{00000000-0005-0000-0000-0000676B0000}"/>
    <cellStyle name="Normal 3 4 2 8 8 2" xfId="33142" xr:uid="{00000000-0005-0000-0000-0000686B0000}"/>
    <cellStyle name="Normal 3 4 2 8 9" xfId="15655" xr:uid="{00000000-0005-0000-0000-0000696B0000}"/>
    <cellStyle name="Normal 3 4 2 8 9 2" xfId="33143" xr:uid="{00000000-0005-0000-0000-00006A6B0000}"/>
    <cellStyle name="Normal 3 4 2 9" xfId="15656" xr:uid="{00000000-0005-0000-0000-00006B6B0000}"/>
    <cellStyle name="Normal 3 4 2 9 10" xfId="15657" xr:uid="{00000000-0005-0000-0000-00006C6B0000}"/>
    <cellStyle name="Normal 3 4 2 9 10 2" xfId="33145" xr:uid="{00000000-0005-0000-0000-00006D6B0000}"/>
    <cellStyle name="Normal 3 4 2 9 11" xfId="15658" xr:uid="{00000000-0005-0000-0000-00006E6B0000}"/>
    <cellStyle name="Normal 3 4 2 9 11 2" xfId="33146" xr:uid="{00000000-0005-0000-0000-00006F6B0000}"/>
    <cellStyle name="Normal 3 4 2 9 12" xfId="15659" xr:uid="{00000000-0005-0000-0000-0000706B0000}"/>
    <cellStyle name="Normal 3 4 2 9 12 2" xfId="33147" xr:uid="{00000000-0005-0000-0000-0000716B0000}"/>
    <cellStyle name="Normal 3 4 2 9 13" xfId="15660" xr:uid="{00000000-0005-0000-0000-0000726B0000}"/>
    <cellStyle name="Normal 3 4 2 9 13 2" xfId="33148" xr:uid="{00000000-0005-0000-0000-0000736B0000}"/>
    <cellStyle name="Normal 3 4 2 9 14" xfId="15661" xr:uid="{00000000-0005-0000-0000-0000746B0000}"/>
    <cellStyle name="Normal 3 4 2 9 14 2" xfId="33149" xr:uid="{00000000-0005-0000-0000-0000756B0000}"/>
    <cellStyle name="Normal 3 4 2 9 15" xfId="33144" xr:uid="{00000000-0005-0000-0000-0000766B0000}"/>
    <cellStyle name="Normal 3 4 2 9 2" xfId="15662" xr:uid="{00000000-0005-0000-0000-0000776B0000}"/>
    <cellStyle name="Normal 3 4 2 9 2 2" xfId="33150" xr:uid="{00000000-0005-0000-0000-0000786B0000}"/>
    <cellStyle name="Normal 3 4 2 9 3" xfId="15663" xr:uid="{00000000-0005-0000-0000-0000796B0000}"/>
    <cellStyle name="Normal 3 4 2 9 3 2" xfId="33151" xr:uid="{00000000-0005-0000-0000-00007A6B0000}"/>
    <cellStyle name="Normal 3 4 2 9 4" xfId="15664" xr:uid="{00000000-0005-0000-0000-00007B6B0000}"/>
    <cellStyle name="Normal 3 4 2 9 4 2" xfId="33152" xr:uid="{00000000-0005-0000-0000-00007C6B0000}"/>
    <cellStyle name="Normal 3 4 2 9 5" xfId="15665" xr:uid="{00000000-0005-0000-0000-00007D6B0000}"/>
    <cellStyle name="Normal 3 4 2 9 5 2" xfId="33153" xr:uid="{00000000-0005-0000-0000-00007E6B0000}"/>
    <cellStyle name="Normal 3 4 2 9 6" xfId="15666" xr:uid="{00000000-0005-0000-0000-00007F6B0000}"/>
    <cellStyle name="Normal 3 4 2 9 6 2" xfId="33154" xr:uid="{00000000-0005-0000-0000-0000806B0000}"/>
    <cellStyle name="Normal 3 4 2 9 7" xfId="15667" xr:uid="{00000000-0005-0000-0000-0000816B0000}"/>
    <cellStyle name="Normal 3 4 2 9 7 2" xfId="33155" xr:uid="{00000000-0005-0000-0000-0000826B0000}"/>
    <cellStyle name="Normal 3 4 2 9 8" xfId="15668" xr:uid="{00000000-0005-0000-0000-0000836B0000}"/>
    <cellStyle name="Normal 3 4 2 9 8 2" xfId="33156" xr:uid="{00000000-0005-0000-0000-0000846B0000}"/>
    <cellStyle name="Normal 3 4 2 9 9" xfId="15669" xr:uid="{00000000-0005-0000-0000-0000856B0000}"/>
    <cellStyle name="Normal 3 4 2 9 9 2" xfId="33157" xr:uid="{00000000-0005-0000-0000-0000866B0000}"/>
    <cellStyle name="Normal 3 4 20" xfId="15670" xr:uid="{00000000-0005-0000-0000-0000876B0000}"/>
    <cellStyle name="Normal 3 4 20 10" xfId="15671" xr:uid="{00000000-0005-0000-0000-0000886B0000}"/>
    <cellStyle name="Normal 3 4 20 10 2" xfId="33159" xr:uid="{00000000-0005-0000-0000-0000896B0000}"/>
    <cellStyle name="Normal 3 4 20 11" xfId="15672" xr:uid="{00000000-0005-0000-0000-00008A6B0000}"/>
    <cellStyle name="Normal 3 4 20 11 2" xfId="33160" xr:uid="{00000000-0005-0000-0000-00008B6B0000}"/>
    <cellStyle name="Normal 3 4 20 12" xfId="15673" xr:uid="{00000000-0005-0000-0000-00008C6B0000}"/>
    <cellStyle name="Normal 3 4 20 12 2" xfId="33161" xr:uid="{00000000-0005-0000-0000-00008D6B0000}"/>
    <cellStyle name="Normal 3 4 20 13" xfId="15674" xr:uid="{00000000-0005-0000-0000-00008E6B0000}"/>
    <cellStyle name="Normal 3 4 20 13 2" xfId="33162" xr:uid="{00000000-0005-0000-0000-00008F6B0000}"/>
    <cellStyle name="Normal 3 4 20 14" xfId="15675" xr:uid="{00000000-0005-0000-0000-0000906B0000}"/>
    <cellStyle name="Normal 3 4 20 14 2" xfId="33163" xr:uid="{00000000-0005-0000-0000-0000916B0000}"/>
    <cellStyle name="Normal 3 4 20 15" xfId="33158" xr:uid="{00000000-0005-0000-0000-0000926B0000}"/>
    <cellStyle name="Normal 3 4 20 2" xfId="15676" xr:uid="{00000000-0005-0000-0000-0000936B0000}"/>
    <cellStyle name="Normal 3 4 20 2 2" xfId="33164" xr:uid="{00000000-0005-0000-0000-0000946B0000}"/>
    <cellStyle name="Normal 3 4 20 3" xfId="15677" xr:uid="{00000000-0005-0000-0000-0000956B0000}"/>
    <cellStyle name="Normal 3 4 20 3 2" xfId="33165" xr:uid="{00000000-0005-0000-0000-0000966B0000}"/>
    <cellStyle name="Normal 3 4 20 4" xfId="15678" xr:uid="{00000000-0005-0000-0000-0000976B0000}"/>
    <cellStyle name="Normal 3 4 20 4 2" xfId="33166" xr:uid="{00000000-0005-0000-0000-0000986B0000}"/>
    <cellStyle name="Normal 3 4 20 5" xfId="15679" xr:uid="{00000000-0005-0000-0000-0000996B0000}"/>
    <cellStyle name="Normal 3 4 20 5 2" xfId="33167" xr:uid="{00000000-0005-0000-0000-00009A6B0000}"/>
    <cellStyle name="Normal 3 4 20 6" xfId="15680" xr:uid="{00000000-0005-0000-0000-00009B6B0000}"/>
    <cellStyle name="Normal 3 4 20 6 2" xfId="33168" xr:uid="{00000000-0005-0000-0000-00009C6B0000}"/>
    <cellStyle name="Normal 3 4 20 7" xfId="15681" xr:uid="{00000000-0005-0000-0000-00009D6B0000}"/>
    <cellStyle name="Normal 3 4 20 7 2" xfId="33169" xr:uid="{00000000-0005-0000-0000-00009E6B0000}"/>
    <cellStyle name="Normal 3 4 20 8" xfId="15682" xr:uid="{00000000-0005-0000-0000-00009F6B0000}"/>
    <cellStyle name="Normal 3 4 20 8 2" xfId="33170" xr:uid="{00000000-0005-0000-0000-0000A06B0000}"/>
    <cellStyle name="Normal 3 4 20 9" xfId="15683" xr:uid="{00000000-0005-0000-0000-0000A16B0000}"/>
    <cellStyle name="Normal 3 4 20 9 2" xfId="33171" xr:uid="{00000000-0005-0000-0000-0000A26B0000}"/>
    <cellStyle name="Normal 3 4 21" xfId="15684" xr:uid="{00000000-0005-0000-0000-0000A36B0000}"/>
    <cellStyle name="Normal 3 4 21 10" xfId="15685" xr:uid="{00000000-0005-0000-0000-0000A46B0000}"/>
    <cellStyle name="Normal 3 4 21 10 2" xfId="33173" xr:uid="{00000000-0005-0000-0000-0000A56B0000}"/>
    <cellStyle name="Normal 3 4 21 11" xfId="15686" xr:uid="{00000000-0005-0000-0000-0000A66B0000}"/>
    <cellStyle name="Normal 3 4 21 11 2" xfId="33174" xr:uid="{00000000-0005-0000-0000-0000A76B0000}"/>
    <cellStyle name="Normal 3 4 21 12" xfId="15687" xr:uid="{00000000-0005-0000-0000-0000A86B0000}"/>
    <cellStyle name="Normal 3 4 21 12 2" xfId="33175" xr:uid="{00000000-0005-0000-0000-0000A96B0000}"/>
    <cellStyle name="Normal 3 4 21 13" xfId="15688" xr:uid="{00000000-0005-0000-0000-0000AA6B0000}"/>
    <cellStyle name="Normal 3 4 21 13 2" xfId="33176" xr:uid="{00000000-0005-0000-0000-0000AB6B0000}"/>
    <cellStyle name="Normal 3 4 21 14" xfId="15689" xr:uid="{00000000-0005-0000-0000-0000AC6B0000}"/>
    <cellStyle name="Normal 3 4 21 14 2" xfId="33177" xr:uid="{00000000-0005-0000-0000-0000AD6B0000}"/>
    <cellStyle name="Normal 3 4 21 15" xfId="33172" xr:uid="{00000000-0005-0000-0000-0000AE6B0000}"/>
    <cellStyle name="Normal 3 4 21 2" xfId="15690" xr:uid="{00000000-0005-0000-0000-0000AF6B0000}"/>
    <cellStyle name="Normal 3 4 21 2 2" xfId="33178" xr:uid="{00000000-0005-0000-0000-0000B06B0000}"/>
    <cellStyle name="Normal 3 4 21 3" xfId="15691" xr:uid="{00000000-0005-0000-0000-0000B16B0000}"/>
    <cellStyle name="Normal 3 4 21 3 2" xfId="33179" xr:uid="{00000000-0005-0000-0000-0000B26B0000}"/>
    <cellStyle name="Normal 3 4 21 4" xfId="15692" xr:uid="{00000000-0005-0000-0000-0000B36B0000}"/>
    <cellStyle name="Normal 3 4 21 4 2" xfId="33180" xr:uid="{00000000-0005-0000-0000-0000B46B0000}"/>
    <cellStyle name="Normal 3 4 21 5" xfId="15693" xr:uid="{00000000-0005-0000-0000-0000B56B0000}"/>
    <cellStyle name="Normal 3 4 21 5 2" xfId="33181" xr:uid="{00000000-0005-0000-0000-0000B66B0000}"/>
    <cellStyle name="Normal 3 4 21 6" xfId="15694" xr:uid="{00000000-0005-0000-0000-0000B76B0000}"/>
    <cellStyle name="Normal 3 4 21 6 2" xfId="33182" xr:uid="{00000000-0005-0000-0000-0000B86B0000}"/>
    <cellStyle name="Normal 3 4 21 7" xfId="15695" xr:uid="{00000000-0005-0000-0000-0000B96B0000}"/>
    <cellStyle name="Normal 3 4 21 7 2" xfId="33183" xr:uid="{00000000-0005-0000-0000-0000BA6B0000}"/>
    <cellStyle name="Normal 3 4 21 8" xfId="15696" xr:uid="{00000000-0005-0000-0000-0000BB6B0000}"/>
    <cellStyle name="Normal 3 4 21 8 2" xfId="33184" xr:uid="{00000000-0005-0000-0000-0000BC6B0000}"/>
    <cellStyle name="Normal 3 4 21 9" xfId="15697" xr:uid="{00000000-0005-0000-0000-0000BD6B0000}"/>
    <cellStyle name="Normal 3 4 21 9 2" xfId="33185" xr:uid="{00000000-0005-0000-0000-0000BE6B0000}"/>
    <cellStyle name="Normal 3 4 22" xfId="15698" xr:uid="{00000000-0005-0000-0000-0000BF6B0000}"/>
    <cellStyle name="Normal 3 4 23" xfId="15699" xr:uid="{00000000-0005-0000-0000-0000C06B0000}"/>
    <cellStyle name="Normal 3 4 24" xfId="15700" xr:uid="{00000000-0005-0000-0000-0000C16B0000}"/>
    <cellStyle name="Normal 3 4 24 10" xfId="15701" xr:uid="{00000000-0005-0000-0000-0000C26B0000}"/>
    <cellStyle name="Normal 3 4 24 10 2" xfId="33187" xr:uid="{00000000-0005-0000-0000-0000C36B0000}"/>
    <cellStyle name="Normal 3 4 24 11" xfId="15702" xr:uid="{00000000-0005-0000-0000-0000C46B0000}"/>
    <cellStyle name="Normal 3 4 24 11 2" xfId="33188" xr:uid="{00000000-0005-0000-0000-0000C56B0000}"/>
    <cellStyle name="Normal 3 4 24 12" xfId="15703" xr:uid="{00000000-0005-0000-0000-0000C66B0000}"/>
    <cellStyle name="Normal 3 4 24 12 2" xfId="33189" xr:uid="{00000000-0005-0000-0000-0000C76B0000}"/>
    <cellStyle name="Normal 3 4 24 13" xfId="15704" xr:uid="{00000000-0005-0000-0000-0000C86B0000}"/>
    <cellStyle name="Normal 3 4 24 13 2" xfId="33190" xr:uid="{00000000-0005-0000-0000-0000C96B0000}"/>
    <cellStyle name="Normal 3 4 24 14" xfId="15705" xr:uid="{00000000-0005-0000-0000-0000CA6B0000}"/>
    <cellStyle name="Normal 3 4 24 14 2" xfId="33191" xr:uid="{00000000-0005-0000-0000-0000CB6B0000}"/>
    <cellStyle name="Normal 3 4 24 15" xfId="33186" xr:uid="{00000000-0005-0000-0000-0000CC6B0000}"/>
    <cellStyle name="Normal 3 4 24 2" xfId="15706" xr:uid="{00000000-0005-0000-0000-0000CD6B0000}"/>
    <cellStyle name="Normal 3 4 24 2 2" xfId="33192" xr:uid="{00000000-0005-0000-0000-0000CE6B0000}"/>
    <cellStyle name="Normal 3 4 24 3" xfId="15707" xr:uid="{00000000-0005-0000-0000-0000CF6B0000}"/>
    <cellStyle name="Normal 3 4 24 3 2" xfId="33193" xr:uid="{00000000-0005-0000-0000-0000D06B0000}"/>
    <cellStyle name="Normal 3 4 24 4" xfId="15708" xr:uid="{00000000-0005-0000-0000-0000D16B0000}"/>
    <cellStyle name="Normal 3 4 24 4 2" xfId="33194" xr:uid="{00000000-0005-0000-0000-0000D26B0000}"/>
    <cellStyle name="Normal 3 4 24 5" xfId="15709" xr:uid="{00000000-0005-0000-0000-0000D36B0000}"/>
    <cellStyle name="Normal 3 4 24 5 2" xfId="33195" xr:uid="{00000000-0005-0000-0000-0000D46B0000}"/>
    <cellStyle name="Normal 3 4 24 6" xfId="15710" xr:uid="{00000000-0005-0000-0000-0000D56B0000}"/>
    <cellStyle name="Normal 3 4 24 6 2" xfId="33196" xr:uid="{00000000-0005-0000-0000-0000D66B0000}"/>
    <cellStyle name="Normal 3 4 24 7" xfId="15711" xr:uid="{00000000-0005-0000-0000-0000D76B0000}"/>
    <cellStyle name="Normal 3 4 24 7 2" xfId="33197" xr:uid="{00000000-0005-0000-0000-0000D86B0000}"/>
    <cellStyle name="Normal 3 4 24 8" xfId="15712" xr:uid="{00000000-0005-0000-0000-0000D96B0000}"/>
    <cellStyle name="Normal 3 4 24 8 2" xfId="33198" xr:uid="{00000000-0005-0000-0000-0000DA6B0000}"/>
    <cellStyle name="Normal 3 4 24 9" xfId="15713" xr:uid="{00000000-0005-0000-0000-0000DB6B0000}"/>
    <cellStyle name="Normal 3 4 24 9 2" xfId="33199" xr:uid="{00000000-0005-0000-0000-0000DC6B0000}"/>
    <cellStyle name="Normal 3 4 25" xfId="15714" xr:uid="{00000000-0005-0000-0000-0000DD6B0000}"/>
    <cellStyle name="Normal 3 4 25 10" xfId="15715" xr:uid="{00000000-0005-0000-0000-0000DE6B0000}"/>
    <cellStyle name="Normal 3 4 25 10 2" xfId="33201" xr:uid="{00000000-0005-0000-0000-0000DF6B0000}"/>
    <cellStyle name="Normal 3 4 25 11" xfId="15716" xr:uid="{00000000-0005-0000-0000-0000E06B0000}"/>
    <cellStyle name="Normal 3 4 25 11 2" xfId="33202" xr:uid="{00000000-0005-0000-0000-0000E16B0000}"/>
    <cellStyle name="Normal 3 4 25 12" xfId="15717" xr:uid="{00000000-0005-0000-0000-0000E26B0000}"/>
    <cellStyle name="Normal 3 4 25 12 2" xfId="33203" xr:uid="{00000000-0005-0000-0000-0000E36B0000}"/>
    <cellStyle name="Normal 3 4 25 13" xfId="15718" xr:uid="{00000000-0005-0000-0000-0000E46B0000}"/>
    <cellStyle name="Normal 3 4 25 13 2" xfId="33204" xr:uid="{00000000-0005-0000-0000-0000E56B0000}"/>
    <cellStyle name="Normal 3 4 25 14" xfId="15719" xr:uid="{00000000-0005-0000-0000-0000E66B0000}"/>
    <cellStyle name="Normal 3 4 25 14 2" xfId="33205" xr:uid="{00000000-0005-0000-0000-0000E76B0000}"/>
    <cellStyle name="Normal 3 4 25 15" xfId="33200" xr:uid="{00000000-0005-0000-0000-0000E86B0000}"/>
    <cellStyle name="Normal 3 4 25 2" xfId="15720" xr:uid="{00000000-0005-0000-0000-0000E96B0000}"/>
    <cellStyle name="Normal 3 4 25 2 2" xfId="33206" xr:uid="{00000000-0005-0000-0000-0000EA6B0000}"/>
    <cellStyle name="Normal 3 4 25 3" xfId="15721" xr:uid="{00000000-0005-0000-0000-0000EB6B0000}"/>
    <cellStyle name="Normal 3 4 25 3 2" xfId="33207" xr:uid="{00000000-0005-0000-0000-0000EC6B0000}"/>
    <cellStyle name="Normal 3 4 25 4" xfId="15722" xr:uid="{00000000-0005-0000-0000-0000ED6B0000}"/>
    <cellStyle name="Normal 3 4 25 4 2" xfId="33208" xr:uid="{00000000-0005-0000-0000-0000EE6B0000}"/>
    <cellStyle name="Normal 3 4 25 5" xfId="15723" xr:uid="{00000000-0005-0000-0000-0000EF6B0000}"/>
    <cellStyle name="Normal 3 4 25 5 2" xfId="33209" xr:uid="{00000000-0005-0000-0000-0000F06B0000}"/>
    <cellStyle name="Normal 3 4 25 6" xfId="15724" xr:uid="{00000000-0005-0000-0000-0000F16B0000}"/>
    <cellStyle name="Normal 3 4 25 6 2" xfId="33210" xr:uid="{00000000-0005-0000-0000-0000F26B0000}"/>
    <cellStyle name="Normal 3 4 25 7" xfId="15725" xr:uid="{00000000-0005-0000-0000-0000F36B0000}"/>
    <cellStyle name="Normal 3 4 25 7 2" xfId="33211" xr:uid="{00000000-0005-0000-0000-0000F46B0000}"/>
    <cellStyle name="Normal 3 4 25 8" xfId="15726" xr:uid="{00000000-0005-0000-0000-0000F56B0000}"/>
    <cellStyle name="Normal 3 4 25 8 2" xfId="33212" xr:uid="{00000000-0005-0000-0000-0000F66B0000}"/>
    <cellStyle name="Normal 3 4 25 9" xfId="15727" xr:uid="{00000000-0005-0000-0000-0000F76B0000}"/>
    <cellStyle name="Normal 3 4 25 9 2" xfId="33213" xr:uid="{00000000-0005-0000-0000-0000F86B0000}"/>
    <cellStyle name="Normal 3 4 3" xfId="15728" xr:uid="{00000000-0005-0000-0000-0000F96B0000}"/>
    <cellStyle name="Normal 3 4 3 10" xfId="15729" xr:uid="{00000000-0005-0000-0000-0000FA6B0000}"/>
    <cellStyle name="Normal 3 4 3 10 10" xfId="15730" xr:uid="{00000000-0005-0000-0000-0000FB6B0000}"/>
    <cellStyle name="Normal 3 4 3 10 10 2" xfId="33216" xr:uid="{00000000-0005-0000-0000-0000FC6B0000}"/>
    <cellStyle name="Normal 3 4 3 10 11" xfId="15731" xr:uid="{00000000-0005-0000-0000-0000FD6B0000}"/>
    <cellStyle name="Normal 3 4 3 10 11 2" xfId="33217" xr:uid="{00000000-0005-0000-0000-0000FE6B0000}"/>
    <cellStyle name="Normal 3 4 3 10 12" xfId="15732" xr:uid="{00000000-0005-0000-0000-0000FF6B0000}"/>
    <cellStyle name="Normal 3 4 3 10 12 2" xfId="33218" xr:uid="{00000000-0005-0000-0000-0000006C0000}"/>
    <cellStyle name="Normal 3 4 3 10 13" xfId="15733" xr:uid="{00000000-0005-0000-0000-0000016C0000}"/>
    <cellStyle name="Normal 3 4 3 10 13 2" xfId="33219" xr:uid="{00000000-0005-0000-0000-0000026C0000}"/>
    <cellStyle name="Normal 3 4 3 10 14" xfId="15734" xr:uid="{00000000-0005-0000-0000-0000036C0000}"/>
    <cellStyle name="Normal 3 4 3 10 14 2" xfId="33220" xr:uid="{00000000-0005-0000-0000-0000046C0000}"/>
    <cellStyle name="Normal 3 4 3 10 15" xfId="33215" xr:uid="{00000000-0005-0000-0000-0000056C0000}"/>
    <cellStyle name="Normal 3 4 3 10 2" xfId="15735" xr:uid="{00000000-0005-0000-0000-0000066C0000}"/>
    <cellStyle name="Normal 3 4 3 10 2 2" xfId="33221" xr:uid="{00000000-0005-0000-0000-0000076C0000}"/>
    <cellStyle name="Normal 3 4 3 10 3" xfId="15736" xr:uid="{00000000-0005-0000-0000-0000086C0000}"/>
    <cellStyle name="Normal 3 4 3 10 3 2" xfId="33222" xr:uid="{00000000-0005-0000-0000-0000096C0000}"/>
    <cellStyle name="Normal 3 4 3 10 4" xfId="15737" xr:uid="{00000000-0005-0000-0000-00000A6C0000}"/>
    <cellStyle name="Normal 3 4 3 10 4 2" xfId="33223" xr:uid="{00000000-0005-0000-0000-00000B6C0000}"/>
    <cellStyle name="Normal 3 4 3 10 5" xfId="15738" xr:uid="{00000000-0005-0000-0000-00000C6C0000}"/>
    <cellStyle name="Normal 3 4 3 10 5 2" xfId="33224" xr:uid="{00000000-0005-0000-0000-00000D6C0000}"/>
    <cellStyle name="Normal 3 4 3 10 6" xfId="15739" xr:uid="{00000000-0005-0000-0000-00000E6C0000}"/>
    <cellStyle name="Normal 3 4 3 10 6 2" xfId="33225" xr:uid="{00000000-0005-0000-0000-00000F6C0000}"/>
    <cellStyle name="Normal 3 4 3 10 7" xfId="15740" xr:uid="{00000000-0005-0000-0000-0000106C0000}"/>
    <cellStyle name="Normal 3 4 3 10 7 2" xfId="33226" xr:uid="{00000000-0005-0000-0000-0000116C0000}"/>
    <cellStyle name="Normal 3 4 3 10 8" xfId="15741" xr:uid="{00000000-0005-0000-0000-0000126C0000}"/>
    <cellStyle name="Normal 3 4 3 10 8 2" xfId="33227" xr:uid="{00000000-0005-0000-0000-0000136C0000}"/>
    <cellStyle name="Normal 3 4 3 10 9" xfId="15742" xr:uid="{00000000-0005-0000-0000-0000146C0000}"/>
    <cellStyle name="Normal 3 4 3 10 9 2" xfId="33228" xr:uid="{00000000-0005-0000-0000-0000156C0000}"/>
    <cellStyle name="Normal 3 4 3 11" xfId="15743" xr:uid="{00000000-0005-0000-0000-0000166C0000}"/>
    <cellStyle name="Normal 3 4 3 11 10" xfId="15744" xr:uid="{00000000-0005-0000-0000-0000176C0000}"/>
    <cellStyle name="Normal 3 4 3 11 10 2" xfId="33230" xr:uid="{00000000-0005-0000-0000-0000186C0000}"/>
    <cellStyle name="Normal 3 4 3 11 11" xfId="15745" xr:uid="{00000000-0005-0000-0000-0000196C0000}"/>
    <cellStyle name="Normal 3 4 3 11 11 2" xfId="33231" xr:uid="{00000000-0005-0000-0000-00001A6C0000}"/>
    <cellStyle name="Normal 3 4 3 11 12" xfId="15746" xr:uid="{00000000-0005-0000-0000-00001B6C0000}"/>
    <cellStyle name="Normal 3 4 3 11 12 2" xfId="33232" xr:uid="{00000000-0005-0000-0000-00001C6C0000}"/>
    <cellStyle name="Normal 3 4 3 11 13" xfId="15747" xr:uid="{00000000-0005-0000-0000-00001D6C0000}"/>
    <cellStyle name="Normal 3 4 3 11 13 2" xfId="33233" xr:uid="{00000000-0005-0000-0000-00001E6C0000}"/>
    <cellStyle name="Normal 3 4 3 11 14" xfId="15748" xr:uid="{00000000-0005-0000-0000-00001F6C0000}"/>
    <cellStyle name="Normal 3 4 3 11 14 2" xfId="33234" xr:uid="{00000000-0005-0000-0000-0000206C0000}"/>
    <cellStyle name="Normal 3 4 3 11 15" xfId="33229" xr:uid="{00000000-0005-0000-0000-0000216C0000}"/>
    <cellStyle name="Normal 3 4 3 11 2" xfId="15749" xr:uid="{00000000-0005-0000-0000-0000226C0000}"/>
    <cellStyle name="Normal 3 4 3 11 2 2" xfId="33235" xr:uid="{00000000-0005-0000-0000-0000236C0000}"/>
    <cellStyle name="Normal 3 4 3 11 3" xfId="15750" xr:uid="{00000000-0005-0000-0000-0000246C0000}"/>
    <cellStyle name="Normal 3 4 3 11 3 2" xfId="33236" xr:uid="{00000000-0005-0000-0000-0000256C0000}"/>
    <cellStyle name="Normal 3 4 3 11 4" xfId="15751" xr:uid="{00000000-0005-0000-0000-0000266C0000}"/>
    <cellStyle name="Normal 3 4 3 11 4 2" xfId="33237" xr:uid="{00000000-0005-0000-0000-0000276C0000}"/>
    <cellStyle name="Normal 3 4 3 11 5" xfId="15752" xr:uid="{00000000-0005-0000-0000-0000286C0000}"/>
    <cellStyle name="Normal 3 4 3 11 5 2" xfId="33238" xr:uid="{00000000-0005-0000-0000-0000296C0000}"/>
    <cellStyle name="Normal 3 4 3 11 6" xfId="15753" xr:uid="{00000000-0005-0000-0000-00002A6C0000}"/>
    <cellStyle name="Normal 3 4 3 11 6 2" xfId="33239" xr:uid="{00000000-0005-0000-0000-00002B6C0000}"/>
    <cellStyle name="Normal 3 4 3 11 7" xfId="15754" xr:uid="{00000000-0005-0000-0000-00002C6C0000}"/>
    <cellStyle name="Normal 3 4 3 11 7 2" xfId="33240" xr:uid="{00000000-0005-0000-0000-00002D6C0000}"/>
    <cellStyle name="Normal 3 4 3 11 8" xfId="15755" xr:uid="{00000000-0005-0000-0000-00002E6C0000}"/>
    <cellStyle name="Normal 3 4 3 11 8 2" xfId="33241" xr:uid="{00000000-0005-0000-0000-00002F6C0000}"/>
    <cellStyle name="Normal 3 4 3 11 9" xfId="15756" xr:uid="{00000000-0005-0000-0000-0000306C0000}"/>
    <cellStyle name="Normal 3 4 3 11 9 2" xfId="33242" xr:uid="{00000000-0005-0000-0000-0000316C0000}"/>
    <cellStyle name="Normal 3 4 3 12" xfId="15757" xr:uid="{00000000-0005-0000-0000-0000326C0000}"/>
    <cellStyle name="Normal 3 4 3 12 10" xfId="15758" xr:uid="{00000000-0005-0000-0000-0000336C0000}"/>
    <cellStyle name="Normal 3 4 3 12 10 2" xfId="33244" xr:uid="{00000000-0005-0000-0000-0000346C0000}"/>
    <cellStyle name="Normal 3 4 3 12 11" xfId="15759" xr:uid="{00000000-0005-0000-0000-0000356C0000}"/>
    <cellStyle name="Normal 3 4 3 12 11 2" xfId="33245" xr:uid="{00000000-0005-0000-0000-0000366C0000}"/>
    <cellStyle name="Normal 3 4 3 12 12" xfId="15760" xr:uid="{00000000-0005-0000-0000-0000376C0000}"/>
    <cellStyle name="Normal 3 4 3 12 12 2" xfId="33246" xr:uid="{00000000-0005-0000-0000-0000386C0000}"/>
    <cellStyle name="Normal 3 4 3 12 13" xfId="15761" xr:uid="{00000000-0005-0000-0000-0000396C0000}"/>
    <cellStyle name="Normal 3 4 3 12 13 2" xfId="33247" xr:uid="{00000000-0005-0000-0000-00003A6C0000}"/>
    <cellStyle name="Normal 3 4 3 12 14" xfId="15762" xr:uid="{00000000-0005-0000-0000-00003B6C0000}"/>
    <cellStyle name="Normal 3 4 3 12 14 2" xfId="33248" xr:uid="{00000000-0005-0000-0000-00003C6C0000}"/>
    <cellStyle name="Normal 3 4 3 12 15" xfId="33243" xr:uid="{00000000-0005-0000-0000-00003D6C0000}"/>
    <cellStyle name="Normal 3 4 3 12 2" xfId="15763" xr:uid="{00000000-0005-0000-0000-00003E6C0000}"/>
    <cellStyle name="Normal 3 4 3 12 2 2" xfId="33249" xr:uid="{00000000-0005-0000-0000-00003F6C0000}"/>
    <cellStyle name="Normal 3 4 3 12 3" xfId="15764" xr:uid="{00000000-0005-0000-0000-0000406C0000}"/>
    <cellStyle name="Normal 3 4 3 12 3 2" xfId="33250" xr:uid="{00000000-0005-0000-0000-0000416C0000}"/>
    <cellStyle name="Normal 3 4 3 12 4" xfId="15765" xr:uid="{00000000-0005-0000-0000-0000426C0000}"/>
    <cellStyle name="Normal 3 4 3 12 4 2" xfId="33251" xr:uid="{00000000-0005-0000-0000-0000436C0000}"/>
    <cellStyle name="Normal 3 4 3 12 5" xfId="15766" xr:uid="{00000000-0005-0000-0000-0000446C0000}"/>
    <cellStyle name="Normal 3 4 3 12 5 2" xfId="33252" xr:uid="{00000000-0005-0000-0000-0000456C0000}"/>
    <cellStyle name="Normal 3 4 3 12 6" xfId="15767" xr:uid="{00000000-0005-0000-0000-0000466C0000}"/>
    <cellStyle name="Normal 3 4 3 12 6 2" xfId="33253" xr:uid="{00000000-0005-0000-0000-0000476C0000}"/>
    <cellStyle name="Normal 3 4 3 12 7" xfId="15768" xr:uid="{00000000-0005-0000-0000-0000486C0000}"/>
    <cellStyle name="Normal 3 4 3 12 7 2" xfId="33254" xr:uid="{00000000-0005-0000-0000-0000496C0000}"/>
    <cellStyle name="Normal 3 4 3 12 8" xfId="15769" xr:uid="{00000000-0005-0000-0000-00004A6C0000}"/>
    <cellStyle name="Normal 3 4 3 12 8 2" xfId="33255" xr:uid="{00000000-0005-0000-0000-00004B6C0000}"/>
    <cellStyle name="Normal 3 4 3 12 9" xfId="15770" xr:uid="{00000000-0005-0000-0000-00004C6C0000}"/>
    <cellStyle name="Normal 3 4 3 12 9 2" xfId="33256" xr:uid="{00000000-0005-0000-0000-00004D6C0000}"/>
    <cellStyle name="Normal 3 4 3 13" xfId="15771" xr:uid="{00000000-0005-0000-0000-00004E6C0000}"/>
    <cellStyle name="Normal 3 4 3 13 10" xfId="15772" xr:uid="{00000000-0005-0000-0000-00004F6C0000}"/>
    <cellStyle name="Normal 3 4 3 13 10 2" xfId="33258" xr:uid="{00000000-0005-0000-0000-0000506C0000}"/>
    <cellStyle name="Normal 3 4 3 13 11" xfId="15773" xr:uid="{00000000-0005-0000-0000-0000516C0000}"/>
    <cellStyle name="Normal 3 4 3 13 11 2" xfId="33259" xr:uid="{00000000-0005-0000-0000-0000526C0000}"/>
    <cellStyle name="Normal 3 4 3 13 12" xfId="15774" xr:uid="{00000000-0005-0000-0000-0000536C0000}"/>
    <cellStyle name="Normal 3 4 3 13 12 2" xfId="33260" xr:uid="{00000000-0005-0000-0000-0000546C0000}"/>
    <cellStyle name="Normal 3 4 3 13 13" xfId="15775" xr:uid="{00000000-0005-0000-0000-0000556C0000}"/>
    <cellStyle name="Normal 3 4 3 13 13 2" xfId="33261" xr:uid="{00000000-0005-0000-0000-0000566C0000}"/>
    <cellStyle name="Normal 3 4 3 13 14" xfId="15776" xr:uid="{00000000-0005-0000-0000-0000576C0000}"/>
    <cellStyle name="Normal 3 4 3 13 14 2" xfId="33262" xr:uid="{00000000-0005-0000-0000-0000586C0000}"/>
    <cellStyle name="Normal 3 4 3 13 15" xfId="33257" xr:uid="{00000000-0005-0000-0000-0000596C0000}"/>
    <cellStyle name="Normal 3 4 3 13 2" xfId="15777" xr:uid="{00000000-0005-0000-0000-00005A6C0000}"/>
    <cellStyle name="Normal 3 4 3 13 2 2" xfId="33263" xr:uid="{00000000-0005-0000-0000-00005B6C0000}"/>
    <cellStyle name="Normal 3 4 3 13 3" xfId="15778" xr:uid="{00000000-0005-0000-0000-00005C6C0000}"/>
    <cellStyle name="Normal 3 4 3 13 3 2" xfId="33264" xr:uid="{00000000-0005-0000-0000-00005D6C0000}"/>
    <cellStyle name="Normal 3 4 3 13 4" xfId="15779" xr:uid="{00000000-0005-0000-0000-00005E6C0000}"/>
    <cellStyle name="Normal 3 4 3 13 4 2" xfId="33265" xr:uid="{00000000-0005-0000-0000-00005F6C0000}"/>
    <cellStyle name="Normal 3 4 3 13 5" xfId="15780" xr:uid="{00000000-0005-0000-0000-0000606C0000}"/>
    <cellStyle name="Normal 3 4 3 13 5 2" xfId="33266" xr:uid="{00000000-0005-0000-0000-0000616C0000}"/>
    <cellStyle name="Normal 3 4 3 13 6" xfId="15781" xr:uid="{00000000-0005-0000-0000-0000626C0000}"/>
    <cellStyle name="Normal 3 4 3 13 6 2" xfId="33267" xr:uid="{00000000-0005-0000-0000-0000636C0000}"/>
    <cellStyle name="Normal 3 4 3 13 7" xfId="15782" xr:uid="{00000000-0005-0000-0000-0000646C0000}"/>
    <cellStyle name="Normal 3 4 3 13 7 2" xfId="33268" xr:uid="{00000000-0005-0000-0000-0000656C0000}"/>
    <cellStyle name="Normal 3 4 3 13 8" xfId="15783" xr:uid="{00000000-0005-0000-0000-0000666C0000}"/>
    <cellStyle name="Normal 3 4 3 13 8 2" xfId="33269" xr:uid="{00000000-0005-0000-0000-0000676C0000}"/>
    <cellStyle name="Normal 3 4 3 13 9" xfId="15784" xr:uid="{00000000-0005-0000-0000-0000686C0000}"/>
    <cellStyle name="Normal 3 4 3 13 9 2" xfId="33270" xr:uid="{00000000-0005-0000-0000-0000696C0000}"/>
    <cellStyle name="Normal 3 4 3 14" xfId="15785" xr:uid="{00000000-0005-0000-0000-00006A6C0000}"/>
    <cellStyle name="Normal 3 4 3 14 10" xfId="15786" xr:uid="{00000000-0005-0000-0000-00006B6C0000}"/>
    <cellStyle name="Normal 3 4 3 14 10 2" xfId="33272" xr:uid="{00000000-0005-0000-0000-00006C6C0000}"/>
    <cellStyle name="Normal 3 4 3 14 11" xfId="15787" xr:uid="{00000000-0005-0000-0000-00006D6C0000}"/>
    <cellStyle name="Normal 3 4 3 14 11 2" xfId="33273" xr:uid="{00000000-0005-0000-0000-00006E6C0000}"/>
    <cellStyle name="Normal 3 4 3 14 12" xfId="15788" xr:uid="{00000000-0005-0000-0000-00006F6C0000}"/>
    <cellStyle name="Normal 3 4 3 14 12 2" xfId="33274" xr:uid="{00000000-0005-0000-0000-0000706C0000}"/>
    <cellStyle name="Normal 3 4 3 14 13" xfId="15789" xr:uid="{00000000-0005-0000-0000-0000716C0000}"/>
    <cellStyle name="Normal 3 4 3 14 13 2" xfId="33275" xr:uid="{00000000-0005-0000-0000-0000726C0000}"/>
    <cellStyle name="Normal 3 4 3 14 14" xfId="15790" xr:uid="{00000000-0005-0000-0000-0000736C0000}"/>
    <cellStyle name="Normal 3 4 3 14 14 2" xfId="33276" xr:uid="{00000000-0005-0000-0000-0000746C0000}"/>
    <cellStyle name="Normal 3 4 3 14 15" xfId="33271" xr:uid="{00000000-0005-0000-0000-0000756C0000}"/>
    <cellStyle name="Normal 3 4 3 14 2" xfId="15791" xr:uid="{00000000-0005-0000-0000-0000766C0000}"/>
    <cellStyle name="Normal 3 4 3 14 2 2" xfId="33277" xr:uid="{00000000-0005-0000-0000-0000776C0000}"/>
    <cellStyle name="Normal 3 4 3 14 3" xfId="15792" xr:uid="{00000000-0005-0000-0000-0000786C0000}"/>
    <cellStyle name="Normal 3 4 3 14 3 2" xfId="33278" xr:uid="{00000000-0005-0000-0000-0000796C0000}"/>
    <cellStyle name="Normal 3 4 3 14 4" xfId="15793" xr:uid="{00000000-0005-0000-0000-00007A6C0000}"/>
    <cellStyle name="Normal 3 4 3 14 4 2" xfId="33279" xr:uid="{00000000-0005-0000-0000-00007B6C0000}"/>
    <cellStyle name="Normal 3 4 3 14 5" xfId="15794" xr:uid="{00000000-0005-0000-0000-00007C6C0000}"/>
    <cellStyle name="Normal 3 4 3 14 5 2" xfId="33280" xr:uid="{00000000-0005-0000-0000-00007D6C0000}"/>
    <cellStyle name="Normal 3 4 3 14 6" xfId="15795" xr:uid="{00000000-0005-0000-0000-00007E6C0000}"/>
    <cellStyle name="Normal 3 4 3 14 6 2" xfId="33281" xr:uid="{00000000-0005-0000-0000-00007F6C0000}"/>
    <cellStyle name="Normal 3 4 3 14 7" xfId="15796" xr:uid="{00000000-0005-0000-0000-0000806C0000}"/>
    <cellStyle name="Normal 3 4 3 14 7 2" xfId="33282" xr:uid="{00000000-0005-0000-0000-0000816C0000}"/>
    <cellStyle name="Normal 3 4 3 14 8" xfId="15797" xr:uid="{00000000-0005-0000-0000-0000826C0000}"/>
    <cellStyle name="Normal 3 4 3 14 8 2" xfId="33283" xr:uid="{00000000-0005-0000-0000-0000836C0000}"/>
    <cellStyle name="Normal 3 4 3 14 9" xfId="15798" xr:uid="{00000000-0005-0000-0000-0000846C0000}"/>
    <cellStyle name="Normal 3 4 3 14 9 2" xfId="33284" xr:uid="{00000000-0005-0000-0000-0000856C0000}"/>
    <cellStyle name="Normal 3 4 3 15" xfId="15799" xr:uid="{00000000-0005-0000-0000-0000866C0000}"/>
    <cellStyle name="Normal 3 4 3 15 2" xfId="33285" xr:uid="{00000000-0005-0000-0000-0000876C0000}"/>
    <cellStyle name="Normal 3 4 3 16" xfId="15800" xr:uid="{00000000-0005-0000-0000-0000886C0000}"/>
    <cellStyle name="Normal 3 4 3 16 2" xfId="33286" xr:uid="{00000000-0005-0000-0000-0000896C0000}"/>
    <cellStyle name="Normal 3 4 3 17" xfId="15801" xr:uid="{00000000-0005-0000-0000-00008A6C0000}"/>
    <cellStyle name="Normal 3 4 3 17 2" xfId="33287" xr:uid="{00000000-0005-0000-0000-00008B6C0000}"/>
    <cellStyle name="Normal 3 4 3 18" xfId="15802" xr:uid="{00000000-0005-0000-0000-00008C6C0000}"/>
    <cellStyle name="Normal 3 4 3 18 2" xfId="33288" xr:uid="{00000000-0005-0000-0000-00008D6C0000}"/>
    <cellStyle name="Normal 3 4 3 19" xfId="15803" xr:uid="{00000000-0005-0000-0000-00008E6C0000}"/>
    <cellStyle name="Normal 3 4 3 19 2" xfId="33289" xr:uid="{00000000-0005-0000-0000-00008F6C0000}"/>
    <cellStyle name="Normal 3 4 3 2" xfId="15804" xr:uid="{00000000-0005-0000-0000-0000906C0000}"/>
    <cellStyle name="Normal 3 4 3 20" xfId="15805" xr:uid="{00000000-0005-0000-0000-0000916C0000}"/>
    <cellStyle name="Normal 3 4 3 20 2" xfId="33290" xr:uid="{00000000-0005-0000-0000-0000926C0000}"/>
    <cellStyle name="Normal 3 4 3 21" xfId="15806" xr:uid="{00000000-0005-0000-0000-0000936C0000}"/>
    <cellStyle name="Normal 3 4 3 21 2" xfId="33291" xr:uid="{00000000-0005-0000-0000-0000946C0000}"/>
    <cellStyle name="Normal 3 4 3 22" xfId="15807" xr:uid="{00000000-0005-0000-0000-0000956C0000}"/>
    <cellStyle name="Normal 3 4 3 22 2" xfId="33292" xr:uid="{00000000-0005-0000-0000-0000966C0000}"/>
    <cellStyle name="Normal 3 4 3 23" xfId="15808" xr:uid="{00000000-0005-0000-0000-0000976C0000}"/>
    <cellStyle name="Normal 3 4 3 23 2" xfId="33293" xr:uid="{00000000-0005-0000-0000-0000986C0000}"/>
    <cellStyle name="Normal 3 4 3 24" xfId="15809" xr:uid="{00000000-0005-0000-0000-0000996C0000}"/>
    <cellStyle name="Normal 3 4 3 24 2" xfId="33294" xr:uid="{00000000-0005-0000-0000-00009A6C0000}"/>
    <cellStyle name="Normal 3 4 3 25" xfId="15810" xr:uid="{00000000-0005-0000-0000-00009B6C0000}"/>
    <cellStyle name="Normal 3 4 3 25 2" xfId="33295" xr:uid="{00000000-0005-0000-0000-00009C6C0000}"/>
    <cellStyle name="Normal 3 4 3 26" xfId="15811" xr:uid="{00000000-0005-0000-0000-00009D6C0000}"/>
    <cellStyle name="Normal 3 4 3 26 2" xfId="33296" xr:uid="{00000000-0005-0000-0000-00009E6C0000}"/>
    <cellStyle name="Normal 3 4 3 27" xfId="15812" xr:uid="{00000000-0005-0000-0000-00009F6C0000}"/>
    <cellStyle name="Normal 3 4 3 27 2" xfId="33297" xr:uid="{00000000-0005-0000-0000-0000A06C0000}"/>
    <cellStyle name="Normal 3 4 3 28" xfId="33214" xr:uid="{00000000-0005-0000-0000-0000A16C0000}"/>
    <cellStyle name="Normal 3 4 3 3" xfId="15813" xr:uid="{00000000-0005-0000-0000-0000A26C0000}"/>
    <cellStyle name="Normal 3 4 3 4" xfId="15814" xr:uid="{00000000-0005-0000-0000-0000A36C0000}"/>
    <cellStyle name="Normal 3 4 3 5" xfId="15815" xr:uid="{00000000-0005-0000-0000-0000A46C0000}"/>
    <cellStyle name="Normal 3 4 3 6" xfId="15816" xr:uid="{00000000-0005-0000-0000-0000A56C0000}"/>
    <cellStyle name="Normal 3 4 3 6 10" xfId="15817" xr:uid="{00000000-0005-0000-0000-0000A66C0000}"/>
    <cellStyle name="Normal 3 4 3 6 10 2" xfId="33299" xr:uid="{00000000-0005-0000-0000-0000A76C0000}"/>
    <cellStyle name="Normal 3 4 3 6 11" xfId="15818" xr:uid="{00000000-0005-0000-0000-0000A86C0000}"/>
    <cellStyle name="Normal 3 4 3 6 11 2" xfId="33300" xr:uid="{00000000-0005-0000-0000-0000A96C0000}"/>
    <cellStyle name="Normal 3 4 3 6 12" xfId="15819" xr:uid="{00000000-0005-0000-0000-0000AA6C0000}"/>
    <cellStyle name="Normal 3 4 3 6 12 2" xfId="33301" xr:uid="{00000000-0005-0000-0000-0000AB6C0000}"/>
    <cellStyle name="Normal 3 4 3 6 13" xfId="15820" xr:uid="{00000000-0005-0000-0000-0000AC6C0000}"/>
    <cellStyle name="Normal 3 4 3 6 13 2" xfId="33302" xr:uid="{00000000-0005-0000-0000-0000AD6C0000}"/>
    <cellStyle name="Normal 3 4 3 6 14" xfId="15821" xr:uid="{00000000-0005-0000-0000-0000AE6C0000}"/>
    <cellStyle name="Normal 3 4 3 6 14 2" xfId="33303" xr:uid="{00000000-0005-0000-0000-0000AF6C0000}"/>
    <cellStyle name="Normal 3 4 3 6 15" xfId="15822" xr:uid="{00000000-0005-0000-0000-0000B06C0000}"/>
    <cellStyle name="Normal 3 4 3 6 15 2" xfId="33304" xr:uid="{00000000-0005-0000-0000-0000B16C0000}"/>
    <cellStyle name="Normal 3 4 3 6 16" xfId="33298" xr:uid="{00000000-0005-0000-0000-0000B26C0000}"/>
    <cellStyle name="Normal 3 4 3 6 2" xfId="15823" xr:uid="{00000000-0005-0000-0000-0000B36C0000}"/>
    <cellStyle name="Normal 3 4 3 6 2 10" xfId="15824" xr:uid="{00000000-0005-0000-0000-0000B46C0000}"/>
    <cellStyle name="Normal 3 4 3 6 2 10 2" xfId="33306" xr:uid="{00000000-0005-0000-0000-0000B56C0000}"/>
    <cellStyle name="Normal 3 4 3 6 2 11" xfId="15825" xr:uid="{00000000-0005-0000-0000-0000B66C0000}"/>
    <cellStyle name="Normal 3 4 3 6 2 11 2" xfId="33307" xr:uid="{00000000-0005-0000-0000-0000B76C0000}"/>
    <cellStyle name="Normal 3 4 3 6 2 12" xfId="15826" xr:uid="{00000000-0005-0000-0000-0000B86C0000}"/>
    <cellStyle name="Normal 3 4 3 6 2 12 2" xfId="33308" xr:uid="{00000000-0005-0000-0000-0000B96C0000}"/>
    <cellStyle name="Normal 3 4 3 6 2 13" xfId="15827" xr:uid="{00000000-0005-0000-0000-0000BA6C0000}"/>
    <cellStyle name="Normal 3 4 3 6 2 13 2" xfId="33309" xr:uid="{00000000-0005-0000-0000-0000BB6C0000}"/>
    <cellStyle name="Normal 3 4 3 6 2 14" xfId="15828" xr:uid="{00000000-0005-0000-0000-0000BC6C0000}"/>
    <cellStyle name="Normal 3 4 3 6 2 14 2" xfId="33310" xr:uid="{00000000-0005-0000-0000-0000BD6C0000}"/>
    <cellStyle name="Normal 3 4 3 6 2 15" xfId="33305" xr:uid="{00000000-0005-0000-0000-0000BE6C0000}"/>
    <cellStyle name="Normal 3 4 3 6 2 2" xfId="15829" xr:uid="{00000000-0005-0000-0000-0000BF6C0000}"/>
    <cellStyle name="Normal 3 4 3 6 2 2 2" xfId="33311" xr:uid="{00000000-0005-0000-0000-0000C06C0000}"/>
    <cellStyle name="Normal 3 4 3 6 2 3" xfId="15830" xr:uid="{00000000-0005-0000-0000-0000C16C0000}"/>
    <cellStyle name="Normal 3 4 3 6 2 3 2" xfId="33312" xr:uid="{00000000-0005-0000-0000-0000C26C0000}"/>
    <cellStyle name="Normal 3 4 3 6 2 4" xfId="15831" xr:uid="{00000000-0005-0000-0000-0000C36C0000}"/>
    <cellStyle name="Normal 3 4 3 6 2 4 2" xfId="33313" xr:uid="{00000000-0005-0000-0000-0000C46C0000}"/>
    <cellStyle name="Normal 3 4 3 6 2 5" xfId="15832" xr:uid="{00000000-0005-0000-0000-0000C56C0000}"/>
    <cellStyle name="Normal 3 4 3 6 2 5 2" xfId="33314" xr:uid="{00000000-0005-0000-0000-0000C66C0000}"/>
    <cellStyle name="Normal 3 4 3 6 2 6" xfId="15833" xr:uid="{00000000-0005-0000-0000-0000C76C0000}"/>
    <cellStyle name="Normal 3 4 3 6 2 6 2" xfId="33315" xr:uid="{00000000-0005-0000-0000-0000C86C0000}"/>
    <cellStyle name="Normal 3 4 3 6 2 7" xfId="15834" xr:uid="{00000000-0005-0000-0000-0000C96C0000}"/>
    <cellStyle name="Normal 3 4 3 6 2 7 2" xfId="33316" xr:uid="{00000000-0005-0000-0000-0000CA6C0000}"/>
    <cellStyle name="Normal 3 4 3 6 2 8" xfId="15835" xr:uid="{00000000-0005-0000-0000-0000CB6C0000}"/>
    <cellStyle name="Normal 3 4 3 6 2 8 2" xfId="33317" xr:uid="{00000000-0005-0000-0000-0000CC6C0000}"/>
    <cellStyle name="Normal 3 4 3 6 2 9" xfId="15836" xr:uid="{00000000-0005-0000-0000-0000CD6C0000}"/>
    <cellStyle name="Normal 3 4 3 6 2 9 2" xfId="33318" xr:uid="{00000000-0005-0000-0000-0000CE6C0000}"/>
    <cellStyle name="Normal 3 4 3 6 3" xfId="15837" xr:uid="{00000000-0005-0000-0000-0000CF6C0000}"/>
    <cellStyle name="Normal 3 4 3 6 3 2" xfId="33319" xr:uid="{00000000-0005-0000-0000-0000D06C0000}"/>
    <cellStyle name="Normal 3 4 3 6 4" xfId="15838" xr:uid="{00000000-0005-0000-0000-0000D16C0000}"/>
    <cellStyle name="Normal 3 4 3 6 4 2" xfId="33320" xr:uid="{00000000-0005-0000-0000-0000D26C0000}"/>
    <cellStyle name="Normal 3 4 3 6 5" xfId="15839" xr:uid="{00000000-0005-0000-0000-0000D36C0000}"/>
    <cellStyle name="Normal 3 4 3 6 5 2" xfId="33321" xr:uid="{00000000-0005-0000-0000-0000D46C0000}"/>
    <cellStyle name="Normal 3 4 3 6 6" xfId="15840" xr:uid="{00000000-0005-0000-0000-0000D56C0000}"/>
    <cellStyle name="Normal 3 4 3 6 6 2" xfId="33322" xr:uid="{00000000-0005-0000-0000-0000D66C0000}"/>
    <cellStyle name="Normal 3 4 3 6 7" xfId="15841" xr:uid="{00000000-0005-0000-0000-0000D76C0000}"/>
    <cellStyle name="Normal 3 4 3 6 7 2" xfId="33323" xr:uid="{00000000-0005-0000-0000-0000D86C0000}"/>
    <cellStyle name="Normal 3 4 3 6 8" xfId="15842" xr:uid="{00000000-0005-0000-0000-0000D96C0000}"/>
    <cellStyle name="Normal 3 4 3 6 8 2" xfId="33324" xr:uid="{00000000-0005-0000-0000-0000DA6C0000}"/>
    <cellStyle name="Normal 3 4 3 6 9" xfId="15843" xr:uid="{00000000-0005-0000-0000-0000DB6C0000}"/>
    <cellStyle name="Normal 3 4 3 6 9 2" xfId="33325" xr:uid="{00000000-0005-0000-0000-0000DC6C0000}"/>
    <cellStyle name="Normal 3 4 3 7" xfId="15844" xr:uid="{00000000-0005-0000-0000-0000DD6C0000}"/>
    <cellStyle name="Normal 3 4 3 7 10" xfId="15845" xr:uid="{00000000-0005-0000-0000-0000DE6C0000}"/>
    <cellStyle name="Normal 3 4 3 7 10 2" xfId="33327" xr:uid="{00000000-0005-0000-0000-0000DF6C0000}"/>
    <cellStyle name="Normal 3 4 3 7 11" xfId="15846" xr:uid="{00000000-0005-0000-0000-0000E06C0000}"/>
    <cellStyle name="Normal 3 4 3 7 11 2" xfId="33328" xr:uid="{00000000-0005-0000-0000-0000E16C0000}"/>
    <cellStyle name="Normal 3 4 3 7 12" xfId="15847" xr:uid="{00000000-0005-0000-0000-0000E26C0000}"/>
    <cellStyle name="Normal 3 4 3 7 12 2" xfId="33329" xr:uid="{00000000-0005-0000-0000-0000E36C0000}"/>
    <cellStyle name="Normal 3 4 3 7 13" xfId="15848" xr:uid="{00000000-0005-0000-0000-0000E46C0000}"/>
    <cellStyle name="Normal 3 4 3 7 13 2" xfId="33330" xr:uid="{00000000-0005-0000-0000-0000E56C0000}"/>
    <cellStyle name="Normal 3 4 3 7 14" xfId="15849" xr:uid="{00000000-0005-0000-0000-0000E66C0000}"/>
    <cellStyle name="Normal 3 4 3 7 14 2" xfId="33331" xr:uid="{00000000-0005-0000-0000-0000E76C0000}"/>
    <cellStyle name="Normal 3 4 3 7 15" xfId="15850" xr:uid="{00000000-0005-0000-0000-0000E86C0000}"/>
    <cellStyle name="Normal 3 4 3 7 15 2" xfId="33332" xr:uid="{00000000-0005-0000-0000-0000E96C0000}"/>
    <cellStyle name="Normal 3 4 3 7 16" xfId="33326" xr:uid="{00000000-0005-0000-0000-0000EA6C0000}"/>
    <cellStyle name="Normal 3 4 3 7 2" xfId="15851" xr:uid="{00000000-0005-0000-0000-0000EB6C0000}"/>
    <cellStyle name="Normal 3 4 3 7 2 10" xfId="15852" xr:uid="{00000000-0005-0000-0000-0000EC6C0000}"/>
    <cellStyle name="Normal 3 4 3 7 2 10 2" xfId="33334" xr:uid="{00000000-0005-0000-0000-0000ED6C0000}"/>
    <cellStyle name="Normal 3 4 3 7 2 11" xfId="15853" xr:uid="{00000000-0005-0000-0000-0000EE6C0000}"/>
    <cellStyle name="Normal 3 4 3 7 2 11 2" xfId="33335" xr:uid="{00000000-0005-0000-0000-0000EF6C0000}"/>
    <cellStyle name="Normal 3 4 3 7 2 12" xfId="15854" xr:uid="{00000000-0005-0000-0000-0000F06C0000}"/>
    <cellStyle name="Normal 3 4 3 7 2 12 2" xfId="33336" xr:uid="{00000000-0005-0000-0000-0000F16C0000}"/>
    <cellStyle name="Normal 3 4 3 7 2 13" xfId="15855" xr:uid="{00000000-0005-0000-0000-0000F26C0000}"/>
    <cellStyle name="Normal 3 4 3 7 2 13 2" xfId="33337" xr:uid="{00000000-0005-0000-0000-0000F36C0000}"/>
    <cellStyle name="Normal 3 4 3 7 2 14" xfId="15856" xr:uid="{00000000-0005-0000-0000-0000F46C0000}"/>
    <cellStyle name="Normal 3 4 3 7 2 14 2" xfId="33338" xr:uid="{00000000-0005-0000-0000-0000F56C0000}"/>
    <cellStyle name="Normal 3 4 3 7 2 15" xfId="33333" xr:uid="{00000000-0005-0000-0000-0000F66C0000}"/>
    <cellStyle name="Normal 3 4 3 7 2 2" xfId="15857" xr:uid="{00000000-0005-0000-0000-0000F76C0000}"/>
    <cellStyle name="Normal 3 4 3 7 2 2 2" xfId="33339" xr:uid="{00000000-0005-0000-0000-0000F86C0000}"/>
    <cellStyle name="Normal 3 4 3 7 2 3" xfId="15858" xr:uid="{00000000-0005-0000-0000-0000F96C0000}"/>
    <cellStyle name="Normal 3 4 3 7 2 3 2" xfId="33340" xr:uid="{00000000-0005-0000-0000-0000FA6C0000}"/>
    <cellStyle name="Normal 3 4 3 7 2 4" xfId="15859" xr:uid="{00000000-0005-0000-0000-0000FB6C0000}"/>
    <cellStyle name="Normal 3 4 3 7 2 4 2" xfId="33341" xr:uid="{00000000-0005-0000-0000-0000FC6C0000}"/>
    <cellStyle name="Normal 3 4 3 7 2 5" xfId="15860" xr:uid="{00000000-0005-0000-0000-0000FD6C0000}"/>
    <cellStyle name="Normal 3 4 3 7 2 5 2" xfId="33342" xr:uid="{00000000-0005-0000-0000-0000FE6C0000}"/>
    <cellStyle name="Normal 3 4 3 7 2 6" xfId="15861" xr:uid="{00000000-0005-0000-0000-0000FF6C0000}"/>
    <cellStyle name="Normal 3 4 3 7 2 6 2" xfId="33343" xr:uid="{00000000-0005-0000-0000-0000006D0000}"/>
    <cellStyle name="Normal 3 4 3 7 2 7" xfId="15862" xr:uid="{00000000-0005-0000-0000-0000016D0000}"/>
    <cellStyle name="Normal 3 4 3 7 2 7 2" xfId="33344" xr:uid="{00000000-0005-0000-0000-0000026D0000}"/>
    <cellStyle name="Normal 3 4 3 7 2 8" xfId="15863" xr:uid="{00000000-0005-0000-0000-0000036D0000}"/>
    <cellStyle name="Normal 3 4 3 7 2 8 2" xfId="33345" xr:uid="{00000000-0005-0000-0000-0000046D0000}"/>
    <cellStyle name="Normal 3 4 3 7 2 9" xfId="15864" xr:uid="{00000000-0005-0000-0000-0000056D0000}"/>
    <cellStyle name="Normal 3 4 3 7 2 9 2" xfId="33346" xr:uid="{00000000-0005-0000-0000-0000066D0000}"/>
    <cellStyle name="Normal 3 4 3 7 3" xfId="15865" xr:uid="{00000000-0005-0000-0000-0000076D0000}"/>
    <cellStyle name="Normal 3 4 3 7 3 2" xfId="33347" xr:uid="{00000000-0005-0000-0000-0000086D0000}"/>
    <cellStyle name="Normal 3 4 3 7 4" xfId="15866" xr:uid="{00000000-0005-0000-0000-0000096D0000}"/>
    <cellStyle name="Normal 3 4 3 7 4 2" xfId="33348" xr:uid="{00000000-0005-0000-0000-00000A6D0000}"/>
    <cellStyle name="Normal 3 4 3 7 5" xfId="15867" xr:uid="{00000000-0005-0000-0000-00000B6D0000}"/>
    <cellStyle name="Normal 3 4 3 7 5 2" xfId="33349" xr:uid="{00000000-0005-0000-0000-00000C6D0000}"/>
    <cellStyle name="Normal 3 4 3 7 6" xfId="15868" xr:uid="{00000000-0005-0000-0000-00000D6D0000}"/>
    <cellStyle name="Normal 3 4 3 7 6 2" xfId="33350" xr:uid="{00000000-0005-0000-0000-00000E6D0000}"/>
    <cellStyle name="Normal 3 4 3 7 7" xfId="15869" xr:uid="{00000000-0005-0000-0000-00000F6D0000}"/>
    <cellStyle name="Normal 3 4 3 7 7 2" xfId="33351" xr:uid="{00000000-0005-0000-0000-0000106D0000}"/>
    <cellStyle name="Normal 3 4 3 7 8" xfId="15870" xr:uid="{00000000-0005-0000-0000-0000116D0000}"/>
    <cellStyle name="Normal 3 4 3 7 8 2" xfId="33352" xr:uid="{00000000-0005-0000-0000-0000126D0000}"/>
    <cellStyle name="Normal 3 4 3 7 9" xfId="15871" xr:uid="{00000000-0005-0000-0000-0000136D0000}"/>
    <cellStyle name="Normal 3 4 3 7 9 2" xfId="33353" xr:uid="{00000000-0005-0000-0000-0000146D0000}"/>
    <cellStyle name="Normal 3 4 3 8" xfId="15872" xr:uid="{00000000-0005-0000-0000-0000156D0000}"/>
    <cellStyle name="Normal 3 4 3 8 10" xfId="15873" xr:uid="{00000000-0005-0000-0000-0000166D0000}"/>
    <cellStyle name="Normal 3 4 3 8 10 2" xfId="33355" xr:uid="{00000000-0005-0000-0000-0000176D0000}"/>
    <cellStyle name="Normal 3 4 3 8 11" xfId="15874" xr:uid="{00000000-0005-0000-0000-0000186D0000}"/>
    <cellStyle name="Normal 3 4 3 8 11 2" xfId="33356" xr:uid="{00000000-0005-0000-0000-0000196D0000}"/>
    <cellStyle name="Normal 3 4 3 8 12" xfId="15875" xr:uid="{00000000-0005-0000-0000-00001A6D0000}"/>
    <cellStyle name="Normal 3 4 3 8 12 2" xfId="33357" xr:uid="{00000000-0005-0000-0000-00001B6D0000}"/>
    <cellStyle name="Normal 3 4 3 8 13" xfId="15876" xr:uid="{00000000-0005-0000-0000-00001C6D0000}"/>
    <cellStyle name="Normal 3 4 3 8 13 2" xfId="33358" xr:uid="{00000000-0005-0000-0000-00001D6D0000}"/>
    <cellStyle name="Normal 3 4 3 8 14" xfId="15877" xr:uid="{00000000-0005-0000-0000-00001E6D0000}"/>
    <cellStyle name="Normal 3 4 3 8 14 2" xfId="33359" xr:uid="{00000000-0005-0000-0000-00001F6D0000}"/>
    <cellStyle name="Normal 3 4 3 8 15" xfId="15878" xr:uid="{00000000-0005-0000-0000-0000206D0000}"/>
    <cellStyle name="Normal 3 4 3 8 15 2" xfId="33360" xr:uid="{00000000-0005-0000-0000-0000216D0000}"/>
    <cellStyle name="Normal 3 4 3 8 16" xfId="33354" xr:uid="{00000000-0005-0000-0000-0000226D0000}"/>
    <cellStyle name="Normal 3 4 3 8 2" xfId="15879" xr:uid="{00000000-0005-0000-0000-0000236D0000}"/>
    <cellStyle name="Normal 3 4 3 8 2 10" xfId="15880" xr:uid="{00000000-0005-0000-0000-0000246D0000}"/>
    <cellStyle name="Normal 3 4 3 8 2 10 2" xfId="33362" xr:uid="{00000000-0005-0000-0000-0000256D0000}"/>
    <cellStyle name="Normal 3 4 3 8 2 11" xfId="15881" xr:uid="{00000000-0005-0000-0000-0000266D0000}"/>
    <cellStyle name="Normal 3 4 3 8 2 11 2" xfId="33363" xr:uid="{00000000-0005-0000-0000-0000276D0000}"/>
    <cellStyle name="Normal 3 4 3 8 2 12" xfId="15882" xr:uid="{00000000-0005-0000-0000-0000286D0000}"/>
    <cellStyle name="Normal 3 4 3 8 2 12 2" xfId="33364" xr:uid="{00000000-0005-0000-0000-0000296D0000}"/>
    <cellStyle name="Normal 3 4 3 8 2 13" xfId="15883" xr:uid="{00000000-0005-0000-0000-00002A6D0000}"/>
    <cellStyle name="Normal 3 4 3 8 2 13 2" xfId="33365" xr:uid="{00000000-0005-0000-0000-00002B6D0000}"/>
    <cellStyle name="Normal 3 4 3 8 2 14" xfId="15884" xr:uid="{00000000-0005-0000-0000-00002C6D0000}"/>
    <cellStyle name="Normal 3 4 3 8 2 14 2" xfId="33366" xr:uid="{00000000-0005-0000-0000-00002D6D0000}"/>
    <cellStyle name="Normal 3 4 3 8 2 15" xfId="33361" xr:uid="{00000000-0005-0000-0000-00002E6D0000}"/>
    <cellStyle name="Normal 3 4 3 8 2 2" xfId="15885" xr:uid="{00000000-0005-0000-0000-00002F6D0000}"/>
    <cellStyle name="Normal 3 4 3 8 2 2 2" xfId="33367" xr:uid="{00000000-0005-0000-0000-0000306D0000}"/>
    <cellStyle name="Normal 3 4 3 8 2 3" xfId="15886" xr:uid="{00000000-0005-0000-0000-0000316D0000}"/>
    <cellStyle name="Normal 3 4 3 8 2 3 2" xfId="33368" xr:uid="{00000000-0005-0000-0000-0000326D0000}"/>
    <cellStyle name="Normal 3 4 3 8 2 4" xfId="15887" xr:uid="{00000000-0005-0000-0000-0000336D0000}"/>
    <cellStyle name="Normal 3 4 3 8 2 4 2" xfId="33369" xr:uid="{00000000-0005-0000-0000-0000346D0000}"/>
    <cellStyle name="Normal 3 4 3 8 2 5" xfId="15888" xr:uid="{00000000-0005-0000-0000-0000356D0000}"/>
    <cellStyle name="Normal 3 4 3 8 2 5 2" xfId="33370" xr:uid="{00000000-0005-0000-0000-0000366D0000}"/>
    <cellStyle name="Normal 3 4 3 8 2 6" xfId="15889" xr:uid="{00000000-0005-0000-0000-0000376D0000}"/>
    <cellStyle name="Normal 3 4 3 8 2 6 2" xfId="33371" xr:uid="{00000000-0005-0000-0000-0000386D0000}"/>
    <cellStyle name="Normal 3 4 3 8 2 7" xfId="15890" xr:uid="{00000000-0005-0000-0000-0000396D0000}"/>
    <cellStyle name="Normal 3 4 3 8 2 7 2" xfId="33372" xr:uid="{00000000-0005-0000-0000-00003A6D0000}"/>
    <cellStyle name="Normal 3 4 3 8 2 8" xfId="15891" xr:uid="{00000000-0005-0000-0000-00003B6D0000}"/>
    <cellStyle name="Normal 3 4 3 8 2 8 2" xfId="33373" xr:uid="{00000000-0005-0000-0000-00003C6D0000}"/>
    <cellStyle name="Normal 3 4 3 8 2 9" xfId="15892" xr:uid="{00000000-0005-0000-0000-00003D6D0000}"/>
    <cellStyle name="Normal 3 4 3 8 2 9 2" xfId="33374" xr:uid="{00000000-0005-0000-0000-00003E6D0000}"/>
    <cellStyle name="Normal 3 4 3 8 3" xfId="15893" xr:uid="{00000000-0005-0000-0000-00003F6D0000}"/>
    <cellStyle name="Normal 3 4 3 8 3 2" xfId="33375" xr:uid="{00000000-0005-0000-0000-0000406D0000}"/>
    <cellStyle name="Normal 3 4 3 8 4" xfId="15894" xr:uid="{00000000-0005-0000-0000-0000416D0000}"/>
    <cellStyle name="Normal 3 4 3 8 4 2" xfId="33376" xr:uid="{00000000-0005-0000-0000-0000426D0000}"/>
    <cellStyle name="Normal 3 4 3 8 5" xfId="15895" xr:uid="{00000000-0005-0000-0000-0000436D0000}"/>
    <cellStyle name="Normal 3 4 3 8 5 2" xfId="33377" xr:uid="{00000000-0005-0000-0000-0000446D0000}"/>
    <cellStyle name="Normal 3 4 3 8 6" xfId="15896" xr:uid="{00000000-0005-0000-0000-0000456D0000}"/>
    <cellStyle name="Normal 3 4 3 8 6 2" xfId="33378" xr:uid="{00000000-0005-0000-0000-0000466D0000}"/>
    <cellStyle name="Normal 3 4 3 8 7" xfId="15897" xr:uid="{00000000-0005-0000-0000-0000476D0000}"/>
    <cellStyle name="Normal 3 4 3 8 7 2" xfId="33379" xr:uid="{00000000-0005-0000-0000-0000486D0000}"/>
    <cellStyle name="Normal 3 4 3 8 8" xfId="15898" xr:uid="{00000000-0005-0000-0000-0000496D0000}"/>
    <cellStyle name="Normal 3 4 3 8 8 2" xfId="33380" xr:uid="{00000000-0005-0000-0000-00004A6D0000}"/>
    <cellStyle name="Normal 3 4 3 8 9" xfId="15899" xr:uid="{00000000-0005-0000-0000-00004B6D0000}"/>
    <cellStyle name="Normal 3 4 3 8 9 2" xfId="33381" xr:uid="{00000000-0005-0000-0000-00004C6D0000}"/>
    <cellStyle name="Normal 3 4 3 9" xfId="15900" xr:uid="{00000000-0005-0000-0000-00004D6D0000}"/>
    <cellStyle name="Normal 3 4 3 9 10" xfId="15901" xr:uid="{00000000-0005-0000-0000-00004E6D0000}"/>
    <cellStyle name="Normal 3 4 3 9 10 2" xfId="33383" xr:uid="{00000000-0005-0000-0000-00004F6D0000}"/>
    <cellStyle name="Normal 3 4 3 9 11" xfId="15902" xr:uid="{00000000-0005-0000-0000-0000506D0000}"/>
    <cellStyle name="Normal 3 4 3 9 11 2" xfId="33384" xr:uid="{00000000-0005-0000-0000-0000516D0000}"/>
    <cellStyle name="Normal 3 4 3 9 12" xfId="15903" xr:uid="{00000000-0005-0000-0000-0000526D0000}"/>
    <cellStyle name="Normal 3 4 3 9 12 2" xfId="33385" xr:uid="{00000000-0005-0000-0000-0000536D0000}"/>
    <cellStyle name="Normal 3 4 3 9 13" xfId="15904" xr:uid="{00000000-0005-0000-0000-0000546D0000}"/>
    <cellStyle name="Normal 3 4 3 9 13 2" xfId="33386" xr:uid="{00000000-0005-0000-0000-0000556D0000}"/>
    <cellStyle name="Normal 3 4 3 9 14" xfId="15905" xr:uid="{00000000-0005-0000-0000-0000566D0000}"/>
    <cellStyle name="Normal 3 4 3 9 14 2" xfId="33387" xr:uid="{00000000-0005-0000-0000-0000576D0000}"/>
    <cellStyle name="Normal 3 4 3 9 15" xfId="33382" xr:uid="{00000000-0005-0000-0000-0000586D0000}"/>
    <cellStyle name="Normal 3 4 3 9 2" xfId="15906" xr:uid="{00000000-0005-0000-0000-0000596D0000}"/>
    <cellStyle name="Normal 3 4 3 9 2 2" xfId="33388" xr:uid="{00000000-0005-0000-0000-00005A6D0000}"/>
    <cellStyle name="Normal 3 4 3 9 3" xfId="15907" xr:uid="{00000000-0005-0000-0000-00005B6D0000}"/>
    <cellStyle name="Normal 3 4 3 9 3 2" xfId="33389" xr:uid="{00000000-0005-0000-0000-00005C6D0000}"/>
    <cellStyle name="Normal 3 4 3 9 4" xfId="15908" xr:uid="{00000000-0005-0000-0000-00005D6D0000}"/>
    <cellStyle name="Normal 3 4 3 9 4 2" xfId="33390" xr:uid="{00000000-0005-0000-0000-00005E6D0000}"/>
    <cellStyle name="Normal 3 4 3 9 5" xfId="15909" xr:uid="{00000000-0005-0000-0000-00005F6D0000}"/>
    <cellStyle name="Normal 3 4 3 9 5 2" xfId="33391" xr:uid="{00000000-0005-0000-0000-0000606D0000}"/>
    <cellStyle name="Normal 3 4 3 9 6" xfId="15910" xr:uid="{00000000-0005-0000-0000-0000616D0000}"/>
    <cellStyle name="Normal 3 4 3 9 6 2" xfId="33392" xr:uid="{00000000-0005-0000-0000-0000626D0000}"/>
    <cellStyle name="Normal 3 4 3 9 7" xfId="15911" xr:uid="{00000000-0005-0000-0000-0000636D0000}"/>
    <cellStyle name="Normal 3 4 3 9 7 2" xfId="33393" xr:uid="{00000000-0005-0000-0000-0000646D0000}"/>
    <cellStyle name="Normal 3 4 3 9 8" xfId="15912" xr:uid="{00000000-0005-0000-0000-0000656D0000}"/>
    <cellStyle name="Normal 3 4 3 9 8 2" xfId="33394" xr:uid="{00000000-0005-0000-0000-0000666D0000}"/>
    <cellStyle name="Normal 3 4 3 9 9" xfId="15913" xr:uid="{00000000-0005-0000-0000-0000676D0000}"/>
    <cellStyle name="Normal 3 4 3 9 9 2" xfId="33395" xr:uid="{00000000-0005-0000-0000-0000686D0000}"/>
    <cellStyle name="Normal 3 4 4" xfId="15914" xr:uid="{00000000-0005-0000-0000-0000696D0000}"/>
    <cellStyle name="Normal 3 4 4 10" xfId="15915" xr:uid="{00000000-0005-0000-0000-00006A6D0000}"/>
    <cellStyle name="Normal 3 4 4 10 10" xfId="15916" xr:uid="{00000000-0005-0000-0000-00006B6D0000}"/>
    <cellStyle name="Normal 3 4 4 10 10 2" xfId="33398" xr:uid="{00000000-0005-0000-0000-00006C6D0000}"/>
    <cellStyle name="Normal 3 4 4 10 11" xfId="15917" xr:uid="{00000000-0005-0000-0000-00006D6D0000}"/>
    <cellStyle name="Normal 3 4 4 10 11 2" xfId="33399" xr:uid="{00000000-0005-0000-0000-00006E6D0000}"/>
    <cellStyle name="Normal 3 4 4 10 12" xfId="15918" xr:uid="{00000000-0005-0000-0000-00006F6D0000}"/>
    <cellStyle name="Normal 3 4 4 10 12 2" xfId="33400" xr:uid="{00000000-0005-0000-0000-0000706D0000}"/>
    <cellStyle name="Normal 3 4 4 10 13" xfId="15919" xr:uid="{00000000-0005-0000-0000-0000716D0000}"/>
    <cellStyle name="Normal 3 4 4 10 13 2" xfId="33401" xr:uid="{00000000-0005-0000-0000-0000726D0000}"/>
    <cellStyle name="Normal 3 4 4 10 14" xfId="15920" xr:uid="{00000000-0005-0000-0000-0000736D0000}"/>
    <cellStyle name="Normal 3 4 4 10 14 2" xfId="33402" xr:uid="{00000000-0005-0000-0000-0000746D0000}"/>
    <cellStyle name="Normal 3 4 4 10 15" xfId="33397" xr:uid="{00000000-0005-0000-0000-0000756D0000}"/>
    <cellStyle name="Normal 3 4 4 10 2" xfId="15921" xr:uid="{00000000-0005-0000-0000-0000766D0000}"/>
    <cellStyle name="Normal 3 4 4 10 2 2" xfId="33403" xr:uid="{00000000-0005-0000-0000-0000776D0000}"/>
    <cellStyle name="Normal 3 4 4 10 3" xfId="15922" xr:uid="{00000000-0005-0000-0000-0000786D0000}"/>
    <cellStyle name="Normal 3 4 4 10 3 2" xfId="33404" xr:uid="{00000000-0005-0000-0000-0000796D0000}"/>
    <cellStyle name="Normal 3 4 4 10 4" xfId="15923" xr:uid="{00000000-0005-0000-0000-00007A6D0000}"/>
    <cellStyle name="Normal 3 4 4 10 4 2" xfId="33405" xr:uid="{00000000-0005-0000-0000-00007B6D0000}"/>
    <cellStyle name="Normal 3 4 4 10 5" xfId="15924" xr:uid="{00000000-0005-0000-0000-00007C6D0000}"/>
    <cellStyle name="Normal 3 4 4 10 5 2" xfId="33406" xr:uid="{00000000-0005-0000-0000-00007D6D0000}"/>
    <cellStyle name="Normal 3 4 4 10 6" xfId="15925" xr:uid="{00000000-0005-0000-0000-00007E6D0000}"/>
    <cellStyle name="Normal 3 4 4 10 6 2" xfId="33407" xr:uid="{00000000-0005-0000-0000-00007F6D0000}"/>
    <cellStyle name="Normal 3 4 4 10 7" xfId="15926" xr:uid="{00000000-0005-0000-0000-0000806D0000}"/>
    <cellStyle name="Normal 3 4 4 10 7 2" xfId="33408" xr:uid="{00000000-0005-0000-0000-0000816D0000}"/>
    <cellStyle name="Normal 3 4 4 10 8" xfId="15927" xr:uid="{00000000-0005-0000-0000-0000826D0000}"/>
    <cellStyle name="Normal 3 4 4 10 8 2" xfId="33409" xr:uid="{00000000-0005-0000-0000-0000836D0000}"/>
    <cellStyle name="Normal 3 4 4 10 9" xfId="15928" xr:uid="{00000000-0005-0000-0000-0000846D0000}"/>
    <cellStyle name="Normal 3 4 4 10 9 2" xfId="33410" xr:uid="{00000000-0005-0000-0000-0000856D0000}"/>
    <cellStyle name="Normal 3 4 4 11" xfId="15929" xr:uid="{00000000-0005-0000-0000-0000866D0000}"/>
    <cellStyle name="Normal 3 4 4 11 10" xfId="15930" xr:uid="{00000000-0005-0000-0000-0000876D0000}"/>
    <cellStyle name="Normal 3 4 4 11 10 2" xfId="33412" xr:uid="{00000000-0005-0000-0000-0000886D0000}"/>
    <cellStyle name="Normal 3 4 4 11 11" xfId="15931" xr:uid="{00000000-0005-0000-0000-0000896D0000}"/>
    <cellStyle name="Normal 3 4 4 11 11 2" xfId="33413" xr:uid="{00000000-0005-0000-0000-00008A6D0000}"/>
    <cellStyle name="Normal 3 4 4 11 12" xfId="15932" xr:uid="{00000000-0005-0000-0000-00008B6D0000}"/>
    <cellStyle name="Normal 3 4 4 11 12 2" xfId="33414" xr:uid="{00000000-0005-0000-0000-00008C6D0000}"/>
    <cellStyle name="Normal 3 4 4 11 13" xfId="15933" xr:uid="{00000000-0005-0000-0000-00008D6D0000}"/>
    <cellStyle name="Normal 3 4 4 11 13 2" xfId="33415" xr:uid="{00000000-0005-0000-0000-00008E6D0000}"/>
    <cellStyle name="Normal 3 4 4 11 14" xfId="15934" xr:uid="{00000000-0005-0000-0000-00008F6D0000}"/>
    <cellStyle name="Normal 3 4 4 11 14 2" xfId="33416" xr:uid="{00000000-0005-0000-0000-0000906D0000}"/>
    <cellStyle name="Normal 3 4 4 11 15" xfId="33411" xr:uid="{00000000-0005-0000-0000-0000916D0000}"/>
    <cellStyle name="Normal 3 4 4 11 2" xfId="15935" xr:uid="{00000000-0005-0000-0000-0000926D0000}"/>
    <cellStyle name="Normal 3 4 4 11 2 2" xfId="33417" xr:uid="{00000000-0005-0000-0000-0000936D0000}"/>
    <cellStyle name="Normal 3 4 4 11 3" xfId="15936" xr:uid="{00000000-0005-0000-0000-0000946D0000}"/>
    <cellStyle name="Normal 3 4 4 11 3 2" xfId="33418" xr:uid="{00000000-0005-0000-0000-0000956D0000}"/>
    <cellStyle name="Normal 3 4 4 11 4" xfId="15937" xr:uid="{00000000-0005-0000-0000-0000966D0000}"/>
    <cellStyle name="Normal 3 4 4 11 4 2" xfId="33419" xr:uid="{00000000-0005-0000-0000-0000976D0000}"/>
    <cellStyle name="Normal 3 4 4 11 5" xfId="15938" xr:uid="{00000000-0005-0000-0000-0000986D0000}"/>
    <cellStyle name="Normal 3 4 4 11 5 2" xfId="33420" xr:uid="{00000000-0005-0000-0000-0000996D0000}"/>
    <cellStyle name="Normal 3 4 4 11 6" xfId="15939" xr:uid="{00000000-0005-0000-0000-00009A6D0000}"/>
    <cellStyle name="Normal 3 4 4 11 6 2" xfId="33421" xr:uid="{00000000-0005-0000-0000-00009B6D0000}"/>
    <cellStyle name="Normal 3 4 4 11 7" xfId="15940" xr:uid="{00000000-0005-0000-0000-00009C6D0000}"/>
    <cellStyle name="Normal 3 4 4 11 7 2" xfId="33422" xr:uid="{00000000-0005-0000-0000-00009D6D0000}"/>
    <cellStyle name="Normal 3 4 4 11 8" xfId="15941" xr:uid="{00000000-0005-0000-0000-00009E6D0000}"/>
    <cellStyle name="Normal 3 4 4 11 8 2" xfId="33423" xr:uid="{00000000-0005-0000-0000-00009F6D0000}"/>
    <cellStyle name="Normal 3 4 4 11 9" xfId="15942" xr:uid="{00000000-0005-0000-0000-0000A06D0000}"/>
    <cellStyle name="Normal 3 4 4 11 9 2" xfId="33424" xr:uid="{00000000-0005-0000-0000-0000A16D0000}"/>
    <cellStyle name="Normal 3 4 4 12" xfId="15943" xr:uid="{00000000-0005-0000-0000-0000A26D0000}"/>
    <cellStyle name="Normal 3 4 4 12 10" xfId="15944" xr:uid="{00000000-0005-0000-0000-0000A36D0000}"/>
    <cellStyle name="Normal 3 4 4 12 10 2" xfId="33426" xr:uid="{00000000-0005-0000-0000-0000A46D0000}"/>
    <cellStyle name="Normal 3 4 4 12 11" xfId="15945" xr:uid="{00000000-0005-0000-0000-0000A56D0000}"/>
    <cellStyle name="Normal 3 4 4 12 11 2" xfId="33427" xr:uid="{00000000-0005-0000-0000-0000A66D0000}"/>
    <cellStyle name="Normal 3 4 4 12 12" xfId="15946" xr:uid="{00000000-0005-0000-0000-0000A76D0000}"/>
    <cellStyle name="Normal 3 4 4 12 12 2" xfId="33428" xr:uid="{00000000-0005-0000-0000-0000A86D0000}"/>
    <cellStyle name="Normal 3 4 4 12 13" xfId="15947" xr:uid="{00000000-0005-0000-0000-0000A96D0000}"/>
    <cellStyle name="Normal 3 4 4 12 13 2" xfId="33429" xr:uid="{00000000-0005-0000-0000-0000AA6D0000}"/>
    <cellStyle name="Normal 3 4 4 12 14" xfId="15948" xr:uid="{00000000-0005-0000-0000-0000AB6D0000}"/>
    <cellStyle name="Normal 3 4 4 12 14 2" xfId="33430" xr:uid="{00000000-0005-0000-0000-0000AC6D0000}"/>
    <cellStyle name="Normal 3 4 4 12 15" xfId="33425" xr:uid="{00000000-0005-0000-0000-0000AD6D0000}"/>
    <cellStyle name="Normal 3 4 4 12 2" xfId="15949" xr:uid="{00000000-0005-0000-0000-0000AE6D0000}"/>
    <cellStyle name="Normal 3 4 4 12 2 2" xfId="33431" xr:uid="{00000000-0005-0000-0000-0000AF6D0000}"/>
    <cellStyle name="Normal 3 4 4 12 3" xfId="15950" xr:uid="{00000000-0005-0000-0000-0000B06D0000}"/>
    <cellStyle name="Normal 3 4 4 12 3 2" xfId="33432" xr:uid="{00000000-0005-0000-0000-0000B16D0000}"/>
    <cellStyle name="Normal 3 4 4 12 4" xfId="15951" xr:uid="{00000000-0005-0000-0000-0000B26D0000}"/>
    <cellStyle name="Normal 3 4 4 12 4 2" xfId="33433" xr:uid="{00000000-0005-0000-0000-0000B36D0000}"/>
    <cellStyle name="Normal 3 4 4 12 5" xfId="15952" xr:uid="{00000000-0005-0000-0000-0000B46D0000}"/>
    <cellStyle name="Normal 3 4 4 12 5 2" xfId="33434" xr:uid="{00000000-0005-0000-0000-0000B56D0000}"/>
    <cellStyle name="Normal 3 4 4 12 6" xfId="15953" xr:uid="{00000000-0005-0000-0000-0000B66D0000}"/>
    <cellStyle name="Normal 3 4 4 12 6 2" xfId="33435" xr:uid="{00000000-0005-0000-0000-0000B76D0000}"/>
    <cellStyle name="Normal 3 4 4 12 7" xfId="15954" xr:uid="{00000000-0005-0000-0000-0000B86D0000}"/>
    <cellStyle name="Normal 3 4 4 12 7 2" xfId="33436" xr:uid="{00000000-0005-0000-0000-0000B96D0000}"/>
    <cellStyle name="Normal 3 4 4 12 8" xfId="15955" xr:uid="{00000000-0005-0000-0000-0000BA6D0000}"/>
    <cellStyle name="Normal 3 4 4 12 8 2" xfId="33437" xr:uid="{00000000-0005-0000-0000-0000BB6D0000}"/>
    <cellStyle name="Normal 3 4 4 12 9" xfId="15956" xr:uid="{00000000-0005-0000-0000-0000BC6D0000}"/>
    <cellStyle name="Normal 3 4 4 12 9 2" xfId="33438" xr:uid="{00000000-0005-0000-0000-0000BD6D0000}"/>
    <cellStyle name="Normal 3 4 4 13" xfId="15957" xr:uid="{00000000-0005-0000-0000-0000BE6D0000}"/>
    <cellStyle name="Normal 3 4 4 13 10" xfId="15958" xr:uid="{00000000-0005-0000-0000-0000BF6D0000}"/>
    <cellStyle name="Normal 3 4 4 13 10 2" xfId="33440" xr:uid="{00000000-0005-0000-0000-0000C06D0000}"/>
    <cellStyle name="Normal 3 4 4 13 11" xfId="15959" xr:uid="{00000000-0005-0000-0000-0000C16D0000}"/>
    <cellStyle name="Normal 3 4 4 13 11 2" xfId="33441" xr:uid="{00000000-0005-0000-0000-0000C26D0000}"/>
    <cellStyle name="Normal 3 4 4 13 12" xfId="15960" xr:uid="{00000000-0005-0000-0000-0000C36D0000}"/>
    <cellStyle name="Normal 3 4 4 13 12 2" xfId="33442" xr:uid="{00000000-0005-0000-0000-0000C46D0000}"/>
    <cellStyle name="Normal 3 4 4 13 13" xfId="15961" xr:uid="{00000000-0005-0000-0000-0000C56D0000}"/>
    <cellStyle name="Normal 3 4 4 13 13 2" xfId="33443" xr:uid="{00000000-0005-0000-0000-0000C66D0000}"/>
    <cellStyle name="Normal 3 4 4 13 14" xfId="15962" xr:uid="{00000000-0005-0000-0000-0000C76D0000}"/>
    <cellStyle name="Normal 3 4 4 13 14 2" xfId="33444" xr:uid="{00000000-0005-0000-0000-0000C86D0000}"/>
    <cellStyle name="Normal 3 4 4 13 15" xfId="33439" xr:uid="{00000000-0005-0000-0000-0000C96D0000}"/>
    <cellStyle name="Normal 3 4 4 13 2" xfId="15963" xr:uid="{00000000-0005-0000-0000-0000CA6D0000}"/>
    <cellStyle name="Normal 3 4 4 13 2 2" xfId="33445" xr:uid="{00000000-0005-0000-0000-0000CB6D0000}"/>
    <cellStyle name="Normal 3 4 4 13 3" xfId="15964" xr:uid="{00000000-0005-0000-0000-0000CC6D0000}"/>
    <cellStyle name="Normal 3 4 4 13 3 2" xfId="33446" xr:uid="{00000000-0005-0000-0000-0000CD6D0000}"/>
    <cellStyle name="Normal 3 4 4 13 4" xfId="15965" xr:uid="{00000000-0005-0000-0000-0000CE6D0000}"/>
    <cellStyle name="Normal 3 4 4 13 4 2" xfId="33447" xr:uid="{00000000-0005-0000-0000-0000CF6D0000}"/>
    <cellStyle name="Normal 3 4 4 13 5" xfId="15966" xr:uid="{00000000-0005-0000-0000-0000D06D0000}"/>
    <cellStyle name="Normal 3 4 4 13 5 2" xfId="33448" xr:uid="{00000000-0005-0000-0000-0000D16D0000}"/>
    <cellStyle name="Normal 3 4 4 13 6" xfId="15967" xr:uid="{00000000-0005-0000-0000-0000D26D0000}"/>
    <cellStyle name="Normal 3 4 4 13 6 2" xfId="33449" xr:uid="{00000000-0005-0000-0000-0000D36D0000}"/>
    <cellStyle name="Normal 3 4 4 13 7" xfId="15968" xr:uid="{00000000-0005-0000-0000-0000D46D0000}"/>
    <cellStyle name="Normal 3 4 4 13 7 2" xfId="33450" xr:uid="{00000000-0005-0000-0000-0000D56D0000}"/>
    <cellStyle name="Normal 3 4 4 13 8" xfId="15969" xr:uid="{00000000-0005-0000-0000-0000D66D0000}"/>
    <cellStyle name="Normal 3 4 4 13 8 2" xfId="33451" xr:uid="{00000000-0005-0000-0000-0000D76D0000}"/>
    <cellStyle name="Normal 3 4 4 13 9" xfId="15970" xr:uid="{00000000-0005-0000-0000-0000D86D0000}"/>
    <cellStyle name="Normal 3 4 4 13 9 2" xfId="33452" xr:uid="{00000000-0005-0000-0000-0000D96D0000}"/>
    <cellStyle name="Normal 3 4 4 14" xfId="15971" xr:uid="{00000000-0005-0000-0000-0000DA6D0000}"/>
    <cellStyle name="Normal 3 4 4 14 10" xfId="15972" xr:uid="{00000000-0005-0000-0000-0000DB6D0000}"/>
    <cellStyle name="Normal 3 4 4 14 10 2" xfId="33454" xr:uid="{00000000-0005-0000-0000-0000DC6D0000}"/>
    <cellStyle name="Normal 3 4 4 14 11" xfId="15973" xr:uid="{00000000-0005-0000-0000-0000DD6D0000}"/>
    <cellStyle name="Normal 3 4 4 14 11 2" xfId="33455" xr:uid="{00000000-0005-0000-0000-0000DE6D0000}"/>
    <cellStyle name="Normal 3 4 4 14 12" xfId="15974" xr:uid="{00000000-0005-0000-0000-0000DF6D0000}"/>
    <cellStyle name="Normal 3 4 4 14 12 2" xfId="33456" xr:uid="{00000000-0005-0000-0000-0000E06D0000}"/>
    <cellStyle name="Normal 3 4 4 14 13" xfId="15975" xr:uid="{00000000-0005-0000-0000-0000E16D0000}"/>
    <cellStyle name="Normal 3 4 4 14 13 2" xfId="33457" xr:uid="{00000000-0005-0000-0000-0000E26D0000}"/>
    <cellStyle name="Normal 3 4 4 14 14" xfId="15976" xr:uid="{00000000-0005-0000-0000-0000E36D0000}"/>
    <cellStyle name="Normal 3 4 4 14 14 2" xfId="33458" xr:uid="{00000000-0005-0000-0000-0000E46D0000}"/>
    <cellStyle name="Normal 3 4 4 14 15" xfId="33453" xr:uid="{00000000-0005-0000-0000-0000E56D0000}"/>
    <cellStyle name="Normal 3 4 4 14 2" xfId="15977" xr:uid="{00000000-0005-0000-0000-0000E66D0000}"/>
    <cellStyle name="Normal 3 4 4 14 2 2" xfId="33459" xr:uid="{00000000-0005-0000-0000-0000E76D0000}"/>
    <cellStyle name="Normal 3 4 4 14 3" xfId="15978" xr:uid="{00000000-0005-0000-0000-0000E86D0000}"/>
    <cellStyle name="Normal 3 4 4 14 3 2" xfId="33460" xr:uid="{00000000-0005-0000-0000-0000E96D0000}"/>
    <cellStyle name="Normal 3 4 4 14 4" xfId="15979" xr:uid="{00000000-0005-0000-0000-0000EA6D0000}"/>
    <cellStyle name="Normal 3 4 4 14 4 2" xfId="33461" xr:uid="{00000000-0005-0000-0000-0000EB6D0000}"/>
    <cellStyle name="Normal 3 4 4 14 5" xfId="15980" xr:uid="{00000000-0005-0000-0000-0000EC6D0000}"/>
    <cellStyle name="Normal 3 4 4 14 5 2" xfId="33462" xr:uid="{00000000-0005-0000-0000-0000ED6D0000}"/>
    <cellStyle name="Normal 3 4 4 14 6" xfId="15981" xr:uid="{00000000-0005-0000-0000-0000EE6D0000}"/>
    <cellStyle name="Normal 3 4 4 14 6 2" xfId="33463" xr:uid="{00000000-0005-0000-0000-0000EF6D0000}"/>
    <cellStyle name="Normal 3 4 4 14 7" xfId="15982" xr:uid="{00000000-0005-0000-0000-0000F06D0000}"/>
    <cellStyle name="Normal 3 4 4 14 7 2" xfId="33464" xr:uid="{00000000-0005-0000-0000-0000F16D0000}"/>
    <cellStyle name="Normal 3 4 4 14 8" xfId="15983" xr:uid="{00000000-0005-0000-0000-0000F26D0000}"/>
    <cellStyle name="Normal 3 4 4 14 8 2" xfId="33465" xr:uid="{00000000-0005-0000-0000-0000F36D0000}"/>
    <cellStyle name="Normal 3 4 4 14 9" xfId="15984" xr:uid="{00000000-0005-0000-0000-0000F46D0000}"/>
    <cellStyle name="Normal 3 4 4 14 9 2" xfId="33466" xr:uid="{00000000-0005-0000-0000-0000F56D0000}"/>
    <cellStyle name="Normal 3 4 4 15" xfId="15985" xr:uid="{00000000-0005-0000-0000-0000F66D0000}"/>
    <cellStyle name="Normal 3 4 4 15 2" xfId="33467" xr:uid="{00000000-0005-0000-0000-0000F76D0000}"/>
    <cellStyle name="Normal 3 4 4 16" xfId="15986" xr:uid="{00000000-0005-0000-0000-0000F86D0000}"/>
    <cellStyle name="Normal 3 4 4 16 2" xfId="33468" xr:uid="{00000000-0005-0000-0000-0000F96D0000}"/>
    <cellStyle name="Normal 3 4 4 17" xfId="15987" xr:uid="{00000000-0005-0000-0000-0000FA6D0000}"/>
    <cellStyle name="Normal 3 4 4 17 2" xfId="33469" xr:uid="{00000000-0005-0000-0000-0000FB6D0000}"/>
    <cellStyle name="Normal 3 4 4 18" xfId="15988" xr:uid="{00000000-0005-0000-0000-0000FC6D0000}"/>
    <cellStyle name="Normal 3 4 4 18 2" xfId="33470" xr:uid="{00000000-0005-0000-0000-0000FD6D0000}"/>
    <cellStyle name="Normal 3 4 4 19" xfId="15989" xr:uid="{00000000-0005-0000-0000-0000FE6D0000}"/>
    <cellStyle name="Normal 3 4 4 19 2" xfId="33471" xr:uid="{00000000-0005-0000-0000-0000FF6D0000}"/>
    <cellStyle name="Normal 3 4 4 2" xfId="15990" xr:uid="{00000000-0005-0000-0000-0000006E0000}"/>
    <cellStyle name="Normal 3 4 4 20" xfId="15991" xr:uid="{00000000-0005-0000-0000-0000016E0000}"/>
    <cellStyle name="Normal 3 4 4 20 2" xfId="33472" xr:uid="{00000000-0005-0000-0000-0000026E0000}"/>
    <cellStyle name="Normal 3 4 4 21" xfId="15992" xr:uid="{00000000-0005-0000-0000-0000036E0000}"/>
    <cellStyle name="Normal 3 4 4 21 2" xfId="33473" xr:uid="{00000000-0005-0000-0000-0000046E0000}"/>
    <cellStyle name="Normal 3 4 4 22" xfId="15993" xr:uid="{00000000-0005-0000-0000-0000056E0000}"/>
    <cellStyle name="Normal 3 4 4 22 2" xfId="33474" xr:uid="{00000000-0005-0000-0000-0000066E0000}"/>
    <cellStyle name="Normal 3 4 4 23" xfId="15994" xr:uid="{00000000-0005-0000-0000-0000076E0000}"/>
    <cellStyle name="Normal 3 4 4 23 2" xfId="33475" xr:uid="{00000000-0005-0000-0000-0000086E0000}"/>
    <cellStyle name="Normal 3 4 4 24" xfId="15995" xr:uid="{00000000-0005-0000-0000-0000096E0000}"/>
    <cellStyle name="Normal 3 4 4 24 2" xfId="33476" xr:uid="{00000000-0005-0000-0000-00000A6E0000}"/>
    <cellStyle name="Normal 3 4 4 25" xfId="15996" xr:uid="{00000000-0005-0000-0000-00000B6E0000}"/>
    <cellStyle name="Normal 3 4 4 25 2" xfId="33477" xr:uid="{00000000-0005-0000-0000-00000C6E0000}"/>
    <cellStyle name="Normal 3 4 4 26" xfId="15997" xr:uid="{00000000-0005-0000-0000-00000D6E0000}"/>
    <cellStyle name="Normal 3 4 4 26 2" xfId="33478" xr:uid="{00000000-0005-0000-0000-00000E6E0000}"/>
    <cellStyle name="Normal 3 4 4 27" xfId="15998" xr:uid="{00000000-0005-0000-0000-00000F6E0000}"/>
    <cellStyle name="Normal 3 4 4 27 2" xfId="33479" xr:uid="{00000000-0005-0000-0000-0000106E0000}"/>
    <cellStyle name="Normal 3 4 4 28" xfId="33396" xr:uid="{00000000-0005-0000-0000-0000116E0000}"/>
    <cellStyle name="Normal 3 4 4 3" xfId="15999" xr:uid="{00000000-0005-0000-0000-0000126E0000}"/>
    <cellStyle name="Normal 3 4 4 4" xfId="16000" xr:uid="{00000000-0005-0000-0000-0000136E0000}"/>
    <cellStyle name="Normal 3 4 4 5" xfId="16001" xr:uid="{00000000-0005-0000-0000-0000146E0000}"/>
    <cellStyle name="Normal 3 4 4 6" xfId="16002" xr:uid="{00000000-0005-0000-0000-0000156E0000}"/>
    <cellStyle name="Normal 3 4 4 6 10" xfId="16003" xr:uid="{00000000-0005-0000-0000-0000166E0000}"/>
    <cellStyle name="Normal 3 4 4 6 10 2" xfId="33481" xr:uid="{00000000-0005-0000-0000-0000176E0000}"/>
    <cellStyle name="Normal 3 4 4 6 11" xfId="16004" xr:uid="{00000000-0005-0000-0000-0000186E0000}"/>
    <cellStyle name="Normal 3 4 4 6 11 2" xfId="33482" xr:uid="{00000000-0005-0000-0000-0000196E0000}"/>
    <cellStyle name="Normal 3 4 4 6 12" xfId="16005" xr:uid="{00000000-0005-0000-0000-00001A6E0000}"/>
    <cellStyle name="Normal 3 4 4 6 12 2" xfId="33483" xr:uid="{00000000-0005-0000-0000-00001B6E0000}"/>
    <cellStyle name="Normal 3 4 4 6 13" xfId="16006" xr:uid="{00000000-0005-0000-0000-00001C6E0000}"/>
    <cellStyle name="Normal 3 4 4 6 13 2" xfId="33484" xr:uid="{00000000-0005-0000-0000-00001D6E0000}"/>
    <cellStyle name="Normal 3 4 4 6 14" xfId="16007" xr:uid="{00000000-0005-0000-0000-00001E6E0000}"/>
    <cellStyle name="Normal 3 4 4 6 14 2" xfId="33485" xr:uid="{00000000-0005-0000-0000-00001F6E0000}"/>
    <cellStyle name="Normal 3 4 4 6 15" xfId="16008" xr:uid="{00000000-0005-0000-0000-0000206E0000}"/>
    <cellStyle name="Normal 3 4 4 6 15 2" xfId="33486" xr:uid="{00000000-0005-0000-0000-0000216E0000}"/>
    <cellStyle name="Normal 3 4 4 6 16" xfId="33480" xr:uid="{00000000-0005-0000-0000-0000226E0000}"/>
    <cellStyle name="Normal 3 4 4 6 2" xfId="16009" xr:uid="{00000000-0005-0000-0000-0000236E0000}"/>
    <cellStyle name="Normal 3 4 4 6 2 10" xfId="16010" xr:uid="{00000000-0005-0000-0000-0000246E0000}"/>
    <cellStyle name="Normal 3 4 4 6 2 10 2" xfId="33488" xr:uid="{00000000-0005-0000-0000-0000256E0000}"/>
    <cellStyle name="Normal 3 4 4 6 2 11" xfId="16011" xr:uid="{00000000-0005-0000-0000-0000266E0000}"/>
    <cellStyle name="Normal 3 4 4 6 2 11 2" xfId="33489" xr:uid="{00000000-0005-0000-0000-0000276E0000}"/>
    <cellStyle name="Normal 3 4 4 6 2 12" xfId="16012" xr:uid="{00000000-0005-0000-0000-0000286E0000}"/>
    <cellStyle name="Normal 3 4 4 6 2 12 2" xfId="33490" xr:uid="{00000000-0005-0000-0000-0000296E0000}"/>
    <cellStyle name="Normal 3 4 4 6 2 13" xfId="16013" xr:uid="{00000000-0005-0000-0000-00002A6E0000}"/>
    <cellStyle name="Normal 3 4 4 6 2 13 2" xfId="33491" xr:uid="{00000000-0005-0000-0000-00002B6E0000}"/>
    <cellStyle name="Normal 3 4 4 6 2 14" xfId="16014" xr:uid="{00000000-0005-0000-0000-00002C6E0000}"/>
    <cellStyle name="Normal 3 4 4 6 2 14 2" xfId="33492" xr:uid="{00000000-0005-0000-0000-00002D6E0000}"/>
    <cellStyle name="Normal 3 4 4 6 2 15" xfId="33487" xr:uid="{00000000-0005-0000-0000-00002E6E0000}"/>
    <cellStyle name="Normal 3 4 4 6 2 2" xfId="16015" xr:uid="{00000000-0005-0000-0000-00002F6E0000}"/>
    <cellStyle name="Normal 3 4 4 6 2 2 2" xfId="33493" xr:uid="{00000000-0005-0000-0000-0000306E0000}"/>
    <cellStyle name="Normal 3 4 4 6 2 3" xfId="16016" xr:uid="{00000000-0005-0000-0000-0000316E0000}"/>
    <cellStyle name="Normal 3 4 4 6 2 3 2" xfId="33494" xr:uid="{00000000-0005-0000-0000-0000326E0000}"/>
    <cellStyle name="Normal 3 4 4 6 2 4" xfId="16017" xr:uid="{00000000-0005-0000-0000-0000336E0000}"/>
    <cellStyle name="Normal 3 4 4 6 2 4 2" xfId="33495" xr:uid="{00000000-0005-0000-0000-0000346E0000}"/>
    <cellStyle name="Normal 3 4 4 6 2 5" xfId="16018" xr:uid="{00000000-0005-0000-0000-0000356E0000}"/>
    <cellStyle name="Normal 3 4 4 6 2 5 2" xfId="33496" xr:uid="{00000000-0005-0000-0000-0000366E0000}"/>
    <cellStyle name="Normal 3 4 4 6 2 6" xfId="16019" xr:uid="{00000000-0005-0000-0000-0000376E0000}"/>
    <cellStyle name="Normal 3 4 4 6 2 6 2" xfId="33497" xr:uid="{00000000-0005-0000-0000-0000386E0000}"/>
    <cellStyle name="Normal 3 4 4 6 2 7" xfId="16020" xr:uid="{00000000-0005-0000-0000-0000396E0000}"/>
    <cellStyle name="Normal 3 4 4 6 2 7 2" xfId="33498" xr:uid="{00000000-0005-0000-0000-00003A6E0000}"/>
    <cellStyle name="Normal 3 4 4 6 2 8" xfId="16021" xr:uid="{00000000-0005-0000-0000-00003B6E0000}"/>
    <cellStyle name="Normal 3 4 4 6 2 8 2" xfId="33499" xr:uid="{00000000-0005-0000-0000-00003C6E0000}"/>
    <cellStyle name="Normal 3 4 4 6 2 9" xfId="16022" xr:uid="{00000000-0005-0000-0000-00003D6E0000}"/>
    <cellStyle name="Normal 3 4 4 6 2 9 2" xfId="33500" xr:uid="{00000000-0005-0000-0000-00003E6E0000}"/>
    <cellStyle name="Normal 3 4 4 6 3" xfId="16023" xr:uid="{00000000-0005-0000-0000-00003F6E0000}"/>
    <cellStyle name="Normal 3 4 4 6 3 2" xfId="33501" xr:uid="{00000000-0005-0000-0000-0000406E0000}"/>
    <cellStyle name="Normal 3 4 4 6 4" xfId="16024" xr:uid="{00000000-0005-0000-0000-0000416E0000}"/>
    <cellStyle name="Normal 3 4 4 6 4 2" xfId="33502" xr:uid="{00000000-0005-0000-0000-0000426E0000}"/>
    <cellStyle name="Normal 3 4 4 6 5" xfId="16025" xr:uid="{00000000-0005-0000-0000-0000436E0000}"/>
    <cellStyle name="Normal 3 4 4 6 5 2" xfId="33503" xr:uid="{00000000-0005-0000-0000-0000446E0000}"/>
    <cellStyle name="Normal 3 4 4 6 6" xfId="16026" xr:uid="{00000000-0005-0000-0000-0000456E0000}"/>
    <cellStyle name="Normal 3 4 4 6 6 2" xfId="33504" xr:uid="{00000000-0005-0000-0000-0000466E0000}"/>
    <cellStyle name="Normal 3 4 4 6 7" xfId="16027" xr:uid="{00000000-0005-0000-0000-0000476E0000}"/>
    <cellStyle name="Normal 3 4 4 6 7 2" xfId="33505" xr:uid="{00000000-0005-0000-0000-0000486E0000}"/>
    <cellStyle name="Normal 3 4 4 6 8" xfId="16028" xr:uid="{00000000-0005-0000-0000-0000496E0000}"/>
    <cellStyle name="Normal 3 4 4 6 8 2" xfId="33506" xr:uid="{00000000-0005-0000-0000-00004A6E0000}"/>
    <cellStyle name="Normal 3 4 4 6 9" xfId="16029" xr:uid="{00000000-0005-0000-0000-00004B6E0000}"/>
    <cellStyle name="Normal 3 4 4 6 9 2" xfId="33507" xr:uid="{00000000-0005-0000-0000-00004C6E0000}"/>
    <cellStyle name="Normal 3 4 4 7" xfId="16030" xr:uid="{00000000-0005-0000-0000-00004D6E0000}"/>
    <cellStyle name="Normal 3 4 4 7 10" xfId="16031" xr:uid="{00000000-0005-0000-0000-00004E6E0000}"/>
    <cellStyle name="Normal 3 4 4 7 10 2" xfId="33509" xr:uid="{00000000-0005-0000-0000-00004F6E0000}"/>
    <cellStyle name="Normal 3 4 4 7 11" xfId="16032" xr:uid="{00000000-0005-0000-0000-0000506E0000}"/>
    <cellStyle name="Normal 3 4 4 7 11 2" xfId="33510" xr:uid="{00000000-0005-0000-0000-0000516E0000}"/>
    <cellStyle name="Normal 3 4 4 7 12" xfId="16033" xr:uid="{00000000-0005-0000-0000-0000526E0000}"/>
    <cellStyle name="Normal 3 4 4 7 12 2" xfId="33511" xr:uid="{00000000-0005-0000-0000-0000536E0000}"/>
    <cellStyle name="Normal 3 4 4 7 13" xfId="16034" xr:uid="{00000000-0005-0000-0000-0000546E0000}"/>
    <cellStyle name="Normal 3 4 4 7 13 2" xfId="33512" xr:uid="{00000000-0005-0000-0000-0000556E0000}"/>
    <cellStyle name="Normal 3 4 4 7 14" xfId="16035" xr:uid="{00000000-0005-0000-0000-0000566E0000}"/>
    <cellStyle name="Normal 3 4 4 7 14 2" xfId="33513" xr:uid="{00000000-0005-0000-0000-0000576E0000}"/>
    <cellStyle name="Normal 3 4 4 7 15" xfId="16036" xr:uid="{00000000-0005-0000-0000-0000586E0000}"/>
    <cellStyle name="Normal 3 4 4 7 15 2" xfId="33514" xr:uid="{00000000-0005-0000-0000-0000596E0000}"/>
    <cellStyle name="Normal 3 4 4 7 16" xfId="33508" xr:uid="{00000000-0005-0000-0000-00005A6E0000}"/>
    <cellStyle name="Normal 3 4 4 7 2" xfId="16037" xr:uid="{00000000-0005-0000-0000-00005B6E0000}"/>
    <cellStyle name="Normal 3 4 4 7 2 10" xfId="16038" xr:uid="{00000000-0005-0000-0000-00005C6E0000}"/>
    <cellStyle name="Normal 3 4 4 7 2 10 2" xfId="33516" xr:uid="{00000000-0005-0000-0000-00005D6E0000}"/>
    <cellStyle name="Normal 3 4 4 7 2 11" xfId="16039" xr:uid="{00000000-0005-0000-0000-00005E6E0000}"/>
    <cellStyle name="Normal 3 4 4 7 2 11 2" xfId="33517" xr:uid="{00000000-0005-0000-0000-00005F6E0000}"/>
    <cellStyle name="Normal 3 4 4 7 2 12" xfId="16040" xr:uid="{00000000-0005-0000-0000-0000606E0000}"/>
    <cellStyle name="Normal 3 4 4 7 2 12 2" xfId="33518" xr:uid="{00000000-0005-0000-0000-0000616E0000}"/>
    <cellStyle name="Normal 3 4 4 7 2 13" xfId="16041" xr:uid="{00000000-0005-0000-0000-0000626E0000}"/>
    <cellStyle name="Normal 3 4 4 7 2 13 2" xfId="33519" xr:uid="{00000000-0005-0000-0000-0000636E0000}"/>
    <cellStyle name="Normal 3 4 4 7 2 14" xfId="16042" xr:uid="{00000000-0005-0000-0000-0000646E0000}"/>
    <cellStyle name="Normal 3 4 4 7 2 14 2" xfId="33520" xr:uid="{00000000-0005-0000-0000-0000656E0000}"/>
    <cellStyle name="Normal 3 4 4 7 2 15" xfId="33515" xr:uid="{00000000-0005-0000-0000-0000666E0000}"/>
    <cellStyle name="Normal 3 4 4 7 2 2" xfId="16043" xr:uid="{00000000-0005-0000-0000-0000676E0000}"/>
    <cellStyle name="Normal 3 4 4 7 2 2 2" xfId="33521" xr:uid="{00000000-0005-0000-0000-0000686E0000}"/>
    <cellStyle name="Normal 3 4 4 7 2 3" xfId="16044" xr:uid="{00000000-0005-0000-0000-0000696E0000}"/>
    <cellStyle name="Normal 3 4 4 7 2 3 2" xfId="33522" xr:uid="{00000000-0005-0000-0000-00006A6E0000}"/>
    <cellStyle name="Normal 3 4 4 7 2 4" xfId="16045" xr:uid="{00000000-0005-0000-0000-00006B6E0000}"/>
    <cellStyle name="Normal 3 4 4 7 2 4 2" xfId="33523" xr:uid="{00000000-0005-0000-0000-00006C6E0000}"/>
    <cellStyle name="Normal 3 4 4 7 2 5" xfId="16046" xr:uid="{00000000-0005-0000-0000-00006D6E0000}"/>
    <cellStyle name="Normal 3 4 4 7 2 5 2" xfId="33524" xr:uid="{00000000-0005-0000-0000-00006E6E0000}"/>
    <cellStyle name="Normal 3 4 4 7 2 6" xfId="16047" xr:uid="{00000000-0005-0000-0000-00006F6E0000}"/>
    <cellStyle name="Normal 3 4 4 7 2 6 2" xfId="33525" xr:uid="{00000000-0005-0000-0000-0000706E0000}"/>
    <cellStyle name="Normal 3 4 4 7 2 7" xfId="16048" xr:uid="{00000000-0005-0000-0000-0000716E0000}"/>
    <cellStyle name="Normal 3 4 4 7 2 7 2" xfId="33526" xr:uid="{00000000-0005-0000-0000-0000726E0000}"/>
    <cellStyle name="Normal 3 4 4 7 2 8" xfId="16049" xr:uid="{00000000-0005-0000-0000-0000736E0000}"/>
    <cellStyle name="Normal 3 4 4 7 2 8 2" xfId="33527" xr:uid="{00000000-0005-0000-0000-0000746E0000}"/>
    <cellStyle name="Normal 3 4 4 7 2 9" xfId="16050" xr:uid="{00000000-0005-0000-0000-0000756E0000}"/>
    <cellStyle name="Normal 3 4 4 7 2 9 2" xfId="33528" xr:uid="{00000000-0005-0000-0000-0000766E0000}"/>
    <cellStyle name="Normal 3 4 4 7 3" xfId="16051" xr:uid="{00000000-0005-0000-0000-0000776E0000}"/>
    <cellStyle name="Normal 3 4 4 7 3 2" xfId="33529" xr:uid="{00000000-0005-0000-0000-0000786E0000}"/>
    <cellStyle name="Normal 3 4 4 7 4" xfId="16052" xr:uid="{00000000-0005-0000-0000-0000796E0000}"/>
    <cellStyle name="Normal 3 4 4 7 4 2" xfId="33530" xr:uid="{00000000-0005-0000-0000-00007A6E0000}"/>
    <cellStyle name="Normal 3 4 4 7 5" xfId="16053" xr:uid="{00000000-0005-0000-0000-00007B6E0000}"/>
    <cellStyle name="Normal 3 4 4 7 5 2" xfId="33531" xr:uid="{00000000-0005-0000-0000-00007C6E0000}"/>
    <cellStyle name="Normal 3 4 4 7 6" xfId="16054" xr:uid="{00000000-0005-0000-0000-00007D6E0000}"/>
    <cellStyle name="Normal 3 4 4 7 6 2" xfId="33532" xr:uid="{00000000-0005-0000-0000-00007E6E0000}"/>
    <cellStyle name="Normal 3 4 4 7 7" xfId="16055" xr:uid="{00000000-0005-0000-0000-00007F6E0000}"/>
    <cellStyle name="Normal 3 4 4 7 7 2" xfId="33533" xr:uid="{00000000-0005-0000-0000-0000806E0000}"/>
    <cellStyle name="Normal 3 4 4 7 8" xfId="16056" xr:uid="{00000000-0005-0000-0000-0000816E0000}"/>
    <cellStyle name="Normal 3 4 4 7 8 2" xfId="33534" xr:uid="{00000000-0005-0000-0000-0000826E0000}"/>
    <cellStyle name="Normal 3 4 4 7 9" xfId="16057" xr:uid="{00000000-0005-0000-0000-0000836E0000}"/>
    <cellStyle name="Normal 3 4 4 7 9 2" xfId="33535" xr:uid="{00000000-0005-0000-0000-0000846E0000}"/>
    <cellStyle name="Normal 3 4 4 8" xfId="16058" xr:uid="{00000000-0005-0000-0000-0000856E0000}"/>
    <cellStyle name="Normal 3 4 4 8 10" xfId="16059" xr:uid="{00000000-0005-0000-0000-0000866E0000}"/>
    <cellStyle name="Normal 3 4 4 8 10 2" xfId="33537" xr:uid="{00000000-0005-0000-0000-0000876E0000}"/>
    <cellStyle name="Normal 3 4 4 8 11" xfId="16060" xr:uid="{00000000-0005-0000-0000-0000886E0000}"/>
    <cellStyle name="Normal 3 4 4 8 11 2" xfId="33538" xr:uid="{00000000-0005-0000-0000-0000896E0000}"/>
    <cellStyle name="Normal 3 4 4 8 12" xfId="16061" xr:uid="{00000000-0005-0000-0000-00008A6E0000}"/>
    <cellStyle name="Normal 3 4 4 8 12 2" xfId="33539" xr:uid="{00000000-0005-0000-0000-00008B6E0000}"/>
    <cellStyle name="Normal 3 4 4 8 13" xfId="16062" xr:uid="{00000000-0005-0000-0000-00008C6E0000}"/>
    <cellStyle name="Normal 3 4 4 8 13 2" xfId="33540" xr:uid="{00000000-0005-0000-0000-00008D6E0000}"/>
    <cellStyle name="Normal 3 4 4 8 14" xfId="16063" xr:uid="{00000000-0005-0000-0000-00008E6E0000}"/>
    <cellStyle name="Normal 3 4 4 8 14 2" xfId="33541" xr:uid="{00000000-0005-0000-0000-00008F6E0000}"/>
    <cellStyle name="Normal 3 4 4 8 15" xfId="16064" xr:uid="{00000000-0005-0000-0000-0000906E0000}"/>
    <cellStyle name="Normal 3 4 4 8 15 2" xfId="33542" xr:uid="{00000000-0005-0000-0000-0000916E0000}"/>
    <cellStyle name="Normal 3 4 4 8 16" xfId="33536" xr:uid="{00000000-0005-0000-0000-0000926E0000}"/>
    <cellStyle name="Normal 3 4 4 8 2" xfId="16065" xr:uid="{00000000-0005-0000-0000-0000936E0000}"/>
    <cellStyle name="Normal 3 4 4 8 2 10" xfId="16066" xr:uid="{00000000-0005-0000-0000-0000946E0000}"/>
    <cellStyle name="Normal 3 4 4 8 2 10 2" xfId="33544" xr:uid="{00000000-0005-0000-0000-0000956E0000}"/>
    <cellStyle name="Normal 3 4 4 8 2 11" xfId="16067" xr:uid="{00000000-0005-0000-0000-0000966E0000}"/>
    <cellStyle name="Normal 3 4 4 8 2 11 2" xfId="33545" xr:uid="{00000000-0005-0000-0000-0000976E0000}"/>
    <cellStyle name="Normal 3 4 4 8 2 12" xfId="16068" xr:uid="{00000000-0005-0000-0000-0000986E0000}"/>
    <cellStyle name="Normal 3 4 4 8 2 12 2" xfId="33546" xr:uid="{00000000-0005-0000-0000-0000996E0000}"/>
    <cellStyle name="Normal 3 4 4 8 2 13" xfId="16069" xr:uid="{00000000-0005-0000-0000-00009A6E0000}"/>
    <cellStyle name="Normal 3 4 4 8 2 13 2" xfId="33547" xr:uid="{00000000-0005-0000-0000-00009B6E0000}"/>
    <cellStyle name="Normal 3 4 4 8 2 14" xfId="16070" xr:uid="{00000000-0005-0000-0000-00009C6E0000}"/>
    <cellStyle name="Normal 3 4 4 8 2 14 2" xfId="33548" xr:uid="{00000000-0005-0000-0000-00009D6E0000}"/>
    <cellStyle name="Normal 3 4 4 8 2 15" xfId="33543" xr:uid="{00000000-0005-0000-0000-00009E6E0000}"/>
    <cellStyle name="Normal 3 4 4 8 2 2" xfId="16071" xr:uid="{00000000-0005-0000-0000-00009F6E0000}"/>
    <cellStyle name="Normal 3 4 4 8 2 2 2" xfId="33549" xr:uid="{00000000-0005-0000-0000-0000A06E0000}"/>
    <cellStyle name="Normal 3 4 4 8 2 3" xfId="16072" xr:uid="{00000000-0005-0000-0000-0000A16E0000}"/>
    <cellStyle name="Normal 3 4 4 8 2 3 2" xfId="33550" xr:uid="{00000000-0005-0000-0000-0000A26E0000}"/>
    <cellStyle name="Normal 3 4 4 8 2 4" xfId="16073" xr:uid="{00000000-0005-0000-0000-0000A36E0000}"/>
    <cellStyle name="Normal 3 4 4 8 2 4 2" xfId="33551" xr:uid="{00000000-0005-0000-0000-0000A46E0000}"/>
    <cellStyle name="Normal 3 4 4 8 2 5" xfId="16074" xr:uid="{00000000-0005-0000-0000-0000A56E0000}"/>
    <cellStyle name="Normal 3 4 4 8 2 5 2" xfId="33552" xr:uid="{00000000-0005-0000-0000-0000A66E0000}"/>
    <cellStyle name="Normal 3 4 4 8 2 6" xfId="16075" xr:uid="{00000000-0005-0000-0000-0000A76E0000}"/>
    <cellStyle name="Normal 3 4 4 8 2 6 2" xfId="33553" xr:uid="{00000000-0005-0000-0000-0000A86E0000}"/>
    <cellStyle name="Normal 3 4 4 8 2 7" xfId="16076" xr:uid="{00000000-0005-0000-0000-0000A96E0000}"/>
    <cellStyle name="Normal 3 4 4 8 2 7 2" xfId="33554" xr:uid="{00000000-0005-0000-0000-0000AA6E0000}"/>
    <cellStyle name="Normal 3 4 4 8 2 8" xfId="16077" xr:uid="{00000000-0005-0000-0000-0000AB6E0000}"/>
    <cellStyle name="Normal 3 4 4 8 2 8 2" xfId="33555" xr:uid="{00000000-0005-0000-0000-0000AC6E0000}"/>
    <cellStyle name="Normal 3 4 4 8 2 9" xfId="16078" xr:uid="{00000000-0005-0000-0000-0000AD6E0000}"/>
    <cellStyle name="Normal 3 4 4 8 2 9 2" xfId="33556" xr:uid="{00000000-0005-0000-0000-0000AE6E0000}"/>
    <cellStyle name="Normal 3 4 4 8 3" xfId="16079" xr:uid="{00000000-0005-0000-0000-0000AF6E0000}"/>
    <cellStyle name="Normal 3 4 4 8 3 2" xfId="33557" xr:uid="{00000000-0005-0000-0000-0000B06E0000}"/>
    <cellStyle name="Normal 3 4 4 8 4" xfId="16080" xr:uid="{00000000-0005-0000-0000-0000B16E0000}"/>
    <cellStyle name="Normal 3 4 4 8 4 2" xfId="33558" xr:uid="{00000000-0005-0000-0000-0000B26E0000}"/>
    <cellStyle name="Normal 3 4 4 8 5" xfId="16081" xr:uid="{00000000-0005-0000-0000-0000B36E0000}"/>
    <cellStyle name="Normal 3 4 4 8 5 2" xfId="33559" xr:uid="{00000000-0005-0000-0000-0000B46E0000}"/>
    <cellStyle name="Normal 3 4 4 8 6" xfId="16082" xr:uid="{00000000-0005-0000-0000-0000B56E0000}"/>
    <cellStyle name="Normal 3 4 4 8 6 2" xfId="33560" xr:uid="{00000000-0005-0000-0000-0000B66E0000}"/>
    <cellStyle name="Normal 3 4 4 8 7" xfId="16083" xr:uid="{00000000-0005-0000-0000-0000B76E0000}"/>
    <cellStyle name="Normal 3 4 4 8 7 2" xfId="33561" xr:uid="{00000000-0005-0000-0000-0000B86E0000}"/>
    <cellStyle name="Normal 3 4 4 8 8" xfId="16084" xr:uid="{00000000-0005-0000-0000-0000B96E0000}"/>
    <cellStyle name="Normal 3 4 4 8 8 2" xfId="33562" xr:uid="{00000000-0005-0000-0000-0000BA6E0000}"/>
    <cellStyle name="Normal 3 4 4 8 9" xfId="16085" xr:uid="{00000000-0005-0000-0000-0000BB6E0000}"/>
    <cellStyle name="Normal 3 4 4 8 9 2" xfId="33563" xr:uid="{00000000-0005-0000-0000-0000BC6E0000}"/>
    <cellStyle name="Normal 3 4 4 9" xfId="16086" xr:uid="{00000000-0005-0000-0000-0000BD6E0000}"/>
    <cellStyle name="Normal 3 4 4 9 10" xfId="16087" xr:uid="{00000000-0005-0000-0000-0000BE6E0000}"/>
    <cellStyle name="Normal 3 4 4 9 10 2" xfId="33565" xr:uid="{00000000-0005-0000-0000-0000BF6E0000}"/>
    <cellStyle name="Normal 3 4 4 9 11" xfId="16088" xr:uid="{00000000-0005-0000-0000-0000C06E0000}"/>
    <cellStyle name="Normal 3 4 4 9 11 2" xfId="33566" xr:uid="{00000000-0005-0000-0000-0000C16E0000}"/>
    <cellStyle name="Normal 3 4 4 9 12" xfId="16089" xr:uid="{00000000-0005-0000-0000-0000C26E0000}"/>
    <cellStyle name="Normal 3 4 4 9 12 2" xfId="33567" xr:uid="{00000000-0005-0000-0000-0000C36E0000}"/>
    <cellStyle name="Normal 3 4 4 9 13" xfId="16090" xr:uid="{00000000-0005-0000-0000-0000C46E0000}"/>
    <cellStyle name="Normal 3 4 4 9 13 2" xfId="33568" xr:uid="{00000000-0005-0000-0000-0000C56E0000}"/>
    <cellStyle name="Normal 3 4 4 9 14" xfId="16091" xr:uid="{00000000-0005-0000-0000-0000C66E0000}"/>
    <cellStyle name="Normal 3 4 4 9 14 2" xfId="33569" xr:uid="{00000000-0005-0000-0000-0000C76E0000}"/>
    <cellStyle name="Normal 3 4 4 9 15" xfId="33564" xr:uid="{00000000-0005-0000-0000-0000C86E0000}"/>
    <cellStyle name="Normal 3 4 4 9 2" xfId="16092" xr:uid="{00000000-0005-0000-0000-0000C96E0000}"/>
    <cellStyle name="Normal 3 4 4 9 2 2" xfId="33570" xr:uid="{00000000-0005-0000-0000-0000CA6E0000}"/>
    <cellStyle name="Normal 3 4 4 9 3" xfId="16093" xr:uid="{00000000-0005-0000-0000-0000CB6E0000}"/>
    <cellStyle name="Normal 3 4 4 9 3 2" xfId="33571" xr:uid="{00000000-0005-0000-0000-0000CC6E0000}"/>
    <cellStyle name="Normal 3 4 4 9 4" xfId="16094" xr:uid="{00000000-0005-0000-0000-0000CD6E0000}"/>
    <cellStyle name="Normal 3 4 4 9 4 2" xfId="33572" xr:uid="{00000000-0005-0000-0000-0000CE6E0000}"/>
    <cellStyle name="Normal 3 4 4 9 5" xfId="16095" xr:uid="{00000000-0005-0000-0000-0000CF6E0000}"/>
    <cellStyle name="Normal 3 4 4 9 5 2" xfId="33573" xr:uid="{00000000-0005-0000-0000-0000D06E0000}"/>
    <cellStyle name="Normal 3 4 4 9 6" xfId="16096" xr:uid="{00000000-0005-0000-0000-0000D16E0000}"/>
    <cellStyle name="Normal 3 4 4 9 6 2" xfId="33574" xr:uid="{00000000-0005-0000-0000-0000D26E0000}"/>
    <cellStyle name="Normal 3 4 4 9 7" xfId="16097" xr:uid="{00000000-0005-0000-0000-0000D36E0000}"/>
    <cellStyle name="Normal 3 4 4 9 7 2" xfId="33575" xr:uid="{00000000-0005-0000-0000-0000D46E0000}"/>
    <cellStyle name="Normal 3 4 4 9 8" xfId="16098" xr:uid="{00000000-0005-0000-0000-0000D56E0000}"/>
    <cellStyle name="Normal 3 4 4 9 8 2" xfId="33576" xr:uid="{00000000-0005-0000-0000-0000D66E0000}"/>
    <cellStyle name="Normal 3 4 4 9 9" xfId="16099" xr:uid="{00000000-0005-0000-0000-0000D76E0000}"/>
    <cellStyle name="Normal 3 4 4 9 9 2" xfId="33577" xr:uid="{00000000-0005-0000-0000-0000D86E0000}"/>
    <cellStyle name="Normal 3 4 5" xfId="16100" xr:uid="{00000000-0005-0000-0000-0000D96E0000}"/>
    <cellStyle name="Normal 3 4 5 10" xfId="16101" xr:uid="{00000000-0005-0000-0000-0000DA6E0000}"/>
    <cellStyle name="Normal 3 4 5 10 10" xfId="16102" xr:uid="{00000000-0005-0000-0000-0000DB6E0000}"/>
    <cellStyle name="Normal 3 4 5 10 10 2" xfId="33580" xr:uid="{00000000-0005-0000-0000-0000DC6E0000}"/>
    <cellStyle name="Normal 3 4 5 10 11" xfId="16103" xr:uid="{00000000-0005-0000-0000-0000DD6E0000}"/>
    <cellStyle name="Normal 3 4 5 10 11 2" xfId="33581" xr:uid="{00000000-0005-0000-0000-0000DE6E0000}"/>
    <cellStyle name="Normal 3 4 5 10 12" xfId="16104" xr:uid="{00000000-0005-0000-0000-0000DF6E0000}"/>
    <cellStyle name="Normal 3 4 5 10 12 2" xfId="33582" xr:uid="{00000000-0005-0000-0000-0000E06E0000}"/>
    <cellStyle name="Normal 3 4 5 10 13" xfId="16105" xr:uid="{00000000-0005-0000-0000-0000E16E0000}"/>
    <cellStyle name="Normal 3 4 5 10 13 2" xfId="33583" xr:uid="{00000000-0005-0000-0000-0000E26E0000}"/>
    <cellStyle name="Normal 3 4 5 10 14" xfId="16106" xr:uid="{00000000-0005-0000-0000-0000E36E0000}"/>
    <cellStyle name="Normal 3 4 5 10 14 2" xfId="33584" xr:uid="{00000000-0005-0000-0000-0000E46E0000}"/>
    <cellStyle name="Normal 3 4 5 10 15" xfId="33579" xr:uid="{00000000-0005-0000-0000-0000E56E0000}"/>
    <cellStyle name="Normal 3 4 5 10 2" xfId="16107" xr:uid="{00000000-0005-0000-0000-0000E66E0000}"/>
    <cellStyle name="Normal 3 4 5 10 2 2" xfId="33585" xr:uid="{00000000-0005-0000-0000-0000E76E0000}"/>
    <cellStyle name="Normal 3 4 5 10 3" xfId="16108" xr:uid="{00000000-0005-0000-0000-0000E86E0000}"/>
    <cellStyle name="Normal 3 4 5 10 3 2" xfId="33586" xr:uid="{00000000-0005-0000-0000-0000E96E0000}"/>
    <cellStyle name="Normal 3 4 5 10 4" xfId="16109" xr:uid="{00000000-0005-0000-0000-0000EA6E0000}"/>
    <cellStyle name="Normal 3 4 5 10 4 2" xfId="33587" xr:uid="{00000000-0005-0000-0000-0000EB6E0000}"/>
    <cellStyle name="Normal 3 4 5 10 5" xfId="16110" xr:uid="{00000000-0005-0000-0000-0000EC6E0000}"/>
    <cellStyle name="Normal 3 4 5 10 5 2" xfId="33588" xr:uid="{00000000-0005-0000-0000-0000ED6E0000}"/>
    <cellStyle name="Normal 3 4 5 10 6" xfId="16111" xr:uid="{00000000-0005-0000-0000-0000EE6E0000}"/>
    <cellStyle name="Normal 3 4 5 10 6 2" xfId="33589" xr:uid="{00000000-0005-0000-0000-0000EF6E0000}"/>
    <cellStyle name="Normal 3 4 5 10 7" xfId="16112" xr:uid="{00000000-0005-0000-0000-0000F06E0000}"/>
    <cellStyle name="Normal 3 4 5 10 7 2" xfId="33590" xr:uid="{00000000-0005-0000-0000-0000F16E0000}"/>
    <cellStyle name="Normal 3 4 5 10 8" xfId="16113" xr:uid="{00000000-0005-0000-0000-0000F26E0000}"/>
    <cellStyle name="Normal 3 4 5 10 8 2" xfId="33591" xr:uid="{00000000-0005-0000-0000-0000F36E0000}"/>
    <cellStyle name="Normal 3 4 5 10 9" xfId="16114" xr:uid="{00000000-0005-0000-0000-0000F46E0000}"/>
    <cellStyle name="Normal 3 4 5 10 9 2" xfId="33592" xr:uid="{00000000-0005-0000-0000-0000F56E0000}"/>
    <cellStyle name="Normal 3 4 5 11" xfId="16115" xr:uid="{00000000-0005-0000-0000-0000F66E0000}"/>
    <cellStyle name="Normal 3 4 5 11 10" xfId="16116" xr:uid="{00000000-0005-0000-0000-0000F76E0000}"/>
    <cellStyle name="Normal 3 4 5 11 10 2" xfId="33594" xr:uid="{00000000-0005-0000-0000-0000F86E0000}"/>
    <cellStyle name="Normal 3 4 5 11 11" xfId="16117" xr:uid="{00000000-0005-0000-0000-0000F96E0000}"/>
    <cellStyle name="Normal 3 4 5 11 11 2" xfId="33595" xr:uid="{00000000-0005-0000-0000-0000FA6E0000}"/>
    <cellStyle name="Normal 3 4 5 11 12" xfId="16118" xr:uid="{00000000-0005-0000-0000-0000FB6E0000}"/>
    <cellStyle name="Normal 3 4 5 11 12 2" xfId="33596" xr:uid="{00000000-0005-0000-0000-0000FC6E0000}"/>
    <cellStyle name="Normal 3 4 5 11 13" xfId="16119" xr:uid="{00000000-0005-0000-0000-0000FD6E0000}"/>
    <cellStyle name="Normal 3 4 5 11 13 2" xfId="33597" xr:uid="{00000000-0005-0000-0000-0000FE6E0000}"/>
    <cellStyle name="Normal 3 4 5 11 14" xfId="16120" xr:uid="{00000000-0005-0000-0000-0000FF6E0000}"/>
    <cellStyle name="Normal 3 4 5 11 14 2" xfId="33598" xr:uid="{00000000-0005-0000-0000-0000006F0000}"/>
    <cellStyle name="Normal 3 4 5 11 15" xfId="33593" xr:uid="{00000000-0005-0000-0000-0000016F0000}"/>
    <cellStyle name="Normal 3 4 5 11 2" xfId="16121" xr:uid="{00000000-0005-0000-0000-0000026F0000}"/>
    <cellStyle name="Normal 3 4 5 11 2 2" xfId="33599" xr:uid="{00000000-0005-0000-0000-0000036F0000}"/>
    <cellStyle name="Normal 3 4 5 11 3" xfId="16122" xr:uid="{00000000-0005-0000-0000-0000046F0000}"/>
    <cellStyle name="Normal 3 4 5 11 3 2" xfId="33600" xr:uid="{00000000-0005-0000-0000-0000056F0000}"/>
    <cellStyle name="Normal 3 4 5 11 4" xfId="16123" xr:uid="{00000000-0005-0000-0000-0000066F0000}"/>
    <cellStyle name="Normal 3 4 5 11 4 2" xfId="33601" xr:uid="{00000000-0005-0000-0000-0000076F0000}"/>
    <cellStyle name="Normal 3 4 5 11 5" xfId="16124" xr:uid="{00000000-0005-0000-0000-0000086F0000}"/>
    <cellStyle name="Normal 3 4 5 11 5 2" xfId="33602" xr:uid="{00000000-0005-0000-0000-0000096F0000}"/>
    <cellStyle name="Normal 3 4 5 11 6" xfId="16125" xr:uid="{00000000-0005-0000-0000-00000A6F0000}"/>
    <cellStyle name="Normal 3 4 5 11 6 2" xfId="33603" xr:uid="{00000000-0005-0000-0000-00000B6F0000}"/>
    <cellStyle name="Normal 3 4 5 11 7" xfId="16126" xr:uid="{00000000-0005-0000-0000-00000C6F0000}"/>
    <cellStyle name="Normal 3 4 5 11 7 2" xfId="33604" xr:uid="{00000000-0005-0000-0000-00000D6F0000}"/>
    <cellStyle name="Normal 3 4 5 11 8" xfId="16127" xr:uid="{00000000-0005-0000-0000-00000E6F0000}"/>
    <cellStyle name="Normal 3 4 5 11 8 2" xfId="33605" xr:uid="{00000000-0005-0000-0000-00000F6F0000}"/>
    <cellStyle name="Normal 3 4 5 11 9" xfId="16128" xr:uid="{00000000-0005-0000-0000-0000106F0000}"/>
    <cellStyle name="Normal 3 4 5 11 9 2" xfId="33606" xr:uid="{00000000-0005-0000-0000-0000116F0000}"/>
    <cellStyle name="Normal 3 4 5 12" xfId="16129" xr:uid="{00000000-0005-0000-0000-0000126F0000}"/>
    <cellStyle name="Normal 3 4 5 12 10" xfId="16130" xr:uid="{00000000-0005-0000-0000-0000136F0000}"/>
    <cellStyle name="Normal 3 4 5 12 10 2" xfId="33608" xr:uid="{00000000-0005-0000-0000-0000146F0000}"/>
    <cellStyle name="Normal 3 4 5 12 11" xfId="16131" xr:uid="{00000000-0005-0000-0000-0000156F0000}"/>
    <cellStyle name="Normal 3 4 5 12 11 2" xfId="33609" xr:uid="{00000000-0005-0000-0000-0000166F0000}"/>
    <cellStyle name="Normal 3 4 5 12 12" xfId="16132" xr:uid="{00000000-0005-0000-0000-0000176F0000}"/>
    <cellStyle name="Normal 3 4 5 12 12 2" xfId="33610" xr:uid="{00000000-0005-0000-0000-0000186F0000}"/>
    <cellStyle name="Normal 3 4 5 12 13" xfId="16133" xr:uid="{00000000-0005-0000-0000-0000196F0000}"/>
    <cellStyle name="Normal 3 4 5 12 13 2" xfId="33611" xr:uid="{00000000-0005-0000-0000-00001A6F0000}"/>
    <cellStyle name="Normal 3 4 5 12 14" xfId="16134" xr:uid="{00000000-0005-0000-0000-00001B6F0000}"/>
    <cellStyle name="Normal 3 4 5 12 14 2" xfId="33612" xr:uid="{00000000-0005-0000-0000-00001C6F0000}"/>
    <cellStyle name="Normal 3 4 5 12 15" xfId="33607" xr:uid="{00000000-0005-0000-0000-00001D6F0000}"/>
    <cellStyle name="Normal 3 4 5 12 2" xfId="16135" xr:uid="{00000000-0005-0000-0000-00001E6F0000}"/>
    <cellStyle name="Normal 3 4 5 12 2 2" xfId="33613" xr:uid="{00000000-0005-0000-0000-00001F6F0000}"/>
    <cellStyle name="Normal 3 4 5 12 3" xfId="16136" xr:uid="{00000000-0005-0000-0000-0000206F0000}"/>
    <cellStyle name="Normal 3 4 5 12 3 2" xfId="33614" xr:uid="{00000000-0005-0000-0000-0000216F0000}"/>
    <cellStyle name="Normal 3 4 5 12 4" xfId="16137" xr:uid="{00000000-0005-0000-0000-0000226F0000}"/>
    <cellStyle name="Normal 3 4 5 12 4 2" xfId="33615" xr:uid="{00000000-0005-0000-0000-0000236F0000}"/>
    <cellStyle name="Normal 3 4 5 12 5" xfId="16138" xr:uid="{00000000-0005-0000-0000-0000246F0000}"/>
    <cellStyle name="Normal 3 4 5 12 5 2" xfId="33616" xr:uid="{00000000-0005-0000-0000-0000256F0000}"/>
    <cellStyle name="Normal 3 4 5 12 6" xfId="16139" xr:uid="{00000000-0005-0000-0000-0000266F0000}"/>
    <cellStyle name="Normal 3 4 5 12 6 2" xfId="33617" xr:uid="{00000000-0005-0000-0000-0000276F0000}"/>
    <cellStyle name="Normal 3 4 5 12 7" xfId="16140" xr:uid="{00000000-0005-0000-0000-0000286F0000}"/>
    <cellStyle name="Normal 3 4 5 12 7 2" xfId="33618" xr:uid="{00000000-0005-0000-0000-0000296F0000}"/>
    <cellStyle name="Normal 3 4 5 12 8" xfId="16141" xr:uid="{00000000-0005-0000-0000-00002A6F0000}"/>
    <cellStyle name="Normal 3 4 5 12 8 2" xfId="33619" xr:uid="{00000000-0005-0000-0000-00002B6F0000}"/>
    <cellStyle name="Normal 3 4 5 12 9" xfId="16142" xr:uid="{00000000-0005-0000-0000-00002C6F0000}"/>
    <cellStyle name="Normal 3 4 5 12 9 2" xfId="33620" xr:uid="{00000000-0005-0000-0000-00002D6F0000}"/>
    <cellStyle name="Normal 3 4 5 13" xfId="16143" xr:uid="{00000000-0005-0000-0000-00002E6F0000}"/>
    <cellStyle name="Normal 3 4 5 13 10" xfId="16144" xr:uid="{00000000-0005-0000-0000-00002F6F0000}"/>
    <cellStyle name="Normal 3 4 5 13 10 2" xfId="33622" xr:uid="{00000000-0005-0000-0000-0000306F0000}"/>
    <cellStyle name="Normal 3 4 5 13 11" xfId="16145" xr:uid="{00000000-0005-0000-0000-0000316F0000}"/>
    <cellStyle name="Normal 3 4 5 13 11 2" xfId="33623" xr:uid="{00000000-0005-0000-0000-0000326F0000}"/>
    <cellStyle name="Normal 3 4 5 13 12" xfId="16146" xr:uid="{00000000-0005-0000-0000-0000336F0000}"/>
    <cellStyle name="Normal 3 4 5 13 12 2" xfId="33624" xr:uid="{00000000-0005-0000-0000-0000346F0000}"/>
    <cellStyle name="Normal 3 4 5 13 13" xfId="16147" xr:uid="{00000000-0005-0000-0000-0000356F0000}"/>
    <cellStyle name="Normal 3 4 5 13 13 2" xfId="33625" xr:uid="{00000000-0005-0000-0000-0000366F0000}"/>
    <cellStyle name="Normal 3 4 5 13 14" xfId="16148" xr:uid="{00000000-0005-0000-0000-0000376F0000}"/>
    <cellStyle name="Normal 3 4 5 13 14 2" xfId="33626" xr:uid="{00000000-0005-0000-0000-0000386F0000}"/>
    <cellStyle name="Normal 3 4 5 13 15" xfId="33621" xr:uid="{00000000-0005-0000-0000-0000396F0000}"/>
    <cellStyle name="Normal 3 4 5 13 2" xfId="16149" xr:uid="{00000000-0005-0000-0000-00003A6F0000}"/>
    <cellStyle name="Normal 3 4 5 13 2 2" xfId="33627" xr:uid="{00000000-0005-0000-0000-00003B6F0000}"/>
    <cellStyle name="Normal 3 4 5 13 3" xfId="16150" xr:uid="{00000000-0005-0000-0000-00003C6F0000}"/>
    <cellStyle name="Normal 3 4 5 13 3 2" xfId="33628" xr:uid="{00000000-0005-0000-0000-00003D6F0000}"/>
    <cellStyle name="Normal 3 4 5 13 4" xfId="16151" xr:uid="{00000000-0005-0000-0000-00003E6F0000}"/>
    <cellStyle name="Normal 3 4 5 13 4 2" xfId="33629" xr:uid="{00000000-0005-0000-0000-00003F6F0000}"/>
    <cellStyle name="Normal 3 4 5 13 5" xfId="16152" xr:uid="{00000000-0005-0000-0000-0000406F0000}"/>
    <cellStyle name="Normal 3 4 5 13 5 2" xfId="33630" xr:uid="{00000000-0005-0000-0000-0000416F0000}"/>
    <cellStyle name="Normal 3 4 5 13 6" xfId="16153" xr:uid="{00000000-0005-0000-0000-0000426F0000}"/>
    <cellStyle name="Normal 3 4 5 13 6 2" xfId="33631" xr:uid="{00000000-0005-0000-0000-0000436F0000}"/>
    <cellStyle name="Normal 3 4 5 13 7" xfId="16154" xr:uid="{00000000-0005-0000-0000-0000446F0000}"/>
    <cellStyle name="Normal 3 4 5 13 7 2" xfId="33632" xr:uid="{00000000-0005-0000-0000-0000456F0000}"/>
    <cellStyle name="Normal 3 4 5 13 8" xfId="16155" xr:uid="{00000000-0005-0000-0000-0000466F0000}"/>
    <cellStyle name="Normal 3 4 5 13 8 2" xfId="33633" xr:uid="{00000000-0005-0000-0000-0000476F0000}"/>
    <cellStyle name="Normal 3 4 5 13 9" xfId="16156" xr:uid="{00000000-0005-0000-0000-0000486F0000}"/>
    <cellStyle name="Normal 3 4 5 13 9 2" xfId="33634" xr:uid="{00000000-0005-0000-0000-0000496F0000}"/>
    <cellStyle name="Normal 3 4 5 14" xfId="16157" xr:uid="{00000000-0005-0000-0000-00004A6F0000}"/>
    <cellStyle name="Normal 3 4 5 14 10" xfId="16158" xr:uid="{00000000-0005-0000-0000-00004B6F0000}"/>
    <cellStyle name="Normal 3 4 5 14 10 2" xfId="33636" xr:uid="{00000000-0005-0000-0000-00004C6F0000}"/>
    <cellStyle name="Normal 3 4 5 14 11" xfId="16159" xr:uid="{00000000-0005-0000-0000-00004D6F0000}"/>
    <cellStyle name="Normal 3 4 5 14 11 2" xfId="33637" xr:uid="{00000000-0005-0000-0000-00004E6F0000}"/>
    <cellStyle name="Normal 3 4 5 14 12" xfId="16160" xr:uid="{00000000-0005-0000-0000-00004F6F0000}"/>
    <cellStyle name="Normal 3 4 5 14 12 2" xfId="33638" xr:uid="{00000000-0005-0000-0000-0000506F0000}"/>
    <cellStyle name="Normal 3 4 5 14 13" xfId="16161" xr:uid="{00000000-0005-0000-0000-0000516F0000}"/>
    <cellStyle name="Normal 3 4 5 14 13 2" xfId="33639" xr:uid="{00000000-0005-0000-0000-0000526F0000}"/>
    <cellStyle name="Normal 3 4 5 14 14" xfId="16162" xr:uid="{00000000-0005-0000-0000-0000536F0000}"/>
    <cellStyle name="Normal 3 4 5 14 14 2" xfId="33640" xr:uid="{00000000-0005-0000-0000-0000546F0000}"/>
    <cellStyle name="Normal 3 4 5 14 15" xfId="33635" xr:uid="{00000000-0005-0000-0000-0000556F0000}"/>
    <cellStyle name="Normal 3 4 5 14 2" xfId="16163" xr:uid="{00000000-0005-0000-0000-0000566F0000}"/>
    <cellStyle name="Normal 3 4 5 14 2 2" xfId="33641" xr:uid="{00000000-0005-0000-0000-0000576F0000}"/>
    <cellStyle name="Normal 3 4 5 14 3" xfId="16164" xr:uid="{00000000-0005-0000-0000-0000586F0000}"/>
    <cellStyle name="Normal 3 4 5 14 3 2" xfId="33642" xr:uid="{00000000-0005-0000-0000-0000596F0000}"/>
    <cellStyle name="Normal 3 4 5 14 4" xfId="16165" xr:uid="{00000000-0005-0000-0000-00005A6F0000}"/>
    <cellStyle name="Normal 3 4 5 14 4 2" xfId="33643" xr:uid="{00000000-0005-0000-0000-00005B6F0000}"/>
    <cellStyle name="Normal 3 4 5 14 5" xfId="16166" xr:uid="{00000000-0005-0000-0000-00005C6F0000}"/>
    <cellStyle name="Normal 3 4 5 14 5 2" xfId="33644" xr:uid="{00000000-0005-0000-0000-00005D6F0000}"/>
    <cellStyle name="Normal 3 4 5 14 6" xfId="16167" xr:uid="{00000000-0005-0000-0000-00005E6F0000}"/>
    <cellStyle name="Normal 3 4 5 14 6 2" xfId="33645" xr:uid="{00000000-0005-0000-0000-00005F6F0000}"/>
    <cellStyle name="Normal 3 4 5 14 7" xfId="16168" xr:uid="{00000000-0005-0000-0000-0000606F0000}"/>
    <cellStyle name="Normal 3 4 5 14 7 2" xfId="33646" xr:uid="{00000000-0005-0000-0000-0000616F0000}"/>
    <cellStyle name="Normal 3 4 5 14 8" xfId="16169" xr:uid="{00000000-0005-0000-0000-0000626F0000}"/>
    <cellStyle name="Normal 3 4 5 14 8 2" xfId="33647" xr:uid="{00000000-0005-0000-0000-0000636F0000}"/>
    <cellStyle name="Normal 3 4 5 14 9" xfId="16170" xr:uid="{00000000-0005-0000-0000-0000646F0000}"/>
    <cellStyle name="Normal 3 4 5 14 9 2" xfId="33648" xr:uid="{00000000-0005-0000-0000-0000656F0000}"/>
    <cellStyle name="Normal 3 4 5 15" xfId="16171" xr:uid="{00000000-0005-0000-0000-0000666F0000}"/>
    <cellStyle name="Normal 3 4 5 15 2" xfId="33649" xr:uid="{00000000-0005-0000-0000-0000676F0000}"/>
    <cellStyle name="Normal 3 4 5 16" xfId="16172" xr:uid="{00000000-0005-0000-0000-0000686F0000}"/>
    <cellStyle name="Normal 3 4 5 16 2" xfId="33650" xr:uid="{00000000-0005-0000-0000-0000696F0000}"/>
    <cellStyle name="Normal 3 4 5 17" xfId="16173" xr:uid="{00000000-0005-0000-0000-00006A6F0000}"/>
    <cellStyle name="Normal 3 4 5 17 2" xfId="33651" xr:uid="{00000000-0005-0000-0000-00006B6F0000}"/>
    <cellStyle name="Normal 3 4 5 18" xfId="16174" xr:uid="{00000000-0005-0000-0000-00006C6F0000}"/>
    <cellStyle name="Normal 3 4 5 18 2" xfId="33652" xr:uid="{00000000-0005-0000-0000-00006D6F0000}"/>
    <cellStyle name="Normal 3 4 5 19" xfId="16175" xr:uid="{00000000-0005-0000-0000-00006E6F0000}"/>
    <cellStyle name="Normal 3 4 5 19 2" xfId="33653" xr:uid="{00000000-0005-0000-0000-00006F6F0000}"/>
    <cellStyle name="Normal 3 4 5 2" xfId="16176" xr:uid="{00000000-0005-0000-0000-0000706F0000}"/>
    <cellStyle name="Normal 3 4 5 20" xfId="16177" xr:uid="{00000000-0005-0000-0000-0000716F0000}"/>
    <cellStyle name="Normal 3 4 5 20 2" xfId="33654" xr:uid="{00000000-0005-0000-0000-0000726F0000}"/>
    <cellStyle name="Normal 3 4 5 21" xfId="16178" xr:uid="{00000000-0005-0000-0000-0000736F0000}"/>
    <cellStyle name="Normal 3 4 5 21 2" xfId="33655" xr:uid="{00000000-0005-0000-0000-0000746F0000}"/>
    <cellStyle name="Normal 3 4 5 22" xfId="16179" xr:uid="{00000000-0005-0000-0000-0000756F0000}"/>
    <cellStyle name="Normal 3 4 5 22 2" xfId="33656" xr:uid="{00000000-0005-0000-0000-0000766F0000}"/>
    <cellStyle name="Normal 3 4 5 23" xfId="16180" xr:uid="{00000000-0005-0000-0000-0000776F0000}"/>
    <cellStyle name="Normal 3 4 5 23 2" xfId="33657" xr:uid="{00000000-0005-0000-0000-0000786F0000}"/>
    <cellStyle name="Normal 3 4 5 24" xfId="16181" xr:uid="{00000000-0005-0000-0000-0000796F0000}"/>
    <cellStyle name="Normal 3 4 5 24 2" xfId="33658" xr:uid="{00000000-0005-0000-0000-00007A6F0000}"/>
    <cellStyle name="Normal 3 4 5 25" xfId="16182" xr:uid="{00000000-0005-0000-0000-00007B6F0000}"/>
    <cellStyle name="Normal 3 4 5 25 2" xfId="33659" xr:uid="{00000000-0005-0000-0000-00007C6F0000}"/>
    <cellStyle name="Normal 3 4 5 26" xfId="16183" xr:uid="{00000000-0005-0000-0000-00007D6F0000}"/>
    <cellStyle name="Normal 3 4 5 26 2" xfId="33660" xr:uid="{00000000-0005-0000-0000-00007E6F0000}"/>
    <cellStyle name="Normal 3 4 5 27" xfId="16184" xr:uid="{00000000-0005-0000-0000-00007F6F0000}"/>
    <cellStyle name="Normal 3 4 5 27 2" xfId="33661" xr:uid="{00000000-0005-0000-0000-0000806F0000}"/>
    <cellStyle name="Normal 3 4 5 28" xfId="33578" xr:uid="{00000000-0005-0000-0000-0000816F0000}"/>
    <cellStyle name="Normal 3 4 5 3" xfId="16185" xr:uid="{00000000-0005-0000-0000-0000826F0000}"/>
    <cellStyle name="Normal 3 4 5 4" xfId="16186" xr:uid="{00000000-0005-0000-0000-0000836F0000}"/>
    <cellStyle name="Normal 3 4 5 5" xfId="16187" xr:uid="{00000000-0005-0000-0000-0000846F0000}"/>
    <cellStyle name="Normal 3 4 5 6" xfId="16188" xr:uid="{00000000-0005-0000-0000-0000856F0000}"/>
    <cellStyle name="Normal 3 4 5 6 10" xfId="16189" xr:uid="{00000000-0005-0000-0000-0000866F0000}"/>
    <cellStyle name="Normal 3 4 5 6 10 2" xfId="33663" xr:uid="{00000000-0005-0000-0000-0000876F0000}"/>
    <cellStyle name="Normal 3 4 5 6 11" xfId="16190" xr:uid="{00000000-0005-0000-0000-0000886F0000}"/>
    <cellStyle name="Normal 3 4 5 6 11 2" xfId="33664" xr:uid="{00000000-0005-0000-0000-0000896F0000}"/>
    <cellStyle name="Normal 3 4 5 6 12" xfId="16191" xr:uid="{00000000-0005-0000-0000-00008A6F0000}"/>
    <cellStyle name="Normal 3 4 5 6 12 2" xfId="33665" xr:uid="{00000000-0005-0000-0000-00008B6F0000}"/>
    <cellStyle name="Normal 3 4 5 6 13" xfId="16192" xr:uid="{00000000-0005-0000-0000-00008C6F0000}"/>
    <cellStyle name="Normal 3 4 5 6 13 2" xfId="33666" xr:uid="{00000000-0005-0000-0000-00008D6F0000}"/>
    <cellStyle name="Normal 3 4 5 6 14" xfId="16193" xr:uid="{00000000-0005-0000-0000-00008E6F0000}"/>
    <cellStyle name="Normal 3 4 5 6 14 2" xfId="33667" xr:uid="{00000000-0005-0000-0000-00008F6F0000}"/>
    <cellStyle name="Normal 3 4 5 6 15" xfId="16194" xr:uid="{00000000-0005-0000-0000-0000906F0000}"/>
    <cellStyle name="Normal 3 4 5 6 15 2" xfId="33668" xr:uid="{00000000-0005-0000-0000-0000916F0000}"/>
    <cellStyle name="Normal 3 4 5 6 16" xfId="33662" xr:uid="{00000000-0005-0000-0000-0000926F0000}"/>
    <cellStyle name="Normal 3 4 5 6 2" xfId="16195" xr:uid="{00000000-0005-0000-0000-0000936F0000}"/>
    <cellStyle name="Normal 3 4 5 6 2 10" xfId="16196" xr:uid="{00000000-0005-0000-0000-0000946F0000}"/>
    <cellStyle name="Normal 3 4 5 6 2 10 2" xfId="33670" xr:uid="{00000000-0005-0000-0000-0000956F0000}"/>
    <cellStyle name="Normal 3 4 5 6 2 11" xfId="16197" xr:uid="{00000000-0005-0000-0000-0000966F0000}"/>
    <cellStyle name="Normal 3 4 5 6 2 11 2" xfId="33671" xr:uid="{00000000-0005-0000-0000-0000976F0000}"/>
    <cellStyle name="Normal 3 4 5 6 2 12" xfId="16198" xr:uid="{00000000-0005-0000-0000-0000986F0000}"/>
    <cellStyle name="Normal 3 4 5 6 2 12 2" xfId="33672" xr:uid="{00000000-0005-0000-0000-0000996F0000}"/>
    <cellStyle name="Normal 3 4 5 6 2 13" xfId="16199" xr:uid="{00000000-0005-0000-0000-00009A6F0000}"/>
    <cellStyle name="Normal 3 4 5 6 2 13 2" xfId="33673" xr:uid="{00000000-0005-0000-0000-00009B6F0000}"/>
    <cellStyle name="Normal 3 4 5 6 2 14" xfId="16200" xr:uid="{00000000-0005-0000-0000-00009C6F0000}"/>
    <cellStyle name="Normal 3 4 5 6 2 14 2" xfId="33674" xr:uid="{00000000-0005-0000-0000-00009D6F0000}"/>
    <cellStyle name="Normal 3 4 5 6 2 15" xfId="33669" xr:uid="{00000000-0005-0000-0000-00009E6F0000}"/>
    <cellStyle name="Normal 3 4 5 6 2 2" xfId="16201" xr:uid="{00000000-0005-0000-0000-00009F6F0000}"/>
    <cellStyle name="Normal 3 4 5 6 2 2 2" xfId="33675" xr:uid="{00000000-0005-0000-0000-0000A06F0000}"/>
    <cellStyle name="Normal 3 4 5 6 2 3" xfId="16202" xr:uid="{00000000-0005-0000-0000-0000A16F0000}"/>
    <cellStyle name="Normal 3 4 5 6 2 3 2" xfId="33676" xr:uid="{00000000-0005-0000-0000-0000A26F0000}"/>
    <cellStyle name="Normal 3 4 5 6 2 4" xfId="16203" xr:uid="{00000000-0005-0000-0000-0000A36F0000}"/>
    <cellStyle name="Normal 3 4 5 6 2 4 2" xfId="33677" xr:uid="{00000000-0005-0000-0000-0000A46F0000}"/>
    <cellStyle name="Normal 3 4 5 6 2 5" xfId="16204" xr:uid="{00000000-0005-0000-0000-0000A56F0000}"/>
    <cellStyle name="Normal 3 4 5 6 2 5 2" xfId="33678" xr:uid="{00000000-0005-0000-0000-0000A66F0000}"/>
    <cellStyle name="Normal 3 4 5 6 2 6" xfId="16205" xr:uid="{00000000-0005-0000-0000-0000A76F0000}"/>
    <cellStyle name="Normal 3 4 5 6 2 6 2" xfId="33679" xr:uid="{00000000-0005-0000-0000-0000A86F0000}"/>
    <cellStyle name="Normal 3 4 5 6 2 7" xfId="16206" xr:uid="{00000000-0005-0000-0000-0000A96F0000}"/>
    <cellStyle name="Normal 3 4 5 6 2 7 2" xfId="33680" xr:uid="{00000000-0005-0000-0000-0000AA6F0000}"/>
    <cellStyle name="Normal 3 4 5 6 2 8" xfId="16207" xr:uid="{00000000-0005-0000-0000-0000AB6F0000}"/>
    <cellStyle name="Normal 3 4 5 6 2 8 2" xfId="33681" xr:uid="{00000000-0005-0000-0000-0000AC6F0000}"/>
    <cellStyle name="Normal 3 4 5 6 2 9" xfId="16208" xr:uid="{00000000-0005-0000-0000-0000AD6F0000}"/>
    <cellStyle name="Normal 3 4 5 6 2 9 2" xfId="33682" xr:uid="{00000000-0005-0000-0000-0000AE6F0000}"/>
    <cellStyle name="Normal 3 4 5 6 3" xfId="16209" xr:uid="{00000000-0005-0000-0000-0000AF6F0000}"/>
    <cellStyle name="Normal 3 4 5 6 3 2" xfId="33683" xr:uid="{00000000-0005-0000-0000-0000B06F0000}"/>
    <cellStyle name="Normal 3 4 5 6 4" xfId="16210" xr:uid="{00000000-0005-0000-0000-0000B16F0000}"/>
    <cellStyle name="Normal 3 4 5 6 4 2" xfId="33684" xr:uid="{00000000-0005-0000-0000-0000B26F0000}"/>
    <cellStyle name="Normal 3 4 5 6 5" xfId="16211" xr:uid="{00000000-0005-0000-0000-0000B36F0000}"/>
    <cellStyle name="Normal 3 4 5 6 5 2" xfId="33685" xr:uid="{00000000-0005-0000-0000-0000B46F0000}"/>
    <cellStyle name="Normal 3 4 5 6 6" xfId="16212" xr:uid="{00000000-0005-0000-0000-0000B56F0000}"/>
    <cellStyle name="Normal 3 4 5 6 6 2" xfId="33686" xr:uid="{00000000-0005-0000-0000-0000B66F0000}"/>
    <cellStyle name="Normal 3 4 5 6 7" xfId="16213" xr:uid="{00000000-0005-0000-0000-0000B76F0000}"/>
    <cellStyle name="Normal 3 4 5 6 7 2" xfId="33687" xr:uid="{00000000-0005-0000-0000-0000B86F0000}"/>
    <cellStyle name="Normal 3 4 5 6 8" xfId="16214" xr:uid="{00000000-0005-0000-0000-0000B96F0000}"/>
    <cellStyle name="Normal 3 4 5 6 8 2" xfId="33688" xr:uid="{00000000-0005-0000-0000-0000BA6F0000}"/>
    <cellStyle name="Normal 3 4 5 6 9" xfId="16215" xr:uid="{00000000-0005-0000-0000-0000BB6F0000}"/>
    <cellStyle name="Normal 3 4 5 6 9 2" xfId="33689" xr:uid="{00000000-0005-0000-0000-0000BC6F0000}"/>
    <cellStyle name="Normal 3 4 5 7" xfId="16216" xr:uid="{00000000-0005-0000-0000-0000BD6F0000}"/>
    <cellStyle name="Normal 3 4 5 7 10" xfId="16217" xr:uid="{00000000-0005-0000-0000-0000BE6F0000}"/>
    <cellStyle name="Normal 3 4 5 7 10 2" xfId="33691" xr:uid="{00000000-0005-0000-0000-0000BF6F0000}"/>
    <cellStyle name="Normal 3 4 5 7 11" xfId="16218" xr:uid="{00000000-0005-0000-0000-0000C06F0000}"/>
    <cellStyle name="Normal 3 4 5 7 11 2" xfId="33692" xr:uid="{00000000-0005-0000-0000-0000C16F0000}"/>
    <cellStyle name="Normal 3 4 5 7 12" xfId="16219" xr:uid="{00000000-0005-0000-0000-0000C26F0000}"/>
    <cellStyle name="Normal 3 4 5 7 12 2" xfId="33693" xr:uid="{00000000-0005-0000-0000-0000C36F0000}"/>
    <cellStyle name="Normal 3 4 5 7 13" xfId="16220" xr:uid="{00000000-0005-0000-0000-0000C46F0000}"/>
    <cellStyle name="Normal 3 4 5 7 13 2" xfId="33694" xr:uid="{00000000-0005-0000-0000-0000C56F0000}"/>
    <cellStyle name="Normal 3 4 5 7 14" xfId="16221" xr:uid="{00000000-0005-0000-0000-0000C66F0000}"/>
    <cellStyle name="Normal 3 4 5 7 14 2" xfId="33695" xr:uid="{00000000-0005-0000-0000-0000C76F0000}"/>
    <cellStyle name="Normal 3 4 5 7 15" xfId="16222" xr:uid="{00000000-0005-0000-0000-0000C86F0000}"/>
    <cellStyle name="Normal 3 4 5 7 15 2" xfId="33696" xr:uid="{00000000-0005-0000-0000-0000C96F0000}"/>
    <cellStyle name="Normal 3 4 5 7 16" xfId="33690" xr:uid="{00000000-0005-0000-0000-0000CA6F0000}"/>
    <cellStyle name="Normal 3 4 5 7 2" xfId="16223" xr:uid="{00000000-0005-0000-0000-0000CB6F0000}"/>
    <cellStyle name="Normal 3 4 5 7 2 10" xfId="16224" xr:uid="{00000000-0005-0000-0000-0000CC6F0000}"/>
    <cellStyle name="Normal 3 4 5 7 2 10 2" xfId="33698" xr:uid="{00000000-0005-0000-0000-0000CD6F0000}"/>
    <cellStyle name="Normal 3 4 5 7 2 11" xfId="16225" xr:uid="{00000000-0005-0000-0000-0000CE6F0000}"/>
    <cellStyle name="Normal 3 4 5 7 2 11 2" xfId="33699" xr:uid="{00000000-0005-0000-0000-0000CF6F0000}"/>
    <cellStyle name="Normal 3 4 5 7 2 12" xfId="16226" xr:uid="{00000000-0005-0000-0000-0000D06F0000}"/>
    <cellStyle name="Normal 3 4 5 7 2 12 2" xfId="33700" xr:uid="{00000000-0005-0000-0000-0000D16F0000}"/>
    <cellStyle name="Normal 3 4 5 7 2 13" xfId="16227" xr:uid="{00000000-0005-0000-0000-0000D26F0000}"/>
    <cellStyle name="Normal 3 4 5 7 2 13 2" xfId="33701" xr:uid="{00000000-0005-0000-0000-0000D36F0000}"/>
    <cellStyle name="Normal 3 4 5 7 2 14" xfId="16228" xr:uid="{00000000-0005-0000-0000-0000D46F0000}"/>
    <cellStyle name="Normal 3 4 5 7 2 14 2" xfId="33702" xr:uid="{00000000-0005-0000-0000-0000D56F0000}"/>
    <cellStyle name="Normal 3 4 5 7 2 15" xfId="33697" xr:uid="{00000000-0005-0000-0000-0000D66F0000}"/>
    <cellStyle name="Normal 3 4 5 7 2 2" xfId="16229" xr:uid="{00000000-0005-0000-0000-0000D76F0000}"/>
    <cellStyle name="Normal 3 4 5 7 2 2 2" xfId="33703" xr:uid="{00000000-0005-0000-0000-0000D86F0000}"/>
    <cellStyle name="Normal 3 4 5 7 2 3" xfId="16230" xr:uid="{00000000-0005-0000-0000-0000D96F0000}"/>
    <cellStyle name="Normal 3 4 5 7 2 3 2" xfId="33704" xr:uid="{00000000-0005-0000-0000-0000DA6F0000}"/>
    <cellStyle name="Normal 3 4 5 7 2 4" xfId="16231" xr:uid="{00000000-0005-0000-0000-0000DB6F0000}"/>
    <cellStyle name="Normal 3 4 5 7 2 4 2" xfId="33705" xr:uid="{00000000-0005-0000-0000-0000DC6F0000}"/>
    <cellStyle name="Normal 3 4 5 7 2 5" xfId="16232" xr:uid="{00000000-0005-0000-0000-0000DD6F0000}"/>
    <cellStyle name="Normal 3 4 5 7 2 5 2" xfId="33706" xr:uid="{00000000-0005-0000-0000-0000DE6F0000}"/>
    <cellStyle name="Normal 3 4 5 7 2 6" xfId="16233" xr:uid="{00000000-0005-0000-0000-0000DF6F0000}"/>
    <cellStyle name="Normal 3 4 5 7 2 6 2" xfId="33707" xr:uid="{00000000-0005-0000-0000-0000E06F0000}"/>
    <cellStyle name="Normal 3 4 5 7 2 7" xfId="16234" xr:uid="{00000000-0005-0000-0000-0000E16F0000}"/>
    <cellStyle name="Normal 3 4 5 7 2 7 2" xfId="33708" xr:uid="{00000000-0005-0000-0000-0000E26F0000}"/>
    <cellStyle name="Normal 3 4 5 7 2 8" xfId="16235" xr:uid="{00000000-0005-0000-0000-0000E36F0000}"/>
    <cellStyle name="Normal 3 4 5 7 2 8 2" xfId="33709" xr:uid="{00000000-0005-0000-0000-0000E46F0000}"/>
    <cellStyle name="Normal 3 4 5 7 2 9" xfId="16236" xr:uid="{00000000-0005-0000-0000-0000E56F0000}"/>
    <cellStyle name="Normal 3 4 5 7 2 9 2" xfId="33710" xr:uid="{00000000-0005-0000-0000-0000E66F0000}"/>
    <cellStyle name="Normal 3 4 5 7 3" xfId="16237" xr:uid="{00000000-0005-0000-0000-0000E76F0000}"/>
    <cellStyle name="Normal 3 4 5 7 3 2" xfId="33711" xr:uid="{00000000-0005-0000-0000-0000E86F0000}"/>
    <cellStyle name="Normal 3 4 5 7 4" xfId="16238" xr:uid="{00000000-0005-0000-0000-0000E96F0000}"/>
    <cellStyle name="Normal 3 4 5 7 4 2" xfId="33712" xr:uid="{00000000-0005-0000-0000-0000EA6F0000}"/>
    <cellStyle name="Normal 3 4 5 7 5" xfId="16239" xr:uid="{00000000-0005-0000-0000-0000EB6F0000}"/>
    <cellStyle name="Normal 3 4 5 7 5 2" xfId="33713" xr:uid="{00000000-0005-0000-0000-0000EC6F0000}"/>
    <cellStyle name="Normal 3 4 5 7 6" xfId="16240" xr:uid="{00000000-0005-0000-0000-0000ED6F0000}"/>
    <cellStyle name="Normal 3 4 5 7 6 2" xfId="33714" xr:uid="{00000000-0005-0000-0000-0000EE6F0000}"/>
    <cellStyle name="Normal 3 4 5 7 7" xfId="16241" xr:uid="{00000000-0005-0000-0000-0000EF6F0000}"/>
    <cellStyle name="Normal 3 4 5 7 7 2" xfId="33715" xr:uid="{00000000-0005-0000-0000-0000F06F0000}"/>
    <cellStyle name="Normal 3 4 5 7 8" xfId="16242" xr:uid="{00000000-0005-0000-0000-0000F16F0000}"/>
    <cellStyle name="Normal 3 4 5 7 8 2" xfId="33716" xr:uid="{00000000-0005-0000-0000-0000F26F0000}"/>
    <cellStyle name="Normal 3 4 5 7 9" xfId="16243" xr:uid="{00000000-0005-0000-0000-0000F36F0000}"/>
    <cellStyle name="Normal 3 4 5 7 9 2" xfId="33717" xr:uid="{00000000-0005-0000-0000-0000F46F0000}"/>
    <cellStyle name="Normal 3 4 5 8" xfId="16244" xr:uid="{00000000-0005-0000-0000-0000F56F0000}"/>
    <cellStyle name="Normal 3 4 5 8 10" xfId="16245" xr:uid="{00000000-0005-0000-0000-0000F66F0000}"/>
    <cellStyle name="Normal 3 4 5 8 10 2" xfId="33719" xr:uid="{00000000-0005-0000-0000-0000F76F0000}"/>
    <cellStyle name="Normal 3 4 5 8 11" xfId="16246" xr:uid="{00000000-0005-0000-0000-0000F86F0000}"/>
    <cellStyle name="Normal 3 4 5 8 11 2" xfId="33720" xr:uid="{00000000-0005-0000-0000-0000F96F0000}"/>
    <cellStyle name="Normal 3 4 5 8 12" xfId="16247" xr:uid="{00000000-0005-0000-0000-0000FA6F0000}"/>
    <cellStyle name="Normal 3 4 5 8 12 2" xfId="33721" xr:uid="{00000000-0005-0000-0000-0000FB6F0000}"/>
    <cellStyle name="Normal 3 4 5 8 13" xfId="16248" xr:uid="{00000000-0005-0000-0000-0000FC6F0000}"/>
    <cellStyle name="Normal 3 4 5 8 13 2" xfId="33722" xr:uid="{00000000-0005-0000-0000-0000FD6F0000}"/>
    <cellStyle name="Normal 3 4 5 8 14" xfId="16249" xr:uid="{00000000-0005-0000-0000-0000FE6F0000}"/>
    <cellStyle name="Normal 3 4 5 8 14 2" xfId="33723" xr:uid="{00000000-0005-0000-0000-0000FF6F0000}"/>
    <cellStyle name="Normal 3 4 5 8 15" xfId="16250" xr:uid="{00000000-0005-0000-0000-000000700000}"/>
    <cellStyle name="Normal 3 4 5 8 15 2" xfId="33724" xr:uid="{00000000-0005-0000-0000-000001700000}"/>
    <cellStyle name="Normal 3 4 5 8 16" xfId="33718" xr:uid="{00000000-0005-0000-0000-000002700000}"/>
    <cellStyle name="Normal 3 4 5 8 2" xfId="16251" xr:uid="{00000000-0005-0000-0000-000003700000}"/>
    <cellStyle name="Normal 3 4 5 8 2 10" xfId="16252" xr:uid="{00000000-0005-0000-0000-000004700000}"/>
    <cellStyle name="Normal 3 4 5 8 2 10 2" xfId="33726" xr:uid="{00000000-0005-0000-0000-000005700000}"/>
    <cellStyle name="Normal 3 4 5 8 2 11" xfId="16253" xr:uid="{00000000-0005-0000-0000-000006700000}"/>
    <cellStyle name="Normal 3 4 5 8 2 11 2" xfId="33727" xr:uid="{00000000-0005-0000-0000-000007700000}"/>
    <cellStyle name="Normal 3 4 5 8 2 12" xfId="16254" xr:uid="{00000000-0005-0000-0000-000008700000}"/>
    <cellStyle name="Normal 3 4 5 8 2 12 2" xfId="33728" xr:uid="{00000000-0005-0000-0000-000009700000}"/>
    <cellStyle name="Normal 3 4 5 8 2 13" xfId="16255" xr:uid="{00000000-0005-0000-0000-00000A700000}"/>
    <cellStyle name="Normal 3 4 5 8 2 13 2" xfId="33729" xr:uid="{00000000-0005-0000-0000-00000B700000}"/>
    <cellStyle name="Normal 3 4 5 8 2 14" xfId="16256" xr:uid="{00000000-0005-0000-0000-00000C700000}"/>
    <cellStyle name="Normal 3 4 5 8 2 14 2" xfId="33730" xr:uid="{00000000-0005-0000-0000-00000D700000}"/>
    <cellStyle name="Normal 3 4 5 8 2 15" xfId="33725" xr:uid="{00000000-0005-0000-0000-00000E700000}"/>
    <cellStyle name="Normal 3 4 5 8 2 2" xfId="16257" xr:uid="{00000000-0005-0000-0000-00000F700000}"/>
    <cellStyle name="Normal 3 4 5 8 2 2 2" xfId="33731" xr:uid="{00000000-0005-0000-0000-000010700000}"/>
    <cellStyle name="Normal 3 4 5 8 2 3" xfId="16258" xr:uid="{00000000-0005-0000-0000-000011700000}"/>
    <cellStyle name="Normal 3 4 5 8 2 3 2" xfId="33732" xr:uid="{00000000-0005-0000-0000-000012700000}"/>
    <cellStyle name="Normal 3 4 5 8 2 4" xfId="16259" xr:uid="{00000000-0005-0000-0000-000013700000}"/>
    <cellStyle name="Normal 3 4 5 8 2 4 2" xfId="33733" xr:uid="{00000000-0005-0000-0000-000014700000}"/>
    <cellStyle name="Normal 3 4 5 8 2 5" xfId="16260" xr:uid="{00000000-0005-0000-0000-000015700000}"/>
    <cellStyle name="Normal 3 4 5 8 2 5 2" xfId="33734" xr:uid="{00000000-0005-0000-0000-000016700000}"/>
    <cellStyle name="Normal 3 4 5 8 2 6" xfId="16261" xr:uid="{00000000-0005-0000-0000-000017700000}"/>
    <cellStyle name="Normal 3 4 5 8 2 6 2" xfId="33735" xr:uid="{00000000-0005-0000-0000-000018700000}"/>
    <cellStyle name="Normal 3 4 5 8 2 7" xfId="16262" xr:uid="{00000000-0005-0000-0000-000019700000}"/>
    <cellStyle name="Normal 3 4 5 8 2 7 2" xfId="33736" xr:uid="{00000000-0005-0000-0000-00001A700000}"/>
    <cellStyle name="Normal 3 4 5 8 2 8" xfId="16263" xr:uid="{00000000-0005-0000-0000-00001B700000}"/>
    <cellStyle name="Normal 3 4 5 8 2 8 2" xfId="33737" xr:uid="{00000000-0005-0000-0000-00001C700000}"/>
    <cellStyle name="Normal 3 4 5 8 2 9" xfId="16264" xr:uid="{00000000-0005-0000-0000-00001D700000}"/>
    <cellStyle name="Normal 3 4 5 8 2 9 2" xfId="33738" xr:uid="{00000000-0005-0000-0000-00001E700000}"/>
    <cellStyle name="Normal 3 4 5 8 3" xfId="16265" xr:uid="{00000000-0005-0000-0000-00001F700000}"/>
    <cellStyle name="Normal 3 4 5 8 3 2" xfId="33739" xr:uid="{00000000-0005-0000-0000-000020700000}"/>
    <cellStyle name="Normal 3 4 5 8 4" xfId="16266" xr:uid="{00000000-0005-0000-0000-000021700000}"/>
    <cellStyle name="Normal 3 4 5 8 4 2" xfId="33740" xr:uid="{00000000-0005-0000-0000-000022700000}"/>
    <cellStyle name="Normal 3 4 5 8 5" xfId="16267" xr:uid="{00000000-0005-0000-0000-000023700000}"/>
    <cellStyle name="Normal 3 4 5 8 5 2" xfId="33741" xr:uid="{00000000-0005-0000-0000-000024700000}"/>
    <cellStyle name="Normal 3 4 5 8 6" xfId="16268" xr:uid="{00000000-0005-0000-0000-000025700000}"/>
    <cellStyle name="Normal 3 4 5 8 6 2" xfId="33742" xr:uid="{00000000-0005-0000-0000-000026700000}"/>
    <cellStyle name="Normal 3 4 5 8 7" xfId="16269" xr:uid="{00000000-0005-0000-0000-000027700000}"/>
    <cellStyle name="Normal 3 4 5 8 7 2" xfId="33743" xr:uid="{00000000-0005-0000-0000-000028700000}"/>
    <cellStyle name="Normal 3 4 5 8 8" xfId="16270" xr:uid="{00000000-0005-0000-0000-000029700000}"/>
    <cellStyle name="Normal 3 4 5 8 8 2" xfId="33744" xr:uid="{00000000-0005-0000-0000-00002A700000}"/>
    <cellStyle name="Normal 3 4 5 8 9" xfId="16271" xr:uid="{00000000-0005-0000-0000-00002B700000}"/>
    <cellStyle name="Normal 3 4 5 8 9 2" xfId="33745" xr:uid="{00000000-0005-0000-0000-00002C700000}"/>
    <cellStyle name="Normal 3 4 5 9" xfId="16272" xr:uid="{00000000-0005-0000-0000-00002D700000}"/>
    <cellStyle name="Normal 3 4 5 9 10" xfId="16273" xr:uid="{00000000-0005-0000-0000-00002E700000}"/>
    <cellStyle name="Normal 3 4 5 9 10 2" xfId="33747" xr:uid="{00000000-0005-0000-0000-00002F700000}"/>
    <cellStyle name="Normal 3 4 5 9 11" xfId="16274" xr:uid="{00000000-0005-0000-0000-000030700000}"/>
    <cellStyle name="Normal 3 4 5 9 11 2" xfId="33748" xr:uid="{00000000-0005-0000-0000-000031700000}"/>
    <cellStyle name="Normal 3 4 5 9 12" xfId="16275" xr:uid="{00000000-0005-0000-0000-000032700000}"/>
    <cellStyle name="Normal 3 4 5 9 12 2" xfId="33749" xr:uid="{00000000-0005-0000-0000-000033700000}"/>
    <cellStyle name="Normal 3 4 5 9 13" xfId="16276" xr:uid="{00000000-0005-0000-0000-000034700000}"/>
    <cellStyle name="Normal 3 4 5 9 13 2" xfId="33750" xr:uid="{00000000-0005-0000-0000-000035700000}"/>
    <cellStyle name="Normal 3 4 5 9 14" xfId="16277" xr:uid="{00000000-0005-0000-0000-000036700000}"/>
    <cellStyle name="Normal 3 4 5 9 14 2" xfId="33751" xr:uid="{00000000-0005-0000-0000-000037700000}"/>
    <cellStyle name="Normal 3 4 5 9 15" xfId="33746" xr:uid="{00000000-0005-0000-0000-000038700000}"/>
    <cellStyle name="Normal 3 4 5 9 2" xfId="16278" xr:uid="{00000000-0005-0000-0000-000039700000}"/>
    <cellStyle name="Normal 3 4 5 9 2 2" xfId="33752" xr:uid="{00000000-0005-0000-0000-00003A700000}"/>
    <cellStyle name="Normal 3 4 5 9 3" xfId="16279" xr:uid="{00000000-0005-0000-0000-00003B700000}"/>
    <cellStyle name="Normal 3 4 5 9 3 2" xfId="33753" xr:uid="{00000000-0005-0000-0000-00003C700000}"/>
    <cellStyle name="Normal 3 4 5 9 4" xfId="16280" xr:uid="{00000000-0005-0000-0000-00003D700000}"/>
    <cellStyle name="Normal 3 4 5 9 4 2" xfId="33754" xr:uid="{00000000-0005-0000-0000-00003E700000}"/>
    <cellStyle name="Normal 3 4 5 9 5" xfId="16281" xr:uid="{00000000-0005-0000-0000-00003F700000}"/>
    <cellStyle name="Normal 3 4 5 9 5 2" xfId="33755" xr:uid="{00000000-0005-0000-0000-000040700000}"/>
    <cellStyle name="Normal 3 4 5 9 6" xfId="16282" xr:uid="{00000000-0005-0000-0000-000041700000}"/>
    <cellStyle name="Normal 3 4 5 9 6 2" xfId="33756" xr:uid="{00000000-0005-0000-0000-000042700000}"/>
    <cellStyle name="Normal 3 4 5 9 7" xfId="16283" xr:uid="{00000000-0005-0000-0000-000043700000}"/>
    <cellStyle name="Normal 3 4 5 9 7 2" xfId="33757" xr:uid="{00000000-0005-0000-0000-000044700000}"/>
    <cellStyle name="Normal 3 4 5 9 8" xfId="16284" xr:uid="{00000000-0005-0000-0000-000045700000}"/>
    <cellStyle name="Normal 3 4 5 9 8 2" xfId="33758" xr:uid="{00000000-0005-0000-0000-000046700000}"/>
    <cellStyle name="Normal 3 4 5 9 9" xfId="16285" xr:uid="{00000000-0005-0000-0000-000047700000}"/>
    <cellStyle name="Normal 3 4 5 9 9 2" xfId="33759" xr:uid="{00000000-0005-0000-0000-000048700000}"/>
    <cellStyle name="Normal 3 4 6" xfId="16286" xr:uid="{00000000-0005-0000-0000-000049700000}"/>
    <cellStyle name="Normal 3 4 6 10" xfId="16287" xr:uid="{00000000-0005-0000-0000-00004A700000}"/>
    <cellStyle name="Normal 3 4 6 10 10" xfId="16288" xr:uid="{00000000-0005-0000-0000-00004B700000}"/>
    <cellStyle name="Normal 3 4 6 10 10 2" xfId="33762" xr:uid="{00000000-0005-0000-0000-00004C700000}"/>
    <cellStyle name="Normal 3 4 6 10 11" xfId="16289" xr:uid="{00000000-0005-0000-0000-00004D700000}"/>
    <cellStyle name="Normal 3 4 6 10 11 2" xfId="33763" xr:uid="{00000000-0005-0000-0000-00004E700000}"/>
    <cellStyle name="Normal 3 4 6 10 12" xfId="16290" xr:uid="{00000000-0005-0000-0000-00004F700000}"/>
    <cellStyle name="Normal 3 4 6 10 12 2" xfId="33764" xr:uid="{00000000-0005-0000-0000-000050700000}"/>
    <cellStyle name="Normal 3 4 6 10 13" xfId="16291" xr:uid="{00000000-0005-0000-0000-000051700000}"/>
    <cellStyle name="Normal 3 4 6 10 13 2" xfId="33765" xr:uid="{00000000-0005-0000-0000-000052700000}"/>
    <cellStyle name="Normal 3 4 6 10 14" xfId="16292" xr:uid="{00000000-0005-0000-0000-000053700000}"/>
    <cellStyle name="Normal 3 4 6 10 14 2" xfId="33766" xr:uid="{00000000-0005-0000-0000-000054700000}"/>
    <cellStyle name="Normal 3 4 6 10 15" xfId="33761" xr:uid="{00000000-0005-0000-0000-000055700000}"/>
    <cellStyle name="Normal 3 4 6 10 2" xfId="16293" xr:uid="{00000000-0005-0000-0000-000056700000}"/>
    <cellStyle name="Normal 3 4 6 10 2 2" xfId="33767" xr:uid="{00000000-0005-0000-0000-000057700000}"/>
    <cellStyle name="Normal 3 4 6 10 3" xfId="16294" xr:uid="{00000000-0005-0000-0000-000058700000}"/>
    <cellStyle name="Normal 3 4 6 10 3 2" xfId="33768" xr:uid="{00000000-0005-0000-0000-000059700000}"/>
    <cellStyle name="Normal 3 4 6 10 4" xfId="16295" xr:uid="{00000000-0005-0000-0000-00005A700000}"/>
    <cellStyle name="Normal 3 4 6 10 4 2" xfId="33769" xr:uid="{00000000-0005-0000-0000-00005B700000}"/>
    <cellStyle name="Normal 3 4 6 10 5" xfId="16296" xr:uid="{00000000-0005-0000-0000-00005C700000}"/>
    <cellStyle name="Normal 3 4 6 10 5 2" xfId="33770" xr:uid="{00000000-0005-0000-0000-00005D700000}"/>
    <cellStyle name="Normal 3 4 6 10 6" xfId="16297" xr:uid="{00000000-0005-0000-0000-00005E700000}"/>
    <cellStyle name="Normal 3 4 6 10 6 2" xfId="33771" xr:uid="{00000000-0005-0000-0000-00005F700000}"/>
    <cellStyle name="Normal 3 4 6 10 7" xfId="16298" xr:uid="{00000000-0005-0000-0000-000060700000}"/>
    <cellStyle name="Normal 3 4 6 10 7 2" xfId="33772" xr:uid="{00000000-0005-0000-0000-000061700000}"/>
    <cellStyle name="Normal 3 4 6 10 8" xfId="16299" xr:uid="{00000000-0005-0000-0000-000062700000}"/>
    <cellStyle name="Normal 3 4 6 10 8 2" xfId="33773" xr:uid="{00000000-0005-0000-0000-000063700000}"/>
    <cellStyle name="Normal 3 4 6 10 9" xfId="16300" xr:uid="{00000000-0005-0000-0000-000064700000}"/>
    <cellStyle name="Normal 3 4 6 10 9 2" xfId="33774" xr:uid="{00000000-0005-0000-0000-000065700000}"/>
    <cellStyle name="Normal 3 4 6 11" xfId="16301" xr:uid="{00000000-0005-0000-0000-000066700000}"/>
    <cellStyle name="Normal 3 4 6 11 10" xfId="16302" xr:uid="{00000000-0005-0000-0000-000067700000}"/>
    <cellStyle name="Normal 3 4 6 11 10 2" xfId="33776" xr:uid="{00000000-0005-0000-0000-000068700000}"/>
    <cellStyle name="Normal 3 4 6 11 11" xfId="16303" xr:uid="{00000000-0005-0000-0000-000069700000}"/>
    <cellStyle name="Normal 3 4 6 11 11 2" xfId="33777" xr:uid="{00000000-0005-0000-0000-00006A700000}"/>
    <cellStyle name="Normal 3 4 6 11 12" xfId="16304" xr:uid="{00000000-0005-0000-0000-00006B700000}"/>
    <cellStyle name="Normal 3 4 6 11 12 2" xfId="33778" xr:uid="{00000000-0005-0000-0000-00006C700000}"/>
    <cellStyle name="Normal 3 4 6 11 13" xfId="16305" xr:uid="{00000000-0005-0000-0000-00006D700000}"/>
    <cellStyle name="Normal 3 4 6 11 13 2" xfId="33779" xr:uid="{00000000-0005-0000-0000-00006E700000}"/>
    <cellStyle name="Normal 3 4 6 11 14" xfId="16306" xr:uid="{00000000-0005-0000-0000-00006F700000}"/>
    <cellStyle name="Normal 3 4 6 11 14 2" xfId="33780" xr:uid="{00000000-0005-0000-0000-000070700000}"/>
    <cellStyle name="Normal 3 4 6 11 15" xfId="33775" xr:uid="{00000000-0005-0000-0000-000071700000}"/>
    <cellStyle name="Normal 3 4 6 11 2" xfId="16307" xr:uid="{00000000-0005-0000-0000-000072700000}"/>
    <cellStyle name="Normal 3 4 6 11 2 2" xfId="33781" xr:uid="{00000000-0005-0000-0000-000073700000}"/>
    <cellStyle name="Normal 3 4 6 11 3" xfId="16308" xr:uid="{00000000-0005-0000-0000-000074700000}"/>
    <cellStyle name="Normal 3 4 6 11 3 2" xfId="33782" xr:uid="{00000000-0005-0000-0000-000075700000}"/>
    <cellStyle name="Normal 3 4 6 11 4" xfId="16309" xr:uid="{00000000-0005-0000-0000-000076700000}"/>
    <cellStyle name="Normal 3 4 6 11 4 2" xfId="33783" xr:uid="{00000000-0005-0000-0000-000077700000}"/>
    <cellStyle name="Normal 3 4 6 11 5" xfId="16310" xr:uid="{00000000-0005-0000-0000-000078700000}"/>
    <cellStyle name="Normal 3 4 6 11 5 2" xfId="33784" xr:uid="{00000000-0005-0000-0000-000079700000}"/>
    <cellStyle name="Normal 3 4 6 11 6" xfId="16311" xr:uid="{00000000-0005-0000-0000-00007A700000}"/>
    <cellStyle name="Normal 3 4 6 11 6 2" xfId="33785" xr:uid="{00000000-0005-0000-0000-00007B700000}"/>
    <cellStyle name="Normal 3 4 6 11 7" xfId="16312" xr:uid="{00000000-0005-0000-0000-00007C700000}"/>
    <cellStyle name="Normal 3 4 6 11 7 2" xfId="33786" xr:uid="{00000000-0005-0000-0000-00007D700000}"/>
    <cellStyle name="Normal 3 4 6 11 8" xfId="16313" xr:uid="{00000000-0005-0000-0000-00007E700000}"/>
    <cellStyle name="Normal 3 4 6 11 8 2" xfId="33787" xr:uid="{00000000-0005-0000-0000-00007F700000}"/>
    <cellStyle name="Normal 3 4 6 11 9" xfId="16314" xr:uid="{00000000-0005-0000-0000-000080700000}"/>
    <cellStyle name="Normal 3 4 6 11 9 2" xfId="33788" xr:uid="{00000000-0005-0000-0000-000081700000}"/>
    <cellStyle name="Normal 3 4 6 12" xfId="16315" xr:uid="{00000000-0005-0000-0000-000082700000}"/>
    <cellStyle name="Normal 3 4 6 12 10" xfId="16316" xr:uid="{00000000-0005-0000-0000-000083700000}"/>
    <cellStyle name="Normal 3 4 6 12 10 2" xfId="33790" xr:uid="{00000000-0005-0000-0000-000084700000}"/>
    <cellStyle name="Normal 3 4 6 12 11" xfId="16317" xr:uid="{00000000-0005-0000-0000-000085700000}"/>
    <cellStyle name="Normal 3 4 6 12 11 2" xfId="33791" xr:uid="{00000000-0005-0000-0000-000086700000}"/>
    <cellStyle name="Normal 3 4 6 12 12" xfId="16318" xr:uid="{00000000-0005-0000-0000-000087700000}"/>
    <cellStyle name="Normal 3 4 6 12 12 2" xfId="33792" xr:uid="{00000000-0005-0000-0000-000088700000}"/>
    <cellStyle name="Normal 3 4 6 12 13" xfId="16319" xr:uid="{00000000-0005-0000-0000-000089700000}"/>
    <cellStyle name="Normal 3 4 6 12 13 2" xfId="33793" xr:uid="{00000000-0005-0000-0000-00008A700000}"/>
    <cellStyle name="Normal 3 4 6 12 14" xfId="16320" xr:uid="{00000000-0005-0000-0000-00008B700000}"/>
    <cellStyle name="Normal 3 4 6 12 14 2" xfId="33794" xr:uid="{00000000-0005-0000-0000-00008C700000}"/>
    <cellStyle name="Normal 3 4 6 12 15" xfId="33789" xr:uid="{00000000-0005-0000-0000-00008D700000}"/>
    <cellStyle name="Normal 3 4 6 12 2" xfId="16321" xr:uid="{00000000-0005-0000-0000-00008E700000}"/>
    <cellStyle name="Normal 3 4 6 12 2 2" xfId="33795" xr:uid="{00000000-0005-0000-0000-00008F700000}"/>
    <cellStyle name="Normal 3 4 6 12 3" xfId="16322" xr:uid="{00000000-0005-0000-0000-000090700000}"/>
    <cellStyle name="Normal 3 4 6 12 3 2" xfId="33796" xr:uid="{00000000-0005-0000-0000-000091700000}"/>
    <cellStyle name="Normal 3 4 6 12 4" xfId="16323" xr:uid="{00000000-0005-0000-0000-000092700000}"/>
    <cellStyle name="Normal 3 4 6 12 4 2" xfId="33797" xr:uid="{00000000-0005-0000-0000-000093700000}"/>
    <cellStyle name="Normal 3 4 6 12 5" xfId="16324" xr:uid="{00000000-0005-0000-0000-000094700000}"/>
    <cellStyle name="Normal 3 4 6 12 5 2" xfId="33798" xr:uid="{00000000-0005-0000-0000-000095700000}"/>
    <cellStyle name="Normal 3 4 6 12 6" xfId="16325" xr:uid="{00000000-0005-0000-0000-000096700000}"/>
    <cellStyle name="Normal 3 4 6 12 6 2" xfId="33799" xr:uid="{00000000-0005-0000-0000-000097700000}"/>
    <cellStyle name="Normal 3 4 6 12 7" xfId="16326" xr:uid="{00000000-0005-0000-0000-000098700000}"/>
    <cellStyle name="Normal 3 4 6 12 7 2" xfId="33800" xr:uid="{00000000-0005-0000-0000-000099700000}"/>
    <cellStyle name="Normal 3 4 6 12 8" xfId="16327" xr:uid="{00000000-0005-0000-0000-00009A700000}"/>
    <cellStyle name="Normal 3 4 6 12 8 2" xfId="33801" xr:uid="{00000000-0005-0000-0000-00009B700000}"/>
    <cellStyle name="Normal 3 4 6 12 9" xfId="16328" xr:uid="{00000000-0005-0000-0000-00009C700000}"/>
    <cellStyle name="Normal 3 4 6 12 9 2" xfId="33802" xr:uid="{00000000-0005-0000-0000-00009D700000}"/>
    <cellStyle name="Normal 3 4 6 13" xfId="16329" xr:uid="{00000000-0005-0000-0000-00009E700000}"/>
    <cellStyle name="Normal 3 4 6 13 10" xfId="16330" xr:uid="{00000000-0005-0000-0000-00009F700000}"/>
    <cellStyle name="Normal 3 4 6 13 10 2" xfId="33804" xr:uid="{00000000-0005-0000-0000-0000A0700000}"/>
    <cellStyle name="Normal 3 4 6 13 11" xfId="16331" xr:uid="{00000000-0005-0000-0000-0000A1700000}"/>
    <cellStyle name="Normal 3 4 6 13 11 2" xfId="33805" xr:uid="{00000000-0005-0000-0000-0000A2700000}"/>
    <cellStyle name="Normal 3 4 6 13 12" xfId="16332" xr:uid="{00000000-0005-0000-0000-0000A3700000}"/>
    <cellStyle name="Normal 3 4 6 13 12 2" xfId="33806" xr:uid="{00000000-0005-0000-0000-0000A4700000}"/>
    <cellStyle name="Normal 3 4 6 13 13" xfId="16333" xr:uid="{00000000-0005-0000-0000-0000A5700000}"/>
    <cellStyle name="Normal 3 4 6 13 13 2" xfId="33807" xr:uid="{00000000-0005-0000-0000-0000A6700000}"/>
    <cellStyle name="Normal 3 4 6 13 14" xfId="16334" xr:uid="{00000000-0005-0000-0000-0000A7700000}"/>
    <cellStyle name="Normal 3 4 6 13 14 2" xfId="33808" xr:uid="{00000000-0005-0000-0000-0000A8700000}"/>
    <cellStyle name="Normal 3 4 6 13 15" xfId="33803" xr:uid="{00000000-0005-0000-0000-0000A9700000}"/>
    <cellStyle name="Normal 3 4 6 13 2" xfId="16335" xr:uid="{00000000-0005-0000-0000-0000AA700000}"/>
    <cellStyle name="Normal 3 4 6 13 2 2" xfId="33809" xr:uid="{00000000-0005-0000-0000-0000AB700000}"/>
    <cellStyle name="Normal 3 4 6 13 3" xfId="16336" xr:uid="{00000000-0005-0000-0000-0000AC700000}"/>
    <cellStyle name="Normal 3 4 6 13 3 2" xfId="33810" xr:uid="{00000000-0005-0000-0000-0000AD700000}"/>
    <cellStyle name="Normal 3 4 6 13 4" xfId="16337" xr:uid="{00000000-0005-0000-0000-0000AE700000}"/>
    <cellStyle name="Normal 3 4 6 13 4 2" xfId="33811" xr:uid="{00000000-0005-0000-0000-0000AF700000}"/>
    <cellStyle name="Normal 3 4 6 13 5" xfId="16338" xr:uid="{00000000-0005-0000-0000-0000B0700000}"/>
    <cellStyle name="Normal 3 4 6 13 5 2" xfId="33812" xr:uid="{00000000-0005-0000-0000-0000B1700000}"/>
    <cellStyle name="Normal 3 4 6 13 6" xfId="16339" xr:uid="{00000000-0005-0000-0000-0000B2700000}"/>
    <cellStyle name="Normal 3 4 6 13 6 2" xfId="33813" xr:uid="{00000000-0005-0000-0000-0000B3700000}"/>
    <cellStyle name="Normal 3 4 6 13 7" xfId="16340" xr:uid="{00000000-0005-0000-0000-0000B4700000}"/>
    <cellStyle name="Normal 3 4 6 13 7 2" xfId="33814" xr:uid="{00000000-0005-0000-0000-0000B5700000}"/>
    <cellStyle name="Normal 3 4 6 13 8" xfId="16341" xr:uid="{00000000-0005-0000-0000-0000B6700000}"/>
    <cellStyle name="Normal 3 4 6 13 8 2" xfId="33815" xr:uid="{00000000-0005-0000-0000-0000B7700000}"/>
    <cellStyle name="Normal 3 4 6 13 9" xfId="16342" xr:uid="{00000000-0005-0000-0000-0000B8700000}"/>
    <cellStyle name="Normal 3 4 6 13 9 2" xfId="33816" xr:uid="{00000000-0005-0000-0000-0000B9700000}"/>
    <cellStyle name="Normal 3 4 6 14" xfId="16343" xr:uid="{00000000-0005-0000-0000-0000BA700000}"/>
    <cellStyle name="Normal 3 4 6 14 10" xfId="16344" xr:uid="{00000000-0005-0000-0000-0000BB700000}"/>
    <cellStyle name="Normal 3 4 6 14 10 2" xfId="33818" xr:uid="{00000000-0005-0000-0000-0000BC700000}"/>
    <cellStyle name="Normal 3 4 6 14 11" xfId="16345" xr:uid="{00000000-0005-0000-0000-0000BD700000}"/>
    <cellStyle name="Normal 3 4 6 14 11 2" xfId="33819" xr:uid="{00000000-0005-0000-0000-0000BE700000}"/>
    <cellStyle name="Normal 3 4 6 14 12" xfId="16346" xr:uid="{00000000-0005-0000-0000-0000BF700000}"/>
    <cellStyle name="Normal 3 4 6 14 12 2" xfId="33820" xr:uid="{00000000-0005-0000-0000-0000C0700000}"/>
    <cellStyle name="Normal 3 4 6 14 13" xfId="16347" xr:uid="{00000000-0005-0000-0000-0000C1700000}"/>
    <cellStyle name="Normal 3 4 6 14 13 2" xfId="33821" xr:uid="{00000000-0005-0000-0000-0000C2700000}"/>
    <cellStyle name="Normal 3 4 6 14 14" xfId="16348" xr:uid="{00000000-0005-0000-0000-0000C3700000}"/>
    <cellStyle name="Normal 3 4 6 14 14 2" xfId="33822" xr:uid="{00000000-0005-0000-0000-0000C4700000}"/>
    <cellStyle name="Normal 3 4 6 14 15" xfId="33817" xr:uid="{00000000-0005-0000-0000-0000C5700000}"/>
    <cellStyle name="Normal 3 4 6 14 2" xfId="16349" xr:uid="{00000000-0005-0000-0000-0000C6700000}"/>
    <cellStyle name="Normal 3 4 6 14 2 2" xfId="33823" xr:uid="{00000000-0005-0000-0000-0000C7700000}"/>
    <cellStyle name="Normal 3 4 6 14 3" xfId="16350" xr:uid="{00000000-0005-0000-0000-0000C8700000}"/>
    <cellStyle name="Normal 3 4 6 14 3 2" xfId="33824" xr:uid="{00000000-0005-0000-0000-0000C9700000}"/>
    <cellStyle name="Normal 3 4 6 14 4" xfId="16351" xr:uid="{00000000-0005-0000-0000-0000CA700000}"/>
    <cellStyle name="Normal 3 4 6 14 4 2" xfId="33825" xr:uid="{00000000-0005-0000-0000-0000CB700000}"/>
    <cellStyle name="Normal 3 4 6 14 5" xfId="16352" xr:uid="{00000000-0005-0000-0000-0000CC700000}"/>
    <cellStyle name="Normal 3 4 6 14 5 2" xfId="33826" xr:uid="{00000000-0005-0000-0000-0000CD700000}"/>
    <cellStyle name="Normal 3 4 6 14 6" xfId="16353" xr:uid="{00000000-0005-0000-0000-0000CE700000}"/>
    <cellStyle name="Normal 3 4 6 14 6 2" xfId="33827" xr:uid="{00000000-0005-0000-0000-0000CF700000}"/>
    <cellStyle name="Normal 3 4 6 14 7" xfId="16354" xr:uid="{00000000-0005-0000-0000-0000D0700000}"/>
    <cellStyle name="Normal 3 4 6 14 7 2" xfId="33828" xr:uid="{00000000-0005-0000-0000-0000D1700000}"/>
    <cellStyle name="Normal 3 4 6 14 8" xfId="16355" xr:uid="{00000000-0005-0000-0000-0000D2700000}"/>
    <cellStyle name="Normal 3 4 6 14 8 2" xfId="33829" xr:uid="{00000000-0005-0000-0000-0000D3700000}"/>
    <cellStyle name="Normal 3 4 6 14 9" xfId="16356" xr:uid="{00000000-0005-0000-0000-0000D4700000}"/>
    <cellStyle name="Normal 3 4 6 14 9 2" xfId="33830" xr:uid="{00000000-0005-0000-0000-0000D5700000}"/>
    <cellStyle name="Normal 3 4 6 15" xfId="16357" xr:uid="{00000000-0005-0000-0000-0000D6700000}"/>
    <cellStyle name="Normal 3 4 6 15 2" xfId="33831" xr:uid="{00000000-0005-0000-0000-0000D7700000}"/>
    <cellStyle name="Normal 3 4 6 16" xfId="16358" xr:uid="{00000000-0005-0000-0000-0000D8700000}"/>
    <cellStyle name="Normal 3 4 6 16 2" xfId="33832" xr:uid="{00000000-0005-0000-0000-0000D9700000}"/>
    <cellStyle name="Normal 3 4 6 17" xfId="16359" xr:uid="{00000000-0005-0000-0000-0000DA700000}"/>
    <cellStyle name="Normal 3 4 6 17 2" xfId="33833" xr:uid="{00000000-0005-0000-0000-0000DB700000}"/>
    <cellStyle name="Normal 3 4 6 18" xfId="16360" xr:uid="{00000000-0005-0000-0000-0000DC700000}"/>
    <cellStyle name="Normal 3 4 6 18 2" xfId="33834" xr:uid="{00000000-0005-0000-0000-0000DD700000}"/>
    <cellStyle name="Normal 3 4 6 19" xfId="16361" xr:uid="{00000000-0005-0000-0000-0000DE700000}"/>
    <cellStyle name="Normal 3 4 6 19 2" xfId="33835" xr:uid="{00000000-0005-0000-0000-0000DF700000}"/>
    <cellStyle name="Normal 3 4 6 2" xfId="16362" xr:uid="{00000000-0005-0000-0000-0000E0700000}"/>
    <cellStyle name="Normal 3 4 6 20" xfId="16363" xr:uid="{00000000-0005-0000-0000-0000E1700000}"/>
    <cellStyle name="Normal 3 4 6 20 2" xfId="33836" xr:uid="{00000000-0005-0000-0000-0000E2700000}"/>
    <cellStyle name="Normal 3 4 6 21" xfId="16364" xr:uid="{00000000-0005-0000-0000-0000E3700000}"/>
    <cellStyle name="Normal 3 4 6 21 2" xfId="33837" xr:uid="{00000000-0005-0000-0000-0000E4700000}"/>
    <cellStyle name="Normal 3 4 6 22" xfId="16365" xr:uid="{00000000-0005-0000-0000-0000E5700000}"/>
    <cellStyle name="Normal 3 4 6 22 2" xfId="33838" xr:uid="{00000000-0005-0000-0000-0000E6700000}"/>
    <cellStyle name="Normal 3 4 6 23" xfId="16366" xr:uid="{00000000-0005-0000-0000-0000E7700000}"/>
    <cellStyle name="Normal 3 4 6 23 2" xfId="33839" xr:uid="{00000000-0005-0000-0000-0000E8700000}"/>
    <cellStyle name="Normal 3 4 6 24" xfId="16367" xr:uid="{00000000-0005-0000-0000-0000E9700000}"/>
    <cellStyle name="Normal 3 4 6 24 2" xfId="33840" xr:uid="{00000000-0005-0000-0000-0000EA700000}"/>
    <cellStyle name="Normal 3 4 6 25" xfId="16368" xr:uid="{00000000-0005-0000-0000-0000EB700000}"/>
    <cellStyle name="Normal 3 4 6 25 2" xfId="33841" xr:uid="{00000000-0005-0000-0000-0000EC700000}"/>
    <cellStyle name="Normal 3 4 6 26" xfId="16369" xr:uid="{00000000-0005-0000-0000-0000ED700000}"/>
    <cellStyle name="Normal 3 4 6 26 2" xfId="33842" xr:uid="{00000000-0005-0000-0000-0000EE700000}"/>
    <cellStyle name="Normal 3 4 6 27" xfId="16370" xr:uid="{00000000-0005-0000-0000-0000EF700000}"/>
    <cellStyle name="Normal 3 4 6 27 2" xfId="33843" xr:uid="{00000000-0005-0000-0000-0000F0700000}"/>
    <cellStyle name="Normal 3 4 6 28" xfId="33760" xr:uid="{00000000-0005-0000-0000-0000F1700000}"/>
    <cellStyle name="Normal 3 4 6 3" xfId="16371" xr:uid="{00000000-0005-0000-0000-0000F2700000}"/>
    <cellStyle name="Normal 3 4 6 4" xfId="16372" xr:uid="{00000000-0005-0000-0000-0000F3700000}"/>
    <cellStyle name="Normal 3 4 6 5" xfId="16373" xr:uid="{00000000-0005-0000-0000-0000F4700000}"/>
    <cellStyle name="Normal 3 4 6 6" xfId="16374" xr:uid="{00000000-0005-0000-0000-0000F5700000}"/>
    <cellStyle name="Normal 3 4 6 6 10" xfId="16375" xr:uid="{00000000-0005-0000-0000-0000F6700000}"/>
    <cellStyle name="Normal 3 4 6 6 10 2" xfId="33845" xr:uid="{00000000-0005-0000-0000-0000F7700000}"/>
    <cellStyle name="Normal 3 4 6 6 11" xfId="16376" xr:uid="{00000000-0005-0000-0000-0000F8700000}"/>
    <cellStyle name="Normal 3 4 6 6 11 2" xfId="33846" xr:uid="{00000000-0005-0000-0000-0000F9700000}"/>
    <cellStyle name="Normal 3 4 6 6 12" xfId="16377" xr:uid="{00000000-0005-0000-0000-0000FA700000}"/>
    <cellStyle name="Normal 3 4 6 6 12 2" xfId="33847" xr:uid="{00000000-0005-0000-0000-0000FB700000}"/>
    <cellStyle name="Normal 3 4 6 6 13" xfId="16378" xr:uid="{00000000-0005-0000-0000-0000FC700000}"/>
    <cellStyle name="Normal 3 4 6 6 13 2" xfId="33848" xr:uid="{00000000-0005-0000-0000-0000FD700000}"/>
    <cellStyle name="Normal 3 4 6 6 14" xfId="16379" xr:uid="{00000000-0005-0000-0000-0000FE700000}"/>
    <cellStyle name="Normal 3 4 6 6 14 2" xfId="33849" xr:uid="{00000000-0005-0000-0000-0000FF700000}"/>
    <cellStyle name="Normal 3 4 6 6 15" xfId="16380" xr:uid="{00000000-0005-0000-0000-000000710000}"/>
    <cellStyle name="Normal 3 4 6 6 15 2" xfId="33850" xr:uid="{00000000-0005-0000-0000-000001710000}"/>
    <cellStyle name="Normal 3 4 6 6 16" xfId="33844" xr:uid="{00000000-0005-0000-0000-000002710000}"/>
    <cellStyle name="Normal 3 4 6 6 2" xfId="16381" xr:uid="{00000000-0005-0000-0000-000003710000}"/>
    <cellStyle name="Normal 3 4 6 6 2 10" xfId="16382" xr:uid="{00000000-0005-0000-0000-000004710000}"/>
    <cellStyle name="Normal 3 4 6 6 2 10 2" xfId="33852" xr:uid="{00000000-0005-0000-0000-000005710000}"/>
    <cellStyle name="Normal 3 4 6 6 2 11" xfId="16383" xr:uid="{00000000-0005-0000-0000-000006710000}"/>
    <cellStyle name="Normal 3 4 6 6 2 11 2" xfId="33853" xr:uid="{00000000-0005-0000-0000-000007710000}"/>
    <cellStyle name="Normal 3 4 6 6 2 12" xfId="16384" xr:uid="{00000000-0005-0000-0000-000008710000}"/>
    <cellStyle name="Normal 3 4 6 6 2 12 2" xfId="33854" xr:uid="{00000000-0005-0000-0000-000009710000}"/>
    <cellStyle name="Normal 3 4 6 6 2 13" xfId="16385" xr:uid="{00000000-0005-0000-0000-00000A710000}"/>
    <cellStyle name="Normal 3 4 6 6 2 13 2" xfId="33855" xr:uid="{00000000-0005-0000-0000-00000B710000}"/>
    <cellStyle name="Normal 3 4 6 6 2 14" xfId="16386" xr:uid="{00000000-0005-0000-0000-00000C710000}"/>
    <cellStyle name="Normal 3 4 6 6 2 14 2" xfId="33856" xr:uid="{00000000-0005-0000-0000-00000D710000}"/>
    <cellStyle name="Normal 3 4 6 6 2 15" xfId="33851" xr:uid="{00000000-0005-0000-0000-00000E710000}"/>
    <cellStyle name="Normal 3 4 6 6 2 2" xfId="16387" xr:uid="{00000000-0005-0000-0000-00000F710000}"/>
    <cellStyle name="Normal 3 4 6 6 2 2 2" xfId="33857" xr:uid="{00000000-0005-0000-0000-000010710000}"/>
    <cellStyle name="Normal 3 4 6 6 2 3" xfId="16388" xr:uid="{00000000-0005-0000-0000-000011710000}"/>
    <cellStyle name="Normal 3 4 6 6 2 3 2" xfId="33858" xr:uid="{00000000-0005-0000-0000-000012710000}"/>
    <cellStyle name="Normal 3 4 6 6 2 4" xfId="16389" xr:uid="{00000000-0005-0000-0000-000013710000}"/>
    <cellStyle name="Normal 3 4 6 6 2 4 2" xfId="33859" xr:uid="{00000000-0005-0000-0000-000014710000}"/>
    <cellStyle name="Normal 3 4 6 6 2 5" xfId="16390" xr:uid="{00000000-0005-0000-0000-000015710000}"/>
    <cellStyle name="Normal 3 4 6 6 2 5 2" xfId="33860" xr:uid="{00000000-0005-0000-0000-000016710000}"/>
    <cellStyle name="Normal 3 4 6 6 2 6" xfId="16391" xr:uid="{00000000-0005-0000-0000-000017710000}"/>
    <cellStyle name="Normal 3 4 6 6 2 6 2" xfId="33861" xr:uid="{00000000-0005-0000-0000-000018710000}"/>
    <cellStyle name="Normal 3 4 6 6 2 7" xfId="16392" xr:uid="{00000000-0005-0000-0000-000019710000}"/>
    <cellStyle name="Normal 3 4 6 6 2 7 2" xfId="33862" xr:uid="{00000000-0005-0000-0000-00001A710000}"/>
    <cellStyle name="Normal 3 4 6 6 2 8" xfId="16393" xr:uid="{00000000-0005-0000-0000-00001B710000}"/>
    <cellStyle name="Normal 3 4 6 6 2 8 2" xfId="33863" xr:uid="{00000000-0005-0000-0000-00001C710000}"/>
    <cellStyle name="Normal 3 4 6 6 2 9" xfId="16394" xr:uid="{00000000-0005-0000-0000-00001D710000}"/>
    <cellStyle name="Normal 3 4 6 6 2 9 2" xfId="33864" xr:uid="{00000000-0005-0000-0000-00001E710000}"/>
    <cellStyle name="Normal 3 4 6 6 3" xfId="16395" xr:uid="{00000000-0005-0000-0000-00001F710000}"/>
    <cellStyle name="Normal 3 4 6 6 3 2" xfId="33865" xr:uid="{00000000-0005-0000-0000-000020710000}"/>
    <cellStyle name="Normal 3 4 6 6 4" xfId="16396" xr:uid="{00000000-0005-0000-0000-000021710000}"/>
    <cellStyle name="Normal 3 4 6 6 4 2" xfId="33866" xr:uid="{00000000-0005-0000-0000-000022710000}"/>
    <cellStyle name="Normal 3 4 6 6 5" xfId="16397" xr:uid="{00000000-0005-0000-0000-000023710000}"/>
    <cellStyle name="Normal 3 4 6 6 5 2" xfId="33867" xr:uid="{00000000-0005-0000-0000-000024710000}"/>
    <cellStyle name="Normal 3 4 6 6 6" xfId="16398" xr:uid="{00000000-0005-0000-0000-000025710000}"/>
    <cellStyle name="Normal 3 4 6 6 6 2" xfId="33868" xr:uid="{00000000-0005-0000-0000-000026710000}"/>
    <cellStyle name="Normal 3 4 6 6 7" xfId="16399" xr:uid="{00000000-0005-0000-0000-000027710000}"/>
    <cellStyle name="Normal 3 4 6 6 7 2" xfId="33869" xr:uid="{00000000-0005-0000-0000-000028710000}"/>
    <cellStyle name="Normal 3 4 6 6 8" xfId="16400" xr:uid="{00000000-0005-0000-0000-000029710000}"/>
    <cellStyle name="Normal 3 4 6 6 8 2" xfId="33870" xr:uid="{00000000-0005-0000-0000-00002A710000}"/>
    <cellStyle name="Normal 3 4 6 6 9" xfId="16401" xr:uid="{00000000-0005-0000-0000-00002B710000}"/>
    <cellStyle name="Normal 3 4 6 6 9 2" xfId="33871" xr:uid="{00000000-0005-0000-0000-00002C710000}"/>
    <cellStyle name="Normal 3 4 6 7" xfId="16402" xr:uid="{00000000-0005-0000-0000-00002D710000}"/>
    <cellStyle name="Normal 3 4 6 7 10" xfId="16403" xr:uid="{00000000-0005-0000-0000-00002E710000}"/>
    <cellStyle name="Normal 3 4 6 7 10 2" xfId="33873" xr:uid="{00000000-0005-0000-0000-00002F710000}"/>
    <cellStyle name="Normal 3 4 6 7 11" xfId="16404" xr:uid="{00000000-0005-0000-0000-000030710000}"/>
    <cellStyle name="Normal 3 4 6 7 11 2" xfId="33874" xr:uid="{00000000-0005-0000-0000-000031710000}"/>
    <cellStyle name="Normal 3 4 6 7 12" xfId="16405" xr:uid="{00000000-0005-0000-0000-000032710000}"/>
    <cellStyle name="Normal 3 4 6 7 12 2" xfId="33875" xr:uid="{00000000-0005-0000-0000-000033710000}"/>
    <cellStyle name="Normal 3 4 6 7 13" xfId="16406" xr:uid="{00000000-0005-0000-0000-000034710000}"/>
    <cellStyle name="Normal 3 4 6 7 13 2" xfId="33876" xr:uid="{00000000-0005-0000-0000-000035710000}"/>
    <cellStyle name="Normal 3 4 6 7 14" xfId="16407" xr:uid="{00000000-0005-0000-0000-000036710000}"/>
    <cellStyle name="Normal 3 4 6 7 14 2" xfId="33877" xr:uid="{00000000-0005-0000-0000-000037710000}"/>
    <cellStyle name="Normal 3 4 6 7 15" xfId="16408" xr:uid="{00000000-0005-0000-0000-000038710000}"/>
    <cellStyle name="Normal 3 4 6 7 15 2" xfId="33878" xr:uid="{00000000-0005-0000-0000-000039710000}"/>
    <cellStyle name="Normal 3 4 6 7 16" xfId="33872" xr:uid="{00000000-0005-0000-0000-00003A710000}"/>
    <cellStyle name="Normal 3 4 6 7 2" xfId="16409" xr:uid="{00000000-0005-0000-0000-00003B710000}"/>
    <cellStyle name="Normal 3 4 6 7 2 10" xfId="16410" xr:uid="{00000000-0005-0000-0000-00003C710000}"/>
    <cellStyle name="Normal 3 4 6 7 2 10 2" xfId="33880" xr:uid="{00000000-0005-0000-0000-00003D710000}"/>
    <cellStyle name="Normal 3 4 6 7 2 11" xfId="16411" xr:uid="{00000000-0005-0000-0000-00003E710000}"/>
    <cellStyle name="Normal 3 4 6 7 2 11 2" xfId="33881" xr:uid="{00000000-0005-0000-0000-00003F710000}"/>
    <cellStyle name="Normal 3 4 6 7 2 12" xfId="16412" xr:uid="{00000000-0005-0000-0000-000040710000}"/>
    <cellStyle name="Normal 3 4 6 7 2 12 2" xfId="33882" xr:uid="{00000000-0005-0000-0000-000041710000}"/>
    <cellStyle name="Normal 3 4 6 7 2 13" xfId="16413" xr:uid="{00000000-0005-0000-0000-000042710000}"/>
    <cellStyle name="Normal 3 4 6 7 2 13 2" xfId="33883" xr:uid="{00000000-0005-0000-0000-000043710000}"/>
    <cellStyle name="Normal 3 4 6 7 2 14" xfId="16414" xr:uid="{00000000-0005-0000-0000-000044710000}"/>
    <cellStyle name="Normal 3 4 6 7 2 14 2" xfId="33884" xr:uid="{00000000-0005-0000-0000-000045710000}"/>
    <cellStyle name="Normal 3 4 6 7 2 15" xfId="33879" xr:uid="{00000000-0005-0000-0000-000046710000}"/>
    <cellStyle name="Normal 3 4 6 7 2 2" xfId="16415" xr:uid="{00000000-0005-0000-0000-000047710000}"/>
    <cellStyle name="Normal 3 4 6 7 2 2 2" xfId="33885" xr:uid="{00000000-0005-0000-0000-000048710000}"/>
    <cellStyle name="Normal 3 4 6 7 2 3" xfId="16416" xr:uid="{00000000-0005-0000-0000-000049710000}"/>
    <cellStyle name="Normal 3 4 6 7 2 3 2" xfId="33886" xr:uid="{00000000-0005-0000-0000-00004A710000}"/>
    <cellStyle name="Normal 3 4 6 7 2 4" xfId="16417" xr:uid="{00000000-0005-0000-0000-00004B710000}"/>
    <cellStyle name="Normal 3 4 6 7 2 4 2" xfId="33887" xr:uid="{00000000-0005-0000-0000-00004C710000}"/>
    <cellStyle name="Normal 3 4 6 7 2 5" xfId="16418" xr:uid="{00000000-0005-0000-0000-00004D710000}"/>
    <cellStyle name="Normal 3 4 6 7 2 5 2" xfId="33888" xr:uid="{00000000-0005-0000-0000-00004E710000}"/>
    <cellStyle name="Normal 3 4 6 7 2 6" xfId="16419" xr:uid="{00000000-0005-0000-0000-00004F710000}"/>
    <cellStyle name="Normal 3 4 6 7 2 6 2" xfId="33889" xr:uid="{00000000-0005-0000-0000-000050710000}"/>
    <cellStyle name="Normal 3 4 6 7 2 7" xfId="16420" xr:uid="{00000000-0005-0000-0000-000051710000}"/>
    <cellStyle name="Normal 3 4 6 7 2 7 2" xfId="33890" xr:uid="{00000000-0005-0000-0000-000052710000}"/>
    <cellStyle name="Normal 3 4 6 7 2 8" xfId="16421" xr:uid="{00000000-0005-0000-0000-000053710000}"/>
    <cellStyle name="Normal 3 4 6 7 2 8 2" xfId="33891" xr:uid="{00000000-0005-0000-0000-000054710000}"/>
    <cellStyle name="Normal 3 4 6 7 2 9" xfId="16422" xr:uid="{00000000-0005-0000-0000-000055710000}"/>
    <cellStyle name="Normal 3 4 6 7 2 9 2" xfId="33892" xr:uid="{00000000-0005-0000-0000-000056710000}"/>
    <cellStyle name="Normal 3 4 6 7 3" xfId="16423" xr:uid="{00000000-0005-0000-0000-000057710000}"/>
    <cellStyle name="Normal 3 4 6 7 3 2" xfId="33893" xr:uid="{00000000-0005-0000-0000-000058710000}"/>
    <cellStyle name="Normal 3 4 6 7 4" xfId="16424" xr:uid="{00000000-0005-0000-0000-000059710000}"/>
    <cellStyle name="Normal 3 4 6 7 4 2" xfId="33894" xr:uid="{00000000-0005-0000-0000-00005A710000}"/>
    <cellStyle name="Normal 3 4 6 7 5" xfId="16425" xr:uid="{00000000-0005-0000-0000-00005B710000}"/>
    <cellStyle name="Normal 3 4 6 7 5 2" xfId="33895" xr:uid="{00000000-0005-0000-0000-00005C710000}"/>
    <cellStyle name="Normal 3 4 6 7 6" xfId="16426" xr:uid="{00000000-0005-0000-0000-00005D710000}"/>
    <cellStyle name="Normal 3 4 6 7 6 2" xfId="33896" xr:uid="{00000000-0005-0000-0000-00005E710000}"/>
    <cellStyle name="Normal 3 4 6 7 7" xfId="16427" xr:uid="{00000000-0005-0000-0000-00005F710000}"/>
    <cellStyle name="Normal 3 4 6 7 7 2" xfId="33897" xr:uid="{00000000-0005-0000-0000-000060710000}"/>
    <cellStyle name="Normal 3 4 6 7 8" xfId="16428" xr:uid="{00000000-0005-0000-0000-000061710000}"/>
    <cellStyle name="Normal 3 4 6 7 8 2" xfId="33898" xr:uid="{00000000-0005-0000-0000-000062710000}"/>
    <cellStyle name="Normal 3 4 6 7 9" xfId="16429" xr:uid="{00000000-0005-0000-0000-000063710000}"/>
    <cellStyle name="Normal 3 4 6 7 9 2" xfId="33899" xr:uid="{00000000-0005-0000-0000-000064710000}"/>
    <cellStyle name="Normal 3 4 6 8" xfId="16430" xr:uid="{00000000-0005-0000-0000-000065710000}"/>
    <cellStyle name="Normal 3 4 6 8 10" xfId="16431" xr:uid="{00000000-0005-0000-0000-000066710000}"/>
    <cellStyle name="Normal 3 4 6 8 10 2" xfId="33901" xr:uid="{00000000-0005-0000-0000-000067710000}"/>
    <cellStyle name="Normal 3 4 6 8 11" xfId="16432" xr:uid="{00000000-0005-0000-0000-000068710000}"/>
    <cellStyle name="Normal 3 4 6 8 11 2" xfId="33902" xr:uid="{00000000-0005-0000-0000-000069710000}"/>
    <cellStyle name="Normal 3 4 6 8 12" xfId="16433" xr:uid="{00000000-0005-0000-0000-00006A710000}"/>
    <cellStyle name="Normal 3 4 6 8 12 2" xfId="33903" xr:uid="{00000000-0005-0000-0000-00006B710000}"/>
    <cellStyle name="Normal 3 4 6 8 13" xfId="16434" xr:uid="{00000000-0005-0000-0000-00006C710000}"/>
    <cellStyle name="Normal 3 4 6 8 13 2" xfId="33904" xr:uid="{00000000-0005-0000-0000-00006D710000}"/>
    <cellStyle name="Normal 3 4 6 8 14" xfId="16435" xr:uid="{00000000-0005-0000-0000-00006E710000}"/>
    <cellStyle name="Normal 3 4 6 8 14 2" xfId="33905" xr:uid="{00000000-0005-0000-0000-00006F710000}"/>
    <cellStyle name="Normal 3 4 6 8 15" xfId="16436" xr:uid="{00000000-0005-0000-0000-000070710000}"/>
    <cellStyle name="Normal 3 4 6 8 15 2" xfId="33906" xr:uid="{00000000-0005-0000-0000-000071710000}"/>
    <cellStyle name="Normal 3 4 6 8 16" xfId="33900" xr:uid="{00000000-0005-0000-0000-000072710000}"/>
    <cellStyle name="Normal 3 4 6 8 2" xfId="16437" xr:uid="{00000000-0005-0000-0000-000073710000}"/>
    <cellStyle name="Normal 3 4 6 8 2 10" xfId="16438" xr:uid="{00000000-0005-0000-0000-000074710000}"/>
    <cellStyle name="Normal 3 4 6 8 2 10 2" xfId="33908" xr:uid="{00000000-0005-0000-0000-000075710000}"/>
    <cellStyle name="Normal 3 4 6 8 2 11" xfId="16439" xr:uid="{00000000-0005-0000-0000-000076710000}"/>
    <cellStyle name="Normal 3 4 6 8 2 11 2" xfId="33909" xr:uid="{00000000-0005-0000-0000-000077710000}"/>
    <cellStyle name="Normal 3 4 6 8 2 12" xfId="16440" xr:uid="{00000000-0005-0000-0000-000078710000}"/>
    <cellStyle name="Normal 3 4 6 8 2 12 2" xfId="33910" xr:uid="{00000000-0005-0000-0000-000079710000}"/>
    <cellStyle name="Normal 3 4 6 8 2 13" xfId="16441" xr:uid="{00000000-0005-0000-0000-00007A710000}"/>
    <cellStyle name="Normal 3 4 6 8 2 13 2" xfId="33911" xr:uid="{00000000-0005-0000-0000-00007B710000}"/>
    <cellStyle name="Normal 3 4 6 8 2 14" xfId="16442" xr:uid="{00000000-0005-0000-0000-00007C710000}"/>
    <cellStyle name="Normal 3 4 6 8 2 14 2" xfId="33912" xr:uid="{00000000-0005-0000-0000-00007D710000}"/>
    <cellStyle name="Normal 3 4 6 8 2 15" xfId="33907" xr:uid="{00000000-0005-0000-0000-00007E710000}"/>
    <cellStyle name="Normal 3 4 6 8 2 2" xfId="16443" xr:uid="{00000000-0005-0000-0000-00007F710000}"/>
    <cellStyle name="Normal 3 4 6 8 2 2 2" xfId="33913" xr:uid="{00000000-0005-0000-0000-000080710000}"/>
    <cellStyle name="Normal 3 4 6 8 2 3" xfId="16444" xr:uid="{00000000-0005-0000-0000-000081710000}"/>
    <cellStyle name="Normal 3 4 6 8 2 3 2" xfId="33914" xr:uid="{00000000-0005-0000-0000-000082710000}"/>
    <cellStyle name="Normal 3 4 6 8 2 4" xfId="16445" xr:uid="{00000000-0005-0000-0000-000083710000}"/>
    <cellStyle name="Normal 3 4 6 8 2 4 2" xfId="33915" xr:uid="{00000000-0005-0000-0000-000084710000}"/>
    <cellStyle name="Normal 3 4 6 8 2 5" xfId="16446" xr:uid="{00000000-0005-0000-0000-000085710000}"/>
    <cellStyle name="Normal 3 4 6 8 2 5 2" xfId="33916" xr:uid="{00000000-0005-0000-0000-000086710000}"/>
    <cellStyle name="Normal 3 4 6 8 2 6" xfId="16447" xr:uid="{00000000-0005-0000-0000-000087710000}"/>
    <cellStyle name="Normal 3 4 6 8 2 6 2" xfId="33917" xr:uid="{00000000-0005-0000-0000-000088710000}"/>
    <cellStyle name="Normal 3 4 6 8 2 7" xfId="16448" xr:uid="{00000000-0005-0000-0000-000089710000}"/>
    <cellStyle name="Normal 3 4 6 8 2 7 2" xfId="33918" xr:uid="{00000000-0005-0000-0000-00008A710000}"/>
    <cellStyle name="Normal 3 4 6 8 2 8" xfId="16449" xr:uid="{00000000-0005-0000-0000-00008B710000}"/>
    <cellStyle name="Normal 3 4 6 8 2 8 2" xfId="33919" xr:uid="{00000000-0005-0000-0000-00008C710000}"/>
    <cellStyle name="Normal 3 4 6 8 2 9" xfId="16450" xr:uid="{00000000-0005-0000-0000-00008D710000}"/>
    <cellStyle name="Normal 3 4 6 8 2 9 2" xfId="33920" xr:uid="{00000000-0005-0000-0000-00008E710000}"/>
    <cellStyle name="Normal 3 4 6 8 3" xfId="16451" xr:uid="{00000000-0005-0000-0000-00008F710000}"/>
    <cellStyle name="Normal 3 4 6 8 3 2" xfId="33921" xr:uid="{00000000-0005-0000-0000-000090710000}"/>
    <cellStyle name="Normal 3 4 6 8 4" xfId="16452" xr:uid="{00000000-0005-0000-0000-000091710000}"/>
    <cellStyle name="Normal 3 4 6 8 4 2" xfId="33922" xr:uid="{00000000-0005-0000-0000-000092710000}"/>
    <cellStyle name="Normal 3 4 6 8 5" xfId="16453" xr:uid="{00000000-0005-0000-0000-000093710000}"/>
    <cellStyle name="Normal 3 4 6 8 5 2" xfId="33923" xr:uid="{00000000-0005-0000-0000-000094710000}"/>
    <cellStyle name="Normal 3 4 6 8 6" xfId="16454" xr:uid="{00000000-0005-0000-0000-000095710000}"/>
    <cellStyle name="Normal 3 4 6 8 6 2" xfId="33924" xr:uid="{00000000-0005-0000-0000-000096710000}"/>
    <cellStyle name="Normal 3 4 6 8 7" xfId="16455" xr:uid="{00000000-0005-0000-0000-000097710000}"/>
    <cellStyle name="Normal 3 4 6 8 7 2" xfId="33925" xr:uid="{00000000-0005-0000-0000-000098710000}"/>
    <cellStyle name="Normal 3 4 6 8 8" xfId="16456" xr:uid="{00000000-0005-0000-0000-000099710000}"/>
    <cellStyle name="Normal 3 4 6 8 8 2" xfId="33926" xr:uid="{00000000-0005-0000-0000-00009A710000}"/>
    <cellStyle name="Normal 3 4 6 8 9" xfId="16457" xr:uid="{00000000-0005-0000-0000-00009B710000}"/>
    <cellStyle name="Normal 3 4 6 8 9 2" xfId="33927" xr:uid="{00000000-0005-0000-0000-00009C710000}"/>
    <cellStyle name="Normal 3 4 6 9" xfId="16458" xr:uid="{00000000-0005-0000-0000-00009D710000}"/>
    <cellStyle name="Normal 3 4 6 9 10" xfId="16459" xr:uid="{00000000-0005-0000-0000-00009E710000}"/>
    <cellStyle name="Normal 3 4 6 9 10 2" xfId="33929" xr:uid="{00000000-0005-0000-0000-00009F710000}"/>
    <cellStyle name="Normal 3 4 6 9 11" xfId="16460" xr:uid="{00000000-0005-0000-0000-0000A0710000}"/>
    <cellStyle name="Normal 3 4 6 9 11 2" xfId="33930" xr:uid="{00000000-0005-0000-0000-0000A1710000}"/>
    <cellStyle name="Normal 3 4 6 9 12" xfId="16461" xr:uid="{00000000-0005-0000-0000-0000A2710000}"/>
    <cellStyle name="Normal 3 4 6 9 12 2" xfId="33931" xr:uid="{00000000-0005-0000-0000-0000A3710000}"/>
    <cellStyle name="Normal 3 4 6 9 13" xfId="16462" xr:uid="{00000000-0005-0000-0000-0000A4710000}"/>
    <cellStyle name="Normal 3 4 6 9 13 2" xfId="33932" xr:uid="{00000000-0005-0000-0000-0000A5710000}"/>
    <cellStyle name="Normal 3 4 6 9 14" xfId="16463" xr:uid="{00000000-0005-0000-0000-0000A6710000}"/>
    <cellStyle name="Normal 3 4 6 9 14 2" xfId="33933" xr:uid="{00000000-0005-0000-0000-0000A7710000}"/>
    <cellStyle name="Normal 3 4 6 9 15" xfId="33928" xr:uid="{00000000-0005-0000-0000-0000A8710000}"/>
    <cellStyle name="Normal 3 4 6 9 2" xfId="16464" xr:uid="{00000000-0005-0000-0000-0000A9710000}"/>
    <cellStyle name="Normal 3 4 6 9 2 2" xfId="33934" xr:uid="{00000000-0005-0000-0000-0000AA710000}"/>
    <cellStyle name="Normal 3 4 6 9 3" xfId="16465" xr:uid="{00000000-0005-0000-0000-0000AB710000}"/>
    <cellStyle name="Normal 3 4 6 9 3 2" xfId="33935" xr:uid="{00000000-0005-0000-0000-0000AC710000}"/>
    <cellStyle name="Normal 3 4 6 9 4" xfId="16466" xr:uid="{00000000-0005-0000-0000-0000AD710000}"/>
    <cellStyle name="Normal 3 4 6 9 4 2" xfId="33936" xr:uid="{00000000-0005-0000-0000-0000AE710000}"/>
    <cellStyle name="Normal 3 4 6 9 5" xfId="16467" xr:uid="{00000000-0005-0000-0000-0000AF710000}"/>
    <cellStyle name="Normal 3 4 6 9 5 2" xfId="33937" xr:uid="{00000000-0005-0000-0000-0000B0710000}"/>
    <cellStyle name="Normal 3 4 6 9 6" xfId="16468" xr:uid="{00000000-0005-0000-0000-0000B1710000}"/>
    <cellStyle name="Normal 3 4 6 9 6 2" xfId="33938" xr:uid="{00000000-0005-0000-0000-0000B2710000}"/>
    <cellStyle name="Normal 3 4 6 9 7" xfId="16469" xr:uid="{00000000-0005-0000-0000-0000B3710000}"/>
    <cellStyle name="Normal 3 4 6 9 7 2" xfId="33939" xr:uid="{00000000-0005-0000-0000-0000B4710000}"/>
    <cellStyle name="Normal 3 4 6 9 8" xfId="16470" xr:uid="{00000000-0005-0000-0000-0000B5710000}"/>
    <cellStyle name="Normal 3 4 6 9 8 2" xfId="33940" xr:uid="{00000000-0005-0000-0000-0000B6710000}"/>
    <cellStyle name="Normal 3 4 6 9 9" xfId="16471" xr:uid="{00000000-0005-0000-0000-0000B7710000}"/>
    <cellStyle name="Normal 3 4 6 9 9 2" xfId="33941" xr:uid="{00000000-0005-0000-0000-0000B8710000}"/>
    <cellStyle name="Normal 3 4 7" xfId="16472" xr:uid="{00000000-0005-0000-0000-0000B9710000}"/>
    <cellStyle name="Normal 3 4 7 10" xfId="16473" xr:uid="{00000000-0005-0000-0000-0000BA710000}"/>
    <cellStyle name="Normal 3 4 7 10 10" xfId="16474" xr:uid="{00000000-0005-0000-0000-0000BB710000}"/>
    <cellStyle name="Normal 3 4 7 10 10 2" xfId="33944" xr:uid="{00000000-0005-0000-0000-0000BC710000}"/>
    <cellStyle name="Normal 3 4 7 10 11" xfId="16475" xr:uid="{00000000-0005-0000-0000-0000BD710000}"/>
    <cellStyle name="Normal 3 4 7 10 11 2" xfId="33945" xr:uid="{00000000-0005-0000-0000-0000BE710000}"/>
    <cellStyle name="Normal 3 4 7 10 12" xfId="16476" xr:uid="{00000000-0005-0000-0000-0000BF710000}"/>
    <cellStyle name="Normal 3 4 7 10 12 2" xfId="33946" xr:uid="{00000000-0005-0000-0000-0000C0710000}"/>
    <cellStyle name="Normal 3 4 7 10 13" xfId="16477" xr:uid="{00000000-0005-0000-0000-0000C1710000}"/>
    <cellStyle name="Normal 3 4 7 10 13 2" xfId="33947" xr:uid="{00000000-0005-0000-0000-0000C2710000}"/>
    <cellStyle name="Normal 3 4 7 10 14" xfId="16478" xr:uid="{00000000-0005-0000-0000-0000C3710000}"/>
    <cellStyle name="Normal 3 4 7 10 14 2" xfId="33948" xr:uid="{00000000-0005-0000-0000-0000C4710000}"/>
    <cellStyle name="Normal 3 4 7 10 15" xfId="33943" xr:uid="{00000000-0005-0000-0000-0000C5710000}"/>
    <cellStyle name="Normal 3 4 7 10 2" xfId="16479" xr:uid="{00000000-0005-0000-0000-0000C6710000}"/>
    <cellStyle name="Normal 3 4 7 10 2 2" xfId="33949" xr:uid="{00000000-0005-0000-0000-0000C7710000}"/>
    <cellStyle name="Normal 3 4 7 10 3" xfId="16480" xr:uid="{00000000-0005-0000-0000-0000C8710000}"/>
    <cellStyle name="Normal 3 4 7 10 3 2" xfId="33950" xr:uid="{00000000-0005-0000-0000-0000C9710000}"/>
    <cellStyle name="Normal 3 4 7 10 4" xfId="16481" xr:uid="{00000000-0005-0000-0000-0000CA710000}"/>
    <cellStyle name="Normal 3 4 7 10 4 2" xfId="33951" xr:uid="{00000000-0005-0000-0000-0000CB710000}"/>
    <cellStyle name="Normal 3 4 7 10 5" xfId="16482" xr:uid="{00000000-0005-0000-0000-0000CC710000}"/>
    <cellStyle name="Normal 3 4 7 10 5 2" xfId="33952" xr:uid="{00000000-0005-0000-0000-0000CD710000}"/>
    <cellStyle name="Normal 3 4 7 10 6" xfId="16483" xr:uid="{00000000-0005-0000-0000-0000CE710000}"/>
    <cellStyle name="Normal 3 4 7 10 6 2" xfId="33953" xr:uid="{00000000-0005-0000-0000-0000CF710000}"/>
    <cellStyle name="Normal 3 4 7 10 7" xfId="16484" xr:uid="{00000000-0005-0000-0000-0000D0710000}"/>
    <cellStyle name="Normal 3 4 7 10 7 2" xfId="33954" xr:uid="{00000000-0005-0000-0000-0000D1710000}"/>
    <cellStyle name="Normal 3 4 7 10 8" xfId="16485" xr:uid="{00000000-0005-0000-0000-0000D2710000}"/>
    <cellStyle name="Normal 3 4 7 10 8 2" xfId="33955" xr:uid="{00000000-0005-0000-0000-0000D3710000}"/>
    <cellStyle name="Normal 3 4 7 10 9" xfId="16486" xr:uid="{00000000-0005-0000-0000-0000D4710000}"/>
    <cellStyle name="Normal 3 4 7 10 9 2" xfId="33956" xr:uid="{00000000-0005-0000-0000-0000D5710000}"/>
    <cellStyle name="Normal 3 4 7 11" xfId="16487" xr:uid="{00000000-0005-0000-0000-0000D6710000}"/>
    <cellStyle name="Normal 3 4 7 11 2" xfId="33957" xr:uid="{00000000-0005-0000-0000-0000D7710000}"/>
    <cellStyle name="Normal 3 4 7 12" xfId="16488" xr:uid="{00000000-0005-0000-0000-0000D8710000}"/>
    <cellStyle name="Normal 3 4 7 12 2" xfId="33958" xr:uid="{00000000-0005-0000-0000-0000D9710000}"/>
    <cellStyle name="Normal 3 4 7 13" xfId="16489" xr:uid="{00000000-0005-0000-0000-0000DA710000}"/>
    <cellStyle name="Normal 3 4 7 13 2" xfId="33959" xr:uid="{00000000-0005-0000-0000-0000DB710000}"/>
    <cellStyle name="Normal 3 4 7 14" xfId="16490" xr:uid="{00000000-0005-0000-0000-0000DC710000}"/>
    <cellStyle name="Normal 3 4 7 14 2" xfId="33960" xr:uid="{00000000-0005-0000-0000-0000DD710000}"/>
    <cellStyle name="Normal 3 4 7 15" xfId="16491" xr:uid="{00000000-0005-0000-0000-0000DE710000}"/>
    <cellStyle name="Normal 3 4 7 15 2" xfId="33961" xr:uid="{00000000-0005-0000-0000-0000DF710000}"/>
    <cellStyle name="Normal 3 4 7 16" xfId="16492" xr:uid="{00000000-0005-0000-0000-0000E0710000}"/>
    <cellStyle name="Normal 3 4 7 16 2" xfId="33962" xr:uid="{00000000-0005-0000-0000-0000E1710000}"/>
    <cellStyle name="Normal 3 4 7 17" xfId="16493" xr:uid="{00000000-0005-0000-0000-0000E2710000}"/>
    <cellStyle name="Normal 3 4 7 17 2" xfId="33963" xr:uid="{00000000-0005-0000-0000-0000E3710000}"/>
    <cellStyle name="Normal 3 4 7 18" xfId="16494" xr:uid="{00000000-0005-0000-0000-0000E4710000}"/>
    <cellStyle name="Normal 3 4 7 18 2" xfId="33964" xr:uid="{00000000-0005-0000-0000-0000E5710000}"/>
    <cellStyle name="Normal 3 4 7 19" xfId="16495" xr:uid="{00000000-0005-0000-0000-0000E6710000}"/>
    <cellStyle name="Normal 3 4 7 19 2" xfId="33965" xr:uid="{00000000-0005-0000-0000-0000E7710000}"/>
    <cellStyle name="Normal 3 4 7 2" xfId="16496" xr:uid="{00000000-0005-0000-0000-0000E8710000}"/>
    <cellStyle name="Normal 3 4 7 2 10" xfId="16497" xr:uid="{00000000-0005-0000-0000-0000E9710000}"/>
    <cellStyle name="Normal 3 4 7 2 10 2" xfId="33967" xr:uid="{00000000-0005-0000-0000-0000EA710000}"/>
    <cellStyle name="Normal 3 4 7 2 11" xfId="16498" xr:uid="{00000000-0005-0000-0000-0000EB710000}"/>
    <cellStyle name="Normal 3 4 7 2 11 2" xfId="33968" xr:uid="{00000000-0005-0000-0000-0000EC710000}"/>
    <cellStyle name="Normal 3 4 7 2 12" xfId="16499" xr:uid="{00000000-0005-0000-0000-0000ED710000}"/>
    <cellStyle name="Normal 3 4 7 2 12 2" xfId="33969" xr:uid="{00000000-0005-0000-0000-0000EE710000}"/>
    <cellStyle name="Normal 3 4 7 2 13" xfId="16500" xr:uid="{00000000-0005-0000-0000-0000EF710000}"/>
    <cellStyle name="Normal 3 4 7 2 13 2" xfId="33970" xr:uid="{00000000-0005-0000-0000-0000F0710000}"/>
    <cellStyle name="Normal 3 4 7 2 14" xfId="16501" xr:uid="{00000000-0005-0000-0000-0000F1710000}"/>
    <cellStyle name="Normal 3 4 7 2 14 2" xfId="33971" xr:uid="{00000000-0005-0000-0000-0000F2710000}"/>
    <cellStyle name="Normal 3 4 7 2 15" xfId="16502" xr:uid="{00000000-0005-0000-0000-0000F3710000}"/>
    <cellStyle name="Normal 3 4 7 2 15 2" xfId="33972" xr:uid="{00000000-0005-0000-0000-0000F4710000}"/>
    <cellStyle name="Normal 3 4 7 2 16" xfId="33966" xr:uid="{00000000-0005-0000-0000-0000F5710000}"/>
    <cellStyle name="Normal 3 4 7 2 2" xfId="16503" xr:uid="{00000000-0005-0000-0000-0000F6710000}"/>
    <cellStyle name="Normal 3 4 7 2 2 10" xfId="16504" xr:uid="{00000000-0005-0000-0000-0000F7710000}"/>
    <cellStyle name="Normal 3 4 7 2 2 10 2" xfId="33974" xr:uid="{00000000-0005-0000-0000-0000F8710000}"/>
    <cellStyle name="Normal 3 4 7 2 2 11" xfId="16505" xr:uid="{00000000-0005-0000-0000-0000F9710000}"/>
    <cellStyle name="Normal 3 4 7 2 2 11 2" xfId="33975" xr:uid="{00000000-0005-0000-0000-0000FA710000}"/>
    <cellStyle name="Normal 3 4 7 2 2 12" xfId="16506" xr:uid="{00000000-0005-0000-0000-0000FB710000}"/>
    <cellStyle name="Normal 3 4 7 2 2 12 2" xfId="33976" xr:uid="{00000000-0005-0000-0000-0000FC710000}"/>
    <cellStyle name="Normal 3 4 7 2 2 13" xfId="16507" xr:uid="{00000000-0005-0000-0000-0000FD710000}"/>
    <cellStyle name="Normal 3 4 7 2 2 13 2" xfId="33977" xr:uid="{00000000-0005-0000-0000-0000FE710000}"/>
    <cellStyle name="Normal 3 4 7 2 2 14" xfId="16508" xr:uid="{00000000-0005-0000-0000-0000FF710000}"/>
    <cellStyle name="Normal 3 4 7 2 2 14 2" xfId="33978" xr:uid="{00000000-0005-0000-0000-000000720000}"/>
    <cellStyle name="Normal 3 4 7 2 2 15" xfId="33973" xr:uid="{00000000-0005-0000-0000-000001720000}"/>
    <cellStyle name="Normal 3 4 7 2 2 2" xfId="16509" xr:uid="{00000000-0005-0000-0000-000002720000}"/>
    <cellStyle name="Normal 3 4 7 2 2 2 2" xfId="33979" xr:uid="{00000000-0005-0000-0000-000003720000}"/>
    <cellStyle name="Normal 3 4 7 2 2 3" xfId="16510" xr:uid="{00000000-0005-0000-0000-000004720000}"/>
    <cellStyle name="Normal 3 4 7 2 2 3 2" xfId="33980" xr:uid="{00000000-0005-0000-0000-000005720000}"/>
    <cellStyle name="Normal 3 4 7 2 2 4" xfId="16511" xr:uid="{00000000-0005-0000-0000-000006720000}"/>
    <cellStyle name="Normal 3 4 7 2 2 4 2" xfId="33981" xr:uid="{00000000-0005-0000-0000-000007720000}"/>
    <cellStyle name="Normal 3 4 7 2 2 5" xfId="16512" xr:uid="{00000000-0005-0000-0000-000008720000}"/>
    <cellStyle name="Normal 3 4 7 2 2 5 2" xfId="33982" xr:uid="{00000000-0005-0000-0000-000009720000}"/>
    <cellStyle name="Normal 3 4 7 2 2 6" xfId="16513" xr:uid="{00000000-0005-0000-0000-00000A720000}"/>
    <cellStyle name="Normal 3 4 7 2 2 6 2" xfId="33983" xr:uid="{00000000-0005-0000-0000-00000B720000}"/>
    <cellStyle name="Normal 3 4 7 2 2 7" xfId="16514" xr:uid="{00000000-0005-0000-0000-00000C720000}"/>
    <cellStyle name="Normal 3 4 7 2 2 7 2" xfId="33984" xr:uid="{00000000-0005-0000-0000-00000D720000}"/>
    <cellStyle name="Normal 3 4 7 2 2 8" xfId="16515" xr:uid="{00000000-0005-0000-0000-00000E720000}"/>
    <cellStyle name="Normal 3 4 7 2 2 8 2" xfId="33985" xr:uid="{00000000-0005-0000-0000-00000F720000}"/>
    <cellStyle name="Normal 3 4 7 2 2 9" xfId="16516" xr:uid="{00000000-0005-0000-0000-000010720000}"/>
    <cellStyle name="Normal 3 4 7 2 2 9 2" xfId="33986" xr:uid="{00000000-0005-0000-0000-000011720000}"/>
    <cellStyle name="Normal 3 4 7 2 3" xfId="16517" xr:uid="{00000000-0005-0000-0000-000012720000}"/>
    <cellStyle name="Normal 3 4 7 2 3 2" xfId="33987" xr:uid="{00000000-0005-0000-0000-000013720000}"/>
    <cellStyle name="Normal 3 4 7 2 4" xfId="16518" xr:uid="{00000000-0005-0000-0000-000014720000}"/>
    <cellStyle name="Normal 3 4 7 2 4 2" xfId="33988" xr:uid="{00000000-0005-0000-0000-000015720000}"/>
    <cellStyle name="Normal 3 4 7 2 5" xfId="16519" xr:uid="{00000000-0005-0000-0000-000016720000}"/>
    <cellStyle name="Normal 3 4 7 2 5 2" xfId="33989" xr:uid="{00000000-0005-0000-0000-000017720000}"/>
    <cellStyle name="Normal 3 4 7 2 6" xfId="16520" xr:uid="{00000000-0005-0000-0000-000018720000}"/>
    <cellStyle name="Normal 3 4 7 2 6 2" xfId="33990" xr:uid="{00000000-0005-0000-0000-000019720000}"/>
    <cellStyle name="Normal 3 4 7 2 7" xfId="16521" xr:uid="{00000000-0005-0000-0000-00001A720000}"/>
    <cellStyle name="Normal 3 4 7 2 7 2" xfId="33991" xr:uid="{00000000-0005-0000-0000-00001B720000}"/>
    <cellStyle name="Normal 3 4 7 2 8" xfId="16522" xr:uid="{00000000-0005-0000-0000-00001C720000}"/>
    <cellStyle name="Normal 3 4 7 2 8 2" xfId="33992" xr:uid="{00000000-0005-0000-0000-00001D720000}"/>
    <cellStyle name="Normal 3 4 7 2 9" xfId="16523" xr:uid="{00000000-0005-0000-0000-00001E720000}"/>
    <cellStyle name="Normal 3 4 7 2 9 2" xfId="33993" xr:uid="{00000000-0005-0000-0000-00001F720000}"/>
    <cellStyle name="Normal 3 4 7 20" xfId="16524" xr:uid="{00000000-0005-0000-0000-000020720000}"/>
    <cellStyle name="Normal 3 4 7 20 2" xfId="33994" xr:uid="{00000000-0005-0000-0000-000021720000}"/>
    <cellStyle name="Normal 3 4 7 21" xfId="16525" xr:uid="{00000000-0005-0000-0000-000022720000}"/>
    <cellStyle name="Normal 3 4 7 21 2" xfId="33995" xr:uid="{00000000-0005-0000-0000-000023720000}"/>
    <cellStyle name="Normal 3 4 7 22" xfId="16526" xr:uid="{00000000-0005-0000-0000-000024720000}"/>
    <cellStyle name="Normal 3 4 7 22 2" xfId="33996" xr:uid="{00000000-0005-0000-0000-000025720000}"/>
    <cellStyle name="Normal 3 4 7 23" xfId="16527" xr:uid="{00000000-0005-0000-0000-000026720000}"/>
    <cellStyle name="Normal 3 4 7 23 2" xfId="33997" xr:uid="{00000000-0005-0000-0000-000027720000}"/>
    <cellStyle name="Normal 3 4 7 24" xfId="33942" xr:uid="{00000000-0005-0000-0000-000028720000}"/>
    <cellStyle name="Normal 3 4 7 3" xfId="16528" xr:uid="{00000000-0005-0000-0000-000029720000}"/>
    <cellStyle name="Normal 3 4 7 3 10" xfId="16529" xr:uid="{00000000-0005-0000-0000-00002A720000}"/>
    <cellStyle name="Normal 3 4 7 3 10 2" xfId="33999" xr:uid="{00000000-0005-0000-0000-00002B720000}"/>
    <cellStyle name="Normal 3 4 7 3 11" xfId="16530" xr:uid="{00000000-0005-0000-0000-00002C720000}"/>
    <cellStyle name="Normal 3 4 7 3 11 2" xfId="34000" xr:uid="{00000000-0005-0000-0000-00002D720000}"/>
    <cellStyle name="Normal 3 4 7 3 12" xfId="16531" xr:uid="{00000000-0005-0000-0000-00002E720000}"/>
    <cellStyle name="Normal 3 4 7 3 12 2" xfId="34001" xr:uid="{00000000-0005-0000-0000-00002F720000}"/>
    <cellStyle name="Normal 3 4 7 3 13" xfId="16532" xr:uid="{00000000-0005-0000-0000-000030720000}"/>
    <cellStyle name="Normal 3 4 7 3 13 2" xfId="34002" xr:uid="{00000000-0005-0000-0000-000031720000}"/>
    <cellStyle name="Normal 3 4 7 3 14" xfId="16533" xr:uid="{00000000-0005-0000-0000-000032720000}"/>
    <cellStyle name="Normal 3 4 7 3 14 2" xfId="34003" xr:uid="{00000000-0005-0000-0000-000033720000}"/>
    <cellStyle name="Normal 3 4 7 3 15" xfId="16534" xr:uid="{00000000-0005-0000-0000-000034720000}"/>
    <cellStyle name="Normal 3 4 7 3 15 2" xfId="34004" xr:uid="{00000000-0005-0000-0000-000035720000}"/>
    <cellStyle name="Normal 3 4 7 3 16" xfId="33998" xr:uid="{00000000-0005-0000-0000-000036720000}"/>
    <cellStyle name="Normal 3 4 7 3 2" xfId="16535" xr:uid="{00000000-0005-0000-0000-000037720000}"/>
    <cellStyle name="Normal 3 4 7 3 2 10" xfId="16536" xr:uid="{00000000-0005-0000-0000-000038720000}"/>
    <cellStyle name="Normal 3 4 7 3 2 10 2" xfId="34006" xr:uid="{00000000-0005-0000-0000-000039720000}"/>
    <cellStyle name="Normal 3 4 7 3 2 11" xfId="16537" xr:uid="{00000000-0005-0000-0000-00003A720000}"/>
    <cellStyle name="Normal 3 4 7 3 2 11 2" xfId="34007" xr:uid="{00000000-0005-0000-0000-00003B720000}"/>
    <cellStyle name="Normal 3 4 7 3 2 12" xfId="16538" xr:uid="{00000000-0005-0000-0000-00003C720000}"/>
    <cellStyle name="Normal 3 4 7 3 2 12 2" xfId="34008" xr:uid="{00000000-0005-0000-0000-00003D720000}"/>
    <cellStyle name="Normal 3 4 7 3 2 13" xfId="16539" xr:uid="{00000000-0005-0000-0000-00003E720000}"/>
    <cellStyle name="Normal 3 4 7 3 2 13 2" xfId="34009" xr:uid="{00000000-0005-0000-0000-00003F720000}"/>
    <cellStyle name="Normal 3 4 7 3 2 14" xfId="16540" xr:uid="{00000000-0005-0000-0000-000040720000}"/>
    <cellStyle name="Normal 3 4 7 3 2 14 2" xfId="34010" xr:uid="{00000000-0005-0000-0000-000041720000}"/>
    <cellStyle name="Normal 3 4 7 3 2 15" xfId="34005" xr:uid="{00000000-0005-0000-0000-000042720000}"/>
    <cellStyle name="Normal 3 4 7 3 2 2" xfId="16541" xr:uid="{00000000-0005-0000-0000-000043720000}"/>
    <cellStyle name="Normal 3 4 7 3 2 2 2" xfId="34011" xr:uid="{00000000-0005-0000-0000-000044720000}"/>
    <cellStyle name="Normal 3 4 7 3 2 3" xfId="16542" xr:uid="{00000000-0005-0000-0000-000045720000}"/>
    <cellStyle name="Normal 3 4 7 3 2 3 2" xfId="34012" xr:uid="{00000000-0005-0000-0000-000046720000}"/>
    <cellStyle name="Normal 3 4 7 3 2 4" xfId="16543" xr:uid="{00000000-0005-0000-0000-000047720000}"/>
    <cellStyle name="Normal 3 4 7 3 2 4 2" xfId="34013" xr:uid="{00000000-0005-0000-0000-000048720000}"/>
    <cellStyle name="Normal 3 4 7 3 2 5" xfId="16544" xr:uid="{00000000-0005-0000-0000-000049720000}"/>
    <cellStyle name="Normal 3 4 7 3 2 5 2" xfId="34014" xr:uid="{00000000-0005-0000-0000-00004A720000}"/>
    <cellStyle name="Normal 3 4 7 3 2 6" xfId="16545" xr:uid="{00000000-0005-0000-0000-00004B720000}"/>
    <cellStyle name="Normal 3 4 7 3 2 6 2" xfId="34015" xr:uid="{00000000-0005-0000-0000-00004C720000}"/>
    <cellStyle name="Normal 3 4 7 3 2 7" xfId="16546" xr:uid="{00000000-0005-0000-0000-00004D720000}"/>
    <cellStyle name="Normal 3 4 7 3 2 7 2" xfId="34016" xr:uid="{00000000-0005-0000-0000-00004E720000}"/>
    <cellStyle name="Normal 3 4 7 3 2 8" xfId="16547" xr:uid="{00000000-0005-0000-0000-00004F720000}"/>
    <cellStyle name="Normal 3 4 7 3 2 8 2" xfId="34017" xr:uid="{00000000-0005-0000-0000-000050720000}"/>
    <cellStyle name="Normal 3 4 7 3 2 9" xfId="16548" xr:uid="{00000000-0005-0000-0000-000051720000}"/>
    <cellStyle name="Normal 3 4 7 3 2 9 2" xfId="34018" xr:uid="{00000000-0005-0000-0000-000052720000}"/>
    <cellStyle name="Normal 3 4 7 3 3" xfId="16549" xr:uid="{00000000-0005-0000-0000-000053720000}"/>
    <cellStyle name="Normal 3 4 7 3 3 2" xfId="34019" xr:uid="{00000000-0005-0000-0000-000054720000}"/>
    <cellStyle name="Normal 3 4 7 3 4" xfId="16550" xr:uid="{00000000-0005-0000-0000-000055720000}"/>
    <cellStyle name="Normal 3 4 7 3 4 2" xfId="34020" xr:uid="{00000000-0005-0000-0000-000056720000}"/>
    <cellStyle name="Normal 3 4 7 3 5" xfId="16551" xr:uid="{00000000-0005-0000-0000-000057720000}"/>
    <cellStyle name="Normal 3 4 7 3 5 2" xfId="34021" xr:uid="{00000000-0005-0000-0000-000058720000}"/>
    <cellStyle name="Normal 3 4 7 3 6" xfId="16552" xr:uid="{00000000-0005-0000-0000-000059720000}"/>
    <cellStyle name="Normal 3 4 7 3 6 2" xfId="34022" xr:uid="{00000000-0005-0000-0000-00005A720000}"/>
    <cellStyle name="Normal 3 4 7 3 7" xfId="16553" xr:uid="{00000000-0005-0000-0000-00005B720000}"/>
    <cellStyle name="Normal 3 4 7 3 7 2" xfId="34023" xr:uid="{00000000-0005-0000-0000-00005C720000}"/>
    <cellStyle name="Normal 3 4 7 3 8" xfId="16554" xr:uid="{00000000-0005-0000-0000-00005D720000}"/>
    <cellStyle name="Normal 3 4 7 3 8 2" xfId="34024" xr:uid="{00000000-0005-0000-0000-00005E720000}"/>
    <cellStyle name="Normal 3 4 7 3 9" xfId="16555" xr:uid="{00000000-0005-0000-0000-00005F720000}"/>
    <cellStyle name="Normal 3 4 7 3 9 2" xfId="34025" xr:uid="{00000000-0005-0000-0000-000060720000}"/>
    <cellStyle name="Normal 3 4 7 4" xfId="16556" xr:uid="{00000000-0005-0000-0000-000061720000}"/>
    <cellStyle name="Normal 3 4 7 4 10" xfId="16557" xr:uid="{00000000-0005-0000-0000-000062720000}"/>
    <cellStyle name="Normal 3 4 7 4 10 2" xfId="34027" xr:uid="{00000000-0005-0000-0000-000063720000}"/>
    <cellStyle name="Normal 3 4 7 4 11" xfId="16558" xr:uid="{00000000-0005-0000-0000-000064720000}"/>
    <cellStyle name="Normal 3 4 7 4 11 2" xfId="34028" xr:uid="{00000000-0005-0000-0000-000065720000}"/>
    <cellStyle name="Normal 3 4 7 4 12" xfId="16559" xr:uid="{00000000-0005-0000-0000-000066720000}"/>
    <cellStyle name="Normal 3 4 7 4 12 2" xfId="34029" xr:uid="{00000000-0005-0000-0000-000067720000}"/>
    <cellStyle name="Normal 3 4 7 4 13" xfId="16560" xr:uid="{00000000-0005-0000-0000-000068720000}"/>
    <cellStyle name="Normal 3 4 7 4 13 2" xfId="34030" xr:uid="{00000000-0005-0000-0000-000069720000}"/>
    <cellStyle name="Normal 3 4 7 4 14" xfId="16561" xr:uid="{00000000-0005-0000-0000-00006A720000}"/>
    <cellStyle name="Normal 3 4 7 4 14 2" xfId="34031" xr:uid="{00000000-0005-0000-0000-00006B720000}"/>
    <cellStyle name="Normal 3 4 7 4 15" xfId="16562" xr:uid="{00000000-0005-0000-0000-00006C720000}"/>
    <cellStyle name="Normal 3 4 7 4 15 2" xfId="34032" xr:uid="{00000000-0005-0000-0000-00006D720000}"/>
    <cellStyle name="Normal 3 4 7 4 16" xfId="34026" xr:uid="{00000000-0005-0000-0000-00006E720000}"/>
    <cellStyle name="Normal 3 4 7 4 2" xfId="16563" xr:uid="{00000000-0005-0000-0000-00006F720000}"/>
    <cellStyle name="Normal 3 4 7 4 2 10" xfId="16564" xr:uid="{00000000-0005-0000-0000-000070720000}"/>
    <cellStyle name="Normal 3 4 7 4 2 10 2" xfId="34034" xr:uid="{00000000-0005-0000-0000-000071720000}"/>
    <cellStyle name="Normal 3 4 7 4 2 11" xfId="16565" xr:uid="{00000000-0005-0000-0000-000072720000}"/>
    <cellStyle name="Normal 3 4 7 4 2 11 2" xfId="34035" xr:uid="{00000000-0005-0000-0000-000073720000}"/>
    <cellStyle name="Normal 3 4 7 4 2 12" xfId="16566" xr:uid="{00000000-0005-0000-0000-000074720000}"/>
    <cellStyle name="Normal 3 4 7 4 2 12 2" xfId="34036" xr:uid="{00000000-0005-0000-0000-000075720000}"/>
    <cellStyle name="Normal 3 4 7 4 2 13" xfId="16567" xr:uid="{00000000-0005-0000-0000-000076720000}"/>
    <cellStyle name="Normal 3 4 7 4 2 13 2" xfId="34037" xr:uid="{00000000-0005-0000-0000-000077720000}"/>
    <cellStyle name="Normal 3 4 7 4 2 14" xfId="16568" xr:uid="{00000000-0005-0000-0000-000078720000}"/>
    <cellStyle name="Normal 3 4 7 4 2 14 2" xfId="34038" xr:uid="{00000000-0005-0000-0000-000079720000}"/>
    <cellStyle name="Normal 3 4 7 4 2 15" xfId="34033" xr:uid="{00000000-0005-0000-0000-00007A720000}"/>
    <cellStyle name="Normal 3 4 7 4 2 2" xfId="16569" xr:uid="{00000000-0005-0000-0000-00007B720000}"/>
    <cellStyle name="Normal 3 4 7 4 2 2 2" xfId="34039" xr:uid="{00000000-0005-0000-0000-00007C720000}"/>
    <cellStyle name="Normal 3 4 7 4 2 3" xfId="16570" xr:uid="{00000000-0005-0000-0000-00007D720000}"/>
    <cellStyle name="Normal 3 4 7 4 2 3 2" xfId="34040" xr:uid="{00000000-0005-0000-0000-00007E720000}"/>
    <cellStyle name="Normal 3 4 7 4 2 4" xfId="16571" xr:uid="{00000000-0005-0000-0000-00007F720000}"/>
    <cellStyle name="Normal 3 4 7 4 2 4 2" xfId="34041" xr:uid="{00000000-0005-0000-0000-000080720000}"/>
    <cellStyle name="Normal 3 4 7 4 2 5" xfId="16572" xr:uid="{00000000-0005-0000-0000-000081720000}"/>
    <cellStyle name="Normal 3 4 7 4 2 5 2" xfId="34042" xr:uid="{00000000-0005-0000-0000-000082720000}"/>
    <cellStyle name="Normal 3 4 7 4 2 6" xfId="16573" xr:uid="{00000000-0005-0000-0000-000083720000}"/>
    <cellStyle name="Normal 3 4 7 4 2 6 2" xfId="34043" xr:uid="{00000000-0005-0000-0000-000084720000}"/>
    <cellStyle name="Normal 3 4 7 4 2 7" xfId="16574" xr:uid="{00000000-0005-0000-0000-000085720000}"/>
    <cellStyle name="Normal 3 4 7 4 2 7 2" xfId="34044" xr:uid="{00000000-0005-0000-0000-000086720000}"/>
    <cellStyle name="Normal 3 4 7 4 2 8" xfId="16575" xr:uid="{00000000-0005-0000-0000-000087720000}"/>
    <cellStyle name="Normal 3 4 7 4 2 8 2" xfId="34045" xr:uid="{00000000-0005-0000-0000-000088720000}"/>
    <cellStyle name="Normal 3 4 7 4 2 9" xfId="16576" xr:uid="{00000000-0005-0000-0000-000089720000}"/>
    <cellStyle name="Normal 3 4 7 4 2 9 2" xfId="34046" xr:uid="{00000000-0005-0000-0000-00008A720000}"/>
    <cellStyle name="Normal 3 4 7 4 3" xfId="16577" xr:uid="{00000000-0005-0000-0000-00008B720000}"/>
    <cellStyle name="Normal 3 4 7 4 3 2" xfId="34047" xr:uid="{00000000-0005-0000-0000-00008C720000}"/>
    <cellStyle name="Normal 3 4 7 4 4" xfId="16578" xr:uid="{00000000-0005-0000-0000-00008D720000}"/>
    <cellStyle name="Normal 3 4 7 4 4 2" xfId="34048" xr:uid="{00000000-0005-0000-0000-00008E720000}"/>
    <cellStyle name="Normal 3 4 7 4 5" xfId="16579" xr:uid="{00000000-0005-0000-0000-00008F720000}"/>
    <cellStyle name="Normal 3 4 7 4 5 2" xfId="34049" xr:uid="{00000000-0005-0000-0000-000090720000}"/>
    <cellStyle name="Normal 3 4 7 4 6" xfId="16580" xr:uid="{00000000-0005-0000-0000-000091720000}"/>
    <cellStyle name="Normal 3 4 7 4 6 2" xfId="34050" xr:uid="{00000000-0005-0000-0000-000092720000}"/>
    <cellStyle name="Normal 3 4 7 4 7" xfId="16581" xr:uid="{00000000-0005-0000-0000-000093720000}"/>
    <cellStyle name="Normal 3 4 7 4 7 2" xfId="34051" xr:uid="{00000000-0005-0000-0000-000094720000}"/>
    <cellStyle name="Normal 3 4 7 4 8" xfId="16582" xr:uid="{00000000-0005-0000-0000-000095720000}"/>
    <cellStyle name="Normal 3 4 7 4 8 2" xfId="34052" xr:uid="{00000000-0005-0000-0000-000096720000}"/>
    <cellStyle name="Normal 3 4 7 4 9" xfId="16583" xr:uid="{00000000-0005-0000-0000-000097720000}"/>
    <cellStyle name="Normal 3 4 7 4 9 2" xfId="34053" xr:uid="{00000000-0005-0000-0000-000098720000}"/>
    <cellStyle name="Normal 3 4 7 5" xfId="16584" xr:uid="{00000000-0005-0000-0000-000099720000}"/>
    <cellStyle name="Normal 3 4 7 5 10" xfId="16585" xr:uid="{00000000-0005-0000-0000-00009A720000}"/>
    <cellStyle name="Normal 3 4 7 5 10 2" xfId="34055" xr:uid="{00000000-0005-0000-0000-00009B720000}"/>
    <cellStyle name="Normal 3 4 7 5 11" xfId="16586" xr:uid="{00000000-0005-0000-0000-00009C720000}"/>
    <cellStyle name="Normal 3 4 7 5 11 2" xfId="34056" xr:uid="{00000000-0005-0000-0000-00009D720000}"/>
    <cellStyle name="Normal 3 4 7 5 12" xfId="16587" xr:uid="{00000000-0005-0000-0000-00009E720000}"/>
    <cellStyle name="Normal 3 4 7 5 12 2" xfId="34057" xr:uid="{00000000-0005-0000-0000-00009F720000}"/>
    <cellStyle name="Normal 3 4 7 5 13" xfId="16588" xr:uid="{00000000-0005-0000-0000-0000A0720000}"/>
    <cellStyle name="Normal 3 4 7 5 13 2" xfId="34058" xr:uid="{00000000-0005-0000-0000-0000A1720000}"/>
    <cellStyle name="Normal 3 4 7 5 14" xfId="16589" xr:uid="{00000000-0005-0000-0000-0000A2720000}"/>
    <cellStyle name="Normal 3 4 7 5 14 2" xfId="34059" xr:uid="{00000000-0005-0000-0000-0000A3720000}"/>
    <cellStyle name="Normal 3 4 7 5 15" xfId="34054" xr:uid="{00000000-0005-0000-0000-0000A4720000}"/>
    <cellStyle name="Normal 3 4 7 5 2" xfId="16590" xr:uid="{00000000-0005-0000-0000-0000A5720000}"/>
    <cellStyle name="Normal 3 4 7 5 2 2" xfId="34060" xr:uid="{00000000-0005-0000-0000-0000A6720000}"/>
    <cellStyle name="Normal 3 4 7 5 3" xfId="16591" xr:uid="{00000000-0005-0000-0000-0000A7720000}"/>
    <cellStyle name="Normal 3 4 7 5 3 2" xfId="34061" xr:uid="{00000000-0005-0000-0000-0000A8720000}"/>
    <cellStyle name="Normal 3 4 7 5 4" xfId="16592" xr:uid="{00000000-0005-0000-0000-0000A9720000}"/>
    <cellStyle name="Normal 3 4 7 5 4 2" xfId="34062" xr:uid="{00000000-0005-0000-0000-0000AA720000}"/>
    <cellStyle name="Normal 3 4 7 5 5" xfId="16593" xr:uid="{00000000-0005-0000-0000-0000AB720000}"/>
    <cellStyle name="Normal 3 4 7 5 5 2" xfId="34063" xr:uid="{00000000-0005-0000-0000-0000AC720000}"/>
    <cellStyle name="Normal 3 4 7 5 6" xfId="16594" xr:uid="{00000000-0005-0000-0000-0000AD720000}"/>
    <cellStyle name="Normal 3 4 7 5 6 2" xfId="34064" xr:uid="{00000000-0005-0000-0000-0000AE720000}"/>
    <cellStyle name="Normal 3 4 7 5 7" xfId="16595" xr:uid="{00000000-0005-0000-0000-0000AF720000}"/>
    <cellStyle name="Normal 3 4 7 5 7 2" xfId="34065" xr:uid="{00000000-0005-0000-0000-0000B0720000}"/>
    <cellStyle name="Normal 3 4 7 5 8" xfId="16596" xr:uid="{00000000-0005-0000-0000-0000B1720000}"/>
    <cellStyle name="Normal 3 4 7 5 8 2" xfId="34066" xr:uid="{00000000-0005-0000-0000-0000B2720000}"/>
    <cellStyle name="Normal 3 4 7 5 9" xfId="16597" xr:uid="{00000000-0005-0000-0000-0000B3720000}"/>
    <cellStyle name="Normal 3 4 7 5 9 2" xfId="34067" xr:uid="{00000000-0005-0000-0000-0000B4720000}"/>
    <cellStyle name="Normal 3 4 7 6" xfId="16598" xr:uid="{00000000-0005-0000-0000-0000B5720000}"/>
    <cellStyle name="Normal 3 4 7 6 10" xfId="16599" xr:uid="{00000000-0005-0000-0000-0000B6720000}"/>
    <cellStyle name="Normal 3 4 7 6 10 2" xfId="34069" xr:uid="{00000000-0005-0000-0000-0000B7720000}"/>
    <cellStyle name="Normal 3 4 7 6 11" xfId="16600" xr:uid="{00000000-0005-0000-0000-0000B8720000}"/>
    <cellStyle name="Normal 3 4 7 6 11 2" xfId="34070" xr:uid="{00000000-0005-0000-0000-0000B9720000}"/>
    <cellStyle name="Normal 3 4 7 6 12" xfId="16601" xr:uid="{00000000-0005-0000-0000-0000BA720000}"/>
    <cellStyle name="Normal 3 4 7 6 12 2" xfId="34071" xr:uid="{00000000-0005-0000-0000-0000BB720000}"/>
    <cellStyle name="Normal 3 4 7 6 13" xfId="16602" xr:uid="{00000000-0005-0000-0000-0000BC720000}"/>
    <cellStyle name="Normal 3 4 7 6 13 2" xfId="34072" xr:uid="{00000000-0005-0000-0000-0000BD720000}"/>
    <cellStyle name="Normal 3 4 7 6 14" xfId="16603" xr:uid="{00000000-0005-0000-0000-0000BE720000}"/>
    <cellStyle name="Normal 3 4 7 6 14 2" xfId="34073" xr:uid="{00000000-0005-0000-0000-0000BF720000}"/>
    <cellStyle name="Normal 3 4 7 6 15" xfId="34068" xr:uid="{00000000-0005-0000-0000-0000C0720000}"/>
    <cellStyle name="Normal 3 4 7 6 2" xfId="16604" xr:uid="{00000000-0005-0000-0000-0000C1720000}"/>
    <cellStyle name="Normal 3 4 7 6 2 2" xfId="34074" xr:uid="{00000000-0005-0000-0000-0000C2720000}"/>
    <cellStyle name="Normal 3 4 7 6 3" xfId="16605" xr:uid="{00000000-0005-0000-0000-0000C3720000}"/>
    <cellStyle name="Normal 3 4 7 6 3 2" xfId="34075" xr:uid="{00000000-0005-0000-0000-0000C4720000}"/>
    <cellStyle name="Normal 3 4 7 6 4" xfId="16606" xr:uid="{00000000-0005-0000-0000-0000C5720000}"/>
    <cellStyle name="Normal 3 4 7 6 4 2" xfId="34076" xr:uid="{00000000-0005-0000-0000-0000C6720000}"/>
    <cellStyle name="Normal 3 4 7 6 5" xfId="16607" xr:uid="{00000000-0005-0000-0000-0000C7720000}"/>
    <cellStyle name="Normal 3 4 7 6 5 2" xfId="34077" xr:uid="{00000000-0005-0000-0000-0000C8720000}"/>
    <cellStyle name="Normal 3 4 7 6 6" xfId="16608" xr:uid="{00000000-0005-0000-0000-0000C9720000}"/>
    <cellStyle name="Normal 3 4 7 6 6 2" xfId="34078" xr:uid="{00000000-0005-0000-0000-0000CA720000}"/>
    <cellStyle name="Normal 3 4 7 6 7" xfId="16609" xr:uid="{00000000-0005-0000-0000-0000CB720000}"/>
    <cellStyle name="Normal 3 4 7 6 7 2" xfId="34079" xr:uid="{00000000-0005-0000-0000-0000CC720000}"/>
    <cellStyle name="Normal 3 4 7 6 8" xfId="16610" xr:uid="{00000000-0005-0000-0000-0000CD720000}"/>
    <cellStyle name="Normal 3 4 7 6 8 2" xfId="34080" xr:uid="{00000000-0005-0000-0000-0000CE720000}"/>
    <cellStyle name="Normal 3 4 7 6 9" xfId="16611" xr:uid="{00000000-0005-0000-0000-0000CF720000}"/>
    <cellStyle name="Normal 3 4 7 6 9 2" xfId="34081" xr:uid="{00000000-0005-0000-0000-0000D0720000}"/>
    <cellStyle name="Normal 3 4 7 7" xfId="16612" xr:uid="{00000000-0005-0000-0000-0000D1720000}"/>
    <cellStyle name="Normal 3 4 7 7 10" xfId="16613" xr:uid="{00000000-0005-0000-0000-0000D2720000}"/>
    <cellStyle name="Normal 3 4 7 7 10 2" xfId="34083" xr:uid="{00000000-0005-0000-0000-0000D3720000}"/>
    <cellStyle name="Normal 3 4 7 7 11" xfId="16614" xr:uid="{00000000-0005-0000-0000-0000D4720000}"/>
    <cellStyle name="Normal 3 4 7 7 11 2" xfId="34084" xr:uid="{00000000-0005-0000-0000-0000D5720000}"/>
    <cellStyle name="Normal 3 4 7 7 12" xfId="16615" xr:uid="{00000000-0005-0000-0000-0000D6720000}"/>
    <cellStyle name="Normal 3 4 7 7 12 2" xfId="34085" xr:uid="{00000000-0005-0000-0000-0000D7720000}"/>
    <cellStyle name="Normal 3 4 7 7 13" xfId="16616" xr:uid="{00000000-0005-0000-0000-0000D8720000}"/>
    <cellStyle name="Normal 3 4 7 7 13 2" xfId="34086" xr:uid="{00000000-0005-0000-0000-0000D9720000}"/>
    <cellStyle name="Normal 3 4 7 7 14" xfId="16617" xr:uid="{00000000-0005-0000-0000-0000DA720000}"/>
    <cellStyle name="Normal 3 4 7 7 14 2" xfId="34087" xr:uid="{00000000-0005-0000-0000-0000DB720000}"/>
    <cellStyle name="Normal 3 4 7 7 15" xfId="34082" xr:uid="{00000000-0005-0000-0000-0000DC720000}"/>
    <cellStyle name="Normal 3 4 7 7 2" xfId="16618" xr:uid="{00000000-0005-0000-0000-0000DD720000}"/>
    <cellStyle name="Normal 3 4 7 7 2 2" xfId="34088" xr:uid="{00000000-0005-0000-0000-0000DE720000}"/>
    <cellStyle name="Normal 3 4 7 7 3" xfId="16619" xr:uid="{00000000-0005-0000-0000-0000DF720000}"/>
    <cellStyle name="Normal 3 4 7 7 3 2" xfId="34089" xr:uid="{00000000-0005-0000-0000-0000E0720000}"/>
    <cellStyle name="Normal 3 4 7 7 4" xfId="16620" xr:uid="{00000000-0005-0000-0000-0000E1720000}"/>
    <cellStyle name="Normal 3 4 7 7 4 2" xfId="34090" xr:uid="{00000000-0005-0000-0000-0000E2720000}"/>
    <cellStyle name="Normal 3 4 7 7 5" xfId="16621" xr:uid="{00000000-0005-0000-0000-0000E3720000}"/>
    <cellStyle name="Normal 3 4 7 7 5 2" xfId="34091" xr:uid="{00000000-0005-0000-0000-0000E4720000}"/>
    <cellStyle name="Normal 3 4 7 7 6" xfId="16622" xr:uid="{00000000-0005-0000-0000-0000E5720000}"/>
    <cellStyle name="Normal 3 4 7 7 6 2" xfId="34092" xr:uid="{00000000-0005-0000-0000-0000E6720000}"/>
    <cellStyle name="Normal 3 4 7 7 7" xfId="16623" xr:uid="{00000000-0005-0000-0000-0000E7720000}"/>
    <cellStyle name="Normal 3 4 7 7 7 2" xfId="34093" xr:uid="{00000000-0005-0000-0000-0000E8720000}"/>
    <cellStyle name="Normal 3 4 7 7 8" xfId="16624" xr:uid="{00000000-0005-0000-0000-0000E9720000}"/>
    <cellStyle name="Normal 3 4 7 7 8 2" xfId="34094" xr:uid="{00000000-0005-0000-0000-0000EA720000}"/>
    <cellStyle name="Normal 3 4 7 7 9" xfId="16625" xr:uid="{00000000-0005-0000-0000-0000EB720000}"/>
    <cellStyle name="Normal 3 4 7 7 9 2" xfId="34095" xr:uid="{00000000-0005-0000-0000-0000EC720000}"/>
    <cellStyle name="Normal 3 4 7 8" xfId="16626" xr:uid="{00000000-0005-0000-0000-0000ED720000}"/>
    <cellStyle name="Normal 3 4 7 8 10" xfId="16627" xr:uid="{00000000-0005-0000-0000-0000EE720000}"/>
    <cellStyle name="Normal 3 4 7 8 10 2" xfId="34097" xr:uid="{00000000-0005-0000-0000-0000EF720000}"/>
    <cellStyle name="Normal 3 4 7 8 11" xfId="16628" xr:uid="{00000000-0005-0000-0000-0000F0720000}"/>
    <cellStyle name="Normal 3 4 7 8 11 2" xfId="34098" xr:uid="{00000000-0005-0000-0000-0000F1720000}"/>
    <cellStyle name="Normal 3 4 7 8 12" xfId="16629" xr:uid="{00000000-0005-0000-0000-0000F2720000}"/>
    <cellStyle name="Normal 3 4 7 8 12 2" xfId="34099" xr:uid="{00000000-0005-0000-0000-0000F3720000}"/>
    <cellStyle name="Normal 3 4 7 8 13" xfId="16630" xr:uid="{00000000-0005-0000-0000-0000F4720000}"/>
    <cellStyle name="Normal 3 4 7 8 13 2" xfId="34100" xr:uid="{00000000-0005-0000-0000-0000F5720000}"/>
    <cellStyle name="Normal 3 4 7 8 14" xfId="16631" xr:uid="{00000000-0005-0000-0000-0000F6720000}"/>
    <cellStyle name="Normal 3 4 7 8 14 2" xfId="34101" xr:uid="{00000000-0005-0000-0000-0000F7720000}"/>
    <cellStyle name="Normal 3 4 7 8 15" xfId="34096" xr:uid="{00000000-0005-0000-0000-0000F8720000}"/>
    <cellStyle name="Normal 3 4 7 8 2" xfId="16632" xr:uid="{00000000-0005-0000-0000-0000F9720000}"/>
    <cellStyle name="Normal 3 4 7 8 2 2" xfId="34102" xr:uid="{00000000-0005-0000-0000-0000FA720000}"/>
    <cellStyle name="Normal 3 4 7 8 3" xfId="16633" xr:uid="{00000000-0005-0000-0000-0000FB720000}"/>
    <cellStyle name="Normal 3 4 7 8 3 2" xfId="34103" xr:uid="{00000000-0005-0000-0000-0000FC720000}"/>
    <cellStyle name="Normal 3 4 7 8 4" xfId="16634" xr:uid="{00000000-0005-0000-0000-0000FD720000}"/>
    <cellStyle name="Normal 3 4 7 8 4 2" xfId="34104" xr:uid="{00000000-0005-0000-0000-0000FE720000}"/>
    <cellStyle name="Normal 3 4 7 8 5" xfId="16635" xr:uid="{00000000-0005-0000-0000-0000FF720000}"/>
    <cellStyle name="Normal 3 4 7 8 5 2" xfId="34105" xr:uid="{00000000-0005-0000-0000-000000730000}"/>
    <cellStyle name="Normal 3 4 7 8 6" xfId="16636" xr:uid="{00000000-0005-0000-0000-000001730000}"/>
    <cellStyle name="Normal 3 4 7 8 6 2" xfId="34106" xr:uid="{00000000-0005-0000-0000-000002730000}"/>
    <cellStyle name="Normal 3 4 7 8 7" xfId="16637" xr:uid="{00000000-0005-0000-0000-000003730000}"/>
    <cellStyle name="Normal 3 4 7 8 7 2" xfId="34107" xr:uid="{00000000-0005-0000-0000-000004730000}"/>
    <cellStyle name="Normal 3 4 7 8 8" xfId="16638" xr:uid="{00000000-0005-0000-0000-000005730000}"/>
    <cellStyle name="Normal 3 4 7 8 8 2" xfId="34108" xr:uid="{00000000-0005-0000-0000-000006730000}"/>
    <cellStyle name="Normal 3 4 7 8 9" xfId="16639" xr:uid="{00000000-0005-0000-0000-000007730000}"/>
    <cellStyle name="Normal 3 4 7 8 9 2" xfId="34109" xr:uid="{00000000-0005-0000-0000-000008730000}"/>
    <cellStyle name="Normal 3 4 7 9" xfId="16640" xr:uid="{00000000-0005-0000-0000-000009730000}"/>
    <cellStyle name="Normal 3 4 7 9 10" xfId="16641" xr:uid="{00000000-0005-0000-0000-00000A730000}"/>
    <cellStyle name="Normal 3 4 7 9 10 2" xfId="34111" xr:uid="{00000000-0005-0000-0000-00000B730000}"/>
    <cellStyle name="Normal 3 4 7 9 11" xfId="16642" xr:uid="{00000000-0005-0000-0000-00000C730000}"/>
    <cellStyle name="Normal 3 4 7 9 11 2" xfId="34112" xr:uid="{00000000-0005-0000-0000-00000D730000}"/>
    <cellStyle name="Normal 3 4 7 9 12" xfId="16643" xr:uid="{00000000-0005-0000-0000-00000E730000}"/>
    <cellStyle name="Normal 3 4 7 9 12 2" xfId="34113" xr:uid="{00000000-0005-0000-0000-00000F730000}"/>
    <cellStyle name="Normal 3 4 7 9 13" xfId="16644" xr:uid="{00000000-0005-0000-0000-000010730000}"/>
    <cellStyle name="Normal 3 4 7 9 13 2" xfId="34114" xr:uid="{00000000-0005-0000-0000-000011730000}"/>
    <cellStyle name="Normal 3 4 7 9 14" xfId="16645" xr:uid="{00000000-0005-0000-0000-000012730000}"/>
    <cellStyle name="Normal 3 4 7 9 14 2" xfId="34115" xr:uid="{00000000-0005-0000-0000-000013730000}"/>
    <cellStyle name="Normal 3 4 7 9 15" xfId="34110" xr:uid="{00000000-0005-0000-0000-000014730000}"/>
    <cellStyle name="Normal 3 4 7 9 2" xfId="16646" xr:uid="{00000000-0005-0000-0000-000015730000}"/>
    <cellStyle name="Normal 3 4 7 9 2 2" xfId="34116" xr:uid="{00000000-0005-0000-0000-000016730000}"/>
    <cellStyle name="Normal 3 4 7 9 3" xfId="16647" xr:uid="{00000000-0005-0000-0000-000017730000}"/>
    <cellStyle name="Normal 3 4 7 9 3 2" xfId="34117" xr:uid="{00000000-0005-0000-0000-000018730000}"/>
    <cellStyle name="Normal 3 4 7 9 4" xfId="16648" xr:uid="{00000000-0005-0000-0000-000019730000}"/>
    <cellStyle name="Normal 3 4 7 9 4 2" xfId="34118" xr:uid="{00000000-0005-0000-0000-00001A730000}"/>
    <cellStyle name="Normal 3 4 7 9 5" xfId="16649" xr:uid="{00000000-0005-0000-0000-00001B730000}"/>
    <cellStyle name="Normal 3 4 7 9 5 2" xfId="34119" xr:uid="{00000000-0005-0000-0000-00001C730000}"/>
    <cellStyle name="Normal 3 4 7 9 6" xfId="16650" xr:uid="{00000000-0005-0000-0000-00001D730000}"/>
    <cellStyle name="Normal 3 4 7 9 6 2" xfId="34120" xr:uid="{00000000-0005-0000-0000-00001E730000}"/>
    <cellStyle name="Normal 3 4 7 9 7" xfId="16651" xr:uid="{00000000-0005-0000-0000-00001F730000}"/>
    <cellStyle name="Normal 3 4 7 9 7 2" xfId="34121" xr:uid="{00000000-0005-0000-0000-000020730000}"/>
    <cellStyle name="Normal 3 4 7 9 8" xfId="16652" xr:uid="{00000000-0005-0000-0000-000021730000}"/>
    <cellStyle name="Normal 3 4 7 9 8 2" xfId="34122" xr:uid="{00000000-0005-0000-0000-000022730000}"/>
    <cellStyle name="Normal 3 4 7 9 9" xfId="16653" xr:uid="{00000000-0005-0000-0000-000023730000}"/>
    <cellStyle name="Normal 3 4 7 9 9 2" xfId="34123" xr:uid="{00000000-0005-0000-0000-000024730000}"/>
    <cellStyle name="Normal 3 4 8" xfId="16654" xr:uid="{00000000-0005-0000-0000-000025730000}"/>
    <cellStyle name="Normal 3 4 8 10" xfId="16655" xr:uid="{00000000-0005-0000-0000-000026730000}"/>
    <cellStyle name="Normal 3 4 8 10 10" xfId="16656" xr:uid="{00000000-0005-0000-0000-000027730000}"/>
    <cellStyle name="Normal 3 4 8 10 10 2" xfId="34126" xr:uid="{00000000-0005-0000-0000-000028730000}"/>
    <cellStyle name="Normal 3 4 8 10 11" xfId="16657" xr:uid="{00000000-0005-0000-0000-000029730000}"/>
    <cellStyle name="Normal 3 4 8 10 11 2" xfId="34127" xr:uid="{00000000-0005-0000-0000-00002A730000}"/>
    <cellStyle name="Normal 3 4 8 10 12" xfId="16658" xr:uid="{00000000-0005-0000-0000-00002B730000}"/>
    <cellStyle name="Normal 3 4 8 10 12 2" xfId="34128" xr:uid="{00000000-0005-0000-0000-00002C730000}"/>
    <cellStyle name="Normal 3 4 8 10 13" xfId="16659" xr:uid="{00000000-0005-0000-0000-00002D730000}"/>
    <cellStyle name="Normal 3 4 8 10 13 2" xfId="34129" xr:uid="{00000000-0005-0000-0000-00002E730000}"/>
    <cellStyle name="Normal 3 4 8 10 14" xfId="16660" xr:uid="{00000000-0005-0000-0000-00002F730000}"/>
    <cellStyle name="Normal 3 4 8 10 14 2" xfId="34130" xr:uid="{00000000-0005-0000-0000-000030730000}"/>
    <cellStyle name="Normal 3 4 8 10 15" xfId="34125" xr:uid="{00000000-0005-0000-0000-000031730000}"/>
    <cellStyle name="Normal 3 4 8 10 2" xfId="16661" xr:uid="{00000000-0005-0000-0000-000032730000}"/>
    <cellStyle name="Normal 3 4 8 10 2 2" xfId="34131" xr:uid="{00000000-0005-0000-0000-000033730000}"/>
    <cellStyle name="Normal 3 4 8 10 3" xfId="16662" xr:uid="{00000000-0005-0000-0000-000034730000}"/>
    <cellStyle name="Normal 3 4 8 10 3 2" xfId="34132" xr:uid="{00000000-0005-0000-0000-000035730000}"/>
    <cellStyle name="Normal 3 4 8 10 4" xfId="16663" xr:uid="{00000000-0005-0000-0000-000036730000}"/>
    <cellStyle name="Normal 3 4 8 10 4 2" xfId="34133" xr:uid="{00000000-0005-0000-0000-000037730000}"/>
    <cellStyle name="Normal 3 4 8 10 5" xfId="16664" xr:uid="{00000000-0005-0000-0000-000038730000}"/>
    <cellStyle name="Normal 3 4 8 10 5 2" xfId="34134" xr:uid="{00000000-0005-0000-0000-000039730000}"/>
    <cellStyle name="Normal 3 4 8 10 6" xfId="16665" xr:uid="{00000000-0005-0000-0000-00003A730000}"/>
    <cellStyle name="Normal 3 4 8 10 6 2" xfId="34135" xr:uid="{00000000-0005-0000-0000-00003B730000}"/>
    <cellStyle name="Normal 3 4 8 10 7" xfId="16666" xr:uid="{00000000-0005-0000-0000-00003C730000}"/>
    <cellStyle name="Normal 3 4 8 10 7 2" xfId="34136" xr:uid="{00000000-0005-0000-0000-00003D730000}"/>
    <cellStyle name="Normal 3 4 8 10 8" xfId="16667" xr:uid="{00000000-0005-0000-0000-00003E730000}"/>
    <cellStyle name="Normal 3 4 8 10 8 2" xfId="34137" xr:uid="{00000000-0005-0000-0000-00003F730000}"/>
    <cellStyle name="Normal 3 4 8 10 9" xfId="16668" xr:uid="{00000000-0005-0000-0000-000040730000}"/>
    <cellStyle name="Normal 3 4 8 10 9 2" xfId="34138" xr:uid="{00000000-0005-0000-0000-000041730000}"/>
    <cellStyle name="Normal 3 4 8 11" xfId="16669" xr:uid="{00000000-0005-0000-0000-000042730000}"/>
    <cellStyle name="Normal 3 4 8 11 2" xfId="34139" xr:uid="{00000000-0005-0000-0000-000043730000}"/>
    <cellStyle name="Normal 3 4 8 12" xfId="16670" xr:uid="{00000000-0005-0000-0000-000044730000}"/>
    <cellStyle name="Normal 3 4 8 12 2" xfId="34140" xr:uid="{00000000-0005-0000-0000-000045730000}"/>
    <cellStyle name="Normal 3 4 8 13" xfId="16671" xr:uid="{00000000-0005-0000-0000-000046730000}"/>
    <cellStyle name="Normal 3 4 8 13 2" xfId="34141" xr:uid="{00000000-0005-0000-0000-000047730000}"/>
    <cellStyle name="Normal 3 4 8 14" xfId="16672" xr:uid="{00000000-0005-0000-0000-000048730000}"/>
    <cellStyle name="Normal 3 4 8 14 2" xfId="34142" xr:uid="{00000000-0005-0000-0000-000049730000}"/>
    <cellStyle name="Normal 3 4 8 15" xfId="16673" xr:uid="{00000000-0005-0000-0000-00004A730000}"/>
    <cellStyle name="Normal 3 4 8 15 2" xfId="34143" xr:uid="{00000000-0005-0000-0000-00004B730000}"/>
    <cellStyle name="Normal 3 4 8 16" xfId="16674" xr:uid="{00000000-0005-0000-0000-00004C730000}"/>
    <cellStyle name="Normal 3 4 8 16 2" xfId="34144" xr:uid="{00000000-0005-0000-0000-00004D730000}"/>
    <cellStyle name="Normal 3 4 8 17" xfId="16675" xr:uid="{00000000-0005-0000-0000-00004E730000}"/>
    <cellStyle name="Normal 3 4 8 17 2" xfId="34145" xr:uid="{00000000-0005-0000-0000-00004F730000}"/>
    <cellStyle name="Normal 3 4 8 18" xfId="16676" xr:uid="{00000000-0005-0000-0000-000050730000}"/>
    <cellStyle name="Normal 3 4 8 18 2" xfId="34146" xr:uid="{00000000-0005-0000-0000-000051730000}"/>
    <cellStyle name="Normal 3 4 8 19" xfId="16677" xr:uid="{00000000-0005-0000-0000-000052730000}"/>
    <cellStyle name="Normal 3 4 8 19 2" xfId="34147" xr:uid="{00000000-0005-0000-0000-000053730000}"/>
    <cellStyle name="Normal 3 4 8 2" xfId="16678" xr:uid="{00000000-0005-0000-0000-000054730000}"/>
    <cellStyle name="Normal 3 4 8 2 10" xfId="16679" xr:uid="{00000000-0005-0000-0000-000055730000}"/>
    <cellStyle name="Normal 3 4 8 2 10 2" xfId="34149" xr:uid="{00000000-0005-0000-0000-000056730000}"/>
    <cellStyle name="Normal 3 4 8 2 11" xfId="16680" xr:uid="{00000000-0005-0000-0000-000057730000}"/>
    <cellStyle name="Normal 3 4 8 2 11 2" xfId="34150" xr:uid="{00000000-0005-0000-0000-000058730000}"/>
    <cellStyle name="Normal 3 4 8 2 12" xfId="16681" xr:uid="{00000000-0005-0000-0000-000059730000}"/>
    <cellStyle name="Normal 3 4 8 2 12 2" xfId="34151" xr:uid="{00000000-0005-0000-0000-00005A730000}"/>
    <cellStyle name="Normal 3 4 8 2 13" xfId="16682" xr:uid="{00000000-0005-0000-0000-00005B730000}"/>
    <cellStyle name="Normal 3 4 8 2 13 2" xfId="34152" xr:uid="{00000000-0005-0000-0000-00005C730000}"/>
    <cellStyle name="Normal 3 4 8 2 14" xfId="16683" xr:uid="{00000000-0005-0000-0000-00005D730000}"/>
    <cellStyle name="Normal 3 4 8 2 14 2" xfId="34153" xr:uid="{00000000-0005-0000-0000-00005E730000}"/>
    <cellStyle name="Normal 3 4 8 2 15" xfId="16684" xr:uid="{00000000-0005-0000-0000-00005F730000}"/>
    <cellStyle name="Normal 3 4 8 2 15 2" xfId="34154" xr:uid="{00000000-0005-0000-0000-000060730000}"/>
    <cellStyle name="Normal 3 4 8 2 16" xfId="34148" xr:uid="{00000000-0005-0000-0000-000061730000}"/>
    <cellStyle name="Normal 3 4 8 2 2" xfId="16685" xr:uid="{00000000-0005-0000-0000-000062730000}"/>
    <cellStyle name="Normal 3 4 8 2 2 10" xfId="16686" xr:uid="{00000000-0005-0000-0000-000063730000}"/>
    <cellStyle name="Normal 3 4 8 2 2 10 2" xfId="34156" xr:uid="{00000000-0005-0000-0000-000064730000}"/>
    <cellStyle name="Normal 3 4 8 2 2 11" xfId="16687" xr:uid="{00000000-0005-0000-0000-000065730000}"/>
    <cellStyle name="Normal 3 4 8 2 2 11 2" xfId="34157" xr:uid="{00000000-0005-0000-0000-000066730000}"/>
    <cellStyle name="Normal 3 4 8 2 2 12" xfId="16688" xr:uid="{00000000-0005-0000-0000-000067730000}"/>
    <cellStyle name="Normal 3 4 8 2 2 12 2" xfId="34158" xr:uid="{00000000-0005-0000-0000-000068730000}"/>
    <cellStyle name="Normal 3 4 8 2 2 13" xfId="16689" xr:uid="{00000000-0005-0000-0000-000069730000}"/>
    <cellStyle name="Normal 3 4 8 2 2 13 2" xfId="34159" xr:uid="{00000000-0005-0000-0000-00006A730000}"/>
    <cellStyle name="Normal 3 4 8 2 2 14" xfId="16690" xr:uid="{00000000-0005-0000-0000-00006B730000}"/>
    <cellStyle name="Normal 3 4 8 2 2 14 2" xfId="34160" xr:uid="{00000000-0005-0000-0000-00006C730000}"/>
    <cellStyle name="Normal 3 4 8 2 2 15" xfId="34155" xr:uid="{00000000-0005-0000-0000-00006D730000}"/>
    <cellStyle name="Normal 3 4 8 2 2 2" xfId="16691" xr:uid="{00000000-0005-0000-0000-00006E730000}"/>
    <cellStyle name="Normal 3 4 8 2 2 2 2" xfId="34161" xr:uid="{00000000-0005-0000-0000-00006F730000}"/>
    <cellStyle name="Normal 3 4 8 2 2 3" xfId="16692" xr:uid="{00000000-0005-0000-0000-000070730000}"/>
    <cellStyle name="Normal 3 4 8 2 2 3 2" xfId="34162" xr:uid="{00000000-0005-0000-0000-000071730000}"/>
    <cellStyle name="Normal 3 4 8 2 2 4" xfId="16693" xr:uid="{00000000-0005-0000-0000-000072730000}"/>
    <cellStyle name="Normal 3 4 8 2 2 4 2" xfId="34163" xr:uid="{00000000-0005-0000-0000-000073730000}"/>
    <cellStyle name="Normal 3 4 8 2 2 5" xfId="16694" xr:uid="{00000000-0005-0000-0000-000074730000}"/>
    <cellStyle name="Normal 3 4 8 2 2 5 2" xfId="34164" xr:uid="{00000000-0005-0000-0000-000075730000}"/>
    <cellStyle name="Normal 3 4 8 2 2 6" xfId="16695" xr:uid="{00000000-0005-0000-0000-000076730000}"/>
    <cellStyle name="Normal 3 4 8 2 2 6 2" xfId="34165" xr:uid="{00000000-0005-0000-0000-000077730000}"/>
    <cellStyle name="Normal 3 4 8 2 2 7" xfId="16696" xr:uid="{00000000-0005-0000-0000-000078730000}"/>
    <cellStyle name="Normal 3 4 8 2 2 7 2" xfId="34166" xr:uid="{00000000-0005-0000-0000-000079730000}"/>
    <cellStyle name="Normal 3 4 8 2 2 8" xfId="16697" xr:uid="{00000000-0005-0000-0000-00007A730000}"/>
    <cellStyle name="Normal 3 4 8 2 2 8 2" xfId="34167" xr:uid="{00000000-0005-0000-0000-00007B730000}"/>
    <cellStyle name="Normal 3 4 8 2 2 9" xfId="16698" xr:uid="{00000000-0005-0000-0000-00007C730000}"/>
    <cellStyle name="Normal 3 4 8 2 2 9 2" xfId="34168" xr:uid="{00000000-0005-0000-0000-00007D730000}"/>
    <cellStyle name="Normal 3 4 8 2 3" xfId="16699" xr:uid="{00000000-0005-0000-0000-00007E730000}"/>
    <cellStyle name="Normal 3 4 8 2 3 2" xfId="34169" xr:uid="{00000000-0005-0000-0000-00007F730000}"/>
    <cellStyle name="Normal 3 4 8 2 4" xfId="16700" xr:uid="{00000000-0005-0000-0000-000080730000}"/>
    <cellStyle name="Normal 3 4 8 2 4 2" xfId="34170" xr:uid="{00000000-0005-0000-0000-000081730000}"/>
    <cellStyle name="Normal 3 4 8 2 5" xfId="16701" xr:uid="{00000000-0005-0000-0000-000082730000}"/>
    <cellStyle name="Normal 3 4 8 2 5 2" xfId="34171" xr:uid="{00000000-0005-0000-0000-000083730000}"/>
    <cellStyle name="Normal 3 4 8 2 6" xfId="16702" xr:uid="{00000000-0005-0000-0000-000084730000}"/>
    <cellStyle name="Normal 3 4 8 2 6 2" xfId="34172" xr:uid="{00000000-0005-0000-0000-000085730000}"/>
    <cellStyle name="Normal 3 4 8 2 7" xfId="16703" xr:uid="{00000000-0005-0000-0000-000086730000}"/>
    <cellStyle name="Normal 3 4 8 2 7 2" xfId="34173" xr:uid="{00000000-0005-0000-0000-000087730000}"/>
    <cellStyle name="Normal 3 4 8 2 8" xfId="16704" xr:uid="{00000000-0005-0000-0000-000088730000}"/>
    <cellStyle name="Normal 3 4 8 2 8 2" xfId="34174" xr:uid="{00000000-0005-0000-0000-000089730000}"/>
    <cellStyle name="Normal 3 4 8 2 9" xfId="16705" xr:uid="{00000000-0005-0000-0000-00008A730000}"/>
    <cellStyle name="Normal 3 4 8 2 9 2" xfId="34175" xr:uid="{00000000-0005-0000-0000-00008B730000}"/>
    <cellStyle name="Normal 3 4 8 20" xfId="16706" xr:uid="{00000000-0005-0000-0000-00008C730000}"/>
    <cellStyle name="Normal 3 4 8 20 2" xfId="34176" xr:uid="{00000000-0005-0000-0000-00008D730000}"/>
    <cellStyle name="Normal 3 4 8 21" xfId="16707" xr:uid="{00000000-0005-0000-0000-00008E730000}"/>
    <cellStyle name="Normal 3 4 8 21 2" xfId="34177" xr:uid="{00000000-0005-0000-0000-00008F730000}"/>
    <cellStyle name="Normal 3 4 8 22" xfId="16708" xr:uid="{00000000-0005-0000-0000-000090730000}"/>
    <cellStyle name="Normal 3 4 8 22 2" xfId="34178" xr:uid="{00000000-0005-0000-0000-000091730000}"/>
    <cellStyle name="Normal 3 4 8 23" xfId="16709" xr:uid="{00000000-0005-0000-0000-000092730000}"/>
    <cellStyle name="Normal 3 4 8 23 2" xfId="34179" xr:uid="{00000000-0005-0000-0000-000093730000}"/>
    <cellStyle name="Normal 3 4 8 24" xfId="34124" xr:uid="{00000000-0005-0000-0000-000094730000}"/>
    <cellStyle name="Normal 3 4 8 3" xfId="16710" xr:uid="{00000000-0005-0000-0000-000095730000}"/>
    <cellStyle name="Normal 3 4 8 3 10" xfId="16711" xr:uid="{00000000-0005-0000-0000-000096730000}"/>
    <cellStyle name="Normal 3 4 8 3 10 2" xfId="34181" xr:uid="{00000000-0005-0000-0000-000097730000}"/>
    <cellStyle name="Normal 3 4 8 3 11" xfId="16712" xr:uid="{00000000-0005-0000-0000-000098730000}"/>
    <cellStyle name="Normal 3 4 8 3 11 2" xfId="34182" xr:uid="{00000000-0005-0000-0000-000099730000}"/>
    <cellStyle name="Normal 3 4 8 3 12" xfId="16713" xr:uid="{00000000-0005-0000-0000-00009A730000}"/>
    <cellStyle name="Normal 3 4 8 3 12 2" xfId="34183" xr:uid="{00000000-0005-0000-0000-00009B730000}"/>
    <cellStyle name="Normal 3 4 8 3 13" xfId="16714" xr:uid="{00000000-0005-0000-0000-00009C730000}"/>
    <cellStyle name="Normal 3 4 8 3 13 2" xfId="34184" xr:uid="{00000000-0005-0000-0000-00009D730000}"/>
    <cellStyle name="Normal 3 4 8 3 14" xfId="16715" xr:uid="{00000000-0005-0000-0000-00009E730000}"/>
    <cellStyle name="Normal 3 4 8 3 14 2" xfId="34185" xr:uid="{00000000-0005-0000-0000-00009F730000}"/>
    <cellStyle name="Normal 3 4 8 3 15" xfId="16716" xr:uid="{00000000-0005-0000-0000-0000A0730000}"/>
    <cellStyle name="Normal 3 4 8 3 15 2" xfId="34186" xr:uid="{00000000-0005-0000-0000-0000A1730000}"/>
    <cellStyle name="Normal 3 4 8 3 16" xfId="34180" xr:uid="{00000000-0005-0000-0000-0000A2730000}"/>
    <cellStyle name="Normal 3 4 8 3 2" xfId="16717" xr:uid="{00000000-0005-0000-0000-0000A3730000}"/>
    <cellStyle name="Normal 3 4 8 3 2 10" xfId="16718" xr:uid="{00000000-0005-0000-0000-0000A4730000}"/>
    <cellStyle name="Normal 3 4 8 3 2 10 2" xfId="34188" xr:uid="{00000000-0005-0000-0000-0000A5730000}"/>
    <cellStyle name="Normal 3 4 8 3 2 11" xfId="16719" xr:uid="{00000000-0005-0000-0000-0000A6730000}"/>
    <cellStyle name="Normal 3 4 8 3 2 11 2" xfId="34189" xr:uid="{00000000-0005-0000-0000-0000A7730000}"/>
    <cellStyle name="Normal 3 4 8 3 2 12" xfId="16720" xr:uid="{00000000-0005-0000-0000-0000A8730000}"/>
    <cellStyle name="Normal 3 4 8 3 2 12 2" xfId="34190" xr:uid="{00000000-0005-0000-0000-0000A9730000}"/>
    <cellStyle name="Normal 3 4 8 3 2 13" xfId="16721" xr:uid="{00000000-0005-0000-0000-0000AA730000}"/>
    <cellStyle name="Normal 3 4 8 3 2 13 2" xfId="34191" xr:uid="{00000000-0005-0000-0000-0000AB730000}"/>
    <cellStyle name="Normal 3 4 8 3 2 14" xfId="16722" xr:uid="{00000000-0005-0000-0000-0000AC730000}"/>
    <cellStyle name="Normal 3 4 8 3 2 14 2" xfId="34192" xr:uid="{00000000-0005-0000-0000-0000AD730000}"/>
    <cellStyle name="Normal 3 4 8 3 2 15" xfId="34187" xr:uid="{00000000-0005-0000-0000-0000AE730000}"/>
    <cellStyle name="Normal 3 4 8 3 2 2" xfId="16723" xr:uid="{00000000-0005-0000-0000-0000AF730000}"/>
    <cellStyle name="Normal 3 4 8 3 2 2 2" xfId="34193" xr:uid="{00000000-0005-0000-0000-0000B0730000}"/>
    <cellStyle name="Normal 3 4 8 3 2 3" xfId="16724" xr:uid="{00000000-0005-0000-0000-0000B1730000}"/>
    <cellStyle name="Normal 3 4 8 3 2 3 2" xfId="34194" xr:uid="{00000000-0005-0000-0000-0000B2730000}"/>
    <cellStyle name="Normal 3 4 8 3 2 4" xfId="16725" xr:uid="{00000000-0005-0000-0000-0000B3730000}"/>
    <cellStyle name="Normal 3 4 8 3 2 4 2" xfId="34195" xr:uid="{00000000-0005-0000-0000-0000B4730000}"/>
    <cellStyle name="Normal 3 4 8 3 2 5" xfId="16726" xr:uid="{00000000-0005-0000-0000-0000B5730000}"/>
    <cellStyle name="Normal 3 4 8 3 2 5 2" xfId="34196" xr:uid="{00000000-0005-0000-0000-0000B6730000}"/>
    <cellStyle name="Normal 3 4 8 3 2 6" xfId="16727" xr:uid="{00000000-0005-0000-0000-0000B7730000}"/>
    <cellStyle name="Normal 3 4 8 3 2 6 2" xfId="34197" xr:uid="{00000000-0005-0000-0000-0000B8730000}"/>
    <cellStyle name="Normal 3 4 8 3 2 7" xfId="16728" xr:uid="{00000000-0005-0000-0000-0000B9730000}"/>
    <cellStyle name="Normal 3 4 8 3 2 7 2" xfId="34198" xr:uid="{00000000-0005-0000-0000-0000BA730000}"/>
    <cellStyle name="Normal 3 4 8 3 2 8" xfId="16729" xr:uid="{00000000-0005-0000-0000-0000BB730000}"/>
    <cellStyle name="Normal 3 4 8 3 2 8 2" xfId="34199" xr:uid="{00000000-0005-0000-0000-0000BC730000}"/>
    <cellStyle name="Normal 3 4 8 3 2 9" xfId="16730" xr:uid="{00000000-0005-0000-0000-0000BD730000}"/>
    <cellStyle name="Normal 3 4 8 3 2 9 2" xfId="34200" xr:uid="{00000000-0005-0000-0000-0000BE730000}"/>
    <cellStyle name="Normal 3 4 8 3 3" xfId="16731" xr:uid="{00000000-0005-0000-0000-0000BF730000}"/>
    <cellStyle name="Normal 3 4 8 3 3 2" xfId="34201" xr:uid="{00000000-0005-0000-0000-0000C0730000}"/>
    <cellStyle name="Normal 3 4 8 3 4" xfId="16732" xr:uid="{00000000-0005-0000-0000-0000C1730000}"/>
    <cellStyle name="Normal 3 4 8 3 4 2" xfId="34202" xr:uid="{00000000-0005-0000-0000-0000C2730000}"/>
    <cellStyle name="Normal 3 4 8 3 5" xfId="16733" xr:uid="{00000000-0005-0000-0000-0000C3730000}"/>
    <cellStyle name="Normal 3 4 8 3 5 2" xfId="34203" xr:uid="{00000000-0005-0000-0000-0000C4730000}"/>
    <cellStyle name="Normal 3 4 8 3 6" xfId="16734" xr:uid="{00000000-0005-0000-0000-0000C5730000}"/>
    <cellStyle name="Normal 3 4 8 3 6 2" xfId="34204" xr:uid="{00000000-0005-0000-0000-0000C6730000}"/>
    <cellStyle name="Normal 3 4 8 3 7" xfId="16735" xr:uid="{00000000-0005-0000-0000-0000C7730000}"/>
    <cellStyle name="Normal 3 4 8 3 7 2" xfId="34205" xr:uid="{00000000-0005-0000-0000-0000C8730000}"/>
    <cellStyle name="Normal 3 4 8 3 8" xfId="16736" xr:uid="{00000000-0005-0000-0000-0000C9730000}"/>
    <cellStyle name="Normal 3 4 8 3 8 2" xfId="34206" xr:uid="{00000000-0005-0000-0000-0000CA730000}"/>
    <cellStyle name="Normal 3 4 8 3 9" xfId="16737" xr:uid="{00000000-0005-0000-0000-0000CB730000}"/>
    <cellStyle name="Normal 3 4 8 3 9 2" xfId="34207" xr:uid="{00000000-0005-0000-0000-0000CC730000}"/>
    <cellStyle name="Normal 3 4 8 4" xfId="16738" xr:uid="{00000000-0005-0000-0000-0000CD730000}"/>
    <cellStyle name="Normal 3 4 8 4 10" xfId="16739" xr:uid="{00000000-0005-0000-0000-0000CE730000}"/>
    <cellStyle name="Normal 3 4 8 4 10 2" xfId="34209" xr:uid="{00000000-0005-0000-0000-0000CF730000}"/>
    <cellStyle name="Normal 3 4 8 4 11" xfId="16740" xr:uid="{00000000-0005-0000-0000-0000D0730000}"/>
    <cellStyle name="Normal 3 4 8 4 11 2" xfId="34210" xr:uid="{00000000-0005-0000-0000-0000D1730000}"/>
    <cellStyle name="Normal 3 4 8 4 12" xfId="16741" xr:uid="{00000000-0005-0000-0000-0000D2730000}"/>
    <cellStyle name="Normal 3 4 8 4 12 2" xfId="34211" xr:uid="{00000000-0005-0000-0000-0000D3730000}"/>
    <cellStyle name="Normal 3 4 8 4 13" xfId="16742" xr:uid="{00000000-0005-0000-0000-0000D4730000}"/>
    <cellStyle name="Normal 3 4 8 4 13 2" xfId="34212" xr:uid="{00000000-0005-0000-0000-0000D5730000}"/>
    <cellStyle name="Normal 3 4 8 4 14" xfId="16743" xr:uid="{00000000-0005-0000-0000-0000D6730000}"/>
    <cellStyle name="Normal 3 4 8 4 14 2" xfId="34213" xr:uid="{00000000-0005-0000-0000-0000D7730000}"/>
    <cellStyle name="Normal 3 4 8 4 15" xfId="16744" xr:uid="{00000000-0005-0000-0000-0000D8730000}"/>
    <cellStyle name="Normal 3 4 8 4 15 2" xfId="34214" xr:uid="{00000000-0005-0000-0000-0000D9730000}"/>
    <cellStyle name="Normal 3 4 8 4 16" xfId="34208" xr:uid="{00000000-0005-0000-0000-0000DA730000}"/>
    <cellStyle name="Normal 3 4 8 4 2" xfId="16745" xr:uid="{00000000-0005-0000-0000-0000DB730000}"/>
    <cellStyle name="Normal 3 4 8 4 2 10" xfId="16746" xr:uid="{00000000-0005-0000-0000-0000DC730000}"/>
    <cellStyle name="Normal 3 4 8 4 2 10 2" xfId="34216" xr:uid="{00000000-0005-0000-0000-0000DD730000}"/>
    <cellStyle name="Normal 3 4 8 4 2 11" xfId="16747" xr:uid="{00000000-0005-0000-0000-0000DE730000}"/>
    <cellStyle name="Normal 3 4 8 4 2 11 2" xfId="34217" xr:uid="{00000000-0005-0000-0000-0000DF730000}"/>
    <cellStyle name="Normal 3 4 8 4 2 12" xfId="16748" xr:uid="{00000000-0005-0000-0000-0000E0730000}"/>
    <cellStyle name="Normal 3 4 8 4 2 12 2" xfId="34218" xr:uid="{00000000-0005-0000-0000-0000E1730000}"/>
    <cellStyle name="Normal 3 4 8 4 2 13" xfId="16749" xr:uid="{00000000-0005-0000-0000-0000E2730000}"/>
    <cellStyle name="Normal 3 4 8 4 2 13 2" xfId="34219" xr:uid="{00000000-0005-0000-0000-0000E3730000}"/>
    <cellStyle name="Normal 3 4 8 4 2 14" xfId="16750" xr:uid="{00000000-0005-0000-0000-0000E4730000}"/>
    <cellStyle name="Normal 3 4 8 4 2 14 2" xfId="34220" xr:uid="{00000000-0005-0000-0000-0000E5730000}"/>
    <cellStyle name="Normal 3 4 8 4 2 15" xfId="34215" xr:uid="{00000000-0005-0000-0000-0000E6730000}"/>
    <cellStyle name="Normal 3 4 8 4 2 2" xfId="16751" xr:uid="{00000000-0005-0000-0000-0000E7730000}"/>
    <cellStyle name="Normal 3 4 8 4 2 2 2" xfId="34221" xr:uid="{00000000-0005-0000-0000-0000E8730000}"/>
    <cellStyle name="Normal 3 4 8 4 2 3" xfId="16752" xr:uid="{00000000-0005-0000-0000-0000E9730000}"/>
    <cellStyle name="Normal 3 4 8 4 2 3 2" xfId="34222" xr:uid="{00000000-0005-0000-0000-0000EA730000}"/>
    <cellStyle name="Normal 3 4 8 4 2 4" xfId="16753" xr:uid="{00000000-0005-0000-0000-0000EB730000}"/>
    <cellStyle name="Normal 3 4 8 4 2 4 2" xfId="34223" xr:uid="{00000000-0005-0000-0000-0000EC730000}"/>
    <cellStyle name="Normal 3 4 8 4 2 5" xfId="16754" xr:uid="{00000000-0005-0000-0000-0000ED730000}"/>
    <cellStyle name="Normal 3 4 8 4 2 5 2" xfId="34224" xr:uid="{00000000-0005-0000-0000-0000EE730000}"/>
    <cellStyle name="Normal 3 4 8 4 2 6" xfId="16755" xr:uid="{00000000-0005-0000-0000-0000EF730000}"/>
    <cellStyle name="Normal 3 4 8 4 2 6 2" xfId="34225" xr:uid="{00000000-0005-0000-0000-0000F0730000}"/>
    <cellStyle name="Normal 3 4 8 4 2 7" xfId="16756" xr:uid="{00000000-0005-0000-0000-0000F1730000}"/>
    <cellStyle name="Normal 3 4 8 4 2 7 2" xfId="34226" xr:uid="{00000000-0005-0000-0000-0000F2730000}"/>
    <cellStyle name="Normal 3 4 8 4 2 8" xfId="16757" xr:uid="{00000000-0005-0000-0000-0000F3730000}"/>
    <cellStyle name="Normal 3 4 8 4 2 8 2" xfId="34227" xr:uid="{00000000-0005-0000-0000-0000F4730000}"/>
    <cellStyle name="Normal 3 4 8 4 2 9" xfId="16758" xr:uid="{00000000-0005-0000-0000-0000F5730000}"/>
    <cellStyle name="Normal 3 4 8 4 2 9 2" xfId="34228" xr:uid="{00000000-0005-0000-0000-0000F6730000}"/>
    <cellStyle name="Normal 3 4 8 4 3" xfId="16759" xr:uid="{00000000-0005-0000-0000-0000F7730000}"/>
    <cellStyle name="Normal 3 4 8 4 3 2" xfId="34229" xr:uid="{00000000-0005-0000-0000-0000F8730000}"/>
    <cellStyle name="Normal 3 4 8 4 4" xfId="16760" xr:uid="{00000000-0005-0000-0000-0000F9730000}"/>
    <cellStyle name="Normal 3 4 8 4 4 2" xfId="34230" xr:uid="{00000000-0005-0000-0000-0000FA730000}"/>
    <cellStyle name="Normal 3 4 8 4 5" xfId="16761" xr:uid="{00000000-0005-0000-0000-0000FB730000}"/>
    <cellStyle name="Normal 3 4 8 4 5 2" xfId="34231" xr:uid="{00000000-0005-0000-0000-0000FC730000}"/>
    <cellStyle name="Normal 3 4 8 4 6" xfId="16762" xr:uid="{00000000-0005-0000-0000-0000FD730000}"/>
    <cellStyle name="Normal 3 4 8 4 6 2" xfId="34232" xr:uid="{00000000-0005-0000-0000-0000FE730000}"/>
    <cellStyle name="Normal 3 4 8 4 7" xfId="16763" xr:uid="{00000000-0005-0000-0000-0000FF730000}"/>
    <cellStyle name="Normal 3 4 8 4 7 2" xfId="34233" xr:uid="{00000000-0005-0000-0000-000000740000}"/>
    <cellStyle name="Normal 3 4 8 4 8" xfId="16764" xr:uid="{00000000-0005-0000-0000-000001740000}"/>
    <cellStyle name="Normal 3 4 8 4 8 2" xfId="34234" xr:uid="{00000000-0005-0000-0000-000002740000}"/>
    <cellStyle name="Normal 3 4 8 4 9" xfId="16765" xr:uid="{00000000-0005-0000-0000-000003740000}"/>
    <cellStyle name="Normal 3 4 8 4 9 2" xfId="34235" xr:uid="{00000000-0005-0000-0000-000004740000}"/>
    <cellStyle name="Normal 3 4 8 5" xfId="16766" xr:uid="{00000000-0005-0000-0000-000005740000}"/>
    <cellStyle name="Normal 3 4 8 5 10" xfId="16767" xr:uid="{00000000-0005-0000-0000-000006740000}"/>
    <cellStyle name="Normal 3 4 8 5 10 2" xfId="34237" xr:uid="{00000000-0005-0000-0000-000007740000}"/>
    <cellStyle name="Normal 3 4 8 5 11" xfId="16768" xr:uid="{00000000-0005-0000-0000-000008740000}"/>
    <cellStyle name="Normal 3 4 8 5 11 2" xfId="34238" xr:uid="{00000000-0005-0000-0000-000009740000}"/>
    <cellStyle name="Normal 3 4 8 5 12" xfId="16769" xr:uid="{00000000-0005-0000-0000-00000A740000}"/>
    <cellStyle name="Normal 3 4 8 5 12 2" xfId="34239" xr:uid="{00000000-0005-0000-0000-00000B740000}"/>
    <cellStyle name="Normal 3 4 8 5 13" xfId="16770" xr:uid="{00000000-0005-0000-0000-00000C740000}"/>
    <cellStyle name="Normal 3 4 8 5 13 2" xfId="34240" xr:uid="{00000000-0005-0000-0000-00000D740000}"/>
    <cellStyle name="Normal 3 4 8 5 14" xfId="16771" xr:uid="{00000000-0005-0000-0000-00000E740000}"/>
    <cellStyle name="Normal 3 4 8 5 14 2" xfId="34241" xr:uid="{00000000-0005-0000-0000-00000F740000}"/>
    <cellStyle name="Normal 3 4 8 5 15" xfId="34236" xr:uid="{00000000-0005-0000-0000-000010740000}"/>
    <cellStyle name="Normal 3 4 8 5 2" xfId="16772" xr:uid="{00000000-0005-0000-0000-000011740000}"/>
    <cellStyle name="Normal 3 4 8 5 2 2" xfId="34242" xr:uid="{00000000-0005-0000-0000-000012740000}"/>
    <cellStyle name="Normal 3 4 8 5 3" xfId="16773" xr:uid="{00000000-0005-0000-0000-000013740000}"/>
    <cellStyle name="Normal 3 4 8 5 3 2" xfId="34243" xr:uid="{00000000-0005-0000-0000-000014740000}"/>
    <cellStyle name="Normal 3 4 8 5 4" xfId="16774" xr:uid="{00000000-0005-0000-0000-000015740000}"/>
    <cellStyle name="Normal 3 4 8 5 4 2" xfId="34244" xr:uid="{00000000-0005-0000-0000-000016740000}"/>
    <cellStyle name="Normal 3 4 8 5 5" xfId="16775" xr:uid="{00000000-0005-0000-0000-000017740000}"/>
    <cellStyle name="Normal 3 4 8 5 5 2" xfId="34245" xr:uid="{00000000-0005-0000-0000-000018740000}"/>
    <cellStyle name="Normal 3 4 8 5 6" xfId="16776" xr:uid="{00000000-0005-0000-0000-000019740000}"/>
    <cellStyle name="Normal 3 4 8 5 6 2" xfId="34246" xr:uid="{00000000-0005-0000-0000-00001A740000}"/>
    <cellStyle name="Normal 3 4 8 5 7" xfId="16777" xr:uid="{00000000-0005-0000-0000-00001B740000}"/>
    <cellStyle name="Normal 3 4 8 5 7 2" xfId="34247" xr:uid="{00000000-0005-0000-0000-00001C740000}"/>
    <cellStyle name="Normal 3 4 8 5 8" xfId="16778" xr:uid="{00000000-0005-0000-0000-00001D740000}"/>
    <cellStyle name="Normal 3 4 8 5 8 2" xfId="34248" xr:uid="{00000000-0005-0000-0000-00001E740000}"/>
    <cellStyle name="Normal 3 4 8 5 9" xfId="16779" xr:uid="{00000000-0005-0000-0000-00001F740000}"/>
    <cellStyle name="Normal 3 4 8 5 9 2" xfId="34249" xr:uid="{00000000-0005-0000-0000-000020740000}"/>
    <cellStyle name="Normal 3 4 8 6" xfId="16780" xr:uid="{00000000-0005-0000-0000-000021740000}"/>
    <cellStyle name="Normal 3 4 8 6 10" xfId="16781" xr:uid="{00000000-0005-0000-0000-000022740000}"/>
    <cellStyle name="Normal 3 4 8 6 10 2" xfId="34251" xr:uid="{00000000-0005-0000-0000-000023740000}"/>
    <cellStyle name="Normal 3 4 8 6 11" xfId="16782" xr:uid="{00000000-0005-0000-0000-000024740000}"/>
    <cellStyle name="Normal 3 4 8 6 11 2" xfId="34252" xr:uid="{00000000-0005-0000-0000-000025740000}"/>
    <cellStyle name="Normal 3 4 8 6 12" xfId="16783" xr:uid="{00000000-0005-0000-0000-000026740000}"/>
    <cellStyle name="Normal 3 4 8 6 12 2" xfId="34253" xr:uid="{00000000-0005-0000-0000-000027740000}"/>
    <cellStyle name="Normal 3 4 8 6 13" xfId="16784" xr:uid="{00000000-0005-0000-0000-000028740000}"/>
    <cellStyle name="Normal 3 4 8 6 13 2" xfId="34254" xr:uid="{00000000-0005-0000-0000-000029740000}"/>
    <cellStyle name="Normal 3 4 8 6 14" xfId="16785" xr:uid="{00000000-0005-0000-0000-00002A740000}"/>
    <cellStyle name="Normal 3 4 8 6 14 2" xfId="34255" xr:uid="{00000000-0005-0000-0000-00002B740000}"/>
    <cellStyle name="Normal 3 4 8 6 15" xfId="34250" xr:uid="{00000000-0005-0000-0000-00002C740000}"/>
    <cellStyle name="Normal 3 4 8 6 2" xfId="16786" xr:uid="{00000000-0005-0000-0000-00002D740000}"/>
    <cellStyle name="Normal 3 4 8 6 2 2" xfId="34256" xr:uid="{00000000-0005-0000-0000-00002E740000}"/>
    <cellStyle name="Normal 3 4 8 6 3" xfId="16787" xr:uid="{00000000-0005-0000-0000-00002F740000}"/>
    <cellStyle name="Normal 3 4 8 6 3 2" xfId="34257" xr:uid="{00000000-0005-0000-0000-000030740000}"/>
    <cellStyle name="Normal 3 4 8 6 4" xfId="16788" xr:uid="{00000000-0005-0000-0000-000031740000}"/>
    <cellStyle name="Normal 3 4 8 6 4 2" xfId="34258" xr:uid="{00000000-0005-0000-0000-000032740000}"/>
    <cellStyle name="Normal 3 4 8 6 5" xfId="16789" xr:uid="{00000000-0005-0000-0000-000033740000}"/>
    <cellStyle name="Normal 3 4 8 6 5 2" xfId="34259" xr:uid="{00000000-0005-0000-0000-000034740000}"/>
    <cellStyle name="Normal 3 4 8 6 6" xfId="16790" xr:uid="{00000000-0005-0000-0000-000035740000}"/>
    <cellStyle name="Normal 3 4 8 6 6 2" xfId="34260" xr:uid="{00000000-0005-0000-0000-000036740000}"/>
    <cellStyle name="Normal 3 4 8 6 7" xfId="16791" xr:uid="{00000000-0005-0000-0000-000037740000}"/>
    <cellStyle name="Normal 3 4 8 6 7 2" xfId="34261" xr:uid="{00000000-0005-0000-0000-000038740000}"/>
    <cellStyle name="Normal 3 4 8 6 8" xfId="16792" xr:uid="{00000000-0005-0000-0000-000039740000}"/>
    <cellStyle name="Normal 3 4 8 6 8 2" xfId="34262" xr:uid="{00000000-0005-0000-0000-00003A740000}"/>
    <cellStyle name="Normal 3 4 8 6 9" xfId="16793" xr:uid="{00000000-0005-0000-0000-00003B740000}"/>
    <cellStyle name="Normal 3 4 8 6 9 2" xfId="34263" xr:uid="{00000000-0005-0000-0000-00003C740000}"/>
    <cellStyle name="Normal 3 4 8 7" xfId="16794" xr:uid="{00000000-0005-0000-0000-00003D740000}"/>
    <cellStyle name="Normal 3 4 8 7 10" xfId="16795" xr:uid="{00000000-0005-0000-0000-00003E740000}"/>
    <cellStyle name="Normal 3 4 8 7 10 2" xfId="34265" xr:uid="{00000000-0005-0000-0000-00003F740000}"/>
    <cellStyle name="Normal 3 4 8 7 11" xfId="16796" xr:uid="{00000000-0005-0000-0000-000040740000}"/>
    <cellStyle name="Normal 3 4 8 7 11 2" xfId="34266" xr:uid="{00000000-0005-0000-0000-000041740000}"/>
    <cellStyle name="Normal 3 4 8 7 12" xfId="16797" xr:uid="{00000000-0005-0000-0000-000042740000}"/>
    <cellStyle name="Normal 3 4 8 7 12 2" xfId="34267" xr:uid="{00000000-0005-0000-0000-000043740000}"/>
    <cellStyle name="Normal 3 4 8 7 13" xfId="16798" xr:uid="{00000000-0005-0000-0000-000044740000}"/>
    <cellStyle name="Normal 3 4 8 7 13 2" xfId="34268" xr:uid="{00000000-0005-0000-0000-000045740000}"/>
    <cellStyle name="Normal 3 4 8 7 14" xfId="16799" xr:uid="{00000000-0005-0000-0000-000046740000}"/>
    <cellStyle name="Normal 3 4 8 7 14 2" xfId="34269" xr:uid="{00000000-0005-0000-0000-000047740000}"/>
    <cellStyle name="Normal 3 4 8 7 15" xfId="34264" xr:uid="{00000000-0005-0000-0000-000048740000}"/>
    <cellStyle name="Normal 3 4 8 7 2" xfId="16800" xr:uid="{00000000-0005-0000-0000-000049740000}"/>
    <cellStyle name="Normal 3 4 8 7 2 2" xfId="34270" xr:uid="{00000000-0005-0000-0000-00004A740000}"/>
    <cellStyle name="Normal 3 4 8 7 3" xfId="16801" xr:uid="{00000000-0005-0000-0000-00004B740000}"/>
    <cellStyle name="Normal 3 4 8 7 3 2" xfId="34271" xr:uid="{00000000-0005-0000-0000-00004C740000}"/>
    <cellStyle name="Normal 3 4 8 7 4" xfId="16802" xr:uid="{00000000-0005-0000-0000-00004D740000}"/>
    <cellStyle name="Normal 3 4 8 7 4 2" xfId="34272" xr:uid="{00000000-0005-0000-0000-00004E740000}"/>
    <cellStyle name="Normal 3 4 8 7 5" xfId="16803" xr:uid="{00000000-0005-0000-0000-00004F740000}"/>
    <cellStyle name="Normal 3 4 8 7 5 2" xfId="34273" xr:uid="{00000000-0005-0000-0000-000050740000}"/>
    <cellStyle name="Normal 3 4 8 7 6" xfId="16804" xr:uid="{00000000-0005-0000-0000-000051740000}"/>
    <cellStyle name="Normal 3 4 8 7 6 2" xfId="34274" xr:uid="{00000000-0005-0000-0000-000052740000}"/>
    <cellStyle name="Normal 3 4 8 7 7" xfId="16805" xr:uid="{00000000-0005-0000-0000-000053740000}"/>
    <cellStyle name="Normal 3 4 8 7 7 2" xfId="34275" xr:uid="{00000000-0005-0000-0000-000054740000}"/>
    <cellStyle name="Normal 3 4 8 7 8" xfId="16806" xr:uid="{00000000-0005-0000-0000-000055740000}"/>
    <cellStyle name="Normal 3 4 8 7 8 2" xfId="34276" xr:uid="{00000000-0005-0000-0000-000056740000}"/>
    <cellStyle name="Normal 3 4 8 7 9" xfId="16807" xr:uid="{00000000-0005-0000-0000-000057740000}"/>
    <cellStyle name="Normal 3 4 8 7 9 2" xfId="34277" xr:uid="{00000000-0005-0000-0000-000058740000}"/>
    <cellStyle name="Normal 3 4 8 8" xfId="16808" xr:uid="{00000000-0005-0000-0000-000059740000}"/>
    <cellStyle name="Normal 3 4 8 8 10" xfId="16809" xr:uid="{00000000-0005-0000-0000-00005A740000}"/>
    <cellStyle name="Normal 3 4 8 8 10 2" xfId="34279" xr:uid="{00000000-0005-0000-0000-00005B740000}"/>
    <cellStyle name="Normal 3 4 8 8 11" xfId="16810" xr:uid="{00000000-0005-0000-0000-00005C740000}"/>
    <cellStyle name="Normal 3 4 8 8 11 2" xfId="34280" xr:uid="{00000000-0005-0000-0000-00005D740000}"/>
    <cellStyle name="Normal 3 4 8 8 12" xfId="16811" xr:uid="{00000000-0005-0000-0000-00005E740000}"/>
    <cellStyle name="Normal 3 4 8 8 12 2" xfId="34281" xr:uid="{00000000-0005-0000-0000-00005F740000}"/>
    <cellStyle name="Normal 3 4 8 8 13" xfId="16812" xr:uid="{00000000-0005-0000-0000-000060740000}"/>
    <cellStyle name="Normal 3 4 8 8 13 2" xfId="34282" xr:uid="{00000000-0005-0000-0000-000061740000}"/>
    <cellStyle name="Normal 3 4 8 8 14" xfId="16813" xr:uid="{00000000-0005-0000-0000-000062740000}"/>
    <cellStyle name="Normal 3 4 8 8 14 2" xfId="34283" xr:uid="{00000000-0005-0000-0000-000063740000}"/>
    <cellStyle name="Normal 3 4 8 8 15" xfId="34278" xr:uid="{00000000-0005-0000-0000-000064740000}"/>
    <cellStyle name="Normal 3 4 8 8 2" xfId="16814" xr:uid="{00000000-0005-0000-0000-000065740000}"/>
    <cellStyle name="Normal 3 4 8 8 2 2" xfId="34284" xr:uid="{00000000-0005-0000-0000-000066740000}"/>
    <cellStyle name="Normal 3 4 8 8 3" xfId="16815" xr:uid="{00000000-0005-0000-0000-000067740000}"/>
    <cellStyle name="Normal 3 4 8 8 3 2" xfId="34285" xr:uid="{00000000-0005-0000-0000-000068740000}"/>
    <cellStyle name="Normal 3 4 8 8 4" xfId="16816" xr:uid="{00000000-0005-0000-0000-000069740000}"/>
    <cellStyle name="Normal 3 4 8 8 4 2" xfId="34286" xr:uid="{00000000-0005-0000-0000-00006A740000}"/>
    <cellStyle name="Normal 3 4 8 8 5" xfId="16817" xr:uid="{00000000-0005-0000-0000-00006B740000}"/>
    <cellStyle name="Normal 3 4 8 8 5 2" xfId="34287" xr:uid="{00000000-0005-0000-0000-00006C740000}"/>
    <cellStyle name="Normal 3 4 8 8 6" xfId="16818" xr:uid="{00000000-0005-0000-0000-00006D740000}"/>
    <cellStyle name="Normal 3 4 8 8 6 2" xfId="34288" xr:uid="{00000000-0005-0000-0000-00006E740000}"/>
    <cellStyle name="Normal 3 4 8 8 7" xfId="16819" xr:uid="{00000000-0005-0000-0000-00006F740000}"/>
    <cellStyle name="Normal 3 4 8 8 7 2" xfId="34289" xr:uid="{00000000-0005-0000-0000-000070740000}"/>
    <cellStyle name="Normal 3 4 8 8 8" xfId="16820" xr:uid="{00000000-0005-0000-0000-000071740000}"/>
    <cellStyle name="Normal 3 4 8 8 8 2" xfId="34290" xr:uid="{00000000-0005-0000-0000-000072740000}"/>
    <cellStyle name="Normal 3 4 8 8 9" xfId="16821" xr:uid="{00000000-0005-0000-0000-000073740000}"/>
    <cellStyle name="Normal 3 4 8 8 9 2" xfId="34291" xr:uid="{00000000-0005-0000-0000-000074740000}"/>
    <cellStyle name="Normal 3 4 8 9" xfId="16822" xr:uid="{00000000-0005-0000-0000-000075740000}"/>
    <cellStyle name="Normal 3 4 8 9 10" xfId="16823" xr:uid="{00000000-0005-0000-0000-000076740000}"/>
    <cellStyle name="Normal 3 4 8 9 10 2" xfId="34293" xr:uid="{00000000-0005-0000-0000-000077740000}"/>
    <cellStyle name="Normal 3 4 8 9 11" xfId="16824" xr:uid="{00000000-0005-0000-0000-000078740000}"/>
    <cellStyle name="Normal 3 4 8 9 11 2" xfId="34294" xr:uid="{00000000-0005-0000-0000-000079740000}"/>
    <cellStyle name="Normal 3 4 8 9 12" xfId="16825" xr:uid="{00000000-0005-0000-0000-00007A740000}"/>
    <cellStyle name="Normal 3 4 8 9 12 2" xfId="34295" xr:uid="{00000000-0005-0000-0000-00007B740000}"/>
    <cellStyle name="Normal 3 4 8 9 13" xfId="16826" xr:uid="{00000000-0005-0000-0000-00007C740000}"/>
    <cellStyle name="Normal 3 4 8 9 13 2" xfId="34296" xr:uid="{00000000-0005-0000-0000-00007D740000}"/>
    <cellStyle name="Normal 3 4 8 9 14" xfId="16827" xr:uid="{00000000-0005-0000-0000-00007E740000}"/>
    <cellStyle name="Normal 3 4 8 9 14 2" xfId="34297" xr:uid="{00000000-0005-0000-0000-00007F740000}"/>
    <cellStyle name="Normal 3 4 8 9 15" xfId="34292" xr:uid="{00000000-0005-0000-0000-000080740000}"/>
    <cellStyle name="Normal 3 4 8 9 2" xfId="16828" xr:uid="{00000000-0005-0000-0000-000081740000}"/>
    <cellStyle name="Normal 3 4 8 9 2 2" xfId="34298" xr:uid="{00000000-0005-0000-0000-000082740000}"/>
    <cellStyle name="Normal 3 4 8 9 3" xfId="16829" xr:uid="{00000000-0005-0000-0000-000083740000}"/>
    <cellStyle name="Normal 3 4 8 9 3 2" xfId="34299" xr:uid="{00000000-0005-0000-0000-000084740000}"/>
    <cellStyle name="Normal 3 4 8 9 4" xfId="16830" xr:uid="{00000000-0005-0000-0000-000085740000}"/>
    <cellStyle name="Normal 3 4 8 9 4 2" xfId="34300" xr:uid="{00000000-0005-0000-0000-000086740000}"/>
    <cellStyle name="Normal 3 4 8 9 5" xfId="16831" xr:uid="{00000000-0005-0000-0000-000087740000}"/>
    <cellStyle name="Normal 3 4 8 9 5 2" xfId="34301" xr:uid="{00000000-0005-0000-0000-000088740000}"/>
    <cellStyle name="Normal 3 4 8 9 6" xfId="16832" xr:uid="{00000000-0005-0000-0000-000089740000}"/>
    <cellStyle name="Normal 3 4 8 9 6 2" xfId="34302" xr:uid="{00000000-0005-0000-0000-00008A740000}"/>
    <cellStyle name="Normal 3 4 8 9 7" xfId="16833" xr:uid="{00000000-0005-0000-0000-00008B740000}"/>
    <cellStyle name="Normal 3 4 8 9 7 2" xfId="34303" xr:uid="{00000000-0005-0000-0000-00008C740000}"/>
    <cellStyle name="Normal 3 4 8 9 8" xfId="16834" xr:uid="{00000000-0005-0000-0000-00008D740000}"/>
    <cellStyle name="Normal 3 4 8 9 8 2" xfId="34304" xr:uid="{00000000-0005-0000-0000-00008E740000}"/>
    <cellStyle name="Normal 3 4 8 9 9" xfId="16835" xr:uid="{00000000-0005-0000-0000-00008F740000}"/>
    <cellStyle name="Normal 3 4 8 9 9 2" xfId="34305" xr:uid="{00000000-0005-0000-0000-000090740000}"/>
    <cellStyle name="Normal 3 4 9" xfId="16836" xr:uid="{00000000-0005-0000-0000-000091740000}"/>
    <cellStyle name="Normal 3 4 9 10" xfId="16837" xr:uid="{00000000-0005-0000-0000-000092740000}"/>
    <cellStyle name="Normal 3 4 9 10 10" xfId="16838" xr:uid="{00000000-0005-0000-0000-000093740000}"/>
    <cellStyle name="Normal 3 4 9 10 10 2" xfId="34308" xr:uid="{00000000-0005-0000-0000-000094740000}"/>
    <cellStyle name="Normal 3 4 9 10 11" xfId="16839" xr:uid="{00000000-0005-0000-0000-000095740000}"/>
    <cellStyle name="Normal 3 4 9 10 11 2" xfId="34309" xr:uid="{00000000-0005-0000-0000-000096740000}"/>
    <cellStyle name="Normal 3 4 9 10 12" xfId="16840" xr:uid="{00000000-0005-0000-0000-000097740000}"/>
    <cellStyle name="Normal 3 4 9 10 12 2" xfId="34310" xr:uid="{00000000-0005-0000-0000-000098740000}"/>
    <cellStyle name="Normal 3 4 9 10 13" xfId="16841" xr:uid="{00000000-0005-0000-0000-000099740000}"/>
    <cellStyle name="Normal 3 4 9 10 13 2" xfId="34311" xr:uid="{00000000-0005-0000-0000-00009A740000}"/>
    <cellStyle name="Normal 3 4 9 10 14" xfId="16842" xr:uid="{00000000-0005-0000-0000-00009B740000}"/>
    <cellStyle name="Normal 3 4 9 10 14 2" xfId="34312" xr:uid="{00000000-0005-0000-0000-00009C740000}"/>
    <cellStyle name="Normal 3 4 9 10 15" xfId="34307" xr:uid="{00000000-0005-0000-0000-00009D740000}"/>
    <cellStyle name="Normal 3 4 9 10 2" xfId="16843" xr:uid="{00000000-0005-0000-0000-00009E740000}"/>
    <cellStyle name="Normal 3 4 9 10 2 2" xfId="34313" xr:uid="{00000000-0005-0000-0000-00009F740000}"/>
    <cellStyle name="Normal 3 4 9 10 3" xfId="16844" xr:uid="{00000000-0005-0000-0000-0000A0740000}"/>
    <cellStyle name="Normal 3 4 9 10 3 2" xfId="34314" xr:uid="{00000000-0005-0000-0000-0000A1740000}"/>
    <cellStyle name="Normal 3 4 9 10 4" xfId="16845" xr:uid="{00000000-0005-0000-0000-0000A2740000}"/>
    <cellStyle name="Normal 3 4 9 10 4 2" xfId="34315" xr:uid="{00000000-0005-0000-0000-0000A3740000}"/>
    <cellStyle name="Normal 3 4 9 10 5" xfId="16846" xr:uid="{00000000-0005-0000-0000-0000A4740000}"/>
    <cellStyle name="Normal 3 4 9 10 5 2" xfId="34316" xr:uid="{00000000-0005-0000-0000-0000A5740000}"/>
    <cellStyle name="Normal 3 4 9 10 6" xfId="16847" xr:uid="{00000000-0005-0000-0000-0000A6740000}"/>
    <cellStyle name="Normal 3 4 9 10 6 2" xfId="34317" xr:uid="{00000000-0005-0000-0000-0000A7740000}"/>
    <cellStyle name="Normal 3 4 9 10 7" xfId="16848" xr:uid="{00000000-0005-0000-0000-0000A8740000}"/>
    <cellStyle name="Normal 3 4 9 10 7 2" xfId="34318" xr:uid="{00000000-0005-0000-0000-0000A9740000}"/>
    <cellStyle name="Normal 3 4 9 10 8" xfId="16849" xr:uid="{00000000-0005-0000-0000-0000AA740000}"/>
    <cellStyle name="Normal 3 4 9 10 8 2" xfId="34319" xr:uid="{00000000-0005-0000-0000-0000AB740000}"/>
    <cellStyle name="Normal 3 4 9 10 9" xfId="16850" xr:uid="{00000000-0005-0000-0000-0000AC740000}"/>
    <cellStyle name="Normal 3 4 9 10 9 2" xfId="34320" xr:uid="{00000000-0005-0000-0000-0000AD740000}"/>
    <cellStyle name="Normal 3 4 9 11" xfId="16851" xr:uid="{00000000-0005-0000-0000-0000AE740000}"/>
    <cellStyle name="Normal 3 4 9 11 2" xfId="34321" xr:uid="{00000000-0005-0000-0000-0000AF740000}"/>
    <cellStyle name="Normal 3 4 9 12" xfId="16852" xr:uid="{00000000-0005-0000-0000-0000B0740000}"/>
    <cellStyle name="Normal 3 4 9 12 2" xfId="34322" xr:uid="{00000000-0005-0000-0000-0000B1740000}"/>
    <cellStyle name="Normal 3 4 9 13" xfId="16853" xr:uid="{00000000-0005-0000-0000-0000B2740000}"/>
    <cellStyle name="Normal 3 4 9 13 2" xfId="34323" xr:uid="{00000000-0005-0000-0000-0000B3740000}"/>
    <cellStyle name="Normal 3 4 9 14" xfId="16854" xr:uid="{00000000-0005-0000-0000-0000B4740000}"/>
    <cellStyle name="Normal 3 4 9 14 2" xfId="34324" xr:uid="{00000000-0005-0000-0000-0000B5740000}"/>
    <cellStyle name="Normal 3 4 9 15" xfId="16855" xr:uid="{00000000-0005-0000-0000-0000B6740000}"/>
    <cellStyle name="Normal 3 4 9 15 2" xfId="34325" xr:uid="{00000000-0005-0000-0000-0000B7740000}"/>
    <cellStyle name="Normal 3 4 9 16" xfId="16856" xr:uid="{00000000-0005-0000-0000-0000B8740000}"/>
    <cellStyle name="Normal 3 4 9 16 2" xfId="34326" xr:uid="{00000000-0005-0000-0000-0000B9740000}"/>
    <cellStyle name="Normal 3 4 9 17" xfId="16857" xr:uid="{00000000-0005-0000-0000-0000BA740000}"/>
    <cellStyle name="Normal 3 4 9 17 2" xfId="34327" xr:uid="{00000000-0005-0000-0000-0000BB740000}"/>
    <cellStyle name="Normal 3 4 9 18" xfId="16858" xr:uid="{00000000-0005-0000-0000-0000BC740000}"/>
    <cellStyle name="Normal 3 4 9 18 2" xfId="34328" xr:uid="{00000000-0005-0000-0000-0000BD740000}"/>
    <cellStyle name="Normal 3 4 9 19" xfId="16859" xr:uid="{00000000-0005-0000-0000-0000BE740000}"/>
    <cellStyle name="Normal 3 4 9 19 2" xfId="34329" xr:uid="{00000000-0005-0000-0000-0000BF740000}"/>
    <cellStyle name="Normal 3 4 9 2" xfId="16860" xr:uid="{00000000-0005-0000-0000-0000C0740000}"/>
    <cellStyle name="Normal 3 4 9 2 10" xfId="16861" xr:uid="{00000000-0005-0000-0000-0000C1740000}"/>
    <cellStyle name="Normal 3 4 9 2 10 2" xfId="34331" xr:uid="{00000000-0005-0000-0000-0000C2740000}"/>
    <cellStyle name="Normal 3 4 9 2 11" xfId="16862" xr:uid="{00000000-0005-0000-0000-0000C3740000}"/>
    <cellStyle name="Normal 3 4 9 2 11 2" xfId="34332" xr:uid="{00000000-0005-0000-0000-0000C4740000}"/>
    <cellStyle name="Normal 3 4 9 2 12" xfId="16863" xr:uid="{00000000-0005-0000-0000-0000C5740000}"/>
    <cellStyle name="Normal 3 4 9 2 12 2" xfId="34333" xr:uid="{00000000-0005-0000-0000-0000C6740000}"/>
    <cellStyle name="Normal 3 4 9 2 13" xfId="16864" xr:uid="{00000000-0005-0000-0000-0000C7740000}"/>
    <cellStyle name="Normal 3 4 9 2 13 2" xfId="34334" xr:uid="{00000000-0005-0000-0000-0000C8740000}"/>
    <cellStyle name="Normal 3 4 9 2 14" xfId="16865" xr:uid="{00000000-0005-0000-0000-0000C9740000}"/>
    <cellStyle name="Normal 3 4 9 2 14 2" xfId="34335" xr:uid="{00000000-0005-0000-0000-0000CA740000}"/>
    <cellStyle name="Normal 3 4 9 2 15" xfId="16866" xr:uid="{00000000-0005-0000-0000-0000CB740000}"/>
    <cellStyle name="Normal 3 4 9 2 15 2" xfId="34336" xr:uid="{00000000-0005-0000-0000-0000CC740000}"/>
    <cellStyle name="Normal 3 4 9 2 16" xfId="34330" xr:uid="{00000000-0005-0000-0000-0000CD740000}"/>
    <cellStyle name="Normal 3 4 9 2 2" xfId="16867" xr:uid="{00000000-0005-0000-0000-0000CE740000}"/>
    <cellStyle name="Normal 3 4 9 2 2 10" xfId="16868" xr:uid="{00000000-0005-0000-0000-0000CF740000}"/>
    <cellStyle name="Normal 3 4 9 2 2 10 2" xfId="34338" xr:uid="{00000000-0005-0000-0000-0000D0740000}"/>
    <cellStyle name="Normal 3 4 9 2 2 11" xfId="16869" xr:uid="{00000000-0005-0000-0000-0000D1740000}"/>
    <cellStyle name="Normal 3 4 9 2 2 11 2" xfId="34339" xr:uid="{00000000-0005-0000-0000-0000D2740000}"/>
    <cellStyle name="Normal 3 4 9 2 2 12" xfId="16870" xr:uid="{00000000-0005-0000-0000-0000D3740000}"/>
    <cellStyle name="Normal 3 4 9 2 2 12 2" xfId="34340" xr:uid="{00000000-0005-0000-0000-0000D4740000}"/>
    <cellStyle name="Normal 3 4 9 2 2 13" xfId="16871" xr:uid="{00000000-0005-0000-0000-0000D5740000}"/>
    <cellStyle name="Normal 3 4 9 2 2 13 2" xfId="34341" xr:uid="{00000000-0005-0000-0000-0000D6740000}"/>
    <cellStyle name="Normal 3 4 9 2 2 14" xfId="16872" xr:uid="{00000000-0005-0000-0000-0000D7740000}"/>
    <cellStyle name="Normal 3 4 9 2 2 14 2" xfId="34342" xr:uid="{00000000-0005-0000-0000-0000D8740000}"/>
    <cellStyle name="Normal 3 4 9 2 2 15" xfId="34337" xr:uid="{00000000-0005-0000-0000-0000D9740000}"/>
    <cellStyle name="Normal 3 4 9 2 2 2" xfId="16873" xr:uid="{00000000-0005-0000-0000-0000DA740000}"/>
    <cellStyle name="Normal 3 4 9 2 2 2 2" xfId="34343" xr:uid="{00000000-0005-0000-0000-0000DB740000}"/>
    <cellStyle name="Normal 3 4 9 2 2 3" xfId="16874" xr:uid="{00000000-0005-0000-0000-0000DC740000}"/>
    <cellStyle name="Normal 3 4 9 2 2 3 2" xfId="34344" xr:uid="{00000000-0005-0000-0000-0000DD740000}"/>
    <cellStyle name="Normal 3 4 9 2 2 4" xfId="16875" xr:uid="{00000000-0005-0000-0000-0000DE740000}"/>
    <cellStyle name="Normal 3 4 9 2 2 4 2" xfId="34345" xr:uid="{00000000-0005-0000-0000-0000DF740000}"/>
    <cellStyle name="Normal 3 4 9 2 2 5" xfId="16876" xr:uid="{00000000-0005-0000-0000-0000E0740000}"/>
    <cellStyle name="Normal 3 4 9 2 2 5 2" xfId="34346" xr:uid="{00000000-0005-0000-0000-0000E1740000}"/>
    <cellStyle name="Normal 3 4 9 2 2 6" xfId="16877" xr:uid="{00000000-0005-0000-0000-0000E2740000}"/>
    <cellStyle name="Normal 3 4 9 2 2 6 2" xfId="34347" xr:uid="{00000000-0005-0000-0000-0000E3740000}"/>
    <cellStyle name="Normal 3 4 9 2 2 7" xfId="16878" xr:uid="{00000000-0005-0000-0000-0000E4740000}"/>
    <cellStyle name="Normal 3 4 9 2 2 7 2" xfId="34348" xr:uid="{00000000-0005-0000-0000-0000E5740000}"/>
    <cellStyle name="Normal 3 4 9 2 2 8" xfId="16879" xr:uid="{00000000-0005-0000-0000-0000E6740000}"/>
    <cellStyle name="Normal 3 4 9 2 2 8 2" xfId="34349" xr:uid="{00000000-0005-0000-0000-0000E7740000}"/>
    <cellStyle name="Normal 3 4 9 2 2 9" xfId="16880" xr:uid="{00000000-0005-0000-0000-0000E8740000}"/>
    <cellStyle name="Normal 3 4 9 2 2 9 2" xfId="34350" xr:uid="{00000000-0005-0000-0000-0000E9740000}"/>
    <cellStyle name="Normal 3 4 9 2 3" xfId="16881" xr:uid="{00000000-0005-0000-0000-0000EA740000}"/>
    <cellStyle name="Normal 3 4 9 2 3 2" xfId="34351" xr:uid="{00000000-0005-0000-0000-0000EB740000}"/>
    <cellStyle name="Normal 3 4 9 2 4" xfId="16882" xr:uid="{00000000-0005-0000-0000-0000EC740000}"/>
    <cellStyle name="Normal 3 4 9 2 4 2" xfId="34352" xr:uid="{00000000-0005-0000-0000-0000ED740000}"/>
    <cellStyle name="Normal 3 4 9 2 5" xfId="16883" xr:uid="{00000000-0005-0000-0000-0000EE740000}"/>
    <cellStyle name="Normal 3 4 9 2 5 2" xfId="34353" xr:uid="{00000000-0005-0000-0000-0000EF740000}"/>
    <cellStyle name="Normal 3 4 9 2 6" xfId="16884" xr:uid="{00000000-0005-0000-0000-0000F0740000}"/>
    <cellStyle name="Normal 3 4 9 2 6 2" xfId="34354" xr:uid="{00000000-0005-0000-0000-0000F1740000}"/>
    <cellStyle name="Normal 3 4 9 2 7" xfId="16885" xr:uid="{00000000-0005-0000-0000-0000F2740000}"/>
    <cellStyle name="Normal 3 4 9 2 7 2" xfId="34355" xr:uid="{00000000-0005-0000-0000-0000F3740000}"/>
    <cellStyle name="Normal 3 4 9 2 8" xfId="16886" xr:uid="{00000000-0005-0000-0000-0000F4740000}"/>
    <cellStyle name="Normal 3 4 9 2 8 2" xfId="34356" xr:uid="{00000000-0005-0000-0000-0000F5740000}"/>
    <cellStyle name="Normal 3 4 9 2 9" xfId="16887" xr:uid="{00000000-0005-0000-0000-0000F6740000}"/>
    <cellStyle name="Normal 3 4 9 2 9 2" xfId="34357" xr:uid="{00000000-0005-0000-0000-0000F7740000}"/>
    <cellStyle name="Normal 3 4 9 20" xfId="16888" xr:uid="{00000000-0005-0000-0000-0000F8740000}"/>
    <cellStyle name="Normal 3 4 9 20 2" xfId="34358" xr:uid="{00000000-0005-0000-0000-0000F9740000}"/>
    <cellStyle name="Normal 3 4 9 21" xfId="16889" xr:uid="{00000000-0005-0000-0000-0000FA740000}"/>
    <cellStyle name="Normal 3 4 9 21 2" xfId="34359" xr:uid="{00000000-0005-0000-0000-0000FB740000}"/>
    <cellStyle name="Normal 3 4 9 22" xfId="16890" xr:uid="{00000000-0005-0000-0000-0000FC740000}"/>
    <cellStyle name="Normal 3 4 9 22 2" xfId="34360" xr:uid="{00000000-0005-0000-0000-0000FD740000}"/>
    <cellStyle name="Normal 3 4 9 23" xfId="16891" xr:uid="{00000000-0005-0000-0000-0000FE740000}"/>
    <cellStyle name="Normal 3 4 9 23 2" xfId="34361" xr:uid="{00000000-0005-0000-0000-0000FF740000}"/>
    <cellStyle name="Normal 3 4 9 24" xfId="34306" xr:uid="{00000000-0005-0000-0000-000000750000}"/>
    <cellStyle name="Normal 3 4 9 3" xfId="16892" xr:uid="{00000000-0005-0000-0000-000001750000}"/>
    <cellStyle name="Normal 3 4 9 3 10" xfId="16893" xr:uid="{00000000-0005-0000-0000-000002750000}"/>
    <cellStyle name="Normal 3 4 9 3 10 2" xfId="34363" xr:uid="{00000000-0005-0000-0000-000003750000}"/>
    <cellStyle name="Normal 3 4 9 3 11" xfId="16894" xr:uid="{00000000-0005-0000-0000-000004750000}"/>
    <cellStyle name="Normal 3 4 9 3 11 2" xfId="34364" xr:uid="{00000000-0005-0000-0000-000005750000}"/>
    <cellStyle name="Normal 3 4 9 3 12" xfId="16895" xr:uid="{00000000-0005-0000-0000-000006750000}"/>
    <cellStyle name="Normal 3 4 9 3 12 2" xfId="34365" xr:uid="{00000000-0005-0000-0000-000007750000}"/>
    <cellStyle name="Normal 3 4 9 3 13" xfId="16896" xr:uid="{00000000-0005-0000-0000-000008750000}"/>
    <cellStyle name="Normal 3 4 9 3 13 2" xfId="34366" xr:uid="{00000000-0005-0000-0000-000009750000}"/>
    <cellStyle name="Normal 3 4 9 3 14" xfId="16897" xr:uid="{00000000-0005-0000-0000-00000A750000}"/>
    <cellStyle name="Normal 3 4 9 3 14 2" xfId="34367" xr:uid="{00000000-0005-0000-0000-00000B750000}"/>
    <cellStyle name="Normal 3 4 9 3 15" xfId="16898" xr:uid="{00000000-0005-0000-0000-00000C750000}"/>
    <cellStyle name="Normal 3 4 9 3 15 2" xfId="34368" xr:uid="{00000000-0005-0000-0000-00000D750000}"/>
    <cellStyle name="Normal 3 4 9 3 16" xfId="34362" xr:uid="{00000000-0005-0000-0000-00000E750000}"/>
    <cellStyle name="Normal 3 4 9 3 2" xfId="16899" xr:uid="{00000000-0005-0000-0000-00000F750000}"/>
    <cellStyle name="Normal 3 4 9 3 2 10" xfId="16900" xr:uid="{00000000-0005-0000-0000-000010750000}"/>
    <cellStyle name="Normal 3 4 9 3 2 10 2" xfId="34370" xr:uid="{00000000-0005-0000-0000-000011750000}"/>
    <cellStyle name="Normal 3 4 9 3 2 11" xfId="16901" xr:uid="{00000000-0005-0000-0000-000012750000}"/>
    <cellStyle name="Normal 3 4 9 3 2 11 2" xfId="34371" xr:uid="{00000000-0005-0000-0000-000013750000}"/>
    <cellStyle name="Normal 3 4 9 3 2 12" xfId="16902" xr:uid="{00000000-0005-0000-0000-000014750000}"/>
    <cellStyle name="Normal 3 4 9 3 2 12 2" xfId="34372" xr:uid="{00000000-0005-0000-0000-000015750000}"/>
    <cellStyle name="Normal 3 4 9 3 2 13" xfId="16903" xr:uid="{00000000-0005-0000-0000-000016750000}"/>
    <cellStyle name="Normal 3 4 9 3 2 13 2" xfId="34373" xr:uid="{00000000-0005-0000-0000-000017750000}"/>
    <cellStyle name="Normal 3 4 9 3 2 14" xfId="16904" xr:uid="{00000000-0005-0000-0000-000018750000}"/>
    <cellStyle name="Normal 3 4 9 3 2 14 2" xfId="34374" xr:uid="{00000000-0005-0000-0000-000019750000}"/>
    <cellStyle name="Normal 3 4 9 3 2 15" xfId="34369" xr:uid="{00000000-0005-0000-0000-00001A750000}"/>
    <cellStyle name="Normal 3 4 9 3 2 2" xfId="16905" xr:uid="{00000000-0005-0000-0000-00001B750000}"/>
    <cellStyle name="Normal 3 4 9 3 2 2 2" xfId="34375" xr:uid="{00000000-0005-0000-0000-00001C750000}"/>
    <cellStyle name="Normal 3 4 9 3 2 3" xfId="16906" xr:uid="{00000000-0005-0000-0000-00001D750000}"/>
    <cellStyle name="Normal 3 4 9 3 2 3 2" xfId="34376" xr:uid="{00000000-0005-0000-0000-00001E750000}"/>
    <cellStyle name="Normal 3 4 9 3 2 4" xfId="16907" xr:uid="{00000000-0005-0000-0000-00001F750000}"/>
    <cellStyle name="Normal 3 4 9 3 2 4 2" xfId="34377" xr:uid="{00000000-0005-0000-0000-000020750000}"/>
    <cellStyle name="Normal 3 4 9 3 2 5" xfId="16908" xr:uid="{00000000-0005-0000-0000-000021750000}"/>
    <cellStyle name="Normal 3 4 9 3 2 5 2" xfId="34378" xr:uid="{00000000-0005-0000-0000-000022750000}"/>
    <cellStyle name="Normal 3 4 9 3 2 6" xfId="16909" xr:uid="{00000000-0005-0000-0000-000023750000}"/>
    <cellStyle name="Normal 3 4 9 3 2 6 2" xfId="34379" xr:uid="{00000000-0005-0000-0000-000024750000}"/>
    <cellStyle name="Normal 3 4 9 3 2 7" xfId="16910" xr:uid="{00000000-0005-0000-0000-000025750000}"/>
    <cellStyle name="Normal 3 4 9 3 2 7 2" xfId="34380" xr:uid="{00000000-0005-0000-0000-000026750000}"/>
    <cellStyle name="Normal 3 4 9 3 2 8" xfId="16911" xr:uid="{00000000-0005-0000-0000-000027750000}"/>
    <cellStyle name="Normal 3 4 9 3 2 8 2" xfId="34381" xr:uid="{00000000-0005-0000-0000-000028750000}"/>
    <cellStyle name="Normal 3 4 9 3 2 9" xfId="16912" xr:uid="{00000000-0005-0000-0000-000029750000}"/>
    <cellStyle name="Normal 3 4 9 3 2 9 2" xfId="34382" xr:uid="{00000000-0005-0000-0000-00002A750000}"/>
    <cellStyle name="Normal 3 4 9 3 3" xfId="16913" xr:uid="{00000000-0005-0000-0000-00002B750000}"/>
    <cellStyle name="Normal 3 4 9 3 3 2" xfId="34383" xr:uid="{00000000-0005-0000-0000-00002C750000}"/>
    <cellStyle name="Normal 3 4 9 3 4" xfId="16914" xr:uid="{00000000-0005-0000-0000-00002D750000}"/>
    <cellStyle name="Normal 3 4 9 3 4 2" xfId="34384" xr:uid="{00000000-0005-0000-0000-00002E750000}"/>
    <cellStyle name="Normal 3 4 9 3 5" xfId="16915" xr:uid="{00000000-0005-0000-0000-00002F750000}"/>
    <cellStyle name="Normal 3 4 9 3 5 2" xfId="34385" xr:uid="{00000000-0005-0000-0000-000030750000}"/>
    <cellStyle name="Normal 3 4 9 3 6" xfId="16916" xr:uid="{00000000-0005-0000-0000-000031750000}"/>
    <cellStyle name="Normal 3 4 9 3 6 2" xfId="34386" xr:uid="{00000000-0005-0000-0000-000032750000}"/>
    <cellStyle name="Normal 3 4 9 3 7" xfId="16917" xr:uid="{00000000-0005-0000-0000-000033750000}"/>
    <cellStyle name="Normal 3 4 9 3 7 2" xfId="34387" xr:uid="{00000000-0005-0000-0000-000034750000}"/>
    <cellStyle name="Normal 3 4 9 3 8" xfId="16918" xr:uid="{00000000-0005-0000-0000-000035750000}"/>
    <cellStyle name="Normal 3 4 9 3 8 2" xfId="34388" xr:uid="{00000000-0005-0000-0000-000036750000}"/>
    <cellStyle name="Normal 3 4 9 3 9" xfId="16919" xr:uid="{00000000-0005-0000-0000-000037750000}"/>
    <cellStyle name="Normal 3 4 9 3 9 2" xfId="34389" xr:uid="{00000000-0005-0000-0000-000038750000}"/>
    <cellStyle name="Normal 3 4 9 4" xfId="16920" xr:uid="{00000000-0005-0000-0000-000039750000}"/>
    <cellStyle name="Normal 3 4 9 4 10" xfId="16921" xr:uid="{00000000-0005-0000-0000-00003A750000}"/>
    <cellStyle name="Normal 3 4 9 4 10 2" xfId="34391" xr:uid="{00000000-0005-0000-0000-00003B750000}"/>
    <cellStyle name="Normal 3 4 9 4 11" xfId="16922" xr:uid="{00000000-0005-0000-0000-00003C750000}"/>
    <cellStyle name="Normal 3 4 9 4 11 2" xfId="34392" xr:uid="{00000000-0005-0000-0000-00003D750000}"/>
    <cellStyle name="Normal 3 4 9 4 12" xfId="16923" xr:uid="{00000000-0005-0000-0000-00003E750000}"/>
    <cellStyle name="Normal 3 4 9 4 12 2" xfId="34393" xr:uid="{00000000-0005-0000-0000-00003F750000}"/>
    <cellStyle name="Normal 3 4 9 4 13" xfId="16924" xr:uid="{00000000-0005-0000-0000-000040750000}"/>
    <cellStyle name="Normal 3 4 9 4 13 2" xfId="34394" xr:uid="{00000000-0005-0000-0000-000041750000}"/>
    <cellStyle name="Normal 3 4 9 4 14" xfId="16925" xr:uid="{00000000-0005-0000-0000-000042750000}"/>
    <cellStyle name="Normal 3 4 9 4 14 2" xfId="34395" xr:uid="{00000000-0005-0000-0000-000043750000}"/>
    <cellStyle name="Normal 3 4 9 4 15" xfId="16926" xr:uid="{00000000-0005-0000-0000-000044750000}"/>
    <cellStyle name="Normal 3 4 9 4 15 2" xfId="34396" xr:uid="{00000000-0005-0000-0000-000045750000}"/>
    <cellStyle name="Normal 3 4 9 4 16" xfId="34390" xr:uid="{00000000-0005-0000-0000-000046750000}"/>
    <cellStyle name="Normal 3 4 9 4 2" xfId="16927" xr:uid="{00000000-0005-0000-0000-000047750000}"/>
    <cellStyle name="Normal 3 4 9 4 2 10" xfId="16928" xr:uid="{00000000-0005-0000-0000-000048750000}"/>
    <cellStyle name="Normal 3 4 9 4 2 10 2" xfId="34398" xr:uid="{00000000-0005-0000-0000-000049750000}"/>
    <cellStyle name="Normal 3 4 9 4 2 11" xfId="16929" xr:uid="{00000000-0005-0000-0000-00004A750000}"/>
    <cellStyle name="Normal 3 4 9 4 2 11 2" xfId="34399" xr:uid="{00000000-0005-0000-0000-00004B750000}"/>
    <cellStyle name="Normal 3 4 9 4 2 12" xfId="16930" xr:uid="{00000000-0005-0000-0000-00004C750000}"/>
    <cellStyle name="Normal 3 4 9 4 2 12 2" xfId="34400" xr:uid="{00000000-0005-0000-0000-00004D750000}"/>
    <cellStyle name="Normal 3 4 9 4 2 13" xfId="16931" xr:uid="{00000000-0005-0000-0000-00004E750000}"/>
    <cellStyle name="Normal 3 4 9 4 2 13 2" xfId="34401" xr:uid="{00000000-0005-0000-0000-00004F750000}"/>
    <cellStyle name="Normal 3 4 9 4 2 14" xfId="16932" xr:uid="{00000000-0005-0000-0000-000050750000}"/>
    <cellStyle name="Normal 3 4 9 4 2 14 2" xfId="34402" xr:uid="{00000000-0005-0000-0000-000051750000}"/>
    <cellStyle name="Normal 3 4 9 4 2 15" xfId="34397" xr:uid="{00000000-0005-0000-0000-000052750000}"/>
    <cellStyle name="Normal 3 4 9 4 2 2" xfId="16933" xr:uid="{00000000-0005-0000-0000-000053750000}"/>
    <cellStyle name="Normal 3 4 9 4 2 2 2" xfId="34403" xr:uid="{00000000-0005-0000-0000-000054750000}"/>
    <cellStyle name="Normal 3 4 9 4 2 3" xfId="16934" xr:uid="{00000000-0005-0000-0000-000055750000}"/>
    <cellStyle name="Normal 3 4 9 4 2 3 2" xfId="34404" xr:uid="{00000000-0005-0000-0000-000056750000}"/>
    <cellStyle name="Normal 3 4 9 4 2 4" xfId="16935" xr:uid="{00000000-0005-0000-0000-000057750000}"/>
    <cellStyle name="Normal 3 4 9 4 2 4 2" xfId="34405" xr:uid="{00000000-0005-0000-0000-000058750000}"/>
    <cellStyle name="Normal 3 4 9 4 2 5" xfId="16936" xr:uid="{00000000-0005-0000-0000-000059750000}"/>
    <cellStyle name="Normal 3 4 9 4 2 5 2" xfId="34406" xr:uid="{00000000-0005-0000-0000-00005A750000}"/>
    <cellStyle name="Normal 3 4 9 4 2 6" xfId="16937" xr:uid="{00000000-0005-0000-0000-00005B750000}"/>
    <cellStyle name="Normal 3 4 9 4 2 6 2" xfId="34407" xr:uid="{00000000-0005-0000-0000-00005C750000}"/>
    <cellStyle name="Normal 3 4 9 4 2 7" xfId="16938" xr:uid="{00000000-0005-0000-0000-00005D750000}"/>
    <cellStyle name="Normal 3 4 9 4 2 7 2" xfId="34408" xr:uid="{00000000-0005-0000-0000-00005E750000}"/>
    <cellStyle name="Normal 3 4 9 4 2 8" xfId="16939" xr:uid="{00000000-0005-0000-0000-00005F750000}"/>
    <cellStyle name="Normal 3 4 9 4 2 8 2" xfId="34409" xr:uid="{00000000-0005-0000-0000-000060750000}"/>
    <cellStyle name="Normal 3 4 9 4 2 9" xfId="16940" xr:uid="{00000000-0005-0000-0000-000061750000}"/>
    <cellStyle name="Normal 3 4 9 4 2 9 2" xfId="34410" xr:uid="{00000000-0005-0000-0000-000062750000}"/>
    <cellStyle name="Normal 3 4 9 4 3" xfId="16941" xr:uid="{00000000-0005-0000-0000-000063750000}"/>
    <cellStyle name="Normal 3 4 9 4 3 2" xfId="34411" xr:uid="{00000000-0005-0000-0000-000064750000}"/>
    <cellStyle name="Normal 3 4 9 4 4" xfId="16942" xr:uid="{00000000-0005-0000-0000-000065750000}"/>
    <cellStyle name="Normal 3 4 9 4 4 2" xfId="34412" xr:uid="{00000000-0005-0000-0000-000066750000}"/>
    <cellStyle name="Normal 3 4 9 4 5" xfId="16943" xr:uid="{00000000-0005-0000-0000-000067750000}"/>
    <cellStyle name="Normal 3 4 9 4 5 2" xfId="34413" xr:uid="{00000000-0005-0000-0000-000068750000}"/>
    <cellStyle name="Normal 3 4 9 4 6" xfId="16944" xr:uid="{00000000-0005-0000-0000-000069750000}"/>
    <cellStyle name="Normal 3 4 9 4 6 2" xfId="34414" xr:uid="{00000000-0005-0000-0000-00006A750000}"/>
    <cellStyle name="Normal 3 4 9 4 7" xfId="16945" xr:uid="{00000000-0005-0000-0000-00006B750000}"/>
    <cellStyle name="Normal 3 4 9 4 7 2" xfId="34415" xr:uid="{00000000-0005-0000-0000-00006C750000}"/>
    <cellStyle name="Normal 3 4 9 4 8" xfId="16946" xr:uid="{00000000-0005-0000-0000-00006D750000}"/>
    <cellStyle name="Normal 3 4 9 4 8 2" xfId="34416" xr:uid="{00000000-0005-0000-0000-00006E750000}"/>
    <cellStyle name="Normal 3 4 9 4 9" xfId="16947" xr:uid="{00000000-0005-0000-0000-00006F750000}"/>
    <cellStyle name="Normal 3 4 9 4 9 2" xfId="34417" xr:uid="{00000000-0005-0000-0000-000070750000}"/>
    <cellStyle name="Normal 3 4 9 5" xfId="16948" xr:uid="{00000000-0005-0000-0000-000071750000}"/>
    <cellStyle name="Normal 3 4 9 5 10" xfId="16949" xr:uid="{00000000-0005-0000-0000-000072750000}"/>
    <cellStyle name="Normal 3 4 9 5 10 2" xfId="34419" xr:uid="{00000000-0005-0000-0000-000073750000}"/>
    <cellStyle name="Normal 3 4 9 5 11" xfId="16950" xr:uid="{00000000-0005-0000-0000-000074750000}"/>
    <cellStyle name="Normal 3 4 9 5 11 2" xfId="34420" xr:uid="{00000000-0005-0000-0000-000075750000}"/>
    <cellStyle name="Normal 3 4 9 5 12" xfId="16951" xr:uid="{00000000-0005-0000-0000-000076750000}"/>
    <cellStyle name="Normal 3 4 9 5 12 2" xfId="34421" xr:uid="{00000000-0005-0000-0000-000077750000}"/>
    <cellStyle name="Normal 3 4 9 5 13" xfId="16952" xr:uid="{00000000-0005-0000-0000-000078750000}"/>
    <cellStyle name="Normal 3 4 9 5 13 2" xfId="34422" xr:uid="{00000000-0005-0000-0000-000079750000}"/>
    <cellStyle name="Normal 3 4 9 5 14" xfId="16953" xr:uid="{00000000-0005-0000-0000-00007A750000}"/>
    <cellStyle name="Normal 3 4 9 5 14 2" xfId="34423" xr:uid="{00000000-0005-0000-0000-00007B750000}"/>
    <cellStyle name="Normal 3 4 9 5 15" xfId="34418" xr:uid="{00000000-0005-0000-0000-00007C750000}"/>
    <cellStyle name="Normal 3 4 9 5 2" xfId="16954" xr:uid="{00000000-0005-0000-0000-00007D750000}"/>
    <cellStyle name="Normal 3 4 9 5 2 2" xfId="34424" xr:uid="{00000000-0005-0000-0000-00007E750000}"/>
    <cellStyle name="Normal 3 4 9 5 3" xfId="16955" xr:uid="{00000000-0005-0000-0000-00007F750000}"/>
    <cellStyle name="Normal 3 4 9 5 3 2" xfId="34425" xr:uid="{00000000-0005-0000-0000-000080750000}"/>
    <cellStyle name="Normal 3 4 9 5 4" xfId="16956" xr:uid="{00000000-0005-0000-0000-000081750000}"/>
    <cellStyle name="Normal 3 4 9 5 4 2" xfId="34426" xr:uid="{00000000-0005-0000-0000-000082750000}"/>
    <cellStyle name="Normal 3 4 9 5 5" xfId="16957" xr:uid="{00000000-0005-0000-0000-000083750000}"/>
    <cellStyle name="Normal 3 4 9 5 5 2" xfId="34427" xr:uid="{00000000-0005-0000-0000-000084750000}"/>
    <cellStyle name="Normal 3 4 9 5 6" xfId="16958" xr:uid="{00000000-0005-0000-0000-000085750000}"/>
    <cellStyle name="Normal 3 4 9 5 6 2" xfId="34428" xr:uid="{00000000-0005-0000-0000-000086750000}"/>
    <cellStyle name="Normal 3 4 9 5 7" xfId="16959" xr:uid="{00000000-0005-0000-0000-000087750000}"/>
    <cellStyle name="Normal 3 4 9 5 7 2" xfId="34429" xr:uid="{00000000-0005-0000-0000-000088750000}"/>
    <cellStyle name="Normal 3 4 9 5 8" xfId="16960" xr:uid="{00000000-0005-0000-0000-000089750000}"/>
    <cellStyle name="Normal 3 4 9 5 8 2" xfId="34430" xr:uid="{00000000-0005-0000-0000-00008A750000}"/>
    <cellStyle name="Normal 3 4 9 5 9" xfId="16961" xr:uid="{00000000-0005-0000-0000-00008B750000}"/>
    <cellStyle name="Normal 3 4 9 5 9 2" xfId="34431" xr:uid="{00000000-0005-0000-0000-00008C750000}"/>
    <cellStyle name="Normal 3 4 9 6" xfId="16962" xr:uid="{00000000-0005-0000-0000-00008D750000}"/>
    <cellStyle name="Normal 3 4 9 6 10" xfId="16963" xr:uid="{00000000-0005-0000-0000-00008E750000}"/>
    <cellStyle name="Normal 3 4 9 6 10 2" xfId="34433" xr:uid="{00000000-0005-0000-0000-00008F750000}"/>
    <cellStyle name="Normal 3 4 9 6 11" xfId="16964" xr:uid="{00000000-0005-0000-0000-000090750000}"/>
    <cellStyle name="Normal 3 4 9 6 11 2" xfId="34434" xr:uid="{00000000-0005-0000-0000-000091750000}"/>
    <cellStyle name="Normal 3 4 9 6 12" xfId="16965" xr:uid="{00000000-0005-0000-0000-000092750000}"/>
    <cellStyle name="Normal 3 4 9 6 12 2" xfId="34435" xr:uid="{00000000-0005-0000-0000-000093750000}"/>
    <cellStyle name="Normal 3 4 9 6 13" xfId="16966" xr:uid="{00000000-0005-0000-0000-000094750000}"/>
    <cellStyle name="Normal 3 4 9 6 13 2" xfId="34436" xr:uid="{00000000-0005-0000-0000-000095750000}"/>
    <cellStyle name="Normal 3 4 9 6 14" xfId="16967" xr:uid="{00000000-0005-0000-0000-000096750000}"/>
    <cellStyle name="Normal 3 4 9 6 14 2" xfId="34437" xr:uid="{00000000-0005-0000-0000-000097750000}"/>
    <cellStyle name="Normal 3 4 9 6 15" xfId="34432" xr:uid="{00000000-0005-0000-0000-000098750000}"/>
    <cellStyle name="Normal 3 4 9 6 2" xfId="16968" xr:uid="{00000000-0005-0000-0000-000099750000}"/>
    <cellStyle name="Normal 3 4 9 6 2 2" xfId="34438" xr:uid="{00000000-0005-0000-0000-00009A750000}"/>
    <cellStyle name="Normal 3 4 9 6 3" xfId="16969" xr:uid="{00000000-0005-0000-0000-00009B750000}"/>
    <cellStyle name="Normal 3 4 9 6 3 2" xfId="34439" xr:uid="{00000000-0005-0000-0000-00009C750000}"/>
    <cellStyle name="Normal 3 4 9 6 4" xfId="16970" xr:uid="{00000000-0005-0000-0000-00009D750000}"/>
    <cellStyle name="Normal 3 4 9 6 4 2" xfId="34440" xr:uid="{00000000-0005-0000-0000-00009E750000}"/>
    <cellStyle name="Normal 3 4 9 6 5" xfId="16971" xr:uid="{00000000-0005-0000-0000-00009F750000}"/>
    <cellStyle name="Normal 3 4 9 6 5 2" xfId="34441" xr:uid="{00000000-0005-0000-0000-0000A0750000}"/>
    <cellStyle name="Normal 3 4 9 6 6" xfId="16972" xr:uid="{00000000-0005-0000-0000-0000A1750000}"/>
    <cellStyle name="Normal 3 4 9 6 6 2" xfId="34442" xr:uid="{00000000-0005-0000-0000-0000A2750000}"/>
    <cellStyle name="Normal 3 4 9 6 7" xfId="16973" xr:uid="{00000000-0005-0000-0000-0000A3750000}"/>
    <cellStyle name="Normal 3 4 9 6 7 2" xfId="34443" xr:uid="{00000000-0005-0000-0000-0000A4750000}"/>
    <cellStyle name="Normal 3 4 9 6 8" xfId="16974" xr:uid="{00000000-0005-0000-0000-0000A5750000}"/>
    <cellStyle name="Normal 3 4 9 6 8 2" xfId="34444" xr:uid="{00000000-0005-0000-0000-0000A6750000}"/>
    <cellStyle name="Normal 3 4 9 6 9" xfId="16975" xr:uid="{00000000-0005-0000-0000-0000A7750000}"/>
    <cellStyle name="Normal 3 4 9 6 9 2" xfId="34445" xr:uid="{00000000-0005-0000-0000-0000A8750000}"/>
    <cellStyle name="Normal 3 4 9 7" xfId="16976" xr:uid="{00000000-0005-0000-0000-0000A9750000}"/>
    <cellStyle name="Normal 3 4 9 7 10" xfId="16977" xr:uid="{00000000-0005-0000-0000-0000AA750000}"/>
    <cellStyle name="Normal 3 4 9 7 10 2" xfId="34447" xr:uid="{00000000-0005-0000-0000-0000AB750000}"/>
    <cellStyle name="Normal 3 4 9 7 11" xfId="16978" xr:uid="{00000000-0005-0000-0000-0000AC750000}"/>
    <cellStyle name="Normal 3 4 9 7 11 2" xfId="34448" xr:uid="{00000000-0005-0000-0000-0000AD750000}"/>
    <cellStyle name="Normal 3 4 9 7 12" xfId="16979" xr:uid="{00000000-0005-0000-0000-0000AE750000}"/>
    <cellStyle name="Normal 3 4 9 7 12 2" xfId="34449" xr:uid="{00000000-0005-0000-0000-0000AF750000}"/>
    <cellStyle name="Normal 3 4 9 7 13" xfId="16980" xr:uid="{00000000-0005-0000-0000-0000B0750000}"/>
    <cellStyle name="Normal 3 4 9 7 13 2" xfId="34450" xr:uid="{00000000-0005-0000-0000-0000B1750000}"/>
    <cellStyle name="Normal 3 4 9 7 14" xfId="16981" xr:uid="{00000000-0005-0000-0000-0000B2750000}"/>
    <cellStyle name="Normal 3 4 9 7 14 2" xfId="34451" xr:uid="{00000000-0005-0000-0000-0000B3750000}"/>
    <cellStyle name="Normal 3 4 9 7 15" xfId="34446" xr:uid="{00000000-0005-0000-0000-0000B4750000}"/>
    <cellStyle name="Normal 3 4 9 7 2" xfId="16982" xr:uid="{00000000-0005-0000-0000-0000B5750000}"/>
    <cellStyle name="Normal 3 4 9 7 2 2" xfId="34452" xr:uid="{00000000-0005-0000-0000-0000B6750000}"/>
    <cellStyle name="Normal 3 4 9 7 3" xfId="16983" xr:uid="{00000000-0005-0000-0000-0000B7750000}"/>
    <cellStyle name="Normal 3 4 9 7 3 2" xfId="34453" xr:uid="{00000000-0005-0000-0000-0000B8750000}"/>
    <cellStyle name="Normal 3 4 9 7 4" xfId="16984" xr:uid="{00000000-0005-0000-0000-0000B9750000}"/>
    <cellStyle name="Normal 3 4 9 7 4 2" xfId="34454" xr:uid="{00000000-0005-0000-0000-0000BA750000}"/>
    <cellStyle name="Normal 3 4 9 7 5" xfId="16985" xr:uid="{00000000-0005-0000-0000-0000BB750000}"/>
    <cellStyle name="Normal 3 4 9 7 5 2" xfId="34455" xr:uid="{00000000-0005-0000-0000-0000BC750000}"/>
    <cellStyle name="Normal 3 4 9 7 6" xfId="16986" xr:uid="{00000000-0005-0000-0000-0000BD750000}"/>
    <cellStyle name="Normal 3 4 9 7 6 2" xfId="34456" xr:uid="{00000000-0005-0000-0000-0000BE750000}"/>
    <cellStyle name="Normal 3 4 9 7 7" xfId="16987" xr:uid="{00000000-0005-0000-0000-0000BF750000}"/>
    <cellStyle name="Normal 3 4 9 7 7 2" xfId="34457" xr:uid="{00000000-0005-0000-0000-0000C0750000}"/>
    <cellStyle name="Normal 3 4 9 7 8" xfId="16988" xr:uid="{00000000-0005-0000-0000-0000C1750000}"/>
    <cellStyle name="Normal 3 4 9 7 8 2" xfId="34458" xr:uid="{00000000-0005-0000-0000-0000C2750000}"/>
    <cellStyle name="Normal 3 4 9 7 9" xfId="16989" xr:uid="{00000000-0005-0000-0000-0000C3750000}"/>
    <cellStyle name="Normal 3 4 9 7 9 2" xfId="34459" xr:uid="{00000000-0005-0000-0000-0000C4750000}"/>
    <cellStyle name="Normal 3 4 9 8" xfId="16990" xr:uid="{00000000-0005-0000-0000-0000C5750000}"/>
    <cellStyle name="Normal 3 4 9 8 10" xfId="16991" xr:uid="{00000000-0005-0000-0000-0000C6750000}"/>
    <cellStyle name="Normal 3 4 9 8 10 2" xfId="34461" xr:uid="{00000000-0005-0000-0000-0000C7750000}"/>
    <cellStyle name="Normal 3 4 9 8 11" xfId="16992" xr:uid="{00000000-0005-0000-0000-0000C8750000}"/>
    <cellStyle name="Normal 3 4 9 8 11 2" xfId="34462" xr:uid="{00000000-0005-0000-0000-0000C9750000}"/>
    <cellStyle name="Normal 3 4 9 8 12" xfId="16993" xr:uid="{00000000-0005-0000-0000-0000CA750000}"/>
    <cellStyle name="Normal 3 4 9 8 12 2" xfId="34463" xr:uid="{00000000-0005-0000-0000-0000CB750000}"/>
    <cellStyle name="Normal 3 4 9 8 13" xfId="16994" xr:uid="{00000000-0005-0000-0000-0000CC750000}"/>
    <cellStyle name="Normal 3 4 9 8 13 2" xfId="34464" xr:uid="{00000000-0005-0000-0000-0000CD750000}"/>
    <cellStyle name="Normal 3 4 9 8 14" xfId="16995" xr:uid="{00000000-0005-0000-0000-0000CE750000}"/>
    <cellStyle name="Normal 3 4 9 8 14 2" xfId="34465" xr:uid="{00000000-0005-0000-0000-0000CF750000}"/>
    <cellStyle name="Normal 3 4 9 8 15" xfId="34460" xr:uid="{00000000-0005-0000-0000-0000D0750000}"/>
    <cellStyle name="Normal 3 4 9 8 2" xfId="16996" xr:uid="{00000000-0005-0000-0000-0000D1750000}"/>
    <cellStyle name="Normal 3 4 9 8 2 2" xfId="34466" xr:uid="{00000000-0005-0000-0000-0000D2750000}"/>
    <cellStyle name="Normal 3 4 9 8 3" xfId="16997" xr:uid="{00000000-0005-0000-0000-0000D3750000}"/>
    <cellStyle name="Normal 3 4 9 8 3 2" xfId="34467" xr:uid="{00000000-0005-0000-0000-0000D4750000}"/>
    <cellStyle name="Normal 3 4 9 8 4" xfId="16998" xr:uid="{00000000-0005-0000-0000-0000D5750000}"/>
    <cellStyle name="Normal 3 4 9 8 4 2" xfId="34468" xr:uid="{00000000-0005-0000-0000-0000D6750000}"/>
    <cellStyle name="Normal 3 4 9 8 5" xfId="16999" xr:uid="{00000000-0005-0000-0000-0000D7750000}"/>
    <cellStyle name="Normal 3 4 9 8 5 2" xfId="34469" xr:uid="{00000000-0005-0000-0000-0000D8750000}"/>
    <cellStyle name="Normal 3 4 9 8 6" xfId="17000" xr:uid="{00000000-0005-0000-0000-0000D9750000}"/>
    <cellStyle name="Normal 3 4 9 8 6 2" xfId="34470" xr:uid="{00000000-0005-0000-0000-0000DA750000}"/>
    <cellStyle name="Normal 3 4 9 8 7" xfId="17001" xr:uid="{00000000-0005-0000-0000-0000DB750000}"/>
    <cellStyle name="Normal 3 4 9 8 7 2" xfId="34471" xr:uid="{00000000-0005-0000-0000-0000DC750000}"/>
    <cellStyle name="Normal 3 4 9 8 8" xfId="17002" xr:uid="{00000000-0005-0000-0000-0000DD750000}"/>
    <cellStyle name="Normal 3 4 9 8 8 2" xfId="34472" xr:uid="{00000000-0005-0000-0000-0000DE750000}"/>
    <cellStyle name="Normal 3 4 9 8 9" xfId="17003" xr:uid="{00000000-0005-0000-0000-0000DF750000}"/>
    <cellStyle name="Normal 3 4 9 8 9 2" xfId="34473" xr:uid="{00000000-0005-0000-0000-0000E0750000}"/>
    <cellStyle name="Normal 3 4 9 9" xfId="17004" xr:uid="{00000000-0005-0000-0000-0000E1750000}"/>
    <cellStyle name="Normal 3 4 9 9 10" xfId="17005" xr:uid="{00000000-0005-0000-0000-0000E2750000}"/>
    <cellStyle name="Normal 3 4 9 9 10 2" xfId="34475" xr:uid="{00000000-0005-0000-0000-0000E3750000}"/>
    <cellStyle name="Normal 3 4 9 9 11" xfId="17006" xr:uid="{00000000-0005-0000-0000-0000E4750000}"/>
    <cellStyle name="Normal 3 4 9 9 11 2" xfId="34476" xr:uid="{00000000-0005-0000-0000-0000E5750000}"/>
    <cellStyle name="Normal 3 4 9 9 12" xfId="17007" xr:uid="{00000000-0005-0000-0000-0000E6750000}"/>
    <cellStyle name="Normal 3 4 9 9 12 2" xfId="34477" xr:uid="{00000000-0005-0000-0000-0000E7750000}"/>
    <cellStyle name="Normal 3 4 9 9 13" xfId="17008" xr:uid="{00000000-0005-0000-0000-0000E8750000}"/>
    <cellStyle name="Normal 3 4 9 9 13 2" xfId="34478" xr:uid="{00000000-0005-0000-0000-0000E9750000}"/>
    <cellStyle name="Normal 3 4 9 9 14" xfId="17009" xr:uid="{00000000-0005-0000-0000-0000EA750000}"/>
    <cellStyle name="Normal 3 4 9 9 14 2" xfId="34479" xr:uid="{00000000-0005-0000-0000-0000EB750000}"/>
    <cellStyle name="Normal 3 4 9 9 15" xfId="34474" xr:uid="{00000000-0005-0000-0000-0000EC750000}"/>
    <cellStyle name="Normal 3 4 9 9 2" xfId="17010" xr:uid="{00000000-0005-0000-0000-0000ED750000}"/>
    <cellStyle name="Normal 3 4 9 9 2 2" xfId="34480" xr:uid="{00000000-0005-0000-0000-0000EE750000}"/>
    <cellStyle name="Normal 3 4 9 9 3" xfId="17011" xr:uid="{00000000-0005-0000-0000-0000EF750000}"/>
    <cellStyle name="Normal 3 4 9 9 3 2" xfId="34481" xr:uid="{00000000-0005-0000-0000-0000F0750000}"/>
    <cellStyle name="Normal 3 4 9 9 4" xfId="17012" xr:uid="{00000000-0005-0000-0000-0000F1750000}"/>
    <cellStyle name="Normal 3 4 9 9 4 2" xfId="34482" xr:uid="{00000000-0005-0000-0000-0000F2750000}"/>
    <cellStyle name="Normal 3 4 9 9 5" xfId="17013" xr:uid="{00000000-0005-0000-0000-0000F3750000}"/>
    <cellStyle name="Normal 3 4 9 9 5 2" xfId="34483" xr:uid="{00000000-0005-0000-0000-0000F4750000}"/>
    <cellStyle name="Normal 3 4 9 9 6" xfId="17014" xr:uid="{00000000-0005-0000-0000-0000F5750000}"/>
    <cellStyle name="Normal 3 4 9 9 6 2" xfId="34484" xr:uid="{00000000-0005-0000-0000-0000F6750000}"/>
    <cellStyle name="Normal 3 4 9 9 7" xfId="17015" xr:uid="{00000000-0005-0000-0000-0000F7750000}"/>
    <cellStyle name="Normal 3 4 9 9 7 2" xfId="34485" xr:uid="{00000000-0005-0000-0000-0000F8750000}"/>
    <cellStyle name="Normal 3 4 9 9 8" xfId="17016" xr:uid="{00000000-0005-0000-0000-0000F9750000}"/>
    <cellStyle name="Normal 3 4 9 9 8 2" xfId="34486" xr:uid="{00000000-0005-0000-0000-0000FA750000}"/>
    <cellStyle name="Normal 3 4 9 9 9" xfId="17017" xr:uid="{00000000-0005-0000-0000-0000FB750000}"/>
    <cellStyle name="Normal 3 4 9 9 9 2" xfId="34487" xr:uid="{00000000-0005-0000-0000-0000FC750000}"/>
    <cellStyle name="Normal 3 40" xfId="63" xr:uid="{00000000-0005-0000-0000-0000FD750000}"/>
    <cellStyle name="Normal 3 40 10" xfId="17019" xr:uid="{00000000-0005-0000-0000-0000FE750000}"/>
    <cellStyle name="Normal 3 40 10 2" xfId="34488" xr:uid="{00000000-0005-0000-0000-0000FF750000}"/>
    <cellStyle name="Normal 3 40 11" xfId="17020" xr:uid="{00000000-0005-0000-0000-000000760000}"/>
    <cellStyle name="Normal 3 40 11 2" xfId="34489" xr:uid="{00000000-0005-0000-0000-000001760000}"/>
    <cellStyle name="Normal 3 40 12" xfId="17021" xr:uid="{00000000-0005-0000-0000-000002760000}"/>
    <cellStyle name="Normal 3 40 12 2" xfId="34490" xr:uid="{00000000-0005-0000-0000-000003760000}"/>
    <cellStyle name="Normal 3 40 13" xfId="17022" xr:uid="{00000000-0005-0000-0000-000004760000}"/>
    <cellStyle name="Normal 3 40 13 2" xfId="34491" xr:uid="{00000000-0005-0000-0000-000005760000}"/>
    <cellStyle name="Normal 3 40 14" xfId="17023" xr:uid="{00000000-0005-0000-0000-000006760000}"/>
    <cellStyle name="Normal 3 40 14 2" xfId="34492" xr:uid="{00000000-0005-0000-0000-000007760000}"/>
    <cellStyle name="Normal 3 40 15" xfId="17018" xr:uid="{00000000-0005-0000-0000-000008760000}"/>
    <cellStyle name="Normal 3 40 16" xfId="21157" xr:uid="{00000000-0005-0000-0000-000009760000}"/>
    <cellStyle name="Normal 3 40 2" xfId="383" xr:uid="{00000000-0005-0000-0000-00000A760000}"/>
    <cellStyle name="Normal 3 40 2 2" xfId="575" xr:uid="{00000000-0005-0000-0000-00000B760000}"/>
    <cellStyle name="Normal 3 40 2 3" xfId="17024" xr:uid="{00000000-0005-0000-0000-00000C760000}"/>
    <cellStyle name="Normal 3 40 2 4" xfId="34493" xr:uid="{00000000-0005-0000-0000-00000D760000}"/>
    <cellStyle name="Normal 3 40 3" xfId="490" xr:uid="{00000000-0005-0000-0000-00000E760000}"/>
    <cellStyle name="Normal 3 40 3 2" xfId="17025" xr:uid="{00000000-0005-0000-0000-00000F760000}"/>
    <cellStyle name="Normal 3 40 3 3" xfId="34494" xr:uid="{00000000-0005-0000-0000-000010760000}"/>
    <cellStyle name="Normal 3 40 4" xfId="17026" xr:uid="{00000000-0005-0000-0000-000011760000}"/>
    <cellStyle name="Normal 3 40 4 2" xfId="34495" xr:uid="{00000000-0005-0000-0000-000012760000}"/>
    <cellStyle name="Normal 3 40 5" xfId="17027" xr:uid="{00000000-0005-0000-0000-000013760000}"/>
    <cellStyle name="Normal 3 40 5 2" xfId="34496" xr:uid="{00000000-0005-0000-0000-000014760000}"/>
    <cellStyle name="Normal 3 40 6" xfId="17028" xr:uid="{00000000-0005-0000-0000-000015760000}"/>
    <cellStyle name="Normal 3 40 6 2" xfId="34497" xr:uid="{00000000-0005-0000-0000-000016760000}"/>
    <cellStyle name="Normal 3 40 7" xfId="17029" xr:uid="{00000000-0005-0000-0000-000017760000}"/>
    <cellStyle name="Normal 3 40 7 2" xfId="34498" xr:uid="{00000000-0005-0000-0000-000018760000}"/>
    <cellStyle name="Normal 3 40 8" xfId="17030" xr:uid="{00000000-0005-0000-0000-000019760000}"/>
    <cellStyle name="Normal 3 40 8 2" xfId="34499" xr:uid="{00000000-0005-0000-0000-00001A760000}"/>
    <cellStyle name="Normal 3 40 9" xfId="17031" xr:uid="{00000000-0005-0000-0000-00001B760000}"/>
    <cellStyle name="Normal 3 40 9 2" xfId="34500" xr:uid="{00000000-0005-0000-0000-00001C760000}"/>
    <cellStyle name="Normal 3 41" xfId="17032" xr:uid="{00000000-0005-0000-0000-00001D760000}"/>
    <cellStyle name="Normal 3 41 2" xfId="34501" xr:uid="{00000000-0005-0000-0000-00001E760000}"/>
    <cellStyle name="Normal 3 42" xfId="17033" xr:uid="{00000000-0005-0000-0000-00001F760000}"/>
    <cellStyle name="Normal 3 42 2" xfId="34502" xr:uid="{00000000-0005-0000-0000-000020760000}"/>
    <cellStyle name="Normal 3 43" xfId="17034" xr:uid="{00000000-0005-0000-0000-000021760000}"/>
    <cellStyle name="Normal 3 43 2" xfId="34503" xr:uid="{00000000-0005-0000-0000-000022760000}"/>
    <cellStyle name="Normal 3 44" xfId="17035" xr:uid="{00000000-0005-0000-0000-000023760000}"/>
    <cellStyle name="Normal 3 44 2" xfId="34504" xr:uid="{00000000-0005-0000-0000-000024760000}"/>
    <cellStyle name="Normal 3 45" xfId="17036" xr:uid="{00000000-0005-0000-0000-000025760000}"/>
    <cellStyle name="Normal 3 45 2" xfId="34505" xr:uid="{00000000-0005-0000-0000-000026760000}"/>
    <cellStyle name="Normal 3 46" xfId="17037" xr:uid="{00000000-0005-0000-0000-000027760000}"/>
    <cellStyle name="Normal 3 46 2" xfId="34506" xr:uid="{00000000-0005-0000-0000-000028760000}"/>
    <cellStyle name="Normal 3 47" xfId="17038" xr:uid="{00000000-0005-0000-0000-000029760000}"/>
    <cellStyle name="Normal 3 47 2" xfId="34507" xr:uid="{00000000-0005-0000-0000-00002A760000}"/>
    <cellStyle name="Normal 3 48" xfId="17039" xr:uid="{00000000-0005-0000-0000-00002B760000}"/>
    <cellStyle name="Normal 3 48 2" xfId="34508" xr:uid="{00000000-0005-0000-0000-00002C760000}"/>
    <cellStyle name="Normal 3 49" xfId="17040" xr:uid="{00000000-0005-0000-0000-00002D760000}"/>
    <cellStyle name="Normal 3 49 2" xfId="34509" xr:uid="{00000000-0005-0000-0000-00002E760000}"/>
    <cellStyle name="Normal 3 5" xfId="17041" xr:uid="{00000000-0005-0000-0000-00002F760000}"/>
    <cellStyle name="Normal 3 5 10" xfId="17042" xr:uid="{00000000-0005-0000-0000-000030760000}"/>
    <cellStyle name="Normal 3 5 10 10" xfId="17043" xr:uid="{00000000-0005-0000-0000-000031760000}"/>
    <cellStyle name="Normal 3 5 10 10 2" xfId="34511" xr:uid="{00000000-0005-0000-0000-000032760000}"/>
    <cellStyle name="Normal 3 5 10 11" xfId="17044" xr:uid="{00000000-0005-0000-0000-000033760000}"/>
    <cellStyle name="Normal 3 5 10 11 2" xfId="34512" xr:uid="{00000000-0005-0000-0000-000034760000}"/>
    <cellStyle name="Normal 3 5 10 12" xfId="17045" xr:uid="{00000000-0005-0000-0000-000035760000}"/>
    <cellStyle name="Normal 3 5 10 12 2" xfId="34513" xr:uid="{00000000-0005-0000-0000-000036760000}"/>
    <cellStyle name="Normal 3 5 10 13" xfId="17046" xr:uid="{00000000-0005-0000-0000-000037760000}"/>
    <cellStyle name="Normal 3 5 10 13 2" xfId="34514" xr:uid="{00000000-0005-0000-0000-000038760000}"/>
    <cellStyle name="Normal 3 5 10 14" xfId="17047" xr:uid="{00000000-0005-0000-0000-000039760000}"/>
    <cellStyle name="Normal 3 5 10 14 2" xfId="34515" xr:uid="{00000000-0005-0000-0000-00003A760000}"/>
    <cellStyle name="Normal 3 5 10 15" xfId="34510" xr:uid="{00000000-0005-0000-0000-00003B760000}"/>
    <cellStyle name="Normal 3 5 10 2" xfId="17048" xr:uid="{00000000-0005-0000-0000-00003C760000}"/>
    <cellStyle name="Normal 3 5 10 2 2" xfId="34516" xr:uid="{00000000-0005-0000-0000-00003D760000}"/>
    <cellStyle name="Normal 3 5 10 3" xfId="17049" xr:uid="{00000000-0005-0000-0000-00003E760000}"/>
    <cellStyle name="Normal 3 5 10 3 2" xfId="34517" xr:uid="{00000000-0005-0000-0000-00003F760000}"/>
    <cellStyle name="Normal 3 5 10 4" xfId="17050" xr:uid="{00000000-0005-0000-0000-000040760000}"/>
    <cellStyle name="Normal 3 5 10 4 2" xfId="34518" xr:uid="{00000000-0005-0000-0000-000041760000}"/>
    <cellStyle name="Normal 3 5 10 5" xfId="17051" xr:uid="{00000000-0005-0000-0000-000042760000}"/>
    <cellStyle name="Normal 3 5 10 5 2" xfId="34519" xr:uid="{00000000-0005-0000-0000-000043760000}"/>
    <cellStyle name="Normal 3 5 10 6" xfId="17052" xr:uid="{00000000-0005-0000-0000-000044760000}"/>
    <cellStyle name="Normal 3 5 10 6 2" xfId="34520" xr:uid="{00000000-0005-0000-0000-000045760000}"/>
    <cellStyle name="Normal 3 5 10 7" xfId="17053" xr:uid="{00000000-0005-0000-0000-000046760000}"/>
    <cellStyle name="Normal 3 5 10 7 2" xfId="34521" xr:uid="{00000000-0005-0000-0000-000047760000}"/>
    <cellStyle name="Normal 3 5 10 8" xfId="17054" xr:uid="{00000000-0005-0000-0000-000048760000}"/>
    <cellStyle name="Normal 3 5 10 8 2" xfId="34522" xr:uid="{00000000-0005-0000-0000-000049760000}"/>
    <cellStyle name="Normal 3 5 10 9" xfId="17055" xr:uid="{00000000-0005-0000-0000-00004A760000}"/>
    <cellStyle name="Normal 3 5 10 9 2" xfId="34523" xr:uid="{00000000-0005-0000-0000-00004B760000}"/>
    <cellStyle name="Normal 3 5 11" xfId="17056" xr:uid="{00000000-0005-0000-0000-00004C760000}"/>
    <cellStyle name="Normal 3 5 11 10" xfId="17057" xr:uid="{00000000-0005-0000-0000-00004D760000}"/>
    <cellStyle name="Normal 3 5 11 10 2" xfId="34525" xr:uid="{00000000-0005-0000-0000-00004E760000}"/>
    <cellStyle name="Normal 3 5 11 11" xfId="17058" xr:uid="{00000000-0005-0000-0000-00004F760000}"/>
    <cellStyle name="Normal 3 5 11 11 2" xfId="34526" xr:uid="{00000000-0005-0000-0000-000050760000}"/>
    <cellStyle name="Normal 3 5 11 12" xfId="17059" xr:uid="{00000000-0005-0000-0000-000051760000}"/>
    <cellStyle name="Normal 3 5 11 12 2" xfId="34527" xr:uid="{00000000-0005-0000-0000-000052760000}"/>
    <cellStyle name="Normal 3 5 11 13" xfId="17060" xr:uid="{00000000-0005-0000-0000-000053760000}"/>
    <cellStyle name="Normal 3 5 11 13 2" xfId="34528" xr:uid="{00000000-0005-0000-0000-000054760000}"/>
    <cellStyle name="Normal 3 5 11 14" xfId="17061" xr:uid="{00000000-0005-0000-0000-000055760000}"/>
    <cellStyle name="Normal 3 5 11 14 2" xfId="34529" xr:uid="{00000000-0005-0000-0000-000056760000}"/>
    <cellStyle name="Normal 3 5 11 15" xfId="34524" xr:uid="{00000000-0005-0000-0000-000057760000}"/>
    <cellStyle name="Normal 3 5 11 2" xfId="17062" xr:uid="{00000000-0005-0000-0000-000058760000}"/>
    <cellStyle name="Normal 3 5 11 2 2" xfId="34530" xr:uid="{00000000-0005-0000-0000-000059760000}"/>
    <cellStyle name="Normal 3 5 11 3" xfId="17063" xr:uid="{00000000-0005-0000-0000-00005A760000}"/>
    <cellStyle name="Normal 3 5 11 3 2" xfId="34531" xr:uid="{00000000-0005-0000-0000-00005B760000}"/>
    <cellStyle name="Normal 3 5 11 4" xfId="17064" xr:uid="{00000000-0005-0000-0000-00005C760000}"/>
    <cellStyle name="Normal 3 5 11 4 2" xfId="34532" xr:uid="{00000000-0005-0000-0000-00005D760000}"/>
    <cellStyle name="Normal 3 5 11 5" xfId="17065" xr:uid="{00000000-0005-0000-0000-00005E760000}"/>
    <cellStyle name="Normal 3 5 11 5 2" xfId="34533" xr:uid="{00000000-0005-0000-0000-00005F760000}"/>
    <cellStyle name="Normal 3 5 11 6" xfId="17066" xr:uid="{00000000-0005-0000-0000-000060760000}"/>
    <cellStyle name="Normal 3 5 11 6 2" xfId="34534" xr:uid="{00000000-0005-0000-0000-000061760000}"/>
    <cellStyle name="Normal 3 5 11 7" xfId="17067" xr:uid="{00000000-0005-0000-0000-000062760000}"/>
    <cellStyle name="Normal 3 5 11 7 2" xfId="34535" xr:uid="{00000000-0005-0000-0000-000063760000}"/>
    <cellStyle name="Normal 3 5 11 8" xfId="17068" xr:uid="{00000000-0005-0000-0000-000064760000}"/>
    <cellStyle name="Normal 3 5 11 8 2" xfId="34536" xr:uid="{00000000-0005-0000-0000-000065760000}"/>
    <cellStyle name="Normal 3 5 11 9" xfId="17069" xr:uid="{00000000-0005-0000-0000-000066760000}"/>
    <cellStyle name="Normal 3 5 11 9 2" xfId="34537" xr:uid="{00000000-0005-0000-0000-000067760000}"/>
    <cellStyle name="Normal 3 5 12" xfId="17070" xr:uid="{00000000-0005-0000-0000-000068760000}"/>
    <cellStyle name="Normal 3 5 12 10" xfId="17071" xr:uid="{00000000-0005-0000-0000-000069760000}"/>
    <cellStyle name="Normal 3 5 12 10 2" xfId="34539" xr:uid="{00000000-0005-0000-0000-00006A760000}"/>
    <cellStyle name="Normal 3 5 12 11" xfId="17072" xr:uid="{00000000-0005-0000-0000-00006B760000}"/>
    <cellStyle name="Normal 3 5 12 11 2" xfId="34540" xr:uid="{00000000-0005-0000-0000-00006C760000}"/>
    <cellStyle name="Normal 3 5 12 12" xfId="17073" xr:uid="{00000000-0005-0000-0000-00006D760000}"/>
    <cellStyle name="Normal 3 5 12 12 2" xfId="34541" xr:uid="{00000000-0005-0000-0000-00006E760000}"/>
    <cellStyle name="Normal 3 5 12 13" xfId="17074" xr:uid="{00000000-0005-0000-0000-00006F760000}"/>
    <cellStyle name="Normal 3 5 12 13 2" xfId="34542" xr:uid="{00000000-0005-0000-0000-000070760000}"/>
    <cellStyle name="Normal 3 5 12 14" xfId="17075" xr:uid="{00000000-0005-0000-0000-000071760000}"/>
    <cellStyle name="Normal 3 5 12 14 2" xfId="34543" xr:uid="{00000000-0005-0000-0000-000072760000}"/>
    <cellStyle name="Normal 3 5 12 15" xfId="34538" xr:uid="{00000000-0005-0000-0000-000073760000}"/>
    <cellStyle name="Normal 3 5 12 2" xfId="17076" xr:uid="{00000000-0005-0000-0000-000074760000}"/>
    <cellStyle name="Normal 3 5 12 2 2" xfId="34544" xr:uid="{00000000-0005-0000-0000-000075760000}"/>
    <cellStyle name="Normal 3 5 12 3" xfId="17077" xr:uid="{00000000-0005-0000-0000-000076760000}"/>
    <cellStyle name="Normal 3 5 12 3 2" xfId="34545" xr:uid="{00000000-0005-0000-0000-000077760000}"/>
    <cellStyle name="Normal 3 5 12 4" xfId="17078" xr:uid="{00000000-0005-0000-0000-000078760000}"/>
    <cellStyle name="Normal 3 5 12 4 2" xfId="34546" xr:uid="{00000000-0005-0000-0000-000079760000}"/>
    <cellStyle name="Normal 3 5 12 5" xfId="17079" xr:uid="{00000000-0005-0000-0000-00007A760000}"/>
    <cellStyle name="Normal 3 5 12 5 2" xfId="34547" xr:uid="{00000000-0005-0000-0000-00007B760000}"/>
    <cellStyle name="Normal 3 5 12 6" xfId="17080" xr:uid="{00000000-0005-0000-0000-00007C760000}"/>
    <cellStyle name="Normal 3 5 12 6 2" xfId="34548" xr:uid="{00000000-0005-0000-0000-00007D760000}"/>
    <cellStyle name="Normal 3 5 12 7" xfId="17081" xr:uid="{00000000-0005-0000-0000-00007E760000}"/>
    <cellStyle name="Normal 3 5 12 7 2" xfId="34549" xr:uid="{00000000-0005-0000-0000-00007F760000}"/>
    <cellStyle name="Normal 3 5 12 8" xfId="17082" xr:uid="{00000000-0005-0000-0000-000080760000}"/>
    <cellStyle name="Normal 3 5 12 8 2" xfId="34550" xr:uid="{00000000-0005-0000-0000-000081760000}"/>
    <cellStyle name="Normal 3 5 12 9" xfId="17083" xr:uid="{00000000-0005-0000-0000-000082760000}"/>
    <cellStyle name="Normal 3 5 12 9 2" xfId="34551" xr:uid="{00000000-0005-0000-0000-000083760000}"/>
    <cellStyle name="Normal 3 5 13" xfId="17084" xr:uid="{00000000-0005-0000-0000-000084760000}"/>
    <cellStyle name="Normal 3 5 13 10" xfId="17085" xr:uid="{00000000-0005-0000-0000-000085760000}"/>
    <cellStyle name="Normal 3 5 13 10 2" xfId="34553" xr:uid="{00000000-0005-0000-0000-000086760000}"/>
    <cellStyle name="Normal 3 5 13 11" xfId="17086" xr:uid="{00000000-0005-0000-0000-000087760000}"/>
    <cellStyle name="Normal 3 5 13 11 2" xfId="34554" xr:uid="{00000000-0005-0000-0000-000088760000}"/>
    <cellStyle name="Normal 3 5 13 12" xfId="17087" xr:uid="{00000000-0005-0000-0000-000089760000}"/>
    <cellStyle name="Normal 3 5 13 12 2" xfId="34555" xr:uid="{00000000-0005-0000-0000-00008A760000}"/>
    <cellStyle name="Normal 3 5 13 13" xfId="17088" xr:uid="{00000000-0005-0000-0000-00008B760000}"/>
    <cellStyle name="Normal 3 5 13 13 2" xfId="34556" xr:uid="{00000000-0005-0000-0000-00008C760000}"/>
    <cellStyle name="Normal 3 5 13 14" xfId="17089" xr:uid="{00000000-0005-0000-0000-00008D760000}"/>
    <cellStyle name="Normal 3 5 13 14 2" xfId="34557" xr:uid="{00000000-0005-0000-0000-00008E760000}"/>
    <cellStyle name="Normal 3 5 13 15" xfId="34552" xr:uid="{00000000-0005-0000-0000-00008F760000}"/>
    <cellStyle name="Normal 3 5 13 2" xfId="17090" xr:uid="{00000000-0005-0000-0000-000090760000}"/>
    <cellStyle name="Normal 3 5 13 2 2" xfId="34558" xr:uid="{00000000-0005-0000-0000-000091760000}"/>
    <cellStyle name="Normal 3 5 13 3" xfId="17091" xr:uid="{00000000-0005-0000-0000-000092760000}"/>
    <cellStyle name="Normal 3 5 13 3 2" xfId="34559" xr:uid="{00000000-0005-0000-0000-000093760000}"/>
    <cellStyle name="Normal 3 5 13 4" xfId="17092" xr:uid="{00000000-0005-0000-0000-000094760000}"/>
    <cellStyle name="Normal 3 5 13 4 2" xfId="34560" xr:uid="{00000000-0005-0000-0000-000095760000}"/>
    <cellStyle name="Normal 3 5 13 5" xfId="17093" xr:uid="{00000000-0005-0000-0000-000096760000}"/>
    <cellStyle name="Normal 3 5 13 5 2" xfId="34561" xr:uid="{00000000-0005-0000-0000-000097760000}"/>
    <cellStyle name="Normal 3 5 13 6" xfId="17094" xr:uid="{00000000-0005-0000-0000-000098760000}"/>
    <cellStyle name="Normal 3 5 13 6 2" xfId="34562" xr:uid="{00000000-0005-0000-0000-000099760000}"/>
    <cellStyle name="Normal 3 5 13 7" xfId="17095" xr:uid="{00000000-0005-0000-0000-00009A760000}"/>
    <cellStyle name="Normal 3 5 13 7 2" xfId="34563" xr:uid="{00000000-0005-0000-0000-00009B760000}"/>
    <cellStyle name="Normal 3 5 13 8" xfId="17096" xr:uid="{00000000-0005-0000-0000-00009C760000}"/>
    <cellStyle name="Normal 3 5 13 8 2" xfId="34564" xr:uid="{00000000-0005-0000-0000-00009D760000}"/>
    <cellStyle name="Normal 3 5 13 9" xfId="17097" xr:uid="{00000000-0005-0000-0000-00009E760000}"/>
    <cellStyle name="Normal 3 5 13 9 2" xfId="34565" xr:uid="{00000000-0005-0000-0000-00009F760000}"/>
    <cellStyle name="Normal 3 5 14" xfId="17098" xr:uid="{00000000-0005-0000-0000-0000A0760000}"/>
    <cellStyle name="Normal 3 5 14 10" xfId="17099" xr:uid="{00000000-0005-0000-0000-0000A1760000}"/>
    <cellStyle name="Normal 3 5 14 10 2" xfId="34567" xr:uid="{00000000-0005-0000-0000-0000A2760000}"/>
    <cellStyle name="Normal 3 5 14 11" xfId="17100" xr:uid="{00000000-0005-0000-0000-0000A3760000}"/>
    <cellStyle name="Normal 3 5 14 11 2" xfId="34568" xr:uid="{00000000-0005-0000-0000-0000A4760000}"/>
    <cellStyle name="Normal 3 5 14 12" xfId="17101" xr:uid="{00000000-0005-0000-0000-0000A5760000}"/>
    <cellStyle name="Normal 3 5 14 12 2" xfId="34569" xr:uid="{00000000-0005-0000-0000-0000A6760000}"/>
    <cellStyle name="Normal 3 5 14 13" xfId="17102" xr:uid="{00000000-0005-0000-0000-0000A7760000}"/>
    <cellStyle name="Normal 3 5 14 13 2" xfId="34570" xr:uid="{00000000-0005-0000-0000-0000A8760000}"/>
    <cellStyle name="Normal 3 5 14 14" xfId="17103" xr:uid="{00000000-0005-0000-0000-0000A9760000}"/>
    <cellStyle name="Normal 3 5 14 14 2" xfId="34571" xr:uid="{00000000-0005-0000-0000-0000AA760000}"/>
    <cellStyle name="Normal 3 5 14 15" xfId="34566" xr:uid="{00000000-0005-0000-0000-0000AB760000}"/>
    <cellStyle name="Normal 3 5 14 2" xfId="17104" xr:uid="{00000000-0005-0000-0000-0000AC760000}"/>
    <cellStyle name="Normal 3 5 14 2 2" xfId="34572" xr:uid="{00000000-0005-0000-0000-0000AD760000}"/>
    <cellStyle name="Normal 3 5 14 3" xfId="17105" xr:uid="{00000000-0005-0000-0000-0000AE760000}"/>
    <cellStyle name="Normal 3 5 14 3 2" xfId="34573" xr:uid="{00000000-0005-0000-0000-0000AF760000}"/>
    <cellStyle name="Normal 3 5 14 4" xfId="17106" xr:uid="{00000000-0005-0000-0000-0000B0760000}"/>
    <cellStyle name="Normal 3 5 14 4 2" xfId="34574" xr:uid="{00000000-0005-0000-0000-0000B1760000}"/>
    <cellStyle name="Normal 3 5 14 5" xfId="17107" xr:uid="{00000000-0005-0000-0000-0000B2760000}"/>
    <cellStyle name="Normal 3 5 14 5 2" xfId="34575" xr:uid="{00000000-0005-0000-0000-0000B3760000}"/>
    <cellStyle name="Normal 3 5 14 6" xfId="17108" xr:uid="{00000000-0005-0000-0000-0000B4760000}"/>
    <cellStyle name="Normal 3 5 14 6 2" xfId="34576" xr:uid="{00000000-0005-0000-0000-0000B5760000}"/>
    <cellStyle name="Normal 3 5 14 7" xfId="17109" xr:uid="{00000000-0005-0000-0000-0000B6760000}"/>
    <cellStyle name="Normal 3 5 14 7 2" xfId="34577" xr:uid="{00000000-0005-0000-0000-0000B7760000}"/>
    <cellStyle name="Normal 3 5 14 8" xfId="17110" xr:uid="{00000000-0005-0000-0000-0000B8760000}"/>
    <cellStyle name="Normal 3 5 14 8 2" xfId="34578" xr:uid="{00000000-0005-0000-0000-0000B9760000}"/>
    <cellStyle name="Normal 3 5 14 9" xfId="17111" xr:uid="{00000000-0005-0000-0000-0000BA760000}"/>
    <cellStyle name="Normal 3 5 14 9 2" xfId="34579" xr:uid="{00000000-0005-0000-0000-0000BB760000}"/>
    <cellStyle name="Normal 3 5 15" xfId="17112" xr:uid="{00000000-0005-0000-0000-0000BC760000}"/>
    <cellStyle name="Normal 3 5 16" xfId="17113" xr:uid="{00000000-0005-0000-0000-0000BD760000}"/>
    <cellStyle name="Normal 3 5 17" xfId="17114" xr:uid="{00000000-0005-0000-0000-0000BE760000}"/>
    <cellStyle name="Normal 3 5 17 10" xfId="17115" xr:uid="{00000000-0005-0000-0000-0000BF760000}"/>
    <cellStyle name="Normal 3 5 17 10 2" xfId="34581" xr:uid="{00000000-0005-0000-0000-0000C0760000}"/>
    <cellStyle name="Normal 3 5 17 11" xfId="17116" xr:uid="{00000000-0005-0000-0000-0000C1760000}"/>
    <cellStyle name="Normal 3 5 17 11 2" xfId="34582" xr:uid="{00000000-0005-0000-0000-0000C2760000}"/>
    <cellStyle name="Normal 3 5 17 12" xfId="17117" xr:uid="{00000000-0005-0000-0000-0000C3760000}"/>
    <cellStyle name="Normal 3 5 17 12 2" xfId="34583" xr:uid="{00000000-0005-0000-0000-0000C4760000}"/>
    <cellStyle name="Normal 3 5 17 13" xfId="17118" xr:uid="{00000000-0005-0000-0000-0000C5760000}"/>
    <cellStyle name="Normal 3 5 17 13 2" xfId="34584" xr:uid="{00000000-0005-0000-0000-0000C6760000}"/>
    <cellStyle name="Normal 3 5 17 14" xfId="17119" xr:uid="{00000000-0005-0000-0000-0000C7760000}"/>
    <cellStyle name="Normal 3 5 17 14 2" xfId="34585" xr:uid="{00000000-0005-0000-0000-0000C8760000}"/>
    <cellStyle name="Normal 3 5 17 15" xfId="34580" xr:uid="{00000000-0005-0000-0000-0000C9760000}"/>
    <cellStyle name="Normal 3 5 17 2" xfId="17120" xr:uid="{00000000-0005-0000-0000-0000CA760000}"/>
    <cellStyle name="Normal 3 5 17 2 2" xfId="34586" xr:uid="{00000000-0005-0000-0000-0000CB760000}"/>
    <cellStyle name="Normal 3 5 17 3" xfId="17121" xr:uid="{00000000-0005-0000-0000-0000CC760000}"/>
    <cellStyle name="Normal 3 5 17 3 2" xfId="34587" xr:uid="{00000000-0005-0000-0000-0000CD760000}"/>
    <cellStyle name="Normal 3 5 17 4" xfId="17122" xr:uid="{00000000-0005-0000-0000-0000CE760000}"/>
    <cellStyle name="Normal 3 5 17 4 2" xfId="34588" xr:uid="{00000000-0005-0000-0000-0000CF760000}"/>
    <cellStyle name="Normal 3 5 17 5" xfId="17123" xr:uid="{00000000-0005-0000-0000-0000D0760000}"/>
    <cellStyle name="Normal 3 5 17 5 2" xfId="34589" xr:uid="{00000000-0005-0000-0000-0000D1760000}"/>
    <cellStyle name="Normal 3 5 17 6" xfId="17124" xr:uid="{00000000-0005-0000-0000-0000D2760000}"/>
    <cellStyle name="Normal 3 5 17 6 2" xfId="34590" xr:uid="{00000000-0005-0000-0000-0000D3760000}"/>
    <cellStyle name="Normal 3 5 17 7" xfId="17125" xr:uid="{00000000-0005-0000-0000-0000D4760000}"/>
    <cellStyle name="Normal 3 5 17 7 2" xfId="34591" xr:uid="{00000000-0005-0000-0000-0000D5760000}"/>
    <cellStyle name="Normal 3 5 17 8" xfId="17126" xr:uid="{00000000-0005-0000-0000-0000D6760000}"/>
    <cellStyle name="Normal 3 5 17 8 2" xfId="34592" xr:uid="{00000000-0005-0000-0000-0000D7760000}"/>
    <cellStyle name="Normal 3 5 17 9" xfId="17127" xr:uid="{00000000-0005-0000-0000-0000D8760000}"/>
    <cellStyle name="Normal 3 5 17 9 2" xfId="34593" xr:uid="{00000000-0005-0000-0000-0000D9760000}"/>
    <cellStyle name="Normal 3 5 18" xfId="17128" xr:uid="{00000000-0005-0000-0000-0000DA760000}"/>
    <cellStyle name="Normal 3 5 18 10" xfId="17129" xr:uid="{00000000-0005-0000-0000-0000DB760000}"/>
    <cellStyle name="Normal 3 5 18 10 2" xfId="34595" xr:uid="{00000000-0005-0000-0000-0000DC760000}"/>
    <cellStyle name="Normal 3 5 18 11" xfId="17130" xr:uid="{00000000-0005-0000-0000-0000DD760000}"/>
    <cellStyle name="Normal 3 5 18 11 2" xfId="34596" xr:uid="{00000000-0005-0000-0000-0000DE760000}"/>
    <cellStyle name="Normal 3 5 18 12" xfId="17131" xr:uid="{00000000-0005-0000-0000-0000DF760000}"/>
    <cellStyle name="Normal 3 5 18 12 2" xfId="34597" xr:uid="{00000000-0005-0000-0000-0000E0760000}"/>
    <cellStyle name="Normal 3 5 18 13" xfId="17132" xr:uid="{00000000-0005-0000-0000-0000E1760000}"/>
    <cellStyle name="Normal 3 5 18 13 2" xfId="34598" xr:uid="{00000000-0005-0000-0000-0000E2760000}"/>
    <cellStyle name="Normal 3 5 18 14" xfId="17133" xr:uid="{00000000-0005-0000-0000-0000E3760000}"/>
    <cellStyle name="Normal 3 5 18 14 2" xfId="34599" xr:uid="{00000000-0005-0000-0000-0000E4760000}"/>
    <cellStyle name="Normal 3 5 18 15" xfId="34594" xr:uid="{00000000-0005-0000-0000-0000E5760000}"/>
    <cellStyle name="Normal 3 5 18 2" xfId="17134" xr:uid="{00000000-0005-0000-0000-0000E6760000}"/>
    <cellStyle name="Normal 3 5 18 2 2" xfId="34600" xr:uid="{00000000-0005-0000-0000-0000E7760000}"/>
    <cellStyle name="Normal 3 5 18 3" xfId="17135" xr:uid="{00000000-0005-0000-0000-0000E8760000}"/>
    <cellStyle name="Normal 3 5 18 3 2" xfId="34601" xr:uid="{00000000-0005-0000-0000-0000E9760000}"/>
    <cellStyle name="Normal 3 5 18 4" xfId="17136" xr:uid="{00000000-0005-0000-0000-0000EA760000}"/>
    <cellStyle name="Normal 3 5 18 4 2" xfId="34602" xr:uid="{00000000-0005-0000-0000-0000EB760000}"/>
    <cellStyle name="Normal 3 5 18 5" xfId="17137" xr:uid="{00000000-0005-0000-0000-0000EC760000}"/>
    <cellStyle name="Normal 3 5 18 5 2" xfId="34603" xr:uid="{00000000-0005-0000-0000-0000ED760000}"/>
    <cellStyle name="Normal 3 5 18 6" xfId="17138" xr:uid="{00000000-0005-0000-0000-0000EE760000}"/>
    <cellStyle name="Normal 3 5 18 6 2" xfId="34604" xr:uid="{00000000-0005-0000-0000-0000EF760000}"/>
    <cellStyle name="Normal 3 5 18 7" xfId="17139" xr:uid="{00000000-0005-0000-0000-0000F0760000}"/>
    <cellStyle name="Normal 3 5 18 7 2" xfId="34605" xr:uid="{00000000-0005-0000-0000-0000F1760000}"/>
    <cellStyle name="Normal 3 5 18 8" xfId="17140" xr:uid="{00000000-0005-0000-0000-0000F2760000}"/>
    <cellStyle name="Normal 3 5 18 8 2" xfId="34606" xr:uid="{00000000-0005-0000-0000-0000F3760000}"/>
    <cellStyle name="Normal 3 5 18 9" xfId="17141" xr:uid="{00000000-0005-0000-0000-0000F4760000}"/>
    <cellStyle name="Normal 3 5 18 9 2" xfId="34607" xr:uid="{00000000-0005-0000-0000-0000F5760000}"/>
    <cellStyle name="Normal 3 5 2" xfId="17142" xr:uid="{00000000-0005-0000-0000-0000F6760000}"/>
    <cellStyle name="Normal 3 5 3" xfId="17143" xr:uid="{00000000-0005-0000-0000-0000F7760000}"/>
    <cellStyle name="Normal 3 5 3 10" xfId="17144" xr:uid="{00000000-0005-0000-0000-0000F8760000}"/>
    <cellStyle name="Normal 3 5 3 10 2" xfId="34609" xr:uid="{00000000-0005-0000-0000-0000F9760000}"/>
    <cellStyle name="Normal 3 5 3 11" xfId="17145" xr:uid="{00000000-0005-0000-0000-0000FA760000}"/>
    <cellStyle name="Normal 3 5 3 11 2" xfId="34610" xr:uid="{00000000-0005-0000-0000-0000FB760000}"/>
    <cellStyle name="Normal 3 5 3 12" xfId="17146" xr:uid="{00000000-0005-0000-0000-0000FC760000}"/>
    <cellStyle name="Normal 3 5 3 12 2" xfId="34611" xr:uid="{00000000-0005-0000-0000-0000FD760000}"/>
    <cellStyle name="Normal 3 5 3 13" xfId="17147" xr:uid="{00000000-0005-0000-0000-0000FE760000}"/>
    <cellStyle name="Normal 3 5 3 13 2" xfId="34612" xr:uid="{00000000-0005-0000-0000-0000FF760000}"/>
    <cellStyle name="Normal 3 5 3 14" xfId="17148" xr:uid="{00000000-0005-0000-0000-000000770000}"/>
    <cellStyle name="Normal 3 5 3 14 2" xfId="34613" xr:uid="{00000000-0005-0000-0000-000001770000}"/>
    <cellStyle name="Normal 3 5 3 15" xfId="17149" xr:uid="{00000000-0005-0000-0000-000002770000}"/>
    <cellStyle name="Normal 3 5 3 15 2" xfId="34614" xr:uid="{00000000-0005-0000-0000-000003770000}"/>
    <cellStyle name="Normal 3 5 3 16" xfId="17150" xr:uid="{00000000-0005-0000-0000-000004770000}"/>
    <cellStyle name="Normal 3 5 3 16 2" xfId="34615" xr:uid="{00000000-0005-0000-0000-000005770000}"/>
    <cellStyle name="Normal 3 5 3 17" xfId="17151" xr:uid="{00000000-0005-0000-0000-000006770000}"/>
    <cellStyle name="Normal 3 5 3 17 2" xfId="34616" xr:uid="{00000000-0005-0000-0000-000007770000}"/>
    <cellStyle name="Normal 3 5 3 18" xfId="34608" xr:uid="{00000000-0005-0000-0000-000008770000}"/>
    <cellStyle name="Normal 3 5 3 2" xfId="17152" xr:uid="{00000000-0005-0000-0000-000009770000}"/>
    <cellStyle name="Normal 3 5 3 3" xfId="17153" xr:uid="{00000000-0005-0000-0000-00000A770000}"/>
    <cellStyle name="Normal 3 5 3 4" xfId="17154" xr:uid="{00000000-0005-0000-0000-00000B770000}"/>
    <cellStyle name="Normal 3 5 3 5" xfId="17155" xr:uid="{00000000-0005-0000-0000-00000C770000}"/>
    <cellStyle name="Normal 3 5 3 5 2" xfId="34617" xr:uid="{00000000-0005-0000-0000-00000D770000}"/>
    <cellStyle name="Normal 3 5 3 6" xfId="17156" xr:uid="{00000000-0005-0000-0000-00000E770000}"/>
    <cellStyle name="Normal 3 5 3 6 2" xfId="34618" xr:uid="{00000000-0005-0000-0000-00000F770000}"/>
    <cellStyle name="Normal 3 5 3 7" xfId="17157" xr:uid="{00000000-0005-0000-0000-000010770000}"/>
    <cellStyle name="Normal 3 5 3 7 2" xfId="34619" xr:uid="{00000000-0005-0000-0000-000011770000}"/>
    <cellStyle name="Normal 3 5 3 8" xfId="17158" xr:uid="{00000000-0005-0000-0000-000012770000}"/>
    <cellStyle name="Normal 3 5 3 8 2" xfId="34620" xr:uid="{00000000-0005-0000-0000-000013770000}"/>
    <cellStyle name="Normal 3 5 3 9" xfId="17159" xr:uid="{00000000-0005-0000-0000-000014770000}"/>
    <cellStyle name="Normal 3 5 3 9 2" xfId="34621" xr:uid="{00000000-0005-0000-0000-000015770000}"/>
    <cellStyle name="Normal 3 5 4" xfId="17160" xr:uid="{00000000-0005-0000-0000-000016770000}"/>
    <cellStyle name="Normal 3 5 5" xfId="17161" xr:uid="{00000000-0005-0000-0000-000017770000}"/>
    <cellStyle name="Normal 3 5 6" xfId="17162" xr:uid="{00000000-0005-0000-0000-000018770000}"/>
    <cellStyle name="Normal 3 5 6 10" xfId="17163" xr:uid="{00000000-0005-0000-0000-000019770000}"/>
    <cellStyle name="Normal 3 5 6 10 2" xfId="34623" xr:uid="{00000000-0005-0000-0000-00001A770000}"/>
    <cellStyle name="Normal 3 5 6 11" xfId="17164" xr:uid="{00000000-0005-0000-0000-00001B770000}"/>
    <cellStyle name="Normal 3 5 6 11 2" xfId="34624" xr:uid="{00000000-0005-0000-0000-00001C770000}"/>
    <cellStyle name="Normal 3 5 6 12" xfId="17165" xr:uid="{00000000-0005-0000-0000-00001D770000}"/>
    <cellStyle name="Normal 3 5 6 12 2" xfId="34625" xr:uid="{00000000-0005-0000-0000-00001E770000}"/>
    <cellStyle name="Normal 3 5 6 13" xfId="17166" xr:uid="{00000000-0005-0000-0000-00001F770000}"/>
    <cellStyle name="Normal 3 5 6 13 2" xfId="34626" xr:uid="{00000000-0005-0000-0000-000020770000}"/>
    <cellStyle name="Normal 3 5 6 14" xfId="17167" xr:uid="{00000000-0005-0000-0000-000021770000}"/>
    <cellStyle name="Normal 3 5 6 14 2" xfId="34627" xr:uid="{00000000-0005-0000-0000-000022770000}"/>
    <cellStyle name="Normal 3 5 6 15" xfId="17168" xr:uid="{00000000-0005-0000-0000-000023770000}"/>
    <cellStyle name="Normal 3 5 6 15 2" xfId="34628" xr:uid="{00000000-0005-0000-0000-000024770000}"/>
    <cellStyle name="Normal 3 5 6 16" xfId="34622" xr:uid="{00000000-0005-0000-0000-000025770000}"/>
    <cellStyle name="Normal 3 5 6 2" xfId="17169" xr:uid="{00000000-0005-0000-0000-000026770000}"/>
    <cellStyle name="Normal 3 5 6 2 10" xfId="17170" xr:uid="{00000000-0005-0000-0000-000027770000}"/>
    <cellStyle name="Normal 3 5 6 2 10 2" xfId="34630" xr:uid="{00000000-0005-0000-0000-000028770000}"/>
    <cellStyle name="Normal 3 5 6 2 11" xfId="17171" xr:uid="{00000000-0005-0000-0000-000029770000}"/>
    <cellStyle name="Normal 3 5 6 2 11 2" xfId="34631" xr:uid="{00000000-0005-0000-0000-00002A770000}"/>
    <cellStyle name="Normal 3 5 6 2 12" xfId="17172" xr:uid="{00000000-0005-0000-0000-00002B770000}"/>
    <cellStyle name="Normal 3 5 6 2 12 2" xfId="34632" xr:uid="{00000000-0005-0000-0000-00002C770000}"/>
    <cellStyle name="Normal 3 5 6 2 13" xfId="17173" xr:uid="{00000000-0005-0000-0000-00002D770000}"/>
    <cellStyle name="Normal 3 5 6 2 13 2" xfId="34633" xr:uid="{00000000-0005-0000-0000-00002E770000}"/>
    <cellStyle name="Normal 3 5 6 2 14" xfId="17174" xr:uid="{00000000-0005-0000-0000-00002F770000}"/>
    <cellStyle name="Normal 3 5 6 2 14 2" xfId="34634" xr:uid="{00000000-0005-0000-0000-000030770000}"/>
    <cellStyle name="Normal 3 5 6 2 15" xfId="34629" xr:uid="{00000000-0005-0000-0000-000031770000}"/>
    <cellStyle name="Normal 3 5 6 2 2" xfId="17175" xr:uid="{00000000-0005-0000-0000-000032770000}"/>
    <cellStyle name="Normal 3 5 6 2 2 2" xfId="34635" xr:uid="{00000000-0005-0000-0000-000033770000}"/>
    <cellStyle name="Normal 3 5 6 2 3" xfId="17176" xr:uid="{00000000-0005-0000-0000-000034770000}"/>
    <cellStyle name="Normal 3 5 6 2 3 2" xfId="34636" xr:uid="{00000000-0005-0000-0000-000035770000}"/>
    <cellStyle name="Normal 3 5 6 2 4" xfId="17177" xr:uid="{00000000-0005-0000-0000-000036770000}"/>
    <cellStyle name="Normal 3 5 6 2 4 2" xfId="34637" xr:uid="{00000000-0005-0000-0000-000037770000}"/>
    <cellStyle name="Normal 3 5 6 2 5" xfId="17178" xr:uid="{00000000-0005-0000-0000-000038770000}"/>
    <cellStyle name="Normal 3 5 6 2 5 2" xfId="34638" xr:uid="{00000000-0005-0000-0000-000039770000}"/>
    <cellStyle name="Normal 3 5 6 2 6" xfId="17179" xr:uid="{00000000-0005-0000-0000-00003A770000}"/>
    <cellStyle name="Normal 3 5 6 2 6 2" xfId="34639" xr:uid="{00000000-0005-0000-0000-00003B770000}"/>
    <cellStyle name="Normal 3 5 6 2 7" xfId="17180" xr:uid="{00000000-0005-0000-0000-00003C770000}"/>
    <cellStyle name="Normal 3 5 6 2 7 2" xfId="34640" xr:uid="{00000000-0005-0000-0000-00003D770000}"/>
    <cellStyle name="Normal 3 5 6 2 8" xfId="17181" xr:uid="{00000000-0005-0000-0000-00003E770000}"/>
    <cellStyle name="Normal 3 5 6 2 8 2" xfId="34641" xr:uid="{00000000-0005-0000-0000-00003F770000}"/>
    <cellStyle name="Normal 3 5 6 2 9" xfId="17182" xr:uid="{00000000-0005-0000-0000-000040770000}"/>
    <cellStyle name="Normal 3 5 6 2 9 2" xfId="34642" xr:uid="{00000000-0005-0000-0000-000041770000}"/>
    <cellStyle name="Normal 3 5 6 3" xfId="17183" xr:uid="{00000000-0005-0000-0000-000042770000}"/>
    <cellStyle name="Normal 3 5 6 3 2" xfId="34643" xr:uid="{00000000-0005-0000-0000-000043770000}"/>
    <cellStyle name="Normal 3 5 6 4" xfId="17184" xr:uid="{00000000-0005-0000-0000-000044770000}"/>
    <cellStyle name="Normal 3 5 6 4 2" xfId="34644" xr:uid="{00000000-0005-0000-0000-000045770000}"/>
    <cellStyle name="Normal 3 5 6 5" xfId="17185" xr:uid="{00000000-0005-0000-0000-000046770000}"/>
    <cellStyle name="Normal 3 5 6 5 2" xfId="34645" xr:uid="{00000000-0005-0000-0000-000047770000}"/>
    <cellStyle name="Normal 3 5 6 6" xfId="17186" xr:uid="{00000000-0005-0000-0000-000048770000}"/>
    <cellStyle name="Normal 3 5 6 6 2" xfId="34646" xr:uid="{00000000-0005-0000-0000-000049770000}"/>
    <cellStyle name="Normal 3 5 6 7" xfId="17187" xr:uid="{00000000-0005-0000-0000-00004A770000}"/>
    <cellStyle name="Normal 3 5 6 7 2" xfId="34647" xr:uid="{00000000-0005-0000-0000-00004B770000}"/>
    <cellStyle name="Normal 3 5 6 8" xfId="17188" xr:uid="{00000000-0005-0000-0000-00004C770000}"/>
    <cellStyle name="Normal 3 5 6 8 2" xfId="34648" xr:uid="{00000000-0005-0000-0000-00004D770000}"/>
    <cellStyle name="Normal 3 5 6 9" xfId="17189" xr:uid="{00000000-0005-0000-0000-00004E770000}"/>
    <cellStyle name="Normal 3 5 6 9 2" xfId="34649" xr:uid="{00000000-0005-0000-0000-00004F770000}"/>
    <cellStyle name="Normal 3 5 7" xfId="17190" xr:uid="{00000000-0005-0000-0000-000050770000}"/>
    <cellStyle name="Normal 3 5 7 10" xfId="17191" xr:uid="{00000000-0005-0000-0000-000051770000}"/>
    <cellStyle name="Normal 3 5 7 10 2" xfId="34651" xr:uid="{00000000-0005-0000-0000-000052770000}"/>
    <cellStyle name="Normal 3 5 7 11" xfId="17192" xr:uid="{00000000-0005-0000-0000-000053770000}"/>
    <cellStyle name="Normal 3 5 7 11 2" xfId="34652" xr:uid="{00000000-0005-0000-0000-000054770000}"/>
    <cellStyle name="Normal 3 5 7 12" xfId="17193" xr:uid="{00000000-0005-0000-0000-000055770000}"/>
    <cellStyle name="Normal 3 5 7 12 2" xfId="34653" xr:uid="{00000000-0005-0000-0000-000056770000}"/>
    <cellStyle name="Normal 3 5 7 13" xfId="17194" xr:uid="{00000000-0005-0000-0000-000057770000}"/>
    <cellStyle name="Normal 3 5 7 13 2" xfId="34654" xr:uid="{00000000-0005-0000-0000-000058770000}"/>
    <cellStyle name="Normal 3 5 7 14" xfId="17195" xr:uid="{00000000-0005-0000-0000-000059770000}"/>
    <cellStyle name="Normal 3 5 7 14 2" xfId="34655" xr:uid="{00000000-0005-0000-0000-00005A770000}"/>
    <cellStyle name="Normal 3 5 7 15" xfId="17196" xr:uid="{00000000-0005-0000-0000-00005B770000}"/>
    <cellStyle name="Normal 3 5 7 15 2" xfId="34656" xr:uid="{00000000-0005-0000-0000-00005C770000}"/>
    <cellStyle name="Normal 3 5 7 16" xfId="34650" xr:uid="{00000000-0005-0000-0000-00005D770000}"/>
    <cellStyle name="Normal 3 5 7 2" xfId="17197" xr:uid="{00000000-0005-0000-0000-00005E770000}"/>
    <cellStyle name="Normal 3 5 7 2 10" xfId="17198" xr:uid="{00000000-0005-0000-0000-00005F770000}"/>
    <cellStyle name="Normal 3 5 7 2 10 2" xfId="34658" xr:uid="{00000000-0005-0000-0000-000060770000}"/>
    <cellStyle name="Normal 3 5 7 2 11" xfId="17199" xr:uid="{00000000-0005-0000-0000-000061770000}"/>
    <cellStyle name="Normal 3 5 7 2 11 2" xfId="34659" xr:uid="{00000000-0005-0000-0000-000062770000}"/>
    <cellStyle name="Normal 3 5 7 2 12" xfId="17200" xr:uid="{00000000-0005-0000-0000-000063770000}"/>
    <cellStyle name="Normal 3 5 7 2 12 2" xfId="34660" xr:uid="{00000000-0005-0000-0000-000064770000}"/>
    <cellStyle name="Normal 3 5 7 2 13" xfId="17201" xr:uid="{00000000-0005-0000-0000-000065770000}"/>
    <cellStyle name="Normal 3 5 7 2 13 2" xfId="34661" xr:uid="{00000000-0005-0000-0000-000066770000}"/>
    <cellStyle name="Normal 3 5 7 2 14" xfId="17202" xr:uid="{00000000-0005-0000-0000-000067770000}"/>
    <cellStyle name="Normal 3 5 7 2 14 2" xfId="34662" xr:uid="{00000000-0005-0000-0000-000068770000}"/>
    <cellStyle name="Normal 3 5 7 2 15" xfId="34657" xr:uid="{00000000-0005-0000-0000-000069770000}"/>
    <cellStyle name="Normal 3 5 7 2 2" xfId="17203" xr:uid="{00000000-0005-0000-0000-00006A770000}"/>
    <cellStyle name="Normal 3 5 7 2 2 2" xfId="34663" xr:uid="{00000000-0005-0000-0000-00006B770000}"/>
    <cellStyle name="Normal 3 5 7 2 3" xfId="17204" xr:uid="{00000000-0005-0000-0000-00006C770000}"/>
    <cellStyle name="Normal 3 5 7 2 3 2" xfId="34664" xr:uid="{00000000-0005-0000-0000-00006D770000}"/>
    <cellStyle name="Normal 3 5 7 2 4" xfId="17205" xr:uid="{00000000-0005-0000-0000-00006E770000}"/>
    <cellStyle name="Normal 3 5 7 2 4 2" xfId="34665" xr:uid="{00000000-0005-0000-0000-00006F770000}"/>
    <cellStyle name="Normal 3 5 7 2 5" xfId="17206" xr:uid="{00000000-0005-0000-0000-000070770000}"/>
    <cellStyle name="Normal 3 5 7 2 5 2" xfId="34666" xr:uid="{00000000-0005-0000-0000-000071770000}"/>
    <cellStyle name="Normal 3 5 7 2 6" xfId="17207" xr:uid="{00000000-0005-0000-0000-000072770000}"/>
    <cellStyle name="Normal 3 5 7 2 6 2" xfId="34667" xr:uid="{00000000-0005-0000-0000-000073770000}"/>
    <cellStyle name="Normal 3 5 7 2 7" xfId="17208" xr:uid="{00000000-0005-0000-0000-000074770000}"/>
    <cellStyle name="Normal 3 5 7 2 7 2" xfId="34668" xr:uid="{00000000-0005-0000-0000-000075770000}"/>
    <cellStyle name="Normal 3 5 7 2 8" xfId="17209" xr:uid="{00000000-0005-0000-0000-000076770000}"/>
    <cellStyle name="Normal 3 5 7 2 8 2" xfId="34669" xr:uid="{00000000-0005-0000-0000-000077770000}"/>
    <cellStyle name="Normal 3 5 7 2 9" xfId="17210" xr:uid="{00000000-0005-0000-0000-000078770000}"/>
    <cellStyle name="Normal 3 5 7 2 9 2" xfId="34670" xr:uid="{00000000-0005-0000-0000-000079770000}"/>
    <cellStyle name="Normal 3 5 7 3" xfId="17211" xr:uid="{00000000-0005-0000-0000-00007A770000}"/>
    <cellStyle name="Normal 3 5 7 3 2" xfId="34671" xr:uid="{00000000-0005-0000-0000-00007B770000}"/>
    <cellStyle name="Normal 3 5 7 4" xfId="17212" xr:uid="{00000000-0005-0000-0000-00007C770000}"/>
    <cellStyle name="Normal 3 5 7 4 2" xfId="34672" xr:uid="{00000000-0005-0000-0000-00007D770000}"/>
    <cellStyle name="Normal 3 5 7 5" xfId="17213" xr:uid="{00000000-0005-0000-0000-00007E770000}"/>
    <cellStyle name="Normal 3 5 7 5 2" xfId="34673" xr:uid="{00000000-0005-0000-0000-00007F770000}"/>
    <cellStyle name="Normal 3 5 7 6" xfId="17214" xr:uid="{00000000-0005-0000-0000-000080770000}"/>
    <cellStyle name="Normal 3 5 7 6 2" xfId="34674" xr:uid="{00000000-0005-0000-0000-000081770000}"/>
    <cellStyle name="Normal 3 5 7 7" xfId="17215" xr:uid="{00000000-0005-0000-0000-000082770000}"/>
    <cellStyle name="Normal 3 5 7 7 2" xfId="34675" xr:uid="{00000000-0005-0000-0000-000083770000}"/>
    <cellStyle name="Normal 3 5 7 8" xfId="17216" xr:uid="{00000000-0005-0000-0000-000084770000}"/>
    <cellStyle name="Normal 3 5 7 8 2" xfId="34676" xr:uid="{00000000-0005-0000-0000-000085770000}"/>
    <cellStyle name="Normal 3 5 7 9" xfId="17217" xr:uid="{00000000-0005-0000-0000-000086770000}"/>
    <cellStyle name="Normal 3 5 7 9 2" xfId="34677" xr:uid="{00000000-0005-0000-0000-000087770000}"/>
    <cellStyle name="Normal 3 5 8" xfId="17218" xr:uid="{00000000-0005-0000-0000-000088770000}"/>
    <cellStyle name="Normal 3 5 8 10" xfId="17219" xr:uid="{00000000-0005-0000-0000-000089770000}"/>
    <cellStyle name="Normal 3 5 8 10 2" xfId="34679" xr:uid="{00000000-0005-0000-0000-00008A770000}"/>
    <cellStyle name="Normal 3 5 8 11" xfId="17220" xr:uid="{00000000-0005-0000-0000-00008B770000}"/>
    <cellStyle name="Normal 3 5 8 11 2" xfId="34680" xr:uid="{00000000-0005-0000-0000-00008C770000}"/>
    <cellStyle name="Normal 3 5 8 12" xfId="17221" xr:uid="{00000000-0005-0000-0000-00008D770000}"/>
    <cellStyle name="Normal 3 5 8 12 2" xfId="34681" xr:uid="{00000000-0005-0000-0000-00008E770000}"/>
    <cellStyle name="Normal 3 5 8 13" xfId="17222" xr:uid="{00000000-0005-0000-0000-00008F770000}"/>
    <cellStyle name="Normal 3 5 8 13 2" xfId="34682" xr:uid="{00000000-0005-0000-0000-000090770000}"/>
    <cellStyle name="Normal 3 5 8 14" xfId="17223" xr:uid="{00000000-0005-0000-0000-000091770000}"/>
    <cellStyle name="Normal 3 5 8 14 2" xfId="34683" xr:uid="{00000000-0005-0000-0000-000092770000}"/>
    <cellStyle name="Normal 3 5 8 15" xfId="17224" xr:uid="{00000000-0005-0000-0000-000093770000}"/>
    <cellStyle name="Normal 3 5 8 15 2" xfId="34684" xr:uid="{00000000-0005-0000-0000-000094770000}"/>
    <cellStyle name="Normal 3 5 8 16" xfId="34678" xr:uid="{00000000-0005-0000-0000-000095770000}"/>
    <cellStyle name="Normal 3 5 8 2" xfId="17225" xr:uid="{00000000-0005-0000-0000-000096770000}"/>
    <cellStyle name="Normal 3 5 8 2 10" xfId="17226" xr:uid="{00000000-0005-0000-0000-000097770000}"/>
    <cellStyle name="Normal 3 5 8 2 10 2" xfId="34686" xr:uid="{00000000-0005-0000-0000-000098770000}"/>
    <cellStyle name="Normal 3 5 8 2 11" xfId="17227" xr:uid="{00000000-0005-0000-0000-000099770000}"/>
    <cellStyle name="Normal 3 5 8 2 11 2" xfId="34687" xr:uid="{00000000-0005-0000-0000-00009A770000}"/>
    <cellStyle name="Normal 3 5 8 2 12" xfId="17228" xr:uid="{00000000-0005-0000-0000-00009B770000}"/>
    <cellStyle name="Normal 3 5 8 2 12 2" xfId="34688" xr:uid="{00000000-0005-0000-0000-00009C770000}"/>
    <cellStyle name="Normal 3 5 8 2 13" xfId="17229" xr:uid="{00000000-0005-0000-0000-00009D770000}"/>
    <cellStyle name="Normal 3 5 8 2 13 2" xfId="34689" xr:uid="{00000000-0005-0000-0000-00009E770000}"/>
    <cellStyle name="Normal 3 5 8 2 14" xfId="17230" xr:uid="{00000000-0005-0000-0000-00009F770000}"/>
    <cellStyle name="Normal 3 5 8 2 14 2" xfId="34690" xr:uid="{00000000-0005-0000-0000-0000A0770000}"/>
    <cellStyle name="Normal 3 5 8 2 15" xfId="34685" xr:uid="{00000000-0005-0000-0000-0000A1770000}"/>
    <cellStyle name="Normal 3 5 8 2 2" xfId="17231" xr:uid="{00000000-0005-0000-0000-0000A2770000}"/>
    <cellStyle name="Normal 3 5 8 2 2 2" xfId="34691" xr:uid="{00000000-0005-0000-0000-0000A3770000}"/>
    <cellStyle name="Normal 3 5 8 2 3" xfId="17232" xr:uid="{00000000-0005-0000-0000-0000A4770000}"/>
    <cellStyle name="Normal 3 5 8 2 3 2" xfId="34692" xr:uid="{00000000-0005-0000-0000-0000A5770000}"/>
    <cellStyle name="Normal 3 5 8 2 4" xfId="17233" xr:uid="{00000000-0005-0000-0000-0000A6770000}"/>
    <cellStyle name="Normal 3 5 8 2 4 2" xfId="34693" xr:uid="{00000000-0005-0000-0000-0000A7770000}"/>
    <cellStyle name="Normal 3 5 8 2 5" xfId="17234" xr:uid="{00000000-0005-0000-0000-0000A8770000}"/>
    <cellStyle name="Normal 3 5 8 2 5 2" xfId="34694" xr:uid="{00000000-0005-0000-0000-0000A9770000}"/>
    <cellStyle name="Normal 3 5 8 2 6" xfId="17235" xr:uid="{00000000-0005-0000-0000-0000AA770000}"/>
    <cellStyle name="Normal 3 5 8 2 6 2" xfId="34695" xr:uid="{00000000-0005-0000-0000-0000AB770000}"/>
    <cellStyle name="Normal 3 5 8 2 7" xfId="17236" xr:uid="{00000000-0005-0000-0000-0000AC770000}"/>
    <cellStyle name="Normal 3 5 8 2 7 2" xfId="34696" xr:uid="{00000000-0005-0000-0000-0000AD770000}"/>
    <cellStyle name="Normal 3 5 8 2 8" xfId="17237" xr:uid="{00000000-0005-0000-0000-0000AE770000}"/>
    <cellStyle name="Normal 3 5 8 2 8 2" xfId="34697" xr:uid="{00000000-0005-0000-0000-0000AF770000}"/>
    <cellStyle name="Normal 3 5 8 2 9" xfId="17238" xr:uid="{00000000-0005-0000-0000-0000B0770000}"/>
    <cellStyle name="Normal 3 5 8 2 9 2" xfId="34698" xr:uid="{00000000-0005-0000-0000-0000B1770000}"/>
    <cellStyle name="Normal 3 5 8 3" xfId="17239" xr:uid="{00000000-0005-0000-0000-0000B2770000}"/>
    <cellStyle name="Normal 3 5 8 3 2" xfId="34699" xr:uid="{00000000-0005-0000-0000-0000B3770000}"/>
    <cellStyle name="Normal 3 5 8 4" xfId="17240" xr:uid="{00000000-0005-0000-0000-0000B4770000}"/>
    <cellStyle name="Normal 3 5 8 4 2" xfId="34700" xr:uid="{00000000-0005-0000-0000-0000B5770000}"/>
    <cellStyle name="Normal 3 5 8 5" xfId="17241" xr:uid="{00000000-0005-0000-0000-0000B6770000}"/>
    <cellStyle name="Normal 3 5 8 5 2" xfId="34701" xr:uid="{00000000-0005-0000-0000-0000B7770000}"/>
    <cellStyle name="Normal 3 5 8 6" xfId="17242" xr:uid="{00000000-0005-0000-0000-0000B8770000}"/>
    <cellStyle name="Normal 3 5 8 6 2" xfId="34702" xr:uid="{00000000-0005-0000-0000-0000B9770000}"/>
    <cellStyle name="Normal 3 5 8 7" xfId="17243" xr:uid="{00000000-0005-0000-0000-0000BA770000}"/>
    <cellStyle name="Normal 3 5 8 7 2" xfId="34703" xr:uid="{00000000-0005-0000-0000-0000BB770000}"/>
    <cellStyle name="Normal 3 5 8 8" xfId="17244" xr:uid="{00000000-0005-0000-0000-0000BC770000}"/>
    <cellStyle name="Normal 3 5 8 8 2" xfId="34704" xr:uid="{00000000-0005-0000-0000-0000BD770000}"/>
    <cellStyle name="Normal 3 5 8 9" xfId="17245" xr:uid="{00000000-0005-0000-0000-0000BE770000}"/>
    <cellStyle name="Normal 3 5 8 9 2" xfId="34705" xr:uid="{00000000-0005-0000-0000-0000BF770000}"/>
    <cellStyle name="Normal 3 5 9" xfId="17246" xr:uid="{00000000-0005-0000-0000-0000C0770000}"/>
    <cellStyle name="Normal 3 5 9 10" xfId="17247" xr:uid="{00000000-0005-0000-0000-0000C1770000}"/>
    <cellStyle name="Normal 3 5 9 10 2" xfId="34707" xr:uid="{00000000-0005-0000-0000-0000C2770000}"/>
    <cellStyle name="Normal 3 5 9 11" xfId="17248" xr:uid="{00000000-0005-0000-0000-0000C3770000}"/>
    <cellStyle name="Normal 3 5 9 11 2" xfId="34708" xr:uid="{00000000-0005-0000-0000-0000C4770000}"/>
    <cellStyle name="Normal 3 5 9 12" xfId="17249" xr:uid="{00000000-0005-0000-0000-0000C5770000}"/>
    <cellStyle name="Normal 3 5 9 12 2" xfId="34709" xr:uid="{00000000-0005-0000-0000-0000C6770000}"/>
    <cellStyle name="Normal 3 5 9 13" xfId="17250" xr:uid="{00000000-0005-0000-0000-0000C7770000}"/>
    <cellStyle name="Normal 3 5 9 13 2" xfId="34710" xr:uid="{00000000-0005-0000-0000-0000C8770000}"/>
    <cellStyle name="Normal 3 5 9 14" xfId="17251" xr:uid="{00000000-0005-0000-0000-0000C9770000}"/>
    <cellStyle name="Normal 3 5 9 14 2" xfId="34711" xr:uid="{00000000-0005-0000-0000-0000CA770000}"/>
    <cellStyle name="Normal 3 5 9 15" xfId="34706" xr:uid="{00000000-0005-0000-0000-0000CB770000}"/>
    <cellStyle name="Normal 3 5 9 2" xfId="17252" xr:uid="{00000000-0005-0000-0000-0000CC770000}"/>
    <cellStyle name="Normal 3 5 9 2 2" xfId="34712" xr:uid="{00000000-0005-0000-0000-0000CD770000}"/>
    <cellStyle name="Normal 3 5 9 3" xfId="17253" xr:uid="{00000000-0005-0000-0000-0000CE770000}"/>
    <cellStyle name="Normal 3 5 9 3 2" xfId="34713" xr:uid="{00000000-0005-0000-0000-0000CF770000}"/>
    <cellStyle name="Normal 3 5 9 4" xfId="17254" xr:uid="{00000000-0005-0000-0000-0000D0770000}"/>
    <cellStyle name="Normal 3 5 9 4 2" xfId="34714" xr:uid="{00000000-0005-0000-0000-0000D1770000}"/>
    <cellStyle name="Normal 3 5 9 5" xfId="17255" xr:uid="{00000000-0005-0000-0000-0000D2770000}"/>
    <cellStyle name="Normal 3 5 9 5 2" xfId="34715" xr:uid="{00000000-0005-0000-0000-0000D3770000}"/>
    <cellStyle name="Normal 3 5 9 6" xfId="17256" xr:uid="{00000000-0005-0000-0000-0000D4770000}"/>
    <cellStyle name="Normal 3 5 9 6 2" xfId="34716" xr:uid="{00000000-0005-0000-0000-0000D5770000}"/>
    <cellStyle name="Normal 3 5 9 7" xfId="17257" xr:uid="{00000000-0005-0000-0000-0000D6770000}"/>
    <cellStyle name="Normal 3 5 9 7 2" xfId="34717" xr:uid="{00000000-0005-0000-0000-0000D7770000}"/>
    <cellStyle name="Normal 3 5 9 8" xfId="17258" xr:uid="{00000000-0005-0000-0000-0000D8770000}"/>
    <cellStyle name="Normal 3 5 9 8 2" xfId="34718" xr:uid="{00000000-0005-0000-0000-0000D9770000}"/>
    <cellStyle name="Normal 3 5 9 9" xfId="17259" xr:uid="{00000000-0005-0000-0000-0000DA770000}"/>
    <cellStyle name="Normal 3 5 9 9 2" xfId="34719" xr:uid="{00000000-0005-0000-0000-0000DB770000}"/>
    <cellStyle name="Normal 3 50" xfId="17260" xr:uid="{00000000-0005-0000-0000-0000DC770000}"/>
    <cellStyle name="Normal 3 50 2" xfId="34720" xr:uid="{00000000-0005-0000-0000-0000DD770000}"/>
    <cellStyle name="Normal 3 51" xfId="17261" xr:uid="{00000000-0005-0000-0000-0000DE770000}"/>
    <cellStyle name="Normal 3 51 2" xfId="34721" xr:uid="{00000000-0005-0000-0000-0000DF770000}"/>
    <cellStyle name="Normal 3 52" xfId="17262" xr:uid="{00000000-0005-0000-0000-0000E0770000}"/>
    <cellStyle name="Normal 3 52 2" xfId="34722" xr:uid="{00000000-0005-0000-0000-0000E1770000}"/>
    <cellStyle name="Normal 3 53" xfId="17263" xr:uid="{00000000-0005-0000-0000-0000E2770000}"/>
    <cellStyle name="Normal 3 53 2" xfId="34723" xr:uid="{00000000-0005-0000-0000-0000E3770000}"/>
    <cellStyle name="Normal 3 54" xfId="17264" xr:uid="{00000000-0005-0000-0000-0000E4770000}"/>
    <cellStyle name="Normal 3 54 2" xfId="37603" xr:uid="{00000000-0005-0000-0000-0000E5770000}"/>
    <cellStyle name="Normal 3 55" xfId="37666" xr:uid="{00000000-0005-0000-0000-0000E6770000}"/>
    <cellStyle name="Normal 3 56" xfId="21156" xr:uid="{00000000-0005-0000-0000-0000E7770000}"/>
    <cellStyle name="Normal 3 6" xfId="17265" xr:uid="{00000000-0005-0000-0000-0000E8770000}"/>
    <cellStyle name="Normal 3 6 10" xfId="17266" xr:uid="{00000000-0005-0000-0000-0000E9770000}"/>
    <cellStyle name="Normal 3 6 11" xfId="17267" xr:uid="{00000000-0005-0000-0000-0000EA770000}"/>
    <cellStyle name="Normal 3 6 11 10" xfId="17268" xr:uid="{00000000-0005-0000-0000-0000EB770000}"/>
    <cellStyle name="Normal 3 6 11 10 2" xfId="34725" xr:uid="{00000000-0005-0000-0000-0000EC770000}"/>
    <cellStyle name="Normal 3 6 11 11" xfId="17269" xr:uid="{00000000-0005-0000-0000-0000ED770000}"/>
    <cellStyle name="Normal 3 6 11 11 2" xfId="34726" xr:uid="{00000000-0005-0000-0000-0000EE770000}"/>
    <cellStyle name="Normal 3 6 11 12" xfId="17270" xr:uid="{00000000-0005-0000-0000-0000EF770000}"/>
    <cellStyle name="Normal 3 6 11 12 2" xfId="34727" xr:uid="{00000000-0005-0000-0000-0000F0770000}"/>
    <cellStyle name="Normal 3 6 11 13" xfId="17271" xr:uid="{00000000-0005-0000-0000-0000F1770000}"/>
    <cellStyle name="Normal 3 6 11 13 2" xfId="34728" xr:uid="{00000000-0005-0000-0000-0000F2770000}"/>
    <cellStyle name="Normal 3 6 11 14" xfId="17272" xr:uid="{00000000-0005-0000-0000-0000F3770000}"/>
    <cellStyle name="Normal 3 6 11 14 2" xfId="34729" xr:uid="{00000000-0005-0000-0000-0000F4770000}"/>
    <cellStyle name="Normal 3 6 11 15" xfId="17273" xr:uid="{00000000-0005-0000-0000-0000F5770000}"/>
    <cellStyle name="Normal 3 6 11 15 2" xfId="34730" xr:uid="{00000000-0005-0000-0000-0000F6770000}"/>
    <cellStyle name="Normal 3 6 11 16" xfId="17274" xr:uid="{00000000-0005-0000-0000-0000F7770000}"/>
    <cellStyle name="Normal 3 6 11 16 2" xfId="34731" xr:uid="{00000000-0005-0000-0000-0000F8770000}"/>
    <cellStyle name="Normal 3 6 11 17" xfId="17275" xr:uid="{00000000-0005-0000-0000-0000F9770000}"/>
    <cellStyle name="Normal 3 6 11 17 2" xfId="34732" xr:uid="{00000000-0005-0000-0000-0000FA770000}"/>
    <cellStyle name="Normal 3 6 11 18" xfId="34724" xr:uid="{00000000-0005-0000-0000-0000FB770000}"/>
    <cellStyle name="Normal 3 6 11 2" xfId="17276" xr:uid="{00000000-0005-0000-0000-0000FC770000}"/>
    <cellStyle name="Normal 3 6 11 3" xfId="17277" xr:uid="{00000000-0005-0000-0000-0000FD770000}"/>
    <cellStyle name="Normal 3 6 11 4" xfId="17278" xr:uid="{00000000-0005-0000-0000-0000FE770000}"/>
    <cellStyle name="Normal 3 6 11 5" xfId="17279" xr:uid="{00000000-0005-0000-0000-0000FF770000}"/>
    <cellStyle name="Normal 3 6 11 5 2" xfId="34733" xr:uid="{00000000-0005-0000-0000-000000780000}"/>
    <cellStyle name="Normal 3 6 11 6" xfId="17280" xr:uid="{00000000-0005-0000-0000-000001780000}"/>
    <cellStyle name="Normal 3 6 11 6 2" xfId="34734" xr:uid="{00000000-0005-0000-0000-000002780000}"/>
    <cellStyle name="Normal 3 6 11 7" xfId="17281" xr:uid="{00000000-0005-0000-0000-000003780000}"/>
    <cellStyle name="Normal 3 6 11 7 2" xfId="34735" xr:uid="{00000000-0005-0000-0000-000004780000}"/>
    <cellStyle name="Normal 3 6 11 8" xfId="17282" xr:uid="{00000000-0005-0000-0000-000005780000}"/>
    <cellStyle name="Normal 3 6 11 8 2" xfId="34736" xr:uid="{00000000-0005-0000-0000-000006780000}"/>
    <cellStyle name="Normal 3 6 11 9" xfId="17283" xr:uid="{00000000-0005-0000-0000-000007780000}"/>
    <cellStyle name="Normal 3 6 11 9 2" xfId="34737" xr:uid="{00000000-0005-0000-0000-000008780000}"/>
    <cellStyle name="Normal 3 6 12" xfId="17284" xr:uid="{00000000-0005-0000-0000-000009780000}"/>
    <cellStyle name="Normal 3 6 13" xfId="17285" xr:uid="{00000000-0005-0000-0000-00000A780000}"/>
    <cellStyle name="Normal 3 6 14" xfId="17286" xr:uid="{00000000-0005-0000-0000-00000B780000}"/>
    <cellStyle name="Normal 3 6 14 10" xfId="17287" xr:uid="{00000000-0005-0000-0000-00000C780000}"/>
    <cellStyle name="Normal 3 6 14 10 2" xfId="34739" xr:uid="{00000000-0005-0000-0000-00000D780000}"/>
    <cellStyle name="Normal 3 6 14 11" xfId="17288" xr:uid="{00000000-0005-0000-0000-00000E780000}"/>
    <cellStyle name="Normal 3 6 14 11 2" xfId="34740" xr:uid="{00000000-0005-0000-0000-00000F780000}"/>
    <cellStyle name="Normal 3 6 14 12" xfId="17289" xr:uid="{00000000-0005-0000-0000-000010780000}"/>
    <cellStyle name="Normal 3 6 14 12 2" xfId="34741" xr:uid="{00000000-0005-0000-0000-000011780000}"/>
    <cellStyle name="Normal 3 6 14 13" xfId="17290" xr:uid="{00000000-0005-0000-0000-000012780000}"/>
    <cellStyle name="Normal 3 6 14 13 2" xfId="34742" xr:uid="{00000000-0005-0000-0000-000013780000}"/>
    <cellStyle name="Normal 3 6 14 14" xfId="17291" xr:uid="{00000000-0005-0000-0000-000014780000}"/>
    <cellStyle name="Normal 3 6 14 14 2" xfId="34743" xr:uid="{00000000-0005-0000-0000-000015780000}"/>
    <cellStyle name="Normal 3 6 14 15" xfId="17292" xr:uid="{00000000-0005-0000-0000-000016780000}"/>
    <cellStyle name="Normal 3 6 14 15 2" xfId="34744" xr:uid="{00000000-0005-0000-0000-000017780000}"/>
    <cellStyle name="Normal 3 6 14 16" xfId="34738" xr:uid="{00000000-0005-0000-0000-000018780000}"/>
    <cellStyle name="Normal 3 6 14 2" xfId="17293" xr:uid="{00000000-0005-0000-0000-000019780000}"/>
    <cellStyle name="Normal 3 6 14 2 10" xfId="17294" xr:uid="{00000000-0005-0000-0000-00001A780000}"/>
    <cellStyle name="Normal 3 6 14 2 10 2" xfId="34746" xr:uid="{00000000-0005-0000-0000-00001B780000}"/>
    <cellStyle name="Normal 3 6 14 2 11" xfId="17295" xr:uid="{00000000-0005-0000-0000-00001C780000}"/>
    <cellStyle name="Normal 3 6 14 2 11 2" xfId="34747" xr:uid="{00000000-0005-0000-0000-00001D780000}"/>
    <cellStyle name="Normal 3 6 14 2 12" xfId="17296" xr:uid="{00000000-0005-0000-0000-00001E780000}"/>
    <cellStyle name="Normal 3 6 14 2 12 2" xfId="34748" xr:uid="{00000000-0005-0000-0000-00001F780000}"/>
    <cellStyle name="Normal 3 6 14 2 13" xfId="17297" xr:uid="{00000000-0005-0000-0000-000020780000}"/>
    <cellStyle name="Normal 3 6 14 2 13 2" xfId="34749" xr:uid="{00000000-0005-0000-0000-000021780000}"/>
    <cellStyle name="Normal 3 6 14 2 14" xfId="17298" xr:uid="{00000000-0005-0000-0000-000022780000}"/>
    <cellStyle name="Normal 3 6 14 2 14 2" xfId="34750" xr:uid="{00000000-0005-0000-0000-000023780000}"/>
    <cellStyle name="Normal 3 6 14 2 15" xfId="34745" xr:uid="{00000000-0005-0000-0000-000024780000}"/>
    <cellStyle name="Normal 3 6 14 2 2" xfId="17299" xr:uid="{00000000-0005-0000-0000-000025780000}"/>
    <cellStyle name="Normal 3 6 14 2 2 2" xfId="34751" xr:uid="{00000000-0005-0000-0000-000026780000}"/>
    <cellStyle name="Normal 3 6 14 2 3" xfId="17300" xr:uid="{00000000-0005-0000-0000-000027780000}"/>
    <cellStyle name="Normal 3 6 14 2 3 2" xfId="34752" xr:uid="{00000000-0005-0000-0000-000028780000}"/>
    <cellStyle name="Normal 3 6 14 2 4" xfId="17301" xr:uid="{00000000-0005-0000-0000-000029780000}"/>
    <cellStyle name="Normal 3 6 14 2 4 2" xfId="34753" xr:uid="{00000000-0005-0000-0000-00002A780000}"/>
    <cellStyle name="Normal 3 6 14 2 5" xfId="17302" xr:uid="{00000000-0005-0000-0000-00002B780000}"/>
    <cellStyle name="Normal 3 6 14 2 5 2" xfId="34754" xr:uid="{00000000-0005-0000-0000-00002C780000}"/>
    <cellStyle name="Normal 3 6 14 2 6" xfId="17303" xr:uid="{00000000-0005-0000-0000-00002D780000}"/>
    <cellStyle name="Normal 3 6 14 2 6 2" xfId="34755" xr:uid="{00000000-0005-0000-0000-00002E780000}"/>
    <cellStyle name="Normal 3 6 14 2 7" xfId="17304" xr:uid="{00000000-0005-0000-0000-00002F780000}"/>
    <cellStyle name="Normal 3 6 14 2 7 2" xfId="34756" xr:uid="{00000000-0005-0000-0000-000030780000}"/>
    <cellStyle name="Normal 3 6 14 2 8" xfId="17305" xr:uid="{00000000-0005-0000-0000-000031780000}"/>
    <cellStyle name="Normal 3 6 14 2 8 2" xfId="34757" xr:uid="{00000000-0005-0000-0000-000032780000}"/>
    <cellStyle name="Normal 3 6 14 2 9" xfId="17306" xr:uid="{00000000-0005-0000-0000-000033780000}"/>
    <cellStyle name="Normal 3 6 14 2 9 2" xfId="34758" xr:uid="{00000000-0005-0000-0000-000034780000}"/>
    <cellStyle name="Normal 3 6 14 3" xfId="17307" xr:uid="{00000000-0005-0000-0000-000035780000}"/>
    <cellStyle name="Normal 3 6 14 3 2" xfId="34759" xr:uid="{00000000-0005-0000-0000-000036780000}"/>
    <cellStyle name="Normal 3 6 14 4" xfId="17308" xr:uid="{00000000-0005-0000-0000-000037780000}"/>
    <cellStyle name="Normal 3 6 14 4 2" xfId="34760" xr:uid="{00000000-0005-0000-0000-000038780000}"/>
    <cellStyle name="Normal 3 6 14 5" xfId="17309" xr:uid="{00000000-0005-0000-0000-000039780000}"/>
    <cellStyle name="Normal 3 6 14 5 2" xfId="34761" xr:uid="{00000000-0005-0000-0000-00003A780000}"/>
    <cellStyle name="Normal 3 6 14 6" xfId="17310" xr:uid="{00000000-0005-0000-0000-00003B780000}"/>
    <cellStyle name="Normal 3 6 14 6 2" xfId="34762" xr:uid="{00000000-0005-0000-0000-00003C780000}"/>
    <cellStyle name="Normal 3 6 14 7" xfId="17311" xr:uid="{00000000-0005-0000-0000-00003D780000}"/>
    <cellStyle name="Normal 3 6 14 7 2" xfId="34763" xr:uid="{00000000-0005-0000-0000-00003E780000}"/>
    <cellStyle name="Normal 3 6 14 8" xfId="17312" xr:uid="{00000000-0005-0000-0000-00003F780000}"/>
    <cellStyle name="Normal 3 6 14 8 2" xfId="34764" xr:uid="{00000000-0005-0000-0000-000040780000}"/>
    <cellStyle name="Normal 3 6 14 9" xfId="17313" xr:uid="{00000000-0005-0000-0000-000041780000}"/>
    <cellStyle name="Normal 3 6 14 9 2" xfId="34765" xr:uid="{00000000-0005-0000-0000-000042780000}"/>
    <cellStyle name="Normal 3 6 15" xfId="17314" xr:uid="{00000000-0005-0000-0000-000043780000}"/>
    <cellStyle name="Normal 3 6 15 10" xfId="17315" xr:uid="{00000000-0005-0000-0000-000044780000}"/>
    <cellStyle name="Normal 3 6 15 10 2" xfId="34767" xr:uid="{00000000-0005-0000-0000-000045780000}"/>
    <cellStyle name="Normal 3 6 15 11" xfId="17316" xr:uid="{00000000-0005-0000-0000-000046780000}"/>
    <cellStyle name="Normal 3 6 15 11 2" xfId="34768" xr:uid="{00000000-0005-0000-0000-000047780000}"/>
    <cellStyle name="Normal 3 6 15 12" xfId="17317" xr:uid="{00000000-0005-0000-0000-000048780000}"/>
    <cellStyle name="Normal 3 6 15 12 2" xfId="34769" xr:uid="{00000000-0005-0000-0000-000049780000}"/>
    <cellStyle name="Normal 3 6 15 13" xfId="17318" xr:uid="{00000000-0005-0000-0000-00004A780000}"/>
    <cellStyle name="Normal 3 6 15 13 2" xfId="34770" xr:uid="{00000000-0005-0000-0000-00004B780000}"/>
    <cellStyle name="Normal 3 6 15 14" xfId="17319" xr:uid="{00000000-0005-0000-0000-00004C780000}"/>
    <cellStyle name="Normal 3 6 15 14 2" xfId="34771" xr:uid="{00000000-0005-0000-0000-00004D780000}"/>
    <cellStyle name="Normal 3 6 15 15" xfId="17320" xr:uid="{00000000-0005-0000-0000-00004E780000}"/>
    <cellStyle name="Normal 3 6 15 15 2" xfId="34772" xr:uid="{00000000-0005-0000-0000-00004F780000}"/>
    <cellStyle name="Normal 3 6 15 16" xfId="34766" xr:uid="{00000000-0005-0000-0000-000050780000}"/>
    <cellStyle name="Normal 3 6 15 2" xfId="17321" xr:uid="{00000000-0005-0000-0000-000051780000}"/>
    <cellStyle name="Normal 3 6 15 2 10" xfId="17322" xr:uid="{00000000-0005-0000-0000-000052780000}"/>
    <cellStyle name="Normal 3 6 15 2 10 2" xfId="34774" xr:uid="{00000000-0005-0000-0000-000053780000}"/>
    <cellStyle name="Normal 3 6 15 2 11" xfId="17323" xr:uid="{00000000-0005-0000-0000-000054780000}"/>
    <cellStyle name="Normal 3 6 15 2 11 2" xfId="34775" xr:uid="{00000000-0005-0000-0000-000055780000}"/>
    <cellStyle name="Normal 3 6 15 2 12" xfId="17324" xr:uid="{00000000-0005-0000-0000-000056780000}"/>
    <cellStyle name="Normal 3 6 15 2 12 2" xfId="34776" xr:uid="{00000000-0005-0000-0000-000057780000}"/>
    <cellStyle name="Normal 3 6 15 2 13" xfId="17325" xr:uid="{00000000-0005-0000-0000-000058780000}"/>
    <cellStyle name="Normal 3 6 15 2 13 2" xfId="34777" xr:uid="{00000000-0005-0000-0000-000059780000}"/>
    <cellStyle name="Normal 3 6 15 2 14" xfId="17326" xr:uid="{00000000-0005-0000-0000-00005A780000}"/>
    <cellStyle name="Normal 3 6 15 2 14 2" xfId="34778" xr:uid="{00000000-0005-0000-0000-00005B780000}"/>
    <cellStyle name="Normal 3 6 15 2 15" xfId="34773" xr:uid="{00000000-0005-0000-0000-00005C780000}"/>
    <cellStyle name="Normal 3 6 15 2 2" xfId="17327" xr:uid="{00000000-0005-0000-0000-00005D780000}"/>
    <cellStyle name="Normal 3 6 15 2 2 2" xfId="34779" xr:uid="{00000000-0005-0000-0000-00005E780000}"/>
    <cellStyle name="Normal 3 6 15 2 3" xfId="17328" xr:uid="{00000000-0005-0000-0000-00005F780000}"/>
    <cellStyle name="Normal 3 6 15 2 3 2" xfId="34780" xr:uid="{00000000-0005-0000-0000-000060780000}"/>
    <cellStyle name="Normal 3 6 15 2 4" xfId="17329" xr:uid="{00000000-0005-0000-0000-000061780000}"/>
    <cellStyle name="Normal 3 6 15 2 4 2" xfId="34781" xr:uid="{00000000-0005-0000-0000-000062780000}"/>
    <cellStyle name="Normal 3 6 15 2 5" xfId="17330" xr:uid="{00000000-0005-0000-0000-000063780000}"/>
    <cellStyle name="Normal 3 6 15 2 5 2" xfId="34782" xr:uid="{00000000-0005-0000-0000-000064780000}"/>
    <cellStyle name="Normal 3 6 15 2 6" xfId="17331" xr:uid="{00000000-0005-0000-0000-000065780000}"/>
    <cellStyle name="Normal 3 6 15 2 6 2" xfId="34783" xr:uid="{00000000-0005-0000-0000-000066780000}"/>
    <cellStyle name="Normal 3 6 15 2 7" xfId="17332" xr:uid="{00000000-0005-0000-0000-000067780000}"/>
    <cellStyle name="Normal 3 6 15 2 7 2" xfId="34784" xr:uid="{00000000-0005-0000-0000-000068780000}"/>
    <cellStyle name="Normal 3 6 15 2 8" xfId="17333" xr:uid="{00000000-0005-0000-0000-000069780000}"/>
    <cellStyle name="Normal 3 6 15 2 8 2" xfId="34785" xr:uid="{00000000-0005-0000-0000-00006A780000}"/>
    <cellStyle name="Normal 3 6 15 2 9" xfId="17334" xr:uid="{00000000-0005-0000-0000-00006B780000}"/>
    <cellStyle name="Normal 3 6 15 2 9 2" xfId="34786" xr:uid="{00000000-0005-0000-0000-00006C780000}"/>
    <cellStyle name="Normal 3 6 15 3" xfId="17335" xr:uid="{00000000-0005-0000-0000-00006D780000}"/>
    <cellStyle name="Normal 3 6 15 3 2" xfId="34787" xr:uid="{00000000-0005-0000-0000-00006E780000}"/>
    <cellStyle name="Normal 3 6 15 4" xfId="17336" xr:uid="{00000000-0005-0000-0000-00006F780000}"/>
    <cellStyle name="Normal 3 6 15 4 2" xfId="34788" xr:uid="{00000000-0005-0000-0000-000070780000}"/>
    <cellStyle name="Normal 3 6 15 5" xfId="17337" xr:uid="{00000000-0005-0000-0000-000071780000}"/>
    <cellStyle name="Normal 3 6 15 5 2" xfId="34789" xr:uid="{00000000-0005-0000-0000-000072780000}"/>
    <cellStyle name="Normal 3 6 15 6" xfId="17338" xr:uid="{00000000-0005-0000-0000-000073780000}"/>
    <cellStyle name="Normal 3 6 15 6 2" xfId="34790" xr:uid="{00000000-0005-0000-0000-000074780000}"/>
    <cellStyle name="Normal 3 6 15 7" xfId="17339" xr:uid="{00000000-0005-0000-0000-000075780000}"/>
    <cellStyle name="Normal 3 6 15 7 2" xfId="34791" xr:uid="{00000000-0005-0000-0000-000076780000}"/>
    <cellStyle name="Normal 3 6 15 8" xfId="17340" xr:uid="{00000000-0005-0000-0000-000077780000}"/>
    <cellStyle name="Normal 3 6 15 8 2" xfId="34792" xr:uid="{00000000-0005-0000-0000-000078780000}"/>
    <cellStyle name="Normal 3 6 15 9" xfId="17341" xr:uid="{00000000-0005-0000-0000-000079780000}"/>
    <cellStyle name="Normal 3 6 15 9 2" xfId="34793" xr:uid="{00000000-0005-0000-0000-00007A780000}"/>
    <cellStyle name="Normal 3 6 16" xfId="17342" xr:uid="{00000000-0005-0000-0000-00007B780000}"/>
    <cellStyle name="Normal 3 6 16 10" xfId="17343" xr:uid="{00000000-0005-0000-0000-00007C780000}"/>
    <cellStyle name="Normal 3 6 16 10 2" xfId="34795" xr:uid="{00000000-0005-0000-0000-00007D780000}"/>
    <cellStyle name="Normal 3 6 16 11" xfId="17344" xr:uid="{00000000-0005-0000-0000-00007E780000}"/>
    <cellStyle name="Normal 3 6 16 11 2" xfId="34796" xr:uid="{00000000-0005-0000-0000-00007F780000}"/>
    <cellStyle name="Normal 3 6 16 12" xfId="17345" xr:uid="{00000000-0005-0000-0000-000080780000}"/>
    <cellStyle name="Normal 3 6 16 12 2" xfId="34797" xr:uid="{00000000-0005-0000-0000-000081780000}"/>
    <cellStyle name="Normal 3 6 16 13" xfId="17346" xr:uid="{00000000-0005-0000-0000-000082780000}"/>
    <cellStyle name="Normal 3 6 16 13 2" xfId="34798" xr:uid="{00000000-0005-0000-0000-000083780000}"/>
    <cellStyle name="Normal 3 6 16 14" xfId="17347" xr:uid="{00000000-0005-0000-0000-000084780000}"/>
    <cellStyle name="Normal 3 6 16 14 2" xfId="34799" xr:uid="{00000000-0005-0000-0000-000085780000}"/>
    <cellStyle name="Normal 3 6 16 15" xfId="17348" xr:uid="{00000000-0005-0000-0000-000086780000}"/>
    <cellStyle name="Normal 3 6 16 15 2" xfId="34800" xr:uid="{00000000-0005-0000-0000-000087780000}"/>
    <cellStyle name="Normal 3 6 16 16" xfId="34794" xr:uid="{00000000-0005-0000-0000-000088780000}"/>
    <cellStyle name="Normal 3 6 16 2" xfId="17349" xr:uid="{00000000-0005-0000-0000-000089780000}"/>
    <cellStyle name="Normal 3 6 16 2 10" xfId="17350" xr:uid="{00000000-0005-0000-0000-00008A780000}"/>
    <cellStyle name="Normal 3 6 16 2 10 2" xfId="34802" xr:uid="{00000000-0005-0000-0000-00008B780000}"/>
    <cellStyle name="Normal 3 6 16 2 11" xfId="17351" xr:uid="{00000000-0005-0000-0000-00008C780000}"/>
    <cellStyle name="Normal 3 6 16 2 11 2" xfId="34803" xr:uid="{00000000-0005-0000-0000-00008D780000}"/>
    <cellStyle name="Normal 3 6 16 2 12" xfId="17352" xr:uid="{00000000-0005-0000-0000-00008E780000}"/>
    <cellStyle name="Normal 3 6 16 2 12 2" xfId="34804" xr:uid="{00000000-0005-0000-0000-00008F780000}"/>
    <cellStyle name="Normal 3 6 16 2 13" xfId="17353" xr:uid="{00000000-0005-0000-0000-000090780000}"/>
    <cellStyle name="Normal 3 6 16 2 13 2" xfId="34805" xr:uid="{00000000-0005-0000-0000-000091780000}"/>
    <cellStyle name="Normal 3 6 16 2 14" xfId="17354" xr:uid="{00000000-0005-0000-0000-000092780000}"/>
    <cellStyle name="Normal 3 6 16 2 14 2" xfId="34806" xr:uid="{00000000-0005-0000-0000-000093780000}"/>
    <cellStyle name="Normal 3 6 16 2 15" xfId="34801" xr:uid="{00000000-0005-0000-0000-000094780000}"/>
    <cellStyle name="Normal 3 6 16 2 2" xfId="17355" xr:uid="{00000000-0005-0000-0000-000095780000}"/>
    <cellStyle name="Normal 3 6 16 2 2 2" xfId="34807" xr:uid="{00000000-0005-0000-0000-000096780000}"/>
    <cellStyle name="Normal 3 6 16 2 3" xfId="17356" xr:uid="{00000000-0005-0000-0000-000097780000}"/>
    <cellStyle name="Normal 3 6 16 2 3 2" xfId="34808" xr:uid="{00000000-0005-0000-0000-000098780000}"/>
    <cellStyle name="Normal 3 6 16 2 4" xfId="17357" xr:uid="{00000000-0005-0000-0000-000099780000}"/>
    <cellStyle name="Normal 3 6 16 2 4 2" xfId="34809" xr:uid="{00000000-0005-0000-0000-00009A780000}"/>
    <cellStyle name="Normal 3 6 16 2 5" xfId="17358" xr:uid="{00000000-0005-0000-0000-00009B780000}"/>
    <cellStyle name="Normal 3 6 16 2 5 2" xfId="34810" xr:uid="{00000000-0005-0000-0000-00009C780000}"/>
    <cellStyle name="Normal 3 6 16 2 6" xfId="17359" xr:uid="{00000000-0005-0000-0000-00009D780000}"/>
    <cellStyle name="Normal 3 6 16 2 6 2" xfId="34811" xr:uid="{00000000-0005-0000-0000-00009E780000}"/>
    <cellStyle name="Normal 3 6 16 2 7" xfId="17360" xr:uid="{00000000-0005-0000-0000-00009F780000}"/>
    <cellStyle name="Normal 3 6 16 2 7 2" xfId="34812" xr:uid="{00000000-0005-0000-0000-0000A0780000}"/>
    <cellStyle name="Normal 3 6 16 2 8" xfId="17361" xr:uid="{00000000-0005-0000-0000-0000A1780000}"/>
    <cellStyle name="Normal 3 6 16 2 8 2" xfId="34813" xr:uid="{00000000-0005-0000-0000-0000A2780000}"/>
    <cellStyle name="Normal 3 6 16 2 9" xfId="17362" xr:uid="{00000000-0005-0000-0000-0000A3780000}"/>
    <cellStyle name="Normal 3 6 16 2 9 2" xfId="34814" xr:uid="{00000000-0005-0000-0000-0000A4780000}"/>
    <cellStyle name="Normal 3 6 16 3" xfId="17363" xr:uid="{00000000-0005-0000-0000-0000A5780000}"/>
    <cellStyle name="Normal 3 6 16 3 2" xfId="34815" xr:uid="{00000000-0005-0000-0000-0000A6780000}"/>
    <cellStyle name="Normal 3 6 16 4" xfId="17364" xr:uid="{00000000-0005-0000-0000-0000A7780000}"/>
    <cellStyle name="Normal 3 6 16 4 2" xfId="34816" xr:uid="{00000000-0005-0000-0000-0000A8780000}"/>
    <cellStyle name="Normal 3 6 16 5" xfId="17365" xr:uid="{00000000-0005-0000-0000-0000A9780000}"/>
    <cellStyle name="Normal 3 6 16 5 2" xfId="34817" xr:uid="{00000000-0005-0000-0000-0000AA780000}"/>
    <cellStyle name="Normal 3 6 16 6" xfId="17366" xr:uid="{00000000-0005-0000-0000-0000AB780000}"/>
    <cellStyle name="Normal 3 6 16 6 2" xfId="34818" xr:uid="{00000000-0005-0000-0000-0000AC780000}"/>
    <cellStyle name="Normal 3 6 16 7" xfId="17367" xr:uid="{00000000-0005-0000-0000-0000AD780000}"/>
    <cellStyle name="Normal 3 6 16 7 2" xfId="34819" xr:uid="{00000000-0005-0000-0000-0000AE780000}"/>
    <cellStyle name="Normal 3 6 16 8" xfId="17368" xr:uid="{00000000-0005-0000-0000-0000AF780000}"/>
    <cellStyle name="Normal 3 6 16 8 2" xfId="34820" xr:uid="{00000000-0005-0000-0000-0000B0780000}"/>
    <cellStyle name="Normal 3 6 16 9" xfId="17369" xr:uid="{00000000-0005-0000-0000-0000B1780000}"/>
    <cellStyle name="Normal 3 6 16 9 2" xfId="34821" xr:uid="{00000000-0005-0000-0000-0000B2780000}"/>
    <cellStyle name="Normal 3 6 17" xfId="17370" xr:uid="{00000000-0005-0000-0000-0000B3780000}"/>
    <cellStyle name="Normal 3 6 17 10" xfId="17371" xr:uid="{00000000-0005-0000-0000-0000B4780000}"/>
    <cellStyle name="Normal 3 6 17 10 2" xfId="34823" xr:uid="{00000000-0005-0000-0000-0000B5780000}"/>
    <cellStyle name="Normal 3 6 17 11" xfId="17372" xr:uid="{00000000-0005-0000-0000-0000B6780000}"/>
    <cellStyle name="Normal 3 6 17 11 2" xfId="34824" xr:uid="{00000000-0005-0000-0000-0000B7780000}"/>
    <cellStyle name="Normal 3 6 17 12" xfId="17373" xr:uid="{00000000-0005-0000-0000-0000B8780000}"/>
    <cellStyle name="Normal 3 6 17 12 2" xfId="34825" xr:uid="{00000000-0005-0000-0000-0000B9780000}"/>
    <cellStyle name="Normal 3 6 17 13" xfId="17374" xr:uid="{00000000-0005-0000-0000-0000BA780000}"/>
    <cellStyle name="Normal 3 6 17 13 2" xfId="34826" xr:uid="{00000000-0005-0000-0000-0000BB780000}"/>
    <cellStyle name="Normal 3 6 17 14" xfId="17375" xr:uid="{00000000-0005-0000-0000-0000BC780000}"/>
    <cellStyle name="Normal 3 6 17 14 2" xfId="34827" xr:uid="{00000000-0005-0000-0000-0000BD780000}"/>
    <cellStyle name="Normal 3 6 17 15" xfId="34822" xr:uid="{00000000-0005-0000-0000-0000BE780000}"/>
    <cellStyle name="Normal 3 6 17 2" xfId="17376" xr:uid="{00000000-0005-0000-0000-0000BF780000}"/>
    <cellStyle name="Normal 3 6 17 2 2" xfId="34828" xr:uid="{00000000-0005-0000-0000-0000C0780000}"/>
    <cellStyle name="Normal 3 6 17 3" xfId="17377" xr:uid="{00000000-0005-0000-0000-0000C1780000}"/>
    <cellStyle name="Normal 3 6 17 3 2" xfId="34829" xr:uid="{00000000-0005-0000-0000-0000C2780000}"/>
    <cellStyle name="Normal 3 6 17 4" xfId="17378" xr:uid="{00000000-0005-0000-0000-0000C3780000}"/>
    <cellStyle name="Normal 3 6 17 4 2" xfId="34830" xr:uid="{00000000-0005-0000-0000-0000C4780000}"/>
    <cellStyle name="Normal 3 6 17 5" xfId="17379" xr:uid="{00000000-0005-0000-0000-0000C5780000}"/>
    <cellStyle name="Normal 3 6 17 5 2" xfId="34831" xr:uid="{00000000-0005-0000-0000-0000C6780000}"/>
    <cellStyle name="Normal 3 6 17 6" xfId="17380" xr:uid="{00000000-0005-0000-0000-0000C7780000}"/>
    <cellStyle name="Normal 3 6 17 6 2" xfId="34832" xr:uid="{00000000-0005-0000-0000-0000C8780000}"/>
    <cellStyle name="Normal 3 6 17 7" xfId="17381" xr:uid="{00000000-0005-0000-0000-0000C9780000}"/>
    <cellStyle name="Normal 3 6 17 7 2" xfId="34833" xr:uid="{00000000-0005-0000-0000-0000CA780000}"/>
    <cellStyle name="Normal 3 6 17 8" xfId="17382" xr:uid="{00000000-0005-0000-0000-0000CB780000}"/>
    <cellStyle name="Normal 3 6 17 8 2" xfId="34834" xr:uid="{00000000-0005-0000-0000-0000CC780000}"/>
    <cellStyle name="Normal 3 6 17 9" xfId="17383" xr:uid="{00000000-0005-0000-0000-0000CD780000}"/>
    <cellStyle name="Normal 3 6 17 9 2" xfId="34835" xr:uid="{00000000-0005-0000-0000-0000CE780000}"/>
    <cellStyle name="Normal 3 6 18" xfId="17384" xr:uid="{00000000-0005-0000-0000-0000CF780000}"/>
    <cellStyle name="Normal 3 6 18 10" xfId="17385" xr:uid="{00000000-0005-0000-0000-0000D0780000}"/>
    <cellStyle name="Normal 3 6 18 10 2" xfId="34837" xr:uid="{00000000-0005-0000-0000-0000D1780000}"/>
    <cellStyle name="Normal 3 6 18 11" xfId="17386" xr:uid="{00000000-0005-0000-0000-0000D2780000}"/>
    <cellStyle name="Normal 3 6 18 11 2" xfId="34838" xr:uid="{00000000-0005-0000-0000-0000D3780000}"/>
    <cellStyle name="Normal 3 6 18 12" xfId="17387" xr:uid="{00000000-0005-0000-0000-0000D4780000}"/>
    <cellStyle name="Normal 3 6 18 12 2" xfId="34839" xr:uid="{00000000-0005-0000-0000-0000D5780000}"/>
    <cellStyle name="Normal 3 6 18 13" xfId="17388" xr:uid="{00000000-0005-0000-0000-0000D6780000}"/>
    <cellStyle name="Normal 3 6 18 13 2" xfId="34840" xr:uid="{00000000-0005-0000-0000-0000D7780000}"/>
    <cellStyle name="Normal 3 6 18 14" xfId="17389" xr:uid="{00000000-0005-0000-0000-0000D8780000}"/>
    <cellStyle name="Normal 3 6 18 14 2" xfId="34841" xr:uid="{00000000-0005-0000-0000-0000D9780000}"/>
    <cellStyle name="Normal 3 6 18 15" xfId="34836" xr:uid="{00000000-0005-0000-0000-0000DA780000}"/>
    <cellStyle name="Normal 3 6 18 2" xfId="17390" xr:uid="{00000000-0005-0000-0000-0000DB780000}"/>
    <cellStyle name="Normal 3 6 18 2 2" xfId="34842" xr:uid="{00000000-0005-0000-0000-0000DC780000}"/>
    <cellStyle name="Normal 3 6 18 3" xfId="17391" xr:uid="{00000000-0005-0000-0000-0000DD780000}"/>
    <cellStyle name="Normal 3 6 18 3 2" xfId="34843" xr:uid="{00000000-0005-0000-0000-0000DE780000}"/>
    <cellStyle name="Normal 3 6 18 4" xfId="17392" xr:uid="{00000000-0005-0000-0000-0000DF780000}"/>
    <cellStyle name="Normal 3 6 18 4 2" xfId="34844" xr:uid="{00000000-0005-0000-0000-0000E0780000}"/>
    <cellStyle name="Normal 3 6 18 5" xfId="17393" xr:uid="{00000000-0005-0000-0000-0000E1780000}"/>
    <cellStyle name="Normal 3 6 18 5 2" xfId="34845" xr:uid="{00000000-0005-0000-0000-0000E2780000}"/>
    <cellStyle name="Normal 3 6 18 6" xfId="17394" xr:uid="{00000000-0005-0000-0000-0000E3780000}"/>
    <cellStyle name="Normal 3 6 18 6 2" xfId="34846" xr:uid="{00000000-0005-0000-0000-0000E4780000}"/>
    <cellStyle name="Normal 3 6 18 7" xfId="17395" xr:uid="{00000000-0005-0000-0000-0000E5780000}"/>
    <cellStyle name="Normal 3 6 18 7 2" xfId="34847" xr:uid="{00000000-0005-0000-0000-0000E6780000}"/>
    <cellStyle name="Normal 3 6 18 8" xfId="17396" xr:uid="{00000000-0005-0000-0000-0000E7780000}"/>
    <cellStyle name="Normal 3 6 18 8 2" xfId="34848" xr:uid="{00000000-0005-0000-0000-0000E8780000}"/>
    <cellStyle name="Normal 3 6 18 9" xfId="17397" xr:uid="{00000000-0005-0000-0000-0000E9780000}"/>
    <cellStyle name="Normal 3 6 18 9 2" xfId="34849" xr:uid="{00000000-0005-0000-0000-0000EA780000}"/>
    <cellStyle name="Normal 3 6 19" xfId="17398" xr:uid="{00000000-0005-0000-0000-0000EB780000}"/>
    <cellStyle name="Normal 3 6 19 10" xfId="17399" xr:uid="{00000000-0005-0000-0000-0000EC780000}"/>
    <cellStyle name="Normal 3 6 19 10 2" xfId="34851" xr:uid="{00000000-0005-0000-0000-0000ED780000}"/>
    <cellStyle name="Normal 3 6 19 11" xfId="17400" xr:uid="{00000000-0005-0000-0000-0000EE780000}"/>
    <cellStyle name="Normal 3 6 19 11 2" xfId="34852" xr:uid="{00000000-0005-0000-0000-0000EF780000}"/>
    <cellStyle name="Normal 3 6 19 12" xfId="17401" xr:uid="{00000000-0005-0000-0000-0000F0780000}"/>
    <cellStyle name="Normal 3 6 19 12 2" xfId="34853" xr:uid="{00000000-0005-0000-0000-0000F1780000}"/>
    <cellStyle name="Normal 3 6 19 13" xfId="17402" xr:uid="{00000000-0005-0000-0000-0000F2780000}"/>
    <cellStyle name="Normal 3 6 19 13 2" xfId="34854" xr:uid="{00000000-0005-0000-0000-0000F3780000}"/>
    <cellStyle name="Normal 3 6 19 14" xfId="17403" xr:uid="{00000000-0005-0000-0000-0000F4780000}"/>
    <cellStyle name="Normal 3 6 19 14 2" xfId="34855" xr:uid="{00000000-0005-0000-0000-0000F5780000}"/>
    <cellStyle name="Normal 3 6 19 15" xfId="34850" xr:uid="{00000000-0005-0000-0000-0000F6780000}"/>
    <cellStyle name="Normal 3 6 19 2" xfId="17404" xr:uid="{00000000-0005-0000-0000-0000F7780000}"/>
    <cellStyle name="Normal 3 6 19 2 2" xfId="34856" xr:uid="{00000000-0005-0000-0000-0000F8780000}"/>
    <cellStyle name="Normal 3 6 19 3" xfId="17405" xr:uid="{00000000-0005-0000-0000-0000F9780000}"/>
    <cellStyle name="Normal 3 6 19 3 2" xfId="34857" xr:uid="{00000000-0005-0000-0000-0000FA780000}"/>
    <cellStyle name="Normal 3 6 19 4" xfId="17406" xr:uid="{00000000-0005-0000-0000-0000FB780000}"/>
    <cellStyle name="Normal 3 6 19 4 2" xfId="34858" xr:uid="{00000000-0005-0000-0000-0000FC780000}"/>
    <cellStyle name="Normal 3 6 19 5" xfId="17407" xr:uid="{00000000-0005-0000-0000-0000FD780000}"/>
    <cellStyle name="Normal 3 6 19 5 2" xfId="34859" xr:uid="{00000000-0005-0000-0000-0000FE780000}"/>
    <cellStyle name="Normal 3 6 19 6" xfId="17408" xr:uid="{00000000-0005-0000-0000-0000FF780000}"/>
    <cellStyle name="Normal 3 6 19 6 2" xfId="34860" xr:uid="{00000000-0005-0000-0000-000000790000}"/>
    <cellStyle name="Normal 3 6 19 7" xfId="17409" xr:uid="{00000000-0005-0000-0000-000001790000}"/>
    <cellStyle name="Normal 3 6 19 7 2" xfId="34861" xr:uid="{00000000-0005-0000-0000-000002790000}"/>
    <cellStyle name="Normal 3 6 19 8" xfId="17410" xr:uid="{00000000-0005-0000-0000-000003790000}"/>
    <cellStyle name="Normal 3 6 19 8 2" xfId="34862" xr:uid="{00000000-0005-0000-0000-000004790000}"/>
    <cellStyle name="Normal 3 6 19 9" xfId="17411" xr:uid="{00000000-0005-0000-0000-000005790000}"/>
    <cellStyle name="Normal 3 6 19 9 2" xfId="34863" xr:uid="{00000000-0005-0000-0000-000006790000}"/>
    <cellStyle name="Normal 3 6 2" xfId="17412" xr:uid="{00000000-0005-0000-0000-000007790000}"/>
    <cellStyle name="Normal 3 6 20" xfId="17413" xr:uid="{00000000-0005-0000-0000-000008790000}"/>
    <cellStyle name="Normal 3 6 20 10" xfId="17414" xr:uid="{00000000-0005-0000-0000-000009790000}"/>
    <cellStyle name="Normal 3 6 20 10 2" xfId="34865" xr:uid="{00000000-0005-0000-0000-00000A790000}"/>
    <cellStyle name="Normal 3 6 20 11" xfId="17415" xr:uid="{00000000-0005-0000-0000-00000B790000}"/>
    <cellStyle name="Normal 3 6 20 11 2" xfId="34866" xr:uid="{00000000-0005-0000-0000-00000C790000}"/>
    <cellStyle name="Normal 3 6 20 12" xfId="17416" xr:uid="{00000000-0005-0000-0000-00000D790000}"/>
    <cellStyle name="Normal 3 6 20 12 2" xfId="34867" xr:uid="{00000000-0005-0000-0000-00000E790000}"/>
    <cellStyle name="Normal 3 6 20 13" xfId="17417" xr:uid="{00000000-0005-0000-0000-00000F790000}"/>
    <cellStyle name="Normal 3 6 20 13 2" xfId="34868" xr:uid="{00000000-0005-0000-0000-000010790000}"/>
    <cellStyle name="Normal 3 6 20 14" xfId="17418" xr:uid="{00000000-0005-0000-0000-000011790000}"/>
    <cellStyle name="Normal 3 6 20 14 2" xfId="34869" xr:uid="{00000000-0005-0000-0000-000012790000}"/>
    <cellStyle name="Normal 3 6 20 15" xfId="34864" xr:uid="{00000000-0005-0000-0000-000013790000}"/>
    <cellStyle name="Normal 3 6 20 2" xfId="17419" xr:uid="{00000000-0005-0000-0000-000014790000}"/>
    <cellStyle name="Normal 3 6 20 2 2" xfId="34870" xr:uid="{00000000-0005-0000-0000-000015790000}"/>
    <cellStyle name="Normal 3 6 20 3" xfId="17420" xr:uid="{00000000-0005-0000-0000-000016790000}"/>
    <cellStyle name="Normal 3 6 20 3 2" xfId="34871" xr:uid="{00000000-0005-0000-0000-000017790000}"/>
    <cellStyle name="Normal 3 6 20 4" xfId="17421" xr:uid="{00000000-0005-0000-0000-000018790000}"/>
    <cellStyle name="Normal 3 6 20 4 2" xfId="34872" xr:uid="{00000000-0005-0000-0000-000019790000}"/>
    <cellStyle name="Normal 3 6 20 5" xfId="17422" xr:uid="{00000000-0005-0000-0000-00001A790000}"/>
    <cellStyle name="Normal 3 6 20 5 2" xfId="34873" xr:uid="{00000000-0005-0000-0000-00001B790000}"/>
    <cellStyle name="Normal 3 6 20 6" xfId="17423" xr:uid="{00000000-0005-0000-0000-00001C790000}"/>
    <cellStyle name="Normal 3 6 20 6 2" xfId="34874" xr:uid="{00000000-0005-0000-0000-00001D790000}"/>
    <cellStyle name="Normal 3 6 20 7" xfId="17424" xr:uid="{00000000-0005-0000-0000-00001E790000}"/>
    <cellStyle name="Normal 3 6 20 7 2" xfId="34875" xr:uid="{00000000-0005-0000-0000-00001F790000}"/>
    <cellStyle name="Normal 3 6 20 8" xfId="17425" xr:uid="{00000000-0005-0000-0000-000020790000}"/>
    <cellStyle name="Normal 3 6 20 8 2" xfId="34876" xr:uid="{00000000-0005-0000-0000-000021790000}"/>
    <cellStyle name="Normal 3 6 20 9" xfId="17426" xr:uid="{00000000-0005-0000-0000-000022790000}"/>
    <cellStyle name="Normal 3 6 20 9 2" xfId="34877" xr:uid="{00000000-0005-0000-0000-000023790000}"/>
    <cellStyle name="Normal 3 6 21" xfId="17427" xr:uid="{00000000-0005-0000-0000-000024790000}"/>
    <cellStyle name="Normal 3 6 21 10" xfId="17428" xr:uid="{00000000-0005-0000-0000-000025790000}"/>
    <cellStyle name="Normal 3 6 21 10 2" xfId="34879" xr:uid="{00000000-0005-0000-0000-000026790000}"/>
    <cellStyle name="Normal 3 6 21 11" xfId="17429" xr:uid="{00000000-0005-0000-0000-000027790000}"/>
    <cellStyle name="Normal 3 6 21 11 2" xfId="34880" xr:uid="{00000000-0005-0000-0000-000028790000}"/>
    <cellStyle name="Normal 3 6 21 12" xfId="17430" xr:uid="{00000000-0005-0000-0000-000029790000}"/>
    <cellStyle name="Normal 3 6 21 12 2" xfId="34881" xr:uid="{00000000-0005-0000-0000-00002A790000}"/>
    <cellStyle name="Normal 3 6 21 13" xfId="17431" xr:uid="{00000000-0005-0000-0000-00002B790000}"/>
    <cellStyle name="Normal 3 6 21 13 2" xfId="34882" xr:uid="{00000000-0005-0000-0000-00002C790000}"/>
    <cellStyle name="Normal 3 6 21 14" xfId="17432" xr:uid="{00000000-0005-0000-0000-00002D790000}"/>
    <cellStyle name="Normal 3 6 21 14 2" xfId="34883" xr:uid="{00000000-0005-0000-0000-00002E790000}"/>
    <cellStyle name="Normal 3 6 21 15" xfId="34878" xr:uid="{00000000-0005-0000-0000-00002F790000}"/>
    <cellStyle name="Normal 3 6 21 2" xfId="17433" xr:uid="{00000000-0005-0000-0000-000030790000}"/>
    <cellStyle name="Normal 3 6 21 2 2" xfId="34884" xr:uid="{00000000-0005-0000-0000-000031790000}"/>
    <cellStyle name="Normal 3 6 21 3" xfId="17434" xr:uid="{00000000-0005-0000-0000-000032790000}"/>
    <cellStyle name="Normal 3 6 21 3 2" xfId="34885" xr:uid="{00000000-0005-0000-0000-000033790000}"/>
    <cellStyle name="Normal 3 6 21 4" xfId="17435" xr:uid="{00000000-0005-0000-0000-000034790000}"/>
    <cellStyle name="Normal 3 6 21 4 2" xfId="34886" xr:uid="{00000000-0005-0000-0000-000035790000}"/>
    <cellStyle name="Normal 3 6 21 5" xfId="17436" xr:uid="{00000000-0005-0000-0000-000036790000}"/>
    <cellStyle name="Normal 3 6 21 5 2" xfId="34887" xr:uid="{00000000-0005-0000-0000-000037790000}"/>
    <cellStyle name="Normal 3 6 21 6" xfId="17437" xr:uid="{00000000-0005-0000-0000-000038790000}"/>
    <cellStyle name="Normal 3 6 21 6 2" xfId="34888" xr:uid="{00000000-0005-0000-0000-000039790000}"/>
    <cellStyle name="Normal 3 6 21 7" xfId="17438" xr:uid="{00000000-0005-0000-0000-00003A790000}"/>
    <cellStyle name="Normal 3 6 21 7 2" xfId="34889" xr:uid="{00000000-0005-0000-0000-00003B790000}"/>
    <cellStyle name="Normal 3 6 21 8" xfId="17439" xr:uid="{00000000-0005-0000-0000-00003C790000}"/>
    <cellStyle name="Normal 3 6 21 8 2" xfId="34890" xr:uid="{00000000-0005-0000-0000-00003D790000}"/>
    <cellStyle name="Normal 3 6 21 9" xfId="17440" xr:uid="{00000000-0005-0000-0000-00003E790000}"/>
    <cellStyle name="Normal 3 6 21 9 2" xfId="34891" xr:uid="{00000000-0005-0000-0000-00003F790000}"/>
    <cellStyle name="Normal 3 6 22" xfId="17441" xr:uid="{00000000-0005-0000-0000-000040790000}"/>
    <cellStyle name="Normal 3 6 22 10" xfId="17442" xr:uid="{00000000-0005-0000-0000-000041790000}"/>
    <cellStyle name="Normal 3 6 22 10 2" xfId="34893" xr:uid="{00000000-0005-0000-0000-000042790000}"/>
    <cellStyle name="Normal 3 6 22 11" xfId="17443" xr:uid="{00000000-0005-0000-0000-000043790000}"/>
    <cellStyle name="Normal 3 6 22 11 2" xfId="34894" xr:uid="{00000000-0005-0000-0000-000044790000}"/>
    <cellStyle name="Normal 3 6 22 12" xfId="17444" xr:uid="{00000000-0005-0000-0000-000045790000}"/>
    <cellStyle name="Normal 3 6 22 12 2" xfId="34895" xr:uid="{00000000-0005-0000-0000-000046790000}"/>
    <cellStyle name="Normal 3 6 22 13" xfId="17445" xr:uid="{00000000-0005-0000-0000-000047790000}"/>
    <cellStyle name="Normal 3 6 22 13 2" xfId="34896" xr:uid="{00000000-0005-0000-0000-000048790000}"/>
    <cellStyle name="Normal 3 6 22 14" xfId="17446" xr:uid="{00000000-0005-0000-0000-000049790000}"/>
    <cellStyle name="Normal 3 6 22 14 2" xfId="34897" xr:uid="{00000000-0005-0000-0000-00004A790000}"/>
    <cellStyle name="Normal 3 6 22 15" xfId="34892" xr:uid="{00000000-0005-0000-0000-00004B790000}"/>
    <cellStyle name="Normal 3 6 22 2" xfId="17447" xr:uid="{00000000-0005-0000-0000-00004C790000}"/>
    <cellStyle name="Normal 3 6 22 2 2" xfId="34898" xr:uid="{00000000-0005-0000-0000-00004D790000}"/>
    <cellStyle name="Normal 3 6 22 3" xfId="17448" xr:uid="{00000000-0005-0000-0000-00004E790000}"/>
    <cellStyle name="Normal 3 6 22 3 2" xfId="34899" xr:uid="{00000000-0005-0000-0000-00004F790000}"/>
    <cellStyle name="Normal 3 6 22 4" xfId="17449" xr:uid="{00000000-0005-0000-0000-000050790000}"/>
    <cellStyle name="Normal 3 6 22 4 2" xfId="34900" xr:uid="{00000000-0005-0000-0000-000051790000}"/>
    <cellStyle name="Normal 3 6 22 5" xfId="17450" xr:uid="{00000000-0005-0000-0000-000052790000}"/>
    <cellStyle name="Normal 3 6 22 5 2" xfId="34901" xr:uid="{00000000-0005-0000-0000-000053790000}"/>
    <cellStyle name="Normal 3 6 22 6" xfId="17451" xr:uid="{00000000-0005-0000-0000-000054790000}"/>
    <cellStyle name="Normal 3 6 22 6 2" xfId="34902" xr:uid="{00000000-0005-0000-0000-000055790000}"/>
    <cellStyle name="Normal 3 6 22 7" xfId="17452" xr:uid="{00000000-0005-0000-0000-000056790000}"/>
    <cellStyle name="Normal 3 6 22 7 2" xfId="34903" xr:uid="{00000000-0005-0000-0000-000057790000}"/>
    <cellStyle name="Normal 3 6 22 8" xfId="17453" xr:uid="{00000000-0005-0000-0000-000058790000}"/>
    <cellStyle name="Normal 3 6 22 8 2" xfId="34904" xr:uid="{00000000-0005-0000-0000-000059790000}"/>
    <cellStyle name="Normal 3 6 22 9" xfId="17454" xr:uid="{00000000-0005-0000-0000-00005A790000}"/>
    <cellStyle name="Normal 3 6 22 9 2" xfId="34905" xr:uid="{00000000-0005-0000-0000-00005B790000}"/>
    <cellStyle name="Normal 3 6 23" xfId="17455" xr:uid="{00000000-0005-0000-0000-00005C790000}"/>
    <cellStyle name="Normal 3 6 24" xfId="17456" xr:uid="{00000000-0005-0000-0000-00005D790000}"/>
    <cellStyle name="Normal 3 6 25" xfId="17457" xr:uid="{00000000-0005-0000-0000-00005E790000}"/>
    <cellStyle name="Normal 3 6 25 10" xfId="17458" xr:uid="{00000000-0005-0000-0000-00005F790000}"/>
    <cellStyle name="Normal 3 6 25 10 2" xfId="34907" xr:uid="{00000000-0005-0000-0000-000060790000}"/>
    <cellStyle name="Normal 3 6 25 11" xfId="17459" xr:uid="{00000000-0005-0000-0000-000061790000}"/>
    <cellStyle name="Normal 3 6 25 11 2" xfId="34908" xr:uid="{00000000-0005-0000-0000-000062790000}"/>
    <cellStyle name="Normal 3 6 25 12" xfId="17460" xr:uid="{00000000-0005-0000-0000-000063790000}"/>
    <cellStyle name="Normal 3 6 25 12 2" xfId="34909" xr:uid="{00000000-0005-0000-0000-000064790000}"/>
    <cellStyle name="Normal 3 6 25 13" xfId="17461" xr:uid="{00000000-0005-0000-0000-000065790000}"/>
    <cellStyle name="Normal 3 6 25 13 2" xfId="34910" xr:uid="{00000000-0005-0000-0000-000066790000}"/>
    <cellStyle name="Normal 3 6 25 14" xfId="17462" xr:uid="{00000000-0005-0000-0000-000067790000}"/>
    <cellStyle name="Normal 3 6 25 14 2" xfId="34911" xr:uid="{00000000-0005-0000-0000-000068790000}"/>
    <cellStyle name="Normal 3 6 25 15" xfId="34906" xr:uid="{00000000-0005-0000-0000-000069790000}"/>
    <cellStyle name="Normal 3 6 25 2" xfId="17463" xr:uid="{00000000-0005-0000-0000-00006A790000}"/>
    <cellStyle name="Normal 3 6 25 2 2" xfId="34912" xr:uid="{00000000-0005-0000-0000-00006B790000}"/>
    <cellStyle name="Normal 3 6 25 3" xfId="17464" xr:uid="{00000000-0005-0000-0000-00006C790000}"/>
    <cellStyle name="Normal 3 6 25 3 2" xfId="34913" xr:uid="{00000000-0005-0000-0000-00006D790000}"/>
    <cellStyle name="Normal 3 6 25 4" xfId="17465" xr:uid="{00000000-0005-0000-0000-00006E790000}"/>
    <cellStyle name="Normal 3 6 25 4 2" xfId="34914" xr:uid="{00000000-0005-0000-0000-00006F790000}"/>
    <cellStyle name="Normal 3 6 25 5" xfId="17466" xr:uid="{00000000-0005-0000-0000-000070790000}"/>
    <cellStyle name="Normal 3 6 25 5 2" xfId="34915" xr:uid="{00000000-0005-0000-0000-000071790000}"/>
    <cellStyle name="Normal 3 6 25 6" xfId="17467" xr:uid="{00000000-0005-0000-0000-000072790000}"/>
    <cellStyle name="Normal 3 6 25 6 2" xfId="34916" xr:uid="{00000000-0005-0000-0000-000073790000}"/>
    <cellStyle name="Normal 3 6 25 7" xfId="17468" xr:uid="{00000000-0005-0000-0000-000074790000}"/>
    <cellStyle name="Normal 3 6 25 7 2" xfId="34917" xr:uid="{00000000-0005-0000-0000-000075790000}"/>
    <cellStyle name="Normal 3 6 25 8" xfId="17469" xr:uid="{00000000-0005-0000-0000-000076790000}"/>
    <cellStyle name="Normal 3 6 25 8 2" xfId="34918" xr:uid="{00000000-0005-0000-0000-000077790000}"/>
    <cellStyle name="Normal 3 6 25 9" xfId="17470" xr:uid="{00000000-0005-0000-0000-000078790000}"/>
    <cellStyle name="Normal 3 6 25 9 2" xfId="34919" xr:uid="{00000000-0005-0000-0000-000079790000}"/>
    <cellStyle name="Normal 3 6 26" xfId="17471" xr:uid="{00000000-0005-0000-0000-00007A790000}"/>
    <cellStyle name="Normal 3 6 26 10" xfId="17472" xr:uid="{00000000-0005-0000-0000-00007B790000}"/>
    <cellStyle name="Normal 3 6 26 10 2" xfId="34921" xr:uid="{00000000-0005-0000-0000-00007C790000}"/>
    <cellStyle name="Normal 3 6 26 11" xfId="17473" xr:uid="{00000000-0005-0000-0000-00007D790000}"/>
    <cellStyle name="Normal 3 6 26 11 2" xfId="34922" xr:uid="{00000000-0005-0000-0000-00007E790000}"/>
    <cellStyle name="Normal 3 6 26 12" xfId="17474" xr:uid="{00000000-0005-0000-0000-00007F790000}"/>
    <cellStyle name="Normal 3 6 26 12 2" xfId="34923" xr:uid="{00000000-0005-0000-0000-000080790000}"/>
    <cellStyle name="Normal 3 6 26 13" xfId="17475" xr:uid="{00000000-0005-0000-0000-000081790000}"/>
    <cellStyle name="Normal 3 6 26 13 2" xfId="34924" xr:uid="{00000000-0005-0000-0000-000082790000}"/>
    <cellStyle name="Normal 3 6 26 14" xfId="17476" xr:uid="{00000000-0005-0000-0000-000083790000}"/>
    <cellStyle name="Normal 3 6 26 14 2" xfId="34925" xr:uid="{00000000-0005-0000-0000-000084790000}"/>
    <cellStyle name="Normal 3 6 26 15" xfId="34920" xr:uid="{00000000-0005-0000-0000-000085790000}"/>
    <cellStyle name="Normal 3 6 26 2" xfId="17477" xr:uid="{00000000-0005-0000-0000-000086790000}"/>
    <cellStyle name="Normal 3 6 26 2 2" xfId="34926" xr:uid="{00000000-0005-0000-0000-000087790000}"/>
    <cellStyle name="Normal 3 6 26 3" xfId="17478" xr:uid="{00000000-0005-0000-0000-000088790000}"/>
    <cellStyle name="Normal 3 6 26 3 2" xfId="34927" xr:uid="{00000000-0005-0000-0000-000089790000}"/>
    <cellStyle name="Normal 3 6 26 4" xfId="17479" xr:uid="{00000000-0005-0000-0000-00008A790000}"/>
    <cellStyle name="Normal 3 6 26 4 2" xfId="34928" xr:uid="{00000000-0005-0000-0000-00008B790000}"/>
    <cellStyle name="Normal 3 6 26 5" xfId="17480" xr:uid="{00000000-0005-0000-0000-00008C790000}"/>
    <cellStyle name="Normal 3 6 26 5 2" xfId="34929" xr:uid="{00000000-0005-0000-0000-00008D790000}"/>
    <cellStyle name="Normal 3 6 26 6" xfId="17481" xr:uid="{00000000-0005-0000-0000-00008E790000}"/>
    <cellStyle name="Normal 3 6 26 6 2" xfId="34930" xr:uid="{00000000-0005-0000-0000-00008F790000}"/>
    <cellStyle name="Normal 3 6 26 7" xfId="17482" xr:uid="{00000000-0005-0000-0000-000090790000}"/>
    <cellStyle name="Normal 3 6 26 7 2" xfId="34931" xr:uid="{00000000-0005-0000-0000-000091790000}"/>
    <cellStyle name="Normal 3 6 26 8" xfId="17483" xr:uid="{00000000-0005-0000-0000-000092790000}"/>
    <cellStyle name="Normal 3 6 26 8 2" xfId="34932" xr:uid="{00000000-0005-0000-0000-000093790000}"/>
    <cellStyle name="Normal 3 6 26 9" xfId="17484" xr:uid="{00000000-0005-0000-0000-000094790000}"/>
    <cellStyle name="Normal 3 6 26 9 2" xfId="34933" xr:uid="{00000000-0005-0000-0000-000095790000}"/>
    <cellStyle name="Normal 3 6 3" xfId="17485" xr:uid="{00000000-0005-0000-0000-000096790000}"/>
    <cellStyle name="Normal 3 6 4" xfId="17486" xr:uid="{00000000-0005-0000-0000-000097790000}"/>
    <cellStyle name="Normal 3 6 5" xfId="17487" xr:uid="{00000000-0005-0000-0000-000098790000}"/>
    <cellStyle name="Normal 3 6 6" xfId="17488" xr:uid="{00000000-0005-0000-0000-000099790000}"/>
    <cellStyle name="Normal 3 6 7" xfId="17489" xr:uid="{00000000-0005-0000-0000-00009A790000}"/>
    <cellStyle name="Normal 3 6 8" xfId="17490" xr:uid="{00000000-0005-0000-0000-00009B790000}"/>
    <cellStyle name="Normal 3 6 9" xfId="17491" xr:uid="{00000000-0005-0000-0000-00009C790000}"/>
    <cellStyle name="Normal 3 7" xfId="17492" xr:uid="{00000000-0005-0000-0000-00009D790000}"/>
    <cellStyle name="Normal 3 7 10" xfId="17493" xr:uid="{00000000-0005-0000-0000-00009E790000}"/>
    <cellStyle name="Normal 3 7 11" xfId="17494" xr:uid="{00000000-0005-0000-0000-00009F790000}"/>
    <cellStyle name="Normal 3 7 11 10" xfId="17495" xr:uid="{00000000-0005-0000-0000-0000A0790000}"/>
    <cellStyle name="Normal 3 7 11 10 2" xfId="34935" xr:uid="{00000000-0005-0000-0000-0000A1790000}"/>
    <cellStyle name="Normal 3 7 11 11" xfId="17496" xr:uid="{00000000-0005-0000-0000-0000A2790000}"/>
    <cellStyle name="Normal 3 7 11 11 2" xfId="34936" xr:uid="{00000000-0005-0000-0000-0000A3790000}"/>
    <cellStyle name="Normal 3 7 11 12" xfId="17497" xr:uid="{00000000-0005-0000-0000-0000A4790000}"/>
    <cellStyle name="Normal 3 7 11 12 2" xfId="34937" xr:uid="{00000000-0005-0000-0000-0000A5790000}"/>
    <cellStyle name="Normal 3 7 11 13" xfId="17498" xr:uid="{00000000-0005-0000-0000-0000A6790000}"/>
    <cellStyle name="Normal 3 7 11 13 2" xfId="34938" xr:uid="{00000000-0005-0000-0000-0000A7790000}"/>
    <cellStyle name="Normal 3 7 11 14" xfId="17499" xr:uid="{00000000-0005-0000-0000-0000A8790000}"/>
    <cellStyle name="Normal 3 7 11 14 2" xfId="34939" xr:uid="{00000000-0005-0000-0000-0000A9790000}"/>
    <cellStyle name="Normal 3 7 11 15" xfId="17500" xr:uid="{00000000-0005-0000-0000-0000AA790000}"/>
    <cellStyle name="Normal 3 7 11 15 2" xfId="34940" xr:uid="{00000000-0005-0000-0000-0000AB790000}"/>
    <cellStyle name="Normal 3 7 11 16" xfId="17501" xr:uid="{00000000-0005-0000-0000-0000AC790000}"/>
    <cellStyle name="Normal 3 7 11 16 2" xfId="34941" xr:uid="{00000000-0005-0000-0000-0000AD790000}"/>
    <cellStyle name="Normal 3 7 11 17" xfId="17502" xr:uid="{00000000-0005-0000-0000-0000AE790000}"/>
    <cellStyle name="Normal 3 7 11 17 2" xfId="34942" xr:uid="{00000000-0005-0000-0000-0000AF790000}"/>
    <cellStyle name="Normal 3 7 11 18" xfId="34934" xr:uid="{00000000-0005-0000-0000-0000B0790000}"/>
    <cellStyle name="Normal 3 7 11 2" xfId="17503" xr:uid="{00000000-0005-0000-0000-0000B1790000}"/>
    <cellStyle name="Normal 3 7 11 3" xfId="17504" xr:uid="{00000000-0005-0000-0000-0000B2790000}"/>
    <cellStyle name="Normal 3 7 11 4" xfId="17505" xr:uid="{00000000-0005-0000-0000-0000B3790000}"/>
    <cellStyle name="Normal 3 7 11 5" xfId="17506" xr:uid="{00000000-0005-0000-0000-0000B4790000}"/>
    <cellStyle name="Normal 3 7 11 5 2" xfId="34943" xr:uid="{00000000-0005-0000-0000-0000B5790000}"/>
    <cellStyle name="Normal 3 7 11 6" xfId="17507" xr:uid="{00000000-0005-0000-0000-0000B6790000}"/>
    <cellStyle name="Normal 3 7 11 6 2" xfId="34944" xr:uid="{00000000-0005-0000-0000-0000B7790000}"/>
    <cellStyle name="Normal 3 7 11 7" xfId="17508" xr:uid="{00000000-0005-0000-0000-0000B8790000}"/>
    <cellStyle name="Normal 3 7 11 7 2" xfId="34945" xr:uid="{00000000-0005-0000-0000-0000B9790000}"/>
    <cellStyle name="Normal 3 7 11 8" xfId="17509" xr:uid="{00000000-0005-0000-0000-0000BA790000}"/>
    <cellStyle name="Normal 3 7 11 8 2" xfId="34946" xr:uid="{00000000-0005-0000-0000-0000BB790000}"/>
    <cellStyle name="Normal 3 7 11 9" xfId="17510" xr:uid="{00000000-0005-0000-0000-0000BC790000}"/>
    <cellStyle name="Normal 3 7 11 9 2" xfId="34947" xr:uid="{00000000-0005-0000-0000-0000BD790000}"/>
    <cellStyle name="Normal 3 7 12" xfId="17511" xr:uid="{00000000-0005-0000-0000-0000BE790000}"/>
    <cellStyle name="Normal 3 7 13" xfId="17512" xr:uid="{00000000-0005-0000-0000-0000BF790000}"/>
    <cellStyle name="Normal 3 7 14" xfId="17513" xr:uid="{00000000-0005-0000-0000-0000C0790000}"/>
    <cellStyle name="Normal 3 7 14 10" xfId="17514" xr:uid="{00000000-0005-0000-0000-0000C1790000}"/>
    <cellStyle name="Normal 3 7 14 10 2" xfId="34949" xr:uid="{00000000-0005-0000-0000-0000C2790000}"/>
    <cellStyle name="Normal 3 7 14 11" xfId="17515" xr:uid="{00000000-0005-0000-0000-0000C3790000}"/>
    <cellStyle name="Normal 3 7 14 11 2" xfId="34950" xr:uid="{00000000-0005-0000-0000-0000C4790000}"/>
    <cellStyle name="Normal 3 7 14 12" xfId="17516" xr:uid="{00000000-0005-0000-0000-0000C5790000}"/>
    <cellStyle name="Normal 3 7 14 12 2" xfId="34951" xr:uid="{00000000-0005-0000-0000-0000C6790000}"/>
    <cellStyle name="Normal 3 7 14 13" xfId="17517" xr:uid="{00000000-0005-0000-0000-0000C7790000}"/>
    <cellStyle name="Normal 3 7 14 13 2" xfId="34952" xr:uid="{00000000-0005-0000-0000-0000C8790000}"/>
    <cellStyle name="Normal 3 7 14 14" xfId="17518" xr:uid="{00000000-0005-0000-0000-0000C9790000}"/>
    <cellStyle name="Normal 3 7 14 14 2" xfId="34953" xr:uid="{00000000-0005-0000-0000-0000CA790000}"/>
    <cellStyle name="Normal 3 7 14 15" xfId="17519" xr:uid="{00000000-0005-0000-0000-0000CB790000}"/>
    <cellStyle name="Normal 3 7 14 15 2" xfId="34954" xr:uid="{00000000-0005-0000-0000-0000CC790000}"/>
    <cellStyle name="Normal 3 7 14 16" xfId="34948" xr:uid="{00000000-0005-0000-0000-0000CD790000}"/>
    <cellStyle name="Normal 3 7 14 2" xfId="17520" xr:uid="{00000000-0005-0000-0000-0000CE790000}"/>
    <cellStyle name="Normal 3 7 14 2 10" xfId="17521" xr:uid="{00000000-0005-0000-0000-0000CF790000}"/>
    <cellStyle name="Normal 3 7 14 2 10 2" xfId="34956" xr:uid="{00000000-0005-0000-0000-0000D0790000}"/>
    <cellStyle name="Normal 3 7 14 2 11" xfId="17522" xr:uid="{00000000-0005-0000-0000-0000D1790000}"/>
    <cellStyle name="Normal 3 7 14 2 11 2" xfId="34957" xr:uid="{00000000-0005-0000-0000-0000D2790000}"/>
    <cellStyle name="Normal 3 7 14 2 12" xfId="17523" xr:uid="{00000000-0005-0000-0000-0000D3790000}"/>
    <cellStyle name="Normal 3 7 14 2 12 2" xfId="34958" xr:uid="{00000000-0005-0000-0000-0000D4790000}"/>
    <cellStyle name="Normal 3 7 14 2 13" xfId="17524" xr:uid="{00000000-0005-0000-0000-0000D5790000}"/>
    <cellStyle name="Normal 3 7 14 2 13 2" xfId="34959" xr:uid="{00000000-0005-0000-0000-0000D6790000}"/>
    <cellStyle name="Normal 3 7 14 2 14" xfId="17525" xr:uid="{00000000-0005-0000-0000-0000D7790000}"/>
    <cellStyle name="Normal 3 7 14 2 14 2" xfId="34960" xr:uid="{00000000-0005-0000-0000-0000D8790000}"/>
    <cellStyle name="Normal 3 7 14 2 15" xfId="34955" xr:uid="{00000000-0005-0000-0000-0000D9790000}"/>
    <cellStyle name="Normal 3 7 14 2 2" xfId="17526" xr:uid="{00000000-0005-0000-0000-0000DA790000}"/>
    <cellStyle name="Normal 3 7 14 2 2 2" xfId="34961" xr:uid="{00000000-0005-0000-0000-0000DB790000}"/>
    <cellStyle name="Normal 3 7 14 2 3" xfId="17527" xr:uid="{00000000-0005-0000-0000-0000DC790000}"/>
    <cellStyle name="Normal 3 7 14 2 3 2" xfId="34962" xr:uid="{00000000-0005-0000-0000-0000DD790000}"/>
    <cellStyle name="Normal 3 7 14 2 4" xfId="17528" xr:uid="{00000000-0005-0000-0000-0000DE790000}"/>
    <cellStyle name="Normal 3 7 14 2 4 2" xfId="34963" xr:uid="{00000000-0005-0000-0000-0000DF790000}"/>
    <cellStyle name="Normal 3 7 14 2 5" xfId="17529" xr:uid="{00000000-0005-0000-0000-0000E0790000}"/>
    <cellStyle name="Normal 3 7 14 2 5 2" xfId="34964" xr:uid="{00000000-0005-0000-0000-0000E1790000}"/>
    <cellStyle name="Normal 3 7 14 2 6" xfId="17530" xr:uid="{00000000-0005-0000-0000-0000E2790000}"/>
    <cellStyle name="Normal 3 7 14 2 6 2" xfId="34965" xr:uid="{00000000-0005-0000-0000-0000E3790000}"/>
    <cellStyle name="Normal 3 7 14 2 7" xfId="17531" xr:uid="{00000000-0005-0000-0000-0000E4790000}"/>
    <cellStyle name="Normal 3 7 14 2 7 2" xfId="34966" xr:uid="{00000000-0005-0000-0000-0000E5790000}"/>
    <cellStyle name="Normal 3 7 14 2 8" xfId="17532" xr:uid="{00000000-0005-0000-0000-0000E6790000}"/>
    <cellStyle name="Normal 3 7 14 2 8 2" xfId="34967" xr:uid="{00000000-0005-0000-0000-0000E7790000}"/>
    <cellStyle name="Normal 3 7 14 2 9" xfId="17533" xr:uid="{00000000-0005-0000-0000-0000E8790000}"/>
    <cellStyle name="Normal 3 7 14 2 9 2" xfId="34968" xr:uid="{00000000-0005-0000-0000-0000E9790000}"/>
    <cellStyle name="Normal 3 7 14 3" xfId="17534" xr:uid="{00000000-0005-0000-0000-0000EA790000}"/>
    <cellStyle name="Normal 3 7 14 3 2" xfId="34969" xr:uid="{00000000-0005-0000-0000-0000EB790000}"/>
    <cellStyle name="Normal 3 7 14 4" xfId="17535" xr:uid="{00000000-0005-0000-0000-0000EC790000}"/>
    <cellStyle name="Normal 3 7 14 4 2" xfId="34970" xr:uid="{00000000-0005-0000-0000-0000ED790000}"/>
    <cellStyle name="Normal 3 7 14 5" xfId="17536" xr:uid="{00000000-0005-0000-0000-0000EE790000}"/>
    <cellStyle name="Normal 3 7 14 5 2" xfId="34971" xr:uid="{00000000-0005-0000-0000-0000EF790000}"/>
    <cellStyle name="Normal 3 7 14 6" xfId="17537" xr:uid="{00000000-0005-0000-0000-0000F0790000}"/>
    <cellStyle name="Normal 3 7 14 6 2" xfId="34972" xr:uid="{00000000-0005-0000-0000-0000F1790000}"/>
    <cellStyle name="Normal 3 7 14 7" xfId="17538" xr:uid="{00000000-0005-0000-0000-0000F2790000}"/>
    <cellStyle name="Normal 3 7 14 7 2" xfId="34973" xr:uid="{00000000-0005-0000-0000-0000F3790000}"/>
    <cellStyle name="Normal 3 7 14 8" xfId="17539" xr:uid="{00000000-0005-0000-0000-0000F4790000}"/>
    <cellStyle name="Normal 3 7 14 8 2" xfId="34974" xr:uid="{00000000-0005-0000-0000-0000F5790000}"/>
    <cellStyle name="Normal 3 7 14 9" xfId="17540" xr:uid="{00000000-0005-0000-0000-0000F6790000}"/>
    <cellStyle name="Normal 3 7 14 9 2" xfId="34975" xr:uid="{00000000-0005-0000-0000-0000F7790000}"/>
    <cellStyle name="Normal 3 7 15" xfId="17541" xr:uid="{00000000-0005-0000-0000-0000F8790000}"/>
    <cellStyle name="Normal 3 7 15 10" xfId="17542" xr:uid="{00000000-0005-0000-0000-0000F9790000}"/>
    <cellStyle name="Normal 3 7 15 10 2" xfId="34977" xr:uid="{00000000-0005-0000-0000-0000FA790000}"/>
    <cellStyle name="Normal 3 7 15 11" xfId="17543" xr:uid="{00000000-0005-0000-0000-0000FB790000}"/>
    <cellStyle name="Normal 3 7 15 11 2" xfId="34978" xr:uid="{00000000-0005-0000-0000-0000FC790000}"/>
    <cellStyle name="Normal 3 7 15 12" xfId="17544" xr:uid="{00000000-0005-0000-0000-0000FD790000}"/>
    <cellStyle name="Normal 3 7 15 12 2" xfId="34979" xr:uid="{00000000-0005-0000-0000-0000FE790000}"/>
    <cellStyle name="Normal 3 7 15 13" xfId="17545" xr:uid="{00000000-0005-0000-0000-0000FF790000}"/>
    <cellStyle name="Normal 3 7 15 13 2" xfId="34980" xr:uid="{00000000-0005-0000-0000-0000007A0000}"/>
    <cellStyle name="Normal 3 7 15 14" xfId="17546" xr:uid="{00000000-0005-0000-0000-0000017A0000}"/>
    <cellStyle name="Normal 3 7 15 14 2" xfId="34981" xr:uid="{00000000-0005-0000-0000-0000027A0000}"/>
    <cellStyle name="Normal 3 7 15 15" xfId="17547" xr:uid="{00000000-0005-0000-0000-0000037A0000}"/>
    <cellStyle name="Normal 3 7 15 15 2" xfId="34982" xr:uid="{00000000-0005-0000-0000-0000047A0000}"/>
    <cellStyle name="Normal 3 7 15 16" xfId="34976" xr:uid="{00000000-0005-0000-0000-0000057A0000}"/>
    <cellStyle name="Normal 3 7 15 2" xfId="17548" xr:uid="{00000000-0005-0000-0000-0000067A0000}"/>
    <cellStyle name="Normal 3 7 15 2 10" xfId="17549" xr:uid="{00000000-0005-0000-0000-0000077A0000}"/>
    <cellStyle name="Normal 3 7 15 2 10 2" xfId="34984" xr:uid="{00000000-0005-0000-0000-0000087A0000}"/>
    <cellStyle name="Normal 3 7 15 2 11" xfId="17550" xr:uid="{00000000-0005-0000-0000-0000097A0000}"/>
    <cellStyle name="Normal 3 7 15 2 11 2" xfId="34985" xr:uid="{00000000-0005-0000-0000-00000A7A0000}"/>
    <cellStyle name="Normal 3 7 15 2 12" xfId="17551" xr:uid="{00000000-0005-0000-0000-00000B7A0000}"/>
    <cellStyle name="Normal 3 7 15 2 12 2" xfId="34986" xr:uid="{00000000-0005-0000-0000-00000C7A0000}"/>
    <cellStyle name="Normal 3 7 15 2 13" xfId="17552" xr:uid="{00000000-0005-0000-0000-00000D7A0000}"/>
    <cellStyle name="Normal 3 7 15 2 13 2" xfId="34987" xr:uid="{00000000-0005-0000-0000-00000E7A0000}"/>
    <cellStyle name="Normal 3 7 15 2 14" xfId="17553" xr:uid="{00000000-0005-0000-0000-00000F7A0000}"/>
    <cellStyle name="Normal 3 7 15 2 14 2" xfId="34988" xr:uid="{00000000-0005-0000-0000-0000107A0000}"/>
    <cellStyle name="Normal 3 7 15 2 15" xfId="34983" xr:uid="{00000000-0005-0000-0000-0000117A0000}"/>
    <cellStyle name="Normal 3 7 15 2 2" xfId="17554" xr:uid="{00000000-0005-0000-0000-0000127A0000}"/>
    <cellStyle name="Normal 3 7 15 2 2 2" xfId="34989" xr:uid="{00000000-0005-0000-0000-0000137A0000}"/>
    <cellStyle name="Normal 3 7 15 2 3" xfId="17555" xr:uid="{00000000-0005-0000-0000-0000147A0000}"/>
    <cellStyle name="Normal 3 7 15 2 3 2" xfId="34990" xr:uid="{00000000-0005-0000-0000-0000157A0000}"/>
    <cellStyle name="Normal 3 7 15 2 4" xfId="17556" xr:uid="{00000000-0005-0000-0000-0000167A0000}"/>
    <cellStyle name="Normal 3 7 15 2 4 2" xfId="34991" xr:uid="{00000000-0005-0000-0000-0000177A0000}"/>
    <cellStyle name="Normal 3 7 15 2 5" xfId="17557" xr:uid="{00000000-0005-0000-0000-0000187A0000}"/>
    <cellStyle name="Normal 3 7 15 2 5 2" xfId="34992" xr:uid="{00000000-0005-0000-0000-0000197A0000}"/>
    <cellStyle name="Normal 3 7 15 2 6" xfId="17558" xr:uid="{00000000-0005-0000-0000-00001A7A0000}"/>
    <cellStyle name="Normal 3 7 15 2 6 2" xfId="34993" xr:uid="{00000000-0005-0000-0000-00001B7A0000}"/>
    <cellStyle name="Normal 3 7 15 2 7" xfId="17559" xr:uid="{00000000-0005-0000-0000-00001C7A0000}"/>
    <cellStyle name="Normal 3 7 15 2 7 2" xfId="34994" xr:uid="{00000000-0005-0000-0000-00001D7A0000}"/>
    <cellStyle name="Normal 3 7 15 2 8" xfId="17560" xr:uid="{00000000-0005-0000-0000-00001E7A0000}"/>
    <cellStyle name="Normal 3 7 15 2 8 2" xfId="34995" xr:uid="{00000000-0005-0000-0000-00001F7A0000}"/>
    <cellStyle name="Normal 3 7 15 2 9" xfId="17561" xr:uid="{00000000-0005-0000-0000-0000207A0000}"/>
    <cellStyle name="Normal 3 7 15 2 9 2" xfId="34996" xr:uid="{00000000-0005-0000-0000-0000217A0000}"/>
    <cellStyle name="Normal 3 7 15 3" xfId="17562" xr:uid="{00000000-0005-0000-0000-0000227A0000}"/>
    <cellStyle name="Normal 3 7 15 3 2" xfId="34997" xr:uid="{00000000-0005-0000-0000-0000237A0000}"/>
    <cellStyle name="Normal 3 7 15 4" xfId="17563" xr:uid="{00000000-0005-0000-0000-0000247A0000}"/>
    <cellStyle name="Normal 3 7 15 4 2" xfId="34998" xr:uid="{00000000-0005-0000-0000-0000257A0000}"/>
    <cellStyle name="Normal 3 7 15 5" xfId="17564" xr:uid="{00000000-0005-0000-0000-0000267A0000}"/>
    <cellStyle name="Normal 3 7 15 5 2" xfId="34999" xr:uid="{00000000-0005-0000-0000-0000277A0000}"/>
    <cellStyle name="Normal 3 7 15 6" xfId="17565" xr:uid="{00000000-0005-0000-0000-0000287A0000}"/>
    <cellStyle name="Normal 3 7 15 6 2" xfId="35000" xr:uid="{00000000-0005-0000-0000-0000297A0000}"/>
    <cellStyle name="Normal 3 7 15 7" xfId="17566" xr:uid="{00000000-0005-0000-0000-00002A7A0000}"/>
    <cellStyle name="Normal 3 7 15 7 2" xfId="35001" xr:uid="{00000000-0005-0000-0000-00002B7A0000}"/>
    <cellStyle name="Normal 3 7 15 8" xfId="17567" xr:uid="{00000000-0005-0000-0000-00002C7A0000}"/>
    <cellStyle name="Normal 3 7 15 8 2" xfId="35002" xr:uid="{00000000-0005-0000-0000-00002D7A0000}"/>
    <cellStyle name="Normal 3 7 15 9" xfId="17568" xr:uid="{00000000-0005-0000-0000-00002E7A0000}"/>
    <cellStyle name="Normal 3 7 15 9 2" xfId="35003" xr:uid="{00000000-0005-0000-0000-00002F7A0000}"/>
    <cellStyle name="Normal 3 7 16" xfId="17569" xr:uid="{00000000-0005-0000-0000-0000307A0000}"/>
    <cellStyle name="Normal 3 7 16 10" xfId="17570" xr:uid="{00000000-0005-0000-0000-0000317A0000}"/>
    <cellStyle name="Normal 3 7 16 10 2" xfId="35005" xr:uid="{00000000-0005-0000-0000-0000327A0000}"/>
    <cellStyle name="Normal 3 7 16 11" xfId="17571" xr:uid="{00000000-0005-0000-0000-0000337A0000}"/>
    <cellStyle name="Normal 3 7 16 11 2" xfId="35006" xr:uid="{00000000-0005-0000-0000-0000347A0000}"/>
    <cellStyle name="Normal 3 7 16 12" xfId="17572" xr:uid="{00000000-0005-0000-0000-0000357A0000}"/>
    <cellStyle name="Normal 3 7 16 12 2" xfId="35007" xr:uid="{00000000-0005-0000-0000-0000367A0000}"/>
    <cellStyle name="Normal 3 7 16 13" xfId="17573" xr:uid="{00000000-0005-0000-0000-0000377A0000}"/>
    <cellStyle name="Normal 3 7 16 13 2" xfId="35008" xr:uid="{00000000-0005-0000-0000-0000387A0000}"/>
    <cellStyle name="Normal 3 7 16 14" xfId="17574" xr:uid="{00000000-0005-0000-0000-0000397A0000}"/>
    <cellStyle name="Normal 3 7 16 14 2" xfId="35009" xr:uid="{00000000-0005-0000-0000-00003A7A0000}"/>
    <cellStyle name="Normal 3 7 16 15" xfId="17575" xr:uid="{00000000-0005-0000-0000-00003B7A0000}"/>
    <cellStyle name="Normal 3 7 16 15 2" xfId="35010" xr:uid="{00000000-0005-0000-0000-00003C7A0000}"/>
    <cellStyle name="Normal 3 7 16 16" xfId="35004" xr:uid="{00000000-0005-0000-0000-00003D7A0000}"/>
    <cellStyle name="Normal 3 7 16 2" xfId="17576" xr:uid="{00000000-0005-0000-0000-00003E7A0000}"/>
    <cellStyle name="Normal 3 7 16 2 10" xfId="17577" xr:uid="{00000000-0005-0000-0000-00003F7A0000}"/>
    <cellStyle name="Normal 3 7 16 2 10 2" xfId="35012" xr:uid="{00000000-0005-0000-0000-0000407A0000}"/>
    <cellStyle name="Normal 3 7 16 2 11" xfId="17578" xr:uid="{00000000-0005-0000-0000-0000417A0000}"/>
    <cellStyle name="Normal 3 7 16 2 11 2" xfId="35013" xr:uid="{00000000-0005-0000-0000-0000427A0000}"/>
    <cellStyle name="Normal 3 7 16 2 12" xfId="17579" xr:uid="{00000000-0005-0000-0000-0000437A0000}"/>
    <cellStyle name="Normal 3 7 16 2 12 2" xfId="35014" xr:uid="{00000000-0005-0000-0000-0000447A0000}"/>
    <cellStyle name="Normal 3 7 16 2 13" xfId="17580" xr:uid="{00000000-0005-0000-0000-0000457A0000}"/>
    <cellStyle name="Normal 3 7 16 2 13 2" xfId="35015" xr:uid="{00000000-0005-0000-0000-0000467A0000}"/>
    <cellStyle name="Normal 3 7 16 2 14" xfId="17581" xr:uid="{00000000-0005-0000-0000-0000477A0000}"/>
    <cellStyle name="Normal 3 7 16 2 14 2" xfId="35016" xr:uid="{00000000-0005-0000-0000-0000487A0000}"/>
    <cellStyle name="Normal 3 7 16 2 15" xfId="35011" xr:uid="{00000000-0005-0000-0000-0000497A0000}"/>
    <cellStyle name="Normal 3 7 16 2 2" xfId="17582" xr:uid="{00000000-0005-0000-0000-00004A7A0000}"/>
    <cellStyle name="Normal 3 7 16 2 2 2" xfId="35017" xr:uid="{00000000-0005-0000-0000-00004B7A0000}"/>
    <cellStyle name="Normal 3 7 16 2 3" xfId="17583" xr:uid="{00000000-0005-0000-0000-00004C7A0000}"/>
    <cellStyle name="Normal 3 7 16 2 3 2" xfId="35018" xr:uid="{00000000-0005-0000-0000-00004D7A0000}"/>
    <cellStyle name="Normal 3 7 16 2 4" xfId="17584" xr:uid="{00000000-0005-0000-0000-00004E7A0000}"/>
    <cellStyle name="Normal 3 7 16 2 4 2" xfId="35019" xr:uid="{00000000-0005-0000-0000-00004F7A0000}"/>
    <cellStyle name="Normal 3 7 16 2 5" xfId="17585" xr:uid="{00000000-0005-0000-0000-0000507A0000}"/>
    <cellStyle name="Normal 3 7 16 2 5 2" xfId="35020" xr:uid="{00000000-0005-0000-0000-0000517A0000}"/>
    <cellStyle name="Normal 3 7 16 2 6" xfId="17586" xr:uid="{00000000-0005-0000-0000-0000527A0000}"/>
    <cellStyle name="Normal 3 7 16 2 6 2" xfId="35021" xr:uid="{00000000-0005-0000-0000-0000537A0000}"/>
    <cellStyle name="Normal 3 7 16 2 7" xfId="17587" xr:uid="{00000000-0005-0000-0000-0000547A0000}"/>
    <cellStyle name="Normal 3 7 16 2 7 2" xfId="35022" xr:uid="{00000000-0005-0000-0000-0000557A0000}"/>
    <cellStyle name="Normal 3 7 16 2 8" xfId="17588" xr:uid="{00000000-0005-0000-0000-0000567A0000}"/>
    <cellStyle name="Normal 3 7 16 2 8 2" xfId="35023" xr:uid="{00000000-0005-0000-0000-0000577A0000}"/>
    <cellStyle name="Normal 3 7 16 2 9" xfId="17589" xr:uid="{00000000-0005-0000-0000-0000587A0000}"/>
    <cellStyle name="Normal 3 7 16 2 9 2" xfId="35024" xr:uid="{00000000-0005-0000-0000-0000597A0000}"/>
    <cellStyle name="Normal 3 7 16 3" xfId="17590" xr:uid="{00000000-0005-0000-0000-00005A7A0000}"/>
    <cellStyle name="Normal 3 7 16 3 2" xfId="35025" xr:uid="{00000000-0005-0000-0000-00005B7A0000}"/>
    <cellStyle name="Normal 3 7 16 4" xfId="17591" xr:uid="{00000000-0005-0000-0000-00005C7A0000}"/>
    <cellStyle name="Normal 3 7 16 4 2" xfId="35026" xr:uid="{00000000-0005-0000-0000-00005D7A0000}"/>
    <cellStyle name="Normal 3 7 16 5" xfId="17592" xr:uid="{00000000-0005-0000-0000-00005E7A0000}"/>
    <cellStyle name="Normal 3 7 16 5 2" xfId="35027" xr:uid="{00000000-0005-0000-0000-00005F7A0000}"/>
    <cellStyle name="Normal 3 7 16 6" xfId="17593" xr:uid="{00000000-0005-0000-0000-0000607A0000}"/>
    <cellStyle name="Normal 3 7 16 6 2" xfId="35028" xr:uid="{00000000-0005-0000-0000-0000617A0000}"/>
    <cellStyle name="Normal 3 7 16 7" xfId="17594" xr:uid="{00000000-0005-0000-0000-0000627A0000}"/>
    <cellStyle name="Normal 3 7 16 7 2" xfId="35029" xr:uid="{00000000-0005-0000-0000-0000637A0000}"/>
    <cellStyle name="Normal 3 7 16 8" xfId="17595" xr:uid="{00000000-0005-0000-0000-0000647A0000}"/>
    <cellStyle name="Normal 3 7 16 8 2" xfId="35030" xr:uid="{00000000-0005-0000-0000-0000657A0000}"/>
    <cellStyle name="Normal 3 7 16 9" xfId="17596" xr:uid="{00000000-0005-0000-0000-0000667A0000}"/>
    <cellStyle name="Normal 3 7 16 9 2" xfId="35031" xr:uid="{00000000-0005-0000-0000-0000677A0000}"/>
    <cellStyle name="Normal 3 7 17" xfId="17597" xr:uid="{00000000-0005-0000-0000-0000687A0000}"/>
    <cellStyle name="Normal 3 7 17 10" xfId="17598" xr:uid="{00000000-0005-0000-0000-0000697A0000}"/>
    <cellStyle name="Normal 3 7 17 10 2" xfId="35033" xr:uid="{00000000-0005-0000-0000-00006A7A0000}"/>
    <cellStyle name="Normal 3 7 17 11" xfId="17599" xr:uid="{00000000-0005-0000-0000-00006B7A0000}"/>
    <cellStyle name="Normal 3 7 17 11 2" xfId="35034" xr:uid="{00000000-0005-0000-0000-00006C7A0000}"/>
    <cellStyle name="Normal 3 7 17 12" xfId="17600" xr:uid="{00000000-0005-0000-0000-00006D7A0000}"/>
    <cellStyle name="Normal 3 7 17 12 2" xfId="35035" xr:uid="{00000000-0005-0000-0000-00006E7A0000}"/>
    <cellStyle name="Normal 3 7 17 13" xfId="17601" xr:uid="{00000000-0005-0000-0000-00006F7A0000}"/>
    <cellStyle name="Normal 3 7 17 13 2" xfId="35036" xr:uid="{00000000-0005-0000-0000-0000707A0000}"/>
    <cellStyle name="Normal 3 7 17 14" xfId="17602" xr:uid="{00000000-0005-0000-0000-0000717A0000}"/>
    <cellStyle name="Normal 3 7 17 14 2" xfId="35037" xr:uid="{00000000-0005-0000-0000-0000727A0000}"/>
    <cellStyle name="Normal 3 7 17 15" xfId="35032" xr:uid="{00000000-0005-0000-0000-0000737A0000}"/>
    <cellStyle name="Normal 3 7 17 2" xfId="17603" xr:uid="{00000000-0005-0000-0000-0000747A0000}"/>
    <cellStyle name="Normal 3 7 17 2 2" xfId="35038" xr:uid="{00000000-0005-0000-0000-0000757A0000}"/>
    <cellStyle name="Normal 3 7 17 3" xfId="17604" xr:uid="{00000000-0005-0000-0000-0000767A0000}"/>
    <cellStyle name="Normal 3 7 17 3 2" xfId="35039" xr:uid="{00000000-0005-0000-0000-0000777A0000}"/>
    <cellStyle name="Normal 3 7 17 4" xfId="17605" xr:uid="{00000000-0005-0000-0000-0000787A0000}"/>
    <cellStyle name="Normal 3 7 17 4 2" xfId="35040" xr:uid="{00000000-0005-0000-0000-0000797A0000}"/>
    <cellStyle name="Normal 3 7 17 5" xfId="17606" xr:uid="{00000000-0005-0000-0000-00007A7A0000}"/>
    <cellStyle name="Normal 3 7 17 5 2" xfId="35041" xr:uid="{00000000-0005-0000-0000-00007B7A0000}"/>
    <cellStyle name="Normal 3 7 17 6" xfId="17607" xr:uid="{00000000-0005-0000-0000-00007C7A0000}"/>
    <cellStyle name="Normal 3 7 17 6 2" xfId="35042" xr:uid="{00000000-0005-0000-0000-00007D7A0000}"/>
    <cellStyle name="Normal 3 7 17 7" xfId="17608" xr:uid="{00000000-0005-0000-0000-00007E7A0000}"/>
    <cellStyle name="Normal 3 7 17 7 2" xfId="35043" xr:uid="{00000000-0005-0000-0000-00007F7A0000}"/>
    <cellStyle name="Normal 3 7 17 8" xfId="17609" xr:uid="{00000000-0005-0000-0000-0000807A0000}"/>
    <cellStyle name="Normal 3 7 17 8 2" xfId="35044" xr:uid="{00000000-0005-0000-0000-0000817A0000}"/>
    <cellStyle name="Normal 3 7 17 9" xfId="17610" xr:uid="{00000000-0005-0000-0000-0000827A0000}"/>
    <cellStyle name="Normal 3 7 17 9 2" xfId="35045" xr:uid="{00000000-0005-0000-0000-0000837A0000}"/>
    <cellStyle name="Normal 3 7 18" xfId="17611" xr:uid="{00000000-0005-0000-0000-0000847A0000}"/>
    <cellStyle name="Normal 3 7 18 10" xfId="17612" xr:uid="{00000000-0005-0000-0000-0000857A0000}"/>
    <cellStyle name="Normal 3 7 18 10 2" xfId="35047" xr:uid="{00000000-0005-0000-0000-0000867A0000}"/>
    <cellStyle name="Normal 3 7 18 11" xfId="17613" xr:uid="{00000000-0005-0000-0000-0000877A0000}"/>
    <cellStyle name="Normal 3 7 18 11 2" xfId="35048" xr:uid="{00000000-0005-0000-0000-0000887A0000}"/>
    <cellStyle name="Normal 3 7 18 12" xfId="17614" xr:uid="{00000000-0005-0000-0000-0000897A0000}"/>
    <cellStyle name="Normal 3 7 18 12 2" xfId="35049" xr:uid="{00000000-0005-0000-0000-00008A7A0000}"/>
    <cellStyle name="Normal 3 7 18 13" xfId="17615" xr:uid="{00000000-0005-0000-0000-00008B7A0000}"/>
    <cellStyle name="Normal 3 7 18 13 2" xfId="35050" xr:uid="{00000000-0005-0000-0000-00008C7A0000}"/>
    <cellStyle name="Normal 3 7 18 14" xfId="17616" xr:uid="{00000000-0005-0000-0000-00008D7A0000}"/>
    <cellStyle name="Normal 3 7 18 14 2" xfId="35051" xr:uid="{00000000-0005-0000-0000-00008E7A0000}"/>
    <cellStyle name="Normal 3 7 18 15" xfId="35046" xr:uid="{00000000-0005-0000-0000-00008F7A0000}"/>
    <cellStyle name="Normal 3 7 18 2" xfId="17617" xr:uid="{00000000-0005-0000-0000-0000907A0000}"/>
    <cellStyle name="Normal 3 7 18 2 2" xfId="35052" xr:uid="{00000000-0005-0000-0000-0000917A0000}"/>
    <cellStyle name="Normal 3 7 18 3" xfId="17618" xr:uid="{00000000-0005-0000-0000-0000927A0000}"/>
    <cellStyle name="Normal 3 7 18 3 2" xfId="35053" xr:uid="{00000000-0005-0000-0000-0000937A0000}"/>
    <cellStyle name="Normal 3 7 18 4" xfId="17619" xr:uid="{00000000-0005-0000-0000-0000947A0000}"/>
    <cellStyle name="Normal 3 7 18 4 2" xfId="35054" xr:uid="{00000000-0005-0000-0000-0000957A0000}"/>
    <cellStyle name="Normal 3 7 18 5" xfId="17620" xr:uid="{00000000-0005-0000-0000-0000967A0000}"/>
    <cellStyle name="Normal 3 7 18 5 2" xfId="35055" xr:uid="{00000000-0005-0000-0000-0000977A0000}"/>
    <cellStyle name="Normal 3 7 18 6" xfId="17621" xr:uid="{00000000-0005-0000-0000-0000987A0000}"/>
    <cellStyle name="Normal 3 7 18 6 2" xfId="35056" xr:uid="{00000000-0005-0000-0000-0000997A0000}"/>
    <cellStyle name="Normal 3 7 18 7" xfId="17622" xr:uid="{00000000-0005-0000-0000-00009A7A0000}"/>
    <cellStyle name="Normal 3 7 18 7 2" xfId="35057" xr:uid="{00000000-0005-0000-0000-00009B7A0000}"/>
    <cellStyle name="Normal 3 7 18 8" xfId="17623" xr:uid="{00000000-0005-0000-0000-00009C7A0000}"/>
    <cellStyle name="Normal 3 7 18 8 2" xfId="35058" xr:uid="{00000000-0005-0000-0000-00009D7A0000}"/>
    <cellStyle name="Normal 3 7 18 9" xfId="17624" xr:uid="{00000000-0005-0000-0000-00009E7A0000}"/>
    <cellStyle name="Normal 3 7 18 9 2" xfId="35059" xr:uid="{00000000-0005-0000-0000-00009F7A0000}"/>
    <cellStyle name="Normal 3 7 19" xfId="17625" xr:uid="{00000000-0005-0000-0000-0000A07A0000}"/>
    <cellStyle name="Normal 3 7 19 10" xfId="17626" xr:uid="{00000000-0005-0000-0000-0000A17A0000}"/>
    <cellStyle name="Normal 3 7 19 10 2" xfId="35061" xr:uid="{00000000-0005-0000-0000-0000A27A0000}"/>
    <cellStyle name="Normal 3 7 19 11" xfId="17627" xr:uid="{00000000-0005-0000-0000-0000A37A0000}"/>
    <cellStyle name="Normal 3 7 19 11 2" xfId="35062" xr:uid="{00000000-0005-0000-0000-0000A47A0000}"/>
    <cellStyle name="Normal 3 7 19 12" xfId="17628" xr:uid="{00000000-0005-0000-0000-0000A57A0000}"/>
    <cellStyle name="Normal 3 7 19 12 2" xfId="35063" xr:uid="{00000000-0005-0000-0000-0000A67A0000}"/>
    <cellStyle name="Normal 3 7 19 13" xfId="17629" xr:uid="{00000000-0005-0000-0000-0000A77A0000}"/>
    <cellStyle name="Normal 3 7 19 13 2" xfId="35064" xr:uid="{00000000-0005-0000-0000-0000A87A0000}"/>
    <cellStyle name="Normal 3 7 19 14" xfId="17630" xr:uid="{00000000-0005-0000-0000-0000A97A0000}"/>
    <cellStyle name="Normal 3 7 19 14 2" xfId="35065" xr:uid="{00000000-0005-0000-0000-0000AA7A0000}"/>
    <cellStyle name="Normal 3 7 19 15" xfId="35060" xr:uid="{00000000-0005-0000-0000-0000AB7A0000}"/>
    <cellStyle name="Normal 3 7 19 2" xfId="17631" xr:uid="{00000000-0005-0000-0000-0000AC7A0000}"/>
    <cellStyle name="Normal 3 7 19 2 2" xfId="35066" xr:uid="{00000000-0005-0000-0000-0000AD7A0000}"/>
    <cellStyle name="Normal 3 7 19 3" xfId="17632" xr:uid="{00000000-0005-0000-0000-0000AE7A0000}"/>
    <cellStyle name="Normal 3 7 19 3 2" xfId="35067" xr:uid="{00000000-0005-0000-0000-0000AF7A0000}"/>
    <cellStyle name="Normal 3 7 19 4" xfId="17633" xr:uid="{00000000-0005-0000-0000-0000B07A0000}"/>
    <cellStyle name="Normal 3 7 19 4 2" xfId="35068" xr:uid="{00000000-0005-0000-0000-0000B17A0000}"/>
    <cellStyle name="Normal 3 7 19 5" xfId="17634" xr:uid="{00000000-0005-0000-0000-0000B27A0000}"/>
    <cellStyle name="Normal 3 7 19 5 2" xfId="35069" xr:uid="{00000000-0005-0000-0000-0000B37A0000}"/>
    <cellStyle name="Normal 3 7 19 6" xfId="17635" xr:uid="{00000000-0005-0000-0000-0000B47A0000}"/>
    <cellStyle name="Normal 3 7 19 6 2" xfId="35070" xr:uid="{00000000-0005-0000-0000-0000B57A0000}"/>
    <cellStyle name="Normal 3 7 19 7" xfId="17636" xr:uid="{00000000-0005-0000-0000-0000B67A0000}"/>
    <cellStyle name="Normal 3 7 19 7 2" xfId="35071" xr:uid="{00000000-0005-0000-0000-0000B77A0000}"/>
    <cellStyle name="Normal 3 7 19 8" xfId="17637" xr:uid="{00000000-0005-0000-0000-0000B87A0000}"/>
    <cellStyle name="Normal 3 7 19 8 2" xfId="35072" xr:uid="{00000000-0005-0000-0000-0000B97A0000}"/>
    <cellStyle name="Normal 3 7 19 9" xfId="17638" xr:uid="{00000000-0005-0000-0000-0000BA7A0000}"/>
    <cellStyle name="Normal 3 7 19 9 2" xfId="35073" xr:uid="{00000000-0005-0000-0000-0000BB7A0000}"/>
    <cellStyle name="Normal 3 7 2" xfId="17639" xr:uid="{00000000-0005-0000-0000-0000BC7A0000}"/>
    <cellStyle name="Normal 3 7 20" xfId="17640" xr:uid="{00000000-0005-0000-0000-0000BD7A0000}"/>
    <cellStyle name="Normal 3 7 20 10" xfId="17641" xr:uid="{00000000-0005-0000-0000-0000BE7A0000}"/>
    <cellStyle name="Normal 3 7 20 10 2" xfId="35075" xr:uid="{00000000-0005-0000-0000-0000BF7A0000}"/>
    <cellStyle name="Normal 3 7 20 11" xfId="17642" xr:uid="{00000000-0005-0000-0000-0000C07A0000}"/>
    <cellStyle name="Normal 3 7 20 11 2" xfId="35076" xr:uid="{00000000-0005-0000-0000-0000C17A0000}"/>
    <cellStyle name="Normal 3 7 20 12" xfId="17643" xr:uid="{00000000-0005-0000-0000-0000C27A0000}"/>
    <cellStyle name="Normal 3 7 20 12 2" xfId="35077" xr:uid="{00000000-0005-0000-0000-0000C37A0000}"/>
    <cellStyle name="Normal 3 7 20 13" xfId="17644" xr:uid="{00000000-0005-0000-0000-0000C47A0000}"/>
    <cellStyle name="Normal 3 7 20 13 2" xfId="35078" xr:uid="{00000000-0005-0000-0000-0000C57A0000}"/>
    <cellStyle name="Normal 3 7 20 14" xfId="17645" xr:uid="{00000000-0005-0000-0000-0000C67A0000}"/>
    <cellStyle name="Normal 3 7 20 14 2" xfId="35079" xr:uid="{00000000-0005-0000-0000-0000C77A0000}"/>
    <cellStyle name="Normal 3 7 20 15" xfId="35074" xr:uid="{00000000-0005-0000-0000-0000C87A0000}"/>
    <cellStyle name="Normal 3 7 20 2" xfId="17646" xr:uid="{00000000-0005-0000-0000-0000C97A0000}"/>
    <cellStyle name="Normal 3 7 20 2 2" xfId="35080" xr:uid="{00000000-0005-0000-0000-0000CA7A0000}"/>
    <cellStyle name="Normal 3 7 20 3" xfId="17647" xr:uid="{00000000-0005-0000-0000-0000CB7A0000}"/>
    <cellStyle name="Normal 3 7 20 3 2" xfId="35081" xr:uid="{00000000-0005-0000-0000-0000CC7A0000}"/>
    <cellStyle name="Normal 3 7 20 4" xfId="17648" xr:uid="{00000000-0005-0000-0000-0000CD7A0000}"/>
    <cellStyle name="Normal 3 7 20 4 2" xfId="35082" xr:uid="{00000000-0005-0000-0000-0000CE7A0000}"/>
    <cellStyle name="Normal 3 7 20 5" xfId="17649" xr:uid="{00000000-0005-0000-0000-0000CF7A0000}"/>
    <cellStyle name="Normal 3 7 20 5 2" xfId="35083" xr:uid="{00000000-0005-0000-0000-0000D07A0000}"/>
    <cellStyle name="Normal 3 7 20 6" xfId="17650" xr:uid="{00000000-0005-0000-0000-0000D17A0000}"/>
    <cellStyle name="Normal 3 7 20 6 2" xfId="35084" xr:uid="{00000000-0005-0000-0000-0000D27A0000}"/>
    <cellStyle name="Normal 3 7 20 7" xfId="17651" xr:uid="{00000000-0005-0000-0000-0000D37A0000}"/>
    <cellStyle name="Normal 3 7 20 7 2" xfId="35085" xr:uid="{00000000-0005-0000-0000-0000D47A0000}"/>
    <cellStyle name="Normal 3 7 20 8" xfId="17652" xr:uid="{00000000-0005-0000-0000-0000D57A0000}"/>
    <cellStyle name="Normal 3 7 20 8 2" xfId="35086" xr:uid="{00000000-0005-0000-0000-0000D67A0000}"/>
    <cellStyle name="Normal 3 7 20 9" xfId="17653" xr:uid="{00000000-0005-0000-0000-0000D77A0000}"/>
    <cellStyle name="Normal 3 7 20 9 2" xfId="35087" xr:uid="{00000000-0005-0000-0000-0000D87A0000}"/>
    <cellStyle name="Normal 3 7 21" xfId="17654" xr:uid="{00000000-0005-0000-0000-0000D97A0000}"/>
    <cellStyle name="Normal 3 7 21 10" xfId="17655" xr:uid="{00000000-0005-0000-0000-0000DA7A0000}"/>
    <cellStyle name="Normal 3 7 21 10 2" xfId="35089" xr:uid="{00000000-0005-0000-0000-0000DB7A0000}"/>
    <cellStyle name="Normal 3 7 21 11" xfId="17656" xr:uid="{00000000-0005-0000-0000-0000DC7A0000}"/>
    <cellStyle name="Normal 3 7 21 11 2" xfId="35090" xr:uid="{00000000-0005-0000-0000-0000DD7A0000}"/>
    <cellStyle name="Normal 3 7 21 12" xfId="17657" xr:uid="{00000000-0005-0000-0000-0000DE7A0000}"/>
    <cellStyle name="Normal 3 7 21 12 2" xfId="35091" xr:uid="{00000000-0005-0000-0000-0000DF7A0000}"/>
    <cellStyle name="Normal 3 7 21 13" xfId="17658" xr:uid="{00000000-0005-0000-0000-0000E07A0000}"/>
    <cellStyle name="Normal 3 7 21 13 2" xfId="35092" xr:uid="{00000000-0005-0000-0000-0000E17A0000}"/>
    <cellStyle name="Normal 3 7 21 14" xfId="17659" xr:uid="{00000000-0005-0000-0000-0000E27A0000}"/>
    <cellStyle name="Normal 3 7 21 14 2" xfId="35093" xr:uid="{00000000-0005-0000-0000-0000E37A0000}"/>
    <cellStyle name="Normal 3 7 21 15" xfId="35088" xr:uid="{00000000-0005-0000-0000-0000E47A0000}"/>
    <cellStyle name="Normal 3 7 21 2" xfId="17660" xr:uid="{00000000-0005-0000-0000-0000E57A0000}"/>
    <cellStyle name="Normal 3 7 21 2 2" xfId="35094" xr:uid="{00000000-0005-0000-0000-0000E67A0000}"/>
    <cellStyle name="Normal 3 7 21 3" xfId="17661" xr:uid="{00000000-0005-0000-0000-0000E77A0000}"/>
    <cellStyle name="Normal 3 7 21 3 2" xfId="35095" xr:uid="{00000000-0005-0000-0000-0000E87A0000}"/>
    <cellStyle name="Normal 3 7 21 4" xfId="17662" xr:uid="{00000000-0005-0000-0000-0000E97A0000}"/>
    <cellStyle name="Normal 3 7 21 4 2" xfId="35096" xr:uid="{00000000-0005-0000-0000-0000EA7A0000}"/>
    <cellStyle name="Normal 3 7 21 5" xfId="17663" xr:uid="{00000000-0005-0000-0000-0000EB7A0000}"/>
    <cellStyle name="Normal 3 7 21 5 2" xfId="35097" xr:uid="{00000000-0005-0000-0000-0000EC7A0000}"/>
    <cellStyle name="Normal 3 7 21 6" xfId="17664" xr:uid="{00000000-0005-0000-0000-0000ED7A0000}"/>
    <cellStyle name="Normal 3 7 21 6 2" xfId="35098" xr:uid="{00000000-0005-0000-0000-0000EE7A0000}"/>
    <cellStyle name="Normal 3 7 21 7" xfId="17665" xr:uid="{00000000-0005-0000-0000-0000EF7A0000}"/>
    <cellStyle name="Normal 3 7 21 7 2" xfId="35099" xr:uid="{00000000-0005-0000-0000-0000F07A0000}"/>
    <cellStyle name="Normal 3 7 21 8" xfId="17666" xr:uid="{00000000-0005-0000-0000-0000F17A0000}"/>
    <cellStyle name="Normal 3 7 21 8 2" xfId="35100" xr:uid="{00000000-0005-0000-0000-0000F27A0000}"/>
    <cellStyle name="Normal 3 7 21 9" xfId="17667" xr:uid="{00000000-0005-0000-0000-0000F37A0000}"/>
    <cellStyle name="Normal 3 7 21 9 2" xfId="35101" xr:uid="{00000000-0005-0000-0000-0000F47A0000}"/>
    <cellStyle name="Normal 3 7 22" xfId="17668" xr:uid="{00000000-0005-0000-0000-0000F57A0000}"/>
    <cellStyle name="Normal 3 7 22 10" xfId="17669" xr:uid="{00000000-0005-0000-0000-0000F67A0000}"/>
    <cellStyle name="Normal 3 7 22 10 2" xfId="35103" xr:uid="{00000000-0005-0000-0000-0000F77A0000}"/>
    <cellStyle name="Normal 3 7 22 11" xfId="17670" xr:uid="{00000000-0005-0000-0000-0000F87A0000}"/>
    <cellStyle name="Normal 3 7 22 11 2" xfId="35104" xr:uid="{00000000-0005-0000-0000-0000F97A0000}"/>
    <cellStyle name="Normal 3 7 22 12" xfId="17671" xr:uid="{00000000-0005-0000-0000-0000FA7A0000}"/>
    <cellStyle name="Normal 3 7 22 12 2" xfId="35105" xr:uid="{00000000-0005-0000-0000-0000FB7A0000}"/>
    <cellStyle name="Normal 3 7 22 13" xfId="17672" xr:uid="{00000000-0005-0000-0000-0000FC7A0000}"/>
    <cellStyle name="Normal 3 7 22 13 2" xfId="35106" xr:uid="{00000000-0005-0000-0000-0000FD7A0000}"/>
    <cellStyle name="Normal 3 7 22 14" xfId="17673" xr:uid="{00000000-0005-0000-0000-0000FE7A0000}"/>
    <cellStyle name="Normal 3 7 22 14 2" xfId="35107" xr:uid="{00000000-0005-0000-0000-0000FF7A0000}"/>
    <cellStyle name="Normal 3 7 22 15" xfId="35102" xr:uid="{00000000-0005-0000-0000-0000007B0000}"/>
    <cellStyle name="Normal 3 7 22 2" xfId="17674" xr:uid="{00000000-0005-0000-0000-0000017B0000}"/>
    <cellStyle name="Normal 3 7 22 2 2" xfId="35108" xr:uid="{00000000-0005-0000-0000-0000027B0000}"/>
    <cellStyle name="Normal 3 7 22 3" xfId="17675" xr:uid="{00000000-0005-0000-0000-0000037B0000}"/>
    <cellStyle name="Normal 3 7 22 3 2" xfId="35109" xr:uid="{00000000-0005-0000-0000-0000047B0000}"/>
    <cellStyle name="Normal 3 7 22 4" xfId="17676" xr:uid="{00000000-0005-0000-0000-0000057B0000}"/>
    <cellStyle name="Normal 3 7 22 4 2" xfId="35110" xr:uid="{00000000-0005-0000-0000-0000067B0000}"/>
    <cellStyle name="Normal 3 7 22 5" xfId="17677" xr:uid="{00000000-0005-0000-0000-0000077B0000}"/>
    <cellStyle name="Normal 3 7 22 5 2" xfId="35111" xr:uid="{00000000-0005-0000-0000-0000087B0000}"/>
    <cellStyle name="Normal 3 7 22 6" xfId="17678" xr:uid="{00000000-0005-0000-0000-0000097B0000}"/>
    <cellStyle name="Normal 3 7 22 6 2" xfId="35112" xr:uid="{00000000-0005-0000-0000-00000A7B0000}"/>
    <cellStyle name="Normal 3 7 22 7" xfId="17679" xr:uid="{00000000-0005-0000-0000-00000B7B0000}"/>
    <cellStyle name="Normal 3 7 22 7 2" xfId="35113" xr:uid="{00000000-0005-0000-0000-00000C7B0000}"/>
    <cellStyle name="Normal 3 7 22 8" xfId="17680" xr:uid="{00000000-0005-0000-0000-00000D7B0000}"/>
    <cellStyle name="Normal 3 7 22 8 2" xfId="35114" xr:uid="{00000000-0005-0000-0000-00000E7B0000}"/>
    <cellStyle name="Normal 3 7 22 9" xfId="17681" xr:uid="{00000000-0005-0000-0000-00000F7B0000}"/>
    <cellStyle name="Normal 3 7 22 9 2" xfId="35115" xr:uid="{00000000-0005-0000-0000-0000107B0000}"/>
    <cellStyle name="Normal 3 7 23" xfId="17682" xr:uid="{00000000-0005-0000-0000-0000117B0000}"/>
    <cellStyle name="Normal 3 7 24" xfId="17683" xr:uid="{00000000-0005-0000-0000-0000127B0000}"/>
    <cellStyle name="Normal 3 7 25" xfId="17684" xr:uid="{00000000-0005-0000-0000-0000137B0000}"/>
    <cellStyle name="Normal 3 7 25 10" xfId="17685" xr:uid="{00000000-0005-0000-0000-0000147B0000}"/>
    <cellStyle name="Normal 3 7 25 10 2" xfId="35117" xr:uid="{00000000-0005-0000-0000-0000157B0000}"/>
    <cellStyle name="Normal 3 7 25 11" xfId="17686" xr:uid="{00000000-0005-0000-0000-0000167B0000}"/>
    <cellStyle name="Normal 3 7 25 11 2" xfId="35118" xr:uid="{00000000-0005-0000-0000-0000177B0000}"/>
    <cellStyle name="Normal 3 7 25 12" xfId="17687" xr:uid="{00000000-0005-0000-0000-0000187B0000}"/>
    <cellStyle name="Normal 3 7 25 12 2" xfId="35119" xr:uid="{00000000-0005-0000-0000-0000197B0000}"/>
    <cellStyle name="Normal 3 7 25 13" xfId="17688" xr:uid="{00000000-0005-0000-0000-00001A7B0000}"/>
    <cellStyle name="Normal 3 7 25 13 2" xfId="35120" xr:uid="{00000000-0005-0000-0000-00001B7B0000}"/>
    <cellStyle name="Normal 3 7 25 14" xfId="17689" xr:uid="{00000000-0005-0000-0000-00001C7B0000}"/>
    <cellStyle name="Normal 3 7 25 14 2" xfId="35121" xr:uid="{00000000-0005-0000-0000-00001D7B0000}"/>
    <cellStyle name="Normal 3 7 25 15" xfId="35116" xr:uid="{00000000-0005-0000-0000-00001E7B0000}"/>
    <cellStyle name="Normal 3 7 25 2" xfId="17690" xr:uid="{00000000-0005-0000-0000-00001F7B0000}"/>
    <cellStyle name="Normal 3 7 25 2 2" xfId="35122" xr:uid="{00000000-0005-0000-0000-0000207B0000}"/>
    <cellStyle name="Normal 3 7 25 3" xfId="17691" xr:uid="{00000000-0005-0000-0000-0000217B0000}"/>
    <cellStyle name="Normal 3 7 25 3 2" xfId="35123" xr:uid="{00000000-0005-0000-0000-0000227B0000}"/>
    <cellStyle name="Normal 3 7 25 4" xfId="17692" xr:uid="{00000000-0005-0000-0000-0000237B0000}"/>
    <cellStyle name="Normal 3 7 25 4 2" xfId="35124" xr:uid="{00000000-0005-0000-0000-0000247B0000}"/>
    <cellStyle name="Normal 3 7 25 5" xfId="17693" xr:uid="{00000000-0005-0000-0000-0000257B0000}"/>
    <cellStyle name="Normal 3 7 25 5 2" xfId="35125" xr:uid="{00000000-0005-0000-0000-0000267B0000}"/>
    <cellStyle name="Normal 3 7 25 6" xfId="17694" xr:uid="{00000000-0005-0000-0000-0000277B0000}"/>
    <cellStyle name="Normal 3 7 25 6 2" xfId="35126" xr:uid="{00000000-0005-0000-0000-0000287B0000}"/>
    <cellStyle name="Normal 3 7 25 7" xfId="17695" xr:uid="{00000000-0005-0000-0000-0000297B0000}"/>
    <cellStyle name="Normal 3 7 25 7 2" xfId="35127" xr:uid="{00000000-0005-0000-0000-00002A7B0000}"/>
    <cellStyle name="Normal 3 7 25 8" xfId="17696" xr:uid="{00000000-0005-0000-0000-00002B7B0000}"/>
    <cellStyle name="Normal 3 7 25 8 2" xfId="35128" xr:uid="{00000000-0005-0000-0000-00002C7B0000}"/>
    <cellStyle name="Normal 3 7 25 9" xfId="17697" xr:uid="{00000000-0005-0000-0000-00002D7B0000}"/>
    <cellStyle name="Normal 3 7 25 9 2" xfId="35129" xr:uid="{00000000-0005-0000-0000-00002E7B0000}"/>
    <cellStyle name="Normal 3 7 26" xfId="17698" xr:uid="{00000000-0005-0000-0000-00002F7B0000}"/>
    <cellStyle name="Normal 3 7 26 10" xfId="17699" xr:uid="{00000000-0005-0000-0000-0000307B0000}"/>
    <cellStyle name="Normal 3 7 26 10 2" xfId="35131" xr:uid="{00000000-0005-0000-0000-0000317B0000}"/>
    <cellStyle name="Normal 3 7 26 11" xfId="17700" xr:uid="{00000000-0005-0000-0000-0000327B0000}"/>
    <cellStyle name="Normal 3 7 26 11 2" xfId="35132" xr:uid="{00000000-0005-0000-0000-0000337B0000}"/>
    <cellStyle name="Normal 3 7 26 12" xfId="17701" xr:uid="{00000000-0005-0000-0000-0000347B0000}"/>
    <cellStyle name="Normal 3 7 26 12 2" xfId="35133" xr:uid="{00000000-0005-0000-0000-0000357B0000}"/>
    <cellStyle name="Normal 3 7 26 13" xfId="17702" xr:uid="{00000000-0005-0000-0000-0000367B0000}"/>
    <cellStyle name="Normal 3 7 26 13 2" xfId="35134" xr:uid="{00000000-0005-0000-0000-0000377B0000}"/>
    <cellStyle name="Normal 3 7 26 14" xfId="17703" xr:uid="{00000000-0005-0000-0000-0000387B0000}"/>
    <cellStyle name="Normal 3 7 26 14 2" xfId="35135" xr:uid="{00000000-0005-0000-0000-0000397B0000}"/>
    <cellStyle name="Normal 3 7 26 15" xfId="35130" xr:uid="{00000000-0005-0000-0000-00003A7B0000}"/>
    <cellStyle name="Normal 3 7 26 2" xfId="17704" xr:uid="{00000000-0005-0000-0000-00003B7B0000}"/>
    <cellStyle name="Normal 3 7 26 2 2" xfId="35136" xr:uid="{00000000-0005-0000-0000-00003C7B0000}"/>
    <cellStyle name="Normal 3 7 26 3" xfId="17705" xr:uid="{00000000-0005-0000-0000-00003D7B0000}"/>
    <cellStyle name="Normal 3 7 26 3 2" xfId="35137" xr:uid="{00000000-0005-0000-0000-00003E7B0000}"/>
    <cellStyle name="Normal 3 7 26 4" xfId="17706" xr:uid="{00000000-0005-0000-0000-00003F7B0000}"/>
    <cellStyle name="Normal 3 7 26 4 2" xfId="35138" xr:uid="{00000000-0005-0000-0000-0000407B0000}"/>
    <cellStyle name="Normal 3 7 26 5" xfId="17707" xr:uid="{00000000-0005-0000-0000-0000417B0000}"/>
    <cellStyle name="Normal 3 7 26 5 2" xfId="35139" xr:uid="{00000000-0005-0000-0000-0000427B0000}"/>
    <cellStyle name="Normal 3 7 26 6" xfId="17708" xr:uid="{00000000-0005-0000-0000-0000437B0000}"/>
    <cellStyle name="Normal 3 7 26 6 2" xfId="35140" xr:uid="{00000000-0005-0000-0000-0000447B0000}"/>
    <cellStyle name="Normal 3 7 26 7" xfId="17709" xr:uid="{00000000-0005-0000-0000-0000457B0000}"/>
    <cellStyle name="Normal 3 7 26 7 2" xfId="35141" xr:uid="{00000000-0005-0000-0000-0000467B0000}"/>
    <cellStyle name="Normal 3 7 26 8" xfId="17710" xr:uid="{00000000-0005-0000-0000-0000477B0000}"/>
    <cellStyle name="Normal 3 7 26 8 2" xfId="35142" xr:uid="{00000000-0005-0000-0000-0000487B0000}"/>
    <cellStyle name="Normal 3 7 26 9" xfId="17711" xr:uid="{00000000-0005-0000-0000-0000497B0000}"/>
    <cellStyle name="Normal 3 7 26 9 2" xfId="35143" xr:uid="{00000000-0005-0000-0000-00004A7B0000}"/>
    <cellStyle name="Normal 3 7 3" xfId="17712" xr:uid="{00000000-0005-0000-0000-00004B7B0000}"/>
    <cellStyle name="Normal 3 7 4" xfId="17713" xr:uid="{00000000-0005-0000-0000-00004C7B0000}"/>
    <cellStyle name="Normal 3 7 5" xfId="17714" xr:uid="{00000000-0005-0000-0000-00004D7B0000}"/>
    <cellStyle name="Normal 3 7 6" xfId="17715" xr:uid="{00000000-0005-0000-0000-00004E7B0000}"/>
    <cellStyle name="Normal 3 7 7" xfId="17716" xr:uid="{00000000-0005-0000-0000-00004F7B0000}"/>
    <cellStyle name="Normal 3 7 8" xfId="17717" xr:uid="{00000000-0005-0000-0000-0000507B0000}"/>
    <cellStyle name="Normal 3 7 9" xfId="17718" xr:uid="{00000000-0005-0000-0000-0000517B0000}"/>
    <cellStyle name="Normal 3 8" xfId="17719" xr:uid="{00000000-0005-0000-0000-0000527B0000}"/>
    <cellStyle name="Normal 3 8 10" xfId="17720" xr:uid="{00000000-0005-0000-0000-0000537B0000}"/>
    <cellStyle name="Normal 3 8 11" xfId="17721" xr:uid="{00000000-0005-0000-0000-0000547B0000}"/>
    <cellStyle name="Normal 3 8 11 10" xfId="17722" xr:uid="{00000000-0005-0000-0000-0000557B0000}"/>
    <cellStyle name="Normal 3 8 11 10 2" xfId="35145" xr:uid="{00000000-0005-0000-0000-0000567B0000}"/>
    <cellStyle name="Normal 3 8 11 11" xfId="17723" xr:uid="{00000000-0005-0000-0000-0000577B0000}"/>
    <cellStyle name="Normal 3 8 11 11 2" xfId="35146" xr:uid="{00000000-0005-0000-0000-0000587B0000}"/>
    <cellStyle name="Normal 3 8 11 12" xfId="17724" xr:uid="{00000000-0005-0000-0000-0000597B0000}"/>
    <cellStyle name="Normal 3 8 11 12 2" xfId="35147" xr:uid="{00000000-0005-0000-0000-00005A7B0000}"/>
    <cellStyle name="Normal 3 8 11 13" xfId="17725" xr:uid="{00000000-0005-0000-0000-00005B7B0000}"/>
    <cellStyle name="Normal 3 8 11 13 2" xfId="35148" xr:uid="{00000000-0005-0000-0000-00005C7B0000}"/>
    <cellStyle name="Normal 3 8 11 14" xfId="17726" xr:uid="{00000000-0005-0000-0000-00005D7B0000}"/>
    <cellStyle name="Normal 3 8 11 14 2" xfId="35149" xr:uid="{00000000-0005-0000-0000-00005E7B0000}"/>
    <cellStyle name="Normal 3 8 11 15" xfId="17727" xr:uid="{00000000-0005-0000-0000-00005F7B0000}"/>
    <cellStyle name="Normal 3 8 11 15 2" xfId="35150" xr:uid="{00000000-0005-0000-0000-0000607B0000}"/>
    <cellStyle name="Normal 3 8 11 16" xfId="17728" xr:uid="{00000000-0005-0000-0000-0000617B0000}"/>
    <cellStyle name="Normal 3 8 11 16 2" xfId="35151" xr:uid="{00000000-0005-0000-0000-0000627B0000}"/>
    <cellStyle name="Normal 3 8 11 17" xfId="17729" xr:uid="{00000000-0005-0000-0000-0000637B0000}"/>
    <cellStyle name="Normal 3 8 11 17 2" xfId="35152" xr:uid="{00000000-0005-0000-0000-0000647B0000}"/>
    <cellStyle name="Normal 3 8 11 18" xfId="35144" xr:uid="{00000000-0005-0000-0000-0000657B0000}"/>
    <cellStyle name="Normal 3 8 11 2" xfId="17730" xr:uid="{00000000-0005-0000-0000-0000667B0000}"/>
    <cellStyle name="Normal 3 8 11 3" xfId="17731" xr:uid="{00000000-0005-0000-0000-0000677B0000}"/>
    <cellStyle name="Normal 3 8 11 4" xfId="17732" xr:uid="{00000000-0005-0000-0000-0000687B0000}"/>
    <cellStyle name="Normal 3 8 11 5" xfId="17733" xr:uid="{00000000-0005-0000-0000-0000697B0000}"/>
    <cellStyle name="Normal 3 8 11 5 2" xfId="35153" xr:uid="{00000000-0005-0000-0000-00006A7B0000}"/>
    <cellStyle name="Normal 3 8 11 6" xfId="17734" xr:uid="{00000000-0005-0000-0000-00006B7B0000}"/>
    <cellStyle name="Normal 3 8 11 6 2" xfId="35154" xr:uid="{00000000-0005-0000-0000-00006C7B0000}"/>
    <cellStyle name="Normal 3 8 11 7" xfId="17735" xr:uid="{00000000-0005-0000-0000-00006D7B0000}"/>
    <cellStyle name="Normal 3 8 11 7 2" xfId="35155" xr:uid="{00000000-0005-0000-0000-00006E7B0000}"/>
    <cellStyle name="Normal 3 8 11 8" xfId="17736" xr:uid="{00000000-0005-0000-0000-00006F7B0000}"/>
    <cellStyle name="Normal 3 8 11 8 2" xfId="35156" xr:uid="{00000000-0005-0000-0000-0000707B0000}"/>
    <cellStyle name="Normal 3 8 11 9" xfId="17737" xr:uid="{00000000-0005-0000-0000-0000717B0000}"/>
    <cellStyle name="Normal 3 8 11 9 2" xfId="35157" xr:uid="{00000000-0005-0000-0000-0000727B0000}"/>
    <cellStyle name="Normal 3 8 12" xfId="17738" xr:uid="{00000000-0005-0000-0000-0000737B0000}"/>
    <cellStyle name="Normal 3 8 13" xfId="17739" xr:uid="{00000000-0005-0000-0000-0000747B0000}"/>
    <cellStyle name="Normal 3 8 14" xfId="17740" xr:uid="{00000000-0005-0000-0000-0000757B0000}"/>
    <cellStyle name="Normal 3 8 14 10" xfId="17741" xr:uid="{00000000-0005-0000-0000-0000767B0000}"/>
    <cellStyle name="Normal 3 8 14 10 2" xfId="35159" xr:uid="{00000000-0005-0000-0000-0000777B0000}"/>
    <cellStyle name="Normal 3 8 14 11" xfId="17742" xr:uid="{00000000-0005-0000-0000-0000787B0000}"/>
    <cellStyle name="Normal 3 8 14 11 2" xfId="35160" xr:uid="{00000000-0005-0000-0000-0000797B0000}"/>
    <cellStyle name="Normal 3 8 14 12" xfId="17743" xr:uid="{00000000-0005-0000-0000-00007A7B0000}"/>
    <cellStyle name="Normal 3 8 14 12 2" xfId="35161" xr:uid="{00000000-0005-0000-0000-00007B7B0000}"/>
    <cellStyle name="Normal 3 8 14 13" xfId="17744" xr:uid="{00000000-0005-0000-0000-00007C7B0000}"/>
    <cellStyle name="Normal 3 8 14 13 2" xfId="35162" xr:uid="{00000000-0005-0000-0000-00007D7B0000}"/>
    <cellStyle name="Normal 3 8 14 14" xfId="17745" xr:uid="{00000000-0005-0000-0000-00007E7B0000}"/>
    <cellStyle name="Normal 3 8 14 14 2" xfId="35163" xr:uid="{00000000-0005-0000-0000-00007F7B0000}"/>
    <cellStyle name="Normal 3 8 14 15" xfId="17746" xr:uid="{00000000-0005-0000-0000-0000807B0000}"/>
    <cellStyle name="Normal 3 8 14 15 2" xfId="35164" xr:uid="{00000000-0005-0000-0000-0000817B0000}"/>
    <cellStyle name="Normal 3 8 14 16" xfId="35158" xr:uid="{00000000-0005-0000-0000-0000827B0000}"/>
    <cellStyle name="Normal 3 8 14 2" xfId="17747" xr:uid="{00000000-0005-0000-0000-0000837B0000}"/>
    <cellStyle name="Normal 3 8 14 2 10" xfId="17748" xr:uid="{00000000-0005-0000-0000-0000847B0000}"/>
    <cellStyle name="Normal 3 8 14 2 10 2" xfId="35166" xr:uid="{00000000-0005-0000-0000-0000857B0000}"/>
    <cellStyle name="Normal 3 8 14 2 11" xfId="17749" xr:uid="{00000000-0005-0000-0000-0000867B0000}"/>
    <cellStyle name="Normal 3 8 14 2 11 2" xfId="35167" xr:uid="{00000000-0005-0000-0000-0000877B0000}"/>
    <cellStyle name="Normal 3 8 14 2 12" xfId="17750" xr:uid="{00000000-0005-0000-0000-0000887B0000}"/>
    <cellStyle name="Normal 3 8 14 2 12 2" xfId="35168" xr:uid="{00000000-0005-0000-0000-0000897B0000}"/>
    <cellStyle name="Normal 3 8 14 2 13" xfId="17751" xr:uid="{00000000-0005-0000-0000-00008A7B0000}"/>
    <cellStyle name="Normal 3 8 14 2 13 2" xfId="35169" xr:uid="{00000000-0005-0000-0000-00008B7B0000}"/>
    <cellStyle name="Normal 3 8 14 2 14" xfId="17752" xr:uid="{00000000-0005-0000-0000-00008C7B0000}"/>
    <cellStyle name="Normal 3 8 14 2 14 2" xfId="35170" xr:uid="{00000000-0005-0000-0000-00008D7B0000}"/>
    <cellStyle name="Normal 3 8 14 2 15" xfId="35165" xr:uid="{00000000-0005-0000-0000-00008E7B0000}"/>
    <cellStyle name="Normal 3 8 14 2 2" xfId="17753" xr:uid="{00000000-0005-0000-0000-00008F7B0000}"/>
    <cellStyle name="Normal 3 8 14 2 2 2" xfId="35171" xr:uid="{00000000-0005-0000-0000-0000907B0000}"/>
    <cellStyle name="Normal 3 8 14 2 3" xfId="17754" xr:uid="{00000000-0005-0000-0000-0000917B0000}"/>
    <cellStyle name="Normal 3 8 14 2 3 2" xfId="35172" xr:uid="{00000000-0005-0000-0000-0000927B0000}"/>
    <cellStyle name="Normal 3 8 14 2 4" xfId="17755" xr:uid="{00000000-0005-0000-0000-0000937B0000}"/>
    <cellStyle name="Normal 3 8 14 2 4 2" xfId="35173" xr:uid="{00000000-0005-0000-0000-0000947B0000}"/>
    <cellStyle name="Normal 3 8 14 2 5" xfId="17756" xr:uid="{00000000-0005-0000-0000-0000957B0000}"/>
    <cellStyle name="Normal 3 8 14 2 5 2" xfId="35174" xr:uid="{00000000-0005-0000-0000-0000967B0000}"/>
    <cellStyle name="Normal 3 8 14 2 6" xfId="17757" xr:uid="{00000000-0005-0000-0000-0000977B0000}"/>
    <cellStyle name="Normal 3 8 14 2 6 2" xfId="35175" xr:uid="{00000000-0005-0000-0000-0000987B0000}"/>
    <cellStyle name="Normal 3 8 14 2 7" xfId="17758" xr:uid="{00000000-0005-0000-0000-0000997B0000}"/>
    <cellStyle name="Normal 3 8 14 2 7 2" xfId="35176" xr:uid="{00000000-0005-0000-0000-00009A7B0000}"/>
    <cellStyle name="Normal 3 8 14 2 8" xfId="17759" xr:uid="{00000000-0005-0000-0000-00009B7B0000}"/>
    <cellStyle name="Normal 3 8 14 2 8 2" xfId="35177" xr:uid="{00000000-0005-0000-0000-00009C7B0000}"/>
    <cellStyle name="Normal 3 8 14 2 9" xfId="17760" xr:uid="{00000000-0005-0000-0000-00009D7B0000}"/>
    <cellStyle name="Normal 3 8 14 2 9 2" xfId="35178" xr:uid="{00000000-0005-0000-0000-00009E7B0000}"/>
    <cellStyle name="Normal 3 8 14 3" xfId="17761" xr:uid="{00000000-0005-0000-0000-00009F7B0000}"/>
    <cellStyle name="Normal 3 8 14 3 2" xfId="35179" xr:uid="{00000000-0005-0000-0000-0000A07B0000}"/>
    <cellStyle name="Normal 3 8 14 4" xfId="17762" xr:uid="{00000000-0005-0000-0000-0000A17B0000}"/>
    <cellStyle name="Normal 3 8 14 4 2" xfId="35180" xr:uid="{00000000-0005-0000-0000-0000A27B0000}"/>
    <cellStyle name="Normal 3 8 14 5" xfId="17763" xr:uid="{00000000-0005-0000-0000-0000A37B0000}"/>
    <cellStyle name="Normal 3 8 14 5 2" xfId="35181" xr:uid="{00000000-0005-0000-0000-0000A47B0000}"/>
    <cellStyle name="Normal 3 8 14 6" xfId="17764" xr:uid="{00000000-0005-0000-0000-0000A57B0000}"/>
    <cellStyle name="Normal 3 8 14 6 2" xfId="35182" xr:uid="{00000000-0005-0000-0000-0000A67B0000}"/>
    <cellStyle name="Normal 3 8 14 7" xfId="17765" xr:uid="{00000000-0005-0000-0000-0000A77B0000}"/>
    <cellStyle name="Normal 3 8 14 7 2" xfId="35183" xr:uid="{00000000-0005-0000-0000-0000A87B0000}"/>
    <cellStyle name="Normal 3 8 14 8" xfId="17766" xr:uid="{00000000-0005-0000-0000-0000A97B0000}"/>
    <cellStyle name="Normal 3 8 14 8 2" xfId="35184" xr:uid="{00000000-0005-0000-0000-0000AA7B0000}"/>
    <cellStyle name="Normal 3 8 14 9" xfId="17767" xr:uid="{00000000-0005-0000-0000-0000AB7B0000}"/>
    <cellStyle name="Normal 3 8 14 9 2" xfId="35185" xr:uid="{00000000-0005-0000-0000-0000AC7B0000}"/>
    <cellStyle name="Normal 3 8 15" xfId="17768" xr:uid="{00000000-0005-0000-0000-0000AD7B0000}"/>
    <cellStyle name="Normal 3 8 15 10" xfId="17769" xr:uid="{00000000-0005-0000-0000-0000AE7B0000}"/>
    <cellStyle name="Normal 3 8 15 10 2" xfId="35187" xr:uid="{00000000-0005-0000-0000-0000AF7B0000}"/>
    <cellStyle name="Normal 3 8 15 11" xfId="17770" xr:uid="{00000000-0005-0000-0000-0000B07B0000}"/>
    <cellStyle name="Normal 3 8 15 11 2" xfId="35188" xr:uid="{00000000-0005-0000-0000-0000B17B0000}"/>
    <cellStyle name="Normal 3 8 15 12" xfId="17771" xr:uid="{00000000-0005-0000-0000-0000B27B0000}"/>
    <cellStyle name="Normal 3 8 15 12 2" xfId="35189" xr:uid="{00000000-0005-0000-0000-0000B37B0000}"/>
    <cellStyle name="Normal 3 8 15 13" xfId="17772" xr:uid="{00000000-0005-0000-0000-0000B47B0000}"/>
    <cellStyle name="Normal 3 8 15 13 2" xfId="35190" xr:uid="{00000000-0005-0000-0000-0000B57B0000}"/>
    <cellStyle name="Normal 3 8 15 14" xfId="17773" xr:uid="{00000000-0005-0000-0000-0000B67B0000}"/>
    <cellStyle name="Normal 3 8 15 14 2" xfId="35191" xr:uid="{00000000-0005-0000-0000-0000B77B0000}"/>
    <cellStyle name="Normal 3 8 15 15" xfId="17774" xr:uid="{00000000-0005-0000-0000-0000B87B0000}"/>
    <cellStyle name="Normal 3 8 15 15 2" xfId="35192" xr:uid="{00000000-0005-0000-0000-0000B97B0000}"/>
    <cellStyle name="Normal 3 8 15 16" xfId="35186" xr:uid="{00000000-0005-0000-0000-0000BA7B0000}"/>
    <cellStyle name="Normal 3 8 15 2" xfId="17775" xr:uid="{00000000-0005-0000-0000-0000BB7B0000}"/>
    <cellStyle name="Normal 3 8 15 2 10" xfId="17776" xr:uid="{00000000-0005-0000-0000-0000BC7B0000}"/>
    <cellStyle name="Normal 3 8 15 2 10 2" xfId="35194" xr:uid="{00000000-0005-0000-0000-0000BD7B0000}"/>
    <cellStyle name="Normal 3 8 15 2 11" xfId="17777" xr:uid="{00000000-0005-0000-0000-0000BE7B0000}"/>
    <cellStyle name="Normal 3 8 15 2 11 2" xfId="35195" xr:uid="{00000000-0005-0000-0000-0000BF7B0000}"/>
    <cellStyle name="Normal 3 8 15 2 12" xfId="17778" xr:uid="{00000000-0005-0000-0000-0000C07B0000}"/>
    <cellStyle name="Normal 3 8 15 2 12 2" xfId="35196" xr:uid="{00000000-0005-0000-0000-0000C17B0000}"/>
    <cellStyle name="Normal 3 8 15 2 13" xfId="17779" xr:uid="{00000000-0005-0000-0000-0000C27B0000}"/>
    <cellStyle name="Normal 3 8 15 2 13 2" xfId="35197" xr:uid="{00000000-0005-0000-0000-0000C37B0000}"/>
    <cellStyle name="Normal 3 8 15 2 14" xfId="17780" xr:uid="{00000000-0005-0000-0000-0000C47B0000}"/>
    <cellStyle name="Normal 3 8 15 2 14 2" xfId="35198" xr:uid="{00000000-0005-0000-0000-0000C57B0000}"/>
    <cellStyle name="Normal 3 8 15 2 15" xfId="35193" xr:uid="{00000000-0005-0000-0000-0000C67B0000}"/>
    <cellStyle name="Normal 3 8 15 2 2" xfId="17781" xr:uid="{00000000-0005-0000-0000-0000C77B0000}"/>
    <cellStyle name="Normal 3 8 15 2 2 2" xfId="35199" xr:uid="{00000000-0005-0000-0000-0000C87B0000}"/>
    <cellStyle name="Normal 3 8 15 2 3" xfId="17782" xr:uid="{00000000-0005-0000-0000-0000C97B0000}"/>
    <cellStyle name="Normal 3 8 15 2 3 2" xfId="35200" xr:uid="{00000000-0005-0000-0000-0000CA7B0000}"/>
    <cellStyle name="Normal 3 8 15 2 4" xfId="17783" xr:uid="{00000000-0005-0000-0000-0000CB7B0000}"/>
    <cellStyle name="Normal 3 8 15 2 4 2" xfId="35201" xr:uid="{00000000-0005-0000-0000-0000CC7B0000}"/>
    <cellStyle name="Normal 3 8 15 2 5" xfId="17784" xr:uid="{00000000-0005-0000-0000-0000CD7B0000}"/>
    <cellStyle name="Normal 3 8 15 2 5 2" xfId="35202" xr:uid="{00000000-0005-0000-0000-0000CE7B0000}"/>
    <cellStyle name="Normal 3 8 15 2 6" xfId="17785" xr:uid="{00000000-0005-0000-0000-0000CF7B0000}"/>
    <cellStyle name="Normal 3 8 15 2 6 2" xfId="35203" xr:uid="{00000000-0005-0000-0000-0000D07B0000}"/>
    <cellStyle name="Normal 3 8 15 2 7" xfId="17786" xr:uid="{00000000-0005-0000-0000-0000D17B0000}"/>
    <cellStyle name="Normal 3 8 15 2 7 2" xfId="35204" xr:uid="{00000000-0005-0000-0000-0000D27B0000}"/>
    <cellStyle name="Normal 3 8 15 2 8" xfId="17787" xr:uid="{00000000-0005-0000-0000-0000D37B0000}"/>
    <cellStyle name="Normal 3 8 15 2 8 2" xfId="35205" xr:uid="{00000000-0005-0000-0000-0000D47B0000}"/>
    <cellStyle name="Normal 3 8 15 2 9" xfId="17788" xr:uid="{00000000-0005-0000-0000-0000D57B0000}"/>
    <cellStyle name="Normal 3 8 15 2 9 2" xfId="35206" xr:uid="{00000000-0005-0000-0000-0000D67B0000}"/>
    <cellStyle name="Normal 3 8 15 3" xfId="17789" xr:uid="{00000000-0005-0000-0000-0000D77B0000}"/>
    <cellStyle name="Normal 3 8 15 3 2" xfId="35207" xr:uid="{00000000-0005-0000-0000-0000D87B0000}"/>
    <cellStyle name="Normal 3 8 15 4" xfId="17790" xr:uid="{00000000-0005-0000-0000-0000D97B0000}"/>
    <cellStyle name="Normal 3 8 15 4 2" xfId="35208" xr:uid="{00000000-0005-0000-0000-0000DA7B0000}"/>
    <cellStyle name="Normal 3 8 15 5" xfId="17791" xr:uid="{00000000-0005-0000-0000-0000DB7B0000}"/>
    <cellStyle name="Normal 3 8 15 5 2" xfId="35209" xr:uid="{00000000-0005-0000-0000-0000DC7B0000}"/>
    <cellStyle name="Normal 3 8 15 6" xfId="17792" xr:uid="{00000000-0005-0000-0000-0000DD7B0000}"/>
    <cellStyle name="Normal 3 8 15 6 2" xfId="35210" xr:uid="{00000000-0005-0000-0000-0000DE7B0000}"/>
    <cellStyle name="Normal 3 8 15 7" xfId="17793" xr:uid="{00000000-0005-0000-0000-0000DF7B0000}"/>
    <cellStyle name="Normal 3 8 15 7 2" xfId="35211" xr:uid="{00000000-0005-0000-0000-0000E07B0000}"/>
    <cellStyle name="Normal 3 8 15 8" xfId="17794" xr:uid="{00000000-0005-0000-0000-0000E17B0000}"/>
    <cellStyle name="Normal 3 8 15 8 2" xfId="35212" xr:uid="{00000000-0005-0000-0000-0000E27B0000}"/>
    <cellStyle name="Normal 3 8 15 9" xfId="17795" xr:uid="{00000000-0005-0000-0000-0000E37B0000}"/>
    <cellStyle name="Normal 3 8 15 9 2" xfId="35213" xr:uid="{00000000-0005-0000-0000-0000E47B0000}"/>
    <cellStyle name="Normal 3 8 16" xfId="17796" xr:uid="{00000000-0005-0000-0000-0000E57B0000}"/>
    <cellStyle name="Normal 3 8 16 10" xfId="17797" xr:uid="{00000000-0005-0000-0000-0000E67B0000}"/>
    <cellStyle name="Normal 3 8 16 10 2" xfId="35215" xr:uid="{00000000-0005-0000-0000-0000E77B0000}"/>
    <cellStyle name="Normal 3 8 16 11" xfId="17798" xr:uid="{00000000-0005-0000-0000-0000E87B0000}"/>
    <cellStyle name="Normal 3 8 16 11 2" xfId="35216" xr:uid="{00000000-0005-0000-0000-0000E97B0000}"/>
    <cellStyle name="Normal 3 8 16 12" xfId="17799" xr:uid="{00000000-0005-0000-0000-0000EA7B0000}"/>
    <cellStyle name="Normal 3 8 16 12 2" xfId="35217" xr:uid="{00000000-0005-0000-0000-0000EB7B0000}"/>
    <cellStyle name="Normal 3 8 16 13" xfId="17800" xr:uid="{00000000-0005-0000-0000-0000EC7B0000}"/>
    <cellStyle name="Normal 3 8 16 13 2" xfId="35218" xr:uid="{00000000-0005-0000-0000-0000ED7B0000}"/>
    <cellStyle name="Normal 3 8 16 14" xfId="17801" xr:uid="{00000000-0005-0000-0000-0000EE7B0000}"/>
    <cellStyle name="Normal 3 8 16 14 2" xfId="35219" xr:uid="{00000000-0005-0000-0000-0000EF7B0000}"/>
    <cellStyle name="Normal 3 8 16 15" xfId="17802" xr:uid="{00000000-0005-0000-0000-0000F07B0000}"/>
    <cellStyle name="Normal 3 8 16 15 2" xfId="35220" xr:uid="{00000000-0005-0000-0000-0000F17B0000}"/>
    <cellStyle name="Normal 3 8 16 16" xfId="35214" xr:uid="{00000000-0005-0000-0000-0000F27B0000}"/>
    <cellStyle name="Normal 3 8 16 2" xfId="17803" xr:uid="{00000000-0005-0000-0000-0000F37B0000}"/>
    <cellStyle name="Normal 3 8 16 2 10" xfId="17804" xr:uid="{00000000-0005-0000-0000-0000F47B0000}"/>
    <cellStyle name="Normal 3 8 16 2 10 2" xfId="35222" xr:uid="{00000000-0005-0000-0000-0000F57B0000}"/>
    <cellStyle name="Normal 3 8 16 2 11" xfId="17805" xr:uid="{00000000-0005-0000-0000-0000F67B0000}"/>
    <cellStyle name="Normal 3 8 16 2 11 2" xfId="35223" xr:uid="{00000000-0005-0000-0000-0000F77B0000}"/>
    <cellStyle name="Normal 3 8 16 2 12" xfId="17806" xr:uid="{00000000-0005-0000-0000-0000F87B0000}"/>
    <cellStyle name="Normal 3 8 16 2 12 2" xfId="35224" xr:uid="{00000000-0005-0000-0000-0000F97B0000}"/>
    <cellStyle name="Normal 3 8 16 2 13" xfId="17807" xr:uid="{00000000-0005-0000-0000-0000FA7B0000}"/>
    <cellStyle name="Normal 3 8 16 2 13 2" xfId="35225" xr:uid="{00000000-0005-0000-0000-0000FB7B0000}"/>
    <cellStyle name="Normal 3 8 16 2 14" xfId="17808" xr:uid="{00000000-0005-0000-0000-0000FC7B0000}"/>
    <cellStyle name="Normal 3 8 16 2 14 2" xfId="35226" xr:uid="{00000000-0005-0000-0000-0000FD7B0000}"/>
    <cellStyle name="Normal 3 8 16 2 15" xfId="35221" xr:uid="{00000000-0005-0000-0000-0000FE7B0000}"/>
    <cellStyle name="Normal 3 8 16 2 2" xfId="17809" xr:uid="{00000000-0005-0000-0000-0000FF7B0000}"/>
    <cellStyle name="Normal 3 8 16 2 2 2" xfId="35227" xr:uid="{00000000-0005-0000-0000-0000007C0000}"/>
    <cellStyle name="Normal 3 8 16 2 3" xfId="17810" xr:uid="{00000000-0005-0000-0000-0000017C0000}"/>
    <cellStyle name="Normal 3 8 16 2 3 2" xfId="35228" xr:uid="{00000000-0005-0000-0000-0000027C0000}"/>
    <cellStyle name="Normal 3 8 16 2 4" xfId="17811" xr:uid="{00000000-0005-0000-0000-0000037C0000}"/>
    <cellStyle name="Normal 3 8 16 2 4 2" xfId="35229" xr:uid="{00000000-0005-0000-0000-0000047C0000}"/>
    <cellStyle name="Normal 3 8 16 2 5" xfId="17812" xr:uid="{00000000-0005-0000-0000-0000057C0000}"/>
    <cellStyle name="Normal 3 8 16 2 5 2" xfId="35230" xr:uid="{00000000-0005-0000-0000-0000067C0000}"/>
    <cellStyle name="Normal 3 8 16 2 6" xfId="17813" xr:uid="{00000000-0005-0000-0000-0000077C0000}"/>
    <cellStyle name="Normal 3 8 16 2 6 2" xfId="35231" xr:uid="{00000000-0005-0000-0000-0000087C0000}"/>
    <cellStyle name="Normal 3 8 16 2 7" xfId="17814" xr:uid="{00000000-0005-0000-0000-0000097C0000}"/>
    <cellStyle name="Normal 3 8 16 2 7 2" xfId="35232" xr:uid="{00000000-0005-0000-0000-00000A7C0000}"/>
    <cellStyle name="Normal 3 8 16 2 8" xfId="17815" xr:uid="{00000000-0005-0000-0000-00000B7C0000}"/>
    <cellStyle name="Normal 3 8 16 2 8 2" xfId="35233" xr:uid="{00000000-0005-0000-0000-00000C7C0000}"/>
    <cellStyle name="Normal 3 8 16 2 9" xfId="17816" xr:uid="{00000000-0005-0000-0000-00000D7C0000}"/>
    <cellStyle name="Normal 3 8 16 2 9 2" xfId="35234" xr:uid="{00000000-0005-0000-0000-00000E7C0000}"/>
    <cellStyle name="Normal 3 8 16 3" xfId="17817" xr:uid="{00000000-0005-0000-0000-00000F7C0000}"/>
    <cellStyle name="Normal 3 8 16 3 2" xfId="35235" xr:uid="{00000000-0005-0000-0000-0000107C0000}"/>
    <cellStyle name="Normal 3 8 16 4" xfId="17818" xr:uid="{00000000-0005-0000-0000-0000117C0000}"/>
    <cellStyle name="Normal 3 8 16 4 2" xfId="35236" xr:uid="{00000000-0005-0000-0000-0000127C0000}"/>
    <cellStyle name="Normal 3 8 16 5" xfId="17819" xr:uid="{00000000-0005-0000-0000-0000137C0000}"/>
    <cellStyle name="Normal 3 8 16 5 2" xfId="35237" xr:uid="{00000000-0005-0000-0000-0000147C0000}"/>
    <cellStyle name="Normal 3 8 16 6" xfId="17820" xr:uid="{00000000-0005-0000-0000-0000157C0000}"/>
    <cellStyle name="Normal 3 8 16 6 2" xfId="35238" xr:uid="{00000000-0005-0000-0000-0000167C0000}"/>
    <cellStyle name="Normal 3 8 16 7" xfId="17821" xr:uid="{00000000-0005-0000-0000-0000177C0000}"/>
    <cellStyle name="Normal 3 8 16 7 2" xfId="35239" xr:uid="{00000000-0005-0000-0000-0000187C0000}"/>
    <cellStyle name="Normal 3 8 16 8" xfId="17822" xr:uid="{00000000-0005-0000-0000-0000197C0000}"/>
    <cellStyle name="Normal 3 8 16 8 2" xfId="35240" xr:uid="{00000000-0005-0000-0000-00001A7C0000}"/>
    <cellStyle name="Normal 3 8 16 9" xfId="17823" xr:uid="{00000000-0005-0000-0000-00001B7C0000}"/>
    <cellStyle name="Normal 3 8 16 9 2" xfId="35241" xr:uid="{00000000-0005-0000-0000-00001C7C0000}"/>
    <cellStyle name="Normal 3 8 17" xfId="17824" xr:uid="{00000000-0005-0000-0000-00001D7C0000}"/>
    <cellStyle name="Normal 3 8 17 10" xfId="17825" xr:uid="{00000000-0005-0000-0000-00001E7C0000}"/>
    <cellStyle name="Normal 3 8 17 10 2" xfId="35243" xr:uid="{00000000-0005-0000-0000-00001F7C0000}"/>
    <cellStyle name="Normal 3 8 17 11" xfId="17826" xr:uid="{00000000-0005-0000-0000-0000207C0000}"/>
    <cellStyle name="Normal 3 8 17 11 2" xfId="35244" xr:uid="{00000000-0005-0000-0000-0000217C0000}"/>
    <cellStyle name="Normal 3 8 17 12" xfId="17827" xr:uid="{00000000-0005-0000-0000-0000227C0000}"/>
    <cellStyle name="Normal 3 8 17 12 2" xfId="35245" xr:uid="{00000000-0005-0000-0000-0000237C0000}"/>
    <cellStyle name="Normal 3 8 17 13" xfId="17828" xr:uid="{00000000-0005-0000-0000-0000247C0000}"/>
    <cellStyle name="Normal 3 8 17 13 2" xfId="35246" xr:uid="{00000000-0005-0000-0000-0000257C0000}"/>
    <cellStyle name="Normal 3 8 17 14" xfId="17829" xr:uid="{00000000-0005-0000-0000-0000267C0000}"/>
    <cellStyle name="Normal 3 8 17 14 2" xfId="35247" xr:uid="{00000000-0005-0000-0000-0000277C0000}"/>
    <cellStyle name="Normal 3 8 17 15" xfId="35242" xr:uid="{00000000-0005-0000-0000-0000287C0000}"/>
    <cellStyle name="Normal 3 8 17 2" xfId="17830" xr:uid="{00000000-0005-0000-0000-0000297C0000}"/>
    <cellStyle name="Normal 3 8 17 2 2" xfId="35248" xr:uid="{00000000-0005-0000-0000-00002A7C0000}"/>
    <cellStyle name="Normal 3 8 17 3" xfId="17831" xr:uid="{00000000-0005-0000-0000-00002B7C0000}"/>
    <cellStyle name="Normal 3 8 17 3 2" xfId="35249" xr:uid="{00000000-0005-0000-0000-00002C7C0000}"/>
    <cellStyle name="Normal 3 8 17 4" xfId="17832" xr:uid="{00000000-0005-0000-0000-00002D7C0000}"/>
    <cellStyle name="Normal 3 8 17 4 2" xfId="35250" xr:uid="{00000000-0005-0000-0000-00002E7C0000}"/>
    <cellStyle name="Normal 3 8 17 5" xfId="17833" xr:uid="{00000000-0005-0000-0000-00002F7C0000}"/>
    <cellStyle name="Normal 3 8 17 5 2" xfId="35251" xr:uid="{00000000-0005-0000-0000-0000307C0000}"/>
    <cellStyle name="Normal 3 8 17 6" xfId="17834" xr:uid="{00000000-0005-0000-0000-0000317C0000}"/>
    <cellStyle name="Normal 3 8 17 6 2" xfId="35252" xr:uid="{00000000-0005-0000-0000-0000327C0000}"/>
    <cellStyle name="Normal 3 8 17 7" xfId="17835" xr:uid="{00000000-0005-0000-0000-0000337C0000}"/>
    <cellStyle name="Normal 3 8 17 7 2" xfId="35253" xr:uid="{00000000-0005-0000-0000-0000347C0000}"/>
    <cellStyle name="Normal 3 8 17 8" xfId="17836" xr:uid="{00000000-0005-0000-0000-0000357C0000}"/>
    <cellStyle name="Normal 3 8 17 8 2" xfId="35254" xr:uid="{00000000-0005-0000-0000-0000367C0000}"/>
    <cellStyle name="Normal 3 8 17 9" xfId="17837" xr:uid="{00000000-0005-0000-0000-0000377C0000}"/>
    <cellStyle name="Normal 3 8 17 9 2" xfId="35255" xr:uid="{00000000-0005-0000-0000-0000387C0000}"/>
    <cellStyle name="Normal 3 8 18" xfId="17838" xr:uid="{00000000-0005-0000-0000-0000397C0000}"/>
    <cellStyle name="Normal 3 8 18 10" xfId="17839" xr:uid="{00000000-0005-0000-0000-00003A7C0000}"/>
    <cellStyle name="Normal 3 8 18 10 2" xfId="35257" xr:uid="{00000000-0005-0000-0000-00003B7C0000}"/>
    <cellStyle name="Normal 3 8 18 11" xfId="17840" xr:uid="{00000000-0005-0000-0000-00003C7C0000}"/>
    <cellStyle name="Normal 3 8 18 11 2" xfId="35258" xr:uid="{00000000-0005-0000-0000-00003D7C0000}"/>
    <cellStyle name="Normal 3 8 18 12" xfId="17841" xr:uid="{00000000-0005-0000-0000-00003E7C0000}"/>
    <cellStyle name="Normal 3 8 18 12 2" xfId="35259" xr:uid="{00000000-0005-0000-0000-00003F7C0000}"/>
    <cellStyle name="Normal 3 8 18 13" xfId="17842" xr:uid="{00000000-0005-0000-0000-0000407C0000}"/>
    <cellStyle name="Normal 3 8 18 13 2" xfId="35260" xr:uid="{00000000-0005-0000-0000-0000417C0000}"/>
    <cellStyle name="Normal 3 8 18 14" xfId="17843" xr:uid="{00000000-0005-0000-0000-0000427C0000}"/>
    <cellStyle name="Normal 3 8 18 14 2" xfId="35261" xr:uid="{00000000-0005-0000-0000-0000437C0000}"/>
    <cellStyle name="Normal 3 8 18 15" xfId="35256" xr:uid="{00000000-0005-0000-0000-0000447C0000}"/>
    <cellStyle name="Normal 3 8 18 2" xfId="17844" xr:uid="{00000000-0005-0000-0000-0000457C0000}"/>
    <cellStyle name="Normal 3 8 18 2 2" xfId="35262" xr:uid="{00000000-0005-0000-0000-0000467C0000}"/>
    <cellStyle name="Normal 3 8 18 3" xfId="17845" xr:uid="{00000000-0005-0000-0000-0000477C0000}"/>
    <cellStyle name="Normal 3 8 18 3 2" xfId="35263" xr:uid="{00000000-0005-0000-0000-0000487C0000}"/>
    <cellStyle name="Normal 3 8 18 4" xfId="17846" xr:uid="{00000000-0005-0000-0000-0000497C0000}"/>
    <cellStyle name="Normal 3 8 18 4 2" xfId="35264" xr:uid="{00000000-0005-0000-0000-00004A7C0000}"/>
    <cellStyle name="Normal 3 8 18 5" xfId="17847" xr:uid="{00000000-0005-0000-0000-00004B7C0000}"/>
    <cellStyle name="Normal 3 8 18 5 2" xfId="35265" xr:uid="{00000000-0005-0000-0000-00004C7C0000}"/>
    <cellStyle name="Normal 3 8 18 6" xfId="17848" xr:uid="{00000000-0005-0000-0000-00004D7C0000}"/>
    <cellStyle name="Normal 3 8 18 6 2" xfId="35266" xr:uid="{00000000-0005-0000-0000-00004E7C0000}"/>
    <cellStyle name="Normal 3 8 18 7" xfId="17849" xr:uid="{00000000-0005-0000-0000-00004F7C0000}"/>
    <cellStyle name="Normal 3 8 18 7 2" xfId="35267" xr:uid="{00000000-0005-0000-0000-0000507C0000}"/>
    <cellStyle name="Normal 3 8 18 8" xfId="17850" xr:uid="{00000000-0005-0000-0000-0000517C0000}"/>
    <cellStyle name="Normal 3 8 18 8 2" xfId="35268" xr:uid="{00000000-0005-0000-0000-0000527C0000}"/>
    <cellStyle name="Normal 3 8 18 9" xfId="17851" xr:uid="{00000000-0005-0000-0000-0000537C0000}"/>
    <cellStyle name="Normal 3 8 18 9 2" xfId="35269" xr:uid="{00000000-0005-0000-0000-0000547C0000}"/>
    <cellStyle name="Normal 3 8 19" xfId="17852" xr:uid="{00000000-0005-0000-0000-0000557C0000}"/>
    <cellStyle name="Normal 3 8 19 10" xfId="17853" xr:uid="{00000000-0005-0000-0000-0000567C0000}"/>
    <cellStyle name="Normal 3 8 19 10 2" xfId="35271" xr:uid="{00000000-0005-0000-0000-0000577C0000}"/>
    <cellStyle name="Normal 3 8 19 11" xfId="17854" xr:uid="{00000000-0005-0000-0000-0000587C0000}"/>
    <cellStyle name="Normal 3 8 19 11 2" xfId="35272" xr:uid="{00000000-0005-0000-0000-0000597C0000}"/>
    <cellStyle name="Normal 3 8 19 12" xfId="17855" xr:uid="{00000000-0005-0000-0000-00005A7C0000}"/>
    <cellStyle name="Normal 3 8 19 12 2" xfId="35273" xr:uid="{00000000-0005-0000-0000-00005B7C0000}"/>
    <cellStyle name="Normal 3 8 19 13" xfId="17856" xr:uid="{00000000-0005-0000-0000-00005C7C0000}"/>
    <cellStyle name="Normal 3 8 19 13 2" xfId="35274" xr:uid="{00000000-0005-0000-0000-00005D7C0000}"/>
    <cellStyle name="Normal 3 8 19 14" xfId="17857" xr:uid="{00000000-0005-0000-0000-00005E7C0000}"/>
    <cellStyle name="Normal 3 8 19 14 2" xfId="35275" xr:uid="{00000000-0005-0000-0000-00005F7C0000}"/>
    <cellStyle name="Normal 3 8 19 15" xfId="35270" xr:uid="{00000000-0005-0000-0000-0000607C0000}"/>
    <cellStyle name="Normal 3 8 19 2" xfId="17858" xr:uid="{00000000-0005-0000-0000-0000617C0000}"/>
    <cellStyle name="Normal 3 8 19 2 2" xfId="35276" xr:uid="{00000000-0005-0000-0000-0000627C0000}"/>
    <cellStyle name="Normal 3 8 19 3" xfId="17859" xr:uid="{00000000-0005-0000-0000-0000637C0000}"/>
    <cellStyle name="Normal 3 8 19 3 2" xfId="35277" xr:uid="{00000000-0005-0000-0000-0000647C0000}"/>
    <cellStyle name="Normal 3 8 19 4" xfId="17860" xr:uid="{00000000-0005-0000-0000-0000657C0000}"/>
    <cellStyle name="Normal 3 8 19 4 2" xfId="35278" xr:uid="{00000000-0005-0000-0000-0000667C0000}"/>
    <cellStyle name="Normal 3 8 19 5" xfId="17861" xr:uid="{00000000-0005-0000-0000-0000677C0000}"/>
    <cellStyle name="Normal 3 8 19 5 2" xfId="35279" xr:uid="{00000000-0005-0000-0000-0000687C0000}"/>
    <cellStyle name="Normal 3 8 19 6" xfId="17862" xr:uid="{00000000-0005-0000-0000-0000697C0000}"/>
    <cellStyle name="Normal 3 8 19 6 2" xfId="35280" xr:uid="{00000000-0005-0000-0000-00006A7C0000}"/>
    <cellStyle name="Normal 3 8 19 7" xfId="17863" xr:uid="{00000000-0005-0000-0000-00006B7C0000}"/>
    <cellStyle name="Normal 3 8 19 7 2" xfId="35281" xr:uid="{00000000-0005-0000-0000-00006C7C0000}"/>
    <cellStyle name="Normal 3 8 19 8" xfId="17864" xr:uid="{00000000-0005-0000-0000-00006D7C0000}"/>
    <cellStyle name="Normal 3 8 19 8 2" xfId="35282" xr:uid="{00000000-0005-0000-0000-00006E7C0000}"/>
    <cellStyle name="Normal 3 8 19 9" xfId="17865" xr:uid="{00000000-0005-0000-0000-00006F7C0000}"/>
    <cellStyle name="Normal 3 8 19 9 2" xfId="35283" xr:uid="{00000000-0005-0000-0000-0000707C0000}"/>
    <cellStyle name="Normal 3 8 2" xfId="17866" xr:uid="{00000000-0005-0000-0000-0000717C0000}"/>
    <cellStyle name="Normal 3 8 20" xfId="17867" xr:uid="{00000000-0005-0000-0000-0000727C0000}"/>
    <cellStyle name="Normal 3 8 20 10" xfId="17868" xr:uid="{00000000-0005-0000-0000-0000737C0000}"/>
    <cellStyle name="Normal 3 8 20 10 2" xfId="35285" xr:uid="{00000000-0005-0000-0000-0000747C0000}"/>
    <cellStyle name="Normal 3 8 20 11" xfId="17869" xr:uid="{00000000-0005-0000-0000-0000757C0000}"/>
    <cellStyle name="Normal 3 8 20 11 2" xfId="35286" xr:uid="{00000000-0005-0000-0000-0000767C0000}"/>
    <cellStyle name="Normal 3 8 20 12" xfId="17870" xr:uid="{00000000-0005-0000-0000-0000777C0000}"/>
    <cellStyle name="Normal 3 8 20 12 2" xfId="35287" xr:uid="{00000000-0005-0000-0000-0000787C0000}"/>
    <cellStyle name="Normal 3 8 20 13" xfId="17871" xr:uid="{00000000-0005-0000-0000-0000797C0000}"/>
    <cellStyle name="Normal 3 8 20 13 2" xfId="35288" xr:uid="{00000000-0005-0000-0000-00007A7C0000}"/>
    <cellStyle name="Normal 3 8 20 14" xfId="17872" xr:uid="{00000000-0005-0000-0000-00007B7C0000}"/>
    <cellStyle name="Normal 3 8 20 14 2" xfId="35289" xr:uid="{00000000-0005-0000-0000-00007C7C0000}"/>
    <cellStyle name="Normal 3 8 20 15" xfId="35284" xr:uid="{00000000-0005-0000-0000-00007D7C0000}"/>
    <cellStyle name="Normal 3 8 20 2" xfId="17873" xr:uid="{00000000-0005-0000-0000-00007E7C0000}"/>
    <cellStyle name="Normal 3 8 20 2 2" xfId="35290" xr:uid="{00000000-0005-0000-0000-00007F7C0000}"/>
    <cellStyle name="Normal 3 8 20 3" xfId="17874" xr:uid="{00000000-0005-0000-0000-0000807C0000}"/>
    <cellStyle name="Normal 3 8 20 3 2" xfId="35291" xr:uid="{00000000-0005-0000-0000-0000817C0000}"/>
    <cellStyle name="Normal 3 8 20 4" xfId="17875" xr:uid="{00000000-0005-0000-0000-0000827C0000}"/>
    <cellStyle name="Normal 3 8 20 4 2" xfId="35292" xr:uid="{00000000-0005-0000-0000-0000837C0000}"/>
    <cellStyle name="Normal 3 8 20 5" xfId="17876" xr:uid="{00000000-0005-0000-0000-0000847C0000}"/>
    <cellStyle name="Normal 3 8 20 5 2" xfId="35293" xr:uid="{00000000-0005-0000-0000-0000857C0000}"/>
    <cellStyle name="Normal 3 8 20 6" xfId="17877" xr:uid="{00000000-0005-0000-0000-0000867C0000}"/>
    <cellStyle name="Normal 3 8 20 6 2" xfId="35294" xr:uid="{00000000-0005-0000-0000-0000877C0000}"/>
    <cellStyle name="Normal 3 8 20 7" xfId="17878" xr:uid="{00000000-0005-0000-0000-0000887C0000}"/>
    <cellStyle name="Normal 3 8 20 7 2" xfId="35295" xr:uid="{00000000-0005-0000-0000-0000897C0000}"/>
    <cellStyle name="Normal 3 8 20 8" xfId="17879" xr:uid="{00000000-0005-0000-0000-00008A7C0000}"/>
    <cellStyle name="Normal 3 8 20 8 2" xfId="35296" xr:uid="{00000000-0005-0000-0000-00008B7C0000}"/>
    <cellStyle name="Normal 3 8 20 9" xfId="17880" xr:uid="{00000000-0005-0000-0000-00008C7C0000}"/>
    <cellStyle name="Normal 3 8 20 9 2" xfId="35297" xr:uid="{00000000-0005-0000-0000-00008D7C0000}"/>
    <cellStyle name="Normal 3 8 21" xfId="17881" xr:uid="{00000000-0005-0000-0000-00008E7C0000}"/>
    <cellStyle name="Normal 3 8 21 10" xfId="17882" xr:uid="{00000000-0005-0000-0000-00008F7C0000}"/>
    <cellStyle name="Normal 3 8 21 10 2" xfId="35299" xr:uid="{00000000-0005-0000-0000-0000907C0000}"/>
    <cellStyle name="Normal 3 8 21 11" xfId="17883" xr:uid="{00000000-0005-0000-0000-0000917C0000}"/>
    <cellStyle name="Normal 3 8 21 11 2" xfId="35300" xr:uid="{00000000-0005-0000-0000-0000927C0000}"/>
    <cellStyle name="Normal 3 8 21 12" xfId="17884" xr:uid="{00000000-0005-0000-0000-0000937C0000}"/>
    <cellStyle name="Normal 3 8 21 12 2" xfId="35301" xr:uid="{00000000-0005-0000-0000-0000947C0000}"/>
    <cellStyle name="Normal 3 8 21 13" xfId="17885" xr:uid="{00000000-0005-0000-0000-0000957C0000}"/>
    <cellStyle name="Normal 3 8 21 13 2" xfId="35302" xr:uid="{00000000-0005-0000-0000-0000967C0000}"/>
    <cellStyle name="Normal 3 8 21 14" xfId="17886" xr:uid="{00000000-0005-0000-0000-0000977C0000}"/>
    <cellStyle name="Normal 3 8 21 14 2" xfId="35303" xr:uid="{00000000-0005-0000-0000-0000987C0000}"/>
    <cellStyle name="Normal 3 8 21 15" xfId="35298" xr:uid="{00000000-0005-0000-0000-0000997C0000}"/>
    <cellStyle name="Normal 3 8 21 2" xfId="17887" xr:uid="{00000000-0005-0000-0000-00009A7C0000}"/>
    <cellStyle name="Normal 3 8 21 2 2" xfId="35304" xr:uid="{00000000-0005-0000-0000-00009B7C0000}"/>
    <cellStyle name="Normal 3 8 21 3" xfId="17888" xr:uid="{00000000-0005-0000-0000-00009C7C0000}"/>
    <cellStyle name="Normal 3 8 21 3 2" xfId="35305" xr:uid="{00000000-0005-0000-0000-00009D7C0000}"/>
    <cellStyle name="Normal 3 8 21 4" xfId="17889" xr:uid="{00000000-0005-0000-0000-00009E7C0000}"/>
    <cellStyle name="Normal 3 8 21 4 2" xfId="35306" xr:uid="{00000000-0005-0000-0000-00009F7C0000}"/>
    <cellStyle name="Normal 3 8 21 5" xfId="17890" xr:uid="{00000000-0005-0000-0000-0000A07C0000}"/>
    <cellStyle name="Normal 3 8 21 5 2" xfId="35307" xr:uid="{00000000-0005-0000-0000-0000A17C0000}"/>
    <cellStyle name="Normal 3 8 21 6" xfId="17891" xr:uid="{00000000-0005-0000-0000-0000A27C0000}"/>
    <cellStyle name="Normal 3 8 21 6 2" xfId="35308" xr:uid="{00000000-0005-0000-0000-0000A37C0000}"/>
    <cellStyle name="Normal 3 8 21 7" xfId="17892" xr:uid="{00000000-0005-0000-0000-0000A47C0000}"/>
    <cellStyle name="Normal 3 8 21 7 2" xfId="35309" xr:uid="{00000000-0005-0000-0000-0000A57C0000}"/>
    <cellStyle name="Normal 3 8 21 8" xfId="17893" xr:uid="{00000000-0005-0000-0000-0000A67C0000}"/>
    <cellStyle name="Normal 3 8 21 8 2" xfId="35310" xr:uid="{00000000-0005-0000-0000-0000A77C0000}"/>
    <cellStyle name="Normal 3 8 21 9" xfId="17894" xr:uid="{00000000-0005-0000-0000-0000A87C0000}"/>
    <cellStyle name="Normal 3 8 21 9 2" xfId="35311" xr:uid="{00000000-0005-0000-0000-0000A97C0000}"/>
    <cellStyle name="Normal 3 8 22" xfId="17895" xr:uid="{00000000-0005-0000-0000-0000AA7C0000}"/>
    <cellStyle name="Normal 3 8 22 10" xfId="17896" xr:uid="{00000000-0005-0000-0000-0000AB7C0000}"/>
    <cellStyle name="Normal 3 8 22 10 2" xfId="35313" xr:uid="{00000000-0005-0000-0000-0000AC7C0000}"/>
    <cellStyle name="Normal 3 8 22 11" xfId="17897" xr:uid="{00000000-0005-0000-0000-0000AD7C0000}"/>
    <cellStyle name="Normal 3 8 22 11 2" xfId="35314" xr:uid="{00000000-0005-0000-0000-0000AE7C0000}"/>
    <cellStyle name="Normal 3 8 22 12" xfId="17898" xr:uid="{00000000-0005-0000-0000-0000AF7C0000}"/>
    <cellStyle name="Normal 3 8 22 12 2" xfId="35315" xr:uid="{00000000-0005-0000-0000-0000B07C0000}"/>
    <cellStyle name="Normal 3 8 22 13" xfId="17899" xr:uid="{00000000-0005-0000-0000-0000B17C0000}"/>
    <cellStyle name="Normal 3 8 22 13 2" xfId="35316" xr:uid="{00000000-0005-0000-0000-0000B27C0000}"/>
    <cellStyle name="Normal 3 8 22 14" xfId="17900" xr:uid="{00000000-0005-0000-0000-0000B37C0000}"/>
    <cellStyle name="Normal 3 8 22 14 2" xfId="35317" xr:uid="{00000000-0005-0000-0000-0000B47C0000}"/>
    <cellStyle name="Normal 3 8 22 15" xfId="35312" xr:uid="{00000000-0005-0000-0000-0000B57C0000}"/>
    <cellStyle name="Normal 3 8 22 2" xfId="17901" xr:uid="{00000000-0005-0000-0000-0000B67C0000}"/>
    <cellStyle name="Normal 3 8 22 2 2" xfId="35318" xr:uid="{00000000-0005-0000-0000-0000B77C0000}"/>
    <cellStyle name="Normal 3 8 22 3" xfId="17902" xr:uid="{00000000-0005-0000-0000-0000B87C0000}"/>
    <cellStyle name="Normal 3 8 22 3 2" xfId="35319" xr:uid="{00000000-0005-0000-0000-0000B97C0000}"/>
    <cellStyle name="Normal 3 8 22 4" xfId="17903" xr:uid="{00000000-0005-0000-0000-0000BA7C0000}"/>
    <cellStyle name="Normal 3 8 22 4 2" xfId="35320" xr:uid="{00000000-0005-0000-0000-0000BB7C0000}"/>
    <cellStyle name="Normal 3 8 22 5" xfId="17904" xr:uid="{00000000-0005-0000-0000-0000BC7C0000}"/>
    <cellStyle name="Normal 3 8 22 5 2" xfId="35321" xr:uid="{00000000-0005-0000-0000-0000BD7C0000}"/>
    <cellStyle name="Normal 3 8 22 6" xfId="17905" xr:uid="{00000000-0005-0000-0000-0000BE7C0000}"/>
    <cellStyle name="Normal 3 8 22 6 2" xfId="35322" xr:uid="{00000000-0005-0000-0000-0000BF7C0000}"/>
    <cellStyle name="Normal 3 8 22 7" xfId="17906" xr:uid="{00000000-0005-0000-0000-0000C07C0000}"/>
    <cellStyle name="Normal 3 8 22 7 2" xfId="35323" xr:uid="{00000000-0005-0000-0000-0000C17C0000}"/>
    <cellStyle name="Normal 3 8 22 8" xfId="17907" xr:uid="{00000000-0005-0000-0000-0000C27C0000}"/>
    <cellStyle name="Normal 3 8 22 8 2" xfId="35324" xr:uid="{00000000-0005-0000-0000-0000C37C0000}"/>
    <cellStyle name="Normal 3 8 22 9" xfId="17908" xr:uid="{00000000-0005-0000-0000-0000C47C0000}"/>
    <cellStyle name="Normal 3 8 22 9 2" xfId="35325" xr:uid="{00000000-0005-0000-0000-0000C57C0000}"/>
    <cellStyle name="Normal 3 8 23" xfId="17909" xr:uid="{00000000-0005-0000-0000-0000C67C0000}"/>
    <cellStyle name="Normal 3 8 24" xfId="17910" xr:uid="{00000000-0005-0000-0000-0000C77C0000}"/>
    <cellStyle name="Normal 3 8 25" xfId="17911" xr:uid="{00000000-0005-0000-0000-0000C87C0000}"/>
    <cellStyle name="Normal 3 8 25 10" xfId="17912" xr:uid="{00000000-0005-0000-0000-0000C97C0000}"/>
    <cellStyle name="Normal 3 8 25 10 2" xfId="35327" xr:uid="{00000000-0005-0000-0000-0000CA7C0000}"/>
    <cellStyle name="Normal 3 8 25 11" xfId="17913" xr:uid="{00000000-0005-0000-0000-0000CB7C0000}"/>
    <cellStyle name="Normal 3 8 25 11 2" xfId="35328" xr:uid="{00000000-0005-0000-0000-0000CC7C0000}"/>
    <cellStyle name="Normal 3 8 25 12" xfId="17914" xr:uid="{00000000-0005-0000-0000-0000CD7C0000}"/>
    <cellStyle name="Normal 3 8 25 12 2" xfId="35329" xr:uid="{00000000-0005-0000-0000-0000CE7C0000}"/>
    <cellStyle name="Normal 3 8 25 13" xfId="17915" xr:uid="{00000000-0005-0000-0000-0000CF7C0000}"/>
    <cellStyle name="Normal 3 8 25 13 2" xfId="35330" xr:uid="{00000000-0005-0000-0000-0000D07C0000}"/>
    <cellStyle name="Normal 3 8 25 14" xfId="17916" xr:uid="{00000000-0005-0000-0000-0000D17C0000}"/>
    <cellStyle name="Normal 3 8 25 14 2" xfId="35331" xr:uid="{00000000-0005-0000-0000-0000D27C0000}"/>
    <cellStyle name="Normal 3 8 25 15" xfId="35326" xr:uid="{00000000-0005-0000-0000-0000D37C0000}"/>
    <cellStyle name="Normal 3 8 25 2" xfId="17917" xr:uid="{00000000-0005-0000-0000-0000D47C0000}"/>
    <cellStyle name="Normal 3 8 25 2 2" xfId="35332" xr:uid="{00000000-0005-0000-0000-0000D57C0000}"/>
    <cellStyle name="Normal 3 8 25 3" xfId="17918" xr:uid="{00000000-0005-0000-0000-0000D67C0000}"/>
    <cellStyle name="Normal 3 8 25 3 2" xfId="35333" xr:uid="{00000000-0005-0000-0000-0000D77C0000}"/>
    <cellStyle name="Normal 3 8 25 4" xfId="17919" xr:uid="{00000000-0005-0000-0000-0000D87C0000}"/>
    <cellStyle name="Normal 3 8 25 4 2" xfId="35334" xr:uid="{00000000-0005-0000-0000-0000D97C0000}"/>
    <cellStyle name="Normal 3 8 25 5" xfId="17920" xr:uid="{00000000-0005-0000-0000-0000DA7C0000}"/>
    <cellStyle name="Normal 3 8 25 5 2" xfId="35335" xr:uid="{00000000-0005-0000-0000-0000DB7C0000}"/>
    <cellStyle name="Normal 3 8 25 6" xfId="17921" xr:uid="{00000000-0005-0000-0000-0000DC7C0000}"/>
    <cellStyle name="Normal 3 8 25 6 2" xfId="35336" xr:uid="{00000000-0005-0000-0000-0000DD7C0000}"/>
    <cellStyle name="Normal 3 8 25 7" xfId="17922" xr:uid="{00000000-0005-0000-0000-0000DE7C0000}"/>
    <cellStyle name="Normal 3 8 25 7 2" xfId="35337" xr:uid="{00000000-0005-0000-0000-0000DF7C0000}"/>
    <cellStyle name="Normal 3 8 25 8" xfId="17923" xr:uid="{00000000-0005-0000-0000-0000E07C0000}"/>
    <cellStyle name="Normal 3 8 25 8 2" xfId="35338" xr:uid="{00000000-0005-0000-0000-0000E17C0000}"/>
    <cellStyle name="Normal 3 8 25 9" xfId="17924" xr:uid="{00000000-0005-0000-0000-0000E27C0000}"/>
    <cellStyle name="Normal 3 8 25 9 2" xfId="35339" xr:uid="{00000000-0005-0000-0000-0000E37C0000}"/>
    <cellStyle name="Normal 3 8 26" xfId="17925" xr:uid="{00000000-0005-0000-0000-0000E47C0000}"/>
    <cellStyle name="Normal 3 8 26 10" xfId="17926" xr:uid="{00000000-0005-0000-0000-0000E57C0000}"/>
    <cellStyle name="Normal 3 8 26 10 2" xfId="35341" xr:uid="{00000000-0005-0000-0000-0000E67C0000}"/>
    <cellStyle name="Normal 3 8 26 11" xfId="17927" xr:uid="{00000000-0005-0000-0000-0000E77C0000}"/>
    <cellStyle name="Normal 3 8 26 11 2" xfId="35342" xr:uid="{00000000-0005-0000-0000-0000E87C0000}"/>
    <cellStyle name="Normal 3 8 26 12" xfId="17928" xr:uid="{00000000-0005-0000-0000-0000E97C0000}"/>
    <cellStyle name="Normal 3 8 26 12 2" xfId="35343" xr:uid="{00000000-0005-0000-0000-0000EA7C0000}"/>
    <cellStyle name="Normal 3 8 26 13" xfId="17929" xr:uid="{00000000-0005-0000-0000-0000EB7C0000}"/>
    <cellStyle name="Normal 3 8 26 13 2" xfId="35344" xr:uid="{00000000-0005-0000-0000-0000EC7C0000}"/>
    <cellStyle name="Normal 3 8 26 14" xfId="17930" xr:uid="{00000000-0005-0000-0000-0000ED7C0000}"/>
    <cellStyle name="Normal 3 8 26 14 2" xfId="35345" xr:uid="{00000000-0005-0000-0000-0000EE7C0000}"/>
    <cellStyle name="Normal 3 8 26 15" xfId="35340" xr:uid="{00000000-0005-0000-0000-0000EF7C0000}"/>
    <cellStyle name="Normal 3 8 26 2" xfId="17931" xr:uid="{00000000-0005-0000-0000-0000F07C0000}"/>
    <cellStyle name="Normal 3 8 26 2 2" xfId="35346" xr:uid="{00000000-0005-0000-0000-0000F17C0000}"/>
    <cellStyle name="Normal 3 8 26 3" xfId="17932" xr:uid="{00000000-0005-0000-0000-0000F27C0000}"/>
    <cellStyle name="Normal 3 8 26 3 2" xfId="35347" xr:uid="{00000000-0005-0000-0000-0000F37C0000}"/>
    <cellStyle name="Normal 3 8 26 4" xfId="17933" xr:uid="{00000000-0005-0000-0000-0000F47C0000}"/>
    <cellStyle name="Normal 3 8 26 4 2" xfId="35348" xr:uid="{00000000-0005-0000-0000-0000F57C0000}"/>
    <cellStyle name="Normal 3 8 26 5" xfId="17934" xr:uid="{00000000-0005-0000-0000-0000F67C0000}"/>
    <cellStyle name="Normal 3 8 26 5 2" xfId="35349" xr:uid="{00000000-0005-0000-0000-0000F77C0000}"/>
    <cellStyle name="Normal 3 8 26 6" xfId="17935" xr:uid="{00000000-0005-0000-0000-0000F87C0000}"/>
    <cellStyle name="Normal 3 8 26 6 2" xfId="35350" xr:uid="{00000000-0005-0000-0000-0000F97C0000}"/>
    <cellStyle name="Normal 3 8 26 7" xfId="17936" xr:uid="{00000000-0005-0000-0000-0000FA7C0000}"/>
    <cellStyle name="Normal 3 8 26 7 2" xfId="35351" xr:uid="{00000000-0005-0000-0000-0000FB7C0000}"/>
    <cellStyle name="Normal 3 8 26 8" xfId="17937" xr:uid="{00000000-0005-0000-0000-0000FC7C0000}"/>
    <cellStyle name="Normal 3 8 26 8 2" xfId="35352" xr:uid="{00000000-0005-0000-0000-0000FD7C0000}"/>
    <cellStyle name="Normal 3 8 26 9" xfId="17938" xr:uid="{00000000-0005-0000-0000-0000FE7C0000}"/>
    <cellStyle name="Normal 3 8 26 9 2" xfId="35353" xr:uid="{00000000-0005-0000-0000-0000FF7C0000}"/>
    <cellStyle name="Normal 3 8 3" xfId="17939" xr:uid="{00000000-0005-0000-0000-0000007D0000}"/>
    <cellStyle name="Normal 3 8 4" xfId="17940" xr:uid="{00000000-0005-0000-0000-0000017D0000}"/>
    <cellStyle name="Normal 3 8 5" xfId="17941" xr:uid="{00000000-0005-0000-0000-0000027D0000}"/>
    <cellStyle name="Normal 3 8 6" xfId="17942" xr:uid="{00000000-0005-0000-0000-0000037D0000}"/>
    <cellStyle name="Normal 3 8 7" xfId="17943" xr:uid="{00000000-0005-0000-0000-0000047D0000}"/>
    <cellStyle name="Normal 3 8 8" xfId="17944" xr:uid="{00000000-0005-0000-0000-0000057D0000}"/>
    <cellStyle name="Normal 3 8 9" xfId="17945" xr:uid="{00000000-0005-0000-0000-0000067D0000}"/>
    <cellStyle name="Normal 3 9" xfId="17946" xr:uid="{00000000-0005-0000-0000-0000077D0000}"/>
    <cellStyle name="Normal 3 9 10" xfId="17947" xr:uid="{00000000-0005-0000-0000-0000087D0000}"/>
    <cellStyle name="Normal 3 9 11" xfId="17948" xr:uid="{00000000-0005-0000-0000-0000097D0000}"/>
    <cellStyle name="Normal 3 9 11 10" xfId="17949" xr:uid="{00000000-0005-0000-0000-00000A7D0000}"/>
    <cellStyle name="Normal 3 9 11 10 2" xfId="35355" xr:uid="{00000000-0005-0000-0000-00000B7D0000}"/>
    <cellStyle name="Normal 3 9 11 11" xfId="17950" xr:uid="{00000000-0005-0000-0000-00000C7D0000}"/>
    <cellStyle name="Normal 3 9 11 11 2" xfId="35356" xr:uid="{00000000-0005-0000-0000-00000D7D0000}"/>
    <cellStyle name="Normal 3 9 11 12" xfId="17951" xr:uid="{00000000-0005-0000-0000-00000E7D0000}"/>
    <cellStyle name="Normal 3 9 11 12 2" xfId="35357" xr:uid="{00000000-0005-0000-0000-00000F7D0000}"/>
    <cellStyle name="Normal 3 9 11 13" xfId="17952" xr:uid="{00000000-0005-0000-0000-0000107D0000}"/>
    <cellStyle name="Normal 3 9 11 13 2" xfId="35358" xr:uid="{00000000-0005-0000-0000-0000117D0000}"/>
    <cellStyle name="Normal 3 9 11 14" xfId="17953" xr:uid="{00000000-0005-0000-0000-0000127D0000}"/>
    <cellStyle name="Normal 3 9 11 14 2" xfId="35359" xr:uid="{00000000-0005-0000-0000-0000137D0000}"/>
    <cellStyle name="Normal 3 9 11 15" xfId="17954" xr:uid="{00000000-0005-0000-0000-0000147D0000}"/>
    <cellStyle name="Normal 3 9 11 15 2" xfId="35360" xr:uid="{00000000-0005-0000-0000-0000157D0000}"/>
    <cellStyle name="Normal 3 9 11 16" xfId="17955" xr:uid="{00000000-0005-0000-0000-0000167D0000}"/>
    <cellStyle name="Normal 3 9 11 16 2" xfId="35361" xr:uid="{00000000-0005-0000-0000-0000177D0000}"/>
    <cellStyle name="Normal 3 9 11 17" xfId="17956" xr:uid="{00000000-0005-0000-0000-0000187D0000}"/>
    <cellStyle name="Normal 3 9 11 17 2" xfId="35362" xr:uid="{00000000-0005-0000-0000-0000197D0000}"/>
    <cellStyle name="Normal 3 9 11 18" xfId="35354" xr:uid="{00000000-0005-0000-0000-00001A7D0000}"/>
    <cellStyle name="Normal 3 9 11 2" xfId="17957" xr:uid="{00000000-0005-0000-0000-00001B7D0000}"/>
    <cellStyle name="Normal 3 9 11 3" xfId="17958" xr:uid="{00000000-0005-0000-0000-00001C7D0000}"/>
    <cellStyle name="Normal 3 9 11 4" xfId="17959" xr:uid="{00000000-0005-0000-0000-00001D7D0000}"/>
    <cellStyle name="Normal 3 9 11 5" xfId="17960" xr:uid="{00000000-0005-0000-0000-00001E7D0000}"/>
    <cellStyle name="Normal 3 9 11 5 2" xfId="35363" xr:uid="{00000000-0005-0000-0000-00001F7D0000}"/>
    <cellStyle name="Normal 3 9 11 6" xfId="17961" xr:uid="{00000000-0005-0000-0000-0000207D0000}"/>
    <cellStyle name="Normal 3 9 11 6 2" xfId="35364" xr:uid="{00000000-0005-0000-0000-0000217D0000}"/>
    <cellStyle name="Normal 3 9 11 7" xfId="17962" xr:uid="{00000000-0005-0000-0000-0000227D0000}"/>
    <cellStyle name="Normal 3 9 11 7 2" xfId="35365" xr:uid="{00000000-0005-0000-0000-0000237D0000}"/>
    <cellStyle name="Normal 3 9 11 8" xfId="17963" xr:uid="{00000000-0005-0000-0000-0000247D0000}"/>
    <cellStyle name="Normal 3 9 11 8 2" xfId="35366" xr:uid="{00000000-0005-0000-0000-0000257D0000}"/>
    <cellStyle name="Normal 3 9 11 9" xfId="17964" xr:uid="{00000000-0005-0000-0000-0000267D0000}"/>
    <cellStyle name="Normal 3 9 11 9 2" xfId="35367" xr:uid="{00000000-0005-0000-0000-0000277D0000}"/>
    <cellStyle name="Normal 3 9 12" xfId="17965" xr:uid="{00000000-0005-0000-0000-0000287D0000}"/>
    <cellStyle name="Normal 3 9 13" xfId="17966" xr:uid="{00000000-0005-0000-0000-0000297D0000}"/>
    <cellStyle name="Normal 3 9 14" xfId="17967" xr:uid="{00000000-0005-0000-0000-00002A7D0000}"/>
    <cellStyle name="Normal 3 9 14 10" xfId="17968" xr:uid="{00000000-0005-0000-0000-00002B7D0000}"/>
    <cellStyle name="Normal 3 9 14 10 2" xfId="35369" xr:uid="{00000000-0005-0000-0000-00002C7D0000}"/>
    <cellStyle name="Normal 3 9 14 11" xfId="17969" xr:uid="{00000000-0005-0000-0000-00002D7D0000}"/>
    <cellStyle name="Normal 3 9 14 11 2" xfId="35370" xr:uid="{00000000-0005-0000-0000-00002E7D0000}"/>
    <cellStyle name="Normal 3 9 14 12" xfId="17970" xr:uid="{00000000-0005-0000-0000-00002F7D0000}"/>
    <cellStyle name="Normal 3 9 14 12 2" xfId="35371" xr:uid="{00000000-0005-0000-0000-0000307D0000}"/>
    <cellStyle name="Normal 3 9 14 13" xfId="17971" xr:uid="{00000000-0005-0000-0000-0000317D0000}"/>
    <cellStyle name="Normal 3 9 14 13 2" xfId="35372" xr:uid="{00000000-0005-0000-0000-0000327D0000}"/>
    <cellStyle name="Normal 3 9 14 14" xfId="17972" xr:uid="{00000000-0005-0000-0000-0000337D0000}"/>
    <cellStyle name="Normal 3 9 14 14 2" xfId="35373" xr:uid="{00000000-0005-0000-0000-0000347D0000}"/>
    <cellStyle name="Normal 3 9 14 15" xfId="17973" xr:uid="{00000000-0005-0000-0000-0000357D0000}"/>
    <cellStyle name="Normal 3 9 14 15 2" xfId="35374" xr:uid="{00000000-0005-0000-0000-0000367D0000}"/>
    <cellStyle name="Normal 3 9 14 16" xfId="35368" xr:uid="{00000000-0005-0000-0000-0000377D0000}"/>
    <cellStyle name="Normal 3 9 14 2" xfId="17974" xr:uid="{00000000-0005-0000-0000-0000387D0000}"/>
    <cellStyle name="Normal 3 9 14 2 10" xfId="17975" xr:uid="{00000000-0005-0000-0000-0000397D0000}"/>
    <cellStyle name="Normal 3 9 14 2 10 2" xfId="35376" xr:uid="{00000000-0005-0000-0000-00003A7D0000}"/>
    <cellStyle name="Normal 3 9 14 2 11" xfId="17976" xr:uid="{00000000-0005-0000-0000-00003B7D0000}"/>
    <cellStyle name="Normal 3 9 14 2 11 2" xfId="35377" xr:uid="{00000000-0005-0000-0000-00003C7D0000}"/>
    <cellStyle name="Normal 3 9 14 2 12" xfId="17977" xr:uid="{00000000-0005-0000-0000-00003D7D0000}"/>
    <cellStyle name="Normal 3 9 14 2 12 2" xfId="35378" xr:uid="{00000000-0005-0000-0000-00003E7D0000}"/>
    <cellStyle name="Normal 3 9 14 2 13" xfId="17978" xr:uid="{00000000-0005-0000-0000-00003F7D0000}"/>
    <cellStyle name="Normal 3 9 14 2 13 2" xfId="35379" xr:uid="{00000000-0005-0000-0000-0000407D0000}"/>
    <cellStyle name="Normal 3 9 14 2 14" xfId="17979" xr:uid="{00000000-0005-0000-0000-0000417D0000}"/>
    <cellStyle name="Normal 3 9 14 2 14 2" xfId="35380" xr:uid="{00000000-0005-0000-0000-0000427D0000}"/>
    <cellStyle name="Normal 3 9 14 2 15" xfId="35375" xr:uid="{00000000-0005-0000-0000-0000437D0000}"/>
    <cellStyle name="Normal 3 9 14 2 2" xfId="17980" xr:uid="{00000000-0005-0000-0000-0000447D0000}"/>
    <cellStyle name="Normal 3 9 14 2 2 2" xfId="35381" xr:uid="{00000000-0005-0000-0000-0000457D0000}"/>
    <cellStyle name="Normal 3 9 14 2 3" xfId="17981" xr:uid="{00000000-0005-0000-0000-0000467D0000}"/>
    <cellStyle name="Normal 3 9 14 2 3 2" xfId="35382" xr:uid="{00000000-0005-0000-0000-0000477D0000}"/>
    <cellStyle name="Normal 3 9 14 2 4" xfId="17982" xr:uid="{00000000-0005-0000-0000-0000487D0000}"/>
    <cellStyle name="Normal 3 9 14 2 4 2" xfId="35383" xr:uid="{00000000-0005-0000-0000-0000497D0000}"/>
    <cellStyle name="Normal 3 9 14 2 5" xfId="17983" xr:uid="{00000000-0005-0000-0000-00004A7D0000}"/>
    <cellStyle name="Normal 3 9 14 2 5 2" xfId="35384" xr:uid="{00000000-0005-0000-0000-00004B7D0000}"/>
    <cellStyle name="Normal 3 9 14 2 6" xfId="17984" xr:uid="{00000000-0005-0000-0000-00004C7D0000}"/>
    <cellStyle name="Normal 3 9 14 2 6 2" xfId="35385" xr:uid="{00000000-0005-0000-0000-00004D7D0000}"/>
    <cellStyle name="Normal 3 9 14 2 7" xfId="17985" xr:uid="{00000000-0005-0000-0000-00004E7D0000}"/>
    <cellStyle name="Normal 3 9 14 2 7 2" xfId="35386" xr:uid="{00000000-0005-0000-0000-00004F7D0000}"/>
    <cellStyle name="Normal 3 9 14 2 8" xfId="17986" xr:uid="{00000000-0005-0000-0000-0000507D0000}"/>
    <cellStyle name="Normal 3 9 14 2 8 2" xfId="35387" xr:uid="{00000000-0005-0000-0000-0000517D0000}"/>
    <cellStyle name="Normal 3 9 14 2 9" xfId="17987" xr:uid="{00000000-0005-0000-0000-0000527D0000}"/>
    <cellStyle name="Normal 3 9 14 2 9 2" xfId="35388" xr:uid="{00000000-0005-0000-0000-0000537D0000}"/>
    <cellStyle name="Normal 3 9 14 3" xfId="17988" xr:uid="{00000000-0005-0000-0000-0000547D0000}"/>
    <cellStyle name="Normal 3 9 14 3 2" xfId="35389" xr:uid="{00000000-0005-0000-0000-0000557D0000}"/>
    <cellStyle name="Normal 3 9 14 4" xfId="17989" xr:uid="{00000000-0005-0000-0000-0000567D0000}"/>
    <cellStyle name="Normal 3 9 14 4 2" xfId="35390" xr:uid="{00000000-0005-0000-0000-0000577D0000}"/>
    <cellStyle name="Normal 3 9 14 5" xfId="17990" xr:uid="{00000000-0005-0000-0000-0000587D0000}"/>
    <cellStyle name="Normal 3 9 14 5 2" xfId="35391" xr:uid="{00000000-0005-0000-0000-0000597D0000}"/>
    <cellStyle name="Normal 3 9 14 6" xfId="17991" xr:uid="{00000000-0005-0000-0000-00005A7D0000}"/>
    <cellStyle name="Normal 3 9 14 6 2" xfId="35392" xr:uid="{00000000-0005-0000-0000-00005B7D0000}"/>
    <cellStyle name="Normal 3 9 14 7" xfId="17992" xr:uid="{00000000-0005-0000-0000-00005C7D0000}"/>
    <cellStyle name="Normal 3 9 14 7 2" xfId="35393" xr:uid="{00000000-0005-0000-0000-00005D7D0000}"/>
    <cellStyle name="Normal 3 9 14 8" xfId="17993" xr:uid="{00000000-0005-0000-0000-00005E7D0000}"/>
    <cellStyle name="Normal 3 9 14 8 2" xfId="35394" xr:uid="{00000000-0005-0000-0000-00005F7D0000}"/>
    <cellStyle name="Normal 3 9 14 9" xfId="17994" xr:uid="{00000000-0005-0000-0000-0000607D0000}"/>
    <cellStyle name="Normal 3 9 14 9 2" xfId="35395" xr:uid="{00000000-0005-0000-0000-0000617D0000}"/>
    <cellStyle name="Normal 3 9 15" xfId="17995" xr:uid="{00000000-0005-0000-0000-0000627D0000}"/>
    <cellStyle name="Normal 3 9 15 10" xfId="17996" xr:uid="{00000000-0005-0000-0000-0000637D0000}"/>
    <cellStyle name="Normal 3 9 15 10 2" xfId="35397" xr:uid="{00000000-0005-0000-0000-0000647D0000}"/>
    <cellStyle name="Normal 3 9 15 11" xfId="17997" xr:uid="{00000000-0005-0000-0000-0000657D0000}"/>
    <cellStyle name="Normal 3 9 15 11 2" xfId="35398" xr:uid="{00000000-0005-0000-0000-0000667D0000}"/>
    <cellStyle name="Normal 3 9 15 12" xfId="17998" xr:uid="{00000000-0005-0000-0000-0000677D0000}"/>
    <cellStyle name="Normal 3 9 15 12 2" xfId="35399" xr:uid="{00000000-0005-0000-0000-0000687D0000}"/>
    <cellStyle name="Normal 3 9 15 13" xfId="17999" xr:uid="{00000000-0005-0000-0000-0000697D0000}"/>
    <cellStyle name="Normal 3 9 15 13 2" xfId="35400" xr:uid="{00000000-0005-0000-0000-00006A7D0000}"/>
    <cellStyle name="Normal 3 9 15 14" xfId="18000" xr:uid="{00000000-0005-0000-0000-00006B7D0000}"/>
    <cellStyle name="Normal 3 9 15 14 2" xfId="35401" xr:uid="{00000000-0005-0000-0000-00006C7D0000}"/>
    <cellStyle name="Normal 3 9 15 15" xfId="18001" xr:uid="{00000000-0005-0000-0000-00006D7D0000}"/>
    <cellStyle name="Normal 3 9 15 15 2" xfId="35402" xr:uid="{00000000-0005-0000-0000-00006E7D0000}"/>
    <cellStyle name="Normal 3 9 15 16" xfId="35396" xr:uid="{00000000-0005-0000-0000-00006F7D0000}"/>
    <cellStyle name="Normal 3 9 15 2" xfId="18002" xr:uid="{00000000-0005-0000-0000-0000707D0000}"/>
    <cellStyle name="Normal 3 9 15 2 10" xfId="18003" xr:uid="{00000000-0005-0000-0000-0000717D0000}"/>
    <cellStyle name="Normal 3 9 15 2 10 2" xfId="35404" xr:uid="{00000000-0005-0000-0000-0000727D0000}"/>
    <cellStyle name="Normal 3 9 15 2 11" xfId="18004" xr:uid="{00000000-0005-0000-0000-0000737D0000}"/>
    <cellStyle name="Normal 3 9 15 2 11 2" xfId="35405" xr:uid="{00000000-0005-0000-0000-0000747D0000}"/>
    <cellStyle name="Normal 3 9 15 2 12" xfId="18005" xr:uid="{00000000-0005-0000-0000-0000757D0000}"/>
    <cellStyle name="Normal 3 9 15 2 12 2" xfId="35406" xr:uid="{00000000-0005-0000-0000-0000767D0000}"/>
    <cellStyle name="Normal 3 9 15 2 13" xfId="18006" xr:uid="{00000000-0005-0000-0000-0000777D0000}"/>
    <cellStyle name="Normal 3 9 15 2 13 2" xfId="35407" xr:uid="{00000000-0005-0000-0000-0000787D0000}"/>
    <cellStyle name="Normal 3 9 15 2 14" xfId="18007" xr:uid="{00000000-0005-0000-0000-0000797D0000}"/>
    <cellStyle name="Normal 3 9 15 2 14 2" xfId="35408" xr:uid="{00000000-0005-0000-0000-00007A7D0000}"/>
    <cellStyle name="Normal 3 9 15 2 15" xfId="35403" xr:uid="{00000000-0005-0000-0000-00007B7D0000}"/>
    <cellStyle name="Normal 3 9 15 2 2" xfId="18008" xr:uid="{00000000-0005-0000-0000-00007C7D0000}"/>
    <cellStyle name="Normal 3 9 15 2 2 2" xfId="35409" xr:uid="{00000000-0005-0000-0000-00007D7D0000}"/>
    <cellStyle name="Normal 3 9 15 2 3" xfId="18009" xr:uid="{00000000-0005-0000-0000-00007E7D0000}"/>
    <cellStyle name="Normal 3 9 15 2 3 2" xfId="35410" xr:uid="{00000000-0005-0000-0000-00007F7D0000}"/>
    <cellStyle name="Normal 3 9 15 2 4" xfId="18010" xr:uid="{00000000-0005-0000-0000-0000807D0000}"/>
    <cellStyle name="Normal 3 9 15 2 4 2" xfId="35411" xr:uid="{00000000-0005-0000-0000-0000817D0000}"/>
    <cellStyle name="Normal 3 9 15 2 5" xfId="18011" xr:uid="{00000000-0005-0000-0000-0000827D0000}"/>
    <cellStyle name="Normal 3 9 15 2 5 2" xfId="35412" xr:uid="{00000000-0005-0000-0000-0000837D0000}"/>
    <cellStyle name="Normal 3 9 15 2 6" xfId="18012" xr:uid="{00000000-0005-0000-0000-0000847D0000}"/>
    <cellStyle name="Normal 3 9 15 2 6 2" xfId="35413" xr:uid="{00000000-0005-0000-0000-0000857D0000}"/>
    <cellStyle name="Normal 3 9 15 2 7" xfId="18013" xr:uid="{00000000-0005-0000-0000-0000867D0000}"/>
    <cellStyle name="Normal 3 9 15 2 7 2" xfId="35414" xr:uid="{00000000-0005-0000-0000-0000877D0000}"/>
    <cellStyle name="Normal 3 9 15 2 8" xfId="18014" xr:uid="{00000000-0005-0000-0000-0000887D0000}"/>
    <cellStyle name="Normal 3 9 15 2 8 2" xfId="35415" xr:uid="{00000000-0005-0000-0000-0000897D0000}"/>
    <cellStyle name="Normal 3 9 15 2 9" xfId="18015" xr:uid="{00000000-0005-0000-0000-00008A7D0000}"/>
    <cellStyle name="Normal 3 9 15 2 9 2" xfId="35416" xr:uid="{00000000-0005-0000-0000-00008B7D0000}"/>
    <cellStyle name="Normal 3 9 15 3" xfId="18016" xr:uid="{00000000-0005-0000-0000-00008C7D0000}"/>
    <cellStyle name="Normal 3 9 15 3 2" xfId="35417" xr:uid="{00000000-0005-0000-0000-00008D7D0000}"/>
    <cellStyle name="Normal 3 9 15 4" xfId="18017" xr:uid="{00000000-0005-0000-0000-00008E7D0000}"/>
    <cellStyle name="Normal 3 9 15 4 2" xfId="35418" xr:uid="{00000000-0005-0000-0000-00008F7D0000}"/>
    <cellStyle name="Normal 3 9 15 5" xfId="18018" xr:uid="{00000000-0005-0000-0000-0000907D0000}"/>
    <cellStyle name="Normal 3 9 15 5 2" xfId="35419" xr:uid="{00000000-0005-0000-0000-0000917D0000}"/>
    <cellStyle name="Normal 3 9 15 6" xfId="18019" xr:uid="{00000000-0005-0000-0000-0000927D0000}"/>
    <cellStyle name="Normal 3 9 15 6 2" xfId="35420" xr:uid="{00000000-0005-0000-0000-0000937D0000}"/>
    <cellStyle name="Normal 3 9 15 7" xfId="18020" xr:uid="{00000000-0005-0000-0000-0000947D0000}"/>
    <cellStyle name="Normal 3 9 15 7 2" xfId="35421" xr:uid="{00000000-0005-0000-0000-0000957D0000}"/>
    <cellStyle name="Normal 3 9 15 8" xfId="18021" xr:uid="{00000000-0005-0000-0000-0000967D0000}"/>
    <cellStyle name="Normal 3 9 15 8 2" xfId="35422" xr:uid="{00000000-0005-0000-0000-0000977D0000}"/>
    <cellStyle name="Normal 3 9 15 9" xfId="18022" xr:uid="{00000000-0005-0000-0000-0000987D0000}"/>
    <cellStyle name="Normal 3 9 15 9 2" xfId="35423" xr:uid="{00000000-0005-0000-0000-0000997D0000}"/>
    <cellStyle name="Normal 3 9 16" xfId="18023" xr:uid="{00000000-0005-0000-0000-00009A7D0000}"/>
    <cellStyle name="Normal 3 9 16 10" xfId="18024" xr:uid="{00000000-0005-0000-0000-00009B7D0000}"/>
    <cellStyle name="Normal 3 9 16 10 2" xfId="35425" xr:uid="{00000000-0005-0000-0000-00009C7D0000}"/>
    <cellStyle name="Normal 3 9 16 11" xfId="18025" xr:uid="{00000000-0005-0000-0000-00009D7D0000}"/>
    <cellStyle name="Normal 3 9 16 11 2" xfId="35426" xr:uid="{00000000-0005-0000-0000-00009E7D0000}"/>
    <cellStyle name="Normal 3 9 16 12" xfId="18026" xr:uid="{00000000-0005-0000-0000-00009F7D0000}"/>
    <cellStyle name="Normal 3 9 16 12 2" xfId="35427" xr:uid="{00000000-0005-0000-0000-0000A07D0000}"/>
    <cellStyle name="Normal 3 9 16 13" xfId="18027" xr:uid="{00000000-0005-0000-0000-0000A17D0000}"/>
    <cellStyle name="Normal 3 9 16 13 2" xfId="35428" xr:uid="{00000000-0005-0000-0000-0000A27D0000}"/>
    <cellStyle name="Normal 3 9 16 14" xfId="18028" xr:uid="{00000000-0005-0000-0000-0000A37D0000}"/>
    <cellStyle name="Normal 3 9 16 14 2" xfId="35429" xr:uid="{00000000-0005-0000-0000-0000A47D0000}"/>
    <cellStyle name="Normal 3 9 16 15" xfId="18029" xr:uid="{00000000-0005-0000-0000-0000A57D0000}"/>
    <cellStyle name="Normal 3 9 16 15 2" xfId="35430" xr:uid="{00000000-0005-0000-0000-0000A67D0000}"/>
    <cellStyle name="Normal 3 9 16 16" xfId="35424" xr:uid="{00000000-0005-0000-0000-0000A77D0000}"/>
    <cellStyle name="Normal 3 9 16 2" xfId="18030" xr:uid="{00000000-0005-0000-0000-0000A87D0000}"/>
    <cellStyle name="Normal 3 9 16 2 10" xfId="18031" xr:uid="{00000000-0005-0000-0000-0000A97D0000}"/>
    <cellStyle name="Normal 3 9 16 2 10 2" xfId="35432" xr:uid="{00000000-0005-0000-0000-0000AA7D0000}"/>
    <cellStyle name="Normal 3 9 16 2 11" xfId="18032" xr:uid="{00000000-0005-0000-0000-0000AB7D0000}"/>
    <cellStyle name="Normal 3 9 16 2 11 2" xfId="35433" xr:uid="{00000000-0005-0000-0000-0000AC7D0000}"/>
    <cellStyle name="Normal 3 9 16 2 12" xfId="18033" xr:uid="{00000000-0005-0000-0000-0000AD7D0000}"/>
    <cellStyle name="Normal 3 9 16 2 12 2" xfId="35434" xr:uid="{00000000-0005-0000-0000-0000AE7D0000}"/>
    <cellStyle name="Normal 3 9 16 2 13" xfId="18034" xr:uid="{00000000-0005-0000-0000-0000AF7D0000}"/>
    <cellStyle name="Normal 3 9 16 2 13 2" xfId="35435" xr:uid="{00000000-0005-0000-0000-0000B07D0000}"/>
    <cellStyle name="Normal 3 9 16 2 14" xfId="18035" xr:uid="{00000000-0005-0000-0000-0000B17D0000}"/>
    <cellStyle name="Normal 3 9 16 2 14 2" xfId="35436" xr:uid="{00000000-0005-0000-0000-0000B27D0000}"/>
    <cellStyle name="Normal 3 9 16 2 15" xfId="35431" xr:uid="{00000000-0005-0000-0000-0000B37D0000}"/>
    <cellStyle name="Normal 3 9 16 2 2" xfId="18036" xr:uid="{00000000-0005-0000-0000-0000B47D0000}"/>
    <cellStyle name="Normal 3 9 16 2 2 2" xfId="35437" xr:uid="{00000000-0005-0000-0000-0000B57D0000}"/>
    <cellStyle name="Normal 3 9 16 2 3" xfId="18037" xr:uid="{00000000-0005-0000-0000-0000B67D0000}"/>
    <cellStyle name="Normal 3 9 16 2 3 2" xfId="35438" xr:uid="{00000000-0005-0000-0000-0000B77D0000}"/>
    <cellStyle name="Normal 3 9 16 2 4" xfId="18038" xr:uid="{00000000-0005-0000-0000-0000B87D0000}"/>
    <cellStyle name="Normal 3 9 16 2 4 2" xfId="35439" xr:uid="{00000000-0005-0000-0000-0000B97D0000}"/>
    <cellStyle name="Normal 3 9 16 2 5" xfId="18039" xr:uid="{00000000-0005-0000-0000-0000BA7D0000}"/>
    <cellStyle name="Normal 3 9 16 2 5 2" xfId="35440" xr:uid="{00000000-0005-0000-0000-0000BB7D0000}"/>
    <cellStyle name="Normal 3 9 16 2 6" xfId="18040" xr:uid="{00000000-0005-0000-0000-0000BC7D0000}"/>
    <cellStyle name="Normal 3 9 16 2 6 2" xfId="35441" xr:uid="{00000000-0005-0000-0000-0000BD7D0000}"/>
    <cellStyle name="Normal 3 9 16 2 7" xfId="18041" xr:uid="{00000000-0005-0000-0000-0000BE7D0000}"/>
    <cellStyle name="Normal 3 9 16 2 7 2" xfId="35442" xr:uid="{00000000-0005-0000-0000-0000BF7D0000}"/>
    <cellStyle name="Normal 3 9 16 2 8" xfId="18042" xr:uid="{00000000-0005-0000-0000-0000C07D0000}"/>
    <cellStyle name="Normal 3 9 16 2 8 2" xfId="35443" xr:uid="{00000000-0005-0000-0000-0000C17D0000}"/>
    <cellStyle name="Normal 3 9 16 2 9" xfId="18043" xr:uid="{00000000-0005-0000-0000-0000C27D0000}"/>
    <cellStyle name="Normal 3 9 16 2 9 2" xfId="35444" xr:uid="{00000000-0005-0000-0000-0000C37D0000}"/>
    <cellStyle name="Normal 3 9 16 3" xfId="18044" xr:uid="{00000000-0005-0000-0000-0000C47D0000}"/>
    <cellStyle name="Normal 3 9 16 3 2" xfId="35445" xr:uid="{00000000-0005-0000-0000-0000C57D0000}"/>
    <cellStyle name="Normal 3 9 16 4" xfId="18045" xr:uid="{00000000-0005-0000-0000-0000C67D0000}"/>
    <cellStyle name="Normal 3 9 16 4 2" xfId="35446" xr:uid="{00000000-0005-0000-0000-0000C77D0000}"/>
    <cellStyle name="Normal 3 9 16 5" xfId="18046" xr:uid="{00000000-0005-0000-0000-0000C87D0000}"/>
    <cellStyle name="Normal 3 9 16 5 2" xfId="35447" xr:uid="{00000000-0005-0000-0000-0000C97D0000}"/>
    <cellStyle name="Normal 3 9 16 6" xfId="18047" xr:uid="{00000000-0005-0000-0000-0000CA7D0000}"/>
    <cellStyle name="Normal 3 9 16 6 2" xfId="35448" xr:uid="{00000000-0005-0000-0000-0000CB7D0000}"/>
    <cellStyle name="Normal 3 9 16 7" xfId="18048" xr:uid="{00000000-0005-0000-0000-0000CC7D0000}"/>
    <cellStyle name="Normal 3 9 16 7 2" xfId="35449" xr:uid="{00000000-0005-0000-0000-0000CD7D0000}"/>
    <cellStyle name="Normal 3 9 16 8" xfId="18049" xr:uid="{00000000-0005-0000-0000-0000CE7D0000}"/>
    <cellStyle name="Normal 3 9 16 8 2" xfId="35450" xr:uid="{00000000-0005-0000-0000-0000CF7D0000}"/>
    <cellStyle name="Normal 3 9 16 9" xfId="18050" xr:uid="{00000000-0005-0000-0000-0000D07D0000}"/>
    <cellStyle name="Normal 3 9 16 9 2" xfId="35451" xr:uid="{00000000-0005-0000-0000-0000D17D0000}"/>
    <cellStyle name="Normal 3 9 17" xfId="18051" xr:uid="{00000000-0005-0000-0000-0000D27D0000}"/>
    <cellStyle name="Normal 3 9 17 10" xfId="18052" xr:uid="{00000000-0005-0000-0000-0000D37D0000}"/>
    <cellStyle name="Normal 3 9 17 10 2" xfId="35453" xr:uid="{00000000-0005-0000-0000-0000D47D0000}"/>
    <cellStyle name="Normal 3 9 17 11" xfId="18053" xr:uid="{00000000-0005-0000-0000-0000D57D0000}"/>
    <cellStyle name="Normal 3 9 17 11 2" xfId="35454" xr:uid="{00000000-0005-0000-0000-0000D67D0000}"/>
    <cellStyle name="Normal 3 9 17 12" xfId="18054" xr:uid="{00000000-0005-0000-0000-0000D77D0000}"/>
    <cellStyle name="Normal 3 9 17 12 2" xfId="35455" xr:uid="{00000000-0005-0000-0000-0000D87D0000}"/>
    <cellStyle name="Normal 3 9 17 13" xfId="18055" xr:uid="{00000000-0005-0000-0000-0000D97D0000}"/>
    <cellStyle name="Normal 3 9 17 13 2" xfId="35456" xr:uid="{00000000-0005-0000-0000-0000DA7D0000}"/>
    <cellStyle name="Normal 3 9 17 14" xfId="18056" xr:uid="{00000000-0005-0000-0000-0000DB7D0000}"/>
    <cellStyle name="Normal 3 9 17 14 2" xfId="35457" xr:uid="{00000000-0005-0000-0000-0000DC7D0000}"/>
    <cellStyle name="Normal 3 9 17 15" xfId="35452" xr:uid="{00000000-0005-0000-0000-0000DD7D0000}"/>
    <cellStyle name="Normal 3 9 17 2" xfId="18057" xr:uid="{00000000-0005-0000-0000-0000DE7D0000}"/>
    <cellStyle name="Normal 3 9 17 2 2" xfId="35458" xr:uid="{00000000-0005-0000-0000-0000DF7D0000}"/>
    <cellStyle name="Normal 3 9 17 3" xfId="18058" xr:uid="{00000000-0005-0000-0000-0000E07D0000}"/>
    <cellStyle name="Normal 3 9 17 3 2" xfId="35459" xr:uid="{00000000-0005-0000-0000-0000E17D0000}"/>
    <cellStyle name="Normal 3 9 17 4" xfId="18059" xr:uid="{00000000-0005-0000-0000-0000E27D0000}"/>
    <cellStyle name="Normal 3 9 17 4 2" xfId="35460" xr:uid="{00000000-0005-0000-0000-0000E37D0000}"/>
    <cellStyle name="Normal 3 9 17 5" xfId="18060" xr:uid="{00000000-0005-0000-0000-0000E47D0000}"/>
    <cellStyle name="Normal 3 9 17 5 2" xfId="35461" xr:uid="{00000000-0005-0000-0000-0000E57D0000}"/>
    <cellStyle name="Normal 3 9 17 6" xfId="18061" xr:uid="{00000000-0005-0000-0000-0000E67D0000}"/>
    <cellStyle name="Normal 3 9 17 6 2" xfId="35462" xr:uid="{00000000-0005-0000-0000-0000E77D0000}"/>
    <cellStyle name="Normal 3 9 17 7" xfId="18062" xr:uid="{00000000-0005-0000-0000-0000E87D0000}"/>
    <cellStyle name="Normal 3 9 17 7 2" xfId="35463" xr:uid="{00000000-0005-0000-0000-0000E97D0000}"/>
    <cellStyle name="Normal 3 9 17 8" xfId="18063" xr:uid="{00000000-0005-0000-0000-0000EA7D0000}"/>
    <cellStyle name="Normal 3 9 17 8 2" xfId="35464" xr:uid="{00000000-0005-0000-0000-0000EB7D0000}"/>
    <cellStyle name="Normal 3 9 17 9" xfId="18064" xr:uid="{00000000-0005-0000-0000-0000EC7D0000}"/>
    <cellStyle name="Normal 3 9 17 9 2" xfId="35465" xr:uid="{00000000-0005-0000-0000-0000ED7D0000}"/>
    <cellStyle name="Normal 3 9 18" xfId="18065" xr:uid="{00000000-0005-0000-0000-0000EE7D0000}"/>
    <cellStyle name="Normal 3 9 18 10" xfId="18066" xr:uid="{00000000-0005-0000-0000-0000EF7D0000}"/>
    <cellStyle name="Normal 3 9 18 10 2" xfId="35467" xr:uid="{00000000-0005-0000-0000-0000F07D0000}"/>
    <cellStyle name="Normal 3 9 18 11" xfId="18067" xr:uid="{00000000-0005-0000-0000-0000F17D0000}"/>
    <cellStyle name="Normal 3 9 18 11 2" xfId="35468" xr:uid="{00000000-0005-0000-0000-0000F27D0000}"/>
    <cellStyle name="Normal 3 9 18 12" xfId="18068" xr:uid="{00000000-0005-0000-0000-0000F37D0000}"/>
    <cellStyle name="Normal 3 9 18 12 2" xfId="35469" xr:uid="{00000000-0005-0000-0000-0000F47D0000}"/>
    <cellStyle name="Normal 3 9 18 13" xfId="18069" xr:uid="{00000000-0005-0000-0000-0000F57D0000}"/>
    <cellStyle name="Normal 3 9 18 13 2" xfId="35470" xr:uid="{00000000-0005-0000-0000-0000F67D0000}"/>
    <cellStyle name="Normal 3 9 18 14" xfId="18070" xr:uid="{00000000-0005-0000-0000-0000F77D0000}"/>
    <cellStyle name="Normal 3 9 18 14 2" xfId="35471" xr:uid="{00000000-0005-0000-0000-0000F87D0000}"/>
    <cellStyle name="Normal 3 9 18 15" xfId="35466" xr:uid="{00000000-0005-0000-0000-0000F97D0000}"/>
    <cellStyle name="Normal 3 9 18 2" xfId="18071" xr:uid="{00000000-0005-0000-0000-0000FA7D0000}"/>
    <cellStyle name="Normal 3 9 18 2 2" xfId="35472" xr:uid="{00000000-0005-0000-0000-0000FB7D0000}"/>
    <cellStyle name="Normal 3 9 18 3" xfId="18072" xr:uid="{00000000-0005-0000-0000-0000FC7D0000}"/>
    <cellStyle name="Normal 3 9 18 3 2" xfId="35473" xr:uid="{00000000-0005-0000-0000-0000FD7D0000}"/>
    <cellStyle name="Normal 3 9 18 4" xfId="18073" xr:uid="{00000000-0005-0000-0000-0000FE7D0000}"/>
    <cellStyle name="Normal 3 9 18 4 2" xfId="35474" xr:uid="{00000000-0005-0000-0000-0000FF7D0000}"/>
    <cellStyle name="Normal 3 9 18 5" xfId="18074" xr:uid="{00000000-0005-0000-0000-0000007E0000}"/>
    <cellStyle name="Normal 3 9 18 5 2" xfId="35475" xr:uid="{00000000-0005-0000-0000-0000017E0000}"/>
    <cellStyle name="Normal 3 9 18 6" xfId="18075" xr:uid="{00000000-0005-0000-0000-0000027E0000}"/>
    <cellStyle name="Normal 3 9 18 6 2" xfId="35476" xr:uid="{00000000-0005-0000-0000-0000037E0000}"/>
    <cellStyle name="Normal 3 9 18 7" xfId="18076" xr:uid="{00000000-0005-0000-0000-0000047E0000}"/>
    <cellStyle name="Normal 3 9 18 7 2" xfId="35477" xr:uid="{00000000-0005-0000-0000-0000057E0000}"/>
    <cellStyle name="Normal 3 9 18 8" xfId="18077" xr:uid="{00000000-0005-0000-0000-0000067E0000}"/>
    <cellStyle name="Normal 3 9 18 8 2" xfId="35478" xr:uid="{00000000-0005-0000-0000-0000077E0000}"/>
    <cellStyle name="Normal 3 9 18 9" xfId="18078" xr:uid="{00000000-0005-0000-0000-0000087E0000}"/>
    <cellStyle name="Normal 3 9 18 9 2" xfId="35479" xr:uid="{00000000-0005-0000-0000-0000097E0000}"/>
    <cellStyle name="Normal 3 9 19" xfId="18079" xr:uid="{00000000-0005-0000-0000-00000A7E0000}"/>
    <cellStyle name="Normal 3 9 19 10" xfId="18080" xr:uid="{00000000-0005-0000-0000-00000B7E0000}"/>
    <cellStyle name="Normal 3 9 19 10 2" xfId="35481" xr:uid="{00000000-0005-0000-0000-00000C7E0000}"/>
    <cellStyle name="Normal 3 9 19 11" xfId="18081" xr:uid="{00000000-0005-0000-0000-00000D7E0000}"/>
    <cellStyle name="Normal 3 9 19 11 2" xfId="35482" xr:uid="{00000000-0005-0000-0000-00000E7E0000}"/>
    <cellStyle name="Normal 3 9 19 12" xfId="18082" xr:uid="{00000000-0005-0000-0000-00000F7E0000}"/>
    <cellStyle name="Normal 3 9 19 12 2" xfId="35483" xr:uid="{00000000-0005-0000-0000-0000107E0000}"/>
    <cellStyle name="Normal 3 9 19 13" xfId="18083" xr:uid="{00000000-0005-0000-0000-0000117E0000}"/>
    <cellStyle name="Normal 3 9 19 13 2" xfId="35484" xr:uid="{00000000-0005-0000-0000-0000127E0000}"/>
    <cellStyle name="Normal 3 9 19 14" xfId="18084" xr:uid="{00000000-0005-0000-0000-0000137E0000}"/>
    <cellStyle name="Normal 3 9 19 14 2" xfId="35485" xr:uid="{00000000-0005-0000-0000-0000147E0000}"/>
    <cellStyle name="Normal 3 9 19 15" xfId="35480" xr:uid="{00000000-0005-0000-0000-0000157E0000}"/>
    <cellStyle name="Normal 3 9 19 2" xfId="18085" xr:uid="{00000000-0005-0000-0000-0000167E0000}"/>
    <cellStyle name="Normal 3 9 19 2 2" xfId="35486" xr:uid="{00000000-0005-0000-0000-0000177E0000}"/>
    <cellStyle name="Normal 3 9 19 3" xfId="18086" xr:uid="{00000000-0005-0000-0000-0000187E0000}"/>
    <cellStyle name="Normal 3 9 19 3 2" xfId="35487" xr:uid="{00000000-0005-0000-0000-0000197E0000}"/>
    <cellStyle name="Normal 3 9 19 4" xfId="18087" xr:uid="{00000000-0005-0000-0000-00001A7E0000}"/>
    <cellStyle name="Normal 3 9 19 4 2" xfId="35488" xr:uid="{00000000-0005-0000-0000-00001B7E0000}"/>
    <cellStyle name="Normal 3 9 19 5" xfId="18088" xr:uid="{00000000-0005-0000-0000-00001C7E0000}"/>
    <cellStyle name="Normal 3 9 19 5 2" xfId="35489" xr:uid="{00000000-0005-0000-0000-00001D7E0000}"/>
    <cellStyle name="Normal 3 9 19 6" xfId="18089" xr:uid="{00000000-0005-0000-0000-00001E7E0000}"/>
    <cellStyle name="Normal 3 9 19 6 2" xfId="35490" xr:uid="{00000000-0005-0000-0000-00001F7E0000}"/>
    <cellStyle name="Normal 3 9 19 7" xfId="18090" xr:uid="{00000000-0005-0000-0000-0000207E0000}"/>
    <cellStyle name="Normal 3 9 19 7 2" xfId="35491" xr:uid="{00000000-0005-0000-0000-0000217E0000}"/>
    <cellStyle name="Normal 3 9 19 8" xfId="18091" xr:uid="{00000000-0005-0000-0000-0000227E0000}"/>
    <cellStyle name="Normal 3 9 19 8 2" xfId="35492" xr:uid="{00000000-0005-0000-0000-0000237E0000}"/>
    <cellStyle name="Normal 3 9 19 9" xfId="18092" xr:uid="{00000000-0005-0000-0000-0000247E0000}"/>
    <cellStyle name="Normal 3 9 19 9 2" xfId="35493" xr:uid="{00000000-0005-0000-0000-0000257E0000}"/>
    <cellStyle name="Normal 3 9 2" xfId="18093" xr:uid="{00000000-0005-0000-0000-0000267E0000}"/>
    <cellStyle name="Normal 3 9 20" xfId="18094" xr:uid="{00000000-0005-0000-0000-0000277E0000}"/>
    <cellStyle name="Normal 3 9 20 10" xfId="18095" xr:uid="{00000000-0005-0000-0000-0000287E0000}"/>
    <cellStyle name="Normal 3 9 20 10 2" xfId="35495" xr:uid="{00000000-0005-0000-0000-0000297E0000}"/>
    <cellStyle name="Normal 3 9 20 11" xfId="18096" xr:uid="{00000000-0005-0000-0000-00002A7E0000}"/>
    <cellStyle name="Normal 3 9 20 11 2" xfId="35496" xr:uid="{00000000-0005-0000-0000-00002B7E0000}"/>
    <cellStyle name="Normal 3 9 20 12" xfId="18097" xr:uid="{00000000-0005-0000-0000-00002C7E0000}"/>
    <cellStyle name="Normal 3 9 20 12 2" xfId="35497" xr:uid="{00000000-0005-0000-0000-00002D7E0000}"/>
    <cellStyle name="Normal 3 9 20 13" xfId="18098" xr:uid="{00000000-0005-0000-0000-00002E7E0000}"/>
    <cellStyle name="Normal 3 9 20 13 2" xfId="35498" xr:uid="{00000000-0005-0000-0000-00002F7E0000}"/>
    <cellStyle name="Normal 3 9 20 14" xfId="18099" xr:uid="{00000000-0005-0000-0000-0000307E0000}"/>
    <cellStyle name="Normal 3 9 20 14 2" xfId="35499" xr:uid="{00000000-0005-0000-0000-0000317E0000}"/>
    <cellStyle name="Normal 3 9 20 15" xfId="35494" xr:uid="{00000000-0005-0000-0000-0000327E0000}"/>
    <cellStyle name="Normal 3 9 20 2" xfId="18100" xr:uid="{00000000-0005-0000-0000-0000337E0000}"/>
    <cellStyle name="Normal 3 9 20 2 2" xfId="35500" xr:uid="{00000000-0005-0000-0000-0000347E0000}"/>
    <cellStyle name="Normal 3 9 20 3" xfId="18101" xr:uid="{00000000-0005-0000-0000-0000357E0000}"/>
    <cellStyle name="Normal 3 9 20 3 2" xfId="35501" xr:uid="{00000000-0005-0000-0000-0000367E0000}"/>
    <cellStyle name="Normal 3 9 20 4" xfId="18102" xr:uid="{00000000-0005-0000-0000-0000377E0000}"/>
    <cellStyle name="Normal 3 9 20 4 2" xfId="35502" xr:uid="{00000000-0005-0000-0000-0000387E0000}"/>
    <cellStyle name="Normal 3 9 20 5" xfId="18103" xr:uid="{00000000-0005-0000-0000-0000397E0000}"/>
    <cellStyle name="Normal 3 9 20 5 2" xfId="35503" xr:uid="{00000000-0005-0000-0000-00003A7E0000}"/>
    <cellStyle name="Normal 3 9 20 6" xfId="18104" xr:uid="{00000000-0005-0000-0000-00003B7E0000}"/>
    <cellStyle name="Normal 3 9 20 6 2" xfId="35504" xr:uid="{00000000-0005-0000-0000-00003C7E0000}"/>
    <cellStyle name="Normal 3 9 20 7" xfId="18105" xr:uid="{00000000-0005-0000-0000-00003D7E0000}"/>
    <cellStyle name="Normal 3 9 20 7 2" xfId="35505" xr:uid="{00000000-0005-0000-0000-00003E7E0000}"/>
    <cellStyle name="Normal 3 9 20 8" xfId="18106" xr:uid="{00000000-0005-0000-0000-00003F7E0000}"/>
    <cellStyle name="Normal 3 9 20 8 2" xfId="35506" xr:uid="{00000000-0005-0000-0000-0000407E0000}"/>
    <cellStyle name="Normal 3 9 20 9" xfId="18107" xr:uid="{00000000-0005-0000-0000-0000417E0000}"/>
    <cellStyle name="Normal 3 9 20 9 2" xfId="35507" xr:uid="{00000000-0005-0000-0000-0000427E0000}"/>
    <cellStyle name="Normal 3 9 21" xfId="18108" xr:uid="{00000000-0005-0000-0000-0000437E0000}"/>
    <cellStyle name="Normal 3 9 21 10" xfId="18109" xr:uid="{00000000-0005-0000-0000-0000447E0000}"/>
    <cellStyle name="Normal 3 9 21 10 2" xfId="35509" xr:uid="{00000000-0005-0000-0000-0000457E0000}"/>
    <cellStyle name="Normal 3 9 21 11" xfId="18110" xr:uid="{00000000-0005-0000-0000-0000467E0000}"/>
    <cellStyle name="Normal 3 9 21 11 2" xfId="35510" xr:uid="{00000000-0005-0000-0000-0000477E0000}"/>
    <cellStyle name="Normal 3 9 21 12" xfId="18111" xr:uid="{00000000-0005-0000-0000-0000487E0000}"/>
    <cellStyle name="Normal 3 9 21 12 2" xfId="35511" xr:uid="{00000000-0005-0000-0000-0000497E0000}"/>
    <cellStyle name="Normal 3 9 21 13" xfId="18112" xr:uid="{00000000-0005-0000-0000-00004A7E0000}"/>
    <cellStyle name="Normal 3 9 21 13 2" xfId="35512" xr:uid="{00000000-0005-0000-0000-00004B7E0000}"/>
    <cellStyle name="Normal 3 9 21 14" xfId="18113" xr:uid="{00000000-0005-0000-0000-00004C7E0000}"/>
    <cellStyle name="Normal 3 9 21 14 2" xfId="35513" xr:uid="{00000000-0005-0000-0000-00004D7E0000}"/>
    <cellStyle name="Normal 3 9 21 15" xfId="35508" xr:uid="{00000000-0005-0000-0000-00004E7E0000}"/>
    <cellStyle name="Normal 3 9 21 2" xfId="18114" xr:uid="{00000000-0005-0000-0000-00004F7E0000}"/>
    <cellStyle name="Normal 3 9 21 2 2" xfId="35514" xr:uid="{00000000-0005-0000-0000-0000507E0000}"/>
    <cellStyle name="Normal 3 9 21 3" xfId="18115" xr:uid="{00000000-0005-0000-0000-0000517E0000}"/>
    <cellStyle name="Normal 3 9 21 3 2" xfId="35515" xr:uid="{00000000-0005-0000-0000-0000527E0000}"/>
    <cellStyle name="Normal 3 9 21 4" xfId="18116" xr:uid="{00000000-0005-0000-0000-0000537E0000}"/>
    <cellStyle name="Normal 3 9 21 4 2" xfId="35516" xr:uid="{00000000-0005-0000-0000-0000547E0000}"/>
    <cellStyle name="Normal 3 9 21 5" xfId="18117" xr:uid="{00000000-0005-0000-0000-0000557E0000}"/>
    <cellStyle name="Normal 3 9 21 5 2" xfId="35517" xr:uid="{00000000-0005-0000-0000-0000567E0000}"/>
    <cellStyle name="Normal 3 9 21 6" xfId="18118" xr:uid="{00000000-0005-0000-0000-0000577E0000}"/>
    <cellStyle name="Normal 3 9 21 6 2" xfId="35518" xr:uid="{00000000-0005-0000-0000-0000587E0000}"/>
    <cellStyle name="Normal 3 9 21 7" xfId="18119" xr:uid="{00000000-0005-0000-0000-0000597E0000}"/>
    <cellStyle name="Normal 3 9 21 7 2" xfId="35519" xr:uid="{00000000-0005-0000-0000-00005A7E0000}"/>
    <cellStyle name="Normal 3 9 21 8" xfId="18120" xr:uid="{00000000-0005-0000-0000-00005B7E0000}"/>
    <cellStyle name="Normal 3 9 21 8 2" xfId="35520" xr:uid="{00000000-0005-0000-0000-00005C7E0000}"/>
    <cellStyle name="Normal 3 9 21 9" xfId="18121" xr:uid="{00000000-0005-0000-0000-00005D7E0000}"/>
    <cellStyle name="Normal 3 9 21 9 2" xfId="35521" xr:uid="{00000000-0005-0000-0000-00005E7E0000}"/>
    <cellStyle name="Normal 3 9 22" xfId="18122" xr:uid="{00000000-0005-0000-0000-00005F7E0000}"/>
    <cellStyle name="Normal 3 9 22 10" xfId="18123" xr:uid="{00000000-0005-0000-0000-0000607E0000}"/>
    <cellStyle name="Normal 3 9 22 10 2" xfId="35523" xr:uid="{00000000-0005-0000-0000-0000617E0000}"/>
    <cellStyle name="Normal 3 9 22 11" xfId="18124" xr:uid="{00000000-0005-0000-0000-0000627E0000}"/>
    <cellStyle name="Normal 3 9 22 11 2" xfId="35524" xr:uid="{00000000-0005-0000-0000-0000637E0000}"/>
    <cellStyle name="Normal 3 9 22 12" xfId="18125" xr:uid="{00000000-0005-0000-0000-0000647E0000}"/>
    <cellStyle name="Normal 3 9 22 12 2" xfId="35525" xr:uid="{00000000-0005-0000-0000-0000657E0000}"/>
    <cellStyle name="Normal 3 9 22 13" xfId="18126" xr:uid="{00000000-0005-0000-0000-0000667E0000}"/>
    <cellStyle name="Normal 3 9 22 13 2" xfId="35526" xr:uid="{00000000-0005-0000-0000-0000677E0000}"/>
    <cellStyle name="Normal 3 9 22 14" xfId="18127" xr:uid="{00000000-0005-0000-0000-0000687E0000}"/>
    <cellStyle name="Normal 3 9 22 14 2" xfId="35527" xr:uid="{00000000-0005-0000-0000-0000697E0000}"/>
    <cellStyle name="Normal 3 9 22 15" xfId="35522" xr:uid="{00000000-0005-0000-0000-00006A7E0000}"/>
    <cellStyle name="Normal 3 9 22 2" xfId="18128" xr:uid="{00000000-0005-0000-0000-00006B7E0000}"/>
    <cellStyle name="Normal 3 9 22 2 2" xfId="35528" xr:uid="{00000000-0005-0000-0000-00006C7E0000}"/>
    <cellStyle name="Normal 3 9 22 3" xfId="18129" xr:uid="{00000000-0005-0000-0000-00006D7E0000}"/>
    <cellStyle name="Normal 3 9 22 3 2" xfId="35529" xr:uid="{00000000-0005-0000-0000-00006E7E0000}"/>
    <cellStyle name="Normal 3 9 22 4" xfId="18130" xr:uid="{00000000-0005-0000-0000-00006F7E0000}"/>
    <cellStyle name="Normal 3 9 22 4 2" xfId="35530" xr:uid="{00000000-0005-0000-0000-0000707E0000}"/>
    <cellStyle name="Normal 3 9 22 5" xfId="18131" xr:uid="{00000000-0005-0000-0000-0000717E0000}"/>
    <cellStyle name="Normal 3 9 22 5 2" xfId="35531" xr:uid="{00000000-0005-0000-0000-0000727E0000}"/>
    <cellStyle name="Normal 3 9 22 6" xfId="18132" xr:uid="{00000000-0005-0000-0000-0000737E0000}"/>
    <cellStyle name="Normal 3 9 22 6 2" xfId="35532" xr:uid="{00000000-0005-0000-0000-0000747E0000}"/>
    <cellStyle name="Normal 3 9 22 7" xfId="18133" xr:uid="{00000000-0005-0000-0000-0000757E0000}"/>
    <cellStyle name="Normal 3 9 22 7 2" xfId="35533" xr:uid="{00000000-0005-0000-0000-0000767E0000}"/>
    <cellStyle name="Normal 3 9 22 8" xfId="18134" xr:uid="{00000000-0005-0000-0000-0000777E0000}"/>
    <cellStyle name="Normal 3 9 22 8 2" xfId="35534" xr:uid="{00000000-0005-0000-0000-0000787E0000}"/>
    <cellStyle name="Normal 3 9 22 9" xfId="18135" xr:uid="{00000000-0005-0000-0000-0000797E0000}"/>
    <cellStyle name="Normal 3 9 22 9 2" xfId="35535" xr:uid="{00000000-0005-0000-0000-00007A7E0000}"/>
    <cellStyle name="Normal 3 9 23" xfId="18136" xr:uid="{00000000-0005-0000-0000-00007B7E0000}"/>
    <cellStyle name="Normal 3 9 24" xfId="18137" xr:uid="{00000000-0005-0000-0000-00007C7E0000}"/>
    <cellStyle name="Normal 3 9 25" xfId="18138" xr:uid="{00000000-0005-0000-0000-00007D7E0000}"/>
    <cellStyle name="Normal 3 9 25 10" xfId="18139" xr:uid="{00000000-0005-0000-0000-00007E7E0000}"/>
    <cellStyle name="Normal 3 9 25 10 2" xfId="35537" xr:uid="{00000000-0005-0000-0000-00007F7E0000}"/>
    <cellStyle name="Normal 3 9 25 11" xfId="18140" xr:uid="{00000000-0005-0000-0000-0000807E0000}"/>
    <cellStyle name="Normal 3 9 25 11 2" xfId="35538" xr:uid="{00000000-0005-0000-0000-0000817E0000}"/>
    <cellStyle name="Normal 3 9 25 12" xfId="18141" xr:uid="{00000000-0005-0000-0000-0000827E0000}"/>
    <cellStyle name="Normal 3 9 25 12 2" xfId="35539" xr:uid="{00000000-0005-0000-0000-0000837E0000}"/>
    <cellStyle name="Normal 3 9 25 13" xfId="18142" xr:uid="{00000000-0005-0000-0000-0000847E0000}"/>
    <cellStyle name="Normal 3 9 25 13 2" xfId="35540" xr:uid="{00000000-0005-0000-0000-0000857E0000}"/>
    <cellStyle name="Normal 3 9 25 14" xfId="18143" xr:uid="{00000000-0005-0000-0000-0000867E0000}"/>
    <cellStyle name="Normal 3 9 25 14 2" xfId="35541" xr:uid="{00000000-0005-0000-0000-0000877E0000}"/>
    <cellStyle name="Normal 3 9 25 15" xfId="35536" xr:uid="{00000000-0005-0000-0000-0000887E0000}"/>
    <cellStyle name="Normal 3 9 25 2" xfId="18144" xr:uid="{00000000-0005-0000-0000-0000897E0000}"/>
    <cellStyle name="Normal 3 9 25 2 2" xfId="35542" xr:uid="{00000000-0005-0000-0000-00008A7E0000}"/>
    <cellStyle name="Normal 3 9 25 3" xfId="18145" xr:uid="{00000000-0005-0000-0000-00008B7E0000}"/>
    <cellStyle name="Normal 3 9 25 3 2" xfId="35543" xr:uid="{00000000-0005-0000-0000-00008C7E0000}"/>
    <cellStyle name="Normal 3 9 25 4" xfId="18146" xr:uid="{00000000-0005-0000-0000-00008D7E0000}"/>
    <cellStyle name="Normal 3 9 25 4 2" xfId="35544" xr:uid="{00000000-0005-0000-0000-00008E7E0000}"/>
    <cellStyle name="Normal 3 9 25 5" xfId="18147" xr:uid="{00000000-0005-0000-0000-00008F7E0000}"/>
    <cellStyle name="Normal 3 9 25 5 2" xfId="35545" xr:uid="{00000000-0005-0000-0000-0000907E0000}"/>
    <cellStyle name="Normal 3 9 25 6" xfId="18148" xr:uid="{00000000-0005-0000-0000-0000917E0000}"/>
    <cellStyle name="Normal 3 9 25 6 2" xfId="35546" xr:uid="{00000000-0005-0000-0000-0000927E0000}"/>
    <cellStyle name="Normal 3 9 25 7" xfId="18149" xr:uid="{00000000-0005-0000-0000-0000937E0000}"/>
    <cellStyle name="Normal 3 9 25 7 2" xfId="35547" xr:uid="{00000000-0005-0000-0000-0000947E0000}"/>
    <cellStyle name="Normal 3 9 25 8" xfId="18150" xr:uid="{00000000-0005-0000-0000-0000957E0000}"/>
    <cellStyle name="Normal 3 9 25 8 2" xfId="35548" xr:uid="{00000000-0005-0000-0000-0000967E0000}"/>
    <cellStyle name="Normal 3 9 25 9" xfId="18151" xr:uid="{00000000-0005-0000-0000-0000977E0000}"/>
    <cellStyle name="Normal 3 9 25 9 2" xfId="35549" xr:uid="{00000000-0005-0000-0000-0000987E0000}"/>
    <cellStyle name="Normal 3 9 26" xfId="18152" xr:uid="{00000000-0005-0000-0000-0000997E0000}"/>
    <cellStyle name="Normal 3 9 26 10" xfId="18153" xr:uid="{00000000-0005-0000-0000-00009A7E0000}"/>
    <cellStyle name="Normal 3 9 26 10 2" xfId="35551" xr:uid="{00000000-0005-0000-0000-00009B7E0000}"/>
    <cellStyle name="Normal 3 9 26 11" xfId="18154" xr:uid="{00000000-0005-0000-0000-00009C7E0000}"/>
    <cellStyle name="Normal 3 9 26 11 2" xfId="35552" xr:uid="{00000000-0005-0000-0000-00009D7E0000}"/>
    <cellStyle name="Normal 3 9 26 12" xfId="18155" xr:uid="{00000000-0005-0000-0000-00009E7E0000}"/>
    <cellStyle name="Normal 3 9 26 12 2" xfId="35553" xr:uid="{00000000-0005-0000-0000-00009F7E0000}"/>
    <cellStyle name="Normal 3 9 26 13" xfId="18156" xr:uid="{00000000-0005-0000-0000-0000A07E0000}"/>
    <cellStyle name="Normal 3 9 26 13 2" xfId="35554" xr:uid="{00000000-0005-0000-0000-0000A17E0000}"/>
    <cellStyle name="Normal 3 9 26 14" xfId="18157" xr:uid="{00000000-0005-0000-0000-0000A27E0000}"/>
    <cellStyle name="Normal 3 9 26 14 2" xfId="35555" xr:uid="{00000000-0005-0000-0000-0000A37E0000}"/>
    <cellStyle name="Normal 3 9 26 15" xfId="35550" xr:uid="{00000000-0005-0000-0000-0000A47E0000}"/>
    <cellStyle name="Normal 3 9 26 2" xfId="18158" xr:uid="{00000000-0005-0000-0000-0000A57E0000}"/>
    <cellStyle name="Normal 3 9 26 2 2" xfId="35556" xr:uid="{00000000-0005-0000-0000-0000A67E0000}"/>
    <cellStyle name="Normal 3 9 26 3" xfId="18159" xr:uid="{00000000-0005-0000-0000-0000A77E0000}"/>
    <cellStyle name="Normal 3 9 26 3 2" xfId="35557" xr:uid="{00000000-0005-0000-0000-0000A87E0000}"/>
    <cellStyle name="Normal 3 9 26 4" xfId="18160" xr:uid="{00000000-0005-0000-0000-0000A97E0000}"/>
    <cellStyle name="Normal 3 9 26 4 2" xfId="35558" xr:uid="{00000000-0005-0000-0000-0000AA7E0000}"/>
    <cellStyle name="Normal 3 9 26 5" xfId="18161" xr:uid="{00000000-0005-0000-0000-0000AB7E0000}"/>
    <cellStyle name="Normal 3 9 26 5 2" xfId="35559" xr:uid="{00000000-0005-0000-0000-0000AC7E0000}"/>
    <cellStyle name="Normal 3 9 26 6" xfId="18162" xr:uid="{00000000-0005-0000-0000-0000AD7E0000}"/>
    <cellStyle name="Normal 3 9 26 6 2" xfId="35560" xr:uid="{00000000-0005-0000-0000-0000AE7E0000}"/>
    <cellStyle name="Normal 3 9 26 7" xfId="18163" xr:uid="{00000000-0005-0000-0000-0000AF7E0000}"/>
    <cellStyle name="Normal 3 9 26 7 2" xfId="35561" xr:uid="{00000000-0005-0000-0000-0000B07E0000}"/>
    <cellStyle name="Normal 3 9 26 8" xfId="18164" xr:uid="{00000000-0005-0000-0000-0000B17E0000}"/>
    <cellStyle name="Normal 3 9 26 8 2" xfId="35562" xr:uid="{00000000-0005-0000-0000-0000B27E0000}"/>
    <cellStyle name="Normal 3 9 26 9" xfId="18165" xr:uid="{00000000-0005-0000-0000-0000B37E0000}"/>
    <cellStyle name="Normal 3 9 26 9 2" xfId="35563" xr:uid="{00000000-0005-0000-0000-0000B47E0000}"/>
    <cellStyle name="Normal 3 9 3" xfId="18166" xr:uid="{00000000-0005-0000-0000-0000B57E0000}"/>
    <cellStyle name="Normal 3 9 4" xfId="18167" xr:uid="{00000000-0005-0000-0000-0000B67E0000}"/>
    <cellStyle name="Normal 3 9 5" xfId="18168" xr:uid="{00000000-0005-0000-0000-0000B77E0000}"/>
    <cellStyle name="Normal 3 9 6" xfId="18169" xr:uid="{00000000-0005-0000-0000-0000B87E0000}"/>
    <cellStyle name="Normal 3 9 7" xfId="18170" xr:uid="{00000000-0005-0000-0000-0000B97E0000}"/>
    <cellStyle name="Normal 3 9 8" xfId="18171" xr:uid="{00000000-0005-0000-0000-0000BA7E0000}"/>
    <cellStyle name="Normal 3 9 9" xfId="18172" xr:uid="{00000000-0005-0000-0000-0000BB7E0000}"/>
    <cellStyle name="Normal 3_01_ResLighting" xfId="499" xr:uid="{00000000-0005-0000-0000-0000BC7E0000}"/>
    <cellStyle name="Normal 30" xfId="438" xr:uid="{00000000-0005-0000-0000-0000BD7E0000}"/>
    <cellStyle name="Normal 30 2" xfId="18174" xr:uid="{00000000-0005-0000-0000-0000BE7E0000}"/>
    <cellStyle name="Normal 30 2 10" xfId="18175" xr:uid="{00000000-0005-0000-0000-0000BF7E0000}"/>
    <cellStyle name="Normal 30 2 10 10" xfId="18176" xr:uid="{00000000-0005-0000-0000-0000C07E0000}"/>
    <cellStyle name="Normal 30 2 10 10 2" xfId="35566" xr:uid="{00000000-0005-0000-0000-0000C17E0000}"/>
    <cellStyle name="Normal 30 2 10 11" xfId="18177" xr:uid="{00000000-0005-0000-0000-0000C27E0000}"/>
    <cellStyle name="Normal 30 2 10 11 2" xfId="35567" xr:uid="{00000000-0005-0000-0000-0000C37E0000}"/>
    <cellStyle name="Normal 30 2 10 12" xfId="18178" xr:uid="{00000000-0005-0000-0000-0000C47E0000}"/>
    <cellStyle name="Normal 30 2 10 12 2" xfId="35568" xr:uid="{00000000-0005-0000-0000-0000C57E0000}"/>
    <cellStyle name="Normal 30 2 10 13" xfId="18179" xr:uid="{00000000-0005-0000-0000-0000C67E0000}"/>
    <cellStyle name="Normal 30 2 10 13 2" xfId="35569" xr:uid="{00000000-0005-0000-0000-0000C77E0000}"/>
    <cellStyle name="Normal 30 2 10 14" xfId="18180" xr:uid="{00000000-0005-0000-0000-0000C87E0000}"/>
    <cellStyle name="Normal 30 2 10 14 2" xfId="35570" xr:uid="{00000000-0005-0000-0000-0000C97E0000}"/>
    <cellStyle name="Normal 30 2 10 15" xfId="35565" xr:uid="{00000000-0005-0000-0000-0000CA7E0000}"/>
    <cellStyle name="Normal 30 2 10 2" xfId="18181" xr:uid="{00000000-0005-0000-0000-0000CB7E0000}"/>
    <cellStyle name="Normal 30 2 10 2 2" xfId="35571" xr:uid="{00000000-0005-0000-0000-0000CC7E0000}"/>
    <cellStyle name="Normal 30 2 10 3" xfId="18182" xr:uid="{00000000-0005-0000-0000-0000CD7E0000}"/>
    <cellStyle name="Normal 30 2 10 3 2" xfId="35572" xr:uid="{00000000-0005-0000-0000-0000CE7E0000}"/>
    <cellStyle name="Normal 30 2 10 4" xfId="18183" xr:uid="{00000000-0005-0000-0000-0000CF7E0000}"/>
    <cellStyle name="Normal 30 2 10 4 2" xfId="35573" xr:uid="{00000000-0005-0000-0000-0000D07E0000}"/>
    <cellStyle name="Normal 30 2 10 5" xfId="18184" xr:uid="{00000000-0005-0000-0000-0000D17E0000}"/>
    <cellStyle name="Normal 30 2 10 5 2" xfId="35574" xr:uid="{00000000-0005-0000-0000-0000D27E0000}"/>
    <cellStyle name="Normal 30 2 10 6" xfId="18185" xr:uid="{00000000-0005-0000-0000-0000D37E0000}"/>
    <cellStyle name="Normal 30 2 10 6 2" xfId="35575" xr:uid="{00000000-0005-0000-0000-0000D47E0000}"/>
    <cellStyle name="Normal 30 2 10 7" xfId="18186" xr:uid="{00000000-0005-0000-0000-0000D57E0000}"/>
    <cellStyle name="Normal 30 2 10 7 2" xfId="35576" xr:uid="{00000000-0005-0000-0000-0000D67E0000}"/>
    <cellStyle name="Normal 30 2 10 8" xfId="18187" xr:uid="{00000000-0005-0000-0000-0000D77E0000}"/>
    <cellStyle name="Normal 30 2 10 8 2" xfId="35577" xr:uid="{00000000-0005-0000-0000-0000D87E0000}"/>
    <cellStyle name="Normal 30 2 10 9" xfId="18188" xr:uid="{00000000-0005-0000-0000-0000D97E0000}"/>
    <cellStyle name="Normal 30 2 10 9 2" xfId="35578" xr:uid="{00000000-0005-0000-0000-0000DA7E0000}"/>
    <cellStyle name="Normal 30 2 11" xfId="18189" xr:uid="{00000000-0005-0000-0000-0000DB7E0000}"/>
    <cellStyle name="Normal 30 2 11 10" xfId="18190" xr:uid="{00000000-0005-0000-0000-0000DC7E0000}"/>
    <cellStyle name="Normal 30 2 11 10 2" xfId="35580" xr:uid="{00000000-0005-0000-0000-0000DD7E0000}"/>
    <cellStyle name="Normal 30 2 11 11" xfId="18191" xr:uid="{00000000-0005-0000-0000-0000DE7E0000}"/>
    <cellStyle name="Normal 30 2 11 11 2" xfId="35581" xr:uid="{00000000-0005-0000-0000-0000DF7E0000}"/>
    <cellStyle name="Normal 30 2 11 12" xfId="18192" xr:uid="{00000000-0005-0000-0000-0000E07E0000}"/>
    <cellStyle name="Normal 30 2 11 12 2" xfId="35582" xr:uid="{00000000-0005-0000-0000-0000E17E0000}"/>
    <cellStyle name="Normal 30 2 11 13" xfId="18193" xr:uid="{00000000-0005-0000-0000-0000E27E0000}"/>
    <cellStyle name="Normal 30 2 11 13 2" xfId="35583" xr:uid="{00000000-0005-0000-0000-0000E37E0000}"/>
    <cellStyle name="Normal 30 2 11 14" xfId="18194" xr:uid="{00000000-0005-0000-0000-0000E47E0000}"/>
    <cellStyle name="Normal 30 2 11 14 2" xfId="35584" xr:uid="{00000000-0005-0000-0000-0000E57E0000}"/>
    <cellStyle name="Normal 30 2 11 15" xfId="35579" xr:uid="{00000000-0005-0000-0000-0000E67E0000}"/>
    <cellStyle name="Normal 30 2 11 2" xfId="18195" xr:uid="{00000000-0005-0000-0000-0000E77E0000}"/>
    <cellStyle name="Normal 30 2 11 2 2" xfId="35585" xr:uid="{00000000-0005-0000-0000-0000E87E0000}"/>
    <cellStyle name="Normal 30 2 11 3" xfId="18196" xr:uid="{00000000-0005-0000-0000-0000E97E0000}"/>
    <cellStyle name="Normal 30 2 11 3 2" xfId="35586" xr:uid="{00000000-0005-0000-0000-0000EA7E0000}"/>
    <cellStyle name="Normal 30 2 11 4" xfId="18197" xr:uid="{00000000-0005-0000-0000-0000EB7E0000}"/>
    <cellStyle name="Normal 30 2 11 4 2" xfId="35587" xr:uid="{00000000-0005-0000-0000-0000EC7E0000}"/>
    <cellStyle name="Normal 30 2 11 5" xfId="18198" xr:uid="{00000000-0005-0000-0000-0000ED7E0000}"/>
    <cellStyle name="Normal 30 2 11 5 2" xfId="35588" xr:uid="{00000000-0005-0000-0000-0000EE7E0000}"/>
    <cellStyle name="Normal 30 2 11 6" xfId="18199" xr:uid="{00000000-0005-0000-0000-0000EF7E0000}"/>
    <cellStyle name="Normal 30 2 11 6 2" xfId="35589" xr:uid="{00000000-0005-0000-0000-0000F07E0000}"/>
    <cellStyle name="Normal 30 2 11 7" xfId="18200" xr:uid="{00000000-0005-0000-0000-0000F17E0000}"/>
    <cellStyle name="Normal 30 2 11 7 2" xfId="35590" xr:uid="{00000000-0005-0000-0000-0000F27E0000}"/>
    <cellStyle name="Normal 30 2 11 8" xfId="18201" xr:uid="{00000000-0005-0000-0000-0000F37E0000}"/>
    <cellStyle name="Normal 30 2 11 8 2" xfId="35591" xr:uid="{00000000-0005-0000-0000-0000F47E0000}"/>
    <cellStyle name="Normal 30 2 11 9" xfId="18202" xr:uid="{00000000-0005-0000-0000-0000F57E0000}"/>
    <cellStyle name="Normal 30 2 11 9 2" xfId="35592" xr:uid="{00000000-0005-0000-0000-0000F67E0000}"/>
    <cellStyle name="Normal 30 2 12" xfId="18203" xr:uid="{00000000-0005-0000-0000-0000F77E0000}"/>
    <cellStyle name="Normal 30 2 12 10" xfId="18204" xr:uid="{00000000-0005-0000-0000-0000F87E0000}"/>
    <cellStyle name="Normal 30 2 12 10 2" xfId="35594" xr:uid="{00000000-0005-0000-0000-0000F97E0000}"/>
    <cellStyle name="Normal 30 2 12 11" xfId="18205" xr:uid="{00000000-0005-0000-0000-0000FA7E0000}"/>
    <cellStyle name="Normal 30 2 12 11 2" xfId="35595" xr:uid="{00000000-0005-0000-0000-0000FB7E0000}"/>
    <cellStyle name="Normal 30 2 12 12" xfId="18206" xr:uid="{00000000-0005-0000-0000-0000FC7E0000}"/>
    <cellStyle name="Normal 30 2 12 12 2" xfId="35596" xr:uid="{00000000-0005-0000-0000-0000FD7E0000}"/>
    <cellStyle name="Normal 30 2 12 13" xfId="18207" xr:uid="{00000000-0005-0000-0000-0000FE7E0000}"/>
    <cellStyle name="Normal 30 2 12 13 2" xfId="35597" xr:uid="{00000000-0005-0000-0000-0000FF7E0000}"/>
    <cellStyle name="Normal 30 2 12 14" xfId="18208" xr:uid="{00000000-0005-0000-0000-0000007F0000}"/>
    <cellStyle name="Normal 30 2 12 14 2" xfId="35598" xr:uid="{00000000-0005-0000-0000-0000017F0000}"/>
    <cellStyle name="Normal 30 2 12 15" xfId="35593" xr:uid="{00000000-0005-0000-0000-0000027F0000}"/>
    <cellStyle name="Normal 30 2 12 2" xfId="18209" xr:uid="{00000000-0005-0000-0000-0000037F0000}"/>
    <cellStyle name="Normal 30 2 12 2 2" xfId="35599" xr:uid="{00000000-0005-0000-0000-0000047F0000}"/>
    <cellStyle name="Normal 30 2 12 3" xfId="18210" xr:uid="{00000000-0005-0000-0000-0000057F0000}"/>
    <cellStyle name="Normal 30 2 12 3 2" xfId="35600" xr:uid="{00000000-0005-0000-0000-0000067F0000}"/>
    <cellStyle name="Normal 30 2 12 4" xfId="18211" xr:uid="{00000000-0005-0000-0000-0000077F0000}"/>
    <cellStyle name="Normal 30 2 12 4 2" xfId="35601" xr:uid="{00000000-0005-0000-0000-0000087F0000}"/>
    <cellStyle name="Normal 30 2 12 5" xfId="18212" xr:uid="{00000000-0005-0000-0000-0000097F0000}"/>
    <cellStyle name="Normal 30 2 12 5 2" xfId="35602" xr:uid="{00000000-0005-0000-0000-00000A7F0000}"/>
    <cellStyle name="Normal 30 2 12 6" xfId="18213" xr:uid="{00000000-0005-0000-0000-00000B7F0000}"/>
    <cellStyle name="Normal 30 2 12 6 2" xfId="35603" xr:uid="{00000000-0005-0000-0000-00000C7F0000}"/>
    <cellStyle name="Normal 30 2 12 7" xfId="18214" xr:uid="{00000000-0005-0000-0000-00000D7F0000}"/>
    <cellStyle name="Normal 30 2 12 7 2" xfId="35604" xr:uid="{00000000-0005-0000-0000-00000E7F0000}"/>
    <cellStyle name="Normal 30 2 12 8" xfId="18215" xr:uid="{00000000-0005-0000-0000-00000F7F0000}"/>
    <cellStyle name="Normal 30 2 12 8 2" xfId="35605" xr:uid="{00000000-0005-0000-0000-0000107F0000}"/>
    <cellStyle name="Normal 30 2 12 9" xfId="18216" xr:uid="{00000000-0005-0000-0000-0000117F0000}"/>
    <cellStyle name="Normal 30 2 12 9 2" xfId="35606" xr:uid="{00000000-0005-0000-0000-0000127F0000}"/>
    <cellStyle name="Normal 30 2 13" xfId="18217" xr:uid="{00000000-0005-0000-0000-0000137F0000}"/>
    <cellStyle name="Normal 30 2 13 10" xfId="18218" xr:uid="{00000000-0005-0000-0000-0000147F0000}"/>
    <cellStyle name="Normal 30 2 13 10 2" xfId="35608" xr:uid="{00000000-0005-0000-0000-0000157F0000}"/>
    <cellStyle name="Normal 30 2 13 11" xfId="18219" xr:uid="{00000000-0005-0000-0000-0000167F0000}"/>
    <cellStyle name="Normal 30 2 13 11 2" xfId="35609" xr:uid="{00000000-0005-0000-0000-0000177F0000}"/>
    <cellStyle name="Normal 30 2 13 12" xfId="18220" xr:uid="{00000000-0005-0000-0000-0000187F0000}"/>
    <cellStyle name="Normal 30 2 13 12 2" xfId="35610" xr:uid="{00000000-0005-0000-0000-0000197F0000}"/>
    <cellStyle name="Normal 30 2 13 13" xfId="18221" xr:uid="{00000000-0005-0000-0000-00001A7F0000}"/>
    <cellStyle name="Normal 30 2 13 13 2" xfId="35611" xr:uid="{00000000-0005-0000-0000-00001B7F0000}"/>
    <cellStyle name="Normal 30 2 13 14" xfId="18222" xr:uid="{00000000-0005-0000-0000-00001C7F0000}"/>
    <cellStyle name="Normal 30 2 13 14 2" xfId="35612" xr:uid="{00000000-0005-0000-0000-00001D7F0000}"/>
    <cellStyle name="Normal 30 2 13 15" xfId="35607" xr:uid="{00000000-0005-0000-0000-00001E7F0000}"/>
    <cellStyle name="Normal 30 2 13 2" xfId="18223" xr:uid="{00000000-0005-0000-0000-00001F7F0000}"/>
    <cellStyle name="Normal 30 2 13 2 2" xfId="35613" xr:uid="{00000000-0005-0000-0000-0000207F0000}"/>
    <cellStyle name="Normal 30 2 13 3" xfId="18224" xr:uid="{00000000-0005-0000-0000-0000217F0000}"/>
    <cellStyle name="Normal 30 2 13 3 2" xfId="35614" xr:uid="{00000000-0005-0000-0000-0000227F0000}"/>
    <cellStyle name="Normal 30 2 13 4" xfId="18225" xr:uid="{00000000-0005-0000-0000-0000237F0000}"/>
    <cellStyle name="Normal 30 2 13 4 2" xfId="35615" xr:uid="{00000000-0005-0000-0000-0000247F0000}"/>
    <cellStyle name="Normal 30 2 13 5" xfId="18226" xr:uid="{00000000-0005-0000-0000-0000257F0000}"/>
    <cellStyle name="Normal 30 2 13 5 2" xfId="35616" xr:uid="{00000000-0005-0000-0000-0000267F0000}"/>
    <cellStyle name="Normal 30 2 13 6" xfId="18227" xr:uid="{00000000-0005-0000-0000-0000277F0000}"/>
    <cellStyle name="Normal 30 2 13 6 2" xfId="35617" xr:uid="{00000000-0005-0000-0000-0000287F0000}"/>
    <cellStyle name="Normal 30 2 13 7" xfId="18228" xr:uid="{00000000-0005-0000-0000-0000297F0000}"/>
    <cellStyle name="Normal 30 2 13 7 2" xfId="35618" xr:uid="{00000000-0005-0000-0000-00002A7F0000}"/>
    <cellStyle name="Normal 30 2 13 8" xfId="18229" xr:uid="{00000000-0005-0000-0000-00002B7F0000}"/>
    <cellStyle name="Normal 30 2 13 8 2" xfId="35619" xr:uid="{00000000-0005-0000-0000-00002C7F0000}"/>
    <cellStyle name="Normal 30 2 13 9" xfId="18230" xr:uid="{00000000-0005-0000-0000-00002D7F0000}"/>
    <cellStyle name="Normal 30 2 13 9 2" xfId="35620" xr:uid="{00000000-0005-0000-0000-00002E7F0000}"/>
    <cellStyle name="Normal 30 2 14" xfId="18231" xr:uid="{00000000-0005-0000-0000-00002F7F0000}"/>
    <cellStyle name="Normal 30 2 14 10" xfId="18232" xr:uid="{00000000-0005-0000-0000-0000307F0000}"/>
    <cellStyle name="Normal 30 2 14 10 2" xfId="35622" xr:uid="{00000000-0005-0000-0000-0000317F0000}"/>
    <cellStyle name="Normal 30 2 14 11" xfId="18233" xr:uid="{00000000-0005-0000-0000-0000327F0000}"/>
    <cellStyle name="Normal 30 2 14 11 2" xfId="35623" xr:uid="{00000000-0005-0000-0000-0000337F0000}"/>
    <cellStyle name="Normal 30 2 14 12" xfId="18234" xr:uid="{00000000-0005-0000-0000-0000347F0000}"/>
    <cellStyle name="Normal 30 2 14 12 2" xfId="35624" xr:uid="{00000000-0005-0000-0000-0000357F0000}"/>
    <cellStyle name="Normal 30 2 14 13" xfId="18235" xr:uid="{00000000-0005-0000-0000-0000367F0000}"/>
    <cellStyle name="Normal 30 2 14 13 2" xfId="35625" xr:uid="{00000000-0005-0000-0000-0000377F0000}"/>
    <cellStyle name="Normal 30 2 14 14" xfId="18236" xr:uid="{00000000-0005-0000-0000-0000387F0000}"/>
    <cellStyle name="Normal 30 2 14 14 2" xfId="35626" xr:uid="{00000000-0005-0000-0000-0000397F0000}"/>
    <cellStyle name="Normal 30 2 14 15" xfId="35621" xr:uid="{00000000-0005-0000-0000-00003A7F0000}"/>
    <cellStyle name="Normal 30 2 14 2" xfId="18237" xr:uid="{00000000-0005-0000-0000-00003B7F0000}"/>
    <cellStyle name="Normal 30 2 14 2 2" xfId="35627" xr:uid="{00000000-0005-0000-0000-00003C7F0000}"/>
    <cellStyle name="Normal 30 2 14 3" xfId="18238" xr:uid="{00000000-0005-0000-0000-00003D7F0000}"/>
    <cellStyle name="Normal 30 2 14 3 2" xfId="35628" xr:uid="{00000000-0005-0000-0000-00003E7F0000}"/>
    <cellStyle name="Normal 30 2 14 4" xfId="18239" xr:uid="{00000000-0005-0000-0000-00003F7F0000}"/>
    <cellStyle name="Normal 30 2 14 4 2" xfId="35629" xr:uid="{00000000-0005-0000-0000-0000407F0000}"/>
    <cellStyle name="Normal 30 2 14 5" xfId="18240" xr:uid="{00000000-0005-0000-0000-0000417F0000}"/>
    <cellStyle name="Normal 30 2 14 5 2" xfId="35630" xr:uid="{00000000-0005-0000-0000-0000427F0000}"/>
    <cellStyle name="Normal 30 2 14 6" xfId="18241" xr:uid="{00000000-0005-0000-0000-0000437F0000}"/>
    <cellStyle name="Normal 30 2 14 6 2" xfId="35631" xr:uid="{00000000-0005-0000-0000-0000447F0000}"/>
    <cellStyle name="Normal 30 2 14 7" xfId="18242" xr:uid="{00000000-0005-0000-0000-0000457F0000}"/>
    <cellStyle name="Normal 30 2 14 7 2" xfId="35632" xr:uid="{00000000-0005-0000-0000-0000467F0000}"/>
    <cellStyle name="Normal 30 2 14 8" xfId="18243" xr:uid="{00000000-0005-0000-0000-0000477F0000}"/>
    <cellStyle name="Normal 30 2 14 8 2" xfId="35633" xr:uid="{00000000-0005-0000-0000-0000487F0000}"/>
    <cellStyle name="Normal 30 2 14 9" xfId="18244" xr:uid="{00000000-0005-0000-0000-0000497F0000}"/>
    <cellStyle name="Normal 30 2 14 9 2" xfId="35634" xr:uid="{00000000-0005-0000-0000-00004A7F0000}"/>
    <cellStyle name="Normal 30 2 15" xfId="18245" xr:uid="{00000000-0005-0000-0000-00004B7F0000}"/>
    <cellStyle name="Normal 30 2 15 10" xfId="18246" xr:uid="{00000000-0005-0000-0000-00004C7F0000}"/>
    <cellStyle name="Normal 30 2 15 10 2" xfId="35636" xr:uid="{00000000-0005-0000-0000-00004D7F0000}"/>
    <cellStyle name="Normal 30 2 15 11" xfId="18247" xr:uid="{00000000-0005-0000-0000-00004E7F0000}"/>
    <cellStyle name="Normal 30 2 15 11 2" xfId="35637" xr:uid="{00000000-0005-0000-0000-00004F7F0000}"/>
    <cellStyle name="Normal 30 2 15 12" xfId="18248" xr:uid="{00000000-0005-0000-0000-0000507F0000}"/>
    <cellStyle name="Normal 30 2 15 12 2" xfId="35638" xr:uid="{00000000-0005-0000-0000-0000517F0000}"/>
    <cellStyle name="Normal 30 2 15 13" xfId="18249" xr:uid="{00000000-0005-0000-0000-0000527F0000}"/>
    <cellStyle name="Normal 30 2 15 13 2" xfId="35639" xr:uid="{00000000-0005-0000-0000-0000537F0000}"/>
    <cellStyle name="Normal 30 2 15 14" xfId="18250" xr:uid="{00000000-0005-0000-0000-0000547F0000}"/>
    <cellStyle name="Normal 30 2 15 14 2" xfId="35640" xr:uid="{00000000-0005-0000-0000-0000557F0000}"/>
    <cellStyle name="Normal 30 2 15 15" xfId="35635" xr:uid="{00000000-0005-0000-0000-0000567F0000}"/>
    <cellStyle name="Normal 30 2 15 2" xfId="18251" xr:uid="{00000000-0005-0000-0000-0000577F0000}"/>
    <cellStyle name="Normal 30 2 15 2 2" xfId="35641" xr:uid="{00000000-0005-0000-0000-0000587F0000}"/>
    <cellStyle name="Normal 30 2 15 3" xfId="18252" xr:uid="{00000000-0005-0000-0000-0000597F0000}"/>
    <cellStyle name="Normal 30 2 15 3 2" xfId="35642" xr:uid="{00000000-0005-0000-0000-00005A7F0000}"/>
    <cellStyle name="Normal 30 2 15 4" xfId="18253" xr:uid="{00000000-0005-0000-0000-00005B7F0000}"/>
    <cellStyle name="Normal 30 2 15 4 2" xfId="35643" xr:uid="{00000000-0005-0000-0000-00005C7F0000}"/>
    <cellStyle name="Normal 30 2 15 5" xfId="18254" xr:uid="{00000000-0005-0000-0000-00005D7F0000}"/>
    <cellStyle name="Normal 30 2 15 5 2" xfId="35644" xr:uid="{00000000-0005-0000-0000-00005E7F0000}"/>
    <cellStyle name="Normal 30 2 15 6" xfId="18255" xr:uid="{00000000-0005-0000-0000-00005F7F0000}"/>
    <cellStyle name="Normal 30 2 15 6 2" xfId="35645" xr:uid="{00000000-0005-0000-0000-0000607F0000}"/>
    <cellStyle name="Normal 30 2 15 7" xfId="18256" xr:uid="{00000000-0005-0000-0000-0000617F0000}"/>
    <cellStyle name="Normal 30 2 15 7 2" xfId="35646" xr:uid="{00000000-0005-0000-0000-0000627F0000}"/>
    <cellStyle name="Normal 30 2 15 8" xfId="18257" xr:uid="{00000000-0005-0000-0000-0000637F0000}"/>
    <cellStyle name="Normal 30 2 15 8 2" xfId="35647" xr:uid="{00000000-0005-0000-0000-0000647F0000}"/>
    <cellStyle name="Normal 30 2 15 9" xfId="18258" xr:uid="{00000000-0005-0000-0000-0000657F0000}"/>
    <cellStyle name="Normal 30 2 15 9 2" xfId="35648" xr:uid="{00000000-0005-0000-0000-0000667F0000}"/>
    <cellStyle name="Normal 30 2 16" xfId="18259" xr:uid="{00000000-0005-0000-0000-0000677F0000}"/>
    <cellStyle name="Normal 30 2 16 2" xfId="35649" xr:uid="{00000000-0005-0000-0000-0000687F0000}"/>
    <cellStyle name="Normal 30 2 17" xfId="18260" xr:uid="{00000000-0005-0000-0000-0000697F0000}"/>
    <cellStyle name="Normal 30 2 17 2" xfId="35650" xr:uid="{00000000-0005-0000-0000-00006A7F0000}"/>
    <cellStyle name="Normal 30 2 18" xfId="18261" xr:uid="{00000000-0005-0000-0000-00006B7F0000}"/>
    <cellStyle name="Normal 30 2 18 2" xfId="35651" xr:uid="{00000000-0005-0000-0000-00006C7F0000}"/>
    <cellStyle name="Normal 30 2 19" xfId="18262" xr:uid="{00000000-0005-0000-0000-00006D7F0000}"/>
    <cellStyle name="Normal 30 2 19 2" xfId="35652" xr:uid="{00000000-0005-0000-0000-00006E7F0000}"/>
    <cellStyle name="Normal 30 2 2" xfId="18263" xr:uid="{00000000-0005-0000-0000-00006F7F0000}"/>
    <cellStyle name="Normal 30 2 2 10" xfId="18264" xr:uid="{00000000-0005-0000-0000-0000707F0000}"/>
    <cellStyle name="Normal 30 2 2 10 2" xfId="35654" xr:uid="{00000000-0005-0000-0000-0000717F0000}"/>
    <cellStyle name="Normal 30 2 2 11" xfId="18265" xr:uid="{00000000-0005-0000-0000-0000727F0000}"/>
    <cellStyle name="Normal 30 2 2 11 2" xfId="35655" xr:uid="{00000000-0005-0000-0000-0000737F0000}"/>
    <cellStyle name="Normal 30 2 2 12" xfId="18266" xr:uid="{00000000-0005-0000-0000-0000747F0000}"/>
    <cellStyle name="Normal 30 2 2 12 2" xfId="35656" xr:uid="{00000000-0005-0000-0000-0000757F0000}"/>
    <cellStyle name="Normal 30 2 2 13" xfId="18267" xr:uid="{00000000-0005-0000-0000-0000767F0000}"/>
    <cellStyle name="Normal 30 2 2 13 2" xfId="35657" xr:uid="{00000000-0005-0000-0000-0000777F0000}"/>
    <cellStyle name="Normal 30 2 2 14" xfId="18268" xr:uid="{00000000-0005-0000-0000-0000787F0000}"/>
    <cellStyle name="Normal 30 2 2 14 2" xfId="35658" xr:uid="{00000000-0005-0000-0000-0000797F0000}"/>
    <cellStyle name="Normal 30 2 2 15" xfId="18269" xr:uid="{00000000-0005-0000-0000-00007A7F0000}"/>
    <cellStyle name="Normal 30 2 2 15 2" xfId="35659" xr:uid="{00000000-0005-0000-0000-00007B7F0000}"/>
    <cellStyle name="Normal 30 2 2 16" xfId="35653" xr:uid="{00000000-0005-0000-0000-00007C7F0000}"/>
    <cellStyle name="Normal 30 2 2 2" xfId="18270" xr:uid="{00000000-0005-0000-0000-00007D7F0000}"/>
    <cellStyle name="Normal 30 2 2 2 10" xfId="18271" xr:uid="{00000000-0005-0000-0000-00007E7F0000}"/>
    <cellStyle name="Normal 30 2 2 2 10 2" xfId="35661" xr:uid="{00000000-0005-0000-0000-00007F7F0000}"/>
    <cellStyle name="Normal 30 2 2 2 11" xfId="18272" xr:uid="{00000000-0005-0000-0000-0000807F0000}"/>
    <cellStyle name="Normal 30 2 2 2 11 2" xfId="35662" xr:uid="{00000000-0005-0000-0000-0000817F0000}"/>
    <cellStyle name="Normal 30 2 2 2 12" xfId="18273" xr:uid="{00000000-0005-0000-0000-0000827F0000}"/>
    <cellStyle name="Normal 30 2 2 2 12 2" xfId="35663" xr:uid="{00000000-0005-0000-0000-0000837F0000}"/>
    <cellStyle name="Normal 30 2 2 2 13" xfId="18274" xr:uid="{00000000-0005-0000-0000-0000847F0000}"/>
    <cellStyle name="Normal 30 2 2 2 13 2" xfId="35664" xr:uid="{00000000-0005-0000-0000-0000857F0000}"/>
    <cellStyle name="Normal 30 2 2 2 14" xfId="18275" xr:uid="{00000000-0005-0000-0000-0000867F0000}"/>
    <cellStyle name="Normal 30 2 2 2 14 2" xfId="35665" xr:uid="{00000000-0005-0000-0000-0000877F0000}"/>
    <cellStyle name="Normal 30 2 2 2 15" xfId="35660" xr:uid="{00000000-0005-0000-0000-0000887F0000}"/>
    <cellStyle name="Normal 30 2 2 2 2" xfId="18276" xr:uid="{00000000-0005-0000-0000-0000897F0000}"/>
    <cellStyle name="Normal 30 2 2 2 2 2" xfId="35666" xr:uid="{00000000-0005-0000-0000-00008A7F0000}"/>
    <cellStyle name="Normal 30 2 2 2 3" xfId="18277" xr:uid="{00000000-0005-0000-0000-00008B7F0000}"/>
    <cellStyle name="Normal 30 2 2 2 3 2" xfId="35667" xr:uid="{00000000-0005-0000-0000-00008C7F0000}"/>
    <cellStyle name="Normal 30 2 2 2 4" xfId="18278" xr:uid="{00000000-0005-0000-0000-00008D7F0000}"/>
    <cellStyle name="Normal 30 2 2 2 4 2" xfId="35668" xr:uid="{00000000-0005-0000-0000-00008E7F0000}"/>
    <cellStyle name="Normal 30 2 2 2 5" xfId="18279" xr:uid="{00000000-0005-0000-0000-00008F7F0000}"/>
    <cellStyle name="Normal 30 2 2 2 5 2" xfId="35669" xr:uid="{00000000-0005-0000-0000-0000907F0000}"/>
    <cellStyle name="Normal 30 2 2 2 6" xfId="18280" xr:uid="{00000000-0005-0000-0000-0000917F0000}"/>
    <cellStyle name="Normal 30 2 2 2 6 2" xfId="35670" xr:uid="{00000000-0005-0000-0000-0000927F0000}"/>
    <cellStyle name="Normal 30 2 2 2 7" xfId="18281" xr:uid="{00000000-0005-0000-0000-0000937F0000}"/>
    <cellStyle name="Normal 30 2 2 2 7 2" xfId="35671" xr:uid="{00000000-0005-0000-0000-0000947F0000}"/>
    <cellStyle name="Normal 30 2 2 2 8" xfId="18282" xr:uid="{00000000-0005-0000-0000-0000957F0000}"/>
    <cellStyle name="Normal 30 2 2 2 8 2" xfId="35672" xr:uid="{00000000-0005-0000-0000-0000967F0000}"/>
    <cellStyle name="Normal 30 2 2 2 9" xfId="18283" xr:uid="{00000000-0005-0000-0000-0000977F0000}"/>
    <cellStyle name="Normal 30 2 2 2 9 2" xfId="35673" xr:uid="{00000000-0005-0000-0000-0000987F0000}"/>
    <cellStyle name="Normal 30 2 2 3" xfId="18284" xr:uid="{00000000-0005-0000-0000-0000997F0000}"/>
    <cellStyle name="Normal 30 2 2 3 2" xfId="35674" xr:uid="{00000000-0005-0000-0000-00009A7F0000}"/>
    <cellStyle name="Normal 30 2 2 4" xfId="18285" xr:uid="{00000000-0005-0000-0000-00009B7F0000}"/>
    <cellStyle name="Normal 30 2 2 4 2" xfId="35675" xr:uid="{00000000-0005-0000-0000-00009C7F0000}"/>
    <cellStyle name="Normal 30 2 2 5" xfId="18286" xr:uid="{00000000-0005-0000-0000-00009D7F0000}"/>
    <cellStyle name="Normal 30 2 2 5 2" xfId="35676" xr:uid="{00000000-0005-0000-0000-00009E7F0000}"/>
    <cellStyle name="Normal 30 2 2 6" xfId="18287" xr:uid="{00000000-0005-0000-0000-00009F7F0000}"/>
    <cellStyle name="Normal 30 2 2 6 2" xfId="35677" xr:uid="{00000000-0005-0000-0000-0000A07F0000}"/>
    <cellStyle name="Normal 30 2 2 7" xfId="18288" xr:uid="{00000000-0005-0000-0000-0000A17F0000}"/>
    <cellStyle name="Normal 30 2 2 7 2" xfId="35678" xr:uid="{00000000-0005-0000-0000-0000A27F0000}"/>
    <cellStyle name="Normal 30 2 2 8" xfId="18289" xr:uid="{00000000-0005-0000-0000-0000A37F0000}"/>
    <cellStyle name="Normal 30 2 2 8 2" xfId="35679" xr:uid="{00000000-0005-0000-0000-0000A47F0000}"/>
    <cellStyle name="Normal 30 2 2 9" xfId="18290" xr:uid="{00000000-0005-0000-0000-0000A57F0000}"/>
    <cellStyle name="Normal 30 2 2 9 2" xfId="35680" xr:uid="{00000000-0005-0000-0000-0000A67F0000}"/>
    <cellStyle name="Normal 30 2 20" xfId="18291" xr:uid="{00000000-0005-0000-0000-0000A77F0000}"/>
    <cellStyle name="Normal 30 2 20 2" xfId="35681" xr:uid="{00000000-0005-0000-0000-0000A87F0000}"/>
    <cellStyle name="Normal 30 2 21" xfId="18292" xr:uid="{00000000-0005-0000-0000-0000A97F0000}"/>
    <cellStyle name="Normal 30 2 21 2" xfId="35682" xr:uid="{00000000-0005-0000-0000-0000AA7F0000}"/>
    <cellStyle name="Normal 30 2 22" xfId="18293" xr:uid="{00000000-0005-0000-0000-0000AB7F0000}"/>
    <cellStyle name="Normal 30 2 22 2" xfId="35683" xr:uid="{00000000-0005-0000-0000-0000AC7F0000}"/>
    <cellStyle name="Normal 30 2 23" xfId="18294" xr:uid="{00000000-0005-0000-0000-0000AD7F0000}"/>
    <cellStyle name="Normal 30 2 23 2" xfId="35684" xr:uid="{00000000-0005-0000-0000-0000AE7F0000}"/>
    <cellStyle name="Normal 30 2 24" xfId="18295" xr:uid="{00000000-0005-0000-0000-0000AF7F0000}"/>
    <cellStyle name="Normal 30 2 24 2" xfId="35685" xr:uid="{00000000-0005-0000-0000-0000B07F0000}"/>
    <cellStyle name="Normal 30 2 25" xfId="18296" xr:uid="{00000000-0005-0000-0000-0000B17F0000}"/>
    <cellStyle name="Normal 30 2 25 2" xfId="35686" xr:uid="{00000000-0005-0000-0000-0000B27F0000}"/>
    <cellStyle name="Normal 30 2 26" xfId="18297" xr:uid="{00000000-0005-0000-0000-0000B37F0000}"/>
    <cellStyle name="Normal 30 2 26 2" xfId="35687" xr:uid="{00000000-0005-0000-0000-0000B47F0000}"/>
    <cellStyle name="Normal 30 2 27" xfId="18298" xr:uid="{00000000-0005-0000-0000-0000B57F0000}"/>
    <cellStyle name="Normal 30 2 27 2" xfId="35688" xr:uid="{00000000-0005-0000-0000-0000B67F0000}"/>
    <cellStyle name="Normal 30 2 28" xfId="18299" xr:uid="{00000000-0005-0000-0000-0000B77F0000}"/>
    <cellStyle name="Normal 30 2 28 2" xfId="35689" xr:uid="{00000000-0005-0000-0000-0000B87F0000}"/>
    <cellStyle name="Normal 30 2 29" xfId="35564" xr:uid="{00000000-0005-0000-0000-0000B97F0000}"/>
    <cellStyle name="Normal 30 2 3" xfId="18300" xr:uid="{00000000-0005-0000-0000-0000BA7F0000}"/>
    <cellStyle name="Normal 30 2 3 10" xfId="18301" xr:uid="{00000000-0005-0000-0000-0000BB7F0000}"/>
    <cellStyle name="Normal 30 2 3 10 2" xfId="35691" xr:uid="{00000000-0005-0000-0000-0000BC7F0000}"/>
    <cellStyle name="Normal 30 2 3 11" xfId="18302" xr:uid="{00000000-0005-0000-0000-0000BD7F0000}"/>
    <cellStyle name="Normal 30 2 3 11 2" xfId="35692" xr:uid="{00000000-0005-0000-0000-0000BE7F0000}"/>
    <cellStyle name="Normal 30 2 3 12" xfId="18303" xr:uid="{00000000-0005-0000-0000-0000BF7F0000}"/>
    <cellStyle name="Normal 30 2 3 12 2" xfId="35693" xr:uid="{00000000-0005-0000-0000-0000C07F0000}"/>
    <cellStyle name="Normal 30 2 3 13" xfId="18304" xr:uid="{00000000-0005-0000-0000-0000C17F0000}"/>
    <cellStyle name="Normal 30 2 3 13 2" xfId="35694" xr:uid="{00000000-0005-0000-0000-0000C27F0000}"/>
    <cellStyle name="Normal 30 2 3 14" xfId="18305" xr:uid="{00000000-0005-0000-0000-0000C37F0000}"/>
    <cellStyle name="Normal 30 2 3 14 2" xfId="35695" xr:uid="{00000000-0005-0000-0000-0000C47F0000}"/>
    <cellStyle name="Normal 30 2 3 15" xfId="18306" xr:uid="{00000000-0005-0000-0000-0000C57F0000}"/>
    <cellStyle name="Normal 30 2 3 15 2" xfId="35696" xr:uid="{00000000-0005-0000-0000-0000C67F0000}"/>
    <cellStyle name="Normal 30 2 3 16" xfId="35690" xr:uid="{00000000-0005-0000-0000-0000C77F0000}"/>
    <cellStyle name="Normal 30 2 3 2" xfId="18307" xr:uid="{00000000-0005-0000-0000-0000C87F0000}"/>
    <cellStyle name="Normal 30 2 3 2 10" xfId="18308" xr:uid="{00000000-0005-0000-0000-0000C97F0000}"/>
    <cellStyle name="Normal 30 2 3 2 10 2" xfId="35698" xr:uid="{00000000-0005-0000-0000-0000CA7F0000}"/>
    <cellStyle name="Normal 30 2 3 2 11" xfId="18309" xr:uid="{00000000-0005-0000-0000-0000CB7F0000}"/>
    <cellStyle name="Normal 30 2 3 2 11 2" xfId="35699" xr:uid="{00000000-0005-0000-0000-0000CC7F0000}"/>
    <cellStyle name="Normal 30 2 3 2 12" xfId="18310" xr:uid="{00000000-0005-0000-0000-0000CD7F0000}"/>
    <cellStyle name="Normal 30 2 3 2 12 2" xfId="35700" xr:uid="{00000000-0005-0000-0000-0000CE7F0000}"/>
    <cellStyle name="Normal 30 2 3 2 13" xfId="18311" xr:uid="{00000000-0005-0000-0000-0000CF7F0000}"/>
    <cellStyle name="Normal 30 2 3 2 13 2" xfId="35701" xr:uid="{00000000-0005-0000-0000-0000D07F0000}"/>
    <cellStyle name="Normal 30 2 3 2 14" xfId="18312" xr:uid="{00000000-0005-0000-0000-0000D17F0000}"/>
    <cellStyle name="Normal 30 2 3 2 14 2" xfId="35702" xr:uid="{00000000-0005-0000-0000-0000D27F0000}"/>
    <cellStyle name="Normal 30 2 3 2 15" xfId="35697" xr:uid="{00000000-0005-0000-0000-0000D37F0000}"/>
    <cellStyle name="Normal 30 2 3 2 2" xfId="18313" xr:uid="{00000000-0005-0000-0000-0000D47F0000}"/>
    <cellStyle name="Normal 30 2 3 2 2 2" xfId="35703" xr:uid="{00000000-0005-0000-0000-0000D57F0000}"/>
    <cellStyle name="Normal 30 2 3 2 3" xfId="18314" xr:uid="{00000000-0005-0000-0000-0000D67F0000}"/>
    <cellStyle name="Normal 30 2 3 2 3 2" xfId="35704" xr:uid="{00000000-0005-0000-0000-0000D77F0000}"/>
    <cellStyle name="Normal 30 2 3 2 4" xfId="18315" xr:uid="{00000000-0005-0000-0000-0000D87F0000}"/>
    <cellStyle name="Normal 30 2 3 2 4 2" xfId="35705" xr:uid="{00000000-0005-0000-0000-0000D97F0000}"/>
    <cellStyle name="Normal 30 2 3 2 5" xfId="18316" xr:uid="{00000000-0005-0000-0000-0000DA7F0000}"/>
    <cellStyle name="Normal 30 2 3 2 5 2" xfId="35706" xr:uid="{00000000-0005-0000-0000-0000DB7F0000}"/>
    <cellStyle name="Normal 30 2 3 2 6" xfId="18317" xr:uid="{00000000-0005-0000-0000-0000DC7F0000}"/>
    <cellStyle name="Normal 30 2 3 2 6 2" xfId="35707" xr:uid="{00000000-0005-0000-0000-0000DD7F0000}"/>
    <cellStyle name="Normal 30 2 3 2 7" xfId="18318" xr:uid="{00000000-0005-0000-0000-0000DE7F0000}"/>
    <cellStyle name="Normal 30 2 3 2 7 2" xfId="35708" xr:uid="{00000000-0005-0000-0000-0000DF7F0000}"/>
    <cellStyle name="Normal 30 2 3 2 8" xfId="18319" xr:uid="{00000000-0005-0000-0000-0000E07F0000}"/>
    <cellStyle name="Normal 30 2 3 2 8 2" xfId="35709" xr:uid="{00000000-0005-0000-0000-0000E17F0000}"/>
    <cellStyle name="Normal 30 2 3 2 9" xfId="18320" xr:uid="{00000000-0005-0000-0000-0000E27F0000}"/>
    <cellStyle name="Normal 30 2 3 2 9 2" xfId="35710" xr:uid="{00000000-0005-0000-0000-0000E37F0000}"/>
    <cellStyle name="Normal 30 2 3 3" xfId="18321" xr:uid="{00000000-0005-0000-0000-0000E47F0000}"/>
    <cellStyle name="Normal 30 2 3 3 2" xfId="35711" xr:uid="{00000000-0005-0000-0000-0000E57F0000}"/>
    <cellStyle name="Normal 30 2 3 4" xfId="18322" xr:uid="{00000000-0005-0000-0000-0000E67F0000}"/>
    <cellStyle name="Normal 30 2 3 4 2" xfId="35712" xr:uid="{00000000-0005-0000-0000-0000E77F0000}"/>
    <cellStyle name="Normal 30 2 3 5" xfId="18323" xr:uid="{00000000-0005-0000-0000-0000E87F0000}"/>
    <cellStyle name="Normal 30 2 3 5 2" xfId="35713" xr:uid="{00000000-0005-0000-0000-0000E97F0000}"/>
    <cellStyle name="Normal 30 2 3 6" xfId="18324" xr:uid="{00000000-0005-0000-0000-0000EA7F0000}"/>
    <cellStyle name="Normal 30 2 3 6 2" xfId="35714" xr:uid="{00000000-0005-0000-0000-0000EB7F0000}"/>
    <cellStyle name="Normal 30 2 3 7" xfId="18325" xr:uid="{00000000-0005-0000-0000-0000EC7F0000}"/>
    <cellStyle name="Normal 30 2 3 7 2" xfId="35715" xr:uid="{00000000-0005-0000-0000-0000ED7F0000}"/>
    <cellStyle name="Normal 30 2 3 8" xfId="18326" xr:uid="{00000000-0005-0000-0000-0000EE7F0000}"/>
    <cellStyle name="Normal 30 2 3 8 2" xfId="35716" xr:uid="{00000000-0005-0000-0000-0000EF7F0000}"/>
    <cellStyle name="Normal 30 2 3 9" xfId="18327" xr:uid="{00000000-0005-0000-0000-0000F07F0000}"/>
    <cellStyle name="Normal 30 2 3 9 2" xfId="35717" xr:uid="{00000000-0005-0000-0000-0000F17F0000}"/>
    <cellStyle name="Normal 30 2 4" xfId="18328" xr:uid="{00000000-0005-0000-0000-0000F27F0000}"/>
    <cellStyle name="Normal 30 2 4 10" xfId="18329" xr:uid="{00000000-0005-0000-0000-0000F37F0000}"/>
    <cellStyle name="Normal 30 2 4 10 2" xfId="35719" xr:uid="{00000000-0005-0000-0000-0000F47F0000}"/>
    <cellStyle name="Normal 30 2 4 11" xfId="18330" xr:uid="{00000000-0005-0000-0000-0000F57F0000}"/>
    <cellStyle name="Normal 30 2 4 11 2" xfId="35720" xr:uid="{00000000-0005-0000-0000-0000F67F0000}"/>
    <cellStyle name="Normal 30 2 4 12" xfId="18331" xr:uid="{00000000-0005-0000-0000-0000F77F0000}"/>
    <cellStyle name="Normal 30 2 4 12 2" xfId="35721" xr:uid="{00000000-0005-0000-0000-0000F87F0000}"/>
    <cellStyle name="Normal 30 2 4 13" xfId="18332" xr:uid="{00000000-0005-0000-0000-0000F97F0000}"/>
    <cellStyle name="Normal 30 2 4 13 2" xfId="35722" xr:uid="{00000000-0005-0000-0000-0000FA7F0000}"/>
    <cellStyle name="Normal 30 2 4 14" xfId="18333" xr:uid="{00000000-0005-0000-0000-0000FB7F0000}"/>
    <cellStyle name="Normal 30 2 4 14 2" xfId="35723" xr:uid="{00000000-0005-0000-0000-0000FC7F0000}"/>
    <cellStyle name="Normal 30 2 4 15" xfId="18334" xr:uid="{00000000-0005-0000-0000-0000FD7F0000}"/>
    <cellStyle name="Normal 30 2 4 15 2" xfId="35724" xr:uid="{00000000-0005-0000-0000-0000FE7F0000}"/>
    <cellStyle name="Normal 30 2 4 16" xfId="35718" xr:uid="{00000000-0005-0000-0000-0000FF7F0000}"/>
    <cellStyle name="Normal 30 2 4 2" xfId="18335" xr:uid="{00000000-0005-0000-0000-000000800000}"/>
    <cellStyle name="Normal 30 2 4 2 10" xfId="18336" xr:uid="{00000000-0005-0000-0000-000001800000}"/>
    <cellStyle name="Normal 30 2 4 2 10 2" xfId="35726" xr:uid="{00000000-0005-0000-0000-000002800000}"/>
    <cellStyle name="Normal 30 2 4 2 11" xfId="18337" xr:uid="{00000000-0005-0000-0000-000003800000}"/>
    <cellStyle name="Normal 30 2 4 2 11 2" xfId="35727" xr:uid="{00000000-0005-0000-0000-000004800000}"/>
    <cellStyle name="Normal 30 2 4 2 12" xfId="18338" xr:uid="{00000000-0005-0000-0000-000005800000}"/>
    <cellStyle name="Normal 30 2 4 2 12 2" xfId="35728" xr:uid="{00000000-0005-0000-0000-000006800000}"/>
    <cellStyle name="Normal 30 2 4 2 13" xfId="18339" xr:uid="{00000000-0005-0000-0000-000007800000}"/>
    <cellStyle name="Normal 30 2 4 2 13 2" xfId="35729" xr:uid="{00000000-0005-0000-0000-000008800000}"/>
    <cellStyle name="Normal 30 2 4 2 14" xfId="18340" xr:uid="{00000000-0005-0000-0000-000009800000}"/>
    <cellStyle name="Normal 30 2 4 2 14 2" xfId="35730" xr:uid="{00000000-0005-0000-0000-00000A800000}"/>
    <cellStyle name="Normal 30 2 4 2 15" xfId="35725" xr:uid="{00000000-0005-0000-0000-00000B800000}"/>
    <cellStyle name="Normal 30 2 4 2 2" xfId="18341" xr:uid="{00000000-0005-0000-0000-00000C800000}"/>
    <cellStyle name="Normal 30 2 4 2 2 2" xfId="35731" xr:uid="{00000000-0005-0000-0000-00000D800000}"/>
    <cellStyle name="Normal 30 2 4 2 3" xfId="18342" xr:uid="{00000000-0005-0000-0000-00000E800000}"/>
    <cellStyle name="Normal 30 2 4 2 3 2" xfId="35732" xr:uid="{00000000-0005-0000-0000-00000F800000}"/>
    <cellStyle name="Normal 30 2 4 2 4" xfId="18343" xr:uid="{00000000-0005-0000-0000-000010800000}"/>
    <cellStyle name="Normal 30 2 4 2 4 2" xfId="35733" xr:uid="{00000000-0005-0000-0000-000011800000}"/>
    <cellStyle name="Normal 30 2 4 2 5" xfId="18344" xr:uid="{00000000-0005-0000-0000-000012800000}"/>
    <cellStyle name="Normal 30 2 4 2 5 2" xfId="35734" xr:uid="{00000000-0005-0000-0000-000013800000}"/>
    <cellStyle name="Normal 30 2 4 2 6" xfId="18345" xr:uid="{00000000-0005-0000-0000-000014800000}"/>
    <cellStyle name="Normal 30 2 4 2 6 2" xfId="35735" xr:uid="{00000000-0005-0000-0000-000015800000}"/>
    <cellStyle name="Normal 30 2 4 2 7" xfId="18346" xr:uid="{00000000-0005-0000-0000-000016800000}"/>
    <cellStyle name="Normal 30 2 4 2 7 2" xfId="35736" xr:uid="{00000000-0005-0000-0000-000017800000}"/>
    <cellStyle name="Normal 30 2 4 2 8" xfId="18347" xr:uid="{00000000-0005-0000-0000-000018800000}"/>
    <cellStyle name="Normal 30 2 4 2 8 2" xfId="35737" xr:uid="{00000000-0005-0000-0000-000019800000}"/>
    <cellStyle name="Normal 30 2 4 2 9" xfId="18348" xr:uid="{00000000-0005-0000-0000-00001A800000}"/>
    <cellStyle name="Normal 30 2 4 2 9 2" xfId="35738" xr:uid="{00000000-0005-0000-0000-00001B800000}"/>
    <cellStyle name="Normal 30 2 4 3" xfId="18349" xr:uid="{00000000-0005-0000-0000-00001C800000}"/>
    <cellStyle name="Normal 30 2 4 3 2" xfId="35739" xr:uid="{00000000-0005-0000-0000-00001D800000}"/>
    <cellStyle name="Normal 30 2 4 4" xfId="18350" xr:uid="{00000000-0005-0000-0000-00001E800000}"/>
    <cellStyle name="Normal 30 2 4 4 2" xfId="35740" xr:uid="{00000000-0005-0000-0000-00001F800000}"/>
    <cellStyle name="Normal 30 2 4 5" xfId="18351" xr:uid="{00000000-0005-0000-0000-000020800000}"/>
    <cellStyle name="Normal 30 2 4 5 2" xfId="35741" xr:uid="{00000000-0005-0000-0000-000021800000}"/>
    <cellStyle name="Normal 30 2 4 6" xfId="18352" xr:uid="{00000000-0005-0000-0000-000022800000}"/>
    <cellStyle name="Normal 30 2 4 6 2" xfId="35742" xr:uid="{00000000-0005-0000-0000-000023800000}"/>
    <cellStyle name="Normal 30 2 4 7" xfId="18353" xr:uid="{00000000-0005-0000-0000-000024800000}"/>
    <cellStyle name="Normal 30 2 4 7 2" xfId="35743" xr:uid="{00000000-0005-0000-0000-000025800000}"/>
    <cellStyle name="Normal 30 2 4 8" xfId="18354" xr:uid="{00000000-0005-0000-0000-000026800000}"/>
    <cellStyle name="Normal 30 2 4 8 2" xfId="35744" xr:uid="{00000000-0005-0000-0000-000027800000}"/>
    <cellStyle name="Normal 30 2 4 9" xfId="18355" xr:uid="{00000000-0005-0000-0000-000028800000}"/>
    <cellStyle name="Normal 30 2 4 9 2" xfId="35745" xr:uid="{00000000-0005-0000-0000-000029800000}"/>
    <cellStyle name="Normal 30 2 5" xfId="18356" xr:uid="{00000000-0005-0000-0000-00002A800000}"/>
    <cellStyle name="Normal 30 2 5 10" xfId="18357" xr:uid="{00000000-0005-0000-0000-00002B800000}"/>
    <cellStyle name="Normal 30 2 5 10 2" xfId="35747" xr:uid="{00000000-0005-0000-0000-00002C800000}"/>
    <cellStyle name="Normal 30 2 5 11" xfId="18358" xr:uid="{00000000-0005-0000-0000-00002D800000}"/>
    <cellStyle name="Normal 30 2 5 11 2" xfId="35748" xr:uid="{00000000-0005-0000-0000-00002E800000}"/>
    <cellStyle name="Normal 30 2 5 12" xfId="18359" xr:uid="{00000000-0005-0000-0000-00002F800000}"/>
    <cellStyle name="Normal 30 2 5 12 2" xfId="35749" xr:uid="{00000000-0005-0000-0000-000030800000}"/>
    <cellStyle name="Normal 30 2 5 13" xfId="18360" xr:uid="{00000000-0005-0000-0000-000031800000}"/>
    <cellStyle name="Normal 30 2 5 13 2" xfId="35750" xr:uid="{00000000-0005-0000-0000-000032800000}"/>
    <cellStyle name="Normal 30 2 5 14" xfId="18361" xr:uid="{00000000-0005-0000-0000-000033800000}"/>
    <cellStyle name="Normal 30 2 5 14 2" xfId="35751" xr:uid="{00000000-0005-0000-0000-000034800000}"/>
    <cellStyle name="Normal 30 2 5 15" xfId="35746" xr:uid="{00000000-0005-0000-0000-000035800000}"/>
    <cellStyle name="Normal 30 2 5 2" xfId="18362" xr:uid="{00000000-0005-0000-0000-000036800000}"/>
    <cellStyle name="Normal 30 2 5 2 2" xfId="35752" xr:uid="{00000000-0005-0000-0000-000037800000}"/>
    <cellStyle name="Normal 30 2 5 3" xfId="18363" xr:uid="{00000000-0005-0000-0000-000038800000}"/>
    <cellStyle name="Normal 30 2 5 3 2" xfId="35753" xr:uid="{00000000-0005-0000-0000-000039800000}"/>
    <cellStyle name="Normal 30 2 5 4" xfId="18364" xr:uid="{00000000-0005-0000-0000-00003A800000}"/>
    <cellStyle name="Normal 30 2 5 4 2" xfId="35754" xr:uid="{00000000-0005-0000-0000-00003B800000}"/>
    <cellStyle name="Normal 30 2 5 5" xfId="18365" xr:uid="{00000000-0005-0000-0000-00003C800000}"/>
    <cellStyle name="Normal 30 2 5 5 2" xfId="35755" xr:uid="{00000000-0005-0000-0000-00003D800000}"/>
    <cellStyle name="Normal 30 2 5 6" xfId="18366" xr:uid="{00000000-0005-0000-0000-00003E800000}"/>
    <cellStyle name="Normal 30 2 5 6 2" xfId="35756" xr:uid="{00000000-0005-0000-0000-00003F800000}"/>
    <cellStyle name="Normal 30 2 5 7" xfId="18367" xr:uid="{00000000-0005-0000-0000-000040800000}"/>
    <cellStyle name="Normal 30 2 5 7 2" xfId="35757" xr:uid="{00000000-0005-0000-0000-000041800000}"/>
    <cellStyle name="Normal 30 2 5 8" xfId="18368" xr:uid="{00000000-0005-0000-0000-000042800000}"/>
    <cellStyle name="Normal 30 2 5 8 2" xfId="35758" xr:uid="{00000000-0005-0000-0000-000043800000}"/>
    <cellStyle name="Normal 30 2 5 9" xfId="18369" xr:uid="{00000000-0005-0000-0000-000044800000}"/>
    <cellStyle name="Normal 30 2 5 9 2" xfId="35759" xr:uid="{00000000-0005-0000-0000-000045800000}"/>
    <cellStyle name="Normal 30 2 6" xfId="18370" xr:uid="{00000000-0005-0000-0000-000046800000}"/>
    <cellStyle name="Normal 30 2 6 10" xfId="18371" xr:uid="{00000000-0005-0000-0000-000047800000}"/>
    <cellStyle name="Normal 30 2 6 10 2" xfId="35761" xr:uid="{00000000-0005-0000-0000-000048800000}"/>
    <cellStyle name="Normal 30 2 6 11" xfId="18372" xr:uid="{00000000-0005-0000-0000-000049800000}"/>
    <cellStyle name="Normal 30 2 6 11 2" xfId="35762" xr:uid="{00000000-0005-0000-0000-00004A800000}"/>
    <cellStyle name="Normal 30 2 6 12" xfId="18373" xr:uid="{00000000-0005-0000-0000-00004B800000}"/>
    <cellStyle name="Normal 30 2 6 12 2" xfId="35763" xr:uid="{00000000-0005-0000-0000-00004C800000}"/>
    <cellStyle name="Normal 30 2 6 13" xfId="18374" xr:uid="{00000000-0005-0000-0000-00004D800000}"/>
    <cellStyle name="Normal 30 2 6 13 2" xfId="35764" xr:uid="{00000000-0005-0000-0000-00004E800000}"/>
    <cellStyle name="Normal 30 2 6 14" xfId="18375" xr:uid="{00000000-0005-0000-0000-00004F800000}"/>
    <cellStyle name="Normal 30 2 6 14 2" xfId="35765" xr:uid="{00000000-0005-0000-0000-000050800000}"/>
    <cellStyle name="Normal 30 2 6 15" xfId="35760" xr:uid="{00000000-0005-0000-0000-000051800000}"/>
    <cellStyle name="Normal 30 2 6 2" xfId="18376" xr:uid="{00000000-0005-0000-0000-000052800000}"/>
    <cellStyle name="Normal 30 2 6 2 2" xfId="35766" xr:uid="{00000000-0005-0000-0000-000053800000}"/>
    <cellStyle name="Normal 30 2 6 3" xfId="18377" xr:uid="{00000000-0005-0000-0000-000054800000}"/>
    <cellStyle name="Normal 30 2 6 3 2" xfId="35767" xr:uid="{00000000-0005-0000-0000-000055800000}"/>
    <cellStyle name="Normal 30 2 6 4" xfId="18378" xr:uid="{00000000-0005-0000-0000-000056800000}"/>
    <cellStyle name="Normal 30 2 6 4 2" xfId="35768" xr:uid="{00000000-0005-0000-0000-000057800000}"/>
    <cellStyle name="Normal 30 2 6 5" xfId="18379" xr:uid="{00000000-0005-0000-0000-000058800000}"/>
    <cellStyle name="Normal 30 2 6 5 2" xfId="35769" xr:uid="{00000000-0005-0000-0000-000059800000}"/>
    <cellStyle name="Normal 30 2 6 6" xfId="18380" xr:uid="{00000000-0005-0000-0000-00005A800000}"/>
    <cellStyle name="Normal 30 2 6 6 2" xfId="35770" xr:uid="{00000000-0005-0000-0000-00005B800000}"/>
    <cellStyle name="Normal 30 2 6 7" xfId="18381" xr:uid="{00000000-0005-0000-0000-00005C800000}"/>
    <cellStyle name="Normal 30 2 6 7 2" xfId="35771" xr:uid="{00000000-0005-0000-0000-00005D800000}"/>
    <cellStyle name="Normal 30 2 6 8" xfId="18382" xr:uid="{00000000-0005-0000-0000-00005E800000}"/>
    <cellStyle name="Normal 30 2 6 8 2" xfId="35772" xr:uid="{00000000-0005-0000-0000-00005F800000}"/>
    <cellStyle name="Normal 30 2 6 9" xfId="18383" xr:uid="{00000000-0005-0000-0000-000060800000}"/>
    <cellStyle name="Normal 30 2 6 9 2" xfId="35773" xr:uid="{00000000-0005-0000-0000-000061800000}"/>
    <cellStyle name="Normal 30 2 7" xfId="18384" xr:uid="{00000000-0005-0000-0000-000062800000}"/>
    <cellStyle name="Normal 30 2 7 10" xfId="18385" xr:uid="{00000000-0005-0000-0000-000063800000}"/>
    <cellStyle name="Normal 30 2 7 10 2" xfId="35775" xr:uid="{00000000-0005-0000-0000-000064800000}"/>
    <cellStyle name="Normal 30 2 7 11" xfId="18386" xr:uid="{00000000-0005-0000-0000-000065800000}"/>
    <cellStyle name="Normal 30 2 7 11 2" xfId="35776" xr:uid="{00000000-0005-0000-0000-000066800000}"/>
    <cellStyle name="Normal 30 2 7 12" xfId="18387" xr:uid="{00000000-0005-0000-0000-000067800000}"/>
    <cellStyle name="Normal 30 2 7 12 2" xfId="35777" xr:uid="{00000000-0005-0000-0000-000068800000}"/>
    <cellStyle name="Normal 30 2 7 13" xfId="18388" xr:uid="{00000000-0005-0000-0000-000069800000}"/>
    <cellStyle name="Normal 30 2 7 13 2" xfId="35778" xr:uid="{00000000-0005-0000-0000-00006A800000}"/>
    <cellStyle name="Normal 30 2 7 14" xfId="18389" xr:uid="{00000000-0005-0000-0000-00006B800000}"/>
    <cellStyle name="Normal 30 2 7 14 2" xfId="35779" xr:uid="{00000000-0005-0000-0000-00006C800000}"/>
    <cellStyle name="Normal 30 2 7 15" xfId="35774" xr:uid="{00000000-0005-0000-0000-00006D800000}"/>
    <cellStyle name="Normal 30 2 7 2" xfId="18390" xr:uid="{00000000-0005-0000-0000-00006E800000}"/>
    <cellStyle name="Normal 30 2 7 2 2" xfId="35780" xr:uid="{00000000-0005-0000-0000-00006F800000}"/>
    <cellStyle name="Normal 30 2 7 3" xfId="18391" xr:uid="{00000000-0005-0000-0000-000070800000}"/>
    <cellStyle name="Normal 30 2 7 3 2" xfId="35781" xr:uid="{00000000-0005-0000-0000-000071800000}"/>
    <cellStyle name="Normal 30 2 7 4" xfId="18392" xr:uid="{00000000-0005-0000-0000-000072800000}"/>
    <cellStyle name="Normal 30 2 7 4 2" xfId="35782" xr:uid="{00000000-0005-0000-0000-000073800000}"/>
    <cellStyle name="Normal 30 2 7 5" xfId="18393" xr:uid="{00000000-0005-0000-0000-000074800000}"/>
    <cellStyle name="Normal 30 2 7 5 2" xfId="35783" xr:uid="{00000000-0005-0000-0000-000075800000}"/>
    <cellStyle name="Normal 30 2 7 6" xfId="18394" xr:uid="{00000000-0005-0000-0000-000076800000}"/>
    <cellStyle name="Normal 30 2 7 6 2" xfId="35784" xr:uid="{00000000-0005-0000-0000-000077800000}"/>
    <cellStyle name="Normal 30 2 7 7" xfId="18395" xr:uid="{00000000-0005-0000-0000-000078800000}"/>
    <cellStyle name="Normal 30 2 7 7 2" xfId="35785" xr:uid="{00000000-0005-0000-0000-000079800000}"/>
    <cellStyle name="Normal 30 2 7 8" xfId="18396" xr:uid="{00000000-0005-0000-0000-00007A800000}"/>
    <cellStyle name="Normal 30 2 7 8 2" xfId="35786" xr:uid="{00000000-0005-0000-0000-00007B800000}"/>
    <cellStyle name="Normal 30 2 7 9" xfId="18397" xr:uid="{00000000-0005-0000-0000-00007C800000}"/>
    <cellStyle name="Normal 30 2 7 9 2" xfId="35787" xr:uid="{00000000-0005-0000-0000-00007D800000}"/>
    <cellStyle name="Normal 30 2 8" xfId="18398" xr:uid="{00000000-0005-0000-0000-00007E800000}"/>
    <cellStyle name="Normal 30 2 8 10" xfId="18399" xr:uid="{00000000-0005-0000-0000-00007F800000}"/>
    <cellStyle name="Normal 30 2 8 10 2" xfId="35789" xr:uid="{00000000-0005-0000-0000-000080800000}"/>
    <cellStyle name="Normal 30 2 8 11" xfId="18400" xr:uid="{00000000-0005-0000-0000-000081800000}"/>
    <cellStyle name="Normal 30 2 8 11 2" xfId="35790" xr:uid="{00000000-0005-0000-0000-000082800000}"/>
    <cellStyle name="Normal 30 2 8 12" xfId="18401" xr:uid="{00000000-0005-0000-0000-000083800000}"/>
    <cellStyle name="Normal 30 2 8 12 2" xfId="35791" xr:uid="{00000000-0005-0000-0000-000084800000}"/>
    <cellStyle name="Normal 30 2 8 13" xfId="18402" xr:uid="{00000000-0005-0000-0000-000085800000}"/>
    <cellStyle name="Normal 30 2 8 13 2" xfId="35792" xr:uid="{00000000-0005-0000-0000-000086800000}"/>
    <cellStyle name="Normal 30 2 8 14" xfId="18403" xr:uid="{00000000-0005-0000-0000-000087800000}"/>
    <cellStyle name="Normal 30 2 8 14 2" xfId="35793" xr:uid="{00000000-0005-0000-0000-000088800000}"/>
    <cellStyle name="Normal 30 2 8 15" xfId="35788" xr:uid="{00000000-0005-0000-0000-000089800000}"/>
    <cellStyle name="Normal 30 2 8 2" xfId="18404" xr:uid="{00000000-0005-0000-0000-00008A800000}"/>
    <cellStyle name="Normal 30 2 8 2 2" xfId="35794" xr:uid="{00000000-0005-0000-0000-00008B800000}"/>
    <cellStyle name="Normal 30 2 8 3" xfId="18405" xr:uid="{00000000-0005-0000-0000-00008C800000}"/>
    <cellStyle name="Normal 30 2 8 3 2" xfId="35795" xr:uid="{00000000-0005-0000-0000-00008D800000}"/>
    <cellStyle name="Normal 30 2 8 4" xfId="18406" xr:uid="{00000000-0005-0000-0000-00008E800000}"/>
    <cellStyle name="Normal 30 2 8 4 2" xfId="35796" xr:uid="{00000000-0005-0000-0000-00008F800000}"/>
    <cellStyle name="Normal 30 2 8 5" xfId="18407" xr:uid="{00000000-0005-0000-0000-000090800000}"/>
    <cellStyle name="Normal 30 2 8 5 2" xfId="35797" xr:uid="{00000000-0005-0000-0000-000091800000}"/>
    <cellStyle name="Normal 30 2 8 6" xfId="18408" xr:uid="{00000000-0005-0000-0000-000092800000}"/>
    <cellStyle name="Normal 30 2 8 6 2" xfId="35798" xr:uid="{00000000-0005-0000-0000-000093800000}"/>
    <cellStyle name="Normal 30 2 8 7" xfId="18409" xr:uid="{00000000-0005-0000-0000-000094800000}"/>
    <cellStyle name="Normal 30 2 8 7 2" xfId="35799" xr:uid="{00000000-0005-0000-0000-000095800000}"/>
    <cellStyle name="Normal 30 2 8 8" xfId="18410" xr:uid="{00000000-0005-0000-0000-000096800000}"/>
    <cellStyle name="Normal 30 2 8 8 2" xfId="35800" xr:uid="{00000000-0005-0000-0000-000097800000}"/>
    <cellStyle name="Normal 30 2 8 9" xfId="18411" xr:uid="{00000000-0005-0000-0000-000098800000}"/>
    <cellStyle name="Normal 30 2 8 9 2" xfId="35801" xr:uid="{00000000-0005-0000-0000-000099800000}"/>
    <cellStyle name="Normal 30 2 9" xfId="18412" xr:uid="{00000000-0005-0000-0000-00009A800000}"/>
    <cellStyle name="Normal 30 2 9 10" xfId="18413" xr:uid="{00000000-0005-0000-0000-00009B800000}"/>
    <cellStyle name="Normal 30 2 9 10 2" xfId="35803" xr:uid="{00000000-0005-0000-0000-00009C800000}"/>
    <cellStyle name="Normal 30 2 9 11" xfId="18414" xr:uid="{00000000-0005-0000-0000-00009D800000}"/>
    <cellStyle name="Normal 30 2 9 11 2" xfId="35804" xr:uid="{00000000-0005-0000-0000-00009E800000}"/>
    <cellStyle name="Normal 30 2 9 12" xfId="18415" xr:uid="{00000000-0005-0000-0000-00009F800000}"/>
    <cellStyle name="Normal 30 2 9 12 2" xfId="35805" xr:uid="{00000000-0005-0000-0000-0000A0800000}"/>
    <cellStyle name="Normal 30 2 9 13" xfId="18416" xr:uid="{00000000-0005-0000-0000-0000A1800000}"/>
    <cellStyle name="Normal 30 2 9 13 2" xfId="35806" xr:uid="{00000000-0005-0000-0000-0000A2800000}"/>
    <cellStyle name="Normal 30 2 9 14" xfId="18417" xr:uid="{00000000-0005-0000-0000-0000A3800000}"/>
    <cellStyle name="Normal 30 2 9 14 2" xfId="35807" xr:uid="{00000000-0005-0000-0000-0000A4800000}"/>
    <cellStyle name="Normal 30 2 9 15" xfId="35802" xr:uid="{00000000-0005-0000-0000-0000A5800000}"/>
    <cellStyle name="Normal 30 2 9 2" xfId="18418" xr:uid="{00000000-0005-0000-0000-0000A6800000}"/>
    <cellStyle name="Normal 30 2 9 2 2" xfId="35808" xr:uid="{00000000-0005-0000-0000-0000A7800000}"/>
    <cellStyle name="Normal 30 2 9 3" xfId="18419" xr:uid="{00000000-0005-0000-0000-0000A8800000}"/>
    <cellStyle name="Normal 30 2 9 3 2" xfId="35809" xr:uid="{00000000-0005-0000-0000-0000A9800000}"/>
    <cellStyle name="Normal 30 2 9 4" xfId="18420" xr:uid="{00000000-0005-0000-0000-0000AA800000}"/>
    <cellStyle name="Normal 30 2 9 4 2" xfId="35810" xr:uid="{00000000-0005-0000-0000-0000AB800000}"/>
    <cellStyle name="Normal 30 2 9 5" xfId="18421" xr:uid="{00000000-0005-0000-0000-0000AC800000}"/>
    <cellStyle name="Normal 30 2 9 5 2" xfId="35811" xr:uid="{00000000-0005-0000-0000-0000AD800000}"/>
    <cellStyle name="Normal 30 2 9 6" xfId="18422" xr:uid="{00000000-0005-0000-0000-0000AE800000}"/>
    <cellStyle name="Normal 30 2 9 6 2" xfId="35812" xr:uid="{00000000-0005-0000-0000-0000AF800000}"/>
    <cellStyle name="Normal 30 2 9 7" xfId="18423" xr:uid="{00000000-0005-0000-0000-0000B0800000}"/>
    <cellStyle name="Normal 30 2 9 7 2" xfId="35813" xr:uid="{00000000-0005-0000-0000-0000B1800000}"/>
    <cellStyle name="Normal 30 2 9 8" xfId="18424" xr:uid="{00000000-0005-0000-0000-0000B2800000}"/>
    <cellStyle name="Normal 30 2 9 8 2" xfId="35814" xr:uid="{00000000-0005-0000-0000-0000B3800000}"/>
    <cellStyle name="Normal 30 2 9 9" xfId="18425" xr:uid="{00000000-0005-0000-0000-0000B4800000}"/>
    <cellStyle name="Normal 30 2 9 9 2" xfId="35815" xr:uid="{00000000-0005-0000-0000-0000B5800000}"/>
    <cellStyle name="Normal 30 3" xfId="18426" xr:uid="{00000000-0005-0000-0000-0000B6800000}"/>
    <cellStyle name="Normal 30 3 10" xfId="18427" xr:uid="{00000000-0005-0000-0000-0000B7800000}"/>
    <cellStyle name="Normal 30 3 10 10" xfId="18428" xr:uid="{00000000-0005-0000-0000-0000B8800000}"/>
    <cellStyle name="Normal 30 3 10 10 2" xfId="35818" xr:uid="{00000000-0005-0000-0000-0000B9800000}"/>
    <cellStyle name="Normal 30 3 10 11" xfId="18429" xr:uid="{00000000-0005-0000-0000-0000BA800000}"/>
    <cellStyle name="Normal 30 3 10 11 2" xfId="35819" xr:uid="{00000000-0005-0000-0000-0000BB800000}"/>
    <cellStyle name="Normal 30 3 10 12" xfId="18430" xr:uid="{00000000-0005-0000-0000-0000BC800000}"/>
    <cellStyle name="Normal 30 3 10 12 2" xfId="35820" xr:uid="{00000000-0005-0000-0000-0000BD800000}"/>
    <cellStyle name="Normal 30 3 10 13" xfId="18431" xr:uid="{00000000-0005-0000-0000-0000BE800000}"/>
    <cellStyle name="Normal 30 3 10 13 2" xfId="35821" xr:uid="{00000000-0005-0000-0000-0000BF800000}"/>
    <cellStyle name="Normal 30 3 10 14" xfId="18432" xr:uid="{00000000-0005-0000-0000-0000C0800000}"/>
    <cellStyle name="Normal 30 3 10 14 2" xfId="35822" xr:uid="{00000000-0005-0000-0000-0000C1800000}"/>
    <cellStyle name="Normal 30 3 10 15" xfId="35817" xr:uid="{00000000-0005-0000-0000-0000C2800000}"/>
    <cellStyle name="Normal 30 3 10 2" xfId="18433" xr:uid="{00000000-0005-0000-0000-0000C3800000}"/>
    <cellStyle name="Normal 30 3 10 2 2" xfId="35823" xr:uid="{00000000-0005-0000-0000-0000C4800000}"/>
    <cellStyle name="Normal 30 3 10 3" xfId="18434" xr:uid="{00000000-0005-0000-0000-0000C5800000}"/>
    <cellStyle name="Normal 30 3 10 3 2" xfId="35824" xr:uid="{00000000-0005-0000-0000-0000C6800000}"/>
    <cellStyle name="Normal 30 3 10 4" xfId="18435" xr:uid="{00000000-0005-0000-0000-0000C7800000}"/>
    <cellStyle name="Normal 30 3 10 4 2" xfId="35825" xr:uid="{00000000-0005-0000-0000-0000C8800000}"/>
    <cellStyle name="Normal 30 3 10 5" xfId="18436" xr:uid="{00000000-0005-0000-0000-0000C9800000}"/>
    <cellStyle name="Normal 30 3 10 5 2" xfId="35826" xr:uid="{00000000-0005-0000-0000-0000CA800000}"/>
    <cellStyle name="Normal 30 3 10 6" xfId="18437" xr:uid="{00000000-0005-0000-0000-0000CB800000}"/>
    <cellStyle name="Normal 30 3 10 6 2" xfId="35827" xr:uid="{00000000-0005-0000-0000-0000CC800000}"/>
    <cellStyle name="Normal 30 3 10 7" xfId="18438" xr:uid="{00000000-0005-0000-0000-0000CD800000}"/>
    <cellStyle name="Normal 30 3 10 7 2" xfId="35828" xr:uid="{00000000-0005-0000-0000-0000CE800000}"/>
    <cellStyle name="Normal 30 3 10 8" xfId="18439" xr:uid="{00000000-0005-0000-0000-0000CF800000}"/>
    <cellStyle name="Normal 30 3 10 8 2" xfId="35829" xr:uid="{00000000-0005-0000-0000-0000D0800000}"/>
    <cellStyle name="Normal 30 3 10 9" xfId="18440" xr:uid="{00000000-0005-0000-0000-0000D1800000}"/>
    <cellStyle name="Normal 30 3 10 9 2" xfId="35830" xr:uid="{00000000-0005-0000-0000-0000D2800000}"/>
    <cellStyle name="Normal 30 3 11" xfId="18441" xr:uid="{00000000-0005-0000-0000-0000D3800000}"/>
    <cellStyle name="Normal 30 3 11 10" xfId="18442" xr:uid="{00000000-0005-0000-0000-0000D4800000}"/>
    <cellStyle name="Normal 30 3 11 10 2" xfId="35832" xr:uid="{00000000-0005-0000-0000-0000D5800000}"/>
    <cellStyle name="Normal 30 3 11 11" xfId="18443" xr:uid="{00000000-0005-0000-0000-0000D6800000}"/>
    <cellStyle name="Normal 30 3 11 11 2" xfId="35833" xr:uid="{00000000-0005-0000-0000-0000D7800000}"/>
    <cellStyle name="Normal 30 3 11 12" xfId="18444" xr:uid="{00000000-0005-0000-0000-0000D8800000}"/>
    <cellStyle name="Normal 30 3 11 12 2" xfId="35834" xr:uid="{00000000-0005-0000-0000-0000D9800000}"/>
    <cellStyle name="Normal 30 3 11 13" xfId="18445" xr:uid="{00000000-0005-0000-0000-0000DA800000}"/>
    <cellStyle name="Normal 30 3 11 13 2" xfId="35835" xr:uid="{00000000-0005-0000-0000-0000DB800000}"/>
    <cellStyle name="Normal 30 3 11 14" xfId="18446" xr:uid="{00000000-0005-0000-0000-0000DC800000}"/>
    <cellStyle name="Normal 30 3 11 14 2" xfId="35836" xr:uid="{00000000-0005-0000-0000-0000DD800000}"/>
    <cellStyle name="Normal 30 3 11 15" xfId="35831" xr:uid="{00000000-0005-0000-0000-0000DE800000}"/>
    <cellStyle name="Normal 30 3 11 2" xfId="18447" xr:uid="{00000000-0005-0000-0000-0000DF800000}"/>
    <cellStyle name="Normal 30 3 11 2 2" xfId="35837" xr:uid="{00000000-0005-0000-0000-0000E0800000}"/>
    <cellStyle name="Normal 30 3 11 3" xfId="18448" xr:uid="{00000000-0005-0000-0000-0000E1800000}"/>
    <cellStyle name="Normal 30 3 11 3 2" xfId="35838" xr:uid="{00000000-0005-0000-0000-0000E2800000}"/>
    <cellStyle name="Normal 30 3 11 4" xfId="18449" xr:uid="{00000000-0005-0000-0000-0000E3800000}"/>
    <cellStyle name="Normal 30 3 11 4 2" xfId="35839" xr:uid="{00000000-0005-0000-0000-0000E4800000}"/>
    <cellStyle name="Normal 30 3 11 5" xfId="18450" xr:uid="{00000000-0005-0000-0000-0000E5800000}"/>
    <cellStyle name="Normal 30 3 11 5 2" xfId="35840" xr:uid="{00000000-0005-0000-0000-0000E6800000}"/>
    <cellStyle name="Normal 30 3 11 6" xfId="18451" xr:uid="{00000000-0005-0000-0000-0000E7800000}"/>
    <cellStyle name="Normal 30 3 11 6 2" xfId="35841" xr:uid="{00000000-0005-0000-0000-0000E8800000}"/>
    <cellStyle name="Normal 30 3 11 7" xfId="18452" xr:uid="{00000000-0005-0000-0000-0000E9800000}"/>
    <cellStyle name="Normal 30 3 11 7 2" xfId="35842" xr:uid="{00000000-0005-0000-0000-0000EA800000}"/>
    <cellStyle name="Normal 30 3 11 8" xfId="18453" xr:uid="{00000000-0005-0000-0000-0000EB800000}"/>
    <cellStyle name="Normal 30 3 11 8 2" xfId="35843" xr:uid="{00000000-0005-0000-0000-0000EC800000}"/>
    <cellStyle name="Normal 30 3 11 9" xfId="18454" xr:uid="{00000000-0005-0000-0000-0000ED800000}"/>
    <cellStyle name="Normal 30 3 11 9 2" xfId="35844" xr:uid="{00000000-0005-0000-0000-0000EE800000}"/>
    <cellStyle name="Normal 30 3 12" xfId="18455" xr:uid="{00000000-0005-0000-0000-0000EF800000}"/>
    <cellStyle name="Normal 30 3 12 10" xfId="18456" xr:uid="{00000000-0005-0000-0000-0000F0800000}"/>
    <cellStyle name="Normal 30 3 12 10 2" xfId="35846" xr:uid="{00000000-0005-0000-0000-0000F1800000}"/>
    <cellStyle name="Normal 30 3 12 11" xfId="18457" xr:uid="{00000000-0005-0000-0000-0000F2800000}"/>
    <cellStyle name="Normal 30 3 12 11 2" xfId="35847" xr:uid="{00000000-0005-0000-0000-0000F3800000}"/>
    <cellStyle name="Normal 30 3 12 12" xfId="18458" xr:uid="{00000000-0005-0000-0000-0000F4800000}"/>
    <cellStyle name="Normal 30 3 12 12 2" xfId="35848" xr:uid="{00000000-0005-0000-0000-0000F5800000}"/>
    <cellStyle name="Normal 30 3 12 13" xfId="18459" xr:uid="{00000000-0005-0000-0000-0000F6800000}"/>
    <cellStyle name="Normal 30 3 12 13 2" xfId="35849" xr:uid="{00000000-0005-0000-0000-0000F7800000}"/>
    <cellStyle name="Normal 30 3 12 14" xfId="18460" xr:uid="{00000000-0005-0000-0000-0000F8800000}"/>
    <cellStyle name="Normal 30 3 12 14 2" xfId="35850" xr:uid="{00000000-0005-0000-0000-0000F9800000}"/>
    <cellStyle name="Normal 30 3 12 15" xfId="35845" xr:uid="{00000000-0005-0000-0000-0000FA800000}"/>
    <cellStyle name="Normal 30 3 12 2" xfId="18461" xr:uid="{00000000-0005-0000-0000-0000FB800000}"/>
    <cellStyle name="Normal 30 3 12 2 2" xfId="35851" xr:uid="{00000000-0005-0000-0000-0000FC800000}"/>
    <cellStyle name="Normal 30 3 12 3" xfId="18462" xr:uid="{00000000-0005-0000-0000-0000FD800000}"/>
    <cellStyle name="Normal 30 3 12 3 2" xfId="35852" xr:uid="{00000000-0005-0000-0000-0000FE800000}"/>
    <cellStyle name="Normal 30 3 12 4" xfId="18463" xr:uid="{00000000-0005-0000-0000-0000FF800000}"/>
    <cellStyle name="Normal 30 3 12 4 2" xfId="35853" xr:uid="{00000000-0005-0000-0000-000000810000}"/>
    <cellStyle name="Normal 30 3 12 5" xfId="18464" xr:uid="{00000000-0005-0000-0000-000001810000}"/>
    <cellStyle name="Normal 30 3 12 5 2" xfId="35854" xr:uid="{00000000-0005-0000-0000-000002810000}"/>
    <cellStyle name="Normal 30 3 12 6" xfId="18465" xr:uid="{00000000-0005-0000-0000-000003810000}"/>
    <cellStyle name="Normal 30 3 12 6 2" xfId="35855" xr:uid="{00000000-0005-0000-0000-000004810000}"/>
    <cellStyle name="Normal 30 3 12 7" xfId="18466" xr:uid="{00000000-0005-0000-0000-000005810000}"/>
    <cellStyle name="Normal 30 3 12 7 2" xfId="35856" xr:uid="{00000000-0005-0000-0000-000006810000}"/>
    <cellStyle name="Normal 30 3 12 8" xfId="18467" xr:uid="{00000000-0005-0000-0000-000007810000}"/>
    <cellStyle name="Normal 30 3 12 8 2" xfId="35857" xr:uid="{00000000-0005-0000-0000-000008810000}"/>
    <cellStyle name="Normal 30 3 12 9" xfId="18468" xr:uid="{00000000-0005-0000-0000-000009810000}"/>
    <cellStyle name="Normal 30 3 12 9 2" xfId="35858" xr:uid="{00000000-0005-0000-0000-00000A810000}"/>
    <cellStyle name="Normal 30 3 13" xfId="18469" xr:uid="{00000000-0005-0000-0000-00000B810000}"/>
    <cellStyle name="Normal 30 3 13 10" xfId="18470" xr:uid="{00000000-0005-0000-0000-00000C810000}"/>
    <cellStyle name="Normal 30 3 13 10 2" xfId="35860" xr:uid="{00000000-0005-0000-0000-00000D810000}"/>
    <cellStyle name="Normal 30 3 13 11" xfId="18471" xr:uid="{00000000-0005-0000-0000-00000E810000}"/>
    <cellStyle name="Normal 30 3 13 11 2" xfId="35861" xr:uid="{00000000-0005-0000-0000-00000F810000}"/>
    <cellStyle name="Normal 30 3 13 12" xfId="18472" xr:uid="{00000000-0005-0000-0000-000010810000}"/>
    <cellStyle name="Normal 30 3 13 12 2" xfId="35862" xr:uid="{00000000-0005-0000-0000-000011810000}"/>
    <cellStyle name="Normal 30 3 13 13" xfId="18473" xr:uid="{00000000-0005-0000-0000-000012810000}"/>
    <cellStyle name="Normal 30 3 13 13 2" xfId="35863" xr:uid="{00000000-0005-0000-0000-000013810000}"/>
    <cellStyle name="Normal 30 3 13 14" xfId="18474" xr:uid="{00000000-0005-0000-0000-000014810000}"/>
    <cellStyle name="Normal 30 3 13 14 2" xfId="35864" xr:uid="{00000000-0005-0000-0000-000015810000}"/>
    <cellStyle name="Normal 30 3 13 15" xfId="35859" xr:uid="{00000000-0005-0000-0000-000016810000}"/>
    <cellStyle name="Normal 30 3 13 2" xfId="18475" xr:uid="{00000000-0005-0000-0000-000017810000}"/>
    <cellStyle name="Normal 30 3 13 2 2" xfId="35865" xr:uid="{00000000-0005-0000-0000-000018810000}"/>
    <cellStyle name="Normal 30 3 13 3" xfId="18476" xr:uid="{00000000-0005-0000-0000-000019810000}"/>
    <cellStyle name="Normal 30 3 13 3 2" xfId="35866" xr:uid="{00000000-0005-0000-0000-00001A810000}"/>
    <cellStyle name="Normal 30 3 13 4" xfId="18477" xr:uid="{00000000-0005-0000-0000-00001B810000}"/>
    <cellStyle name="Normal 30 3 13 4 2" xfId="35867" xr:uid="{00000000-0005-0000-0000-00001C810000}"/>
    <cellStyle name="Normal 30 3 13 5" xfId="18478" xr:uid="{00000000-0005-0000-0000-00001D810000}"/>
    <cellStyle name="Normal 30 3 13 5 2" xfId="35868" xr:uid="{00000000-0005-0000-0000-00001E810000}"/>
    <cellStyle name="Normal 30 3 13 6" xfId="18479" xr:uid="{00000000-0005-0000-0000-00001F810000}"/>
    <cellStyle name="Normal 30 3 13 6 2" xfId="35869" xr:uid="{00000000-0005-0000-0000-000020810000}"/>
    <cellStyle name="Normal 30 3 13 7" xfId="18480" xr:uid="{00000000-0005-0000-0000-000021810000}"/>
    <cellStyle name="Normal 30 3 13 7 2" xfId="35870" xr:uid="{00000000-0005-0000-0000-000022810000}"/>
    <cellStyle name="Normal 30 3 13 8" xfId="18481" xr:uid="{00000000-0005-0000-0000-000023810000}"/>
    <cellStyle name="Normal 30 3 13 8 2" xfId="35871" xr:uid="{00000000-0005-0000-0000-000024810000}"/>
    <cellStyle name="Normal 30 3 13 9" xfId="18482" xr:uid="{00000000-0005-0000-0000-000025810000}"/>
    <cellStyle name="Normal 30 3 13 9 2" xfId="35872" xr:uid="{00000000-0005-0000-0000-000026810000}"/>
    <cellStyle name="Normal 30 3 14" xfId="18483" xr:uid="{00000000-0005-0000-0000-000027810000}"/>
    <cellStyle name="Normal 30 3 14 10" xfId="18484" xr:uid="{00000000-0005-0000-0000-000028810000}"/>
    <cellStyle name="Normal 30 3 14 10 2" xfId="35874" xr:uid="{00000000-0005-0000-0000-000029810000}"/>
    <cellStyle name="Normal 30 3 14 11" xfId="18485" xr:uid="{00000000-0005-0000-0000-00002A810000}"/>
    <cellStyle name="Normal 30 3 14 11 2" xfId="35875" xr:uid="{00000000-0005-0000-0000-00002B810000}"/>
    <cellStyle name="Normal 30 3 14 12" xfId="18486" xr:uid="{00000000-0005-0000-0000-00002C810000}"/>
    <cellStyle name="Normal 30 3 14 12 2" xfId="35876" xr:uid="{00000000-0005-0000-0000-00002D810000}"/>
    <cellStyle name="Normal 30 3 14 13" xfId="18487" xr:uid="{00000000-0005-0000-0000-00002E810000}"/>
    <cellStyle name="Normal 30 3 14 13 2" xfId="35877" xr:uid="{00000000-0005-0000-0000-00002F810000}"/>
    <cellStyle name="Normal 30 3 14 14" xfId="18488" xr:uid="{00000000-0005-0000-0000-000030810000}"/>
    <cellStyle name="Normal 30 3 14 14 2" xfId="35878" xr:uid="{00000000-0005-0000-0000-000031810000}"/>
    <cellStyle name="Normal 30 3 14 15" xfId="35873" xr:uid="{00000000-0005-0000-0000-000032810000}"/>
    <cellStyle name="Normal 30 3 14 2" xfId="18489" xr:uid="{00000000-0005-0000-0000-000033810000}"/>
    <cellStyle name="Normal 30 3 14 2 2" xfId="35879" xr:uid="{00000000-0005-0000-0000-000034810000}"/>
    <cellStyle name="Normal 30 3 14 3" xfId="18490" xr:uid="{00000000-0005-0000-0000-000035810000}"/>
    <cellStyle name="Normal 30 3 14 3 2" xfId="35880" xr:uid="{00000000-0005-0000-0000-000036810000}"/>
    <cellStyle name="Normal 30 3 14 4" xfId="18491" xr:uid="{00000000-0005-0000-0000-000037810000}"/>
    <cellStyle name="Normal 30 3 14 4 2" xfId="35881" xr:uid="{00000000-0005-0000-0000-000038810000}"/>
    <cellStyle name="Normal 30 3 14 5" xfId="18492" xr:uid="{00000000-0005-0000-0000-000039810000}"/>
    <cellStyle name="Normal 30 3 14 5 2" xfId="35882" xr:uid="{00000000-0005-0000-0000-00003A810000}"/>
    <cellStyle name="Normal 30 3 14 6" xfId="18493" xr:uid="{00000000-0005-0000-0000-00003B810000}"/>
    <cellStyle name="Normal 30 3 14 6 2" xfId="35883" xr:uid="{00000000-0005-0000-0000-00003C810000}"/>
    <cellStyle name="Normal 30 3 14 7" xfId="18494" xr:uid="{00000000-0005-0000-0000-00003D810000}"/>
    <cellStyle name="Normal 30 3 14 7 2" xfId="35884" xr:uid="{00000000-0005-0000-0000-00003E810000}"/>
    <cellStyle name="Normal 30 3 14 8" xfId="18495" xr:uid="{00000000-0005-0000-0000-00003F810000}"/>
    <cellStyle name="Normal 30 3 14 8 2" xfId="35885" xr:uid="{00000000-0005-0000-0000-000040810000}"/>
    <cellStyle name="Normal 30 3 14 9" xfId="18496" xr:uid="{00000000-0005-0000-0000-000041810000}"/>
    <cellStyle name="Normal 30 3 14 9 2" xfId="35886" xr:uid="{00000000-0005-0000-0000-000042810000}"/>
    <cellStyle name="Normal 30 3 15" xfId="18497" xr:uid="{00000000-0005-0000-0000-000043810000}"/>
    <cellStyle name="Normal 30 3 15 10" xfId="18498" xr:uid="{00000000-0005-0000-0000-000044810000}"/>
    <cellStyle name="Normal 30 3 15 10 2" xfId="35888" xr:uid="{00000000-0005-0000-0000-000045810000}"/>
    <cellStyle name="Normal 30 3 15 11" xfId="18499" xr:uid="{00000000-0005-0000-0000-000046810000}"/>
    <cellStyle name="Normal 30 3 15 11 2" xfId="35889" xr:uid="{00000000-0005-0000-0000-000047810000}"/>
    <cellStyle name="Normal 30 3 15 12" xfId="18500" xr:uid="{00000000-0005-0000-0000-000048810000}"/>
    <cellStyle name="Normal 30 3 15 12 2" xfId="35890" xr:uid="{00000000-0005-0000-0000-000049810000}"/>
    <cellStyle name="Normal 30 3 15 13" xfId="18501" xr:uid="{00000000-0005-0000-0000-00004A810000}"/>
    <cellStyle name="Normal 30 3 15 13 2" xfId="35891" xr:uid="{00000000-0005-0000-0000-00004B810000}"/>
    <cellStyle name="Normal 30 3 15 14" xfId="18502" xr:uid="{00000000-0005-0000-0000-00004C810000}"/>
    <cellStyle name="Normal 30 3 15 14 2" xfId="35892" xr:uid="{00000000-0005-0000-0000-00004D810000}"/>
    <cellStyle name="Normal 30 3 15 15" xfId="35887" xr:uid="{00000000-0005-0000-0000-00004E810000}"/>
    <cellStyle name="Normal 30 3 15 2" xfId="18503" xr:uid="{00000000-0005-0000-0000-00004F810000}"/>
    <cellStyle name="Normal 30 3 15 2 2" xfId="35893" xr:uid="{00000000-0005-0000-0000-000050810000}"/>
    <cellStyle name="Normal 30 3 15 3" xfId="18504" xr:uid="{00000000-0005-0000-0000-000051810000}"/>
    <cellStyle name="Normal 30 3 15 3 2" xfId="35894" xr:uid="{00000000-0005-0000-0000-000052810000}"/>
    <cellStyle name="Normal 30 3 15 4" xfId="18505" xr:uid="{00000000-0005-0000-0000-000053810000}"/>
    <cellStyle name="Normal 30 3 15 4 2" xfId="35895" xr:uid="{00000000-0005-0000-0000-000054810000}"/>
    <cellStyle name="Normal 30 3 15 5" xfId="18506" xr:uid="{00000000-0005-0000-0000-000055810000}"/>
    <cellStyle name="Normal 30 3 15 5 2" xfId="35896" xr:uid="{00000000-0005-0000-0000-000056810000}"/>
    <cellStyle name="Normal 30 3 15 6" xfId="18507" xr:uid="{00000000-0005-0000-0000-000057810000}"/>
    <cellStyle name="Normal 30 3 15 6 2" xfId="35897" xr:uid="{00000000-0005-0000-0000-000058810000}"/>
    <cellStyle name="Normal 30 3 15 7" xfId="18508" xr:uid="{00000000-0005-0000-0000-000059810000}"/>
    <cellStyle name="Normal 30 3 15 7 2" xfId="35898" xr:uid="{00000000-0005-0000-0000-00005A810000}"/>
    <cellStyle name="Normal 30 3 15 8" xfId="18509" xr:uid="{00000000-0005-0000-0000-00005B810000}"/>
    <cellStyle name="Normal 30 3 15 8 2" xfId="35899" xr:uid="{00000000-0005-0000-0000-00005C810000}"/>
    <cellStyle name="Normal 30 3 15 9" xfId="18510" xr:uid="{00000000-0005-0000-0000-00005D810000}"/>
    <cellStyle name="Normal 30 3 15 9 2" xfId="35900" xr:uid="{00000000-0005-0000-0000-00005E810000}"/>
    <cellStyle name="Normal 30 3 16" xfId="18511" xr:uid="{00000000-0005-0000-0000-00005F810000}"/>
    <cellStyle name="Normal 30 3 16 2" xfId="35901" xr:uid="{00000000-0005-0000-0000-000060810000}"/>
    <cellStyle name="Normal 30 3 17" xfId="18512" xr:uid="{00000000-0005-0000-0000-000061810000}"/>
    <cellStyle name="Normal 30 3 17 2" xfId="35902" xr:uid="{00000000-0005-0000-0000-000062810000}"/>
    <cellStyle name="Normal 30 3 18" xfId="18513" xr:uid="{00000000-0005-0000-0000-000063810000}"/>
    <cellStyle name="Normal 30 3 18 2" xfId="35903" xr:uid="{00000000-0005-0000-0000-000064810000}"/>
    <cellStyle name="Normal 30 3 19" xfId="18514" xr:uid="{00000000-0005-0000-0000-000065810000}"/>
    <cellStyle name="Normal 30 3 19 2" xfId="35904" xr:uid="{00000000-0005-0000-0000-000066810000}"/>
    <cellStyle name="Normal 30 3 2" xfId="18515" xr:uid="{00000000-0005-0000-0000-000067810000}"/>
    <cellStyle name="Normal 30 3 2 10" xfId="18516" xr:uid="{00000000-0005-0000-0000-000068810000}"/>
    <cellStyle name="Normal 30 3 2 10 2" xfId="35906" xr:uid="{00000000-0005-0000-0000-000069810000}"/>
    <cellStyle name="Normal 30 3 2 11" xfId="18517" xr:uid="{00000000-0005-0000-0000-00006A810000}"/>
    <cellStyle name="Normal 30 3 2 11 2" xfId="35907" xr:uid="{00000000-0005-0000-0000-00006B810000}"/>
    <cellStyle name="Normal 30 3 2 12" xfId="18518" xr:uid="{00000000-0005-0000-0000-00006C810000}"/>
    <cellStyle name="Normal 30 3 2 12 2" xfId="35908" xr:uid="{00000000-0005-0000-0000-00006D810000}"/>
    <cellStyle name="Normal 30 3 2 13" xfId="18519" xr:uid="{00000000-0005-0000-0000-00006E810000}"/>
    <cellStyle name="Normal 30 3 2 13 2" xfId="35909" xr:uid="{00000000-0005-0000-0000-00006F810000}"/>
    <cellStyle name="Normal 30 3 2 14" xfId="18520" xr:uid="{00000000-0005-0000-0000-000070810000}"/>
    <cellStyle name="Normal 30 3 2 14 2" xfId="35910" xr:uid="{00000000-0005-0000-0000-000071810000}"/>
    <cellStyle name="Normal 30 3 2 15" xfId="18521" xr:uid="{00000000-0005-0000-0000-000072810000}"/>
    <cellStyle name="Normal 30 3 2 15 2" xfId="35911" xr:uid="{00000000-0005-0000-0000-000073810000}"/>
    <cellStyle name="Normal 30 3 2 16" xfId="35905" xr:uid="{00000000-0005-0000-0000-000074810000}"/>
    <cellStyle name="Normal 30 3 2 2" xfId="18522" xr:uid="{00000000-0005-0000-0000-000075810000}"/>
    <cellStyle name="Normal 30 3 2 2 10" xfId="18523" xr:uid="{00000000-0005-0000-0000-000076810000}"/>
    <cellStyle name="Normal 30 3 2 2 10 2" xfId="35913" xr:uid="{00000000-0005-0000-0000-000077810000}"/>
    <cellStyle name="Normal 30 3 2 2 11" xfId="18524" xr:uid="{00000000-0005-0000-0000-000078810000}"/>
    <cellStyle name="Normal 30 3 2 2 11 2" xfId="35914" xr:uid="{00000000-0005-0000-0000-000079810000}"/>
    <cellStyle name="Normal 30 3 2 2 12" xfId="18525" xr:uid="{00000000-0005-0000-0000-00007A810000}"/>
    <cellStyle name="Normal 30 3 2 2 12 2" xfId="35915" xr:uid="{00000000-0005-0000-0000-00007B810000}"/>
    <cellStyle name="Normal 30 3 2 2 13" xfId="18526" xr:uid="{00000000-0005-0000-0000-00007C810000}"/>
    <cellStyle name="Normal 30 3 2 2 13 2" xfId="35916" xr:uid="{00000000-0005-0000-0000-00007D810000}"/>
    <cellStyle name="Normal 30 3 2 2 14" xfId="18527" xr:uid="{00000000-0005-0000-0000-00007E810000}"/>
    <cellStyle name="Normal 30 3 2 2 14 2" xfId="35917" xr:uid="{00000000-0005-0000-0000-00007F810000}"/>
    <cellStyle name="Normal 30 3 2 2 15" xfId="35912" xr:uid="{00000000-0005-0000-0000-000080810000}"/>
    <cellStyle name="Normal 30 3 2 2 2" xfId="18528" xr:uid="{00000000-0005-0000-0000-000081810000}"/>
    <cellStyle name="Normal 30 3 2 2 2 2" xfId="35918" xr:uid="{00000000-0005-0000-0000-000082810000}"/>
    <cellStyle name="Normal 30 3 2 2 3" xfId="18529" xr:uid="{00000000-0005-0000-0000-000083810000}"/>
    <cellStyle name="Normal 30 3 2 2 3 2" xfId="35919" xr:uid="{00000000-0005-0000-0000-000084810000}"/>
    <cellStyle name="Normal 30 3 2 2 4" xfId="18530" xr:uid="{00000000-0005-0000-0000-000085810000}"/>
    <cellStyle name="Normal 30 3 2 2 4 2" xfId="35920" xr:uid="{00000000-0005-0000-0000-000086810000}"/>
    <cellStyle name="Normal 30 3 2 2 5" xfId="18531" xr:uid="{00000000-0005-0000-0000-000087810000}"/>
    <cellStyle name="Normal 30 3 2 2 5 2" xfId="35921" xr:uid="{00000000-0005-0000-0000-000088810000}"/>
    <cellStyle name="Normal 30 3 2 2 6" xfId="18532" xr:uid="{00000000-0005-0000-0000-000089810000}"/>
    <cellStyle name="Normal 30 3 2 2 6 2" xfId="35922" xr:uid="{00000000-0005-0000-0000-00008A810000}"/>
    <cellStyle name="Normal 30 3 2 2 7" xfId="18533" xr:uid="{00000000-0005-0000-0000-00008B810000}"/>
    <cellStyle name="Normal 30 3 2 2 7 2" xfId="35923" xr:uid="{00000000-0005-0000-0000-00008C810000}"/>
    <cellStyle name="Normal 30 3 2 2 8" xfId="18534" xr:uid="{00000000-0005-0000-0000-00008D810000}"/>
    <cellStyle name="Normal 30 3 2 2 8 2" xfId="35924" xr:uid="{00000000-0005-0000-0000-00008E810000}"/>
    <cellStyle name="Normal 30 3 2 2 9" xfId="18535" xr:uid="{00000000-0005-0000-0000-00008F810000}"/>
    <cellStyle name="Normal 30 3 2 2 9 2" xfId="35925" xr:uid="{00000000-0005-0000-0000-000090810000}"/>
    <cellStyle name="Normal 30 3 2 3" xfId="18536" xr:uid="{00000000-0005-0000-0000-000091810000}"/>
    <cellStyle name="Normal 30 3 2 3 2" xfId="35926" xr:uid="{00000000-0005-0000-0000-000092810000}"/>
    <cellStyle name="Normal 30 3 2 4" xfId="18537" xr:uid="{00000000-0005-0000-0000-000093810000}"/>
    <cellStyle name="Normal 30 3 2 4 2" xfId="35927" xr:uid="{00000000-0005-0000-0000-000094810000}"/>
    <cellStyle name="Normal 30 3 2 5" xfId="18538" xr:uid="{00000000-0005-0000-0000-000095810000}"/>
    <cellStyle name="Normal 30 3 2 5 2" xfId="35928" xr:uid="{00000000-0005-0000-0000-000096810000}"/>
    <cellStyle name="Normal 30 3 2 6" xfId="18539" xr:uid="{00000000-0005-0000-0000-000097810000}"/>
    <cellStyle name="Normal 30 3 2 6 2" xfId="35929" xr:uid="{00000000-0005-0000-0000-000098810000}"/>
    <cellStyle name="Normal 30 3 2 7" xfId="18540" xr:uid="{00000000-0005-0000-0000-000099810000}"/>
    <cellStyle name="Normal 30 3 2 7 2" xfId="35930" xr:uid="{00000000-0005-0000-0000-00009A810000}"/>
    <cellStyle name="Normal 30 3 2 8" xfId="18541" xr:uid="{00000000-0005-0000-0000-00009B810000}"/>
    <cellStyle name="Normal 30 3 2 8 2" xfId="35931" xr:uid="{00000000-0005-0000-0000-00009C810000}"/>
    <cellStyle name="Normal 30 3 2 9" xfId="18542" xr:uid="{00000000-0005-0000-0000-00009D810000}"/>
    <cellStyle name="Normal 30 3 2 9 2" xfId="35932" xr:uid="{00000000-0005-0000-0000-00009E810000}"/>
    <cellStyle name="Normal 30 3 20" xfId="18543" xr:uid="{00000000-0005-0000-0000-00009F810000}"/>
    <cellStyle name="Normal 30 3 20 2" xfId="35933" xr:uid="{00000000-0005-0000-0000-0000A0810000}"/>
    <cellStyle name="Normal 30 3 21" xfId="18544" xr:uid="{00000000-0005-0000-0000-0000A1810000}"/>
    <cellStyle name="Normal 30 3 21 2" xfId="35934" xr:uid="{00000000-0005-0000-0000-0000A2810000}"/>
    <cellStyle name="Normal 30 3 22" xfId="18545" xr:uid="{00000000-0005-0000-0000-0000A3810000}"/>
    <cellStyle name="Normal 30 3 22 2" xfId="35935" xr:uid="{00000000-0005-0000-0000-0000A4810000}"/>
    <cellStyle name="Normal 30 3 23" xfId="18546" xr:uid="{00000000-0005-0000-0000-0000A5810000}"/>
    <cellStyle name="Normal 30 3 23 2" xfId="35936" xr:uid="{00000000-0005-0000-0000-0000A6810000}"/>
    <cellStyle name="Normal 30 3 24" xfId="18547" xr:uid="{00000000-0005-0000-0000-0000A7810000}"/>
    <cellStyle name="Normal 30 3 24 2" xfId="35937" xr:uid="{00000000-0005-0000-0000-0000A8810000}"/>
    <cellStyle name="Normal 30 3 25" xfId="18548" xr:uid="{00000000-0005-0000-0000-0000A9810000}"/>
    <cellStyle name="Normal 30 3 25 2" xfId="35938" xr:uid="{00000000-0005-0000-0000-0000AA810000}"/>
    <cellStyle name="Normal 30 3 26" xfId="18549" xr:uid="{00000000-0005-0000-0000-0000AB810000}"/>
    <cellStyle name="Normal 30 3 26 2" xfId="35939" xr:uid="{00000000-0005-0000-0000-0000AC810000}"/>
    <cellStyle name="Normal 30 3 27" xfId="18550" xr:uid="{00000000-0005-0000-0000-0000AD810000}"/>
    <cellStyle name="Normal 30 3 27 2" xfId="35940" xr:uid="{00000000-0005-0000-0000-0000AE810000}"/>
    <cellStyle name="Normal 30 3 28" xfId="18551" xr:uid="{00000000-0005-0000-0000-0000AF810000}"/>
    <cellStyle name="Normal 30 3 28 2" xfId="35941" xr:uid="{00000000-0005-0000-0000-0000B0810000}"/>
    <cellStyle name="Normal 30 3 29" xfId="35816" xr:uid="{00000000-0005-0000-0000-0000B1810000}"/>
    <cellStyle name="Normal 30 3 3" xfId="18552" xr:uid="{00000000-0005-0000-0000-0000B2810000}"/>
    <cellStyle name="Normal 30 3 3 10" xfId="18553" xr:uid="{00000000-0005-0000-0000-0000B3810000}"/>
    <cellStyle name="Normal 30 3 3 10 2" xfId="35943" xr:uid="{00000000-0005-0000-0000-0000B4810000}"/>
    <cellStyle name="Normal 30 3 3 11" xfId="18554" xr:uid="{00000000-0005-0000-0000-0000B5810000}"/>
    <cellStyle name="Normal 30 3 3 11 2" xfId="35944" xr:uid="{00000000-0005-0000-0000-0000B6810000}"/>
    <cellStyle name="Normal 30 3 3 12" xfId="18555" xr:uid="{00000000-0005-0000-0000-0000B7810000}"/>
    <cellStyle name="Normal 30 3 3 12 2" xfId="35945" xr:uid="{00000000-0005-0000-0000-0000B8810000}"/>
    <cellStyle name="Normal 30 3 3 13" xfId="18556" xr:uid="{00000000-0005-0000-0000-0000B9810000}"/>
    <cellStyle name="Normal 30 3 3 13 2" xfId="35946" xr:uid="{00000000-0005-0000-0000-0000BA810000}"/>
    <cellStyle name="Normal 30 3 3 14" xfId="18557" xr:uid="{00000000-0005-0000-0000-0000BB810000}"/>
    <cellStyle name="Normal 30 3 3 14 2" xfId="35947" xr:uid="{00000000-0005-0000-0000-0000BC810000}"/>
    <cellStyle name="Normal 30 3 3 15" xfId="18558" xr:uid="{00000000-0005-0000-0000-0000BD810000}"/>
    <cellStyle name="Normal 30 3 3 15 2" xfId="35948" xr:uid="{00000000-0005-0000-0000-0000BE810000}"/>
    <cellStyle name="Normal 30 3 3 16" xfId="35942" xr:uid="{00000000-0005-0000-0000-0000BF810000}"/>
    <cellStyle name="Normal 30 3 3 2" xfId="18559" xr:uid="{00000000-0005-0000-0000-0000C0810000}"/>
    <cellStyle name="Normal 30 3 3 2 10" xfId="18560" xr:uid="{00000000-0005-0000-0000-0000C1810000}"/>
    <cellStyle name="Normal 30 3 3 2 10 2" xfId="35950" xr:uid="{00000000-0005-0000-0000-0000C2810000}"/>
    <cellStyle name="Normal 30 3 3 2 11" xfId="18561" xr:uid="{00000000-0005-0000-0000-0000C3810000}"/>
    <cellStyle name="Normal 30 3 3 2 11 2" xfId="35951" xr:uid="{00000000-0005-0000-0000-0000C4810000}"/>
    <cellStyle name="Normal 30 3 3 2 12" xfId="18562" xr:uid="{00000000-0005-0000-0000-0000C5810000}"/>
    <cellStyle name="Normal 30 3 3 2 12 2" xfId="35952" xr:uid="{00000000-0005-0000-0000-0000C6810000}"/>
    <cellStyle name="Normal 30 3 3 2 13" xfId="18563" xr:uid="{00000000-0005-0000-0000-0000C7810000}"/>
    <cellStyle name="Normal 30 3 3 2 13 2" xfId="35953" xr:uid="{00000000-0005-0000-0000-0000C8810000}"/>
    <cellStyle name="Normal 30 3 3 2 14" xfId="18564" xr:uid="{00000000-0005-0000-0000-0000C9810000}"/>
    <cellStyle name="Normal 30 3 3 2 14 2" xfId="35954" xr:uid="{00000000-0005-0000-0000-0000CA810000}"/>
    <cellStyle name="Normal 30 3 3 2 15" xfId="35949" xr:uid="{00000000-0005-0000-0000-0000CB810000}"/>
    <cellStyle name="Normal 30 3 3 2 2" xfId="18565" xr:uid="{00000000-0005-0000-0000-0000CC810000}"/>
    <cellStyle name="Normal 30 3 3 2 2 2" xfId="35955" xr:uid="{00000000-0005-0000-0000-0000CD810000}"/>
    <cellStyle name="Normal 30 3 3 2 3" xfId="18566" xr:uid="{00000000-0005-0000-0000-0000CE810000}"/>
    <cellStyle name="Normal 30 3 3 2 3 2" xfId="35956" xr:uid="{00000000-0005-0000-0000-0000CF810000}"/>
    <cellStyle name="Normal 30 3 3 2 4" xfId="18567" xr:uid="{00000000-0005-0000-0000-0000D0810000}"/>
    <cellStyle name="Normal 30 3 3 2 4 2" xfId="35957" xr:uid="{00000000-0005-0000-0000-0000D1810000}"/>
    <cellStyle name="Normal 30 3 3 2 5" xfId="18568" xr:uid="{00000000-0005-0000-0000-0000D2810000}"/>
    <cellStyle name="Normal 30 3 3 2 5 2" xfId="35958" xr:uid="{00000000-0005-0000-0000-0000D3810000}"/>
    <cellStyle name="Normal 30 3 3 2 6" xfId="18569" xr:uid="{00000000-0005-0000-0000-0000D4810000}"/>
    <cellStyle name="Normal 30 3 3 2 6 2" xfId="35959" xr:uid="{00000000-0005-0000-0000-0000D5810000}"/>
    <cellStyle name="Normal 30 3 3 2 7" xfId="18570" xr:uid="{00000000-0005-0000-0000-0000D6810000}"/>
    <cellStyle name="Normal 30 3 3 2 7 2" xfId="35960" xr:uid="{00000000-0005-0000-0000-0000D7810000}"/>
    <cellStyle name="Normal 30 3 3 2 8" xfId="18571" xr:uid="{00000000-0005-0000-0000-0000D8810000}"/>
    <cellStyle name="Normal 30 3 3 2 8 2" xfId="35961" xr:uid="{00000000-0005-0000-0000-0000D9810000}"/>
    <cellStyle name="Normal 30 3 3 2 9" xfId="18572" xr:uid="{00000000-0005-0000-0000-0000DA810000}"/>
    <cellStyle name="Normal 30 3 3 2 9 2" xfId="35962" xr:uid="{00000000-0005-0000-0000-0000DB810000}"/>
    <cellStyle name="Normal 30 3 3 3" xfId="18573" xr:uid="{00000000-0005-0000-0000-0000DC810000}"/>
    <cellStyle name="Normal 30 3 3 3 2" xfId="35963" xr:uid="{00000000-0005-0000-0000-0000DD810000}"/>
    <cellStyle name="Normal 30 3 3 4" xfId="18574" xr:uid="{00000000-0005-0000-0000-0000DE810000}"/>
    <cellStyle name="Normal 30 3 3 4 2" xfId="35964" xr:uid="{00000000-0005-0000-0000-0000DF810000}"/>
    <cellStyle name="Normal 30 3 3 5" xfId="18575" xr:uid="{00000000-0005-0000-0000-0000E0810000}"/>
    <cellStyle name="Normal 30 3 3 5 2" xfId="35965" xr:uid="{00000000-0005-0000-0000-0000E1810000}"/>
    <cellStyle name="Normal 30 3 3 6" xfId="18576" xr:uid="{00000000-0005-0000-0000-0000E2810000}"/>
    <cellStyle name="Normal 30 3 3 6 2" xfId="35966" xr:uid="{00000000-0005-0000-0000-0000E3810000}"/>
    <cellStyle name="Normal 30 3 3 7" xfId="18577" xr:uid="{00000000-0005-0000-0000-0000E4810000}"/>
    <cellStyle name="Normal 30 3 3 7 2" xfId="35967" xr:uid="{00000000-0005-0000-0000-0000E5810000}"/>
    <cellStyle name="Normal 30 3 3 8" xfId="18578" xr:uid="{00000000-0005-0000-0000-0000E6810000}"/>
    <cellStyle name="Normal 30 3 3 8 2" xfId="35968" xr:uid="{00000000-0005-0000-0000-0000E7810000}"/>
    <cellStyle name="Normal 30 3 3 9" xfId="18579" xr:uid="{00000000-0005-0000-0000-0000E8810000}"/>
    <cellStyle name="Normal 30 3 3 9 2" xfId="35969" xr:uid="{00000000-0005-0000-0000-0000E9810000}"/>
    <cellStyle name="Normal 30 3 4" xfId="18580" xr:uid="{00000000-0005-0000-0000-0000EA810000}"/>
    <cellStyle name="Normal 30 3 4 10" xfId="18581" xr:uid="{00000000-0005-0000-0000-0000EB810000}"/>
    <cellStyle name="Normal 30 3 4 10 2" xfId="35971" xr:uid="{00000000-0005-0000-0000-0000EC810000}"/>
    <cellStyle name="Normal 30 3 4 11" xfId="18582" xr:uid="{00000000-0005-0000-0000-0000ED810000}"/>
    <cellStyle name="Normal 30 3 4 11 2" xfId="35972" xr:uid="{00000000-0005-0000-0000-0000EE810000}"/>
    <cellStyle name="Normal 30 3 4 12" xfId="18583" xr:uid="{00000000-0005-0000-0000-0000EF810000}"/>
    <cellStyle name="Normal 30 3 4 12 2" xfId="35973" xr:uid="{00000000-0005-0000-0000-0000F0810000}"/>
    <cellStyle name="Normal 30 3 4 13" xfId="18584" xr:uid="{00000000-0005-0000-0000-0000F1810000}"/>
    <cellStyle name="Normal 30 3 4 13 2" xfId="35974" xr:uid="{00000000-0005-0000-0000-0000F2810000}"/>
    <cellStyle name="Normal 30 3 4 14" xfId="18585" xr:uid="{00000000-0005-0000-0000-0000F3810000}"/>
    <cellStyle name="Normal 30 3 4 14 2" xfId="35975" xr:uid="{00000000-0005-0000-0000-0000F4810000}"/>
    <cellStyle name="Normal 30 3 4 15" xfId="18586" xr:uid="{00000000-0005-0000-0000-0000F5810000}"/>
    <cellStyle name="Normal 30 3 4 15 2" xfId="35976" xr:uid="{00000000-0005-0000-0000-0000F6810000}"/>
    <cellStyle name="Normal 30 3 4 16" xfId="35970" xr:uid="{00000000-0005-0000-0000-0000F7810000}"/>
    <cellStyle name="Normal 30 3 4 2" xfId="18587" xr:uid="{00000000-0005-0000-0000-0000F8810000}"/>
    <cellStyle name="Normal 30 3 4 2 10" xfId="18588" xr:uid="{00000000-0005-0000-0000-0000F9810000}"/>
    <cellStyle name="Normal 30 3 4 2 10 2" xfId="35978" xr:uid="{00000000-0005-0000-0000-0000FA810000}"/>
    <cellStyle name="Normal 30 3 4 2 11" xfId="18589" xr:uid="{00000000-0005-0000-0000-0000FB810000}"/>
    <cellStyle name="Normal 30 3 4 2 11 2" xfId="35979" xr:uid="{00000000-0005-0000-0000-0000FC810000}"/>
    <cellStyle name="Normal 30 3 4 2 12" xfId="18590" xr:uid="{00000000-0005-0000-0000-0000FD810000}"/>
    <cellStyle name="Normal 30 3 4 2 12 2" xfId="35980" xr:uid="{00000000-0005-0000-0000-0000FE810000}"/>
    <cellStyle name="Normal 30 3 4 2 13" xfId="18591" xr:uid="{00000000-0005-0000-0000-0000FF810000}"/>
    <cellStyle name="Normal 30 3 4 2 13 2" xfId="35981" xr:uid="{00000000-0005-0000-0000-000000820000}"/>
    <cellStyle name="Normal 30 3 4 2 14" xfId="18592" xr:uid="{00000000-0005-0000-0000-000001820000}"/>
    <cellStyle name="Normal 30 3 4 2 14 2" xfId="35982" xr:uid="{00000000-0005-0000-0000-000002820000}"/>
    <cellStyle name="Normal 30 3 4 2 15" xfId="35977" xr:uid="{00000000-0005-0000-0000-000003820000}"/>
    <cellStyle name="Normal 30 3 4 2 2" xfId="18593" xr:uid="{00000000-0005-0000-0000-000004820000}"/>
    <cellStyle name="Normal 30 3 4 2 2 2" xfId="35983" xr:uid="{00000000-0005-0000-0000-000005820000}"/>
    <cellStyle name="Normal 30 3 4 2 3" xfId="18594" xr:uid="{00000000-0005-0000-0000-000006820000}"/>
    <cellStyle name="Normal 30 3 4 2 3 2" xfId="35984" xr:uid="{00000000-0005-0000-0000-000007820000}"/>
    <cellStyle name="Normal 30 3 4 2 4" xfId="18595" xr:uid="{00000000-0005-0000-0000-000008820000}"/>
    <cellStyle name="Normal 30 3 4 2 4 2" xfId="35985" xr:uid="{00000000-0005-0000-0000-000009820000}"/>
    <cellStyle name="Normal 30 3 4 2 5" xfId="18596" xr:uid="{00000000-0005-0000-0000-00000A820000}"/>
    <cellStyle name="Normal 30 3 4 2 5 2" xfId="35986" xr:uid="{00000000-0005-0000-0000-00000B820000}"/>
    <cellStyle name="Normal 30 3 4 2 6" xfId="18597" xr:uid="{00000000-0005-0000-0000-00000C820000}"/>
    <cellStyle name="Normal 30 3 4 2 6 2" xfId="35987" xr:uid="{00000000-0005-0000-0000-00000D820000}"/>
    <cellStyle name="Normal 30 3 4 2 7" xfId="18598" xr:uid="{00000000-0005-0000-0000-00000E820000}"/>
    <cellStyle name="Normal 30 3 4 2 7 2" xfId="35988" xr:uid="{00000000-0005-0000-0000-00000F820000}"/>
    <cellStyle name="Normal 30 3 4 2 8" xfId="18599" xr:uid="{00000000-0005-0000-0000-000010820000}"/>
    <cellStyle name="Normal 30 3 4 2 8 2" xfId="35989" xr:uid="{00000000-0005-0000-0000-000011820000}"/>
    <cellStyle name="Normal 30 3 4 2 9" xfId="18600" xr:uid="{00000000-0005-0000-0000-000012820000}"/>
    <cellStyle name="Normal 30 3 4 2 9 2" xfId="35990" xr:uid="{00000000-0005-0000-0000-000013820000}"/>
    <cellStyle name="Normal 30 3 4 3" xfId="18601" xr:uid="{00000000-0005-0000-0000-000014820000}"/>
    <cellStyle name="Normal 30 3 4 3 2" xfId="35991" xr:uid="{00000000-0005-0000-0000-000015820000}"/>
    <cellStyle name="Normal 30 3 4 4" xfId="18602" xr:uid="{00000000-0005-0000-0000-000016820000}"/>
    <cellStyle name="Normal 30 3 4 4 2" xfId="35992" xr:uid="{00000000-0005-0000-0000-000017820000}"/>
    <cellStyle name="Normal 30 3 4 5" xfId="18603" xr:uid="{00000000-0005-0000-0000-000018820000}"/>
    <cellStyle name="Normal 30 3 4 5 2" xfId="35993" xr:uid="{00000000-0005-0000-0000-000019820000}"/>
    <cellStyle name="Normal 30 3 4 6" xfId="18604" xr:uid="{00000000-0005-0000-0000-00001A820000}"/>
    <cellStyle name="Normal 30 3 4 6 2" xfId="35994" xr:uid="{00000000-0005-0000-0000-00001B820000}"/>
    <cellStyle name="Normal 30 3 4 7" xfId="18605" xr:uid="{00000000-0005-0000-0000-00001C820000}"/>
    <cellStyle name="Normal 30 3 4 7 2" xfId="35995" xr:uid="{00000000-0005-0000-0000-00001D820000}"/>
    <cellStyle name="Normal 30 3 4 8" xfId="18606" xr:uid="{00000000-0005-0000-0000-00001E820000}"/>
    <cellStyle name="Normal 30 3 4 8 2" xfId="35996" xr:uid="{00000000-0005-0000-0000-00001F820000}"/>
    <cellStyle name="Normal 30 3 4 9" xfId="18607" xr:uid="{00000000-0005-0000-0000-000020820000}"/>
    <cellStyle name="Normal 30 3 4 9 2" xfId="35997" xr:uid="{00000000-0005-0000-0000-000021820000}"/>
    <cellStyle name="Normal 30 3 5" xfId="18608" xr:uid="{00000000-0005-0000-0000-000022820000}"/>
    <cellStyle name="Normal 30 3 5 10" xfId="18609" xr:uid="{00000000-0005-0000-0000-000023820000}"/>
    <cellStyle name="Normal 30 3 5 10 2" xfId="35999" xr:uid="{00000000-0005-0000-0000-000024820000}"/>
    <cellStyle name="Normal 30 3 5 11" xfId="18610" xr:uid="{00000000-0005-0000-0000-000025820000}"/>
    <cellStyle name="Normal 30 3 5 11 2" xfId="36000" xr:uid="{00000000-0005-0000-0000-000026820000}"/>
    <cellStyle name="Normal 30 3 5 12" xfId="18611" xr:uid="{00000000-0005-0000-0000-000027820000}"/>
    <cellStyle name="Normal 30 3 5 12 2" xfId="36001" xr:uid="{00000000-0005-0000-0000-000028820000}"/>
    <cellStyle name="Normal 30 3 5 13" xfId="18612" xr:uid="{00000000-0005-0000-0000-000029820000}"/>
    <cellStyle name="Normal 30 3 5 13 2" xfId="36002" xr:uid="{00000000-0005-0000-0000-00002A820000}"/>
    <cellStyle name="Normal 30 3 5 14" xfId="18613" xr:uid="{00000000-0005-0000-0000-00002B820000}"/>
    <cellStyle name="Normal 30 3 5 14 2" xfId="36003" xr:uid="{00000000-0005-0000-0000-00002C820000}"/>
    <cellStyle name="Normal 30 3 5 15" xfId="35998" xr:uid="{00000000-0005-0000-0000-00002D820000}"/>
    <cellStyle name="Normal 30 3 5 2" xfId="18614" xr:uid="{00000000-0005-0000-0000-00002E820000}"/>
    <cellStyle name="Normal 30 3 5 2 2" xfId="36004" xr:uid="{00000000-0005-0000-0000-00002F820000}"/>
    <cellStyle name="Normal 30 3 5 3" xfId="18615" xr:uid="{00000000-0005-0000-0000-000030820000}"/>
    <cellStyle name="Normal 30 3 5 3 2" xfId="36005" xr:uid="{00000000-0005-0000-0000-000031820000}"/>
    <cellStyle name="Normal 30 3 5 4" xfId="18616" xr:uid="{00000000-0005-0000-0000-000032820000}"/>
    <cellStyle name="Normal 30 3 5 4 2" xfId="36006" xr:uid="{00000000-0005-0000-0000-000033820000}"/>
    <cellStyle name="Normal 30 3 5 5" xfId="18617" xr:uid="{00000000-0005-0000-0000-000034820000}"/>
    <cellStyle name="Normal 30 3 5 5 2" xfId="36007" xr:uid="{00000000-0005-0000-0000-000035820000}"/>
    <cellStyle name="Normal 30 3 5 6" xfId="18618" xr:uid="{00000000-0005-0000-0000-000036820000}"/>
    <cellStyle name="Normal 30 3 5 6 2" xfId="36008" xr:uid="{00000000-0005-0000-0000-000037820000}"/>
    <cellStyle name="Normal 30 3 5 7" xfId="18619" xr:uid="{00000000-0005-0000-0000-000038820000}"/>
    <cellStyle name="Normal 30 3 5 7 2" xfId="36009" xr:uid="{00000000-0005-0000-0000-000039820000}"/>
    <cellStyle name="Normal 30 3 5 8" xfId="18620" xr:uid="{00000000-0005-0000-0000-00003A820000}"/>
    <cellStyle name="Normal 30 3 5 8 2" xfId="36010" xr:uid="{00000000-0005-0000-0000-00003B820000}"/>
    <cellStyle name="Normal 30 3 5 9" xfId="18621" xr:uid="{00000000-0005-0000-0000-00003C820000}"/>
    <cellStyle name="Normal 30 3 5 9 2" xfId="36011" xr:uid="{00000000-0005-0000-0000-00003D820000}"/>
    <cellStyle name="Normal 30 3 6" xfId="18622" xr:uid="{00000000-0005-0000-0000-00003E820000}"/>
    <cellStyle name="Normal 30 3 6 10" xfId="18623" xr:uid="{00000000-0005-0000-0000-00003F820000}"/>
    <cellStyle name="Normal 30 3 6 10 2" xfId="36013" xr:uid="{00000000-0005-0000-0000-000040820000}"/>
    <cellStyle name="Normal 30 3 6 11" xfId="18624" xr:uid="{00000000-0005-0000-0000-000041820000}"/>
    <cellStyle name="Normal 30 3 6 11 2" xfId="36014" xr:uid="{00000000-0005-0000-0000-000042820000}"/>
    <cellStyle name="Normal 30 3 6 12" xfId="18625" xr:uid="{00000000-0005-0000-0000-000043820000}"/>
    <cellStyle name="Normal 30 3 6 12 2" xfId="36015" xr:uid="{00000000-0005-0000-0000-000044820000}"/>
    <cellStyle name="Normal 30 3 6 13" xfId="18626" xr:uid="{00000000-0005-0000-0000-000045820000}"/>
    <cellStyle name="Normal 30 3 6 13 2" xfId="36016" xr:uid="{00000000-0005-0000-0000-000046820000}"/>
    <cellStyle name="Normal 30 3 6 14" xfId="18627" xr:uid="{00000000-0005-0000-0000-000047820000}"/>
    <cellStyle name="Normal 30 3 6 14 2" xfId="36017" xr:uid="{00000000-0005-0000-0000-000048820000}"/>
    <cellStyle name="Normal 30 3 6 15" xfId="36012" xr:uid="{00000000-0005-0000-0000-000049820000}"/>
    <cellStyle name="Normal 30 3 6 2" xfId="18628" xr:uid="{00000000-0005-0000-0000-00004A820000}"/>
    <cellStyle name="Normal 30 3 6 2 2" xfId="36018" xr:uid="{00000000-0005-0000-0000-00004B820000}"/>
    <cellStyle name="Normal 30 3 6 3" xfId="18629" xr:uid="{00000000-0005-0000-0000-00004C820000}"/>
    <cellStyle name="Normal 30 3 6 3 2" xfId="36019" xr:uid="{00000000-0005-0000-0000-00004D820000}"/>
    <cellStyle name="Normal 30 3 6 4" xfId="18630" xr:uid="{00000000-0005-0000-0000-00004E820000}"/>
    <cellStyle name="Normal 30 3 6 4 2" xfId="36020" xr:uid="{00000000-0005-0000-0000-00004F820000}"/>
    <cellStyle name="Normal 30 3 6 5" xfId="18631" xr:uid="{00000000-0005-0000-0000-000050820000}"/>
    <cellStyle name="Normal 30 3 6 5 2" xfId="36021" xr:uid="{00000000-0005-0000-0000-000051820000}"/>
    <cellStyle name="Normal 30 3 6 6" xfId="18632" xr:uid="{00000000-0005-0000-0000-000052820000}"/>
    <cellStyle name="Normal 30 3 6 6 2" xfId="36022" xr:uid="{00000000-0005-0000-0000-000053820000}"/>
    <cellStyle name="Normal 30 3 6 7" xfId="18633" xr:uid="{00000000-0005-0000-0000-000054820000}"/>
    <cellStyle name="Normal 30 3 6 7 2" xfId="36023" xr:uid="{00000000-0005-0000-0000-000055820000}"/>
    <cellStyle name="Normal 30 3 6 8" xfId="18634" xr:uid="{00000000-0005-0000-0000-000056820000}"/>
    <cellStyle name="Normal 30 3 6 8 2" xfId="36024" xr:uid="{00000000-0005-0000-0000-000057820000}"/>
    <cellStyle name="Normal 30 3 6 9" xfId="18635" xr:uid="{00000000-0005-0000-0000-000058820000}"/>
    <cellStyle name="Normal 30 3 6 9 2" xfId="36025" xr:uid="{00000000-0005-0000-0000-000059820000}"/>
    <cellStyle name="Normal 30 3 7" xfId="18636" xr:uid="{00000000-0005-0000-0000-00005A820000}"/>
    <cellStyle name="Normal 30 3 7 10" xfId="18637" xr:uid="{00000000-0005-0000-0000-00005B820000}"/>
    <cellStyle name="Normal 30 3 7 10 2" xfId="36027" xr:uid="{00000000-0005-0000-0000-00005C820000}"/>
    <cellStyle name="Normal 30 3 7 11" xfId="18638" xr:uid="{00000000-0005-0000-0000-00005D820000}"/>
    <cellStyle name="Normal 30 3 7 11 2" xfId="36028" xr:uid="{00000000-0005-0000-0000-00005E820000}"/>
    <cellStyle name="Normal 30 3 7 12" xfId="18639" xr:uid="{00000000-0005-0000-0000-00005F820000}"/>
    <cellStyle name="Normal 30 3 7 12 2" xfId="36029" xr:uid="{00000000-0005-0000-0000-000060820000}"/>
    <cellStyle name="Normal 30 3 7 13" xfId="18640" xr:uid="{00000000-0005-0000-0000-000061820000}"/>
    <cellStyle name="Normal 30 3 7 13 2" xfId="36030" xr:uid="{00000000-0005-0000-0000-000062820000}"/>
    <cellStyle name="Normal 30 3 7 14" xfId="18641" xr:uid="{00000000-0005-0000-0000-000063820000}"/>
    <cellStyle name="Normal 30 3 7 14 2" xfId="36031" xr:uid="{00000000-0005-0000-0000-000064820000}"/>
    <cellStyle name="Normal 30 3 7 15" xfId="36026" xr:uid="{00000000-0005-0000-0000-000065820000}"/>
    <cellStyle name="Normal 30 3 7 2" xfId="18642" xr:uid="{00000000-0005-0000-0000-000066820000}"/>
    <cellStyle name="Normal 30 3 7 2 2" xfId="36032" xr:uid="{00000000-0005-0000-0000-000067820000}"/>
    <cellStyle name="Normal 30 3 7 3" xfId="18643" xr:uid="{00000000-0005-0000-0000-000068820000}"/>
    <cellStyle name="Normal 30 3 7 3 2" xfId="36033" xr:uid="{00000000-0005-0000-0000-000069820000}"/>
    <cellStyle name="Normal 30 3 7 4" xfId="18644" xr:uid="{00000000-0005-0000-0000-00006A820000}"/>
    <cellStyle name="Normal 30 3 7 4 2" xfId="36034" xr:uid="{00000000-0005-0000-0000-00006B820000}"/>
    <cellStyle name="Normal 30 3 7 5" xfId="18645" xr:uid="{00000000-0005-0000-0000-00006C820000}"/>
    <cellStyle name="Normal 30 3 7 5 2" xfId="36035" xr:uid="{00000000-0005-0000-0000-00006D820000}"/>
    <cellStyle name="Normal 30 3 7 6" xfId="18646" xr:uid="{00000000-0005-0000-0000-00006E820000}"/>
    <cellStyle name="Normal 30 3 7 6 2" xfId="36036" xr:uid="{00000000-0005-0000-0000-00006F820000}"/>
    <cellStyle name="Normal 30 3 7 7" xfId="18647" xr:uid="{00000000-0005-0000-0000-000070820000}"/>
    <cellStyle name="Normal 30 3 7 7 2" xfId="36037" xr:uid="{00000000-0005-0000-0000-000071820000}"/>
    <cellStyle name="Normal 30 3 7 8" xfId="18648" xr:uid="{00000000-0005-0000-0000-000072820000}"/>
    <cellStyle name="Normal 30 3 7 8 2" xfId="36038" xr:uid="{00000000-0005-0000-0000-000073820000}"/>
    <cellStyle name="Normal 30 3 7 9" xfId="18649" xr:uid="{00000000-0005-0000-0000-000074820000}"/>
    <cellStyle name="Normal 30 3 7 9 2" xfId="36039" xr:uid="{00000000-0005-0000-0000-000075820000}"/>
    <cellStyle name="Normal 30 3 8" xfId="18650" xr:uid="{00000000-0005-0000-0000-000076820000}"/>
    <cellStyle name="Normal 30 3 8 10" xfId="18651" xr:uid="{00000000-0005-0000-0000-000077820000}"/>
    <cellStyle name="Normal 30 3 8 10 2" xfId="36041" xr:uid="{00000000-0005-0000-0000-000078820000}"/>
    <cellStyle name="Normal 30 3 8 11" xfId="18652" xr:uid="{00000000-0005-0000-0000-000079820000}"/>
    <cellStyle name="Normal 30 3 8 11 2" xfId="36042" xr:uid="{00000000-0005-0000-0000-00007A820000}"/>
    <cellStyle name="Normal 30 3 8 12" xfId="18653" xr:uid="{00000000-0005-0000-0000-00007B820000}"/>
    <cellStyle name="Normal 30 3 8 12 2" xfId="36043" xr:uid="{00000000-0005-0000-0000-00007C820000}"/>
    <cellStyle name="Normal 30 3 8 13" xfId="18654" xr:uid="{00000000-0005-0000-0000-00007D820000}"/>
    <cellStyle name="Normal 30 3 8 13 2" xfId="36044" xr:uid="{00000000-0005-0000-0000-00007E820000}"/>
    <cellStyle name="Normal 30 3 8 14" xfId="18655" xr:uid="{00000000-0005-0000-0000-00007F820000}"/>
    <cellStyle name="Normal 30 3 8 14 2" xfId="36045" xr:uid="{00000000-0005-0000-0000-000080820000}"/>
    <cellStyle name="Normal 30 3 8 15" xfId="36040" xr:uid="{00000000-0005-0000-0000-000081820000}"/>
    <cellStyle name="Normal 30 3 8 2" xfId="18656" xr:uid="{00000000-0005-0000-0000-000082820000}"/>
    <cellStyle name="Normal 30 3 8 2 2" xfId="36046" xr:uid="{00000000-0005-0000-0000-000083820000}"/>
    <cellStyle name="Normal 30 3 8 3" xfId="18657" xr:uid="{00000000-0005-0000-0000-000084820000}"/>
    <cellStyle name="Normal 30 3 8 3 2" xfId="36047" xr:uid="{00000000-0005-0000-0000-000085820000}"/>
    <cellStyle name="Normal 30 3 8 4" xfId="18658" xr:uid="{00000000-0005-0000-0000-000086820000}"/>
    <cellStyle name="Normal 30 3 8 4 2" xfId="36048" xr:uid="{00000000-0005-0000-0000-000087820000}"/>
    <cellStyle name="Normal 30 3 8 5" xfId="18659" xr:uid="{00000000-0005-0000-0000-000088820000}"/>
    <cellStyle name="Normal 30 3 8 5 2" xfId="36049" xr:uid="{00000000-0005-0000-0000-000089820000}"/>
    <cellStyle name="Normal 30 3 8 6" xfId="18660" xr:uid="{00000000-0005-0000-0000-00008A820000}"/>
    <cellStyle name="Normal 30 3 8 6 2" xfId="36050" xr:uid="{00000000-0005-0000-0000-00008B820000}"/>
    <cellStyle name="Normal 30 3 8 7" xfId="18661" xr:uid="{00000000-0005-0000-0000-00008C820000}"/>
    <cellStyle name="Normal 30 3 8 7 2" xfId="36051" xr:uid="{00000000-0005-0000-0000-00008D820000}"/>
    <cellStyle name="Normal 30 3 8 8" xfId="18662" xr:uid="{00000000-0005-0000-0000-00008E820000}"/>
    <cellStyle name="Normal 30 3 8 8 2" xfId="36052" xr:uid="{00000000-0005-0000-0000-00008F820000}"/>
    <cellStyle name="Normal 30 3 8 9" xfId="18663" xr:uid="{00000000-0005-0000-0000-000090820000}"/>
    <cellStyle name="Normal 30 3 8 9 2" xfId="36053" xr:uid="{00000000-0005-0000-0000-000091820000}"/>
    <cellStyle name="Normal 30 3 9" xfId="18664" xr:uid="{00000000-0005-0000-0000-000092820000}"/>
    <cellStyle name="Normal 30 3 9 10" xfId="18665" xr:uid="{00000000-0005-0000-0000-000093820000}"/>
    <cellStyle name="Normal 30 3 9 10 2" xfId="36055" xr:uid="{00000000-0005-0000-0000-000094820000}"/>
    <cellStyle name="Normal 30 3 9 11" xfId="18666" xr:uid="{00000000-0005-0000-0000-000095820000}"/>
    <cellStyle name="Normal 30 3 9 11 2" xfId="36056" xr:uid="{00000000-0005-0000-0000-000096820000}"/>
    <cellStyle name="Normal 30 3 9 12" xfId="18667" xr:uid="{00000000-0005-0000-0000-000097820000}"/>
    <cellStyle name="Normal 30 3 9 12 2" xfId="36057" xr:uid="{00000000-0005-0000-0000-000098820000}"/>
    <cellStyle name="Normal 30 3 9 13" xfId="18668" xr:uid="{00000000-0005-0000-0000-000099820000}"/>
    <cellStyle name="Normal 30 3 9 13 2" xfId="36058" xr:uid="{00000000-0005-0000-0000-00009A820000}"/>
    <cellStyle name="Normal 30 3 9 14" xfId="18669" xr:uid="{00000000-0005-0000-0000-00009B820000}"/>
    <cellStyle name="Normal 30 3 9 14 2" xfId="36059" xr:uid="{00000000-0005-0000-0000-00009C820000}"/>
    <cellStyle name="Normal 30 3 9 15" xfId="36054" xr:uid="{00000000-0005-0000-0000-00009D820000}"/>
    <cellStyle name="Normal 30 3 9 2" xfId="18670" xr:uid="{00000000-0005-0000-0000-00009E820000}"/>
    <cellStyle name="Normal 30 3 9 2 2" xfId="36060" xr:uid="{00000000-0005-0000-0000-00009F820000}"/>
    <cellStyle name="Normal 30 3 9 3" xfId="18671" xr:uid="{00000000-0005-0000-0000-0000A0820000}"/>
    <cellStyle name="Normal 30 3 9 3 2" xfId="36061" xr:uid="{00000000-0005-0000-0000-0000A1820000}"/>
    <cellStyle name="Normal 30 3 9 4" xfId="18672" xr:uid="{00000000-0005-0000-0000-0000A2820000}"/>
    <cellStyle name="Normal 30 3 9 4 2" xfId="36062" xr:uid="{00000000-0005-0000-0000-0000A3820000}"/>
    <cellStyle name="Normal 30 3 9 5" xfId="18673" xr:uid="{00000000-0005-0000-0000-0000A4820000}"/>
    <cellStyle name="Normal 30 3 9 5 2" xfId="36063" xr:uid="{00000000-0005-0000-0000-0000A5820000}"/>
    <cellStyle name="Normal 30 3 9 6" xfId="18674" xr:uid="{00000000-0005-0000-0000-0000A6820000}"/>
    <cellStyle name="Normal 30 3 9 6 2" xfId="36064" xr:uid="{00000000-0005-0000-0000-0000A7820000}"/>
    <cellStyle name="Normal 30 3 9 7" xfId="18675" xr:uid="{00000000-0005-0000-0000-0000A8820000}"/>
    <cellStyle name="Normal 30 3 9 7 2" xfId="36065" xr:uid="{00000000-0005-0000-0000-0000A9820000}"/>
    <cellStyle name="Normal 30 3 9 8" xfId="18676" xr:uid="{00000000-0005-0000-0000-0000AA820000}"/>
    <cellStyle name="Normal 30 3 9 8 2" xfId="36066" xr:uid="{00000000-0005-0000-0000-0000AB820000}"/>
    <cellStyle name="Normal 30 3 9 9" xfId="18677" xr:uid="{00000000-0005-0000-0000-0000AC820000}"/>
    <cellStyle name="Normal 30 3 9 9 2" xfId="36067" xr:uid="{00000000-0005-0000-0000-0000AD820000}"/>
    <cellStyle name="Normal 30 4" xfId="18678" xr:uid="{00000000-0005-0000-0000-0000AE820000}"/>
    <cellStyle name="Normal 30 5" xfId="18679" xr:uid="{00000000-0005-0000-0000-0000AF820000}"/>
    <cellStyle name="Normal 30 6" xfId="18680" xr:uid="{00000000-0005-0000-0000-0000B0820000}"/>
    <cellStyle name="Normal 30 7" xfId="18681" xr:uid="{00000000-0005-0000-0000-0000B1820000}"/>
    <cellStyle name="Normal 30 8" xfId="18682" xr:uid="{00000000-0005-0000-0000-0000B2820000}"/>
    <cellStyle name="Normal 30 8 10" xfId="18683" xr:uid="{00000000-0005-0000-0000-0000B3820000}"/>
    <cellStyle name="Normal 30 8 10 10" xfId="18684" xr:uid="{00000000-0005-0000-0000-0000B4820000}"/>
    <cellStyle name="Normal 30 8 10 10 2" xfId="36070" xr:uid="{00000000-0005-0000-0000-0000B5820000}"/>
    <cellStyle name="Normal 30 8 10 11" xfId="18685" xr:uid="{00000000-0005-0000-0000-0000B6820000}"/>
    <cellStyle name="Normal 30 8 10 11 2" xfId="36071" xr:uid="{00000000-0005-0000-0000-0000B7820000}"/>
    <cellStyle name="Normal 30 8 10 12" xfId="18686" xr:uid="{00000000-0005-0000-0000-0000B8820000}"/>
    <cellStyle name="Normal 30 8 10 12 2" xfId="36072" xr:uid="{00000000-0005-0000-0000-0000B9820000}"/>
    <cellStyle name="Normal 30 8 10 13" xfId="18687" xr:uid="{00000000-0005-0000-0000-0000BA820000}"/>
    <cellStyle name="Normal 30 8 10 13 2" xfId="36073" xr:uid="{00000000-0005-0000-0000-0000BB820000}"/>
    <cellStyle name="Normal 30 8 10 14" xfId="18688" xr:uid="{00000000-0005-0000-0000-0000BC820000}"/>
    <cellStyle name="Normal 30 8 10 14 2" xfId="36074" xr:uid="{00000000-0005-0000-0000-0000BD820000}"/>
    <cellStyle name="Normal 30 8 10 15" xfId="36069" xr:uid="{00000000-0005-0000-0000-0000BE820000}"/>
    <cellStyle name="Normal 30 8 10 2" xfId="18689" xr:uid="{00000000-0005-0000-0000-0000BF820000}"/>
    <cellStyle name="Normal 30 8 10 2 2" xfId="36075" xr:uid="{00000000-0005-0000-0000-0000C0820000}"/>
    <cellStyle name="Normal 30 8 10 3" xfId="18690" xr:uid="{00000000-0005-0000-0000-0000C1820000}"/>
    <cellStyle name="Normal 30 8 10 3 2" xfId="36076" xr:uid="{00000000-0005-0000-0000-0000C2820000}"/>
    <cellStyle name="Normal 30 8 10 4" xfId="18691" xr:uid="{00000000-0005-0000-0000-0000C3820000}"/>
    <cellStyle name="Normal 30 8 10 4 2" xfId="36077" xr:uid="{00000000-0005-0000-0000-0000C4820000}"/>
    <cellStyle name="Normal 30 8 10 5" xfId="18692" xr:uid="{00000000-0005-0000-0000-0000C5820000}"/>
    <cellStyle name="Normal 30 8 10 5 2" xfId="36078" xr:uid="{00000000-0005-0000-0000-0000C6820000}"/>
    <cellStyle name="Normal 30 8 10 6" xfId="18693" xr:uid="{00000000-0005-0000-0000-0000C7820000}"/>
    <cellStyle name="Normal 30 8 10 6 2" xfId="36079" xr:uid="{00000000-0005-0000-0000-0000C8820000}"/>
    <cellStyle name="Normal 30 8 10 7" xfId="18694" xr:uid="{00000000-0005-0000-0000-0000C9820000}"/>
    <cellStyle name="Normal 30 8 10 7 2" xfId="36080" xr:uid="{00000000-0005-0000-0000-0000CA820000}"/>
    <cellStyle name="Normal 30 8 10 8" xfId="18695" xr:uid="{00000000-0005-0000-0000-0000CB820000}"/>
    <cellStyle name="Normal 30 8 10 8 2" xfId="36081" xr:uid="{00000000-0005-0000-0000-0000CC820000}"/>
    <cellStyle name="Normal 30 8 10 9" xfId="18696" xr:uid="{00000000-0005-0000-0000-0000CD820000}"/>
    <cellStyle name="Normal 30 8 10 9 2" xfId="36082" xr:uid="{00000000-0005-0000-0000-0000CE820000}"/>
    <cellStyle name="Normal 30 8 11" xfId="18697" xr:uid="{00000000-0005-0000-0000-0000CF820000}"/>
    <cellStyle name="Normal 30 8 11 10" xfId="18698" xr:uid="{00000000-0005-0000-0000-0000D0820000}"/>
    <cellStyle name="Normal 30 8 11 10 2" xfId="36084" xr:uid="{00000000-0005-0000-0000-0000D1820000}"/>
    <cellStyle name="Normal 30 8 11 11" xfId="18699" xr:uid="{00000000-0005-0000-0000-0000D2820000}"/>
    <cellStyle name="Normal 30 8 11 11 2" xfId="36085" xr:uid="{00000000-0005-0000-0000-0000D3820000}"/>
    <cellStyle name="Normal 30 8 11 12" xfId="18700" xr:uid="{00000000-0005-0000-0000-0000D4820000}"/>
    <cellStyle name="Normal 30 8 11 12 2" xfId="36086" xr:uid="{00000000-0005-0000-0000-0000D5820000}"/>
    <cellStyle name="Normal 30 8 11 13" xfId="18701" xr:uid="{00000000-0005-0000-0000-0000D6820000}"/>
    <cellStyle name="Normal 30 8 11 13 2" xfId="36087" xr:uid="{00000000-0005-0000-0000-0000D7820000}"/>
    <cellStyle name="Normal 30 8 11 14" xfId="18702" xr:uid="{00000000-0005-0000-0000-0000D8820000}"/>
    <cellStyle name="Normal 30 8 11 14 2" xfId="36088" xr:uid="{00000000-0005-0000-0000-0000D9820000}"/>
    <cellStyle name="Normal 30 8 11 15" xfId="36083" xr:uid="{00000000-0005-0000-0000-0000DA820000}"/>
    <cellStyle name="Normal 30 8 11 2" xfId="18703" xr:uid="{00000000-0005-0000-0000-0000DB820000}"/>
    <cellStyle name="Normal 30 8 11 2 2" xfId="36089" xr:uid="{00000000-0005-0000-0000-0000DC820000}"/>
    <cellStyle name="Normal 30 8 11 3" xfId="18704" xr:uid="{00000000-0005-0000-0000-0000DD820000}"/>
    <cellStyle name="Normal 30 8 11 3 2" xfId="36090" xr:uid="{00000000-0005-0000-0000-0000DE820000}"/>
    <cellStyle name="Normal 30 8 11 4" xfId="18705" xr:uid="{00000000-0005-0000-0000-0000DF820000}"/>
    <cellStyle name="Normal 30 8 11 4 2" xfId="36091" xr:uid="{00000000-0005-0000-0000-0000E0820000}"/>
    <cellStyle name="Normal 30 8 11 5" xfId="18706" xr:uid="{00000000-0005-0000-0000-0000E1820000}"/>
    <cellStyle name="Normal 30 8 11 5 2" xfId="36092" xr:uid="{00000000-0005-0000-0000-0000E2820000}"/>
    <cellStyle name="Normal 30 8 11 6" xfId="18707" xr:uid="{00000000-0005-0000-0000-0000E3820000}"/>
    <cellStyle name="Normal 30 8 11 6 2" xfId="36093" xr:uid="{00000000-0005-0000-0000-0000E4820000}"/>
    <cellStyle name="Normal 30 8 11 7" xfId="18708" xr:uid="{00000000-0005-0000-0000-0000E5820000}"/>
    <cellStyle name="Normal 30 8 11 7 2" xfId="36094" xr:uid="{00000000-0005-0000-0000-0000E6820000}"/>
    <cellStyle name="Normal 30 8 11 8" xfId="18709" xr:uid="{00000000-0005-0000-0000-0000E7820000}"/>
    <cellStyle name="Normal 30 8 11 8 2" xfId="36095" xr:uid="{00000000-0005-0000-0000-0000E8820000}"/>
    <cellStyle name="Normal 30 8 11 9" xfId="18710" xr:uid="{00000000-0005-0000-0000-0000E9820000}"/>
    <cellStyle name="Normal 30 8 11 9 2" xfId="36096" xr:uid="{00000000-0005-0000-0000-0000EA820000}"/>
    <cellStyle name="Normal 30 8 12" xfId="18711" xr:uid="{00000000-0005-0000-0000-0000EB820000}"/>
    <cellStyle name="Normal 30 8 12 10" xfId="18712" xr:uid="{00000000-0005-0000-0000-0000EC820000}"/>
    <cellStyle name="Normal 30 8 12 10 2" xfId="36098" xr:uid="{00000000-0005-0000-0000-0000ED820000}"/>
    <cellStyle name="Normal 30 8 12 11" xfId="18713" xr:uid="{00000000-0005-0000-0000-0000EE820000}"/>
    <cellStyle name="Normal 30 8 12 11 2" xfId="36099" xr:uid="{00000000-0005-0000-0000-0000EF820000}"/>
    <cellStyle name="Normal 30 8 12 12" xfId="18714" xr:uid="{00000000-0005-0000-0000-0000F0820000}"/>
    <cellStyle name="Normal 30 8 12 12 2" xfId="36100" xr:uid="{00000000-0005-0000-0000-0000F1820000}"/>
    <cellStyle name="Normal 30 8 12 13" xfId="18715" xr:uid="{00000000-0005-0000-0000-0000F2820000}"/>
    <cellStyle name="Normal 30 8 12 13 2" xfId="36101" xr:uid="{00000000-0005-0000-0000-0000F3820000}"/>
    <cellStyle name="Normal 30 8 12 14" xfId="18716" xr:uid="{00000000-0005-0000-0000-0000F4820000}"/>
    <cellStyle name="Normal 30 8 12 14 2" xfId="36102" xr:uid="{00000000-0005-0000-0000-0000F5820000}"/>
    <cellStyle name="Normal 30 8 12 15" xfId="36097" xr:uid="{00000000-0005-0000-0000-0000F6820000}"/>
    <cellStyle name="Normal 30 8 12 2" xfId="18717" xr:uid="{00000000-0005-0000-0000-0000F7820000}"/>
    <cellStyle name="Normal 30 8 12 2 2" xfId="36103" xr:uid="{00000000-0005-0000-0000-0000F8820000}"/>
    <cellStyle name="Normal 30 8 12 3" xfId="18718" xr:uid="{00000000-0005-0000-0000-0000F9820000}"/>
    <cellStyle name="Normal 30 8 12 3 2" xfId="36104" xr:uid="{00000000-0005-0000-0000-0000FA820000}"/>
    <cellStyle name="Normal 30 8 12 4" xfId="18719" xr:uid="{00000000-0005-0000-0000-0000FB820000}"/>
    <cellStyle name="Normal 30 8 12 4 2" xfId="36105" xr:uid="{00000000-0005-0000-0000-0000FC820000}"/>
    <cellStyle name="Normal 30 8 12 5" xfId="18720" xr:uid="{00000000-0005-0000-0000-0000FD820000}"/>
    <cellStyle name="Normal 30 8 12 5 2" xfId="36106" xr:uid="{00000000-0005-0000-0000-0000FE820000}"/>
    <cellStyle name="Normal 30 8 12 6" xfId="18721" xr:uid="{00000000-0005-0000-0000-0000FF820000}"/>
    <cellStyle name="Normal 30 8 12 6 2" xfId="36107" xr:uid="{00000000-0005-0000-0000-000000830000}"/>
    <cellStyle name="Normal 30 8 12 7" xfId="18722" xr:uid="{00000000-0005-0000-0000-000001830000}"/>
    <cellStyle name="Normal 30 8 12 7 2" xfId="36108" xr:uid="{00000000-0005-0000-0000-000002830000}"/>
    <cellStyle name="Normal 30 8 12 8" xfId="18723" xr:uid="{00000000-0005-0000-0000-000003830000}"/>
    <cellStyle name="Normal 30 8 12 8 2" xfId="36109" xr:uid="{00000000-0005-0000-0000-000004830000}"/>
    <cellStyle name="Normal 30 8 12 9" xfId="18724" xr:uid="{00000000-0005-0000-0000-000005830000}"/>
    <cellStyle name="Normal 30 8 12 9 2" xfId="36110" xr:uid="{00000000-0005-0000-0000-000006830000}"/>
    <cellStyle name="Normal 30 8 13" xfId="18725" xr:uid="{00000000-0005-0000-0000-000007830000}"/>
    <cellStyle name="Normal 30 8 13 10" xfId="18726" xr:uid="{00000000-0005-0000-0000-000008830000}"/>
    <cellStyle name="Normal 30 8 13 10 2" xfId="36112" xr:uid="{00000000-0005-0000-0000-000009830000}"/>
    <cellStyle name="Normal 30 8 13 11" xfId="18727" xr:uid="{00000000-0005-0000-0000-00000A830000}"/>
    <cellStyle name="Normal 30 8 13 11 2" xfId="36113" xr:uid="{00000000-0005-0000-0000-00000B830000}"/>
    <cellStyle name="Normal 30 8 13 12" xfId="18728" xr:uid="{00000000-0005-0000-0000-00000C830000}"/>
    <cellStyle name="Normal 30 8 13 12 2" xfId="36114" xr:uid="{00000000-0005-0000-0000-00000D830000}"/>
    <cellStyle name="Normal 30 8 13 13" xfId="18729" xr:uid="{00000000-0005-0000-0000-00000E830000}"/>
    <cellStyle name="Normal 30 8 13 13 2" xfId="36115" xr:uid="{00000000-0005-0000-0000-00000F830000}"/>
    <cellStyle name="Normal 30 8 13 14" xfId="18730" xr:uid="{00000000-0005-0000-0000-000010830000}"/>
    <cellStyle name="Normal 30 8 13 14 2" xfId="36116" xr:uid="{00000000-0005-0000-0000-000011830000}"/>
    <cellStyle name="Normal 30 8 13 15" xfId="36111" xr:uid="{00000000-0005-0000-0000-000012830000}"/>
    <cellStyle name="Normal 30 8 13 2" xfId="18731" xr:uid="{00000000-0005-0000-0000-000013830000}"/>
    <cellStyle name="Normal 30 8 13 2 2" xfId="36117" xr:uid="{00000000-0005-0000-0000-000014830000}"/>
    <cellStyle name="Normal 30 8 13 3" xfId="18732" xr:uid="{00000000-0005-0000-0000-000015830000}"/>
    <cellStyle name="Normal 30 8 13 3 2" xfId="36118" xr:uid="{00000000-0005-0000-0000-000016830000}"/>
    <cellStyle name="Normal 30 8 13 4" xfId="18733" xr:uid="{00000000-0005-0000-0000-000017830000}"/>
    <cellStyle name="Normal 30 8 13 4 2" xfId="36119" xr:uid="{00000000-0005-0000-0000-000018830000}"/>
    <cellStyle name="Normal 30 8 13 5" xfId="18734" xr:uid="{00000000-0005-0000-0000-000019830000}"/>
    <cellStyle name="Normal 30 8 13 5 2" xfId="36120" xr:uid="{00000000-0005-0000-0000-00001A830000}"/>
    <cellStyle name="Normal 30 8 13 6" xfId="18735" xr:uid="{00000000-0005-0000-0000-00001B830000}"/>
    <cellStyle name="Normal 30 8 13 6 2" xfId="36121" xr:uid="{00000000-0005-0000-0000-00001C830000}"/>
    <cellStyle name="Normal 30 8 13 7" xfId="18736" xr:uid="{00000000-0005-0000-0000-00001D830000}"/>
    <cellStyle name="Normal 30 8 13 7 2" xfId="36122" xr:uid="{00000000-0005-0000-0000-00001E830000}"/>
    <cellStyle name="Normal 30 8 13 8" xfId="18737" xr:uid="{00000000-0005-0000-0000-00001F830000}"/>
    <cellStyle name="Normal 30 8 13 8 2" xfId="36123" xr:uid="{00000000-0005-0000-0000-000020830000}"/>
    <cellStyle name="Normal 30 8 13 9" xfId="18738" xr:uid="{00000000-0005-0000-0000-000021830000}"/>
    <cellStyle name="Normal 30 8 13 9 2" xfId="36124" xr:uid="{00000000-0005-0000-0000-000022830000}"/>
    <cellStyle name="Normal 30 8 14" xfId="18739" xr:uid="{00000000-0005-0000-0000-000023830000}"/>
    <cellStyle name="Normal 30 8 14 10" xfId="18740" xr:uid="{00000000-0005-0000-0000-000024830000}"/>
    <cellStyle name="Normal 30 8 14 10 2" xfId="36126" xr:uid="{00000000-0005-0000-0000-000025830000}"/>
    <cellStyle name="Normal 30 8 14 11" xfId="18741" xr:uid="{00000000-0005-0000-0000-000026830000}"/>
    <cellStyle name="Normal 30 8 14 11 2" xfId="36127" xr:uid="{00000000-0005-0000-0000-000027830000}"/>
    <cellStyle name="Normal 30 8 14 12" xfId="18742" xr:uid="{00000000-0005-0000-0000-000028830000}"/>
    <cellStyle name="Normal 30 8 14 12 2" xfId="36128" xr:uid="{00000000-0005-0000-0000-000029830000}"/>
    <cellStyle name="Normal 30 8 14 13" xfId="18743" xr:uid="{00000000-0005-0000-0000-00002A830000}"/>
    <cellStyle name="Normal 30 8 14 13 2" xfId="36129" xr:uid="{00000000-0005-0000-0000-00002B830000}"/>
    <cellStyle name="Normal 30 8 14 14" xfId="18744" xr:uid="{00000000-0005-0000-0000-00002C830000}"/>
    <cellStyle name="Normal 30 8 14 14 2" xfId="36130" xr:uid="{00000000-0005-0000-0000-00002D830000}"/>
    <cellStyle name="Normal 30 8 14 15" xfId="36125" xr:uid="{00000000-0005-0000-0000-00002E830000}"/>
    <cellStyle name="Normal 30 8 14 2" xfId="18745" xr:uid="{00000000-0005-0000-0000-00002F830000}"/>
    <cellStyle name="Normal 30 8 14 2 2" xfId="36131" xr:uid="{00000000-0005-0000-0000-000030830000}"/>
    <cellStyle name="Normal 30 8 14 3" xfId="18746" xr:uid="{00000000-0005-0000-0000-000031830000}"/>
    <cellStyle name="Normal 30 8 14 3 2" xfId="36132" xr:uid="{00000000-0005-0000-0000-000032830000}"/>
    <cellStyle name="Normal 30 8 14 4" xfId="18747" xr:uid="{00000000-0005-0000-0000-000033830000}"/>
    <cellStyle name="Normal 30 8 14 4 2" xfId="36133" xr:uid="{00000000-0005-0000-0000-000034830000}"/>
    <cellStyle name="Normal 30 8 14 5" xfId="18748" xr:uid="{00000000-0005-0000-0000-000035830000}"/>
    <cellStyle name="Normal 30 8 14 5 2" xfId="36134" xr:uid="{00000000-0005-0000-0000-000036830000}"/>
    <cellStyle name="Normal 30 8 14 6" xfId="18749" xr:uid="{00000000-0005-0000-0000-000037830000}"/>
    <cellStyle name="Normal 30 8 14 6 2" xfId="36135" xr:uid="{00000000-0005-0000-0000-000038830000}"/>
    <cellStyle name="Normal 30 8 14 7" xfId="18750" xr:uid="{00000000-0005-0000-0000-000039830000}"/>
    <cellStyle name="Normal 30 8 14 7 2" xfId="36136" xr:uid="{00000000-0005-0000-0000-00003A830000}"/>
    <cellStyle name="Normal 30 8 14 8" xfId="18751" xr:uid="{00000000-0005-0000-0000-00003B830000}"/>
    <cellStyle name="Normal 30 8 14 8 2" xfId="36137" xr:uid="{00000000-0005-0000-0000-00003C830000}"/>
    <cellStyle name="Normal 30 8 14 9" xfId="18752" xr:uid="{00000000-0005-0000-0000-00003D830000}"/>
    <cellStyle name="Normal 30 8 14 9 2" xfId="36138" xr:uid="{00000000-0005-0000-0000-00003E830000}"/>
    <cellStyle name="Normal 30 8 15" xfId="18753" xr:uid="{00000000-0005-0000-0000-00003F830000}"/>
    <cellStyle name="Normal 30 8 15 10" xfId="18754" xr:uid="{00000000-0005-0000-0000-000040830000}"/>
    <cellStyle name="Normal 30 8 15 10 2" xfId="36140" xr:uid="{00000000-0005-0000-0000-000041830000}"/>
    <cellStyle name="Normal 30 8 15 11" xfId="18755" xr:uid="{00000000-0005-0000-0000-000042830000}"/>
    <cellStyle name="Normal 30 8 15 11 2" xfId="36141" xr:uid="{00000000-0005-0000-0000-000043830000}"/>
    <cellStyle name="Normal 30 8 15 12" xfId="18756" xr:uid="{00000000-0005-0000-0000-000044830000}"/>
    <cellStyle name="Normal 30 8 15 12 2" xfId="36142" xr:uid="{00000000-0005-0000-0000-000045830000}"/>
    <cellStyle name="Normal 30 8 15 13" xfId="18757" xr:uid="{00000000-0005-0000-0000-000046830000}"/>
    <cellStyle name="Normal 30 8 15 13 2" xfId="36143" xr:uid="{00000000-0005-0000-0000-000047830000}"/>
    <cellStyle name="Normal 30 8 15 14" xfId="18758" xr:uid="{00000000-0005-0000-0000-000048830000}"/>
    <cellStyle name="Normal 30 8 15 14 2" xfId="36144" xr:uid="{00000000-0005-0000-0000-000049830000}"/>
    <cellStyle name="Normal 30 8 15 15" xfId="36139" xr:uid="{00000000-0005-0000-0000-00004A830000}"/>
    <cellStyle name="Normal 30 8 15 2" xfId="18759" xr:uid="{00000000-0005-0000-0000-00004B830000}"/>
    <cellStyle name="Normal 30 8 15 2 2" xfId="36145" xr:uid="{00000000-0005-0000-0000-00004C830000}"/>
    <cellStyle name="Normal 30 8 15 3" xfId="18760" xr:uid="{00000000-0005-0000-0000-00004D830000}"/>
    <cellStyle name="Normal 30 8 15 3 2" xfId="36146" xr:uid="{00000000-0005-0000-0000-00004E830000}"/>
    <cellStyle name="Normal 30 8 15 4" xfId="18761" xr:uid="{00000000-0005-0000-0000-00004F830000}"/>
    <cellStyle name="Normal 30 8 15 4 2" xfId="36147" xr:uid="{00000000-0005-0000-0000-000050830000}"/>
    <cellStyle name="Normal 30 8 15 5" xfId="18762" xr:uid="{00000000-0005-0000-0000-000051830000}"/>
    <cellStyle name="Normal 30 8 15 5 2" xfId="36148" xr:uid="{00000000-0005-0000-0000-000052830000}"/>
    <cellStyle name="Normal 30 8 15 6" xfId="18763" xr:uid="{00000000-0005-0000-0000-000053830000}"/>
    <cellStyle name="Normal 30 8 15 6 2" xfId="36149" xr:uid="{00000000-0005-0000-0000-000054830000}"/>
    <cellStyle name="Normal 30 8 15 7" xfId="18764" xr:uid="{00000000-0005-0000-0000-000055830000}"/>
    <cellStyle name="Normal 30 8 15 7 2" xfId="36150" xr:uid="{00000000-0005-0000-0000-000056830000}"/>
    <cellStyle name="Normal 30 8 15 8" xfId="18765" xr:uid="{00000000-0005-0000-0000-000057830000}"/>
    <cellStyle name="Normal 30 8 15 8 2" xfId="36151" xr:uid="{00000000-0005-0000-0000-000058830000}"/>
    <cellStyle name="Normal 30 8 15 9" xfId="18766" xr:uid="{00000000-0005-0000-0000-000059830000}"/>
    <cellStyle name="Normal 30 8 15 9 2" xfId="36152" xr:uid="{00000000-0005-0000-0000-00005A830000}"/>
    <cellStyle name="Normal 30 8 16" xfId="18767" xr:uid="{00000000-0005-0000-0000-00005B830000}"/>
    <cellStyle name="Normal 30 8 16 2" xfId="36153" xr:uid="{00000000-0005-0000-0000-00005C830000}"/>
    <cellStyle name="Normal 30 8 17" xfId="18768" xr:uid="{00000000-0005-0000-0000-00005D830000}"/>
    <cellStyle name="Normal 30 8 17 2" xfId="36154" xr:uid="{00000000-0005-0000-0000-00005E830000}"/>
    <cellStyle name="Normal 30 8 18" xfId="18769" xr:uid="{00000000-0005-0000-0000-00005F830000}"/>
    <cellStyle name="Normal 30 8 18 2" xfId="36155" xr:uid="{00000000-0005-0000-0000-000060830000}"/>
    <cellStyle name="Normal 30 8 19" xfId="18770" xr:uid="{00000000-0005-0000-0000-000061830000}"/>
    <cellStyle name="Normal 30 8 19 2" xfId="36156" xr:uid="{00000000-0005-0000-0000-000062830000}"/>
    <cellStyle name="Normal 30 8 2" xfId="18771" xr:uid="{00000000-0005-0000-0000-000063830000}"/>
    <cellStyle name="Normal 30 8 2 10" xfId="18772" xr:uid="{00000000-0005-0000-0000-000064830000}"/>
    <cellStyle name="Normal 30 8 2 10 2" xfId="36158" xr:uid="{00000000-0005-0000-0000-000065830000}"/>
    <cellStyle name="Normal 30 8 2 11" xfId="18773" xr:uid="{00000000-0005-0000-0000-000066830000}"/>
    <cellStyle name="Normal 30 8 2 11 2" xfId="36159" xr:uid="{00000000-0005-0000-0000-000067830000}"/>
    <cellStyle name="Normal 30 8 2 12" xfId="18774" xr:uid="{00000000-0005-0000-0000-000068830000}"/>
    <cellStyle name="Normal 30 8 2 12 2" xfId="36160" xr:uid="{00000000-0005-0000-0000-000069830000}"/>
    <cellStyle name="Normal 30 8 2 13" xfId="18775" xr:uid="{00000000-0005-0000-0000-00006A830000}"/>
    <cellStyle name="Normal 30 8 2 13 2" xfId="36161" xr:uid="{00000000-0005-0000-0000-00006B830000}"/>
    <cellStyle name="Normal 30 8 2 14" xfId="18776" xr:uid="{00000000-0005-0000-0000-00006C830000}"/>
    <cellStyle name="Normal 30 8 2 14 2" xfId="36162" xr:uid="{00000000-0005-0000-0000-00006D830000}"/>
    <cellStyle name="Normal 30 8 2 15" xfId="18777" xr:uid="{00000000-0005-0000-0000-00006E830000}"/>
    <cellStyle name="Normal 30 8 2 15 2" xfId="36163" xr:uid="{00000000-0005-0000-0000-00006F830000}"/>
    <cellStyle name="Normal 30 8 2 16" xfId="36157" xr:uid="{00000000-0005-0000-0000-000070830000}"/>
    <cellStyle name="Normal 30 8 2 2" xfId="18778" xr:uid="{00000000-0005-0000-0000-000071830000}"/>
    <cellStyle name="Normal 30 8 2 2 10" xfId="18779" xr:uid="{00000000-0005-0000-0000-000072830000}"/>
    <cellStyle name="Normal 30 8 2 2 10 2" xfId="36165" xr:uid="{00000000-0005-0000-0000-000073830000}"/>
    <cellStyle name="Normal 30 8 2 2 11" xfId="18780" xr:uid="{00000000-0005-0000-0000-000074830000}"/>
    <cellStyle name="Normal 30 8 2 2 11 2" xfId="36166" xr:uid="{00000000-0005-0000-0000-000075830000}"/>
    <cellStyle name="Normal 30 8 2 2 12" xfId="18781" xr:uid="{00000000-0005-0000-0000-000076830000}"/>
    <cellStyle name="Normal 30 8 2 2 12 2" xfId="36167" xr:uid="{00000000-0005-0000-0000-000077830000}"/>
    <cellStyle name="Normal 30 8 2 2 13" xfId="18782" xr:uid="{00000000-0005-0000-0000-000078830000}"/>
    <cellStyle name="Normal 30 8 2 2 13 2" xfId="36168" xr:uid="{00000000-0005-0000-0000-000079830000}"/>
    <cellStyle name="Normal 30 8 2 2 14" xfId="18783" xr:uid="{00000000-0005-0000-0000-00007A830000}"/>
    <cellStyle name="Normal 30 8 2 2 14 2" xfId="36169" xr:uid="{00000000-0005-0000-0000-00007B830000}"/>
    <cellStyle name="Normal 30 8 2 2 15" xfId="36164" xr:uid="{00000000-0005-0000-0000-00007C830000}"/>
    <cellStyle name="Normal 30 8 2 2 2" xfId="18784" xr:uid="{00000000-0005-0000-0000-00007D830000}"/>
    <cellStyle name="Normal 30 8 2 2 2 2" xfId="36170" xr:uid="{00000000-0005-0000-0000-00007E830000}"/>
    <cellStyle name="Normal 30 8 2 2 3" xfId="18785" xr:uid="{00000000-0005-0000-0000-00007F830000}"/>
    <cellStyle name="Normal 30 8 2 2 3 2" xfId="36171" xr:uid="{00000000-0005-0000-0000-000080830000}"/>
    <cellStyle name="Normal 30 8 2 2 4" xfId="18786" xr:uid="{00000000-0005-0000-0000-000081830000}"/>
    <cellStyle name="Normal 30 8 2 2 4 2" xfId="36172" xr:uid="{00000000-0005-0000-0000-000082830000}"/>
    <cellStyle name="Normal 30 8 2 2 5" xfId="18787" xr:uid="{00000000-0005-0000-0000-000083830000}"/>
    <cellStyle name="Normal 30 8 2 2 5 2" xfId="36173" xr:uid="{00000000-0005-0000-0000-000084830000}"/>
    <cellStyle name="Normal 30 8 2 2 6" xfId="18788" xr:uid="{00000000-0005-0000-0000-000085830000}"/>
    <cellStyle name="Normal 30 8 2 2 6 2" xfId="36174" xr:uid="{00000000-0005-0000-0000-000086830000}"/>
    <cellStyle name="Normal 30 8 2 2 7" xfId="18789" xr:uid="{00000000-0005-0000-0000-000087830000}"/>
    <cellStyle name="Normal 30 8 2 2 7 2" xfId="36175" xr:uid="{00000000-0005-0000-0000-000088830000}"/>
    <cellStyle name="Normal 30 8 2 2 8" xfId="18790" xr:uid="{00000000-0005-0000-0000-000089830000}"/>
    <cellStyle name="Normal 30 8 2 2 8 2" xfId="36176" xr:uid="{00000000-0005-0000-0000-00008A830000}"/>
    <cellStyle name="Normal 30 8 2 2 9" xfId="18791" xr:uid="{00000000-0005-0000-0000-00008B830000}"/>
    <cellStyle name="Normal 30 8 2 2 9 2" xfId="36177" xr:uid="{00000000-0005-0000-0000-00008C830000}"/>
    <cellStyle name="Normal 30 8 2 3" xfId="18792" xr:uid="{00000000-0005-0000-0000-00008D830000}"/>
    <cellStyle name="Normal 30 8 2 3 2" xfId="36178" xr:uid="{00000000-0005-0000-0000-00008E830000}"/>
    <cellStyle name="Normal 30 8 2 4" xfId="18793" xr:uid="{00000000-0005-0000-0000-00008F830000}"/>
    <cellStyle name="Normal 30 8 2 4 2" xfId="36179" xr:uid="{00000000-0005-0000-0000-000090830000}"/>
    <cellStyle name="Normal 30 8 2 5" xfId="18794" xr:uid="{00000000-0005-0000-0000-000091830000}"/>
    <cellStyle name="Normal 30 8 2 5 2" xfId="36180" xr:uid="{00000000-0005-0000-0000-000092830000}"/>
    <cellStyle name="Normal 30 8 2 6" xfId="18795" xr:uid="{00000000-0005-0000-0000-000093830000}"/>
    <cellStyle name="Normal 30 8 2 6 2" xfId="36181" xr:uid="{00000000-0005-0000-0000-000094830000}"/>
    <cellStyle name="Normal 30 8 2 7" xfId="18796" xr:uid="{00000000-0005-0000-0000-000095830000}"/>
    <cellStyle name="Normal 30 8 2 7 2" xfId="36182" xr:uid="{00000000-0005-0000-0000-000096830000}"/>
    <cellStyle name="Normal 30 8 2 8" xfId="18797" xr:uid="{00000000-0005-0000-0000-000097830000}"/>
    <cellStyle name="Normal 30 8 2 8 2" xfId="36183" xr:uid="{00000000-0005-0000-0000-000098830000}"/>
    <cellStyle name="Normal 30 8 2 9" xfId="18798" xr:uid="{00000000-0005-0000-0000-000099830000}"/>
    <cellStyle name="Normal 30 8 2 9 2" xfId="36184" xr:uid="{00000000-0005-0000-0000-00009A830000}"/>
    <cellStyle name="Normal 30 8 20" xfId="18799" xr:uid="{00000000-0005-0000-0000-00009B830000}"/>
    <cellStyle name="Normal 30 8 20 2" xfId="36185" xr:uid="{00000000-0005-0000-0000-00009C830000}"/>
    <cellStyle name="Normal 30 8 21" xfId="18800" xr:uid="{00000000-0005-0000-0000-00009D830000}"/>
    <cellStyle name="Normal 30 8 21 2" xfId="36186" xr:uid="{00000000-0005-0000-0000-00009E830000}"/>
    <cellStyle name="Normal 30 8 22" xfId="18801" xr:uid="{00000000-0005-0000-0000-00009F830000}"/>
    <cellStyle name="Normal 30 8 22 2" xfId="36187" xr:uid="{00000000-0005-0000-0000-0000A0830000}"/>
    <cellStyle name="Normal 30 8 23" xfId="18802" xr:uid="{00000000-0005-0000-0000-0000A1830000}"/>
    <cellStyle name="Normal 30 8 23 2" xfId="36188" xr:uid="{00000000-0005-0000-0000-0000A2830000}"/>
    <cellStyle name="Normal 30 8 24" xfId="18803" xr:uid="{00000000-0005-0000-0000-0000A3830000}"/>
    <cellStyle name="Normal 30 8 24 2" xfId="36189" xr:uid="{00000000-0005-0000-0000-0000A4830000}"/>
    <cellStyle name="Normal 30 8 25" xfId="18804" xr:uid="{00000000-0005-0000-0000-0000A5830000}"/>
    <cellStyle name="Normal 30 8 25 2" xfId="36190" xr:uid="{00000000-0005-0000-0000-0000A6830000}"/>
    <cellStyle name="Normal 30 8 26" xfId="18805" xr:uid="{00000000-0005-0000-0000-0000A7830000}"/>
    <cellStyle name="Normal 30 8 26 2" xfId="36191" xr:uid="{00000000-0005-0000-0000-0000A8830000}"/>
    <cellStyle name="Normal 30 8 27" xfId="18806" xr:uid="{00000000-0005-0000-0000-0000A9830000}"/>
    <cellStyle name="Normal 30 8 27 2" xfId="36192" xr:uid="{00000000-0005-0000-0000-0000AA830000}"/>
    <cellStyle name="Normal 30 8 28" xfId="18807" xr:uid="{00000000-0005-0000-0000-0000AB830000}"/>
    <cellStyle name="Normal 30 8 28 2" xfId="36193" xr:uid="{00000000-0005-0000-0000-0000AC830000}"/>
    <cellStyle name="Normal 30 8 29" xfId="36068" xr:uid="{00000000-0005-0000-0000-0000AD830000}"/>
    <cellStyle name="Normal 30 8 3" xfId="18808" xr:uid="{00000000-0005-0000-0000-0000AE830000}"/>
    <cellStyle name="Normal 30 8 3 10" xfId="18809" xr:uid="{00000000-0005-0000-0000-0000AF830000}"/>
    <cellStyle name="Normal 30 8 3 10 2" xfId="36195" xr:uid="{00000000-0005-0000-0000-0000B0830000}"/>
    <cellStyle name="Normal 30 8 3 11" xfId="18810" xr:uid="{00000000-0005-0000-0000-0000B1830000}"/>
    <cellStyle name="Normal 30 8 3 11 2" xfId="36196" xr:uid="{00000000-0005-0000-0000-0000B2830000}"/>
    <cellStyle name="Normal 30 8 3 12" xfId="18811" xr:uid="{00000000-0005-0000-0000-0000B3830000}"/>
    <cellStyle name="Normal 30 8 3 12 2" xfId="36197" xr:uid="{00000000-0005-0000-0000-0000B4830000}"/>
    <cellStyle name="Normal 30 8 3 13" xfId="18812" xr:uid="{00000000-0005-0000-0000-0000B5830000}"/>
    <cellStyle name="Normal 30 8 3 13 2" xfId="36198" xr:uid="{00000000-0005-0000-0000-0000B6830000}"/>
    <cellStyle name="Normal 30 8 3 14" xfId="18813" xr:uid="{00000000-0005-0000-0000-0000B7830000}"/>
    <cellStyle name="Normal 30 8 3 14 2" xfId="36199" xr:uid="{00000000-0005-0000-0000-0000B8830000}"/>
    <cellStyle name="Normal 30 8 3 15" xfId="18814" xr:uid="{00000000-0005-0000-0000-0000B9830000}"/>
    <cellStyle name="Normal 30 8 3 15 2" xfId="36200" xr:uid="{00000000-0005-0000-0000-0000BA830000}"/>
    <cellStyle name="Normal 30 8 3 16" xfId="36194" xr:uid="{00000000-0005-0000-0000-0000BB830000}"/>
    <cellStyle name="Normal 30 8 3 2" xfId="18815" xr:uid="{00000000-0005-0000-0000-0000BC830000}"/>
    <cellStyle name="Normal 30 8 3 2 10" xfId="18816" xr:uid="{00000000-0005-0000-0000-0000BD830000}"/>
    <cellStyle name="Normal 30 8 3 2 10 2" xfId="36202" xr:uid="{00000000-0005-0000-0000-0000BE830000}"/>
    <cellStyle name="Normal 30 8 3 2 11" xfId="18817" xr:uid="{00000000-0005-0000-0000-0000BF830000}"/>
    <cellStyle name="Normal 30 8 3 2 11 2" xfId="36203" xr:uid="{00000000-0005-0000-0000-0000C0830000}"/>
    <cellStyle name="Normal 30 8 3 2 12" xfId="18818" xr:uid="{00000000-0005-0000-0000-0000C1830000}"/>
    <cellStyle name="Normal 30 8 3 2 12 2" xfId="36204" xr:uid="{00000000-0005-0000-0000-0000C2830000}"/>
    <cellStyle name="Normal 30 8 3 2 13" xfId="18819" xr:uid="{00000000-0005-0000-0000-0000C3830000}"/>
    <cellStyle name="Normal 30 8 3 2 13 2" xfId="36205" xr:uid="{00000000-0005-0000-0000-0000C4830000}"/>
    <cellStyle name="Normal 30 8 3 2 14" xfId="18820" xr:uid="{00000000-0005-0000-0000-0000C5830000}"/>
    <cellStyle name="Normal 30 8 3 2 14 2" xfId="36206" xr:uid="{00000000-0005-0000-0000-0000C6830000}"/>
    <cellStyle name="Normal 30 8 3 2 15" xfId="36201" xr:uid="{00000000-0005-0000-0000-0000C7830000}"/>
    <cellStyle name="Normal 30 8 3 2 2" xfId="18821" xr:uid="{00000000-0005-0000-0000-0000C8830000}"/>
    <cellStyle name="Normal 30 8 3 2 2 2" xfId="36207" xr:uid="{00000000-0005-0000-0000-0000C9830000}"/>
    <cellStyle name="Normal 30 8 3 2 3" xfId="18822" xr:uid="{00000000-0005-0000-0000-0000CA830000}"/>
    <cellStyle name="Normal 30 8 3 2 3 2" xfId="36208" xr:uid="{00000000-0005-0000-0000-0000CB830000}"/>
    <cellStyle name="Normal 30 8 3 2 4" xfId="18823" xr:uid="{00000000-0005-0000-0000-0000CC830000}"/>
    <cellStyle name="Normal 30 8 3 2 4 2" xfId="36209" xr:uid="{00000000-0005-0000-0000-0000CD830000}"/>
    <cellStyle name="Normal 30 8 3 2 5" xfId="18824" xr:uid="{00000000-0005-0000-0000-0000CE830000}"/>
    <cellStyle name="Normal 30 8 3 2 5 2" xfId="36210" xr:uid="{00000000-0005-0000-0000-0000CF830000}"/>
    <cellStyle name="Normal 30 8 3 2 6" xfId="18825" xr:uid="{00000000-0005-0000-0000-0000D0830000}"/>
    <cellStyle name="Normal 30 8 3 2 6 2" xfId="36211" xr:uid="{00000000-0005-0000-0000-0000D1830000}"/>
    <cellStyle name="Normal 30 8 3 2 7" xfId="18826" xr:uid="{00000000-0005-0000-0000-0000D2830000}"/>
    <cellStyle name="Normal 30 8 3 2 7 2" xfId="36212" xr:uid="{00000000-0005-0000-0000-0000D3830000}"/>
    <cellStyle name="Normal 30 8 3 2 8" xfId="18827" xr:uid="{00000000-0005-0000-0000-0000D4830000}"/>
    <cellStyle name="Normal 30 8 3 2 8 2" xfId="36213" xr:uid="{00000000-0005-0000-0000-0000D5830000}"/>
    <cellStyle name="Normal 30 8 3 2 9" xfId="18828" xr:uid="{00000000-0005-0000-0000-0000D6830000}"/>
    <cellStyle name="Normal 30 8 3 2 9 2" xfId="36214" xr:uid="{00000000-0005-0000-0000-0000D7830000}"/>
    <cellStyle name="Normal 30 8 3 3" xfId="18829" xr:uid="{00000000-0005-0000-0000-0000D8830000}"/>
    <cellStyle name="Normal 30 8 3 3 2" xfId="36215" xr:uid="{00000000-0005-0000-0000-0000D9830000}"/>
    <cellStyle name="Normal 30 8 3 4" xfId="18830" xr:uid="{00000000-0005-0000-0000-0000DA830000}"/>
    <cellStyle name="Normal 30 8 3 4 2" xfId="36216" xr:uid="{00000000-0005-0000-0000-0000DB830000}"/>
    <cellStyle name="Normal 30 8 3 5" xfId="18831" xr:uid="{00000000-0005-0000-0000-0000DC830000}"/>
    <cellStyle name="Normal 30 8 3 5 2" xfId="36217" xr:uid="{00000000-0005-0000-0000-0000DD830000}"/>
    <cellStyle name="Normal 30 8 3 6" xfId="18832" xr:uid="{00000000-0005-0000-0000-0000DE830000}"/>
    <cellStyle name="Normal 30 8 3 6 2" xfId="36218" xr:uid="{00000000-0005-0000-0000-0000DF830000}"/>
    <cellStyle name="Normal 30 8 3 7" xfId="18833" xr:uid="{00000000-0005-0000-0000-0000E0830000}"/>
    <cellStyle name="Normal 30 8 3 7 2" xfId="36219" xr:uid="{00000000-0005-0000-0000-0000E1830000}"/>
    <cellStyle name="Normal 30 8 3 8" xfId="18834" xr:uid="{00000000-0005-0000-0000-0000E2830000}"/>
    <cellStyle name="Normal 30 8 3 8 2" xfId="36220" xr:uid="{00000000-0005-0000-0000-0000E3830000}"/>
    <cellStyle name="Normal 30 8 3 9" xfId="18835" xr:uid="{00000000-0005-0000-0000-0000E4830000}"/>
    <cellStyle name="Normal 30 8 3 9 2" xfId="36221" xr:uid="{00000000-0005-0000-0000-0000E5830000}"/>
    <cellStyle name="Normal 30 8 4" xfId="18836" xr:uid="{00000000-0005-0000-0000-0000E6830000}"/>
    <cellStyle name="Normal 30 8 4 10" xfId="18837" xr:uid="{00000000-0005-0000-0000-0000E7830000}"/>
    <cellStyle name="Normal 30 8 4 10 2" xfId="36223" xr:uid="{00000000-0005-0000-0000-0000E8830000}"/>
    <cellStyle name="Normal 30 8 4 11" xfId="18838" xr:uid="{00000000-0005-0000-0000-0000E9830000}"/>
    <cellStyle name="Normal 30 8 4 11 2" xfId="36224" xr:uid="{00000000-0005-0000-0000-0000EA830000}"/>
    <cellStyle name="Normal 30 8 4 12" xfId="18839" xr:uid="{00000000-0005-0000-0000-0000EB830000}"/>
    <cellStyle name="Normal 30 8 4 12 2" xfId="36225" xr:uid="{00000000-0005-0000-0000-0000EC830000}"/>
    <cellStyle name="Normal 30 8 4 13" xfId="18840" xr:uid="{00000000-0005-0000-0000-0000ED830000}"/>
    <cellStyle name="Normal 30 8 4 13 2" xfId="36226" xr:uid="{00000000-0005-0000-0000-0000EE830000}"/>
    <cellStyle name="Normal 30 8 4 14" xfId="18841" xr:uid="{00000000-0005-0000-0000-0000EF830000}"/>
    <cellStyle name="Normal 30 8 4 14 2" xfId="36227" xr:uid="{00000000-0005-0000-0000-0000F0830000}"/>
    <cellStyle name="Normal 30 8 4 15" xfId="18842" xr:uid="{00000000-0005-0000-0000-0000F1830000}"/>
    <cellStyle name="Normal 30 8 4 15 2" xfId="36228" xr:uid="{00000000-0005-0000-0000-0000F2830000}"/>
    <cellStyle name="Normal 30 8 4 16" xfId="36222" xr:uid="{00000000-0005-0000-0000-0000F3830000}"/>
    <cellStyle name="Normal 30 8 4 2" xfId="18843" xr:uid="{00000000-0005-0000-0000-0000F4830000}"/>
    <cellStyle name="Normal 30 8 4 2 10" xfId="18844" xr:uid="{00000000-0005-0000-0000-0000F5830000}"/>
    <cellStyle name="Normal 30 8 4 2 10 2" xfId="36230" xr:uid="{00000000-0005-0000-0000-0000F6830000}"/>
    <cellStyle name="Normal 30 8 4 2 11" xfId="18845" xr:uid="{00000000-0005-0000-0000-0000F7830000}"/>
    <cellStyle name="Normal 30 8 4 2 11 2" xfId="36231" xr:uid="{00000000-0005-0000-0000-0000F8830000}"/>
    <cellStyle name="Normal 30 8 4 2 12" xfId="18846" xr:uid="{00000000-0005-0000-0000-0000F9830000}"/>
    <cellStyle name="Normal 30 8 4 2 12 2" xfId="36232" xr:uid="{00000000-0005-0000-0000-0000FA830000}"/>
    <cellStyle name="Normal 30 8 4 2 13" xfId="18847" xr:uid="{00000000-0005-0000-0000-0000FB830000}"/>
    <cellStyle name="Normal 30 8 4 2 13 2" xfId="36233" xr:uid="{00000000-0005-0000-0000-0000FC830000}"/>
    <cellStyle name="Normal 30 8 4 2 14" xfId="18848" xr:uid="{00000000-0005-0000-0000-0000FD830000}"/>
    <cellStyle name="Normal 30 8 4 2 14 2" xfId="36234" xr:uid="{00000000-0005-0000-0000-0000FE830000}"/>
    <cellStyle name="Normal 30 8 4 2 15" xfId="36229" xr:uid="{00000000-0005-0000-0000-0000FF830000}"/>
    <cellStyle name="Normal 30 8 4 2 2" xfId="18849" xr:uid="{00000000-0005-0000-0000-000000840000}"/>
    <cellStyle name="Normal 30 8 4 2 2 2" xfId="36235" xr:uid="{00000000-0005-0000-0000-000001840000}"/>
    <cellStyle name="Normal 30 8 4 2 3" xfId="18850" xr:uid="{00000000-0005-0000-0000-000002840000}"/>
    <cellStyle name="Normal 30 8 4 2 3 2" xfId="36236" xr:uid="{00000000-0005-0000-0000-000003840000}"/>
    <cellStyle name="Normal 30 8 4 2 4" xfId="18851" xr:uid="{00000000-0005-0000-0000-000004840000}"/>
    <cellStyle name="Normal 30 8 4 2 4 2" xfId="36237" xr:uid="{00000000-0005-0000-0000-000005840000}"/>
    <cellStyle name="Normal 30 8 4 2 5" xfId="18852" xr:uid="{00000000-0005-0000-0000-000006840000}"/>
    <cellStyle name="Normal 30 8 4 2 5 2" xfId="36238" xr:uid="{00000000-0005-0000-0000-000007840000}"/>
    <cellStyle name="Normal 30 8 4 2 6" xfId="18853" xr:uid="{00000000-0005-0000-0000-000008840000}"/>
    <cellStyle name="Normal 30 8 4 2 6 2" xfId="36239" xr:uid="{00000000-0005-0000-0000-000009840000}"/>
    <cellStyle name="Normal 30 8 4 2 7" xfId="18854" xr:uid="{00000000-0005-0000-0000-00000A840000}"/>
    <cellStyle name="Normal 30 8 4 2 7 2" xfId="36240" xr:uid="{00000000-0005-0000-0000-00000B840000}"/>
    <cellStyle name="Normal 30 8 4 2 8" xfId="18855" xr:uid="{00000000-0005-0000-0000-00000C840000}"/>
    <cellStyle name="Normal 30 8 4 2 8 2" xfId="36241" xr:uid="{00000000-0005-0000-0000-00000D840000}"/>
    <cellStyle name="Normal 30 8 4 2 9" xfId="18856" xr:uid="{00000000-0005-0000-0000-00000E840000}"/>
    <cellStyle name="Normal 30 8 4 2 9 2" xfId="36242" xr:uid="{00000000-0005-0000-0000-00000F840000}"/>
    <cellStyle name="Normal 30 8 4 3" xfId="18857" xr:uid="{00000000-0005-0000-0000-000010840000}"/>
    <cellStyle name="Normal 30 8 4 3 2" xfId="36243" xr:uid="{00000000-0005-0000-0000-000011840000}"/>
    <cellStyle name="Normal 30 8 4 4" xfId="18858" xr:uid="{00000000-0005-0000-0000-000012840000}"/>
    <cellStyle name="Normal 30 8 4 4 2" xfId="36244" xr:uid="{00000000-0005-0000-0000-000013840000}"/>
    <cellStyle name="Normal 30 8 4 5" xfId="18859" xr:uid="{00000000-0005-0000-0000-000014840000}"/>
    <cellStyle name="Normal 30 8 4 5 2" xfId="36245" xr:uid="{00000000-0005-0000-0000-000015840000}"/>
    <cellStyle name="Normal 30 8 4 6" xfId="18860" xr:uid="{00000000-0005-0000-0000-000016840000}"/>
    <cellStyle name="Normal 30 8 4 6 2" xfId="36246" xr:uid="{00000000-0005-0000-0000-000017840000}"/>
    <cellStyle name="Normal 30 8 4 7" xfId="18861" xr:uid="{00000000-0005-0000-0000-000018840000}"/>
    <cellStyle name="Normal 30 8 4 7 2" xfId="36247" xr:uid="{00000000-0005-0000-0000-000019840000}"/>
    <cellStyle name="Normal 30 8 4 8" xfId="18862" xr:uid="{00000000-0005-0000-0000-00001A840000}"/>
    <cellStyle name="Normal 30 8 4 8 2" xfId="36248" xr:uid="{00000000-0005-0000-0000-00001B840000}"/>
    <cellStyle name="Normal 30 8 4 9" xfId="18863" xr:uid="{00000000-0005-0000-0000-00001C840000}"/>
    <cellStyle name="Normal 30 8 4 9 2" xfId="36249" xr:uid="{00000000-0005-0000-0000-00001D840000}"/>
    <cellStyle name="Normal 30 8 5" xfId="18864" xr:uid="{00000000-0005-0000-0000-00001E840000}"/>
    <cellStyle name="Normal 30 8 5 10" xfId="18865" xr:uid="{00000000-0005-0000-0000-00001F840000}"/>
    <cellStyle name="Normal 30 8 5 10 2" xfId="36251" xr:uid="{00000000-0005-0000-0000-000020840000}"/>
    <cellStyle name="Normal 30 8 5 11" xfId="18866" xr:uid="{00000000-0005-0000-0000-000021840000}"/>
    <cellStyle name="Normal 30 8 5 11 2" xfId="36252" xr:uid="{00000000-0005-0000-0000-000022840000}"/>
    <cellStyle name="Normal 30 8 5 12" xfId="18867" xr:uid="{00000000-0005-0000-0000-000023840000}"/>
    <cellStyle name="Normal 30 8 5 12 2" xfId="36253" xr:uid="{00000000-0005-0000-0000-000024840000}"/>
    <cellStyle name="Normal 30 8 5 13" xfId="18868" xr:uid="{00000000-0005-0000-0000-000025840000}"/>
    <cellStyle name="Normal 30 8 5 13 2" xfId="36254" xr:uid="{00000000-0005-0000-0000-000026840000}"/>
    <cellStyle name="Normal 30 8 5 14" xfId="18869" xr:uid="{00000000-0005-0000-0000-000027840000}"/>
    <cellStyle name="Normal 30 8 5 14 2" xfId="36255" xr:uid="{00000000-0005-0000-0000-000028840000}"/>
    <cellStyle name="Normal 30 8 5 15" xfId="36250" xr:uid="{00000000-0005-0000-0000-000029840000}"/>
    <cellStyle name="Normal 30 8 5 2" xfId="18870" xr:uid="{00000000-0005-0000-0000-00002A840000}"/>
    <cellStyle name="Normal 30 8 5 2 2" xfId="36256" xr:uid="{00000000-0005-0000-0000-00002B840000}"/>
    <cellStyle name="Normal 30 8 5 3" xfId="18871" xr:uid="{00000000-0005-0000-0000-00002C840000}"/>
    <cellStyle name="Normal 30 8 5 3 2" xfId="36257" xr:uid="{00000000-0005-0000-0000-00002D840000}"/>
    <cellStyle name="Normal 30 8 5 4" xfId="18872" xr:uid="{00000000-0005-0000-0000-00002E840000}"/>
    <cellStyle name="Normal 30 8 5 4 2" xfId="36258" xr:uid="{00000000-0005-0000-0000-00002F840000}"/>
    <cellStyle name="Normal 30 8 5 5" xfId="18873" xr:uid="{00000000-0005-0000-0000-000030840000}"/>
    <cellStyle name="Normal 30 8 5 5 2" xfId="36259" xr:uid="{00000000-0005-0000-0000-000031840000}"/>
    <cellStyle name="Normal 30 8 5 6" xfId="18874" xr:uid="{00000000-0005-0000-0000-000032840000}"/>
    <cellStyle name="Normal 30 8 5 6 2" xfId="36260" xr:uid="{00000000-0005-0000-0000-000033840000}"/>
    <cellStyle name="Normal 30 8 5 7" xfId="18875" xr:uid="{00000000-0005-0000-0000-000034840000}"/>
    <cellStyle name="Normal 30 8 5 7 2" xfId="36261" xr:uid="{00000000-0005-0000-0000-000035840000}"/>
    <cellStyle name="Normal 30 8 5 8" xfId="18876" xr:uid="{00000000-0005-0000-0000-000036840000}"/>
    <cellStyle name="Normal 30 8 5 8 2" xfId="36262" xr:uid="{00000000-0005-0000-0000-000037840000}"/>
    <cellStyle name="Normal 30 8 5 9" xfId="18877" xr:uid="{00000000-0005-0000-0000-000038840000}"/>
    <cellStyle name="Normal 30 8 5 9 2" xfId="36263" xr:uid="{00000000-0005-0000-0000-000039840000}"/>
    <cellStyle name="Normal 30 8 6" xfId="18878" xr:uid="{00000000-0005-0000-0000-00003A840000}"/>
    <cellStyle name="Normal 30 8 6 10" xfId="18879" xr:uid="{00000000-0005-0000-0000-00003B840000}"/>
    <cellStyle name="Normal 30 8 6 10 2" xfId="36265" xr:uid="{00000000-0005-0000-0000-00003C840000}"/>
    <cellStyle name="Normal 30 8 6 11" xfId="18880" xr:uid="{00000000-0005-0000-0000-00003D840000}"/>
    <cellStyle name="Normal 30 8 6 11 2" xfId="36266" xr:uid="{00000000-0005-0000-0000-00003E840000}"/>
    <cellStyle name="Normal 30 8 6 12" xfId="18881" xr:uid="{00000000-0005-0000-0000-00003F840000}"/>
    <cellStyle name="Normal 30 8 6 12 2" xfId="36267" xr:uid="{00000000-0005-0000-0000-000040840000}"/>
    <cellStyle name="Normal 30 8 6 13" xfId="18882" xr:uid="{00000000-0005-0000-0000-000041840000}"/>
    <cellStyle name="Normal 30 8 6 13 2" xfId="36268" xr:uid="{00000000-0005-0000-0000-000042840000}"/>
    <cellStyle name="Normal 30 8 6 14" xfId="18883" xr:uid="{00000000-0005-0000-0000-000043840000}"/>
    <cellStyle name="Normal 30 8 6 14 2" xfId="36269" xr:uid="{00000000-0005-0000-0000-000044840000}"/>
    <cellStyle name="Normal 30 8 6 15" xfId="36264" xr:uid="{00000000-0005-0000-0000-000045840000}"/>
    <cellStyle name="Normal 30 8 6 2" xfId="18884" xr:uid="{00000000-0005-0000-0000-000046840000}"/>
    <cellStyle name="Normal 30 8 6 2 2" xfId="36270" xr:uid="{00000000-0005-0000-0000-000047840000}"/>
    <cellStyle name="Normal 30 8 6 3" xfId="18885" xr:uid="{00000000-0005-0000-0000-000048840000}"/>
    <cellStyle name="Normal 30 8 6 3 2" xfId="36271" xr:uid="{00000000-0005-0000-0000-000049840000}"/>
    <cellStyle name="Normal 30 8 6 4" xfId="18886" xr:uid="{00000000-0005-0000-0000-00004A840000}"/>
    <cellStyle name="Normal 30 8 6 4 2" xfId="36272" xr:uid="{00000000-0005-0000-0000-00004B840000}"/>
    <cellStyle name="Normal 30 8 6 5" xfId="18887" xr:uid="{00000000-0005-0000-0000-00004C840000}"/>
    <cellStyle name="Normal 30 8 6 5 2" xfId="36273" xr:uid="{00000000-0005-0000-0000-00004D840000}"/>
    <cellStyle name="Normal 30 8 6 6" xfId="18888" xr:uid="{00000000-0005-0000-0000-00004E840000}"/>
    <cellStyle name="Normal 30 8 6 6 2" xfId="36274" xr:uid="{00000000-0005-0000-0000-00004F840000}"/>
    <cellStyle name="Normal 30 8 6 7" xfId="18889" xr:uid="{00000000-0005-0000-0000-000050840000}"/>
    <cellStyle name="Normal 30 8 6 7 2" xfId="36275" xr:uid="{00000000-0005-0000-0000-000051840000}"/>
    <cellStyle name="Normal 30 8 6 8" xfId="18890" xr:uid="{00000000-0005-0000-0000-000052840000}"/>
    <cellStyle name="Normal 30 8 6 8 2" xfId="36276" xr:uid="{00000000-0005-0000-0000-000053840000}"/>
    <cellStyle name="Normal 30 8 6 9" xfId="18891" xr:uid="{00000000-0005-0000-0000-000054840000}"/>
    <cellStyle name="Normal 30 8 6 9 2" xfId="36277" xr:uid="{00000000-0005-0000-0000-000055840000}"/>
    <cellStyle name="Normal 30 8 7" xfId="18892" xr:uid="{00000000-0005-0000-0000-000056840000}"/>
    <cellStyle name="Normal 30 8 7 10" xfId="18893" xr:uid="{00000000-0005-0000-0000-000057840000}"/>
    <cellStyle name="Normal 30 8 7 10 2" xfId="36279" xr:uid="{00000000-0005-0000-0000-000058840000}"/>
    <cellStyle name="Normal 30 8 7 11" xfId="18894" xr:uid="{00000000-0005-0000-0000-000059840000}"/>
    <cellStyle name="Normal 30 8 7 11 2" xfId="36280" xr:uid="{00000000-0005-0000-0000-00005A840000}"/>
    <cellStyle name="Normal 30 8 7 12" xfId="18895" xr:uid="{00000000-0005-0000-0000-00005B840000}"/>
    <cellStyle name="Normal 30 8 7 12 2" xfId="36281" xr:uid="{00000000-0005-0000-0000-00005C840000}"/>
    <cellStyle name="Normal 30 8 7 13" xfId="18896" xr:uid="{00000000-0005-0000-0000-00005D840000}"/>
    <cellStyle name="Normal 30 8 7 13 2" xfId="36282" xr:uid="{00000000-0005-0000-0000-00005E840000}"/>
    <cellStyle name="Normal 30 8 7 14" xfId="18897" xr:uid="{00000000-0005-0000-0000-00005F840000}"/>
    <cellStyle name="Normal 30 8 7 14 2" xfId="36283" xr:uid="{00000000-0005-0000-0000-000060840000}"/>
    <cellStyle name="Normal 30 8 7 15" xfId="36278" xr:uid="{00000000-0005-0000-0000-000061840000}"/>
    <cellStyle name="Normal 30 8 7 2" xfId="18898" xr:uid="{00000000-0005-0000-0000-000062840000}"/>
    <cellStyle name="Normal 30 8 7 2 2" xfId="36284" xr:uid="{00000000-0005-0000-0000-000063840000}"/>
    <cellStyle name="Normal 30 8 7 3" xfId="18899" xr:uid="{00000000-0005-0000-0000-000064840000}"/>
    <cellStyle name="Normal 30 8 7 3 2" xfId="36285" xr:uid="{00000000-0005-0000-0000-000065840000}"/>
    <cellStyle name="Normal 30 8 7 4" xfId="18900" xr:uid="{00000000-0005-0000-0000-000066840000}"/>
    <cellStyle name="Normal 30 8 7 4 2" xfId="36286" xr:uid="{00000000-0005-0000-0000-000067840000}"/>
    <cellStyle name="Normal 30 8 7 5" xfId="18901" xr:uid="{00000000-0005-0000-0000-000068840000}"/>
    <cellStyle name="Normal 30 8 7 5 2" xfId="36287" xr:uid="{00000000-0005-0000-0000-000069840000}"/>
    <cellStyle name="Normal 30 8 7 6" xfId="18902" xr:uid="{00000000-0005-0000-0000-00006A840000}"/>
    <cellStyle name="Normal 30 8 7 6 2" xfId="36288" xr:uid="{00000000-0005-0000-0000-00006B840000}"/>
    <cellStyle name="Normal 30 8 7 7" xfId="18903" xr:uid="{00000000-0005-0000-0000-00006C840000}"/>
    <cellStyle name="Normal 30 8 7 7 2" xfId="36289" xr:uid="{00000000-0005-0000-0000-00006D840000}"/>
    <cellStyle name="Normal 30 8 7 8" xfId="18904" xr:uid="{00000000-0005-0000-0000-00006E840000}"/>
    <cellStyle name="Normal 30 8 7 8 2" xfId="36290" xr:uid="{00000000-0005-0000-0000-00006F840000}"/>
    <cellStyle name="Normal 30 8 7 9" xfId="18905" xr:uid="{00000000-0005-0000-0000-000070840000}"/>
    <cellStyle name="Normal 30 8 7 9 2" xfId="36291" xr:uid="{00000000-0005-0000-0000-000071840000}"/>
    <cellStyle name="Normal 30 8 8" xfId="18906" xr:uid="{00000000-0005-0000-0000-000072840000}"/>
    <cellStyle name="Normal 30 8 8 10" xfId="18907" xr:uid="{00000000-0005-0000-0000-000073840000}"/>
    <cellStyle name="Normal 30 8 8 10 2" xfId="36293" xr:uid="{00000000-0005-0000-0000-000074840000}"/>
    <cellStyle name="Normal 30 8 8 11" xfId="18908" xr:uid="{00000000-0005-0000-0000-000075840000}"/>
    <cellStyle name="Normal 30 8 8 11 2" xfId="36294" xr:uid="{00000000-0005-0000-0000-000076840000}"/>
    <cellStyle name="Normal 30 8 8 12" xfId="18909" xr:uid="{00000000-0005-0000-0000-000077840000}"/>
    <cellStyle name="Normal 30 8 8 12 2" xfId="36295" xr:uid="{00000000-0005-0000-0000-000078840000}"/>
    <cellStyle name="Normal 30 8 8 13" xfId="18910" xr:uid="{00000000-0005-0000-0000-000079840000}"/>
    <cellStyle name="Normal 30 8 8 13 2" xfId="36296" xr:uid="{00000000-0005-0000-0000-00007A840000}"/>
    <cellStyle name="Normal 30 8 8 14" xfId="18911" xr:uid="{00000000-0005-0000-0000-00007B840000}"/>
    <cellStyle name="Normal 30 8 8 14 2" xfId="36297" xr:uid="{00000000-0005-0000-0000-00007C840000}"/>
    <cellStyle name="Normal 30 8 8 15" xfId="36292" xr:uid="{00000000-0005-0000-0000-00007D840000}"/>
    <cellStyle name="Normal 30 8 8 2" xfId="18912" xr:uid="{00000000-0005-0000-0000-00007E840000}"/>
    <cellStyle name="Normal 30 8 8 2 2" xfId="36298" xr:uid="{00000000-0005-0000-0000-00007F840000}"/>
    <cellStyle name="Normal 30 8 8 3" xfId="18913" xr:uid="{00000000-0005-0000-0000-000080840000}"/>
    <cellStyle name="Normal 30 8 8 3 2" xfId="36299" xr:uid="{00000000-0005-0000-0000-000081840000}"/>
    <cellStyle name="Normal 30 8 8 4" xfId="18914" xr:uid="{00000000-0005-0000-0000-000082840000}"/>
    <cellStyle name="Normal 30 8 8 4 2" xfId="36300" xr:uid="{00000000-0005-0000-0000-000083840000}"/>
    <cellStyle name="Normal 30 8 8 5" xfId="18915" xr:uid="{00000000-0005-0000-0000-000084840000}"/>
    <cellStyle name="Normal 30 8 8 5 2" xfId="36301" xr:uid="{00000000-0005-0000-0000-000085840000}"/>
    <cellStyle name="Normal 30 8 8 6" xfId="18916" xr:uid="{00000000-0005-0000-0000-000086840000}"/>
    <cellStyle name="Normal 30 8 8 6 2" xfId="36302" xr:uid="{00000000-0005-0000-0000-000087840000}"/>
    <cellStyle name="Normal 30 8 8 7" xfId="18917" xr:uid="{00000000-0005-0000-0000-000088840000}"/>
    <cellStyle name="Normal 30 8 8 7 2" xfId="36303" xr:uid="{00000000-0005-0000-0000-000089840000}"/>
    <cellStyle name="Normal 30 8 8 8" xfId="18918" xr:uid="{00000000-0005-0000-0000-00008A840000}"/>
    <cellStyle name="Normal 30 8 8 8 2" xfId="36304" xr:uid="{00000000-0005-0000-0000-00008B840000}"/>
    <cellStyle name="Normal 30 8 8 9" xfId="18919" xr:uid="{00000000-0005-0000-0000-00008C840000}"/>
    <cellStyle name="Normal 30 8 8 9 2" xfId="36305" xr:uid="{00000000-0005-0000-0000-00008D840000}"/>
    <cellStyle name="Normal 30 8 9" xfId="18920" xr:uid="{00000000-0005-0000-0000-00008E840000}"/>
    <cellStyle name="Normal 30 8 9 10" xfId="18921" xr:uid="{00000000-0005-0000-0000-00008F840000}"/>
    <cellStyle name="Normal 30 8 9 10 2" xfId="36307" xr:uid="{00000000-0005-0000-0000-000090840000}"/>
    <cellStyle name="Normal 30 8 9 11" xfId="18922" xr:uid="{00000000-0005-0000-0000-000091840000}"/>
    <cellStyle name="Normal 30 8 9 11 2" xfId="36308" xr:uid="{00000000-0005-0000-0000-000092840000}"/>
    <cellStyle name="Normal 30 8 9 12" xfId="18923" xr:uid="{00000000-0005-0000-0000-000093840000}"/>
    <cellStyle name="Normal 30 8 9 12 2" xfId="36309" xr:uid="{00000000-0005-0000-0000-000094840000}"/>
    <cellStyle name="Normal 30 8 9 13" xfId="18924" xr:uid="{00000000-0005-0000-0000-000095840000}"/>
    <cellStyle name="Normal 30 8 9 13 2" xfId="36310" xr:uid="{00000000-0005-0000-0000-000096840000}"/>
    <cellStyle name="Normal 30 8 9 14" xfId="18925" xr:uid="{00000000-0005-0000-0000-000097840000}"/>
    <cellStyle name="Normal 30 8 9 14 2" xfId="36311" xr:uid="{00000000-0005-0000-0000-000098840000}"/>
    <cellStyle name="Normal 30 8 9 15" xfId="36306" xr:uid="{00000000-0005-0000-0000-000099840000}"/>
    <cellStyle name="Normal 30 8 9 2" xfId="18926" xr:uid="{00000000-0005-0000-0000-00009A840000}"/>
    <cellStyle name="Normal 30 8 9 2 2" xfId="36312" xr:uid="{00000000-0005-0000-0000-00009B840000}"/>
    <cellStyle name="Normal 30 8 9 3" xfId="18927" xr:uid="{00000000-0005-0000-0000-00009C840000}"/>
    <cellStyle name="Normal 30 8 9 3 2" xfId="36313" xr:uid="{00000000-0005-0000-0000-00009D840000}"/>
    <cellStyle name="Normal 30 8 9 4" xfId="18928" xr:uid="{00000000-0005-0000-0000-00009E840000}"/>
    <cellStyle name="Normal 30 8 9 4 2" xfId="36314" xr:uid="{00000000-0005-0000-0000-00009F840000}"/>
    <cellStyle name="Normal 30 8 9 5" xfId="18929" xr:uid="{00000000-0005-0000-0000-0000A0840000}"/>
    <cellStyle name="Normal 30 8 9 5 2" xfId="36315" xr:uid="{00000000-0005-0000-0000-0000A1840000}"/>
    <cellStyle name="Normal 30 8 9 6" xfId="18930" xr:uid="{00000000-0005-0000-0000-0000A2840000}"/>
    <cellStyle name="Normal 30 8 9 6 2" xfId="36316" xr:uid="{00000000-0005-0000-0000-0000A3840000}"/>
    <cellStyle name="Normal 30 8 9 7" xfId="18931" xr:uid="{00000000-0005-0000-0000-0000A4840000}"/>
    <cellStyle name="Normal 30 8 9 7 2" xfId="36317" xr:uid="{00000000-0005-0000-0000-0000A5840000}"/>
    <cellStyle name="Normal 30 8 9 8" xfId="18932" xr:uid="{00000000-0005-0000-0000-0000A6840000}"/>
    <cellStyle name="Normal 30 8 9 8 2" xfId="36318" xr:uid="{00000000-0005-0000-0000-0000A7840000}"/>
    <cellStyle name="Normal 30 8 9 9" xfId="18933" xr:uid="{00000000-0005-0000-0000-0000A8840000}"/>
    <cellStyle name="Normal 30 8 9 9 2" xfId="36319" xr:uid="{00000000-0005-0000-0000-0000A9840000}"/>
    <cellStyle name="Normal 30 9" xfId="18173" xr:uid="{00000000-0005-0000-0000-0000AA840000}"/>
    <cellStyle name="Normal 31" xfId="439" xr:uid="{00000000-0005-0000-0000-0000AB840000}"/>
    <cellStyle name="Normal 31 2" xfId="18935" xr:uid="{00000000-0005-0000-0000-0000AC840000}"/>
    <cellStyle name="Normal 31 3" xfId="18936" xr:uid="{00000000-0005-0000-0000-0000AD840000}"/>
    <cellStyle name="Normal 31 4" xfId="18937" xr:uid="{00000000-0005-0000-0000-0000AE840000}"/>
    <cellStyle name="Normal 31 5" xfId="18938" xr:uid="{00000000-0005-0000-0000-0000AF840000}"/>
    <cellStyle name="Normal 31 6" xfId="18939" xr:uid="{00000000-0005-0000-0000-0000B0840000}"/>
    <cellStyle name="Normal 31 7" xfId="18934" xr:uid="{00000000-0005-0000-0000-0000B1840000}"/>
    <cellStyle name="Normal 32" xfId="441" xr:uid="{00000000-0005-0000-0000-0000B2840000}"/>
    <cellStyle name="Normal 32 2" xfId="18941" xr:uid="{00000000-0005-0000-0000-0000B3840000}"/>
    <cellStyle name="Normal 32 3" xfId="18942" xr:uid="{00000000-0005-0000-0000-0000B4840000}"/>
    <cellStyle name="Normal 32 4" xfId="18940" xr:uid="{00000000-0005-0000-0000-0000B5840000}"/>
    <cellStyle name="Normal 33" xfId="281" xr:uid="{00000000-0005-0000-0000-0000B6840000}"/>
    <cellStyle name="Normal 33 2" xfId="18943" xr:uid="{00000000-0005-0000-0000-0000B7840000}"/>
    <cellStyle name="Normal 33 3" xfId="18944" xr:uid="{00000000-0005-0000-0000-0000B8840000}"/>
    <cellStyle name="Normal 33 4" xfId="18945" xr:uid="{00000000-0005-0000-0000-0000B9840000}"/>
    <cellStyle name="Normal 34" xfId="609" xr:uid="{00000000-0005-0000-0000-0000BA840000}"/>
    <cellStyle name="Normal 34 2" xfId="18947" xr:uid="{00000000-0005-0000-0000-0000BB840000}"/>
    <cellStyle name="Normal 34 3" xfId="18948" xr:uid="{00000000-0005-0000-0000-0000BC840000}"/>
    <cellStyle name="Normal 34 4" xfId="18949" xr:uid="{00000000-0005-0000-0000-0000BD840000}"/>
    <cellStyle name="Normal 34 5" xfId="18950" xr:uid="{00000000-0005-0000-0000-0000BE840000}"/>
    <cellStyle name="Normal 34 6" xfId="18951" xr:uid="{00000000-0005-0000-0000-0000BF840000}"/>
    <cellStyle name="Normal 34 7" xfId="18946" xr:uid="{00000000-0005-0000-0000-0000C0840000}"/>
    <cellStyle name="Normal 35" xfId="305" xr:uid="{00000000-0005-0000-0000-0000C1840000}"/>
    <cellStyle name="Normal 35 2" xfId="388" xr:uid="{00000000-0005-0000-0000-0000C2840000}"/>
    <cellStyle name="Normal 35 2 2" xfId="580" xr:uid="{00000000-0005-0000-0000-0000C3840000}"/>
    <cellStyle name="Normal 35 2 3" xfId="18953" xr:uid="{00000000-0005-0000-0000-0000C4840000}"/>
    <cellStyle name="Normal 35 3" xfId="521" xr:uid="{00000000-0005-0000-0000-0000C5840000}"/>
    <cellStyle name="Normal 35 3 2" xfId="18954" xr:uid="{00000000-0005-0000-0000-0000C6840000}"/>
    <cellStyle name="Normal 35 4" xfId="18955" xr:uid="{00000000-0005-0000-0000-0000C7840000}"/>
    <cellStyle name="Normal 35 5" xfId="21149" xr:uid="{00000000-0005-0000-0000-0000C8840000}"/>
    <cellStyle name="Normal 35 5 2" xfId="37602" xr:uid="{00000000-0005-0000-0000-0000C9840000}"/>
    <cellStyle name="Normal 35 6" xfId="18952" xr:uid="{00000000-0005-0000-0000-0000CA840000}"/>
    <cellStyle name="Normal 36" xfId="64" xr:uid="{00000000-0005-0000-0000-0000CB840000}"/>
    <cellStyle name="Normal 36 2" xfId="224" xr:uid="{00000000-0005-0000-0000-0000CC840000}"/>
    <cellStyle name="Normal 36 3" xfId="18956" xr:uid="{00000000-0005-0000-0000-0000CD840000}"/>
    <cellStyle name="Normal 36 4" xfId="37605" xr:uid="{00000000-0005-0000-0000-0000CE840000}"/>
    <cellStyle name="Normal 37" xfId="65" xr:uid="{00000000-0005-0000-0000-0000CF840000}"/>
    <cellStyle name="Normal 37 2" xfId="225" xr:uid="{00000000-0005-0000-0000-0000D0840000}"/>
    <cellStyle name="Normal 37 2 10" xfId="18958" xr:uid="{00000000-0005-0000-0000-0000D1840000}"/>
    <cellStyle name="Normal 37 2 10 10" xfId="18959" xr:uid="{00000000-0005-0000-0000-0000D2840000}"/>
    <cellStyle name="Normal 37 2 10 10 2" xfId="36322" xr:uid="{00000000-0005-0000-0000-0000D3840000}"/>
    <cellStyle name="Normal 37 2 10 11" xfId="18960" xr:uid="{00000000-0005-0000-0000-0000D4840000}"/>
    <cellStyle name="Normal 37 2 10 11 2" xfId="36323" xr:uid="{00000000-0005-0000-0000-0000D5840000}"/>
    <cellStyle name="Normal 37 2 10 12" xfId="18961" xr:uid="{00000000-0005-0000-0000-0000D6840000}"/>
    <cellStyle name="Normal 37 2 10 12 2" xfId="36324" xr:uid="{00000000-0005-0000-0000-0000D7840000}"/>
    <cellStyle name="Normal 37 2 10 13" xfId="18962" xr:uid="{00000000-0005-0000-0000-0000D8840000}"/>
    <cellStyle name="Normal 37 2 10 13 2" xfId="36325" xr:uid="{00000000-0005-0000-0000-0000D9840000}"/>
    <cellStyle name="Normal 37 2 10 14" xfId="18963" xr:uid="{00000000-0005-0000-0000-0000DA840000}"/>
    <cellStyle name="Normal 37 2 10 14 2" xfId="36326" xr:uid="{00000000-0005-0000-0000-0000DB840000}"/>
    <cellStyle name="Normal 37 2 10 15" xfId="36321" xr:uid="{00000000-0005-0000-0000-0000DC840000}"/>
    <cellStyle name="Normal 37 2 10 2" xfId="18964" xr:uid="{00000000-0005-0000-0000-0000DD840000}"/>
    <cellStyle name="Normal 37 2 10 2 2" xfId="36327" xr:uid="{00000000-0005-0000-0000-0000DE840000}"/>
    <cellStyle name="Normal 37 2 10 3" xfId="18965" xr:uid="{00000000-0005-0000-0000-0000DF840000}"/>
    <cellStyle name="Normal 37 2 10 3 2" xfId="36328" xr:uid="{00000000-0005-0000-0000-0000E0840000}"/>
    <cellStyle name="Normal 37 2 10 4" xfId="18966" xr:uid="{00000000-0005-0000-0000-0000E1840000}"/>
    <cellStyle name="Normal 37 2 10 4 2" xfId="36329" xr:uid="{00000000-0005-0000-0000-0000E2840000}"/>
    <cellStyle name="Normal 37 2 10 5" xfId="18967" xr:uid="{00000000-0005-0000-0000-0000E3840000}"/>
    <cellStyle name="Normal 37 2 10 5 2" xfId="36330" xr:uid="{00000000-0005-0000-0000-0000E4840000}"/>
    <cellStyle name="Normal 37 2 10 6" xfId="18968" xr:uid="{00000000-0005-0000-0000-0000E5840000}"/>
    <cellStyle name="Normal 37 2 10 6 2" xfId="36331" xr:uid="{00000000-0005-0000-0000-0000E6840000}"/>
    <cellStyle name="Normal 37 2 10 7" xfId="18969" xr:uid="{00000000-0005-0000-0000-0000E7840000}"/>
    <cellStyle name="Normal 37 2 10 7 2" xfId="36332" xr:uid="{00000000-0005-0000-0000-0000E8840000}"/>
    <cellStyle name="Normal 37 2 10 8" xfId="18970" xr:uid="{00000000-0005-0000-0000-0000E9840000}"/>
    <cellStyle name="Normal 37 2 10 8 2" xfId="36333" xr:uid="{00000000-0005-0000-0000-0000EA840000}"/>
    <cellStyle name="Normal 37 2 10 9" xfId="18971" xr:uid="{00000000-0005-0000-0000-0000EB840000}"/>
    <cellStyle name="Normal 37 2 10 9 2" xfId="36334" xr:uid="{00000000-0005-0000-0000-0000EC840000}"/>
    <cellStyle name="Normal 37 2 11" xfId="18972" xr:uid="{00000000-0005-0000-0000-0000ED840000}"/>
    <cellStyle name="Normal 37 2 11 10" xfId="18973" xr:uid="{00000000-0005-0000-0000-0000EE840000}"/>
    <cellStyle name="Normal 37 2 11 10 2" xfId="36336" xr:uid="{00000000-0005-0000-0000-0000EF840000}"/>
    <cellStyle name="Normal 37 2 11 11" xfId="18974" xr:uid="{00000000-0005-0000-0000-0000F0840000}"/>
    <cellStyle name="Normal 37 2 11 11 2" xfId="36337" xr:uid="{00000000-0005-0000-0000-0000F1840000}"/>
    <cellStyle name="Normal 37 2 11 12" xfId="18975" xr:uid="{00000000-0005-0000-0000-0000F2840000}"/>
    <cellStyle name="Normal 37 2 11 12 2" xfId="36338" xr:uid="{00000000-0005-0000-0000-0000F3840000}"/>
    <cellStyle name="Normal 37 2 11 13" xfId="18976" xr:uid="{00000000-0005-0000-0000-0000F4840000}"/>
    <cellStyle name="Normal 37 2 11 13 2" xfId="36339" xr:uid="{00000000-0005-0000-0000-0000F5840000}"/>
    <cellStyle name="Normal 37 2 11 14" xfId="18977" xr:uid="{00000000-0005-0000-0000-0000F6840000}"/>
    <cellStyle name="Normal 37 2 11 14 2" xfId="36340" xr:uid="{00000000-0005-0000-0000-0000F7840000}"/>
    <cellStyle name="Normal 37 2 11 15" xfId="36335" xr:uid="{00000000-0005-0000-0000-0000F8840000}"/>
    <cellStyle name="Normal 37 2 11 2" xfId="18978" xr:uid="{00000000-0005-0000-0000-0000F9840000}"/>
    <cellStyle name="Normal 37 2 11 2 2" xfId="36341" xr:uid="{00000000-0005-0000-0000-0000FA840000}"/>
    <cellStyle name="Normal 37 2 11 3" xfId="18979" xr:uid="{00000000-0005-0000-0000-0000FB840000}"/>
    <cellStyle name="Normal 37 2 11 3 2" xfId="36342" xr:uid="{00000000-0005-0000-0000-0000FC840000}"/>
    <cellStyle name="Normal 37 2 11 4" xfId="18980" xr:uid="{00000000-0005-0000-0000-0000FD840000}"/>
    <cellStyle name="Normal 37 2 11 4 2" xfId="36343" xr:uid="{00000000-0005-0000-0000-0000FE840000}"/>
    <cellStyle name="Normal 37 2 11 5" xfId="18981" xr:uid="{00000000-0005-0000-0000-0000FF840000}"/>
    <cellStyle name="Normal 37 2 11 5 2" xfId="36344" xr:uid="{00000000-0005-0000-0000-000000850000}"/>
    <cellStyle name="Normal 37 2 11 6" xfId="18982" xr:uid="{00000000-0005-0000-0000-000001850000}"/>
    <cellStyle name="Normal 37 2 11 6 2" xfId="36345" xr:uid="{00000000-0005-0000-0000-000002850000}"/>
    <cellStyle name="Normal 37 2 11 7" xfId="18983" xr:uid="{00000000-0005-0000-0000-000003850000}"/>
    <cellStyle name="Normal 37 2 11 7 2" xfId="36346" xr:uid="{00000000-0005-0000-0000-000004850000}"/>
    <cellStyle name="Normal 37 2 11 8" xfId="18984" xr:uid="{00000000-0005-0000-0000-000005850000}"/>
    <cellStyle name="Normal 37 2 11 8 2" xfId="36347" xr:uid="{00000000-0005-0000-0000-000006850000}"/>
    <cellStyle name="Normal 37 2 11 9" xfId="18985" xr:uid="{00000000-0005-0000-0000-000007850000}"/>
    <cellStyle name="Normal 37 2 11 9 2" xfId="36348" xr:uid="{00000000-0005-0000-0000-000008850000}"/>
    <cellStyle name="Normal 37 2 12" xfId="18986" xr:uid="{00000000-0005-0000-0000-000009850000}"/>
    <cellStyle name="Normal 37 2 12 10" xfId="18987" xr:uid="{00000000-0005-0000-0000-00000A850000}"/>
    <cellStyle name="Normal 37 2 12 10 2" xfId="36350" xr:uid="{00000000-0005-0000-0000-00000B850000}"/>
    <cellStyle name="Normal 37 2 12 11" xfId="18988" xr:uid="{00000000-0005-0000-0000-00000C850000}"/>
    <cellStyle name="Normal 37 2 12 11 2" xfId="36351" xr:uid="{00000000-0005-0000-0000-00000D850000}"/>
    <cellStyle name="Normal 37 2 12 12" xfId="18989" xr:uid="{00000000-0005-0000-0000-00000E850000}"/>
    <cellStyle name="Normal 37 2 12 12 2" xfId="36352" xr:uid="{00000000-0005-0000-0000-00000F850000}"/>
    <cellStyle name="Normal 37 2 12 13" xfId="18990" xr:uid="{00000000-0005-0000-0000-000010850000}"/>
    <cellStyle name="Normal 37 2 12 13 2" xfId="36353" xr:uid="{00000000-0005-0000-0000-000011850000}"/>
    <cellStyle name="Normal 37 2 12 14" xfId="18991" xr:uid="{00000000-0005-0000-0000-000012850000}"/>
    <cellStyle name="Normal 37 2 12 14 2" xfId="36354" xr:uid="{00000000-0005-0000-0000-000013850000}"/>
    <cellStyle name="Normal 37 2 12 15" xfId="36349" xr:uid="{00000000-0005-0000-0000-000014850000}"/>
    <cellStyle name="Normal 37 2 12 2" xfId="18992" xr:uid="{00000000-0005-0000-0000-000015850000}"/>
    <cellStyle name="Normal 37 2 12 2 2" xfId="36355" xr:uid="{00000000-0005-0000-0000-000016850000}"/>
    <cellStyle name="Normal 37 2 12 3" xfId="18993" xr:uid="{00000000-0005-0000-0000-000017850000}"/>
    <cellStyle name="Normal 37 2 12 3 2" xfId="36356" xr:uid="{00000000-0005-0000-0000-000018850000}"/>
    <cellStyle name="Normal 37 2 12 4" xfId="18994" xr:uid="{00000000-0005-0000-0000-000019850000}"/>
    <cellStyle name="Normal 37 2 12 4 2" xfId="36357" xr:uid="{00000000-0005-0000-0000-00001A850000}"/>
    <cellStyle name="Normal 37 2 12 5" xfId="18995" xr:uid="{00000000-0005-0000-0000-00001B850000}"/>
    <cellStyle name="Normal 37 2 12 5 2" xfId="36358" xr:uid="{00000000-0005-0000-0000-00001C850000}"/>
    <cellStyle name="Normal 37 2 12 6" xfId="18996" xr:uid="{00000000-0005-0000-0000-00001D850000}"/>
    <cellStyle name="Normal 37 2 12 6 2" xfId="36359" xr:uid="{00000000-0005-0000-0000-00001E850000}"/>
    <cellStyle name="Normal 37 2 12 7" xfId="18997" xr:uid="{00000000-0005-0000-0000-00001F850000}"/>
    <cellStyle name="Normal 37 2 12 7 2" xfId="36360" xr:uid="{00000000-0005-0000-0000-000020850000}"/>
    <cellStyle name="Normal 37 2 12 8" xfId="18998" xr:uid="{00000000-0005-0000-0000-000021850000}"/>
    <cellStyle name="Normal 37 2 12 8 2" xfId="36361" xr:uid="{00000000-0005-0000-0000-000022850000}"/>
    <cellStyle name="Normal 37 2 12 9" xfId="18999" xr:uid="{00000000-0005-0000-0000-000023850000}"/>
    <cellStyle name="Normal 37 2 12 9 2" xfId="36362" xr:uid="{00000000-0005-0000-0000-000024850000}"/>
    <cellStyle name="Normal 37 2 13" xfId="19000" xr:uid="{00000000-0005-0000-0000-000025850000}"/>
    <cellStyle name="Normal 37 2 13 10" xfId="19001" xr:uid="{00000000-0005-0000-0000-000026850000}"/>
    <cellStyle name="Normal 37 2 13 10 2" xfId="36364" xr:uid="{00000000-0005-0000-0000-000027850000}"/>
    <cellStyle name="Normal 37 2 13 11" xfId="19002" xr:uid="{00000000-0005-0000-0000-000028850000}"/>
    <cellStyle name="Normal 37 2 13 11 2" xfId="36365" xr:uid="{00000000-0005-0000-0000-000029850000}"/>
    <cellStyle name="Normal 37 2 13 12" xfId="19003" xr:uid="{00000000-0005-0000-0000-00002A850000}"/>
    <cellStyle name="Normal 37 2 13 12 2" xfId="36366" xr:uid="{00000000-0005-0000-0000-00002B850000}"/>
    <cellStyle name="Normal 37 2 13 13" xfId="19004" xr:uid="{00000000-0005-0000-0000-00002C850000}"/>
    <cellStyle name="Normal 37 2 13 13 2" xfId="36367" xr:uid="{00000000-0005-0000-0000-00002D850000}"/>
    <cellStyle name="Normal 37 2 13 14" xfId="19005" xr:uid="{00000000-0005-0000-0000-00002E850000}"/>
    <cellStyle name="Normal 37 2 13 14 2" xfId="36368" xr:uid="{00000000-0005-0000-0000-00002F850000}"/>
    <cellStyle name="Normal 37 2 13 15" xfId="36363" xr:uid="{00000000-0005-0000-0000-000030850000}"/>
    <cellStyle name="Normal 37 2 13 2" xfId="19006" xr:uid="{00000000-0005-0000-0000-000031850000}"/>
    <cellStyle name="Normal 37 2 13 2 2" xfId="36369" xr:uid="{00000000-0005-0000-0000-000032850000}"/>
    <cellStyle name="Normal 37 2 13 3" xfId="19007" xr:uid="{00000000-0005-0000-0000-000033850000}"/>
    <cellStyle name="Normal 37 2 13 3 2" xfId="36370" xr:uid="{00000000-0005-0000-0000-000034850000}"/>
    <cellStyle name="Normal 37 2 13 4" xfId="19008" xr:uid="{00000000-0005-0000-0000-000035850000}"/>
    <cellStyle name="Normal 37 2 13 4 2" xfId="36371" xr:uid="{00000000-0005-0000-0000-000036850000}"/>
    <cellStyle name="Normal 37 2 13 5" xfId="19009" xr:uid="{00000000-0005-0000-0000-000037850000}"/>
    <cellStyle name="Normal 37 2 13 5 2" xfId="36372" xr:uid="{00000000-0005-0000-0000-000038850000}"/>
    <cellStyle name="Normal 37 2 13 6" xfId="19010" xr:uid="{00000000-0005-0000-0000-000039850000}"/>
    <cellStyle name="Normal 37 2 13 6 2" xfId="36373" xr:uid="{00000000-0005-0000-0000-00003A850000}"/>
    <cellStyle name="Normal 37 2 13 7" xfId="19011" xr:uid="{00000000-0005-0000-0000-00003B850000}"/>
    <cellStyle name="Normal 37 2 13 7 2" xfId="36374" xr:uid="{00000000-0005-0000-0000-00003C850000}"/>
    <cellStyle name="Normal 37 2 13 8" xfId="19012" xr:uid="{00000000-0005-0000-0000-00003D850000}"/>
    <cellStyle name="Normal 37 2 13 8 2" xfId="36375" xr:uid="{00000000-0005-0000-0000-00003E850000}"/>
    <cellStyle name="Normal 37 2 13 9" xfId="19013" xr:uid="{00000000-0005-0000-0000-00003F850000}"/>
    <cellStyle name="Normal 37 2 13 9 2" xfId="36376" xr:uid="{00000000-0005-0000-0000-000040850000}"/>
    <cellStyle name="Normal 37 2 14" xfId="19014" xr:uid="{00000000-0005-0000-0000-000041850000}"/>
    <cellStyle name="Normal 37 2 14 10" xfId="19015" xr:uid="{00000000-0005-0000-0000-000042850000}"/>
    <cellStyle name="Normal 37 2 14 10 2" xfId="36378" xr:uid="{00000000-0005-0000-0000-000043850000}"/>
    <cellStyle name="Normal 37 2 14 11" xfId="19016" xr:uid="{00000000-0005-0000-0000-000044850000}"/>
    <cellStyle name="Normal 37 2 14 11 2" xfId="36379" xr:uid="{00000000-0005-0000-0000-000045850000}"/>
    <cellStyle name="Normal 37 2 14 12" xfId="19017" xr:uid="{00000000-0005-0000-0000-000046850000}"/>
    <cellStyle name="Normal 37 2 14 12 2" xfId="36380" xr:uid="{00000000-0005-0000-0000-000047850000}"/>
    <cellStyle name="Normal 37 2 14 13" xfId="19018" xr:uid="{00000000-0005-0000-0000-000048850000}"/>
    <cellStyle name="Normal 37 2 14 13 2" xfId="36381" xr:uid="{00000000-0005-0000-0000-000049850000}"/>
    <cellStyle name="Normal 37 2 14 14" xfId="19019" xr:uid="{00000000-0005-0000-0000-00004A850000}"/>
    <cellStyle name="Normal 37 2 14 14 2" xfId="36382" xr:uid="{00000000-0005-0000-0000-00004B850000}"/>
    <cellStyle name="Normal 37 2 14 15" xfId="36377" xr:uid="{00000000-0005-0000-0000-00004C850000}"/>
    <cellStyle name="Normal 37 2 14 2" xfId="19020" xr:uid="{00000000-0005-0000-0000-00004D850000}"/>
    <cellStyle name="Normal 37 2 14 2 2" xfId="36383" xr:uid="{00000000-0005-0000-0000-00004E850000}"/>
    <cellStyle name="Normal 37 2 14 3" xfId="19021" xr:uid="{00000000-0005-0000-0000-00004F850000}"/>
    <cellStyle name="Normal 37 2 14 3 2" xfId="36384" xr:uid="{00000000-0005-0000-0000-000050850000}"/>
    <cellStyle name="Normal 37 2 14 4" xfId="19022" xr:uid="{00000000-0005-0000-0000-000051850000}"/>
    <cellStyle name="Normal 37 2 14 4 2" xfId="36385" xr:uid="{00000000-0005-0000-0000-000052850000}"/>
    <cellStyle name="Normal 37 2 14 5" xfId="19023" xr:uid="{00000000-0005-0000-0000-000053850000}"/>
    <cellStyle name="Normal 37 2 14 5 2" xfId="36386" xr:uid="{00000000-0005-0000-0000-000054850000}"/>
    <cellStyle name="Normal 37 2 14 6" xfId="19024" xr:uid="{00000000-0005-0000-0000-000055850000}"/>
    <cellStyle name="Normal 37 2 14 6 2" xfId="36387" xr:uid="{00000000-0005-0000-0000-000056850000}"/>
    <cellStyle name="Normal 37 2 14 7" xfId="19025" xr:uid="{00000000-0005-0000-0000-000057850000}"/>
    <cellStyle name="Normal 37 2 14 7 2" xfId="36388" xr:uid="{00000000-0005-0000-0000-000058850000}"/>
    <cellStyle name="Normal 37 2 14 8" xfId="19026" xr:uid="{00000000-0005-0000-0000-000059850000}"/>
    <cellStyle name="Normal 37 2 14 8 2" xfId="36389" xr:uid="{00000000-0005-0000-0000-00005A850000}"/>
    <cellStyle name="Normal 37 2 14 9" xfId="19027" xr:uid="{00000000-0005-0000-0000-00005B850000}"/>
    <cellStyle name="Normal 37 2 14 9 2" xfId="36390" xr:uid="{00000000-0005-0000-0000-00005C850000}"/>
    <cellStyle name="Normal 37 2 15" xfId="19028" xr:uid="{00000000-0005-0000-0000-00005D850000}"/>
    <cellStyle name="Normal 37 2 15 10" xfId="19029" xr:uid="{00000000-0005-0000-0000-00005E850000}"/>
    <cellStyle name="Normal 37 2 15 10 2" xfId="36392" xr:uid="{00000000-0005-0000-0000-00005F850000}"/>
    <cellStyle name="Normal 37 2 15 11" xfId="19030" xr:uid="{00000000-0005-0000-0000-000060850000}"/>
    <cellStyle name="Normal 37 2 15 11 2" xfId="36393" xr:uid="{00000000-0005-0000-0000-000061850000}"/>
    <cellStyle name="Normal 37 2 15 12" xfId="19031" xr:uid="{00000000-0005-0000-0000-000062850000}"/>
    <cellStyle name="Normal 37 2 15 12 2" xfId="36394" xr:uid="{00000000-0005-0000-0000-000063850000}"/>
    <cellStyle name="Normal 37 2 15 13" xfId="19032" xr:uid="{00000000-0005-0000-0000-000064850000}"/>
    <cellStyle name="Normal 37 2 15 13 2" xfId="36395" xr:uid="{00000000-0005-0000-0000-000065850000}"/>
    <cellStyle name="Normal 37 2 15 14" xfId="19033" xr:uid="{00000000-0005-0000-0000-000066850000}"/>
    <cellStyle name="Normal 37 2 15 14 2" xfId="36396" xr:uid="{00000000-0005-0000-0000-000067850000}"/>
    <cellStyle name="Normal 37 2 15 15" xfId="36391" xr:uid="{00000000-0005-0000-0000-000068850000}"/>
    <cellStyle name="Normal 37 2 15 2" xfId="19034" xr:uid="{00000000-0005-0000-0000-000069850000}"/>
    <cellStyle name="Normal 37 2 15 2 2" xfId="36397" xr:uid="{00000000-0005-0000-0000-00006A850000}"/>
    <cellStyle name="Normal 37 2 15 3" xfId="19035" xr:uid="{00000000-0005-0000-0000-00006B850000}"/>
    <cellStyle name="Normal 37 2 15 3 2" xfId="36398" xr:uid="{00000000-0005-0000-0000-00006C850000}"/>
    <cellStyle name="Normal 37 2 15 4" xfId="19036" xr:uid="{00000000-0005-0000-0000-00006D850000}"/>
    <cellStyle name="Normal 37 2 15 4 2" xfId="36399" xr:uid="{00000000-0005-0000-0000-00006E850000}"/>
    <cellStyle name="Normal 37 2 15 5" xfId="19037" xr:uid="{00000000-0005-0000-0000-00006F850000}"/>
    <cellStyle name="Normal 37 2 15 5 2" xfId="36400" xr:uid="{00000000-0005-0000-0000-000070850000}"/>
    <cellStyle name="Normal 37 2 15 6" xfId="19038" xr:uid="{00000000-0005-0000-0000-000071850000}"/>
    <cellStyle name="Normal 37 2 15 6 2" xfId="36401" xr:uid="{00000000-0005-0000-0000-000072850000}"/>
    <cellStyle name="Normal 37 2 15 7" xfId="19039" xr:uid="{00000000-0005-0000-0000-000073850000}"/>
    <cellStyle name="Normal 37 2 15 7 2" xfId="36402" xr:uid="{00000000-0005-0000-0000-000074850000}"/>
    <cellStyle name="Normal 37 2 15 8" xfId="19040" xr:uid="{00000000-0005-0000-0000-000075850000}"/>
    <cellStyle name="Normal 37 2 15 8 2" xfId="36403" xr:uid="{00000000-0005-0000-0000-000076850000}"/>
    <cellStyle name="Normal 37 2 15 9" xfId="19041" xr:uid="{00000000-0005-0000-0000-000077850000}"/>
    <cellStyle name="Normal 37 2 15 9 2" xfId="36404" xr:uid="{00000000-0005-0000-0000-000078850000}"/>
    <cellStyle name="Normal 37 2 16" xfId="19042" xr:uid="{00000000-0005-0000-0000-000079850000}"/>
    <cellStyle name="Normal 37 2 16 10" xfId="19043" xr:uid="{00000000-0005-0000-0000-00007A850000}"/>
    <cellStyle name="Normal 37 2 16 10 2" xfId="36406" xr:uid="{00000000-0005-0000-0000-00007B850000}"/>
    <cellStyle name="Normal 37 2 16 11" xfId="19044" xr:uid="{00000000-0005-0000-0000-00007C850000}"/>
    <cellStyle name="Normal 37 2 16 11 2" xfId="36407" xr:uid="{00000000-0005-0000-0000-00007D850000}"/>
    <cellStyle name="Normal 37 2 16 12" xfId="19045" xr:uid="{00000000-0005-0000-0000-00007E850000}"/>
    <cellStyle name="Normal 37 2 16 12 2" xfId="36408" xr:uid="{00000000-0005-0000-0000-00007F850000}"/>
    <cellStyle name="Normal 37 2 16 13" xfId="19046" xr:uid="{00000000-0005-0000-0000-000080850000}"/>
    <cellStyle name="Normal 37 2 16 13 2" xfId="36409" xr:uid="{00000000-0005-0000-0000-000081850000}"/>
    <cellStyle name="Normal 37 2 16 14" xfId="19047" xr:uid="{00000000-0005-0000-0000-000082850000}"/>
    <cellStyle name="Normal 37 2 16 14 2" xfId="36410" xr:uid="{00000000-0005-0000-0000-000083850000}"/>
    <cellStyle name="Normal 37 2 16 15" xfId="36405" xr:uid="{00000000-0005-0000-0000-000084850000}"/>
    <cellStyle name="Normal 37 2 16 2" xfId="19048" xr:uid="{00000000-0005-0000-0000-000085850000}"/>
    <cellStyle name="Normal 37 2 16 2 2" xfId="36411" xr:uid="{00000000-0005-0000-0000-000086850000}"/>
    <cellStyle name="Normal 37 2 16 3" xfId="19049" xr:uid="{00000000-0005-0000-0000-000087850000}"/>
    <cellStyle name="Normal 37 2 16 3 2" xfId="36412" xr:uid="{00000000-0005-0000-0000-000088850000}"/>
    <cellStyle name="Normal 37 2 16 4" xfId="19050" xr:uid="{00000000-0005-0000-0000-000089850000}"/>
    <cellStyle name="Normal 37 2 16 4 2" xfId="36413" xr:uid="{00000000-0005-0000-0000-00008A850000}"/>
    <cellStyle name="Normal 37 2 16 5" xfId="19051" xr:uid="{00000000-0005-0000-0000-00008B850000}"/>
    <cellStyle name="Normal 37 2 16 5 2" xfId="36414" xr:uid="{00000000-0005-0000-0000-00008C850000}"/>
    <cellStyle name="Normal 37 2 16 6" xfId="19052" xr:uid="{00000000-0005-0000-0000-00008D850000}"/>
    <cellStyle name="Normal 37 2 16 6 2" xfId="36415" xr:uid="{00000000-0005-0000-0000-00008E850000}"/>
    <cellStyle name="Normal 37 2 16 7" xfId="19053" xr:uid="{00000000-0005-0000-0000-00008F850000}"/>
    <cellStyle name="Normal 37 2 16 7 2" xfId="36416" xr:uid="{00000000-0005-0000-0000-000090850000}"/>
    <cellStyle name="Normal 37 2 16 8" xfId="19054" xr:uid="{00000000-0005-0000-0000-000091850000}"/>
    <cellStyle name="Normal 37 2 16 8 2" xfId="36417" xr:uid="{00000000-0005-0000-0000-000092850000}"/>
    <cellStyle name="Normal 37 2 16 9" xfId="19055" xr:uid="{00000000-0005-0000-0000-000093850000}"/>
    <cellStyle name="Normal 37 2 16 9 2" xfId="36418" xr:uid="{00000000-0005-0000-0000-000094850000}"/>
    <cellStyle name="Normal 37 2 17" xfId="19056" xr:uid="{00000000-0005-0000-0000-000095850000}"/>
    <cellStyle name="Normal 37 2 17 10" xfId="19057" xr:uid="{00000000-0005-0000-0000-000096850000}"/>
    <cellStyle name="Normal 37 2 17 10 2" xfId="36420" xr:uid="{00000000-0005-0000-0000-000097850000}"/>
    <cellStyle name="Normal 37 2 17 11" xfId="19058" xr:uid="{00000000-0005-0000-0000-000098850000}"/>
    <cellStyle name="Normal 37 2 17 11 2" xfId="36421" xr:uid="{00000000-0005-0000-0000-000099850000}"/>
    <cellStyle name="Normal 37 2 17 12" xfId="19059" xr:uid="{00000000-0005-0000-0000-00009A850000}"/>
    <cellStyle name="Normal 37 2 17 12 2" xfId="36422" xr:uid="{00000000-0005-0000-0000-00009B850000}"/>
    <cellStyle name="Normal 37 2 17 13" xfId="19060" xr:uid="{00000000-0005-0000-0000-00009C850000}"/>
    <cellStyle name="Normal 37 2 17 13 2" xfId="36423" xr:uid="{00000000-0005-0000-0000-00009D850000}"/>
    <cellStyle name="Normal 37 2 17 14" xfId="19061" xr:uid="{00000000-0005-0000-0000-00009E850000}"/>
    <cellStyle name="Normal 37 2 17 14 2" xfId="36424" xr:uid="{00000000-0005-0000-0000-00009F850000}"/>
    <cellStyle name="Normal 37 2 17 15" xfId="36419" xr:uid="{00000000-0005-0000-0000-0000A0850000}"/>
    <cellStyle name="Normal 37 2 17 2" xfId="19062" xr:uid="{00000000-0005-0000-0000-0000A1850000}"/>
    <cellStyle name="Normal 37 2 17 2 2" xfId="36425" xr:uid="{00000000-0005-0000-0000-0000A2850000}"/>
    <cellStyle name="Normal 37 2 17 3" xfId="19063" xr:uid="{00000000-0005-0000-0000-0000A3850000}"/>
    <cellStyle name="Normal 37 2 17 3 2" xfId="36426" xr:uid="{00000000-0005-0000-0000-0000A4850000}"/>
    <cellStyle name="Normal 37 2 17 4" xfId="19064" xr:uid="{00000000-0005-0000-0000-0000A5850000}"/>
    <cellStyle name="Normal 37 2 17 4 2" xfId="36427" xr:uid="{00000000-0005-0000-0000-0000A6850000}"/>
    <cellStyle name="Normal 37 2 17 5" xfId="19065" xr:uid="{00000000-0005-0000-0000-0000A7850000}"/>
    <cellStyle name="Normal 37 2 17 5 2" xfId="36428" xr:uid="{00000000-0005-0000-0000-0000A8850000}"/>
    <cellStyle name="Normal 37 2 17 6" xfId="19066" xr:uid="{00000000-0005-0000-0000-0000A9850000}"/>
    <cellStyle name="Normal 37 2 17 6 2" xfId="36429" xr:uid="{00000000-0005-0000-0000-0000AA850000}"/>
    <cellStyle name="Normal 37 2 17 7" xfId="19067" xr:uid="{00000000-0005-0000-0000-0000AB850000}"/>
    <cellStyle name="Normal 37 2 17 7 2" xfId="36430" xr:uid="{00000000-0005-0000-0000-0000AC850000}"/>
    <cellStyle name="Normal 37 2 17 8" xfId="19068" xr:uid="{00000000-0005-0000-0000-0000AD850000}"/>
    <cellStyle name="Normal 37 2 17 8 2" xfId="36431" xr:uid="{00000000-0005-0000-0000-0000AE850000}"/>
    <cellStyle name="Normal 37 2 17 9" xfId="19069" xr:uid="{00000000-0005-0000-0000-0000AF850000}"/>
    <cellStyle name="Normal 37 2 17 9 2" xfId="36432" xr:uid="{00000000-0005-0000-0000-0000B0850000}"/>
    <cellStyle name="Normal 37 2 18" xfId="19070" xr:uid="{00000000-0005-0000-0000-0000B1850000}"/>
    <cellStyle name="Normal 37 2 18 2" xfId="36433" xr:uid="{00000000-0005-0000-0000-0000B2850000}"/>
    <cellStyle name="Normal 37 2 19" xfId="19071" xr:uid="{00000000-0005-0000-0000-0000B3850000}"/>
    <cellStyle name="Normal 37 2 19 2" xfId="36434" xr:uid="{00000000-0005-0000-0000-0000B4850000}"/>
    <cellStyle name="Normal 37 2 2" xfId="19072" xr:uid="{00000000-0005-0000-0000-0000B5850000}"/>
    <cellStyle name="Normal 37 2 20" xfId="19073" xr:uid="{00000000-0005-0000-0000-0000B6850000}"/>
    <cellStyle name="Normal 37 2 20 2" xfId="36435" xr:uid="{00000000-0005-0000-0000-0000B7850000}"/>
    <cellStyle name="Normal 37 2 21" xfId="19074" xr:uid="{00000000-0005-0000-0000-0000B8850000}"/>
    <cellStyle name="Normal 37 2 21 2" xfId="36436" xr:uid="{00000000-0005-0000-0000-0000B9850000}"/>
    <cellStyle name="Normal 37 2 22" xfId="19075" xr:uid="{00000000-0005-0000-0000-0000BA850000}"/>
    <cellStyle name="Normal 37 2 22 2" xfId="36437" xr:uid="{00000000-0005-0000-0000-0000BB850000}"/>
    <cellStyle name="Normal 37 2 23" xfId="19076" xr:uid="{00000000-0005-0000-0000-0000BC850000}"/>
    <cellStyle name="Normal 37 2 23 2" xfId="36438" xr:uid="{00000000-0005-0000-0000-0000BD850000}"/>
    <cellStyle name="Normal 37 2 24" xfId="19077" xr:uid="{00000000-0005-0000-0000-0000BE850000}"/>
    <cellStyle name="Normal 37 2 24 2" xfId="36439" xr:uid="{00000000-0005-0000-0000-0000BF850000}"/>
    <cellStyle name="Normal 37 2 25" xfId="19078" xr:uid="{00000000-0005-0000-0000-0000C0850000}"/>
    <cellStyle name="Normal 37 2 25 2" xfId="36440" xr:uid="{00000000-0005-0000-0000-0000C1850000}"/>
    <cellStyle name="Normal 37 2 26" xfId="19079" xr:uid="{00000000-0005-0000-0000-0000C2850000}"/>
    <cellStyle name="Normal 37 2 26 2" xfId="36441" xr:uid="{00000000-0005-0000-0000-0000C3850000}"/>
    <cellStyle name="Normal 37 2 27" xfId="19080" xr:uid="{00000000-0005-0000-0000-0000C4850000}"/>
    <cellStyle name="Normal 37 2 27 2" xfId="36442" xr:uid="{00000000-0005-0000-0000-0000C5850000}"/>
    <cellStyle name="Normal 37 2 28" xfId="19081" xr:uid="{00000000-0005-0000-0000-0000C6850000}"/>
    <cellStyle name="Normal 37 2 28 2" xfId="36443" xr:uid="{00000000-0005-0000-0000-0000C7850000}"/>
    <cellStyle name="Normal 37 2 29" xfId="19082" xr:uid="{00000000-0005-0000-0000-0000C8850000}"/>
    <cellStyle name="Normal 37 2 29 2" xfId="36444" xr:uid="{00000000-0005-0000-0000-0000C9850000}"/>
    <cellStyle name="Normal 37 2 3" xfId="19083" xr:uid="{00000000-0005-0000-0000-0000CA850000}"/>
    <cellStyle name="Normal 37 2 30" xfId="19084" xr:uid="{00000000-0005-0000-0000-0000CB850000}"/>
    <cellStyle name="Normal 37 2 30 2" xfId="36445" xr:uid="{00000000-0005-0000-0000-0000CC850000}"/>
    <cellStyle name="Normal 37 2 31" xfId="18957" xr:uid="{00000000-0005-0000-0000-0000CD850000}"/>
    <cellStyle name="Normal 37 2 32" xfId="36320" xr:uid="{00000000-0005-0000-0000-0000CE850000}"/>
    <cellStyle name="Normal 37 2 4" xfId="19085" xr:uid="{00000000-0005-0000-0000-0000CF850000}"/>
    <cellStyle name="Normal 37 2 4 10" xfId="19086" xr:uid="{00000000-0005-0000-0000-0000D0850000}"/>
    <cellStyle name="Normal 37 2 4 10 2" xfId="36447" xr:uid="{00000000-0005-0000-0000-0000D1850000}"/>
    <cellStyle name="Normal 37 2 4 11" xfId="19087" xr:uid="{00000000-0005-0000-0000-0000D2850000}"/>
    <cellStyle name="Normal 37 2 4 11 2" xfId="36448" xr:uid="{00000000-0005-0000-0000-0000D3850000}"/>
    <cellStyle name="Normal 37 2 4 12" xfId="19088" xr:uid="{00000000-0005-0000-0000-0000D4850000}"/>
    <cellStyle name="Normal 37 2 4 12 2" xfId="36449" xr:uid="{00000000-0005-0000-0000-0000D5850000}"/>
    <cellStyle name="Normal 37 2 4 13" xfId="19089" xr:uid="{00000000-0005-0000-0000-0000D6850000}"/>
    <cellStyle name="Normal 37 2 4 13 2" xfId="36450" xr:uid="{00000000-0005-0000-0000-0000D7850000}"/>
    <cellStyle name="Normal 37 2 4 14" xfId="19090" xr:uid="{00000000-0005-0000-0000-0000D8850000}"/>
    <cellStyle name="Normal 37 2 4 14 2" xfId="36451" xr:uid="{00000000-0005-0000-0000-0000D9850000}"/>
    <cellStyle name="Normal 37 2 4 15" xfId="19091" xr:uid="{00000000-0005-0000-0000-0000DA850000}"/>
    <cellStyle name="Normal 37 2 4 15 2" xfId="36452" xr:uid="{00000000-0005-0000-0000-0000DB850000}"/>
    <cellStyle name="Normal 37 2 4 16" xfId="36446" xr:uid="{00000000-0005-0000-0000-0000DC850000}"/>
    <cellStyle name="Normal 37 2 4 2" xfId="19092" xr:uid="{00000000-0005-0000-0000-0000DD850000}"/>
    <cellStyle name="Normal 37 2 4 2 10" xfId="19093" xr:uid="{00000000-0005-0000-0000-0000DE850000}"/>
    <cellStyle name="Normal 37 2 4 2 10 2" xfId="36454" xr:uid="{00000000-0005-0000-0000-0000DF850000}"/>
    <cellStyle name="Normal 37 2 4 2 11" xfId="19094" xr:uid="{00000000-0005-0000-0000-0000E0850000}"/>
    <cellStyle name="Normal 37 2 4 2 11 2" xfId="36455" xr:uid="{00000000-0005-0000-0000-0000E1850000}"/>
    <cellStyle name="Normal 37 2 4 2 12" xfId="19095" xr:uid="{00000000-0005-0000-0000-0000E2850000}"/>
    <cellStyle name="Normal 37 2 4 2 12 2" xfId="36456" xr:uid="{00000000-0005-0000-0000-0000E3850000}"/>
    <cellStyle name="Normal 37 2 4 2 13" xfId="19096" xr:uid="{00000000-0005-0000-0000-0000E4850000}"/>
    <cellStyle name="Normal 37 2 4 2 13 2" xfId="36457" xr:uid="{00000000-0005-0000-0000-0000E5850000}"/>
    <cellStyle name="Normal 37 2 4 2 14" xfId="19097" xr:uid="{00000000-0005-0000-0000-0000E6850000}"/>
    <cellStyle name="Normal 37 2 4 2 14 2" xfId="36458" xr:uid="{00000000-0005-0000-0000-0000E7850000}"/>
    <cellStyle name="Normal 37 2 4 2 15" xfId="36453" xr:uid="{00000000-0005-0000-0000-0000E8850000}"/>
    <cellStyle name="Normal 37 2 4 2 2" xfId="19098" xr:uid="{00000000-0005-0000-0000-0000E9850000}"/>
    <cellStyle name="Normal 37 2 4 2 2 2" xfId="36459" xr:uid="{00000000-0005-0000-0000-0000EA850000}"/>
    <cellStyle name="Normal 37 2 4 2 3" xfId="19099" xr:uid="{00000000-0005-0000-0000-0000EB850000}"/>
    <cellStyle name="Normal 37 2 4 2 3 2" xfId="36460" xr:uid="{00000000-0005-0000-0000-0000EC850000}"/>
    <cellStyle name="Normal 37 2 4 2 4" xfId="19100" xr:uid="{00000000-0005-0000-0000-0000ED850000}"/>
    <cellStyle name="Normal 37 2 4 2 4 2" xfId="36461" xr:uid="{00000000-0005-0000-0000-0000EE850000}"/>
    <cellStyle name="Normal 37 2 4 2 5" xfId="19101" xr:uid="{00000000-0005-0000-0000-0000EF850000}"/>
    <cellStyle name="Normal 37 2 4 2 5 2" xfId="36462" xr:uid="{00000000-0005-0000-0000-0000F0850000}"/>
    <cellStyle name="Normal 37 2 4 2 6" xfId="19102" xr:uid="{00000000-0005-0000-0000-0000F1850000}"/>
    <cellStyle name="Normal 37 2 4 2 6 2" xfId="36463" xr:uid="{00000000-0005-0000-0000-0000F2850000}"/>
    <cellStyle name="Normal 37 2 4 2 7" xfId="19103" xr:uid="{00000000-0005-0000-0000-0000F3850000}"/>
    <cellStyle name="Normal 37 2 4 2 7 2" xfId="36464" xr:uid="{00000000-0005-0000-0000-0000F4850000}"/>
    <cellStyle name="Normal 37 2 4 2 8" xfId="19104" xr:uid="{00000000-0005-0000-0000-0000F5850000}"/>
    <cellStyle name="Normal 37 2 4 2 8 2" xfId="36465" xr:uid="{00000000-0005-0000-0000-0000F6850000}"/>
    <cellStyle name="Normal 37 2 4 2 9" xfId="19105" xr:uid="{00000000-0005-0000-0000-0000F7850000}"/>
    <cellStyle name="Normal 37 2 4 2 9 2" xfId="36466" xr:uid="{00000000-0005-0000-0000-0000F8850000}"/>
    <cellStyle name="Normal 37 2 4 3" xfId="19106" xr:uid="{00000000-0005-0000-0000-0000F9850000}"/>
    <cellStyle name="Normal 37 2 4 3 2" xfId="36467" xr:uid="{00000000-0005-0000-0000-0000FA850000}"/>
    <cellStyle name="Normal 37 2 4 4" xfId="19107" xr:uid="{00000000-0005-0000-0000-0000FB850000}"/>
    <cellStyle name="Normal 37 2 4 4 2" xfId="36468" xr:uid="{00000000-0005-0000-0000-0000FC850000}"/>
    <cellStyle name="Normal 37 2 4 5" xfId="19108" xr:uid="{00000000-0005-0000-0000-0000FD850000}"/>
    <cellStyle name="Normal 37 2 4 5 2" xfId="36469" xr:uid="{00000000-0005-0000-0000-0000FE850000}"/>
    <cellStyle name="Normal 37 2 4 6" xfId="19109" xr:uid="{00000000-0005-0000-0000-0000FF850000}"/>
    <cellStyle name="Normal 37 2 4 6 2" xfId="36470" xr:uid="{00000000-0005-0000-0000-000000860000}"/>
    <cellStyle name="Normal 37 2 4 7" xfId="19110" xr:uid="{00000000-0005-0000-0000-000001860000}"/>
    <cellStyle name="Normal 37 2 4 7 2" xfId="36471" xr:uid="{00000000-0005-0000-0000-000002860000}"/>
    <cellStyle name="Normal 37 2 4 8" xfId="19111" xr:uid="{00000000-0005-0000-0000-000003860000}"/>
    <cellStyle name="Normal 37 2 4 8 2" xfId="36472" xr:uid="{00000000-0005-0000-0000-000004860000}"/>
    <cellStyle name="Normal 37 2 4 9" xfId="19112" xr:uid="{00000000-0005-0000-0000-000005860000}"/>
    <cellStyle name="Normal 37 2 4 9 2" xfId="36473" xr:uid="{00000000-0005-0000-0000-000006860000}"/>
    <cellStyle name="Normal 37 2 5" xfId="19113" xr:uid="{00000000-0005-0000-0000-000007860000}"/>
    <cellStyle name="Normal 37 2 5 10" xfId="19114" xr:uid="{00000000-0005-0000-0000-000008860000}"/>
    <cellStyle name="Normal 37 2 5 10 2" xfId="36475" xr:uid="{00000000-0005-0000-0000-000009860000}"/>
    <cellStyle name="Normal 37 2 5 11" xfId="19115" xr:uid="{00000000-0005-0000-0000-00000A860000}"/>
    <cellStyle name="Normal 37 2 5 11 2" xfId="36476" xr:uid="{00000000-0005-0000-0000-00000B860000}"/>
    <cellStyle name="Normal 37 2 5 12" xfId="19116" xr:uid="{00000000-0005-0000-0000-00000C860000}"/>
    <cellStyle name="Normal 37 2 5 12 2" xfId="36477" xr:uid="{00000000-0005-0000-0000-00000D860000}"/>
    <cellStyle name="Normal 37 2 5 13" xfId="19117" xr:uid="{00000000-0005-0000-0000-00000E860000}"/>
    <cellStyle name="Normal 37 2 5 13 2" xfId="36478" xr:uid="{00000000-0005-0000-0000-00000F860000}"/>
    <cellStyle name="Normal 37 2 5 14" xfId="19118" xr:uid="{00000000-0005-0000-0000-000010860000}"/>
    <cellStyle name="Normal 37 2 5 14 2" xfId="36479" xr:uid="{00000000-0005-0000-0000-000011860000}"/>
    <cellStyle name="Normal 37 2 5 15" xfId="19119" xr:uid="{00000000-0005-0000-0000-000012860000}"/>
    <cellStyle name="Normal 37 2 5 15 2" xfId="36480" xr:uid="{00000000-0005-0000-0000-000013860000}"/>
    <cellStyle name="Normal 37 2 5 16" xfId="36474" xr:uid="{00000000-0005-0000-0000-000014860000}"/>
    <cellStyle name="Normal 37 2 5 2" xfId="19120" xr:uid="{00000000-0005-0000-0000-000015860000}"/>
    <cellStyle name="Normal 37 2 5 2 10" xfId="19121" xr:uid="{00000000-0005-0000-0000-000016860000}"/>
    <cellStyle name="Normal 37 2 5 2 10 2" xfId="36482" xr:uid="{00000000-0005-0000-0000-000017860000}"/>
    <cellStyle name="Normal 37 2 5 2 11" xfId="19122" xr:uid="{00000000-0005-0000-0000-000018860000}"/>
    <cellStyle name="Normal 37 2 5 2 11 2" xfId="36483" xr:uid="{00000000-0005-0000-0000-000019860000}"/>
    <cellStyle name="Normal 37 2 5 2 12" xfId="19123" xr:uid="{00000000-0005-0000-0000-00001A860000}"/>
    <cellStyle name="Normal 37 2 5 2 12 2" xfId="36484" xr:uid="{00000000-0005-0000-0000-00001B860000}"/>
    <cellStyle name="Normal 37 2 5 2 13" xfId="19124" xr:uid="{00000000-0005-0000-0000-00001C860000}"/>
    <cellStyle name="Normal 37 2 5 2 13 2" xfId="36485" xr:uid="{00000000-0005-0000-0000-00001D860000}"/>
    <cellStyle name="Normal 37 2 5 2 14" xfId="19125" xr:uid="{00000000-0005-0000-0000-00001E860000}"/>
    <cellStyle name="Normal 37 2 5 2 14 2" xfId="36486" xr:uid="{00000000-0005-0000-0000-00001F860000}"/>
    <cellStyle name="Normal 37 2 5 2 15" xfId="36481" xr:uid="{00000000-0005-0000-0000-000020860000}"/>
    <cellStyle name="Normal 37 2 5 2 2" xfId="19126" xr:uid="{00000000-0005-0000-0000-000021860000}"/>
    <cellStyle name="Normal 37 2 5 2 2 2" xfId="36487" xr:uid="{00000000-0005-0000-0000-000022860000}"/>
    <cellStyle name="Normal 37 2 5 2 3" xfId="19127" xr:uid="{00000000-0005-0000-0000-000023860000}"/>
    <cellStyle name="Normal 37 2 5 2 3 2" xfId="36488" xr:uid="{00000000-0005-0000-0000-000024860000}"/>
    <cellStyle name="Normal 37 2 5 2 4" xfId="19128" xr:uid="{00000000-0005-0000-0000-000025860000}"/>
    <cellStyle name="Normal 37 2 5 2 4 2" xfId="36489" xr:uid="{00000000-0005-0000-0000-000026860000}"/>
    <cellStyle name="Normal 37 2 5 2 5" xfId="19129" xr:uid="{00000000-0005-0000-0000-000027860000}"/>
    <cellStyle name="Normal 37 2 5 2 5 2" xfId="36490" xr:uid="{00000000-0005-0000-0000-000028860000}"/>
    <cellStyle name="Normal 37 2 5 2 6" xfId="19130" xr:uid="{00000000-0005-0000-0000-000029860000}"/>
    <cellStyle name="Normal 37 2 5 2 6 2" xfId="36491" xr:uid="{00000000-0005-0000-0000-00002A860000}"/>
    <cellStyle name="Normal 37 2 5 2 7" xfId="19131" xr:uid="{00000000-0005-0000-0000-00002B860000}"/>
    <cellStyle name="Normal 37 2 5 2 7 2" xfId="36492" xr:uid="{00000000-0005-0000-0000-00002C860000}"/>
    <cellStyle name="Normal 37 2 5 2 8" xfId="19132" xr:uid="{00000000-0005-0000-0000-00002D860000}"/>
    <cellStyle name="Normal 37 2 5 2 8 2" xfId="36493" xr:uid="{00000000-0005-0000-0000-00002E860000}"/>
    <cellStyle name="Normal 37 2 5 2 9" xfId="19133" xr:uid="{00000000-0005-0000-0000-00002F860000}"/>
    <cellStyle name="Normal 37 2 5 2 9 2" xfId="36494" xr:uid="{00000000-0005-0000-0000-000030860000}"/>
    <cellStyle name="Normal 37 2 5 3" xfId="19134" xr:uid="{00000000-0005-0000-0000-000031860000}"/>
    <cellStyle name="Normal 37 2 5 3 2" xfId="36495" xr:uid="{00000000-0005-0000-0000-000032860000}"/>
    <cellStyle name="Normal 37 2 5 4" xfId="19135" xr:uid="{00000000-0005-0000-0000-000033860000}"/>
    <cellStyle name="Normal 37 2 5 4 2" xfId="36496" xr:uid="{00000000-0005-0000-0000-000034860000}"/>
    <cellStyle name="Normal 37 2 5 5" xfId="19136" xr:uid="{00000000-0005-0000-0000-000035860000}"/>
    <cellStyle name="Normal 37 2 5 5 2" xfId="36497" xr:uid="{00000000-0005-0000-0000-000036860000}"/>
    <cellStyle name="Normal 37 2 5 6" xfId="19137" xr:uid="{00000000-0005-0000-0000-000037860000}"/>
    <cellStyle name="Normal 37 2 5 6 2" xfId="36498" xr:uid="{00000000-0005-0000-0000-000038860000}"/>
    <cellStyle name="Normal 37 2 5 7" xfId="19138" xr:uid="{00000000-0005-0000-0000-000039860000}"/>
    <cellStyle name="Normal 37 2 5 7 2" xfId="36499" xr:uid="{00000000-0005-0000-0000-00003A860000}"/>
    <cellStyle name="Normal 37 2 5 8" xfId="19139" xr:uid="{00000000-0005-0000-0000-00003B860000}"/>
    <cellStyle name="Normal 37 2 5 8 2" xfId="36500" xr:uid="{00000000-0005-0000-0000-00003C860000}"/>
    <cellStyle name="Normal 37 2 5 9" xfId="19140" xr:uid="{00000000-0005-0000-0000-00003D860000}"/>
    <cellStyle name="Normal 37 2 5 9 2" xfId="36501" xr:uid="{00000000-0005-0000-0000-00003E860000}"/>
    <cellStyle name="Normal 37 2 6" xfId="19141" xr:uid="{00000000-0005-0000-0000-00003F860000}"/>
    <cellStyle name="Normal 37 2 6 10" xfId="19142" xr:uid="{00000000-0005-0000-0000-000040860000}"/>
    <cellStyle name="Normal 37 2 6 10 2" xfId="36503" xr:uid="{00000000-0005-0000-0000-000041860000}"/>
    <cellStyle name="Normal 37 2 6 11" xfId="19143" xr:uid="{00000000-0005-0000-0000-000042860000}"/>
    <cellStyle name="Normal 37 2 6 11 2" xfId="36504" xr:uid="{00000000-0005-0000-0000-000043860000}"/>
    <cellStyle name="Normal 37 2 6 12" xfId="19144" xr:uid="{00000000-0005-0000-0000-000044860000}"/>
    <cellStyle name="Normal 37 2 6 12 2" xfId="36505" xr:uid="{00000000-0005-0000-0000-000045860000}"/>
    <cellStyle name="Normal 37 2 6 13" xfId="19145" xr:uid="{00000000-0005-0000-0000-000046860000}"/>
    <cellStyle name="Normal 37 2 6 13 2" xfId="36506" xr:uid="{00000000-0005-0000-0000-000047860000}"/>
    <cellStyle name="Normal 37 2 6 14" xfId="19146" xr:uid="{00000000-0005-0000-0000-000048860000}"/>
    <cellStyle name="Normal 37 2 6 14 2" xfId="36507" xr:uid="{00000000-0005-0000-0000-000049860000}"/>
    <cellStyle name="Normal 37 2 6 15" xfId="19147" xr:uid="{00000000-0005-0000-0000-00004A860000}"/>
    <cellStyle name="Normal 37 2 6 15 2" xfId="36508" xr:uid="{00000000-0005-0000-0000-00004B860000}"/>
    <cellStyle name="Normal 37 2 6 16" xfId="36502" xr:uid="{00000000-0005-0000-0000-00004C860000}"/>
    <cellStyle name="Normal 37 2 6 2" xfId="19148" xr:uid="{00000000-0005-0000-0000-00004D860000}"/>
    <cellStyle name="Normal 37 2 6 2 10" xfId="19149" xr:uid="{00000000-0005-0000-0000-00004E860000}"/>
    <cellStyle name="Normal 37 2 6 2 10 2" xfId="36510" xr:uid="{00000000-0005-0000-0000-00004F860000}"/>
    <cellStyle name="Normal 37 2 6 2 11" xfId="19150" xr:uid="{00000000-0005-0000-0000-000050860000}"/>
    <cellStyle name="Normal 37 2 6 2 11 2" xfId="36511" xr:uid="{00000000-0005-0000-0000-000051860000}"/>
    <cellStyle name="Normal 37 2 6 2 12" xfId="19151" xr:uid="{00000000-0005-0000-0000-000052860000}"/>
    <cellStyle name="Normal 37 2 6 2 12 2" xfId="36512" xr:uid="{00000000-0005-0000-0000-000053860000}"/>
    <cellStyle name="Normal 37 2 6 2 13" xfId="19152" xr:uid="{00000000-0005-0000-0000-000054860000}"/>
    <cellStyle name="Normal 37 2 6 2 13 2" xfId="36513" xr:uid="{00000000-0005-0000-0000-000055860000}"/>
    <cellStyle name="Normal 37 2 6 2 14" xfId="19153" xr:uid="{00000000-0005-0000-0000-000056860000}"/>
    <cellStyle name="Normal 37 2 6 2 14 2" xfId="36514" xr:uid="{00000000-0005-0000-0000-000057860000}"/>
    <cellStyle name="Normal 37 2 6 2 15" xfId="36509" xr:uid="{00000000-0005-0000-0000-000058860000}"/>
    <cellStyle name="Normal 37 2 6 2 2" xfId="19154" xr:uid="{00000000-0005-0000-0000-000059860000}"/>
    <cellStyle name="Normal 37 2 6 2 2 2" xfId="36515" xr:uid="{00000000-0005-0000-0000-00005A860000}"/>
    <cellStyle name="Normal 37 2 6 2 3" xfId="19155" xr:uid="{00000000-0005-0000-0000-00005B860000}"/>
    <cellStyle name="Normal 37 2 6 2 3 2" xfId="36516" xr:uid="{00000000-0005-0000-0000-00005C860000}"/>
    <cellStyle name="Normal 37 2 6 2 4" xfId="19156" xr:uid="{00000000-0005-0000-0000-00005D860000}"/>
    <cellStyle name="Normal 37 2 6 2 4 2" xfId="36517" xr:uid="{00000000-0005-0000-0000-00005E860000}"/>
    <cellStyle name="Normal 37 2 6 2 5" xfId="19157" xr:uid="{00000000-0005-0000-0000-00005F860000}"/>
    <cellStyle name="Normal 37 2 6 2 5 2" xfId="36518" xr:uid="{00000000-0005-0000-0000-000060860000}"/>
    <cellStyle name="Normal 37 2 6 2 6" xfId="19158" xr:uid="{00000000-0005-0000-0000-000061860000}"/>
    <cellStyle name="Normal 37 2 6 2 6 2" xfId="36519" xr:uid="{00000000-0005-0000-0000-000062860000}"/>
    <cellStyle name="Normal 37 2 6 2 7" xfId="19159" xr:uid="{00000000-0005-0000-0000-000063860000}"/>
    <cellStyle name="Normal 37 2 6 2 7 2" xfId="36520" xr:uid="{00000000-0005-0000-0000-000064860000}"/>
    <cellStyle name="Normal 37 2 6 2 8" xfId="19160" xr:uid="{00000000-0005-0000-0000-000065860000}"/>
    <cellStyle name="Normal 37 2 6 2 8 2" xfId="36521" xr:uid="{00000000-0005-0000-0000-000066860000}"/>
    <cellStyle name="Normal 37 2 6 2 9" xfId="19161" xr:uid="{00000000-0005-0000-0000-000067860000}"/>
    <cellStyle name="Normal 37 2 6 2 9 2" xfId="36522" xr:uid="{00000000-0005-0000-0000-000068860000}"/>
    <cellStyle name="Normal 37 2 6 3" xfId="19162" xr:uid="{00000000-0005-0000-0000-000069860000}"/>
    <cellStyle name="Normal 37 2 6 3 2" xfId="36523" xr:uid="{00000000-0005-0000-0000-00006A860000}"/>
    <cellStyle name="Normal 37 2 6 4" xfId="19163" xr:uid="{00000000-0005-0000-0000-00006B860000}"/>
    <cellStyle name="Normal 37 2 6 4 2" xfId="36524" xr:uid="{00000000-0005-0000-0000-00006C860000}"/>
    <cellStyle name="Normal 37 2 6 5" xfId="19164" xr:uid="{00000000-0005-0000-0000-00006D860000}"/>
    <cellStyle name="Normal 37 2 6 5 2" xfId="36525" xr:uid="{00000000-0005-0000-0000-00006E860000}"/>
    <cellStyle name="Normal 37 2 6 6" xfId="19165" xr:uid="{00000000-0005-0000-0000-00006F860000}"/>
    <cellStyle name="Normal 37 2 6 6 2" xfId="36526" xr:uid="{00000000-0005-0000-0000-000070860000}"/>
    <cellStyle name="Normal 37 2 6 7" xfId="19166" xr:uid="{00000000-0005-0000-0000-000071860000}"/>
    <cellStyle name="Normal 37 2 6 7 2" xfId="36527" xr:uid="{00000000-0005-0000-0000-000072860000}"/>
    <cellStyle name="Normal 37 2 6 8" xfId="19167" xr:uid="{00000000-0005-0000-0000-000073860000}"/>
    <cellStyle name="Normal 37 2 6 8 2" xfId="36528" xr:uid="{00000000-0005-0000-0000-000074860000}"/>
    <cellStyle name="Normal 37 2 6 9" xfId="19168" xr:uid="{00000000-0005-0000-0000-000075860000}"/>
    <cellStyle name="Normal 37 2 6 9 2" xfId="36529" xr:uid="{00000000-0005-0000-0000-000076860000}"/>
    <cellStyle name="Normal 37 2 7" xfId="19169" xr:uid="{00000000-0005-0000-0000-000077860000}"/>
    <cellStyle name="Normal 37 2 7 10" xfId="19170" xr:uid="{00000000-0005-0000-0000-000078860000}"/>
    <cellStyle name="Normal 37 2 7 10 2" xfId="36531" xr:uid="{00000000-0005-0000-0000-000079860000}"/>
    <cellStyle name="Normal 37 2 7 11" xfId="19171" xr:uid="{00000000-0005-0000-0000-00007A860000}"/>
    <cellStyle name="Normal 37 2 7 11 2" xfId="36532" xr:uid="{00000000-0005-0000-0000-00007B860000}"/>
    <cellStyle name="Normal 37 2 7 12" xfId="19172" xr:uid="{00000000-0005-0000-0000-00007C860000}"/>
    <cellStyle name="Normal 37 2 7 12 2" xfId="36533" xr:uid="{00000000-0005-0000-0000-00007D860000}"/>
    <cellStyle name="Normal 37 2 7 13" xfId="19173" xr:uid="{00000000-0005-0000-0000-00007E860000}"/>
    <cellStyle name="Normal 37 2 7 13 2" xfId="36534" xr:uid="{00000000-0005-0000-0000-00007F860000}"/>
    <cellStyle name="Normal 37 2 7 14" xfId="19174" xr:uid="{00000000-0005-0000-0000-000080860000}"/>
    <cellStyle name="Normal 37 2 7 14 2" xfId="36535" xr:uid="{00000000-0005-0000-0000-000081860000}"/>
    <cellStyle name="Normal 37 2 7 15" xfId="36530" xr:uid="{00000000-0005-0000-0000-000082860000}"/>
    <cellStyle name="Normal 37 2 7 2" xfId="19175" xr:uid="{00000000-0005-0000-0000-000083860000}"/>
    <cellStyle name="Normal 37 2 7 2 2" xfId="36536" xr:uid="{00000000-0005-0000-0000-000084860000}"/>
    <cellStyle name="Normal 37 2 7 3" xfId="19176" xr:uid="{00000000-0005-0000-0000-000085860000}"/>
    <cellStyle name="Normal 37 2 7 3 2" xfId="36537" xr:uid="{00000000-0005-0000-0000-000086860000}"/>
    <cellStyle name="Normal 37 2 7 4" xfId="19177" xr:uid="{00000000-0005-0000-0000-000087860000}"/>
    <cellStyle name="Normal 37 2 7 4 2" xfId="36538" xr:uid="{00000000-0005-0000-0000-000088860000}"/>
    <cellStyle name="Normal 37 2 7 5" xfId="19178" xr:uid="{00000000-0005-0000-0000-000089860000}"/>
    <cellStyle name="Normal 37 2 7 5 2" xfId="36539" xr:uid="{00000000-0005-0000-0000-00008A860000}"/>
    <cellStyle name="Normal 37 2 7 6" xfId="19179" xr:uid="{00000000-0005-0000-0000-00008B860000}"/>
    <cellStyle name="Normal 37 2 7 6 2" xfId="36540" xr:uid="{00000000-0005-0000-0000-00008C860000}"/>
    <cellStyle name="Normal 37 2 7 7" xfId="19180" xr:uid="{00000000-0005-0000-0000-00008D860000}"/>
    <cellStyle name="Normal 37 2 7 7 2" xfId="36541" xr:uid="{00000000-0005-0000-0000-00008E860000}"/>
    <cellStyle name="Normal 37 2 7 8" xfId="19181" xr:uid="{00000000-0005-0000-0000-00008F860000}"/>
    <cellStyle name="Normal 37 2 7 8 2" xfId="36542" xr:uid="{00000000-0005-0000-0000-000090860000}"/>
    <cellStyle name="Normal 37 2 7 9" xfId="19182" xr:uid="{00000000-0005-0000-0000-000091860000}"/>
    <cellStyle name="Normal 37 2 7 9 2" xfId="36543" xr:uid="{00000000-0005-0000-0000-000092860000}"/>
    <cellStyle name="Normal 37 2 8" xfId="19183" xr:uid="{00000000-0005-0000-0000-000093860000}"/>
    <cellStyle name="Normal 37 2 8 10" xfId="19184" xr:uid="{00000000-0005-0000-0000-000094860000}"/>
    <cellStyle name="Normal 37 2 8 10 2" xfId="36545" xr:uid="{00000000-0005-0000-0000-000095860000}"/>
    <cellStyle name="Normal 37 2 8 11" xfId="19185" xr:uid="{00000000-0005-0000-0000-000096860000}"/>
    <cellStyle name="Normal 37 2 8 11 2" xfId="36546" xr:uid="{00000000-0005-0000-0000-000097860000}"/>
    <cellStyle name="Normal 37 2 8 12" xfId="19186" xr:uid="{00000000-0005-0000-0000-000098860000}"/>
    <cellStyle name="Normal 37 2 8 12 2" xfId="36547" xr:uid="{00000000-0005-0000-0000-000099860000}"/>
    <cellStyle name="Normal 37 2 8 13" xfId="19187" xr:uid="{00000000-0005-0000-0000-00009A860000}"/>
    <cellStyle name="Normal 37 2 8 13 2" xfId="36548" xr:uid="{00000000-0005-0000-0000-00009B860000}"/>
    <cellStyle name="Normal 37 2 8 14" xfId="19188" xr:uid="{00000000-0005-0000-0000-00009C860000}"/>
    <cellStyle name="Normal 37 2 8 14 2" xfId="36549" xr:uid="{00000000-0005-0000-0000-00009D860000}"/>
    <cellStyle name="Normal 37 2 8 15" xfId="36544" xr:uid="{00000000-0005-0000-0000-00009E860000}"/>
    <cellStyle name="Normal 37 2 8 2" xfId="19189" xr:uid="{00000000-0005-0000-0000-00009F860000}"/>
    <cellStyle name="Normal 37 2 8 2 2" xfId="36550" xr:uid="{00000000-0005-0000-0000-0000A0860000}"/>
    <cellStyle name="Normal 37 2 8 3" xfId="19190" xr:uid="{00000000-0005-0000-0000-0000A1860000}"/>
    <cellStyle name="Normal 37 2 8 3 2" xfId="36551" xr:uid="{00000000-0005-0000-0000-0000A2860000}"/>
    <cellStyle name="Normal 37 2 8 4" xfId="19191" xr:uid="{00000000-0005-0000-0000-0000A3860000}"/>
    <cellStyle name="Normal 37 2 8 4 2" xfId="36552" xr:uid="{00000000-0005-0000-0000-0000A4860000}"/>
    <cellStyle name="Normal 37 2 8 5" xfId="19192" xr:uid="{00000000-0005-0000-0000-0000A5860000}"/>
    <cellStyle name="Normal 37 2 8 5 2" xfId="36553" xr:uid="{00000000-0005-0000-0000-0000A6860000}"/>
    <cellStyle name="Normal 37 2 8 6" xfId="19193" xr:uid="{00000000-0005-0000-0000-0000A7860000}"/>
    <cellStyle name="Normal 37 2 8 6 2" xfId="36554" xr:uid="{00000000-0005-0000-0000-0000A8860000}"/>
    <cellStyle name="Normal 37 2 8 7" xfId="19194" xr:uid="{00000000-0005-0000-0000-0000A9860000}"/>
    <cellStyle name="Normal 37 2 8 7 2" xfId="36555" xr:uid="{00000000-0005-0000-0000-0000AA860000}"/>
    <cellStyle name="Normal 37 2 8 8" xfId="19195" xr:uid="{00000000-0005-0000-0000-0000AB860000}"/>
    <cellStyle name="Normal 37 2 8 8 2" xfId="36556" xr:uid="{00000000-0005-0000-0000-0000AC860000}"/>
    <cellStyle name="Normal 37 2 8 9" xfId="19196" xr:uid="{00000000-0005-0000-0000-0000AD860000}"/>
    <cellStyle name="Normal 37 2 8 9 2" xfId="36557" xr:uid="{00000000-0005-0000-0000-0000AE860000}"/>
    <cellStyle name="Normal 37 2 9" xfId="19197" xr:uid="{00000000-0005-0000-0000-0000AF860000}"/>
    <cellStyle name="Normal 37 2 9 10" xfId="19198" xr:uid="{00000000-0005-0000-0000-0000B0860000}"/>
    <cellStyle name="Normal 37 2 9 10 2" xfId="36559" xr:uid="{00000000-0005-0000-0000-0000B1860000}"/>
    <cellStyle name="Normal 37 2 9 11" xfId="19199" xr:uid="{00000000-0005-0000-0000-0000B2860000}"/>
    <cellStyle name="Normal 37 2 9 11 2" xfId="36560" xr:uid="{00000000-0005-0000-0000-0000B3860000}"/>
    <cellStyle name="Normal 37 2 9 12" xfId="19200" xr:uid="{00000000-0005-0000-0000-0000B4860000}"/>
    <cellStyle name="Normal 37 2 9 12 2" xfId="36561" xr:uid="{00000000-0005-0000-0000-0000B5860000}"/>
    <cellStyle name="Normal 37 2 9 13" xfId="19201" xr:uid="{00000000-0005-0000-0000-0000B6860000}"/>
    <cellStyle name="Normal 37 2 9 13 2" xfId="36562" xr:uid="{00000000-0005-0000-0000-0000B7860000}"/>
    <cellStyle name="Normal 37 2 9 14" xfId="19202" xr:uid="{00000000-0005-0000-0000-0000B8860000}"/>
    <cellStyle name="Normal 37 2 9 14 2" xfId="36563" xr:uid="{00000000-0005-0000-0000-0000B9860000}"/>
    <cellStyle name="Normal 37 2 9 15" xfId="36558" xr:uid="{00000000-0005-0000-0000-0000BA860000}"/>
    <cellStyle name="Normal 37 2 9 2" xfId="19203" xr:uid="{00000000-0005-0000-0000-0000BB860000}"/>
    <cellStyle name="Normal 37 2 9 2 2" xfId="36564" xr:uid="{00000000-0005-0000-0000-0000BC860000}"/>
    <cellStyle name="Normal 37 2 9 3" xfId="19204" xr:uid="{00000000-0005-0000-0000-0000BD860000}"/>
    <cellStyle name="Normal 37 2 9 3 2" xfId="36565" xr:uid="{00000000-0005-0000-0000-0000BE860000}"/>
    <cellStyle name="Normal 37 2 9 4" xfId="19205" xr:uid="{00000000-0005-0000-0000-0000BF860000}"/>
    <cellStyle name="Normal 37 2 9 4 2" xfId="36566" xr:uid="{00000000-0005-0000-0000-0000C0860000}"/>
    <cellStyle name="Normal 37 2 9 5" xfId="19206" xr:uid="{00000000-0005-0000-0000-0000C1860000}"/>
    <cellStyle name="Normal 37 2 9 5 2" xfId="36567" xr:uid="{00000000-0005-0000-0000-0000C2860000}"/>
    <cellStyle name="Normal 37 2 9 6" xfId="19207" xr:uid="{00000000-0005-0000-0000-0000C3860000}"/>
    <cellStyle name="Normal 37 2 9 6 2" xfId="36568" xr:uid="{00000000-0005-0000-0000-0000C4860000}"/>
    <cellStyle name="Normal 37 2 9 7" xfId="19208" xr:uid="{00000000-0005-0000-0000-0000C5860000}"/>
    <cellStyle name="Normal 37 2 9 7 2" xfId="36569" xr:uid="{00000000-0005-0000-0000-0000C6860000}"/>
    <cellStyle name="Normal 37 2 9 8" xfId="19209" xr:uid="{00000000-0005-0000-0000-0000C7860000}"/>
    <cellStyle name="Normal 37 2 9 8 2" xfId="36570" xr:uid="{00000000-0005-0000-0000-0000C8860000}"/>
    <cellStyle name="Normal 37 2 9 9" xfId="19210" xr:uid="{00000000-0005-0000-0000-0000C9860000}"/>
    <cellStyle name="Normal 37 2 9 9 2" xfId="36571" xr:uid="{00000000-0005-0000-0000-0000CA860000}"/>
    <cellStyle name="Normal 37 3" xfId="19211" xr:uid="{00000000-0005-0000-0000-0000CB860000}"/>
    <cellStyle name="Normal 37 4" xfId="19212" xr:uid="{00000000-0005-0000-0000-0000CC860000}"/>
    <cellStyle name="Normal 37 4 10" xfId="19213" xr:uid="{00000000-0005-0000-0000-0000CD860000}"/>
    <cellStyle name="Normal 37 4 10 10" xfId="19214" xr:uid="{00000000-0005-0000-0000-0000CE860000}"/>
    <cellStyle name="Normal 37 4 10 10 2" xfId="36574" xr:uid="{00000000-0005-0000-0000-0000CF860000}"/>
    <cellStyle name="Normal 37 4 10 11" xfId="19215" xr:uid="{00000000-0005-0000-0000-0000D0860000}"/>
    <cellStyle name="Normal 37 4 10 11 2" xfId="36575" xr:uid="{00000000-0005-0000-0000-0000D1860000}"/>
    <cellStyle name="Normal 37 4 10 12" xfId="19216" xr:uid="{00000000-0005-0000-0000-0000D2860000}"/>
    <cellStyle name="Normal 37 4 10 12 2" xfId="36576" xr:uid="{00000000-0005-0000-0000-0000D3860000}"/>
    <cellStyle name="Normal 37 4 10 13" xfId="19217" xr:uid="{00000000-0005-0000-0000-0000D4860000}"/>
    <cellStyle name="Normal 37 4 10 13 2" xfId="36577" xr:uid="{00000000-0005-0000-0000-0000D5860000}"/>
    <cellStyle name="Normal 37 4 10 14" xfId="19218" xr:uid="{00000000-0005-0000-0000-0000D6860000}"/>
    <cellStyle name="Normal 37 4 10 14 2" xfId="36578" xr:uid="{00000000-0005-0000-0000-0000D7860000}"/>
    <cellStyle name="Normal 37 4 10 15" xfId="36573" xr:uid="{00000000-0005-0000-0000-0000D8860000}"/>
    <cellStyle name="Normal 37 4 10 2" xfId="19219" xr:uid="{00000000-0005-0000-0000-0000D9860000}"/>
    <cellStyle name="Normal 37 4 10 2 2" xfId="36579" xr:uid="{00000000-0005-0000-0000-0000DA860000}"/>
    <cellStyle name="Normal 37 4 10 3" xfId="19220" xr:uid="{00000000-0005-0000-0000-0000DB860000}"/>
    <cellStyle name="Normal 37 4 10 3 2" xfId="36580" xr:uid="{00000000-0005-0000-0000-0000DC860000}"/>
    <cellStyle name="Normal 37 4 10 4" xfId="19221" xr:uid="{00000000-0005-0000-0000-0000DD860000}"/>
    <cellStyle name="Normal 37 4 10 4 2" xfId="36581" xr:uid="{00000000-0005-0000-0000-0000DE860000}"/>
    <cellStyle name="Normal 37 4 10 5" xfId="19222" xr:uid="{00000000-0005-0000-0000-0000DF860000}"/>
    <cellStyle name="Normal 37 4 10 5 2" xfId="36582" xr:uid="{00000000-0005-0000-0000-0000E0860000}"/>
    <cellStyle name="Normal 37 4 10 6" xfId="19223" xr:uid="{00000000-0005-0000-0000-0000E1860000}"/>
    <cellStyle name="Normal 37 4 10 6 2" xfId="36583" xr:uid="{00000000-0005-0000-0000-0000E2860000}"/>
    <cellStyle name="Normal 37 4 10 7" xfId="19224" xr:uid="{00000000-0005-0000-0000-0000E3860000}"/>
    <cellStyle name="Normal 37 4 10 7 2" xfId="36584" xr:uid="{00000000-0005-0000-0000-0000E4860000}"/>
    <cellStyle name="Normal 37 4 10 8" xfId="19225" xr:uid="{00000000-0005-0000-0000-0000E5860000}"/>
    <cellStyle name="Normal 37 4 10 8 2" xfId="36585" xr:uid="{00000000-0005-0000-0000-0000E6860000}"/>
    <cellStyle name="Normal 37 4 10 9" xfId="19226" xr:uid="{00000000-0005-0000-0000-0000E7860000}"/>
    <cellStyle name="Normal 37 4 10 9 2" xfId="36586" xr:uid="{00000000-0005-0000-0000-0000E8860000}"/>
    <cellStyle name="Normal 37 4 11" xfId="19227" xr:uid="{00000000-0005-0000-0000-0000E9860000}"/>
    <cellStyle name="Normal 37 4 11 10" xfId="19228" xr:uid="{00000000-0005-0000-0000-0000EA860000}"/>
    <cellStyle name="Normal 37 4 11 10 2" xfId="36588" xr:uid="{00000000-0005-0000-0000-0000EB860000}"/>
    <cellStyle name="Normal 37 4 11 11" xfId="19229" xr:uid="{00000000-0005-0000-0000-0000EC860000}"/>
    <cellStyle name="Normal 37 4 11 11 2" xfId="36589" xr:uid="{00000000-0005-0000-0000-0000ED860000}"/>
    <cellStyle name="Normal 37 4 11 12" xfId="19230" xr:uid="{00000000-0005-0000-0000-0000EE860000}"/>
    <cellStyle name="Normal 37 4 11 12 2" xfId="36590" xr:uid="{00000000-0005-0000-0000-0000EF860000}"/>
    <cellStyle name="Normal 37 4 11 13" xfId="19231" xr:uid="{00000000-0005-0000-0000-0000F0860000}"/>
    <cellStyle name="Normal 37 4 11 13 2" xfId="36591" xr:uid="{00000000-0005-0000-0000-0000F1860000}"/>
    <cellStyle name="Normal 37 4 11 14" xfId="19232" xr:uid="{00000000-0005-0000-0000-0000F2860000}"/>
    <cellStyle name="Normal 37 4 11 14 2" xfId="36592" xr:uid="{00000000-0005-0000-0000-0000F3860000}"/>
    <cellStyle name="Normal 37 4 11 15" xfId="36587" xr:uid="{00000000-0005-0000-0000-0000F4860000}"/>
    <cellStyle name="Normal 37 4 11 2" xfId="19233" xr:uid="{00000000-0005-0000-0000-0000F5860000}"/>
    <cellStyle name="Normal 37 4 11 2 2" xfId="36593" xr:uid="{00000000-0005-0000-0000-0000F6860000}"/>
    <cellStyle name="Normal 37 4 11 3" xfId="19234" xr:uid="{00000000-0005-0000-0000-0000F7860000}"/>
    <cellStyle name="Normal 37 4 11 3 2" xfId="36594" xr:uid="{00000000-0005-0000-0000-0000F8860000}"/>
    <cellStyle name="Normal 37 4 11 4" xfId="19235" xr:uid="{00000000-0005-0000-0000-0000F9860000}"/>
    <cellStyle name="Normal 37 4 11 4 2" xfId="36595" xr:uid="{00000000-0005-0000-0000-0000FA860000}"/>
    <cellStyle name="Normal 37 4 11 5" xfId="19236" xr:uid="{00000000-0005-0000-0000-0000FB860000}"/>
    <cellStyle name="Normal 37 4 11 5 2" xfId="36596" xr:uid="{00000000-0005-0000-0000-0000FC860000}"/>
    <cellStyle name="Normal 37 4 11 6" xfId="19237" xr:uid="{00000000-0005-0000-0000-0000FD860000}"/>
    <cellStyle name="Normal 37 4 11 6 2" xfId="36597" xr:uid="{00000000-0005-0000-0000-0000FE860000}"/>
    <cellStyle name="Normal 37 4 11 7" xfId="19238" xr:uid="{00000000-0005-0000-0000-0000FF860000}"/>
    <cellStyle name="Normal 37 4 11 7 2" xfId="36598" xr:uid="{00000000-0005-0000-0000-000000870000}"/>
    <cellStyle name="Normal 37 4 11 8" xfId="19239" xr:uid="{00000000-0005-0000-0000-000001870000}"/>
    <cellStyle name="Normal 37 4 11 8 2" xfId="36599" xr:uid="{00000000-0005-0000-0000-000002870000}"/>
    <cellStyle name="Normal 37 4 11 9" xfId="19240" xr:uid="{00000000-0005-0000-0000-000003870000}"/>
    <cellStyle name="Normal 37 4 11 9 2" xfId="36600" xr:uid="{00000000-0005-0000-0000-000004870000}"/>
    <cellStyle name="Normal 37 4 12" xfId="19241" xr:uid="{00000000-0005-0000-0000-000005870000}"/>
    <cellStyle name="Normal 37 4 12 10" xfId="19242" xr:uid="{00000000-0005-0000-0000-000006870000}"/>
    <cellStyle name="Normal 37 4 12 10 2" xfId="36602" xr:uid="{00000000-0005-0000-0000-000007870000}"/>
    <cellStyle name="Normal 37 4 12 11" xfId="19243" xr:uid="{00000000-0005-0000-0000-000008870000}"/>
    <cellStyle name="Normal 37 4 12 11 2" xfId="36603" xr:uid="{00000000-0005-0000-0000-000009870000}"/>
    <cellStyle name="Normal 37 4 12 12" xfId="19244" xr:uid="{00000000-0005-0000-0000-00000A870000}"/>
    <cellStyle name="Normal 37 4 12 12 2" xfId="36604" xr:uid="{00000000-0005-0000-0000-00000B870000}"/>
    <cellStyle name="Normal 37 4 12 13" xfId="19245" xr:uid="{00000000-0005-0000-0000-00000C870000}"/>
    <cellStyle name="Normal 37 4 12 13 2" xfId="36605" xr:uid="{00000000-0005-0000-0000-00000D870000}"/>
    <cellStyle name="Normal 37 4 12 14" xfId="19246" xr:uid="{00000000-0005-0000-0000-00000E870000}"/>
    <cellStyle name="Normal 37 4 12 14 2" xfId="36606" xr:uid="{00000000-0005-0000-0000-00000F870000}"/>
    <cellStyle name="Normal 37 4 12 15" xfId="36601" xr:uid="{00000000-0005-0000-0000-000010870000}"/>
    <cellStyle name="Normal 37 4 12 2" xfId="19247" xr:uid="{00000000-0005-0000-0000-000011870000}"/>
    <cellStyle name="Normal 37 4 12 2 2" xfId="36607" xr:uid="{00000000-0005-0000-0000-000012870000}"/>
    <cellStyle name="Normal 37 4 12 3" xfId="19248" xr:uid="{00000000-0005-0000-0000-000013870000}"/>
    <cellStyle name="Normal 37 4 12 3 2" xfId="36608" xr:uid="{00000000-0005-0000-0000-000014870000}"/>
    <cellStyle name="Normal 37 4 12 4" xfId="19249" xr:uid="{00000000-0005-0000-0000-000015870000}"/>
    <cellStyle name="Normal 37 4 12 4 2" xfId="36609" xr:uid="{00000000-0005-0000-0000-000016870000}"/>
    <cellStyle name="Normal 37 4 12 5" xfId="19250" xr:uid="{00000000-0005-0000-0000-000017870000}"/>
    <cellStyle name="Normal 37 4 12 5 2" xfId="36610" xr:uid="{00000000-0005-0000-0000-000018870000}"/>
    <cellStyle name="Normal 37 4 12 6" xfId="19251" xr:uid="{00000000-0005-0000-0000-000019870000}"/>
    <cellStyle name="Normal 37 4 12 6 2" xfId="36611" xr:uid="{00000000-0005-0000-0000-00001A870000}"/>
    <cellStyle name="Normal 37 4 12 7" xfId="19252" xr:uid="{00000000-0005-0000-0000-00001B870000}"/>
    <cellStyle name="Normal 37 4 12 7 2" xfId="36612" xr:uid="{00000000-0005-0000-0000-00001C870000}"/>
    <cellStyle name="Normal 37 4 12 8" xfId="19253" xr:uid="{00000000-0005-0000-0000-00001D870000}"/>
    <cellStyle name="Normal 37 4 12 8 2" xfId="36613" xr:uid="{00000000-0005-0000-0000-00001E870000}"/>
    <cellStyle name="Normal 37 4 12 9" xfId="19254" xr:uid="{00000000-0005-0000-0000-00001F870000}"/>
    <cellStyle name="Normal 37 4 12 9 2" xfId="36614" xr:uid="{00000000-0005-0000-0000-000020870000}"/>
    <cellStyle name="Normal 37 4 13" xfId="19255" xr:uid="{00000000-0005-0000-0000-000021870000}"/>
    <cellStyle name="Normal 37 4 13 10" xfId="19256" xr:uid="{00000000-0005-0000-0000-000022870000}"/>
    <cellStyle name="Normal 37 4 13 10 2" xfId="36616" xr:uid="{00000000-0005-0000-0000-000023870000}"/>
    <cellStyle name="Normal 37 4 13 11" xfId="19257" xr:uid="{00000000-0005-0000-0000-000024870000}"/>
    <cellStyle name="Normal 37 4 13 11 2" xfId="36617" xr:uid="{00000000-0005-0000-0000-000025870000}"/>
    <cellStyle name="Normal 37 4 13 12" xfId="19258" xr:uid="{00000000-0005-0000-0000-000026870000}"/>
    <cellStyle name="Normal 37 4 13 12 2" xfId="36618" xr:uid="{00000000-0005-0000-0000-000027870000}"/>
    <cellStyle name="Normal 37 4 13 13" xfId="19259" xr:uid="{00000000-0005-0000-0000-000028870000}"/>
    <cellStyle name="Normal 37 4 13 13 2" xfId="36619" xr:uid="{00000000-0005-0000-0000-000029870000}"/>
    <cellStyle name="Normal 37 4 13 14" xfId="19260" xr:uid="{00000000-0005-0000-0000-00002A870000}"/>
    <cellStyle name="Normal 37 4 13 14 2" xfId="36620" xr:uid="{00000000-0005-0000-0000-00002B870000}"/>
    <cellStyle name="Normal 37 4 13 15" xfId="36615" xr:uid="{00000000-0005-0000-0000-00002C870000}"/>
    <cellStyle name="Normal 37 4 13 2" xfId="19261" xr:uid="{00000000-0005-0000-0000-00002D870000}"/>
    <cellStyle name="Normal 37 4 13 2 2" xfId="36621" xr:uid="{00000000-0005-0000-0000-00002E870000}"/>
    <cellStyle name="Normal 37 4 13 3" xfId="19262" xr:uid="{00000000-0005-0000-0000-00002F870000}"/>
    <cellStyle name="Normal 37 4 13 3 2" xfId="36622" xr:uid="{00000000-0005-0000-0000-000030870000}"/>
    <cellStyle name="Normal 37 4 13 4" xfId="19263" xr:uid="{00000000-0005-0000-0000-000031870000}"/>
    <cellStyle name="Normal 37 4 13 4 2" xfId="36623" xr:uid="{00000000-0005-0000-0000-000032870000}"/>
    <cellStyle name="Normal 37 4 13 5" xfId="19264" xr:uid="{00000000-0005-0000-0000-000033870000}"/>
    <cellStyle name="Normal 37 4 13 5 2" xfId="36624" xr:uid="{00000000-0005-0000-0000-000034870000}"/>
    <cellStyle name="Normal 37 4 13 6" xfId="19265" xr:uid="{00000000-0005-0000-0000-000035870000}"/>
    <cellStyle name="Normal 37 4 13 6 2" xfId="36625" xr:uid="{00000000-0005-0000-0000-000036870000}"/>
    <cellStyle name="Normal 37 4 13 7" xfId="19266" xr:uid="{00000000-0005-0000-0000-000037870000}"/>
    <cellStyle name="Normal 37 4 13 7 2" xfId="36626" xr:uid="{00000000-0005-0000-0000-000038870000}"/>
    <cellStyle name="Normal 37 4 13 8" xfId="19267" xr:uid="{00000000-0005-0000-0000-000039870000}"/>
    <cellStyle name="Normal 37 4 13 8 2" xfId="36627" xr:uid="{00000000-0005-0000-0000-00003A870000}"/>
    <cellStyle name="Normal 37 4 13 9" xfId="19268" xr:uid="{00000000-0005-0000-0000-00003B870000}"/>
    <cellStyle name="Normal 37 4 13 9 2" xfId="36628" xr:uid="{00000000-0005-0000-0000-00003C870000}"/>
    <cellStyle name="Normal 37 4 14" xfId="19269" xr:uid="{00000000-0005-0000-0000-00003D870000}"/>
    <cellStyle name="Normal 37 4 14 10" xfId="19270" xr:uid="{00000000-0005-0000-0000-00003E870000}"/>
    <cellStyle name="Normal 37 4 14 10 2" xfId="36630" xr:uid="{00000000-0005-0000-0000-00003F870000}"/>
    <cellStyle name="Normal 37 4 14 11" xfId="19271" xr:uid="{00000000-0005-0000-0000-000040870000}"/>
    <cellStyle name="Normal 37 4 14 11 2" xfId="36631" xr:uid="{00000000-0005-0000-0000-000041870000}"/>
    <cellStyle name="Normal 37 4 14 12" xfId="19272" xr:uid="{00000000-0005-0000-0000-000042870000}"/>
    <cellStyle name="Normal 37 4 14 12 2" xfId="36632" xr:uid="{00000000-0005-0000-0000-000043870000}"/>
    <cellStyle name="Normal 37 4 14 13" xfId="19273" xr:uid="{00000000-0005-0000-0000-000044870000}"/>
    <cellStyle name="Normal 37 4 14 13 2" xfId="36633" xr:uid="{00000000-0005-0000-0000-000045870000}"/>
    <cellStyle name="Normal 37 4 14 14" xfId="19274" xr:uid="{00000000-0005-0000-0000-000046870000}"/>
    <cellStyle name="Normal 37 4 14 14 2" xfId="36634" xr:uid="{00000000-0005-0000-0000-000047870000}"/>
    <cellStyle name="Normal 37 4 14 15" xfId="36629" xr:uid="{00000000-0005-0000-0000-000048870000}"/>
    <cellStyle name="Normal 37 4 14 2" xfId="19275" xr:uid="{00000000-0005-0000-0000-000049870000}"/>
    <cellStyle name="Normal 37 4 14 2 2" xfId="36635" xr:uid="{00000000-0005-0000-0000-00004A870000}"/>
    <cellStyle name="Normal 37 4 14 3" xfId="19276" xr:uid="{00000000-0005-0000-0000-00004B870000}"/>
    <cellStyle name="Normal 37 4 14 3 2" xfId="36636" xr:uid="{00000000-0005-0000-0000-00004C870000}"/>
    <cellStyle name="Normal 37 4 14 4" xfId="19277" xr:uid="{00000000-0005-0000-0000-00004D870000}"/>
    <cellStyle name="Normal 37 4 14 4 2" xfId="36637" xr:uid="{00000000-0005-0000-0000-00004E870000}"/>
    <cellStyle name="Normal 37 4 14 5" xfId="19278" xr:uid="{00000000-0005-0000-0000-00004F870000}"/>
    <cellStyle name="Normal 37 4 14 5 2" xfId="36638" xr:uid="{00000000-0005-0000-0000-000050870000}"/>
    <cellStyle name="Normal 37 4 14 6" xfId="19279" xr:uid="{00000000-0005-0000-0000-000051870000}"/>
    <cellStyle name="Normal 37 4 14 6 2" xfId="36639" xr:uid="{00000000-0005-0000-0000-000052870000}"/>
    <cellStyle name="Normal 37 4 14 7" xfId="19280" xr:uid="{00000000-0005-0000-0000-000053870000}"/>
    <cellStyle name="Normal 37 4 14 7 2" xfId="36640" xr:uid="{00000000-0005-0000-0000-000054870000}"/>
    <cellStyle name="Normal 37 4 14 8" xfId="19281" xr:uid="{00000000-0005-0000-0000-000055870000}"/>
    <cellStyle name="Normal 37 4 14 8 2" xfId="36641" xr:uid="{00000000-0005-0000-0000-000056870000}"/>
    <cellStyle name="Normal 37 4 14 9" xfId="19282" xr:uid="{00000000-0005-0000-0000-000057870000}"/>
    <cellStyle name="Normal 37 4 14 9 2" xfId="36642" xr:uid="{00000000-0005-0000-0000-000058870000}"/>
    <cellStyle name="Normal 37 4 15" xfId="19283" xr:uid="{00000000-0005-0000-0000-000059870000}"/>
    <cellStyle name="Normal 37 4 15 10" xfId="19284" xr:uid="{00000000-0005-0000-0000-00005A870000}"/>
    <cellStyle name="Normal 37 4 15 10 2" xfId="36644" xr:uid="{00000000-0005-0000-0000-00005B870000}"/>
    <cellStyle name="Normal 37 4 15 11" xfId="19285" xr:uid="{00000000-0005-0000-0000-00005C870000}"/>
    <cellStyle name="Normal 37 4 15 11 2" xfId="36645" xr:uid="{00000000-0005-0000-0000-00005D870000}"/>
    <cellStyle name="Normal 37 4 15 12" xfId="19286" xr:uid="{00000000-0005-0000-0000-00005E870000}"/>
    <cellStyle name="Normal 37 4 15 12 2" xfId="36646" xr:uid="{00000000-0005-0000-0000-00005F870000}"/>
    <cellStyle name="Normal 37 4 15 13" xfId="19287" xr:uid="{00000000-0005-0000-0000-000060870000}"/>
    <cellStyle name="Normal 37 4 15 13 2" xfId="36647" xr:uid="{00000000-0005-0000-0000-000061870000}"/>
    <cellStyle name="Normal 37 4 15 14" xfId="19288" xr:uid="{00000000-0005-0000-0000-000062870000}"/>
    <cellStyle name="Normal 37 4 15 14 2" xfId="36648" xr:uid="{00000000-0005-0000-0000-000063870000}"/>
    <cellStyle name="Normal 37 4 15 15" xfId="36643" xr:uid="{00000000-0005-0000-0000-000064870000}"/>
    <cellStyle name="Normal 37 4 15 2" xfId="19289" xr:uid="{00000000-0005-0000-0000-000065870000}"/>
    <cellStyle name="Normal 37 4 15 2 2" xfId="36649" xr:uid="{00000000-0005-0000-0000-000066870000}"/>
    <cellStyle name="Normal 37 4 15 3" xfId="19290" xr:uid="{00000000-0005-0000-0000-000067870000}"/>
    <cellStyle name="Normal 37 4 15 3 2" xfId="36650" xr:uid="{00000000-0005-0000-0000-000068870000}"/>
    <cellStyle name="Normal 37 4 15 4" xfId="19291" xr:uid="{00000000-0005-0000-0000-000069870000}"/>
    <cellStyle name="Normal 37 4 15 4 2" xfId="36651" xr:uid="{00000000-0005-0000-0000-00006A870000}"/>
    <cellStyle name="Normal 37 4 15 5" xfId="19292" xr:uid="{00000000-0005-0000-0000-00006B870000}"/>
    <cellStyle name="Normal 37 4 15 5 2" xfId="36652" xr:uid="{00000000-0005-0000-0000-00006C870000}"/>
    <cellStyle name="Normal 37 4 15 6" xfId="19293" xr:uid="{00000000-0005-0000-0000-00006D870000}"/>
    <cellStyle name="Normal 37 4 15 6 2" xfId="36653" xr:uid="{00000000-0005-0000-0000-00006E870000}"/>
    <cellStyle name="Normal 37 4 15 7" xfId="19294" xr:uid="{00000000-0005-0000-0000-00006F870000}"/>
    <cellStyle name="Normal 37 4 15 7 2" xfId="36654" xr:uid="{00000000-0005-0000-0000-000070870000}"/>
    <cellStyle name="Normal 37 4 15 8" xfId="19295" xr:uid="{00000000-0005-0000-0000-000071870000}"/>
    <cellStyle name="Normal 37 4 15 8 2" xfId="36655" xr:uid="{00000000-0005-0000-0000-000072870000}"/>
    <cellStyle name="Normal 37 4 15 9" xfId="19296" xr:uid="{00000000-0005-0000-0000-000073870000}"/>
    <cellStyle name="Normal 37 4 15 9 2" xfId="36656" xr:uid="{00000000-0005-0000-0000-000074870000}"/>
    <cellStyle name="Normal 37 4 16" xfId="19297" xr:uid="{00000000-0005-0000-0000-000075870000}"/>
    <cellStyle name="Normal 37 4 16 2" xfId="36657" xr:uid="{00000000-0005-0000-0000-000076870000}"/>
    <cellStyle name="Normal 37 4 17" xfId="19298" xr:uid="{00000000-0005-0000-0000-000077870000}"/>
    <cellStyle name="Normal 37 4 17 2" xfId="36658" xr:uid="{00000000-0005-0000-0000-000078870000}"/>
    <cellStyle name="Normal 37 4 18" xfId="19299" xr:uid="{00000000-0005-0000-0000-000079870000}"/>
    <cellStyle name="Normal 37 4 18 2" xfId="36659" xr:uid="{00000000-0005-0000-0000-00007A870000}"/>
    <cellStyle name="Normal 37 4 19" xfId="19300" xr:uid="{00000000-0005-0000-0000-00007B870000}"/>
    <cellStyle name="Normal 37 4 19 2" xfId="36660" xr:uid="{00000000-0005-0000-0000-00007C870000}"/>
    <cellStyle name="Normal 37 4 2" xfId="19301" xr:uid="{00000000-0005-0000-0000-00007D870000}"/>
    <cellStyle name="Normal 37 4 2 10" xfId="19302" xr:uid="{00000000-0005-0000-0000-00007E870000}"/>
    <cellStyle name="Normal 37 4 2 10 2" xfId="36662" xr:uid="{00000000-0005-0000-0000-00007F870000}"/>
    <cellStyle name="Normal 37 4 2 11" xfId="19303" xr:uid="{00000000-0005-0000-0000-000080870000}"/>
    <cellStyle name="Normal 37 4 2 11 2" xfId="36663" xr:uid="{00000000-0005-0000-0000-000081870000}"/>
    <cellStyle name="Normal 37 4 2 12" xfId="19304" xr:uid="{00000000-0005-0000-0000-000082870000}"/>
    <cellStyle name="Normal 37 4 2 12 2" xfId="36664" xr:uid="{00000000-0005-0000-0000-000083870000}"/>
    <cellStyle name="Normal 37 4 2 13" xfId="19305" xr:uid="{00000000-0005-0000-0000-000084870000}"/>
    <cellStyle name="Normal 37 4 2 13 2" xfId="36665" xr:uid="{00000000-0005-0000-0000-000085870000}"/>
    <cellStyle name="Normal 37 4 2 14" xfId="19306" xr:uid="{00000000-0005-0000-0000-000086870000}"/>
    <cellStyle name="Normal 37 4 2 14 2" xfId="36666" xr:uid="{00000000-0005-0000-0000-000087870000}"/>
    <cellStyle name="Normal 37 4 2 15" xfId="19307" xr:uid="{00000000-0005-0000-0000-000088870000}"/>
    <cellStyle name="Normal 37 4 2 15 2" xfId="36667" xr:uid="{00000000-0005-0000-0000-000089870000}"/>
    <cellStyle name="Normal 37 4 2 16" xfId="36661" xr:uid="{00000000-0005-0000-0000-00008A870000}"/>
    <cellStyle name="Normal 37 4 2 2" xfId="19308" xr:uid="{00000000-0005-0000-0000-00008B870000}"/>
    <cellStyle name="Normal 37 4 2 2 10" xfId="19309" xr:uid="{00000000-0005-0000-0000-00008C870000}"/>
    <cellStyle name="Normal 37 4 2 2 10 2" xfId="36669" xr:uid="{00000000-0005-0000-0000-00008D870000}"/>
    <cellStyle name="Normal 37 4 2 2 11" xfId="19310" xr:uid="{00000000-0005-0000-0000-00008E870000}"/>
    <cellStyle name="Normal 37 4 2 2 11 2" xfId="36670" xr:uid="{00000000-0005-0000-0000-00008F870000}"/>
    <cellStyle name="Normal 37 4 2 2 12" xfId="19311" xr:uid="{00000000-0005-0000-0000-000090870000}"/>
    <cellStyle name="Normal 37 4 2 2 12 2" xfId="36671" xr:uid="{00000000-0005-0000-0000-000091870000}"/>
    <cellStyle name="Normal 37 4 2 2 13" xfId="19312" xr:uid="{00000000-0005-0000-0000-000092870000}"/>
    <cellStyle name="Normal 37 4 2 2 13 2" xfId="36672" xr:uid="{00000000-0005-0000-0000-000093870000}"/>
    <cellStyle name="Normal 37 4 2 2 14" xfId="19313" xr:uid="{00000000-0005-0000-0000-000094870000}"/>
    <cellStyle name="Normal 37 4 2 2 14 2" xfId="36673" xr:uid="{00000000-0005-0000-0000-000095870000}"/>
    <cellStyle name="Normal 37 4 2 2 15" xfId="36668" xr:uid="{00000000-0005-0000-0000-000096870000}"/>
    <cellStyle name="Normal 37 4 2 2 2" xfId="19314" xr:uid="{00000000-0005-0000-0000-000097870000}"/>
    <cellStyle name="Normal 37 4 2 2 2 2" xfId="36674" xr:uid="{00000000-0005-0000-0000-000098870000}"/>
    <cellStyle name="Normal 37 4 2 2 3" xfId="19315" xr:uid="{00000000-0005-0000-0000-000099870000}"/>
    <cellStyle name="Normal 37 4 2 2 3 2" xfId="36675" xr:uid="{00000000-0005-0000-0000-00009A870000}"/>
    <cellStyle name="Normal 37 4 2 2 4" xfId="19316" xr:uid="{00000000-0005-0000-0000-00009B870000}"/>
    <cellStyle name="Normal 37 4 2 2 4 2" xfId="36676" xr:uid="{00000000-0005-0000-0000-00009C870000}"/>
    <cellStyle name="Normal 37 4 2 2 5" xfId="19317" xr:uid="{00000000-0005-0000-0000-00009D870000}"/>
    <cellStyle name="Normal 37 4 2 2 5 2" xfId="36677" xr:uid="{00000000-0005-0000-0000-00009E870000}"/>
    <cellStyle name="Normal 37 4 2 2 6" xfId="19318" xr:uid="{00000000-0005-0000-0000-00009F870000}"/>
    <cellStyle name="Normal 37 4 2 2 6 2" xfId="36678" xr:uid="{00000000-0005-0000-0000-0000A0870000}"/>
    <cellStyle name="Normal 37 4 2 2 7" xfId="19319" xr:uid="{00000000-0005-0000-0000-0000A1870000}"/>
    <cellStyle name="Normal 37 4 2 2 7 2" xfId="36679" xr:uid="{00000000-0005-0000-0000-0000A2870000}"/>
    <cellStyle name="Normal 37 4 2 2 8" xfId="19320" xr:uid="{00000000-0005-0000-0000-0000A3870000}"/>
    <cellStyle name="Normal 37 4 2 2 8 2" xfId="36680" xr:uid="{00000000-0005-0000-0000-0000A4870000}"/>
    <cellStyle name="Normal 37 4 2 2 9" xfId="19321" xr:uid="{00000000-0005-0000-0000-0000A5870000}"/>
    <cellStyle name="Normal 37 4 2 2 9 2" xfId="36681" xr:uid="{00000000-0005-0000-0000-0000A6870000}"/>
    <cellStyle name="Normal 37 4 2 3" xfId="19322" xr:uid="{00000000-0005-0000-0000-0000A7870000}"/>
    <cellStyle name="Normal 37 4 2 3 2" xfId="36682" xr:uid="{00000000-0005-0000-0000-0000A8870000}"/>
    <cellStyle name="Normal 37 4 2 4" xfId="19323" xr:uid="{00000000-0005-0000-0000-0000A9870000}"/>
    <cellStyle name="Normal 37 4 2 4 2" xfId="36683" xr:uid="{00000000-0005-0000-0000-0000AA870000}"/>
    <cellStyle name="Normal 37 4 2 5" xfId="19324" xr:uid="{00000000-0005-0000-0000-0000AB870000}"/>
    <cellStyle name="Normal 37 4 2 5 2" xfId="36684" xr:uid="{00000000-0005-0000-0000-0000AC870000}"/>
    <cellStyle name="Normal 37 4 2 6" xfId="19325" xr:uid="{00000000-0005-0000-0000-0000AD870000}"/>
    <cellStyle name="Normal 37 4 2 6 2" xfId="36685" xr:uid="{00000000-0005-0000-0000-0000AE870000}"/>
    <cellStyle name="Normal 37 4 2 7" xfId="19326" xr:uid="{00000000-0005-0000-0000-0000AF870000}"/>
    <cellStyle name="Normal 37 4 2 7 2" xfId="36686" xr:uid="{00000000-0005-0000-0000-0000B0870000}"/>
    <cellStyle name="Normal 37 4 2 8" xfId="19327" xr:uid="{00000000-0005-0000-0000-0000B1870000}"/>
    <cellStyle name="Normal 37 4 2 8 2" xfId="36687" xr:uid="{00000000-0005-0000-0000-0000B2870000}"/>
    <cellStyle name="Normal 37 4 2 9" xfId="19328" xr:uid="{00000000-0005-0000-0000-0000B3870000}"/>
    <cellStyle name="Normal 37 4 2 9 2" xfId="36688" xr:uid="{00000000-0005-0000-0000-0000B4870000}"/>
    <cellStyle name="Normal 37 4 20" xfId="19329" xr:uid="{00000000-0005-0000-0000-0000B5870000}"/>
    <cellStyle name="Normal 37 4 20 2" xfId="36689" xr:uid="{00000000-0005-0000-0000-0000B6870000}"/>
    <cellStyle name="Normal 37 4 21" xfId="19330" xr:uid="{00000000-0005-0000-0000-0000B7870000}"/>
    <cellStyle name="Normal 37 4 21 2" xfId="36690" xr:uid="{00000000-0005-0000-0000-0000B8870000}"/>
    <cellStyle name="Normal 37 4 22" xfId="19331" xr:uid="{00000000-0005-0000-0000-0000B9870000}"/>
    <cellStyle name="Normal 37 4 22 2" xfId="36691" xr:uid="{00000000-0005-0000-0000-0000BA870000}"/>
    <cellStyle name="Normal 37 4 23" xfId="19332" xr:uid="{00000000-0005-0000-0000-0000BB870000}"/>
    <cellStyle name="Normal 37 4 23 2" xfId="36692" xr:uid="{00000000-0005-0000-0000-0000BC870000}"/>
    <cellStyle name="Normal 37 4 24" xfId="19333" xr:uid="{00000000-0005-0000-0000-0000BD870000}"/>
    <cellStyle name="Normal 37 4 24 2" xfId="36693" xr:uid="{00000000-0005-0000-0000-0000BE870000}"/>
    <cellStyle name="Normal 37 4 25" xfId="19334" xr:uid="{00000000-0005-0000-0000-0000BF870000}"/>
    <cellStyle name="Normal 37 4 25 2" xfId="36694" xr:uid="{00000000-0005-0000-0000-0000C0870000}"/>
    <cellStyle name="Normal 37 4 26" xfId="19335" xr:uid="{00000000-0005-0000-0000-0000C1870000}"/>
    <cellStyle name="Normal 37 4 26 2" xfId="36695" xr:uid="{00000000-0005-0000-0000-0000C2870000}"/>
    <cellStyle name="Normal 37 4 27" xfId="19336" xr:uid="{00000000-0005-0000-0000-0000C3870000}"/>
    <cellStyle name="Normal 37 4 27 2" xfId="36696" xr:uid="{00000000-0005-0000-0000-0000C4870000}"/>
    <cellStyle name="Normal 37 4 28" xfId="19337" xr:uid="{00000000-0005-0000-0000-0000C5870000}"/>
    <cellStyle name="Normal 37 4 28 2" xfId="36697" xr:uid="{00000000-0005-0000-0000-0000C6870000}"/>
    <cellStyle name="Normal 37 4 29" xfId="36572" xr:uid="{00000000-0005-0000-0000-0000C7870000}"/>
    <cellStyle name="Normal 37 4 3" xfId="19338" xr:uid="{00000000-0005-0000-0000-0000C8870000}"/>
    <cellStyle name="Normal 37 4 3 10" xfId="19339" xr:uid="{00000000-0005-0000-0000-0000C9870000}"/>
    <cellStyle name="Normal 37 4 3 10 2" xfId="36699" xr:uid="{00000000-0005-0000-0000-0000CA870000}"/>
    <cellStyle name="Normal 37 4 3 11" xfId="19340" xr:uid="{00000000-0005-0000-0000-0000CB870000}"/>
    <cellStyle name="Normal 37 4 3 11 2" xfId="36700" xr:uid="{00000000-0005-0000-0000-0000CC870000}"/>
    <cellStyle name="Normal 37 4 3 12" xfId="19341" xr:uid="{00000000-0005-0000-0000-0000CD870000}"/>
    <cellStyle name="Normal 37 4 3 12 2" xfId="36701" xr:uid="{00000000-0005-0000-0000-0000CE870000}"/>
    <cellStyle name="Normal 37 4 3 13" xfId="19342" xr:uid="{00000000-0005-0000-0000-0000CF870000}"/>
    <cellStyle name="Normal 37 4 3 13 2" xfId="36702" xr:uid="{00000000-0005-0000-0000-0000D0870000}"/>
    <cellStyle name="Normal 37 4 3 14" xfId="19343" xr:uid="{00000000-0005-0000-0000-0000D1870000}"/>
    <cellStyle name="Normal 37 4 3 14 2" xfId="36703" xr:uid="{00000000-0005-0000-0000-0000D2870000}"/>
    <cellStyle name="Normal 37 4 3 15" xfId="19344" xr:uid="{00000000-0005-0000-0000-0000D3870000}"/>
    <cellStyle name="Normal 37 4 3 15 2" xfId="36704" xr:uid="{00000000-0005-0000-0000-0000D4870000}"/>
    <cellStyle name="Normal 37 4 3 16" xfId="36698" xr:uid="{00000000-0005-0000-0000-0000D5870000}"/>
    <cellStyle name="Normal 37 4 3 2" xfId="19345" xr:uid="{00000000-0005-0000-0000-0000D6870000}"/>
    <cellStyle name="Normal 37 4 3 2 10" xfId="19346" xr:uid="{00000000-0005-0000-0000-0000D7870000}"/>
    <cellStyle name="Normal 37 4 3 2 10 2" xfId="36706" xr:uid="{00000000-0005-0000-0000-0000D8870000}"/>
    <cellStyle name="Normal 37 4 3 2 11" xfId="19347" xr:uid="{00000000-0005-0000-0000-0000D9870000}"/>
    <cellStyle name="Normal 37 4 3 2 11 2" xfId="36707" xr:uid="{00000000-0005-0000-0000-0000DA870000}"/>
    <cellStyle name="Normal 37 4 3 2 12" xfId="19348" xr:uid="{00000000-0005-0000-0000-0000DB870000}"/>
    <cellStyle name="Normal 37 4 3 2 12 2" xfId="36708" xr:uid="{00000000-0005-0000-0000-0000DC870000}"/>
    <cellStyle name="Normal 37 4 3 2 13" xfId="19349" xr:uid="{00000000-0005-0000-0000-0000DD870000}"/>
    <cellStyle name="Normal 37 4 3 2 13 2" xfId="36709" xr:uid="{00000000-0005-0000-0000-0000DE870000}"/>
    <cellStyle name="Normal 37 4 3 2 14" xfId="19350" xr:uid="{00000000-0005-0000-0000-0000DF870000}"/>
    <cellStyle name="Normal 37 4 3 2 14 2" xfId="36710" xr:uid="{00000000-0005-0000-0000-0000E0870000}"/>
    <cellStyle name="Normal 37 4 3 2 15" xfId="36705" xr:uid="{00000000-0005-0000-0000-0000E1870000}"/>
    <cellStyle name="Normal 37 4 3 2 2" xfId="19351" xr:uid="{00000000-0005-0000-0000-0000E2870000}"/>
    <cellStyle name="Normal 37 4 3 2 2 2" xfId="36711" xr:uid="{00000000-0005-0000-0000-0000E3870000}"/>
    <cellStyle name="Normal 37 4 3 2 3" xfId="19352" xr:uid="{00000000-0005-0000-0000-0000E4870000}"/>
    <cellStyle name="Normal 37 4 3 2 3 2" xfId="36712" xr:uid="{00000000-0005-0000-0000-0000E5870000}"/>
    <cellStyle name="Normal 37 4 3 2 4" xfId="19353" xr:uid="{00000000-0005-0000-0000-0000E6870000}"/>
    <cellStyle name="Normal 37 4 3 2 4 2" xfId="36713" xr:uid="{00000000-0005-0000-0000-0000E7870000}"/>
    <cellStyle name="Normal 37 4 3 2 5" xfId="19354" xr:uid="{00000000-0005-0000-0000-0000E8870000}"/>
    <cellStyle name="Normal 37 4 3 2 5 2" xfId="36714" xr:uid="{00000000-0005-0000-0000-0000E9870000}"/>
    <cellStyle name="Normal 37 4 3 2 6" xfId="19355" xr:uid="{00000000-0005-0000-0000-0000EA870000}"/>
    <cellStyle name="Normal 37 4 3 2 6 2" xfId="36715" xr:uid="{00000000-0005-0000-0000-0000EB870000}"/>
    <cellStyle name="Normal 37 4 3 2 7" xfId="19356" xr:uid="{00000000-0005-0000-0000-0000EC870000}"/>
    <cellStyle name="Normal 37 4 3 2 7 2" xfId="36716" xr:uid="{00000000-0005-0000-0000-0000ED870000}"/>
    <cellStyle name="Normal 37 4 3 2 8" xfId="19357" xr:uid="{00000000-0005-0000-0000-0000EE870000}"/>
    <cellStyle name="Normal 37 4 3 2 8 2" xfId="36717" xr:uid="{00000000-0005-0000-0000-0000EF870000}"/>
    <cellStyle name="Normal 37 4 3 2 9" xfId="19358" xr:uid="{00000000-0005-0000-0000-0000F0870000}"/>
    <cellStyle name="Normal 37 4 3 2 9 2" xfId="36718" xr:uid="{00000000-0005-0000-0000-0000F1870000}"/>
    <cellStyle name="Normal 37 4 3 3" xfId="19359" xr:uid="{00000000-0005-0000-0000-0000F2870000}"/>
    <cellStyle name="Normal 37 4 3 3 2" xfId="36719" xr:uid="{00000000-0005-0000-0000-0000F3870000}"/>
    <cellStyle name="Normal 37 4 3 4" xfId="19360" xr:uid="{00000000-0005-0000-0000-0000F4870000}"/>
    <cellStyle name="Normal 37 4 3 4 2" xfId="36720" xr:uid="{00000000-0005-0000-0000-0000F5870000}"/>
    <cellStyle name="Normal 37 4 3 5" xfId="19361" xr:uid="{00000000-0005-0000-0000-0000F6870000}"/>
    <cellStyle name="Normal 37 4 3 5 2" xfId="36721" xr:uid="{00000000-0005-0000-0000-0000F7870000}"/>
    <cellStyle name="Normal 37 4 3 6" xfId="19362" xr:uid="{00000000-0005-0000-0000-0000F8870000}"/>
    <cellStyle name="Normal 37 4 3 6 2" xfId="36722" xr:uid="{00000000-0005-0000-0000-0000F9870000}"/>
    <cellStyle name="Normal 37 4 3 7" xfId="19363" xr:uid="{00000000-0005-0000-0000-0000FA870000}"/>
    <cellStyle name="Normal 37 4 3 7 2" xfId="36723" xr:uid="{00000000-0005-0000-0000-0000FB870000}"/>
    <cellStyle name="Normal 37 4 3 8" xfId="19364" xr:uid="{00000000-0005-0000-0000-0000FC870000}"/>
    <cellStyle name="Normal 37 4 3 8 2" xfId="36724" xr:uid="{00000000-0005-0000-0000-0000FD870000}"/>
    <cellStyle name="Normal 37 4 3 9" xfId="19365" xr:uid="{00000000-0005-0000-0000-0000FE870000}"/>
    <cellStyle name="Normal 37 4 3 9 2" xfId="36725" xr:uid="{00000000-0005-0000-0000-0000FF870000}"/>
    <cellStyle name="Normal 37 4 4" xfId="19366" xr:uid="{00000000-0005-0000-0000-000000880000}"/>
    <cellStyle name="Normal 37 4 4 10" xfId="19367" xr:uid="{00000000-0005-0000-0000-000001880000}"/>
    <cellStyle name="Normal 37 4 4 10 2" xfId="36727" xr:uid="{00000000-0005-0000-0000-000002880000}"/>
    <cellStyle name="Normal 37 4 4 11" xfId="19368" xr:uid="{00000000-0005-0000-0000-000003880000}"/>
    <cellStyle name="Normal 37 4 4 11 2" xfId="36728" xr:uid="{00000000-0005-0000-0000-000004880000}"/>
    <cellStyle name="Normal 37 4 4 12" xfId="19369" xr:uid="{00000000-0005-0000-0000-000005880000}"/>
    <cellStyle name="Normal 37 4 4 12 2" xfId="36729" xr:uid="{00000000-0005-0000-0000-000006880000}"/>
    <cellStyle name="Normal 37 4 4 13" xfId="19370" xr:uid="{00000000-0005-0000-0000-000007880000}"/>
    <cellStyle name="Normal 37 4 4 13 2" xfId="36730" xr:uid="{00000000-0005-0000-0000-000008880000}"/>
    <cellStyle name="Normal 37 4 4 14" xfId="19371" xr:uid="{00000000-0005-0000-0000-000009880000}"/>
    <cellStyle name="Normal 37 4 4 14 2" xfId="36731" xr:uid="{00000000-0005-0000-0000-00000A880000}"/>
    <cellStyle name="Normal 37 4 4 15" xfId="19372" xr:uid="{00000000-0005-0000-0000-00000B880000}"/>
    <cellStyle name="Normal 37 4 4 15 2" xfId="36732" xr:uid="{00000000-0005-0000-0000-00000C880000}"/>
    <cellStyle name="Normal 37 4 4 16" xfId="36726" xr:uid="{00000000-0005-0000-0000-00000D880000}"/>
    <cellStyle name="Normal 37 4 4 2" xfId="19373" xr:uid="{00000000-0005-0000-0000-00000E880000}"/>
    <cellStyle name="Normal 37 4 4 2 10" xfId="19374" xr:uid="{00000000-0005-0000-0000-00000F880000}"/>
    <cellStyle name="Normal 37 4 4 2 10 2" xfId="36734" xr:uid="{00000000-0005-0000-0000-000010880000}"/>
    <cellStyle name="Normal 37 4 4 2 11" xfId="19375" xr:uid="{00000000-0005-0000-0000-000011880000}"/>
    <cellStyle name="Normal 37 4 4 2 11 2" xfId="36735" xr:uid="{00000000-0005-0000-0000-000012880000}"/>
    <cellStyle name="Normal 37 4 4 2 12" xfId="19376" xr:uid="{00000000-0005-0000-0000-000013880000}"/>
    <cellStyle name="Normal 37 4 4 2 12 2" xfId="36736" xr:uid="{00000000-0005-0000-0000-000014880000}"/>
    <cellStyle name="Normal 37 4 4 2 13" xfId="19377" xr:uid="{00000000-0005-0000-0000-000015880000}"/>
    <cellStyle name="Normal 37 4 4 2 13 2" xfId="36737" xr:uid="{00000000-0005-0000-0000-000016880000}"/>
    <cellStyle name="Normal 37 4 4 2 14" xfId="19378" xr:uid="{00000000-0005-0000-0000-000017880000}"/>
    <cellStyle name="Normal 37 4 4 2 14 2" xfId="36738" xr:uid="{00000000-0005-0000-0000-000018880000}"/>
    <cellStyle name="Normal 37 4 4 2 15" xfId="36733" xr:uid="{00000000-0005-0000-0000-000019880000}"/>
    <cellStyle name="Normal 37 4 4 2 2" xfId="19379" xr:uid="{00000000-0005-0000-0000-00001A880000}"/>
    <cellStyle name="Normal 37 4 4 2 2 2" xfId="36739" xr:uid="{00000000-0005-0000-0000-00001B880000}"/>
    <cellStyle name="Normal 37 4 4 2 3" xfId="19380" xr:uid="{00000000-0005-0000-0000-00001C880000}"/>
    <cellStyle name="Normal 37 4 4 2 3 2" xfId="36740" xr:uid="{00000000-0005-0000-0000-00001D880000}"/>
    <cellStyle name="Normal 37 4 4 2 4" xfId="19381" xr:uid="{00000000-0005-0000-0000-00001E880000}"/>
    <cellStyle name="Normal 37 4 4 2 4 2" xfId="36741" xr:uid="{00000000-0005-0000-0000-00001F880000}"/>
    <cellStyle name="Normal 37 4 4 2 5" xfId="19382" xr:uid="{00000000-0005-0000-0000-000020880000}"/>
    <cellStyle name="Normal 37 4 4 2 5 2" xfId="36742" xr:uid="{00000000-0005-0000-0000-000021880000}"/>
    <cellStyle name="Normal 37 4 4 2 6" xfId="19383" xr:uid="{00000000-0005-0000-0000-000022880000}"/>
    <cellStyle name="Normal 37 4 4 2 6 2" xfId="36743" xr:uid="{00000000-0005-0000-0000-000023880000}"/>
    <cellStyle name="Normal 37 4 4 2 7" xfId="19384" xr:uid="{00000000-0005-0000-0000-000024880000}"/>
    <cellStyle name="Normal 37 4 4 2 7 2" xfId="36744" xr:uid="{00000000-0005-0000-0000-000025880000}"/>
    <cellStyle name="Normal 37 4 4 2 8" xfId="19385" xr:uid="{00000000-0005-0000-0000-000026880000}"/>
    <cellStyle name="Normal 37 4 4 2 8 2" xfId="36745" xr:uid="{00000000-0005-0000-0000-000027880000}"/>
    <cellStyle name="Normal 37 4 4 2 9" xfId="19386" xr:uid="{00000000-0005-0000-0000-000028880000}"/>
    <cellStyle name="Normal 37 4 4 2 9 2" xfId="36746" xr:uid="{00000000-0005-0000-0000-000029880000}"/>
    <cellStyle name="Normal 37 4 4 3" xfId="19387" xr:uid="{00000000-0005-0000-0000-00002A880000}"/>
    <cellStyle name="Normal 37 4 4 3 2" xfId="36747" xr:uid="{00000000-0005-0000-0000-00002B880000}"/>
    <cellStyle name="Normal 37 4 4 4" xfId="19388" xr:uid="{00000000-0005-0000-0000-00002C880000}"/>
    <cellStyle name="Normal 37 4 4 4 2" xfId="36748" xr:uid="{00000000-0005-0000-0000-00002D880000}"/>
    <cellStyle name="Normal 37 4 4 5" xfId="19389" xr:uid="{00000000-0005-0000-0000-00002E880000}"/>
    <cellStyle name="Normal 37 4 4 5 2" xfId="36749" xr:uid="{00000000-0005-0000-0000-00002F880000}"/>
    <cellStyle name="Normal 37 4 4 6" xfId="19390" xr:uid="{00000000-0005-0000-0000-000030880000}"/>
    <cellStyle name="Normal 37 4 4 6 2" xfId="36750" xr:uid="{00000000-0005-0000-0000-000031880000}"/>
    <cellStyle name="Normal 37 4 4 7" xfId="19391" xr:uid="{00000000-0005-0000-0000-000032880000}"/>
    <cellStyle name="Normal 37 4 4 7 2" xfId="36751" xr:uid="{00000000-0005-0000-0000-000033880000}"/>
    <cellStyle name="Normal 37 4 4 8" xfId="19392" xr:uid="{00000000-0005-0000-0000-000034880000}"/>
    <cellStyle name="Normal 37 4 4 8 2" xfId="36752" xr:uid="{00000000-0005-0000-0000-000035880000}"/>
    <cellStyle name="Normal 37 4 4 9" xfId="19393" xr:uid="{00000000-0005-0000-0000-000036880000}"/>
    <cellStyle name="Normal 37 4 4 9 2" xfId="36753" xr:uid="{00000000-0005-0000-0000-000037880000}"/>
    <cellStyle name="Normal 37 4 5" xfId="19394" xr:uid="{00000000-0005-0000-0000-000038880000}"/>
    <cellStyle name="Normal 37 4 5 10" xfId="19395" xr:uid="{00000000-0005-0000-0000-000039880000}"/>
    <cellStyle name="Normal 37 4 5 10 2" xfId="36755" xr:uid="{00000000-0005-0000-0000-00003A880000}"/>
    <cellStyle name="Normal 37 4 5 11" xfId="19396" xr:uid="{00000000-0005-0000-0000-00003B880000}"/>
    <cellStyle name="Normal 37 4 5 11 2" xfId="36756" xr:uid="{00000000-0005-0000-0000-00003C880000}"/>
    <cellStyle name="Normal 37 4 5 12" xfId="19397" xr:uid="{00000000-0005-0000-0000-00003D880000}"/>
    <cellStyle name="Normal 37 4 5 12 2" xfId="36757" xr:uid="{00000000-0005-0000-0000-00003E880000}"/>
    <cellStyle name="Normal 37 4 5 13" xfId="19398" xr:uid="{00000000-0005-0000-0000-00003F880000}"/>
    <cellStyle name="Normal 37 4 5 13 2" xfId="36758" xr:uid="{00000000-0005-0000-0000-000040880000}"/>
    <cellStyle name="Normal 37 4 5 14" xfId="19399" xr:uid="{00000000-0005-0000-0000-000041880000}"/>
    <cellStyle name="Normal 37 4 5 14 2" xfId="36759" xr:uid="{00000000-0005-0000-0000-000042880000}"/>
    <cellStyle name="Normal 37 4 5 15" xfId="36754" xr:uid="{00000000-0005-0000-0000-000043880000}"/>
    <cellStyle name="Normal 37 4 5 2" xfId="19400" xr:uid="{00000000-0005-0000-0000-000044880000}"/>
    <cellStyle name="Normal 37 4 5 2 2" xfId="36760" xr:uid="{00000000-0005-0000-0000-000045880000}"/>
    <cellStyle name="Normal 37 4 5 3" xfId="19401" xr:uid="{00000000-0005-0000-0000-000046880000}"/>
    <cellStyle name="Normal 37 4 5 3 2" xfId="36761" xr:uid="{00000000-0005-0000-0000-000047880000}"/>
    <cellStyle name="Normal 37 4 5 4" xfId="19402" xr:uid="{00000000-0005-0000-0000-000048880000}"/>
    <cellStyle name="Normal 37 4 5 4 2" xfId="36762" xr:uid="{00000000-0005-0000-0000-000049880000}"/>
    <cellStyle name="Normal 37 4 5 5" xfId="19403" xr:uid="{00000000-0005-0000-0000-00004A880000}"/>
    <cellStyle name="Normal 37 4 5 5 2" xfId="36763" xr:uid="{00000000-0005-0000-0000-00004B880000}"/>
    <cellStyle name="Normal 37 4 5 6" xfId="19404" xr:uid="{00000000-0005-0000-0000-00004C880000}"/>
    <cellStyle name="Normal 37 4 5 6 2" xfId="36764" xr:uid="{00000000-0005-0000-0000-00004D880000}"/>
    <cellStyle name="Normal 37 4 5 7" xfId="19405" xr:uid="{00000000-0005-0000-0000-00004E880000}"/>
    <cellStyle name="Normal 37 4 5 7 2" xfId="36765" xr:uid="{00000000-0005-0000-0000-00004F880000}"/>
    <cellStyle name="Normal 37 4 5 8" xfId="19406" xr:uid="{00000000-0005-0000-0000-000050880000}"/>
    <cellStyle name="Normal 37 4 5 8 2" xfId="36766" xr:uid="{00000000-0005-0000-0000-000051880000}"/>
    <cellStyle name="Normal 37 4 5 9" xfId="19407" xr:uid="{00000000-0005-0000-0000-000052880000}"/>
    <cellStyle name="Normal 37 4 5 9 2" xfId="36767" xr:uid="{00000000-0005-0000-0000-000053880000}"/>
    <cellStyle name="Normal 37 4 6" xfId="19408" xr:uid="{00000000-0005-0000-0000-000054880000}"/>
    <cellStyle name="Normal 37 4 6 10" xfId="19409" xr:uid="{00000000-0005-0000-0000-000055880000}"/>
    <cellStyle name="Normal 37 4 6 10 2" xfId="36769" xr:uid="{00000000-0005-0000-0000-000056880000}"/>
    <cellStyle name="Normal 37 4 6 11" xfId="19410" xr:uid="{00000000-0005-0000-0000-000057880000}"/>
    <cellStyle name="Normal 37 4 6 11 2" xfId="36770" xr:uid="{00000000-0005-0000-0000-000058880000}"/>
    <cellStyle name="Normal 37 4 6 12" xfId="19411" xr:uid="{00000000-0005-0000-0000-000059880000}"/>
    <cellStyle name="Normal 37 4 6 12 2" xfId="36771" xr:uid="{00000000-0005-0000-0000-00005A880000}"/>
    <cellStyle name="Normal 37 4 6 13" xfId="19412" xr:uid="{00000000-0005-0000-0000-00005B880000}"/>
    <cellStyle name="Normal 37 4 6 13 2" xfId="36772" xr:uid="{00000000-0005-0000-0000-00005C880000}"/>
    <cellStyle name="Normal 37 4 6 14" xfId="19413" xr:uid="{00000000-0005-0000-0000-00005D880000}"/>
    <cellStyle name="Normal 37 4 6 14 2" xfId="36773" xr:uid="{00000000-0005-0000-0000-00005E880000}"/>
    <cellStyle name="Normal 37 4 6 15" xfId="36768" xr:uid="{00000000-0005-0000-0000-00005F880000}"/>
    <cellStyle name="Normal 37 4 6 2" xfId="19414" xr:uid="{00000000-0005-0000-0000-000060880000}"/>
    <cellStyle name="Normal 37 4 6 2 2" xfId="36774" xr:uid="{00000000-0005-0000-0000-000061880000}"/>
    <cellStyle name="Normal 37 4 6 3" xfId="19415" xr:uid="{00000000-0005-0000-0000-000062880000}"/>
    <cellStyle name="Normal 37 4 6 3 2" xfId="36775" xr:uid="{00000000-0005-0000-0000-000063880000}"/>
    <cellStyle name="Normal 37 4 6 4" xfId="19416" xr:uid="{00000000-0005-0000-0000-000064880000}"/>
    <cellStyle name="Normal 37 4 6 4 2" xfId="36776" xr:uid="{00000000-0005-0000-0000-000065880000}"/>
    <cellStyle name="Normal 37 4 6 5" xfId="19417" xr:uid="{00000000-0005-0000-0000-000066880000}"/>
    <cellStyle name="Normal 37 4 6 5 2" xfId="36777" xr:uid="{00000000-0005-0000-0000-000067880000}"/>
    <cellStyle name="Normal 37 4 6 6" xfId="19418" xr:uid="{00000000-0005-0000-0000-000068880000}"/>
    <cellStyle name="Normal 37 4 6 6 2" xfId="36778" xr:uid="{00000000-0005-0000-0000-000069880000}"/>
    <cellStyle name="Normal 37 4 6 7" xfId="19419" xr:uid="{00000000-0005-0000-0000-00006A880000}"/>
    <cellStyle name="Normal 37 4 6 7 2" xfId="36779" xr:uid="{00000000-0005-0000-0000-00006B880000}"/>
    <cellStyle name="Normal 37 4 6 8" xfId="19420" xr:uid="{00000000-0005-0000-0000-00006C880000}"/>
    <cellStyle name="Normal 37 4 6 8 2" xfId="36780" xr:uid="{00000000-0005-0000-0000-00006D880000}"/>
    <cellStyle name="Normal 37 4 6 9" xfId="19421" xr:uid="{00000000-0005-0000-0000-00006E880000}"/>
    <cellStyle name="Normal 37 4 6 9 2" xfId="36781" xr:uid="{00000000-0005-0000-0000-00006F880000}"/>
    <cellStyle name="Normal 37 4 7" xfId="19422" xr:uid="{00000000-0005-0000-0000-000070880000}"/>
    <cellStyle name="Normal 37 4 7 10" xfId="19423" xr:uid="{00000000-0005-0000-0000-000071880000}"/>
    <cellStyle name="Normal 37 4 7 10 2" xfId="36783" xr:uid="{00000000-0005-0000-0000-000072880000}"/>
    <cellStyle name="Normal 37 4 7 11" xfId="19424" xr:uid="{00000000-0005-0000-0000-000073880000}"/>
    <cellStyle name="Normal 37 4 7 11 2" xfId="36784" xr:uid="{00000000-0005-0000-0000-000074880000}"/>
    <cellStyle name="Normal 37 4 7 12" xfId="19425" xr:uid="{00000000-0005-0000-0000-000075880000}"/>
    <cellStyle name="Normal 37 4 7 12 2" xfId="36785" xr:uid="{00000000-0005-0000-0000-000076880000}"/>
    <cellStyle name="Normal 37 4 7 13" xfId="19426" xr:uid="{00000000-0005-0000-0000-000077880000}"/>
    <cellStyle name="Normal 37 4 7 13 2" xfId="36786" xr:uid="{00000000-0005-0000-0000-000078880000}"/>
    <cellStyle name="Normal 37 4 7 14" xfId="19427" xr:uid="{00000000-0005-0000-0000-000079880000}"/>
    <cellStyle name="Normal 37 4 7 14 2" xfId="36787" xr:uid="{00000000-0005-0000-0000-00007A880000}"/>
    <cellStyle name="Normal 37 4 7 15" xfId="36782" xr:uid="{00000000-0005-0000-0000-00007B880000}"/>
    <cellStyle name="Normal 37 4 7 2" xfId="19428" xr:uid="{00000000-0005-0000-0000-00007C880000}"/>
    <cellStyle name="Normal 37 4 7 2 2" xfId="36788" xr:uid="{00000000-0005-0000-0000-00007D880000}"/>
    <cellStyle name="Normal 37 4 7 3" xfId="19429" xr:uid="{00000000-0005-0000-0000-00007E880000}"/>
    <cellStyle name="Normal 37 4 7 3 2" xfId="36789" xr:uid="{00000000-0005-0000-0000-00007F880000}"/>
    <cellStyle name="Normal 37 4 7 4" xfId="19430" xr:uid="{00000000-0005-0000-0000-000080880000}"/>
    <cellStyle name="Normal 37 4 7 4 2" xfId="36790" xr:uid="{00000000-0005-0000-0000-000081880000}"/>
    <cellStyle name="Normal 37 4 7 5" xfId="19431" xr:uid="{00000000-0005-0000-0000-000082880000}"/>
    <cellStyle name="Normal 37 4 7 5 2" xfId="36791" xr:uid="{00000000-0005-0000-0000-000083880000}"/>
    <cellStyle name="Normal 37 4 7 6" xfId="19432" xr:uid="{00000000-0005-0000-0000-000084880000}"/>
    <cellStyle name="Normal 37 4 7 6 2" xfId="36792" xr:uid="{00000000-0005-0000-0000-000085880000}"/>
    <cellStyle name="Normal 37 4 7 7" xfId="19433" xr:uid="{00000000-0005-0000-0000-000086880000}"/>
    <cellStyle name="Normal 37 4 7 7 2" xfId="36793" xr:uid="{00000000-0005-0000-0000-000087880000}"/>
    <cellStyle name="Normal 37 4 7 8" xfId="19434" xr:uid="{00000000-0005-0000-0000-000088880000}"/>
    <cellStyle name="Normal 37 4 7 8 2" xfId="36794" xr:uid="{00000000-0005-0000-0000-000089880000}"/>
    <cellStyle name="Normal 37 4 7 9" xfId="19435" xr:uid="{00000000-0005-0000-0000-00008A880000}"/>
    <cellStyle name="Normal 37 4 7 9 2" xfId="36795" xr:uid="{00000000-0005-0000-0000-00008B880000}"/>
    <cellStyle name="Normal 37 4 8" xfId="19436" xr:uid="{00000000-0005-0000-0000-00008C880000}"/>
    <cellStyle name="Normal 37 4 8 10" xfId="19437" xr:uid="{00000000-0005-0000-0000-00008D880000}"/>
    <cellStyle name="Normal 37 4 8 10 2" xfId="36797" xr:uid="{00000000-0005-0000-0000-00008E880000}"/>
    <cellStyle name="Normal 37 4 8 11" xfId="19438" xr:uid="{00000000-0005-0000-0000-00008F880000}"/>
    <cellStyle name="Normal 37 4 8 11 2" xfId="36798" xr:uid="{00000000-0005-0000-0000-000090880000}"/>
    <cellStyle name="Normal 37 4 8 12" xfId="19439" xr:uid="{00000000-0005-0000-0000-000091880000}"/>
    <cellStyle name="Normal 37 4 8 12 2" xfId="36799" xr:uid="{00000000-0005-0000-0000-000092880000}"/>
    <cellStyle name="Normal 37 4 8 13" xfId="19440" xr:uid="{00000000-0005-0000-0000-000093880000}"/>
    <cellStyle name="Normal 37 4 8 13 2" xfId="36800" xr:uid="{00000000-0005-0000-0000-000094880000}"/>
    <cellStyle name="Normal 37 4 8 14" xfId="19441" xr:uid="{00000000-0005-0000-0000-000095880000}"/>
    <cellStyle name="Normal 37 4 8 14 2" xfId="36801" xr:uid="{00000000-0005-0000-0000-000096880000}"/>
    <cellStyle name="Normal 37 4 8 15" xfId="36796" xr:uid="{00000000-0005-0000-0000-000097880000}"/>
    <cellStyle name="Normal 37 4 8 2" xfId="19442" xr:uid="{00000000-0005-0000-0000-000098880000}"/>
    <cellStyle name="Normal 37 4 8 2 2" xfId="36802" xr:uid="{00000000-0005-0000-0000-000099880000}"/>
    <cellStyle name="Normal 37 4 8 3" xfId="19443" xr:uid="{00000000-0005-0000-0000-00009A880000}"/>
    <cellStyle name="Normal 37 4 8 3 2" xfId="36803" xr:uid="{00000000-0005-0000-0000-00009B880000}"/>
    <cellStyle name="Normal 37 4 8 4" xfId="19444" xr:uid="{00000000-0005-0000-0000-00009C880000}"/>
    <cellStyle name="Normal 37 4 8 4 2" xfId="36804" xr:uid="{00000000-0005-0000-0000-00009D880000}"/>
    <cellStyle name="Normal 37 4 8 5" xfId="19445" xr:uid="{00000000-0005-0000-0000-00009E880000}"/>
    <cellStyle name="Normal 37 4 8 5 2" xfId="36805" xr:uid="{00000000-0005-0000-0000-00009F880000}"/>
    <cellStyle name="Normal 37 4 8 6" xfId="19446" xr:uid="{00000000-0005-0000-0000-0000A0880000}"/>
    <cellStyle name="Normal 37 4 8 6 2" xfId="36806" xr:uid="{00000000-0005-0000-0000-0000A1880000}"/>
    <cellStyle name="Normal 37 4 8 7" xfId="19447" xr:uid="{00000000-0005-0000-0000-0000A2880000}"/>
    <cellStyle name="Normal 37 4 8 7 2" xfId="36807" xr:uid="{00000000-0005-0000-0000-0000A3880000}"/>
    <cellStyle name="Normal 37 4 8 8" xfId="19448" xr:uid="{00000000-0005-0000-0000-0000A4880000}"/>
    <cellStyle name="Normal 37 4 8 8 2" xfId="36808" xr:uid="{00000000-0005-0000-0000-0000A5880000}"/>
    <cellStyle name="Normal 37 4 8 9" xfId="19449" xr:uid="{00000000-0005-0000-0000-0000A6880000}"/>
    <cellStyle name="Normal 37 4 8 9 2" xfId="36809" xr:uid="{00000000-0005-0000-0000-0000A7880000}"/>
    <cellStyle name="Normal 37 4 9" xfId="19450" xr:uid="{00000000-0005-0000-0000-0000A8880000}"/>
    <cellStyle name="Normal 37 4 9 10" xfId="19451" xr:uid="{00000000-0005-0000-0000-0000A9880000}"/>
    <cellStyle name="Normal 37 4 9 10 2" xfId="36811" xr:uid="{00000000-0005-0000-0000-0000AA880000}"/>
    <cellStyle name="Normal 37 4 9 11" xfId="19452" xr:uid="{00000000-0005-0000-0000-0000AB880000}"/>
    <cellStyle name="Normal 37 4 9 11 2" xfId="36812" xr:uid="{00000000-0005-0000-0000-0000AC880000}"/>
    <cellStyle name="Normal 37 4 9 12" xfId="19453" xr:uid="{00000000-0005-0000-0000-0000AD880000}"/>
    <cellStyle name="Normal 37 4 9 12 2" xfId="36813" xr:uid="{00000000-0005-0000-0000-0000AE880000}"/>
    <cellStyle name="Normal 37 4 9 13" xfId="19454" xr:uid="{00000000-0005-0000-0000-0000AF880000}"/>
    <cellStyle name="Normal 37 4 9 13 2" xfId="36814" xr:uid="{00000000-0005-0000-0000-0000B0880000}"/>
    <cellStyle name="Normal 37 4 9 14" xfId="19455" xr:uid="{00000000-0005-0000-0000-0000B1880000}"/>
    <cellStyle name="Normal 37 4 9 14 2" xfId="36815" xr:uid="{00000000-0005-0000-0000-0000B2880000}"/>
    <cellStyle name="Normal 37 4 9 15" xfId="36810" xr:uid="{00000000-0005-0000-0000-0000B3880000}"/>
    <cellStyle name="Normal 37 4 9 2" xfId="19456" xr:uid="{00000000-0005-0000-0000-0000B4880000}"/>
    <cellStyle name="Normal 37 4 9 2 2" xfId="36816" xr:uid="{00000000-0005-0000-0000-0000B5880000}"/>
    <cellStyle name="Normal 37 4 9 3" xfId="19457" xr:uid="{00000000-0005-0000-0000-0000B6880000}"/>
    <cellStyle name="Normal 37 4 9 3 2" xfId="36817" xr:uid="{00000000-0005-0000-0000-0000B7880000}"/>
    <cellStyle name="Normal 37 4 9 4" xfId="19458" xr:uid="{00000000-0005-0000-0000-0000B8880000}"/>
    <cellStyle name="Normal 37 4 9 4 2" xfId="36818" xr:uid="{00000000-0005-0000-0000-0000B9880000}"/>
    <cellStyle name="Normal 37 4 9 5" xfId="19459" xr:uid="{00000000-0005-0000-0000-0000BA880000}"/>
    <cellStyle name="Normal 37 4 9 5 2" xfId="36819" xr:uid="{00000000-0005-0000-0000-0000BB880000}"/>
    <cellStyle name="Normal 37 4 9 6" xfId="19460" xr:uid="{00000000-0005-0000-0000-0000BC880000}"/>
    <cellStyle name="Normal 37 4 9 6 2" xfId="36820" xr:uid="{00000000-0005-0000-0000-0000BD880000}"/>
    <cellStyle name="Normal 37 4 9 7" xfId="19461" xr:uid="{00000000-0005-0000-0000-0000BE880000}"/>
    <cellStyle name="Normal 37 4 9 7 2" xfId="36821" xr:uid="{00000000-0005-0000-0000-0000BF880000}"/>
    <cellStyle name="Normal 37 4 9 8" xfId="19462" xr:uid="{00000000-0005-0000-0000-0000C0880000}"/>
    <cellStyle name="Normal 37 4 9 8 2" xfId="36822" xr:uid="{00000000-0005-0000-0000-0000C1880000}"/>
    <cellStyle name="Normal 37 4 9 9" xfId="19463" xr:uid="{00000000-0005-0000-0000-0000C2880000}"/>
    <cellStyle name="Normal 37 4 9 9 2" xfId="36823" xr:uid="{00000000-0005-0000-0000-0000C3880000}"/>
    <cellStyle name="Normal 38" xfId="66" xr:uid="{00000000-0005-0000-0000-0000C4880000}"/>
    <cellStyle name="Normal 38 10" xfId="19464" xr:uid="{00000000-0005-0000-0000-0000C5880000}"/>
    <cellStyle name="Normal 38 10 10" xfId="19465" xr:uid="{00000000-0005-0000-0000-0000C6880000}"/>
    <cellStyle name="Normal 38 10 10 2" xfId="36826" xr:uid="{00000000-0005-0000-0000-0000C7880000}"/>
    <cellStyle name="Normal 38 10 11" xfId="19466" xr:uid="{00000000-0005-0000-0000-0000C8880000}"/>
    <cellStyle name="Normal 38 10 11 2" xfId="36827" xr:uid="{00000000-0005-0000-0000-0000C9880000}"/>
    <cellStyle name="Normal 38 10 12" xfId="19467" xr:uid="{00000000-0005-0000-0000-0000CA880000}"/>
    <cellStyle name="Normal 38 10 12 2" xfId="36828" xr:uid="{00000000-0005-0000-0000-0000CB880000}"/>
    <cellStyle name="Normal 38 10 13" xfId="19468" xr:uid="{00000000-0005-0000-0000-0000CC880000}"/>
    <cellStyle name="Normal 38 10 13 2" xfId="36829" xr:uid="{00000000-0005-0000-0000-0000CD880000}"/>
    <cellStyle name="Normal 38 10 14" xfId="19469" xr:uid="{00000000-0005-0000-0000-0000CE880000}"/>
    <cellStyle name="Normal 38 10 14 2" xfId="36830" xr:uid="{00000000-0005-0000-0000-0000CF880000}"/>
    <cellStyle name="Normal 38 10 15" xfId="36825" xr:uid="{00000000-0005-0000-0000-0000D0880000}"/>
    <cellStyle name="Normal 38 10 2" xfId="19470" xr:uid="{00000000-0005-0000-0000-0000D1880000}"/>
    <cellStyle name="Normal 38 10 2 2" xfId="36831" xr:uid="{00000000-0005-0000-0000-0000D2880000}"/>
    <cellStyle name="Normal 38 10 3" xfId="19471" xr:uid="{00000000-0005-0000-0000-0000D3880000}"/>
    <cellStyle name="Normal 38 10 3 2" xfId="36832" xr:uid="{00000000-0005-0000-0000-0000D4880000}"/>
    <cellStyle name="Normal 38 10 4" xfId="19472" xr:uid="{00000000-0005-0000-0000-0000D5880000}"/>
    <cellStyle name="Normal 38 10 4 2" xfId="36833" xr:uid="{00000000-0005-0000-0000-0000D6880000}"/>
    <cellStyle name="Normal 38 10 5" xfId="19473" xr:uid="{00000000-0005-0000-0000-0000D7880000}"/>
    <cellStyle name="Normal 38 10 5 2" xfId="36834" xr:uid="{00000000-0005-0000-0000-0000D8880000}"/>
    <cellStyle name="Normal 38 10 6" xfId="19474" xr:uid="{00000000-0005-0000-0000-0000D9880000}"/>
    <cellStyle name="Normal 38 10 6 2" xfId="36835" xr:uid="{00000000-0005-0000-0000-0000DA880000}"/>
    <cellStyle name="Normal 38 10 7" xfId="19475" xr:uid="{00000000-0005-0000-0000-0000DB880000}"/>
    <cellStyle name="Normal 38 10 7 2" xfId="36836" xr:uid="{00000000-0005-0000-0000-0000DC880000}"/>
    <cellStyle name="Normal 38 10 8" xfId="19476" xr:uid="{00000000-0005-0000-0000-0000DD880000}"/>
    <cellStyle name="Normal 38 10 8 2" xfId="36837" xr:uid="{00000000-0005-0000-0000-0000DE880000}"/>
    <cellStyle name="Normal 38 10 9" xfId="19477" xr:uid="{00000000-0005-0000-0000-0000DF880000}"/>
    <cellStyle name="Normal 38 10 9 2" xfId="36838" xr:uid="{00000000-0005-0000-0000-0000E0880000}"/>
    <cellStyle name="Normal 38 11" xfId="19478" xr:uid="{00000000-0005-0000-0000-0000E1880000}"/>
    <cellStyle name="Normal 38 11 10" xfId="19479" xr:uid="{00000000-0005-0000-0000-0000E2880000}"/>
    <cellStyle name="Normal 38 11 10 2" xfId="36840" xr:uid="{00000000-0005-0000-0000-0000E3880000}"/>
    <cellStyle name="Normal 38 11 11" xfId="19480" xr:uid="{00000000-0005-0000-0000-0000E4880000}"/>
    <cellStyle name="Normal 38 11 11 2" xfId="36841" xr:uid="{00000000-0005-0000-0000-0000E5880000}"/>
    <cellStyle name="Normal 38 11 12" xfId="19481" xr:uid="{00000000-0005-0000-0000-0000E6880000}"/>
    <cellStyle name="Normal 38 11 12 2" xfId="36842" xr:uid="{00000000-0005-0000-0000-0000E7880000}"/>
    <cellStyle name="Normal 38 11 13" xfId="19482" xr:uid="{00000000-0005-0000-0000-0000E8880000}"/>
    <cellStyle name="Normal 38 11 13 2" xfId="36843" xr:uid="{00000000-0005-0000-0000-0000E9880000}"/>
    <cellStyle name="Normal 38 11 14" xfId="19483" xr:uid="{00000000-0005-0000-0000-0000EA880000}"/>
    <cellStyle name="Normal 38 11 14 2" xfId="36844" xr:uid="{00000000-0005-0000-0000-0000EB880000}"/>
    <cellStyle name="Normal 38 11 15" xfId="36839" xr:uid="{00000000-0005-0000-0000-0000EC880000}"/>
    <cellStyle name="Normal 38 11 2" xfId="19484" xr:uid="{00000000-0005-0000-0000-0000ED880000}"/>
    <cellStyle name="Normal 38 11 2 2" xfId="36845" xr:uid="{00000000-0005-0000-0000-0000EE880000}"/>
    <cellStyle name="Normal 38 11 3" xfId="19485" xr:uid="{00000000-0005-0000-0000-0000EF880000}"/>
    <cellStyle name="Normal 38 11 3 2" xfId="36846" xr:uid="{00000000-0005-0000-0000-0000F0880000}"/>
    <cellStyle name="Normal 38 11 4" xfId="19486" xr:uid="{00000000-0005-0000-0000-0000F1880000}"/>
    <cellStyle name="Normal 38 11 4 2" xfId="36847" xr:uid="{00000000-0005-0000-0000-0000F2880000}"/>
    <cellStyle name="Normal 38 11 5" xfId="19487" xr:uid="{00000000-0005-0000-0000-0000F3880000}"/>
    <cellStyle name="Normal 38 11 5 2" xfId="36848" xr:uid="{00000000-0005-0000-0000-0000F4880000}"/>
    <cellStyle name="Normal 38 11 6" xfId="19488" xr:uid="{00000000-0005-0000-0000-0000F5880000}"/>
    <cellStyle name="Normal 38 11 6 2" xfId="36849" xr:uid="{00000000-0005-0000-0000-0000F6880000}"/>
    <cellStyle name="Normal 38 11 7" xfId="19489" xr:uid="{00000000-0005-0000-0000-0000F7880000}"/>
    <cellStyle name="Normal 38 11 7 2" xfId="36850" xr:uid="{00000000-0005-0000-0000-0000F8880000}"/>
    <cellStyle name="Normal 38 11 8" xfId="19490" xr:uid="{00000000-0005-0000-0000-0000F9880000}"/>
    <cellStyle name="Normal 38 11 8 2" xfId="36851" xr:uid="{00000000-0005-0000-0000-0000FA880000}"/>
    <cellStyle name="Normal 38 11 9" xfId="19491" xr:uid="{00000000-0005-0000-0000-0000FB880000}"/>
    <cellStyle name="Normal 38 11 9 2" xfId="36852" xr:uid="{00000000-0005-0000-0000-0000FC880000}"/>
    <cellStyle name="Normal 38 12" xfId="19492" xr:uid="{00000000-0005-0000-0000-0000FD880000}"/>
    <cellStyle name="Normal 38 12 10" xfId="19493" xr:uid="{00000000-0005-0000-0000-0000FE880000}"/>
    <cellStyle name="Normal 38 12 10 2" xfId="36854" xr:uid="{00000000-0005-0000-0000-0000FF880000}"/>
    <cellStyle name="Normal 38 12 11" xfId="19494" xr:uid="{00000000-0005-0000-0000-000000890000}"/>
    <cellStyle name="Normal 38 12 11 2" xfId="36855" xr:uid="{00000000-0005-0000-0000-000001890000}"/>
    <cellStyle name="Normal 38 12 12" xfId="19495" xr:uid="{00000000-0005-0000-0000-000002890000}"/>
    <cellStyle name="Normal 38 12 12 2" xfId="36856" xr:uid="{00000000-0005-0000-0000-000003890000}"/>
    <cellStyle name="Normal 38 12 13" xfId="19496" xr:uid="{00000000-0005-0000-0000-000004890000}"/>
    <cellStyle name="Normal 38 12 13 2" xfId="36857" xr:uid="{00000000-0005-0000-0000-000005890000}"/>
    <cellStyle name="Normal 38 12 14" xfId="19497" xr:uid="{00000000-0005-0000-0000-000006890000}"/>
    <cellStyle name="Normal 38 12 14 2" xfId="36858" xr:uid="{00000000-0005-0000-0000-000007890000}"/>
    <cellStyle name="Normal 38 12 15" xfId="36853" xr:uid="{00000000-0005-0000-0000-000008890000}"/>
    <cellStyle name="Normal 38 12 2" xfId="19498" xr:uid="{00000000-0005-0000-0000-000009890000}"/>
    <cellStyle name="Normal 38 12 2 2" xfId="36859" xr:uid="{00000000-0005-0000-0000-00000A890000}"/>
    <cellStyle name="Normal 38 12 3" xfId="19499" xr:uid="{00000000-0005-0000-0000-00000B890000}"/>
    <cellStyle name="Normal 38 12 3 2" xfId="36860" xr:uid="{00000000-0005-0000-0000-00000C890000}"/>
    <cellStyle name="Normal 38 12 4" xfId="19500" xr:uid="{00000000-0005-0000-0000-00000D890000}"/>
    <cellStyle name="Normal 38 12 4 2" xfId="36861" xr:uid="{00000000-0005-0000-0000-00000E890000}"/>
    <cellStyle name="Normal 38 12 5" xfId="19501" xr:uid="{00000000-0005-0000-0000-00000F890000}"/>
    <cellStyle name="Normal 38 12 5 2" xfId="36862" xr:uid="{00000000-0005-0000-0000-000010890000}"/>
    <cellStyle name="Normal 38 12 6" xfId="19502" xr:uid="{00000000-0005-0000-0000-000011890000}"/>
    <cellStyle name="Normal 38 12 6 2" xfId="36863" xr:uid="{00000000-0005-0000-0000-000012890000}"/>
    <cellStyle name="Normal 38 12 7" xfId="19503" xr:uid="{00000000-0005-0000-0000-000013890000}"/>
    <cellStyle name="Normal 38 12 7 2" xfId="36864" xr:uid="{00000000-0005-0000-0000-000014890000}"/>
    <cellStyle name="Normal 38 12 8" xfId="19504" xr:uid="{00000000-0005-0000-0000-000015890000}"/>
    <cellStyle name="Normal 38 12 8 2" xfId="36865" xr:uid="{00000000-0005-0000-0000-000016890000}"/>
    <cellStyle name="Normal 38 12 9" xfId="19505" xr:uid="{00000000-0005-0000-0000-000017890000}"/>
    <cellStyle name="Normal 38 12 9 2" xfId="36866" xr:uid="{00000000-0005-0000-0000-000018890000}"/>
    <cellStyle name="Normal 38 13" xfId="19506" xr:uid="{00000000-0005-0000-0000-000019890000}"/>
    <cellStyle name="Normal 38 13 10" xfId="19507" xr:uid="{00000000-0005-0000-0000-00001A890000}"/>
    <cellStyle name="Normal 38 13 10 2" xfId="36868" xr:uid="{00000000-0005-0000-0000-00001B890000}"/>
    <cellStyle name="Normal 38 13 11" xfId="19508" xr:uid="{00000000-0005-0000-0000-00001C890000}"/>
    <cellStyle name="Normal 38 13 11 2" xfId="36869" xr:uid="{00000000-0005-0000-0000-00001D890000}"/>
    <cellStyle name="Normal 38 13 12" xfId="19509" xr:uid="{00000000-0005-0000-0000-00001E890000}"/>
    <cellStyle name="Normal 38 13 12 2" xfId="36870" xr:uid="{00000000-0005-0000-0000-00001F890000}"/>
    <cellStyle name="Normal 38 13 13" xfId="19510" xr:uid="{00000000-0005-0000-0000-000020890000}"/>
    <cellStyle name="Normal 38 13 13 2" xfId="36871" xr:uid="{00000000-0005-0000-0000-000021890000}"/>
    <cellStyle name="Normal 38 13 14" xfId="19511" xr:uid="{00000000-0005-0000-0000-000022890000}"/>
    <cellStyle name="Normal 38 13 14 2" xfId="36872" xr:uid="{00000000-0005-0000-0000-000023890000}"/>
    <cellStyle name="Normal 38 13 15" xfId="36867" xr:uid="{00000000-0005-0000-0000-000024890000}"/>
    <cellStyle name="Normal 38 13 2" xfId="19512" xr:uid="{00000000-0005-0000-0000-000025890000}"/>
    <cellStyle name="Normal 38 13 2 2" xfId="36873" xr:uid="{00000000-0005-0000-0000-000026890000}"/>
    <cellStyle name="Normal 38 13 3" xfId="19513" xr:uid="{00000000-0005-0000-0000-000027890000}"/>
    <cellStyle name="Normal 38 13 3 2" xfId="36874" xr:uid="{00000000-0005-0000-0000-000028890000}"/>
    <cellStyle name="Normal 38 13 4" xfId="19514" xr:uid="{00000000-0005-0000-0000-000029890000}"/>
    <cellStyle name="Normal 38 13 4 2" xfId="36875" xr:uid="{00000000-0005-0000-0000-00002A890000}"/>
    <cellStyle name="Normal 38 13 5" xfId="19515" xr:uid="{00000000-0005-0000-0000-00002B890000}"/>
    <cellStyle name="Normal 38 13 5 2" xfId="36876" xr:uid="{00000000-0005-0000-0000-00002C890000}"/>
    <cellStyle name="Normal 38 13 6" xfId="19516" xr:uid="{00000000-0005-0000-0000-00002D890000}"/>
    <cellStyle name="Normal 38 13 6 2" xfId="36877" xr:uid="{00000000-0005-0000-0000-00002E890000}"/>
    <cellStyle name="Normal 38 13 7" xfId="19517" xr:uid="{00000000-0005-0000-0000-00002F890000}"/>
    <cellStyle name="Normal 38 13 7 2" xfId="36878" xr:uid="{00000000-0005-0000-0000-000030890000}"/>
    <cellStyle name="Normal 38 13 8" xfId="19518" xr:uid="{00000000-0005-0000-0000-000031890000}"/>
    <cellStyle name="Normal 38 13 8 2" xfId="36879" xr:uid="{00000000-0005-0000-0000-000032890000}"/>
    <cellStyle name="Normal 38 13 9" xfId="19519" xr:uid="{00000000-0005-0000-0000-000033890000}"/>
    <cellStyle name="Normal 38 13 9 2" xfId="36880" xr:uid="{00000000-0005-0000-0000-000034890000}"/>
    <cellStyle name="Normal 38 14" xfId="19520" xr:uid="{00000000-0005-0000-0000-000035890000}"/>
    <cellStyle name="Normal 38 14 10" xfId="19521" xr:uid="{00000000-0005-0000-0000-000036890000}"/>
    <cellStyle name="Normal 38 14 10 2" xfId="36882" xr:uid="{00000000-0005-0000-0000-000037890000}"/>
    <cellStyle name="Normal 38 14 11" xfId="19522" xr:uid="{00000000-0005-0000-0000-000038890000}"/>
    <cellStyle name="Normal 38 14 11 2" xfId="36883" xr:uid="{00000000-0005-0000-0000-000039890000}"/>
    <cellStyle name="Normal 38 14 12" xfId="19523" xr:uid="{00000000-0005-0000-0000-00003A890000}"/>
    <cellStyle name="Normal 38 14 12 2" xfId="36884" xr:uid="{00000000-0005-0000-0000-00003B890000}"/>
    <cellStyle name="Normal 38 14 13" xfId="19524" xr:uid="{00000000-0005-0000-0000-00003C890000}"/>
    <cellStyle name="Normal 38 14 13 2" xfId="36885" xr:uid="{00000000-0005-0000-0000-00003D890000}"/>
    <cellStyle name="Normal 38 14 14" xfId="19525" xr:uid="{00000000-0005-0000-0000-00003E890000}"/>
    <cellStyle name="Normal 38 14 14 2" xfId="36886" xr:uid="{00000000-0005-0000-0000-00003F890000}"/>
    <cellStyle name="Normal 38 14 15" xfId="36881" xr:uid="{00000000-0005-0000-0000-000040890000}"/>
    <cellStyle name="Normal 38 14 2" xfId="19526" xr:uid="{00000000-0005-0000-0000-000041890000}"/>
    <cellStyle name="Normal 38 14 2 2" xfId="36887" xr:uid="{00000000-0005-0000-0000-000042890000}"/>
    <cellStyle name="Normal 38 14 3" xfId="19527" xr:uid="{00000000-0005-0000-0000-000043890000}"/>
    <cellStyle name="Normal 38 14 3 2" xfId="36888" xr:uid="{00000000-0005-0000-0000-000044890000}"/>
    <cellStyle name="Normal 38 14 4" xfId="19528" xr:uid="{00000000-0005-0000-0000-000045890000}"/>
    <cellStyle name="Normal 38 14 4 2" xfId="36889" xr:uid="{00000000-0005-0000-0000-000046890000}"/>
    <cellStyle name="Normal 38 14 5" xfId="19529" xr:uid="{00000000-0005-0000-0000-000047890000}"/>
    <cellStyle name="Normal 38 14 5 2" xfId="36890" xr:uid="{00000000-0005-0000-0000-000048890000}"/>
    <cellStyle name="Normal 38 14 6" xfId="19530" xr:uid="{00000000-0005-0000-0000-000049890000}"/>
    <cellStyle name="Normal 38 14 6 2" xfId="36891" xr:uid="{00000000-0005-0000-0000-00004A890000}"/>
    <cellStyle name="Normal 38 14 7" xfId="19531" xr:uid="{00000000-0005-0000-0000-00004B890000}"/>
    <cellStyle name="Normal 38 14 7 2" xfId="36892" xr:uid="{00000000-0005-0000-0000-00004C890000}"/>
    <cellStyle name="Normal 38 14 8" xfId="19532" xr:uid="{00000000-0005-0000-0000-00004D890000}"/>
    <cellStyle name="Normal 38 14 8 2" xfId="36893" xr:uid="{00000000-0005-0000-0000-00004E890000}"/>
    <cellStyle name="Normal 38 14 9" xfId="19533" xr:uid="{00000000-0005-0000-0000-00004F890000}"/>
    <cellStyle name="Normal 38 14 9 2" xfId="36894" xr:uid="{00000000-0005-0000-0000-000050890000}"/>
    <cellStyle name="Normal 38 15" xfId="19534" xr:uid="{00000000-0005-0000-0000-000051890000}"/>
    <cellStyle name="Normal 38 15 10" xfId="19535" xr:uid="{00000000-0005-0000-0000-000052890000}"/>
    <cellStyle name="Normal 38 15 10 2" xfId="36896" xr:uid="{00000000-0005-0000-0000-000053890000}"/>
    <cellStyle name="Normal 38 15 11" xfId="19536" xr:uid="{00000000-0005-0000-0000-000054890000}"/>
    <cellStyle name="Normal 38 15 11 2" xfId="36897" xr:uid="{00000000-0005-0000-0000-000055890000}"/>
    <cellStyle name="Normal 38 15 12" xfId="19537" xr:uid="{00000000-0005-0000-0000-000056890000}"/>
    <cellStyle name="Normal 38 15 12 2" xfId="36898" xr:uid="{00000000-0005-0000-0000-000057890000}"/>
    <cellStyle name="Normal 38 15 13" xfId="19538" xr:uid="{00000000-0005-0000-0000-000058890000}"/>
    <cellStyle name="Normal 38 15 13 2" xfId="36899" xr:uid="{00000000-0005-0000-0000-000059890000}"/>
    <cellStyle name="Normal 38 15 14" xfId="19539" xr:uid="{00000000-0005-0000-0000-00005A890000}"/>
    <cellStyle name="Normal 38 15 14 2" xfId="36900" xr:uid="{00000000-0005-0000-0000-00005B890000}"/>
    <cellStyle name="Normal 38 15 15" xfId="36895" xr:uid="{00000000-0005-0000-0000-00005C890000}"/>
    <cellStyle name="Normal 38 15 2" xfId="19540" xr:uid="{00000000-0005-0000-0000-00005D890000}"/>
    <cellStyle name="Normal 38 15 2 2" xfId="36901" xr:uid="{00000000-0005-0000-0000-00005E890000}"/>
    <cellStyle name="Normal 38 15 3" xfId="19541" xr:uid="{00000000-0005-0000-0000-00005F890000}"/>
    <cellStyle name="Normal 38 15 3 2" xfId="36902" xr:uid="{00000000-0005-0000-0000-000060890000}"/>
    <cellStyle name="Normal 38 15 4" xfId="19542" xr:uid="{00000000-0005-0000-0000-000061890000}"/>
    <cellStyle name="Normal 38 15 4 2" xfId="36903" xr:uid="{00000000-0005-0000-0000-000062890000}"/>
    <cellStyle name="Normal 38 15 5" xfId="19543" xr:uid="{00000000-0005-0000-0000-000063890000}"/>
    <cellStyle name="Normal 38 15 5 2" xfId="36904" xr:uid="{00000000-0005-0000-0000-000064890000}"/>
    <cellStyle name="Normal 38 15 6" xfId="19544" xr:uid="{00000000-0005-0000-0000-000065890000}"/>
    <cellStyle name="Normal 38 15 6 2" xfId="36905" xr:uid="{00000000-0005-0000-0000-000066890000}"/>
    <cellStyle name="Normal 38 15 7" xfId="19545" xr:uid="{00000000-0005-0000-0000-000067890000}"/>
    <cellStyle name="Normal 38 15 7 2" xfId="36906" xr:uid="{00000000-0005-0000-0000-000068890000}"/>
    <cellStyle name="Normal 38 15 8" xfId="19546" xr:uid="{00000000-0005-0000-0000-000069890000}"/>
    <cellStyle name="Normal 38 15 8 2" xfId="36907" xr:uid="{00000000-0005-0000-0000-00006A890000}"/>
    <cellStyle name="Normal 38 15 9" xfId="19547" xr:uid="{00000000-0005-0000-0000-00006B890000}"/>
    <cellStyle name="Normal 38 15 9 2" xfId="36908" xr:uid="{00000000-0005-0000-0000-00006C890000}"/>
    <cellStyle name="Normal 38 16" xfId="19548" xr:uid="{00000000-0005-0000-0000-00006D890000}"/>
    <cellStyle name="Normal 38 16 10" xfId="19549" xr:uid="{00000000-0005-0000-0000-00006E890000}"/>
    <cellStyle name="Normal 38 16 10 2" xfId="36910" xr:uid="{00000000-0005-0000-0000-00006F890000}"/>
    <cellStyle name="Normal 38 16 11" xfId="19550" xr:uid="{00000000-0005-0000-0000-000070890000}"/>
    <cellStyle name="Normal 38 16 11 2" xfId="36911" xr:uid="{00000000-0005-0000-0000-000071890000}"/>
    <cellStyle name="Normal 38 16 12" xfId="19551" xr:uid="{00000000-0005-0000-0000-000072890000}"/>
    <cellStyle name="Normal 38 16 12 2" xfId="36912" xr:uid="{00000000-0005-0000-0000-000073890000}"/>
    <cellStyle name="Normal 38 16 13" xfId="19552" xr:uid="{00000000-0005-0000-0000-000074890000}"/>
    <cellStyle name="Normal 38 16 13 2" xfId="36913" xr:uid="{00000000-0005-0000-0000-000075890000}"/>
    <cellStyle name="Normal 38 16 14" xfId="19553" xr:uid="{00000000-0005-0000-0000-000076890000}"/>
    <cellStyle name="Normal 38 16 14 2" xfId="36914" xr:uid="{00000000-0005-0000-0000-000077890000}"/>
    <cellStyle name="Normal 38 16 15" xfId="36909" xr:uid="{00000000-0005-0000-0000-000078890000}"/>
    <cellStyle name="Normal 38 16 2" xfId="19554" xr:uid="{00000000-0005-0000-0000-000079890000}"/>
    <cellStyle name="Normal 38 16 2 2" xfId="36915" xr:uid="{00000000-0005-0000-0000-00007A890000}"/>
    <cellStyle name="Normal 38 16 3" xfId="19555" xr:uid="{00000000-0005-0000-0000-00007B890000}"/>
    <cellStyle name="Normal 38 16 3 2" xfId="36916" xr:uid="{00000000-0005-0000-0000-00007C890000}"/>
    <cellStyle name="Normal 38 16 4" xfId="19556" xr:uid="{00000000-0005-0000-0000-00007D890000}"/>
    <cellStyle name="Normal 38 16 4 2" xfId="36917" xr:uid="{00000000-0005-0000-0000-00007E890000}"/>
    <cellStyle name="Normal 38 16 5" xfId="19557" xr:uid="{00000000-0005-0000-0000-00007F890000}"/>
    <cellStyle name="Normal 38 16 5 2" xfId="36918" xr:uid="{00000000-0005-0000-0000-000080890000}"/>
    <cellStyle name="Normal 38 16 6" xfId="19558" xr:uid="{00000000-0005-0000-0000-000081890000}"/>
    <cellStyle name="Normal 38 16 6 2" xfId="36919" xr:uid="{00000000-0005-0000-0000-000082890000}"/>
    <cellStyle name="Normal 38 16 7" xfId="19559" xr:uid="{00000000-0005-0000-0000-000083890000}"/>
    <cellStyle name="Normal 38 16 7 2" xfId="36920" xr:uid="{00000000-0005-0000-0000-000084890000}"/>
    <cellStyle name="Normal 38 16 8" xfId="19560" xr:uid="{00000000-0005-0000-0000-000085890000}"/>
    <cellStyle name="Normal 38 16 8 2" xfId="36921" xr:uid="{00000000-0005-0000-0000-000086890000}"/>
    <cellStyle name="Normal 38 16 9" xfId="19561" xr:uid="{00000000-0005-0000-0000-000087890000}"/>
    <cellStyle name="Normal 38 16 9 2" xfId="36922" xr:uid="{00000000-0005-0000-0000-000088890000}"/>
    <cellStyle name="Normal 38 17" xfId="19562" xr:uid="{00000000-0005-0000-0000-000089890000}"/>
    <cellStyle name="Normal 38 17 10" xfId="19563" xr:uid="{00000000-0005-0000-0000-00008A890000}"/>
    <cellStyle name="Normal 38 17 10 2" xfId="36924" xr:uid="{00000000-0005-0000-0000-00008B890000}"/>
    <cellStyle name="Normal 38 17 11" xfId="19564" xr:uid="{00000000-0005-0000-0000-00008C890000}"/>
    <cellStyle name="Normal 38 17 11 2" xfId="36925" xr:uid="{00000000-0005-0000-0000-00008D890000}"/>
    <cellStyle name="Normal 38 17 12" xfId="19565" xr:uid="{00000000-0005-0000-0000-00008E890000}"/>
    <cellStyle name="Normal 38 17 12 2" xfId="36926" xr:uid="{00000000-0005-0000-0000-00008F890000}"/>
    <cellStyle name="Normal 38 17 13" xfId="19566" xr:uid="{00000000-0005-0000-0000-000090890000}"/>
    <cellStyle name="Normal 38 17 13 2" xfId="36927" xr:uid="{00000000-0005-0000-0000-000091890000}"/>
    <cellStyle name="Normal 38 17 14" xfId="19567" xr:uid="{00000000-0005-0000-0000-000092890000}"/>
    <cellStyle name="Normal 38 17 14 2" xfId="36928" xr:uid="{00000000-0005-0000-0000-000093890000}"/>
    <cellStyle name="Normal 38 17 15" xfId="36923" xr:uid="{00000000-0005-0000-0000-000094890000}"/>
    <cellStyle name="Normal 38 17 2" xfId="19568" xr:uid="{00000000-0005-0000-0000-000095890000}"/>
    <cellStyle name="Normal 38 17 2 2" xfId="36929" xr:uid="{00000000-0005-0000-0000-000096890000}"/>
    <cellStyle name="Normal 38 17 3" xfId="19569" xr:uid="{00000000-0005-0000-0000-000097890000}"/>
    <cellStyle name="Normal 38 17 3 2" xfId="36930" xr:uid="{00000000-0005-0000-0000-000098890000}"/>
    <cellStyle name="Normal 38 17 4" xfId="19570" xr:uid="{00000000-0005-0000-0000-000099890000}"/>
    <cellStyle name="Normal 38 17 4 2" xfId="36931" xr:uid="{00000000-0005-0000-0000-00009A890000}"/>
    <cellStyle name="Normal 38 17 5" xfId="19571" xr:uid="{00000000-0005-0000-0000-00009B890000}"/>
    <cellStyle name="Normal 38 17 5 2" xfId="36932" xr:uid="{00000000-0005-0000-0000-00009C890000}"/>
    <cellStyle name="Normal 38 17 6" xfId="19572" xr:uid="{00000000-0005-0000-0000-00009D890000}"/>
    <cellStyle name="Normal 38 17 6 2" xfId="36933" xr:uid="{00000000-0005-0000-0000-00009E890000}"/>
    <cellStyle name="Normal 38 17 7" xfId="19573" xr:uid="{00000000-0005-0000-0000-00009F890000}"/>
    <cellStyle name="Normal 38 17 7 2" xfId="36934" xr:uid="{00000000-0005-0000-0000-0000A0890000}"/>
    <cellStyle name="Normal 38 17 8" xfId="19574" xr:uid="{00000000-0005-0000-0000-0000A1890000}"/>
    <cellStyle name="Normal 38 17 8 2" xfId="36935" xr:uid="{00000000-0005-0000-0000-0000A2890000}"/>
    <cellStyle name="Normal 38 17 9" xfId="19575" xr:uid="{00000000-0005-0000-0000-0000A3890000}"/>
    <cellStyle name="Normal 38 17 9 2" xfId="36936" xr:uid="{00000000-0005-0000-0000-0000A4890000}"/>
    <cellStyle name="Normal 38 18" xfId="19576" xr:uid="{00000000-0005-0000-0000-0000A5890000}"/>
    <cellStyle name="Normal 38 18 2" xfId="36937" xr:uid="{00000000-0005-0000-0000-0000A6890000}"/>
    <cellStyle name="Normal 38 19" xfId="19577" xr:uid="{00000000-0005-0000-0000-0000A7890000}"/>
    <cellStyle name="Normal 38 19 2" xfId="36938" xr:uid="{00000000-0005-0000-0000-0000A8890000}"/>
    <cellStyle name="Normal 38 2" xfId="226" xr:uid="{00000000-0005-0000-0000-0000A9890000}"/>
    <cellStyle name="Normal 38 20" xfId="19578" xr:uid="{00000000-0005-0000-0000-0000AA890000}"/>
    <cellStyle name="Normal 38 20 2" xfId="36939" xr:uid="{00000000-0005-0000-0000-0000AB890000}"/>
    <cellStyle name="Normal 38 21" xfId="19579" xr:uid="{00000000-0005-0000-0000-0000AC890000}"/>
    <cellStyle name="Normal 38 21 2" xfId="36940" xr:uid="{00000000-0005-0000-0000-0000AD890000}"/>
    <cellStyle name="Normal 38 22" xfId="19580" xr:uid="{00000000-0005-0000-0000-0000AE890000}"/>
    <cellStyle name="Normal 38 22 2" xfId="36941" xr:uid="{00000000-0005-0000-0000-0000AF890000}"/>
    <cellStyle name="Normal 38 23" xfId="19581" xr:uid="{00000000-0005-0000-0000-0000B0890000}"/>
    <cellStyle name="Normal 38 23 2" xfId="36942" xr:uid="{00000000-0005-0000-0000-0000B1890000}"/>
    <cellStyle name="Normal 38 24" xfId="19582" xr:uid="{00000000-0005-0000-0000-0000B2890000}"/>
    <cellStyle name="Normal 38 24 2" xfId="36943" xr:uid="{00000000-0005-0000-0000-0000B3890000}"/>
    <cellStyle name="Normal 38 25" xfId="19583" xr:uid="{00000000-0005-0000-0000-0000B4890000}"/>
    <cellStyle name="Normal 38 25 2" xfId="36944" xr:uid="{00000000-0005-0000-0000-0000B5890000}"/>
    <cellStyle name="Normal 38 26" xfId="19584" xr:uid="{00000000-0005-0000-0000-0000B6890000}"/>
    <cellStyle name="Normal 38 26 2" xfId="36945" xr:uid="{00000000-0005-0000-0000-0000B7890000}"/>
    <cellStyle name="Normal 38 27" xfId="19585" xr:uid="{00000000-0005-0000-0000-0000B8890000}"/>
    <cellStyle name="Normal 38 27 2" xfId="36946" xr:uid="{00000000-0005-0000-0000-0000B9890000}"/>
    <cellStyle name="Normal 38 28" xfId="19586" xr:uid="{00000000-0005-0000-0000-0000BA890000}"/>
    <cellStyle name="Normal 38 28 2" xfId="36947" xr:uid="{00000000-0005-0000-0000-0000BB890000}"/>
    <cellStyle name="Normal 38 29" xfId="19587" xr:uid="{00000000-0005-0000-0000-0000BC890000}"/>
    <cellStyle name="Normal 38 29 2" xfId="36948" xr:uid="{00000000-0005-0000-0000-0000BD890000}"/>
    <cellStyle name="Normal 38 3" xfId="19588" xr:uid="{00000000-0005-0000-0000-0000BE890000}"/>
    <cellStyle name="Normal 38 30" xfId="19589" xr:uid="{00000000-0005-0000-0000-0000BF890000}"/>
    <cellStyle name="Normal 38 30 2" xfId="36949" xr:uid="{00000000-0005-0000-0000-0000C0890000}"/>
    <cellStyle name="Normal 38 31" xfId="36824" xr:uid="{00000000-0005-0000-0000-0000C1890000}"/>
    <cellStyle name="Normal 38 4" xfId="19590" xr:uid="{00000000-0005-0000-0000-0000C2890000}"/>
    <cellStyle name="Normal 38 4 10" xfId="19591" xr:uid="{00000000-0005-0000-0000-0000C3890000}"/>
    <cellStyle name="Normal 38 4 10 2" xfId="36951" xr:uid="{00000000-0005-0000-0000-0000C4890000}"/>
    <cellStyle name="Normal 38 4 11" xfId="19592" xr:uid="{00000000-0005-0000-0000-0000C5890000}"/>
    <cellStyle name="Normal 38 4 11 2" xfId="36952" xr:uid="{00000000-0005-0000-0000-0000C6890000}"/>
    <cellStyle name="Normal 38 4 12" xfId="19593" xr:uid="{00000000-0005-0000-0000-0000C7890000}"/>
    <cellStyle name="Normal 38 4 12 2" xfId="36953" xr:uid="{00000000-0005-0000-0000-0000C8890000}"/>
    <cellStyle name="Normal 38 4 13" xfId="19594" xr:uid="{00000000-0005-0000-0000-0000C9890000}"/>
    <cellStyle name="Normal 38 4 13 2" xfId="36954" xr:uid="{00000000-0005-0000-0000-0000CA890000}"/>
    <cellStyle name="Normal 38 4 14" xfId="19595" xr:uid="{00000000-0005-0000-0000-0000CB890000}"/>
    <cellStyle name="Normal 38 4 14 2" xfId="36955" xr:uid="{00000000-0005-0000-0000-0000CC890000}"/>
    <cellStyle name="Normal 38 4 15" xfId="19596" xr:uid="{00000000-0005-0000-0000-0000CD890000}"/>
    <cellStyle name="Normal 38 4 15 2" xfId="36956" xr:uid="{00000000-0005-0000-0000-0000CE890000}"/>
    <cellStyle name="Normal 38 4 16" xfId="36950" xr:uid="{00000000-0005-0000-0000-0000CF890000}"/>
    <cellStyle name="Normal 38 4 2" xfId="19597" xr:uid="{00000000-0005-0000-0000-0000D0890000}"/>
    <cellStyle name="Normal 38 4 2 10" xfId="19598" xr:uid="{00000000-0005-0000-0000-0000D1890000}"/>
    <cellStyle name="Normal 38 4 2 10 2" xfId="36958" xr:uid="{00000000-0005-0000-0000-0000D2890000}"/>
    <cellStyle name="Normal 38 4 2 11" xfId="19599" xr:uid="{00000000-0005-0000-0000-0000D3890000}"/>
    <cellStyle name="Normal 38 4 2 11 2" xfId="36959" xr:uid="{00000000-0005-0000-0000-0000D4890000}"/>
    <cellStyle name="Normal 38 4 2 12" xfId="19600" xr:uid="{00000000-0005-0000-0000-0000D5890000}"/>
    <cellStyle name="Normal 38 4 2 12 2" xfId="36960" xr:uid="{00000000-0005-0000-0000-0000D6890000}"/>
    <cellStyle name="Normal 38 4 2 13" xfId="19601" xr:uid="{00000000-0005-0000-0000-0000D7890000}"/>
    <cellStyle name="Normal 38 4 2 13 2" xfId="36961" xr:uid="{00000000-0005-0000-0000-0000D8890000}"/>
    <cellStyle name="Normal 38 4 2 14" xfId="19602" xr:uid="{00000000-0005-0000-0000-0000D9890000}"/>
    <cellStyle name="Normal 38 4 2 14 2" xfId="36962" xr:uid="{00000000-0005-0000-0000-0000DA890000}"/>
    <cellStyle name="Normal 38 4 2 15" xfId="36957" xr:uid="{00000000-0005-0000-0000-0000DB890000}"/>
    <cellStyle name="Normal 38 4 2 2" xfId="19603" xr:uid="{00000000-0005-0000-0000-0000DC890000}"/>
    <cellStyle name="Normal 38 4 2 2 2" xfId="36963" xr:uid="{00000000-0005-0000-0000-0000DD890000}"/>
    <cellStyle name="Normal 38 4 2 3" xfId="19604" xr:uid="{00000000-0005-0000-0000-0000DE890000}"/>
    <cellStyle name="Normal 38 4 2 3 2" xfId="36964" xr:uid="{00000000-0005-0000-0000-0000DF890000}"/>
    <cellStyle name="Normal 38 4 2 4" xfId="19605" xr:uid="{00000000-0005-0000-0000-0000E0890000}"/>
    <cellStyle name="Normal 38 4 2 4 2" xfId="36965" xr:uid="{00000000-0005-0000-0000-0000E1890000}"/>
    <cellStyle name="Normal 38 4 2 5" xfId="19606" xr:uid="{00000000-0005-0000-0000-0000E2890000}"/>
    <cellStyle name="Normal 38 4 2 5 2" xfId="36966" xr:uid="{00000000-0005-0000-0000-0000E3890000}"/>
    <cellStyle name="Normal 38 4 2 6" xfId="19607" xr:uid="{00000000-0005-0000-0000-0000E4890000}"/>
    <cellStyle name="Normal 38 4 2 6 2" xfId="36967" xr:uid="{00000000-0005-0000-0000-0000E5890000}"/>
    <cellStyle name="Normal 38 4 2 7" xfId="19608" xr:uid="{00000000-0005-0000-0000-0000E6890000}"/>
    <cellStyle name="Normal 38 4 2 7 2" xfId="36968" xr:uid="{00000000-0005-0000-0000-0000E7890000}"/>
    <cellStyle name="Normal 38 4 2 8" xfId="19609" xr:uid="{00000000-0005-0000-0000-0000E8890000}"/>
    <cellStyle name="Normal 38 4 2 8 2" xfId="36969" xr:uid="{00000000-0005-0000-0000-0000E9890000}"/>
    <cellStyle name="Normal 38 4 2 9" xfId="19610" xr:uid="{00000000-0005-0000-0000-0000EA890000}"/>
    <cellStyle name="Normal 38 4 2 9 2" xfId="36970" xr:uid="{00000000-0005-0000-0000-0000EB890000}"/>
    <cellStyle name="Normal 38 4 3" xfId="19611" xr:uid="{00000000-0005-0000-0000-0000EC890000}"/>
    <cellStyle name="Normal 38 4 3 2" xfId="36971" xr:uid="{00000000-0005-0000-0000-0000ED890000}"/>
    <cellStyle name="Normal 38 4 4" xfId="19612" xr:uid="{00000000-0005-0000-0000-0000EE890000}"/>
    <cellStyle name="Normal 38 4 4 2" xfId="36972" xr:uid="{00000000-0005-0000-0000-0000EF890000}"/>
    <cellStyle name="Normal 38 4 5" xfId="19613" xr:uid="{00000000-0005-0000-0000-0000F0890000}"/>
    <cellStyle name="Normal 38 4 5 2" xfId="36973" xr:uid="{00000000-0005-0000-0000-0000F1890000}"/>
    <cellStyle name="Normal 38 4 6" xfId="19614" xr:uid="{00000000-0005-0000-0000-0000F2890000}"/>
    <cellStyle name="Normal 38 4 6 2" xfId="36974" xr:uid="{00000000-0005-0000-0000-0000F3890000}"/>
    <cellStyle name="Normal 38 4 7" xfId="19615" xr:uid="{00000000-0005-0000-0000-0000F4890000}"/>
    <cellStyle name="Normal 38 4 7 2" xfId="36975" xr:uid="{00000000-0005-0000-0000-0000F5890000}"/>
    <cellStyle name="Normal 38 4 8" xfId="19616" xr:uid="{00000000-0005-0000-0000-0000F6890000}"/>
    <cellStyle name="Normal 38 4 8 2" xfId="36976" xr:uid="{00000000-0005-0000-0000-0000F7890000}"/>
    <cellStyle name="Normal 38 4 9" xfId="19617" xr:uid="{00000000-0005-0000-0000-0000F8890000}"/>
    <cellStyle name="Normal 38 4 9 2" xfId="36977" xr:uid="{00000000-0005-0000-0000-0000F9890000}"/>
    <cellStyle name="Normal 38 5" xfId="19618" xr:uid="{00000000-0005-0000-0000-0000FA890000}"/>
    <cellStyle name="Normal 38 5 10" xfId="19619" xr:uid="{00000000-0005-0000-0000-0000FB890000}"/>
    <cellStyle name="Normal 38 5 10 2" xfId="36979" xr:uid="{00000000-0005-0000-0000-0000FC890000}"/>
    <cellStyle name="Normal 38 5 11" xfId="19620" xr:uid="{00000000-0005-0000-0000-0000FD890000}"/>
    <cellStyle name="Normal 38 5 11 2" xfId="36980" xr:uid="{00000000-0005-0000-0000-0000FE890000}"/>
    <cellStyle name="Normal 38 5 12" xfId="19621" xr:uid="{00000000-0005-0000-0000-0000FF890000}"/>
    <cellStyle name="Normal 38 5 12 2" xfId="36981" xr:uid="{00000000-0005-0000-0000-0000008A0000}"/>
    <cellStyle name="Normal 38 5 13" xfId="19622" xr:uid="{00000000-0005-0000-0000-0000018A0000}"/>
    <cellStyle name="Normal 38 5 13 2" xfId="36982" xr:uid="{00000000-0005-0000-0000-0000028A0000}"/>
    <cellStyle name="Normal 38 5 14" xfId="19623" xr:uid="{00000000-0005-0000-0000-0000038A0000}"/>
    <cellStyle name="Normal 38 5 14 2" xfId="36983" xr:uid="{00000000-0005-0000-0000-0000048A0000}"/>
    <cellStyle name="Normal 38 5 15" xfId="19624" xr:uid="{00000000-0005-0000-0000-0000058A0000}"/>
    <cellStyle name="Normal 38 5 15 2" xfId="36984" xr:uid="{00000000-0005-0000-0000-0000068A0000}"/>
    <cellStyle name="Normal 38 5 16" xfId="36978" xr:uid="{00000000-0005-0000-0000-0000078A0000}"/>
    <cellStyle name="Normal 38 5 2" xfId="19625" xr:uid="{00000000-0005-0000-0000-0000088A0000}"/>
    <cellStyle name="Normal 38 5 2 10" xfId="19626" xr:uid="{00000000-0005-0000-0000-0000098A0000}"/>
    <cellStyle name="Normal 38 5 2 10 2" xfId="36986" xr:uid="{00000000-0005-0000-0000-00000A8A0000}"/>
    <cellStyle name="Normal 38 5 2 11" xfId="19627" xr:uid="{00000000-0005-0000-0000-00000B8A0000}"/>
    <cellStyle name="Normal 38 5 2 11 2" xfId="36987" xr:uid="{00000000-0005-0000-0000-00000C8A0000}"/>
    <cellStyle name="Normal 38 5 2 12" xfId="19628" xr:uid="{00000000-0005-0000-0000-00000D8A0000}"/>
    <cellStyle name="Normal 38 5 2 12 2" xfId="36988" xr:uid="{00000000-0005-0000-0000-00000E8A0000}"/>
    <cellStyle name="Normal 38 5 2 13" xfId="19629" xr:uid="{00000000-0005-0000-0000-00000F8A0000}"/>
    <cellStyle name="Normal 38 5 2 13 2" xfId="36989" xr:uid="{00000000-0005-0000-0000-0000108A0000}"/>
    <cellStyle name="Normal 38 5 2 14" xfId="19630" xr:uid="{00000000-0005-0000-0000-0000118A0000}"/>
    <cellStyle name="Normal 38 5 2 14 2" xfId="36990" xr:uid="{00000000-0005-0000-0000-0000128A0000}"/>
    <cellStyle name="Normal 38 5 2 15" xfId="36985" xr:uid="{00000000-0005-0000-0000-0000138A0000}"/>
    <cellStyle name="Normal 38 5 2 2" xfId="19631" xr:uid="{00000000-0005-0000-0000-0000148A0000}"/>
    <cellStyle name="Normal 38 5 2 2 2" xfId="36991" xr:uid="{00000000-0005-0000-0000-0000158A0000}"/>
    <cellStyle name="Normal 38 5 2 3" xfId="19632" xr:uid="{00000000-0005-0000-0000-0000168A0000}"/>
    <cellStyle name="Normal 38 5 2 3 2" xfId="36992" xr:uid="{00000000-0005-0000-0000-0000178A0000}"/>
    <cellStyle name="Normal 38 5 2 4" xfId="19633" xr:uid="{00000000-0005-0000-0000-0000188A0000}"/>
    <cellStyle name="Normal 38 5 2 4 2" xfId="36993" xr:uid="{00000000-0005-0000-0000-0000198A0000}"/>
    <cellStyle name="Normal 38 5 2 5" xfId="19634" xr:uid="{00000000-0005-0000-0000-00001A8A0000}"/>
    <cellStyle name="Normal 38 5 2 5 2" xfId="36994" xr:uid="{00000000-0005-0000-0000-00001B8A0000}"/>
    <cellStyle name="Normal 38 5 2 6" xfId="19635" xr:uid="{00000000-0005-0000-0000-00001C8A0000}"/>
    <cellStyle name="Normal 38 5 2 6 2" xfId="36995" xr:uid="{00000000-0005-0000-0000-00001D8A0000}"/>
    <cellStyle name="Normal 38 5 2 7" xfId="19636" xr:uid="{00000000-0005-0000-0000-00001E8A0000}"/>
    <cellStyle name="Normal 38 5 2 7 2" xfId="36996" xr:uid="{00000000-0005-0000-0000-00001F8A0000}"/>
    <cellStyle name="Normal 38 5 2 8" xfId="19637" xr:uid="{00000000-0005-0000-0000-0000208A0000}"/>
    <cellStyle name="Normal 38 5 2 8 2" xfId="36997" xr:uid="{00000000-0005-0000-0000-0000218A0000}"/>
    <cellStyle name="Normal 38 5 2 9" xfId="19638" xr:uid="{00000000-0005-0000-0000-0000228A0000}"/>
    <cellStyle name="Normal 38 5 2 9 2" xfId="36998" xr:uid="{00000000-0005-0000-0000-0000238A0000}"/>
    <cellStyle name="Normal 38 5 3" xfId="19639" xr:uid="{00000000-0005-0000-0000-0000248A0000}"/>
    <cellStyle name="Normal 38 5 3 2" xfId="36999" xr:uid="{00000000-0005-0000-0000-0000258A0000}"/>
    <cellStyle name="Normal 38 5 4" xfId="19640" xr:uid="{00000000-0005-0000-0000-0000268A0000}"/>
    <cellStyle name="Normal 38 5 4 2" xfId="37000" xr:uid="{00000000-0005-0000-0000-0000278A0000}"/>
    <cellStyle name="Normal 38 5 5" xfId="19641" xr:uid="{00000000-0005-0000-0000-0000288A0000}"/>
    <cellStyle name="Normal 38 5 5 2" xfId="37001" xr:uid="{00000000-0005-0000-0000-0000298A0000}"/>
    <cellStyle name="Normal 38 5 6" xfId="19642" xr:uid="{00000000-0005-0000-0000-00002A8A0000}"/>
    <cellStyle name="Normal 38 5 6 2" xfId="37002" xr:uid="{00000000-0005-0000-0000-00002B8A0000}"/>
    <cellStyle name="Normal 38 5 7" xfId="19643" xr:uid="{00000000-0005-0000-0000-00002C8A0000}"/>
    <cellStyle name="Normal 38 5 7 2" xfId="37003" xr:uid="{00000000-0005-0000-0000-00002D8A0000}"/>
    <cellStyle name="Normal 38 5 8" xfId="19644" xr:uid="{00000000-0005-0000-0000-00002E8A0000}"/>
    <cellStyle name="Normal 38 5 8 2" xfId="37004" xr:uid="{00000000-0005-0000-0000-00002F8A0000}"/>
    <cellStyle name="Normal 38 5 9" xfId="19645" xr:uid="{00000000-0005-0000-0000-0000308A0000}"/>
    <cellStyle name="Normal 38 5 9 2" xfId="37005" xr:uid="{00000000-0005-0000-0000-0000318A0000}"/>
    <cellStyle name="Normal 38 6" xfId="19646" xr:uid="{00000000-0005-0000-0000-0000328A0000}"/>
    <cellStyle name="Normal 38 6 10" xfId="19647" xr:uid="{00000000-0005-0000-0000-0000338A0000}"/>
    <cellStyle name="Normal 38 6 10 2" xfId="37007" xr:uid="{00000000-0005-0000-0000-0000348A0000}"/>
    <cellStyle name="Normal 38 6 11" xfId="19648" xr:uid="{00000000-0005-0000-0000-0000358A0000}"/>
    <cellStyle name="Normal 38 6 11 2" xfId="37008" xr:uid="{00000000-0005-0000-0000-0000368A0000}"/>
    <cellStyle name="Normal 38 6 12" xfId="19649" xr:uid="{00000000-0005-0000-0000-0000378A0000}"/>
    <cellStyle name="Normal 38 6 12 2" xfId="37009" xr:uid="{00000000-0005-0000-0000-0000388A0000}"/>
    <cellStyle name="Normal 38 6 13" xfId="19650" xr:uid="{00000000-0005-0000-0000-0000398A0000}"/>
    <cellStyle name="Normal 38 6 13 2" xfId="37010" xr:uid="{00000000-0005-0000-0000-00003A8A0000}"/>
    <cellStyle name="Normal 38 6 14" xfId="19651" xr:uid="{00000000-0005-0000-0000-00003B8A0000}"/>
    <cellStyle name="Normal 38 6 14 2" xfId="37011" xr:uid="{00000000-0005-0000-0000-00003C8A0000}"/>
    <cellStyle name="Normal 38 6 15" xfId="19652" xr:uid="{00000000-0005-0000-0000-00003D8A0000}"/>
    <cellStyle name="Normal 38 6 15 2" xfId="37012" xr:uid="{00000000-0005-0000-0000-00003E8A0000}"/>
    <cellStyle name="Normal 38 6 16" xfId="37006" xr:uid="{00000000-0005-0000-0000-00003F8A0000}"/>
    <cellStyle name="Normal 38 6 2" xfId="19653" xr:uid="{00000000-0005-0000-0000-0000408A0000}"/>
    <cellStyle name="Normal 38 6 2 10" xfId="19654" xr:uid="{00000000-0005-0000-0000-0000418A0000}"/>
    <cellStyle name="Normal 38 6 2 10 2" xfId="37014" xr:uid="{00000000-0005-0000-0000-0000428A0000}"/>
    <cellStyle name="Normal 38 6 2 11" xfId="19655" xr:uid="{00000000-0005-0000-0000-0000438A0000}"/>
    <cellStyle name="Normal 38 6 2 11 2" xfId="37015" xr:uid="{00000000-0005-0000-0000-0000448A0000}"/>
    <cellStyle name="Normal 38 6 2 12" xfId="19656" xr:uid="{00000000-0005-0000-0000-0000458A0000}"/>
    <cellStyle name="Normal 38 6 2 12 2" xfId="37016" xr:uid="{00000000-0005-0000-0000-0000468A0000}"/>
    <cellStyle name="Normal 38 6 2 13" xfId="19657" xr:uid="{00000000-0005-0000-0000-0000478A0000}"/>
    <cellStyle name="Normal 38 6 2 13 2" xfId="37017" xr:uid="{00000000-0005-0000-0000-0000488A0000}"/>
    <cellStyle name="Normal 38 6 2 14" xfId="19658" xr:uid="{00000000-0005-0000-0000-0000498A0000}"/>
    <cellStyle name="Normal 38 6 2 14 2" xfId="37018" xr:uid="{00000000-0005-0000-0000-00004A8A0000}"/>
    <cellStyle name="Normal 38 6 2 15" xfId="37013" xr:uid="{00000000-0005-0000-0000-00004B8A0000}"/>
    <cellStyle name="Normal 38 6 2 2" xfId="19659" xr:uid="{00000000-0005-0000-0000-00004C8A0000}"/>
    <cellStyle name="Normal 38 6 2 2 2" xfId="37019" xr:uid="{00000000-0005-0000-0000-00004D8A0000}"/>
    <cellStyle name="Normal 38 6 2 3" xfId="19660" xr:uid="{00000000-0005-0000-0000-00004E8A0000}"/>
    <cellStyle name="Normal 38 6 2 3 2" xfId="37020" xr:uid="{00000000-0005-0000-0000-00004F8A0000}"/>
    <cellStyle name="Normal 38 6 2 4" xfId="19661" xr:uid="{00000000-0005-0000-0000-0000508A0000}"/>
    <cellStyle name="Normal 38 6 2 4 2" xfId="37021" xr:uid="{00000000-0005-0000-0000-0000518A0000}"/>
    <cellStyle name="Normal 38 6 2 5" xfId="19662" xr:uid="{00000000-0005-0000-0000-0000528A0000}"/>
    <cellStyle name="Normal 38 6 2 5 2" xfId="37022" xr:uid="{00000000-0005-0000-0000-0000538A0000}"/>
    <cellStyle name="Normal 38 6 2 6" xfId="19663" xr:uid="{00000000-0005-0000-0000-0000548A0000}"/>
    <cellStyle name="Normal 38 6 2 6 2" xfId="37023" xr:uid="{00000000-0005-0000-0000-0000558A0000}"/>
    <cellStyle name="Normal 38 6 2 7" xfId="19664" xr:uid="{00000000-0005-0000-0000-0000568A0000}"/>
    <cellStyle name="Normal 38 6 2 7 2" xfId="37024" xr:uid="{00000000-0005-0000-0000-0000578A0000}"/>
    <cellStyle name="Normal 38 6 2 8" xfId="19665" xr:uid="{00000000-0005-0000-0000-0000588A0000}"/>
    <cellStyle name="Normal 38 6 2 8 2" xfId="37025" xr:uid="{00000000-0005-0000-0000-0000598A0000}"/>
    <cellStyle name="Normal 38 6 2 9" xfId="19666" xr:uid="{00000000-0005-0000-0000-00005A8A0000}"/>
    <cellStyle name="Normal 38 6 2 9 2" xfId="37026" xr:uid="{00000000-0005-0000-0000-00005B8A0000}"/>
    <cellStyle name="Normal 38 6 3" xfId="19667" xr:uid="{00000000-0005-0000-0000-00005C8A0000}"/>
    <cellStyle name="Normal 38 6 3 2" xfId="37027" xr:uid="{00000000-0005-0000-0000-00005D8A0000}"/>
    <cellStyle name="Normal 38 6 4" xfId="19668" xr:uid="{00000000-0005-0000-0000-00005E8A0000}"/>
    <cellStyle name="Normal 38 6 4 2" xfId="37028" xr:uid="{00000000-0005-0000-0000-00005F8A0000}"/>
    <cellStyle name="Normal 38 6 5" xfId="19669" xr:uid="{00000000-0005-0000-0000-0000608A0000}"/>
    <cellStyle name="Normal 38 6 5 2" xfId="37029" xr:uid="{00000000-0005-0000-0000-0000618A0000}"/>
    <cellStyle name="Normal 38 6 6" xfId="19670" xr:uid="{00000000-0005-0000-0000-0000628A0000}"/>
    <cellStyle name="Normal 38 6 6 2" xfId="37030" xr:uid="{00000000-0005-0000-0000-0000638A0000}"/>
    <cellStyle name="Normal 38 6 7" xfId="19671" xr:uid="{00000000-0005-0000-0000-0000648A0000}"/>
    <cellStyle name="Normal 38 6 7 2" xfId="37031" xr:uid="{00000000-0005-0000-0000-0000658A0000}"/>
    <cellStyle name="Normal 38 6 8" xfId="19672" xr:uid="{00000000-0005-0000-0000-0000668A0000}"/>
    <cellStyle name="Normal 38 6 8 2" xfId="37032" xr:uid="{00000000-0005-0000-0000-0000678A0000}"/>
    <cellStyle name="Normal 38 6 9" xfId="19673" xr:uid="{00000000-0005-0000-0000-0000688A0000}"/>
    <cellStyle name="Normal 38 6 9 2" xfId="37033" xr:uid="{00000000-0005-0000-0000-0000698A0000}"/>
    <cellStyle name="Normal 38 7" xfId="19674" xr:uid="{00000000-0005-0000-0000-00006A8A0000}"/>
    <cellStyle name="Normal 38 7 10" xfId="19675" xr:uid="{00000000-0005-0000-0000-00006B8A0000}"/>
    <cellStyle name="Normal 38 7 10 2" xfId="37035" xr:uid="{00000000-0005-0000-0000-00006C8A0000}"/>
    <cellStyle name="Normal 38 7 11" xfId="19676" xr:uid="{00000000-0005-0000-0000-00006D8A0000}"/>
    <cellStyle name="Normal 38 7 11 2" xfId="37036" xr:uid="{00000000-0005-0000-0000-00006E8A0000}"/>
    <cellStyle name="Normal 38 7 12" xfId="19677" xr:uid="{00000000-0005-0000-0000-00006F8A0000}"/>
    <cellStyle name="Normal 38 7 12 2" xfId="37037" xr:uid="{00000000-0005-0000-0000-0000708A0000}"/>
    <cellStyle name="Normal 38 7 13" xfId="19678" xr:uid="{00000000-0005-0000-0000-0000718A0000}"/>
    <cellStyle name="Normal 38 7 13 2" xfId="37038" xr:uid="{00000000-0005-0000-0000-0000728A0000}"/>
    <cellStyle name="Normal 38 7 14" xfId="19679" xr:uid="{00000000-0005-0000-0000-0000738A0000}"/>
    <cellStyle name="Normal 38 7 14 2" xfId="37039" xr:uid="{00000000-0005-0000-0000-0000748A0000}"/>
    <cellStyle name="Normal 38 7 15" xfId="37034" xr:uid="{00000000-0005-0000-0000-0000758A0000}"/>
    <cellStyle name="Normal 38 7 2" xfId="19680" xr:uid="{00000000-0005-0000-0000-0000768A0000}"/>
    <cellStyle name="Normal 38 7 2 2" xfId="37040" xr:uid="{00000000-0005-0000-0000-0000778A0000}"/>
    <cellStyle name="Normal 38 7 3" xfId="19681" xr:uid="{00000000-0005-0000-0000-0000788A0000}"/>
    <cellStyle name="Normal 38 7 3 2" xfId="37041" xr:uid="{00000000-0005-0000-0000-0000798A0000}"/>
    <cellStyle name="Normal 38 7 4" xfId="19682" xr:uid="{00000000-0005-0000-0000-00007A8A0000}"/>
    <cellStyle name="Normal 38 7 4 2" xfId="37042" xr:uid="{00000000-0005-0000-0000-00007B8A0000}"/>
    <cellStyle name="Normal 38 7 5" xfId="19683" xr:uid="{00000000-0005-0000-0000-00007C8A0000}"/>
    <cellStyle name="Normal 38 7 5 2" xfId="37043" xr:uid="{00000000-0005-0000-0000-00007D8A0000}"/>
    <cellStyle name="Normal 38 7 6" xfId="19684" xr:uid="{00000000-0005-0000-0000-00007E8A0000}"/>
    <cellStyle name="Normal 38 7 6 2" xfId="37044" xr:uid="{00000000-0005-0000-0000-00007F8A0000}"/>
    <cellStyle name="Normal 38 7 7" xfId="19685" xr:uid="{00000000-0005-0000-0000-0000808A0000}"/>
    <cellStyle name="Normal 38 7 7 2" xfId="37045" xr:uid="{00000000-0005-0000-0000-0000818A0000}"/>
    <cellStyle name="Normal 38 7 8" xfId="19686" xr:uid="{00000000-0005-0000-0000-0000828A0000}"/>
    <cellStyle name="Normal 38 7 8 2" xfId="37046" xr:uid="{00000000-0005-0000-0000-0000838A0000}"/>
    <cellStyle name="Normal 38 7 9" xfId="19687" xr:uid="{00000000-0005-0000-0000-0000848A0000}"/>
    <cellStyle name="Normal 38 7 9 2" xfId="37047" xr:uid="{00000000-0005-0000-0000-0000858A0000}"/>
    <cellStyle name="Normal 38 8" xfId="19688" xr:uid="{00000000-0005-0000-0000-0000868A0000}"/>
    <cellStyle name="Normal 38 8 10" xfId="19689" xr:uid="{00000000-0005-0000-0000-0000878A0000}"/>
    <cellStyle name="Normal 38 8 10 2" xfId="37049" xr:uid="{00000000-0005-0000-0000-0000888A0000}"/>
    <cellStyle name="Normal 38 8 11" xfId="19690" xr:uid="{00000000-0005-0000-0000-0000898A0000}"/>
    <cellStyle name="Normal 38 8 11 2" xfId="37050" xr:uid="{00000000-0005-0000-0000-00008A8A0000}"/>
    <cellStyle name="Normal 38 8 12" xfId="19691" xr:uid="{00000000-0005-0000-0000-00008B8A0000}"/>
    <cellStyle name="Normal 38 8 12 2" xfId="37051" xr:uid="{00000000-0005-0000-0000-00008C8A0000}"/>
    <cellStyle name="Normal 38 8 13" xfId="19692" xr:uid="{00000000-0005-0000-0000-00008D8A0000}"/>
    <cellStyle name="Normal 38 8 13 2" xfId="37052" xr:uid="{00000000-0005-0000-0000-00008E8A0000}"/>
    <cellStyle name="Normal 38 8 14" xfId="19693" xr:uid="{00000000-0005-0000-0000-00008F8A0000}"/>
    <cellStyle name="Normal 38 8 14 2" xfId="37053" xr:uid="{00000000-0005-0000-0000-0000908A0000}"/>
    <cellStyle name="Normal 38 8 15" xfId="37048" xr:uid="{00000000-0005-0000-0000-0000918A0000}"/>
    <cellStyle name="Normal 38 8 2" xfId="19694" xr:uid="{00000000-0005-0000-0000-0000928A0000}"/>
    <cellStyle name="Normal 38 8 2 2" xfId="37054" xr:uid="{00000000-0005-0000-0000-0000938A0000}"/>
    <cellStyle name="Normal 38 8 3" xfId="19695" xr:uid="{00000000-0005-0000-0000-0000948A0000}"/>
    <cellStyle name="Normal 38 8 3 2" xfId="37055" xr:uid="{00000000-0005-0000-0000-0000958A0000}"/>
    <cellStyle name="Normal 38 8 4" xfId="19696" xr:uid="{00000000-0005-0000-0000-0000968A0000}"/>
    <cellStyle name="Normal 38 8 4 2" xfId="37056" xr:uid="{00000000-0005-0000-0000-0000978A0000}"/>
    <cellStyle name="Normal 38 8 5" xfId="19697" xr:uid="{00000000-0005-0000-0000-0000988A0000}"/>
    <cellStyle name="Normal 38 8 5 2" xfId="37057" xr:uid="{00000000-0005-0000-0000-0000998A0000}"/>
    <cellStyle name="Normal 38 8 6" xfId="19698" xr:uid="{00000000-0005-0000-0000-00009A8A0000}"/>
    <cellStyle name="Normal 38 8 6 2" xfId="37058" xr:uid="{00000000-0005-0000-0000-00009B8A0000}"/>
    <cellStyle name="Normal 38 8 7" xfId="19699" xr:uid="{00000000-0005-0000-0000-00009C8A0000}"/>
    <cellStyle name="Normal 38 8 7 2" xfId="37059" xr:uid="{00000000-0005-0000-0000-00009D8A0000}"/>
    <cellStyle name="Normal 38 8 8" xfId="19700" xr:uid="{00000000-0005-0000-0000-00009E8A0000}"/>
    <cellStyle name="Normal 38 8 8 2" xfId="37060" xr:uid="{00000000-0005-0000-0000-00009F8A0000}"/>
    <cellStyle name="Normal 38 8 9" xfId="19701" xr:uid="{00000000-0005-0000-0000-0000A08A0000}"/>
    <cellStyle name="Normal 38 8 9 2" xfId="37061" xr:uid="{00000000-0005-0000-0000-0000A18A0000}"/>
    <cellStyle name="Normal 38 9" xfId="19702" xr:uid="{00000000-0005-0000-0000-0000A28A0000}"/>
    <cellStyle name="Normal 38 9 10" xfId="19703" xr:uid="{00000000-0005-0000-0000-0000A38A0000}"/>
    <cellStyle name="Normal 38 9 10 2" xfId="37063" xr:uid="{00000000-0005-0000-0000-0000A48A0000}"/>
    <cellStyle name="Normal 38 9 11" xfId="19704" xr:uid="{00000000-0005-0000-0000-0000A58A0000}"/>
    <cellStyle name="Normal 38 9 11 2" xfId="37064" xr:uid="{00000000-0005-0000-0000-0000A68A0000}"/>
    <cellStyle name="Normal 38 9 12" xfId="19705" xr:uid="{00000000-0005-0000-0000-0000A78A0000}"/>
    <cellStyle name="Normal 38 9 12 2" xfId="37065" xr:uid="{00000000-0005-0000-0000-0000A88A0000}"/>
    <cellStyle name="Normal 38 9 13" xfId="19706" xr:uid="{00000000-0005-0000-0000-0000A98A0000}"/>
    <cellStyle name="Normal 38 9 13 2" xfId="37066" xr:uid="{00000000-0005-0000-0000-0000AA8A0000}"/>
    <cellStyle name="Normal 38 9 14" xfId="19707" xr:uid="{00000000-0005-0000-0000-0000AB8A0000}"/>
    <cellStyle name="Normal 38 9 14 2" xfId="37067" xr:uid="{00000000-0005-0000-0000-0000AC8A0000}"/>
    <cellStyle name="Normal 38 9 15" xfId="37062" xr:uid="{00000000-0005-0000-0000-0000AD8A0000}"/>
    <cellStyle name="Normal 38 9 2" xfId="19708" xr:uid="{00000000-0005-0000-0000-0000AE8A0000}"/>
    <cellStyle name="Normal 38 9 2 2" xfId="37068" xr:uid="{00000000-0005-0000-0000-0000AF8A0000}"/>
    <cellStyle name="Normal 38 9 3" xfId="19709" xr:uid="{00000000-0005-0000-0000-0000B08A0000}"/>
    <cellStyle name="Normal 38 9 3 2" xfId="37069" xr:uid="{00000000-0005-0000-0000-0000B18A0000}"/>
    <cellStyle name="Normal 38 9 4" xfId="19710" xr:uid="{00000000-0005-0000-0000-0000B28A0000}"/>
    <cellStyle name="Normal 38 9 4 2" xfId="37070" xr:uid="{00000000-0005-0000-0000-0000B38A0000}"/>
    <cellStyle name="Normal 38 9 5" xfId="19711" xr:uid="{00000000-0005-0000-0000-0000B48A0000}"/>
    <cellStyle name="Normal 38 9 5 2" xfId="37071" xr:uid="{00000000-0005-0000-0000-0000B58A0000}"/>
    <cellStyle name="Normal 38 9 6" xfId="19712" xr:uid="{00000000-0005-0000-0000-0000B68A0000}"/>
    <cellStyle name="Normal 38 9 6 2" xfId="37072" xr:uid="{00000000-0005-0000-0000-0000B78A0000}"/>
    <cellStyle name="Normal 38 9 7" xfId="19713" xr:uid="{00000000-0005-0000-0000-0000B88A0000}"/>
    <cellStyle name="Normal 38 9 7 2" xfId="37073" xr:uid="{00000000-0005-0000-0000-0000B98A0000}"/>
    <cellStyle name="Normal 38 9 8" xfId="19714" xr:uid="{00000000-0005-0000-0000-0000BA8A0000}"/>
    <cellStyle name="Normal 38 9 8 2" xfId="37074" xr:uid="{00000000-0005-0000-0000-0000BB8A0000}"/>
    <cellStyle name="Normal 38 9 9" xfId="19715" xr:uid="{00000000-0005-0000-0000-0000BC8A0000}"/>
    <cellStyle name="Normal 38 9 9 2" xfId="37075" xr:uid="{00000000-0005-0000-0000-0000BD8A0000}"/>
    <cellStyle name="Normal 39" xfId="67" xr:uid="{00000000-0005-0000-0000-0000BE8A0000}"/>
    <cellStyle name="Normal 39 10" xfId="19716" xr:uid="{00000000-0005-0000-0000-0000BF8A0000}"/>
    <cellStyle name="Normal 39 10 10" xfId="19717" xr:uid="{00000000-0005-0000-0000-0000C08A0000}"/>
    <cellStyle name="Normal 39 10 10 2" xfId="37078" xr:uid="{00000000-0005-0000-0000-0000C18A0000}"/>
    <cellStyle name="Normal 39 10 11" xfId="19718" xr:uid="{00000000-0005-0000-0000-0000C28A0000}"/>
    <cellStyle name="Normal 39 10 11 2" xfId="37079" xr:uid="{00000000-0005-0000-0000-0000C38A0000}"/>
    <cellStyle name="Normal 39 10 12" xfId="19719" xr:uid="{00000000-0005-0000-0000-0000C48A0000}"/>
    <cellStyle name="Normal 39 10 12 2" xfId="37080" xr:uid="{00000000-0005-0000-0000-0000C58A0000}"/>
    <cellStyle name="Normal 39 10 13" xfId="19720" xr:uid="{00000000-0005-0000-0000-0000C68A0000}"/>
    <cellStyle name="Normal 39 10 13 2" xfId="37081" xr:uid="{00000000-0005-0000-0000-0000C78A0000}"/>
    <cellStyle name="Normal 39 10 14" xfId="19721" xr:uid="{00000000-0005-0000-0000-0000C88A0000}"/>
    <cellStyle name="Normal 39 10 14 2" xfId="37082" xr:uid="{00000000-0005-0000-0000-0000C98A0000}"/>
    <cellStyle name="Normal 39 10 15" xfId="37077" xr:uid="{00000000-0005-0000-0000-0000CA8A0000}"/>
    <cellStyle name="Normal 39 10 2" xfId="19722" xr:uid="{00000000-0005-0000-0000-0000CB8A0000}"/>
    <cellStyle name="Normal 39 10 2 2" xfId="37083" xr:uid="{00000000-0005-0000-0000-0000CC8A0000}"/>
    <cellStyle name="Normal 39 10 3" xfId="19723" xr:uid="{00000000-0005-0000-0000-0000CD8A0000}"/>
    <cellStyle name="Normal 39 10 3 2" xfId="37084" xr:uid="{00000000-0005-0000-0000-0000CE8A0000}"/>
    <cellStyle name="Normal 39 10 4" xfId="19724" xr:uid="{00000000-0005-0000-0000-0000CF8A0000}"/>
    <cellStyle name="Normal 39 10 4 2" xfId="37085" xr:uid="{00000000-0005-0000-0000-0000D08A0000}"/>
    <cellStyle name="Normal 39 10 5" xfId="19725" xr:uid="{00000000-0005-0000-0000-0000D18A0000}"/>
    <cellStyle name="Normal 39 10 5 2" xfId="37086" xr:uid="{00000000-0005-0000-0000-0000D28A0000}"/>
    <cellStyle name="Normal 39 10 6" xfId="19726" xr:uid="{00000000-0005-0000-0000-0000D38A0000}"/>
    <cellStyle name="Normal 39 10 6 2" xfId="37087" xr:uid="{00000000-0005-0000-0000-0000D48A0000}"/>
    <cellStyle name="Normal 39 10 7" xfId="19727" xr:uid="{00000000-0005-0000-0000-0000D58A0000}"/>
    <cellStyle name="Normal 39 10 7 2" xfId="37088" xr:uid="{00000000-0005-0000-0000-0000D68A0000}"/>
    <cellStyle name="Normal 39 10 8" xfId="19728" xr:uid="{00000000-0005-0000-0000-0000D78A0000}"/>
    <cellStyle name="Normal 39 10 8 2" xfId="37089" xr:uid="{00000000-0005-0000-0000-0000D88A0000}"/>
    <cellStyle name="Normal 39 10 9" xfId="19729" xr:uid="{00000000-0005-0000-0000-0000D98A0000}"/>
    <cellStyle name="Normal 39 10 9 2" xfId="37090" xr:uid="{00000000-0005-0000-0000-0000DA8A0000}"/>
    <cellStyle name="Normal 39 11" xfId="19730" xr:uid="{00000000-0005-0000-0000-0000DB8A0000}"/>
    <cellStyle name="Normal 39 11 10" xfId="19731" xr:uid="{00000000-0005-0000-0000-0000DC8A0000}"/>
    <cellStyle name="Normal 39 11 10 2" xfId="37092" xr:uid="{00000000-0005-0000-0000-0000DD8A0000}"/>
    <cellStyle name="Normal 39 11 11" xfId="19732" xr:uid="{00000000-0005-0000-0000-0000DE8A0000}"/>
    <cellStyle name="Normal 39 11 11 2" xfId="37093" xr:uid="{00000000-0005-0000-0000-0000DF8A0000}"/>
    <cellStyle name="Normal 39 11 12" xfId="19733" xr:uid="{00000000-0005-0000-0000-0000E08A0000}"/>
    <cellStyle name="Normal 39 11 12 2" xfId="37094" xr:uid="{00000000-0005-0000-0000-0000E18A0000}"/>
    <cellStyle name="Normal 39 11 13" xfId="19734" xr:uid="{00000000-0005-0000-0000-0000E28A0000}"/>
    <cellStyle name="Normal 39 11 13 2" xfId="37095" xr:uid="{00000000-0005-0000-0000-0000E38A0000}"/>
    <cellStyle name="Normal 39 11 14" xfId="19735" xr:uid="{00000000-0005-0000-0000-0000E48A0000}"/>
    <cellStyle name="Normal 39 11 14 2" xfId="37096" xr:uid="{00000000-0005-0000-0000-0000E58A0000}"/>
    <cellStyle name="Normal 39 11 15" xfId="37091" xr:uid="{00000000-0005-0000-0000-0000E68A0000}"/>
    <cellStyle name="Normal 39 11 2" xfId="19736" xr:uid="{00000000-0005-0000-0000-0000E78A0000}"/>
    <cellStyle name="Normal 39 11 2 2" xfId="37097" xr:uid="{00000000-0005-0000-0000-0000E88A0000}"/>
    <cellStyle name="Normal 39 11 3" xfId="19737" xr:uid="{00000000-0005-0000-0000-0000E98A0000}"/>
    <cellStyle name="Normal 39 11 3 2" xfId="37098" xr:uid="{00000000-0005-0000-0000-0000EA8A0000}"/>
    <cellStyle name="Normal 39 11 4" xfId="19738" xr:uid="{00000000-0005-0000-0000-0000EB8A0000}"/>
    <cellStyle name="Normal 39 11 4 2" xfId="37099" xr:uid="{00000000-0005-0000-0000-0000EC8A0000}"/>
    <cellStyle name="Normal 39 11 5" xfId="19739" xr:uid="{00000000-0005-0000-0000-0000ED8A0000}"/>
    <cellStyle name="Normal 39 11 5 2" xfId="37100" xr:uid="{00000000-0005-0000-0000-0000EE8A0000}"/>
    <cellStyle name="Normal 39 11 6" xfId="19740" xr:uid="{00000000-0005-0000-0000-0000EF8A0000}"/>
    <cellStyle name="Normal 39 11 6 2" xfId="37101" xr:uid="{00000000-0005-0000-0000-0000F08A0000}"/>
    <cellStyle name="Normal 39 11 7" xfId="19741" xr:uid="{00000000-0005-0000-0000-0000F18A0000}"/>
    <cellStyle name="Normal 39 11 7 2" xfId="37102" xr:uid="{00000000-0005-0000-0000-0000F28A0000}"/>
    <cellStyle name="Normal 39 11 8" xfId="19742" xr:uid="{00000000-0005-0000-0000-0000F38A0000}"/>
    <cellStyle name="Normal 39 11 8 2" xfId="37103" xr:uid="{00000000-0005-0000-0000-0000F48A0000}"/>
    <cellStyle name="Normal 39 11 9" xfId="19743" xr:uid="{00000000-0005-0000-0000-0000F58A0000}"/>
    <cellStyle name="Normal 39 11 9 2" xfId="37104" xr:uid="{00000000-0005-0000-0000-0000F68A0000}"/>
    <cellStyle name="Normal 39 12" xfId="19744" xr:uid="{00000000-0005-0000-0000-0000F78A0000}"/>
    <cellStyle name="Normal 39 12 10" xfId="19745" xr:uid="{00000000-0005-0000-0000-0000F88A0000}"/>
    <cellStyle name="Normal 39 12 10 2" xfId="37106" xr:uid="{00000000-0005-0000-0000-0000F98A0000}"/>
    <cellStyle name="Normal 39 12 11" xfId="19746" xr:uid="{00000000-0005-0000-0000-0000FA8A0000}"/>
    <cellStyle name="Normal 39 12 11 2" xfId="37107" xr:uid="{00000000-0005-0000-0000-0000FB8A0000}"/>
    <cellStyle name="Normal 39 12 12" xfId="19747" xr:uid="{00000000-0005-0000-0000-0000FC8A0000}"/>
    <cellStyle name="Normal 39 12 12 2" xfId="37108" xr:uid="{00000000-0005-0000-0000-0000FD8A0000}"/>
    <cellStyle name="Normal 39 12 13" xfId="19748" xr:uid="{00000000-0005-0000-0000-0000FE8A0000}"/>
    <cellStyle name="Normal 39 12 13 2" xfId="37109" xr:uid="{00000000-0005-0000-0000-0000FF8A0000}"/>
    <cellStyle name="Normal 39 12 14" xfId="19749" xr:uid="{00000000-0005-0000-0000-0000008B0000}"/>
    <cellStyle name="Normal 39 12 14 2" xfId="37110" xr:uid="{00000000-0005-0000-0000-0000018B0000}"/>
    <cellStyle name="Normal 39 12 15" xfId="37105" xr:uid="{00000000-0005-0000-0000-0000028B0000}"/>
    <cellStyle name="Normal 39 12 2" xfId="19750" xr:uid="{00000000-0005-0000-0000-0000038B0000}"/>
    <cellStyle name="Normal 39 12 2 2" xfId="37111" xr:uid="{00000000-0005-0000-0000-0000048B0000}"/>
    <cellStyle name="Normal 39 12 3" xfId="19751" xr:uid="{00000000-0005-0000-0000-0000058B0000}"/>
    <cellStyle name="Normal 39 12 3 2" xfId="37112" xr:uid="{00000000-0005-0000-0000-0000068B0000}"/>
    <cellStyle name="Normal 39 12 4" xfId="19752" xr:uid="{00000000-0005-0000-0000-0000078B0000}"/>
    <cellStyle name="Normal 39 12 4 2" xfId="37113" xr:uid="{00000000-0005-0000-0000-0000088B0000}"/>
    <cellStyle name="Normal 39 12 5" xfId="19753" xr:uid="{00000000-0005-0000-0000-0000098B0000}"/>
    <cellStyle name="Normal 39 12 5 2" xfId="37114" xr:uid="{00000000-0005-0000-0000-00000A8B0000}"/>
    <cellStyle name="Normal 39 12 6" xfId="19754" xr:uid="{00000000-0005-0000-0000-00000B8B0000}"/>
    <cellStyle name="Normal 39 12 6 2" xfId="37115" xr:uid="{00000000-0005-0000-0000-00000C8B0000}"/>
    <cellStyle name="Normal 39 12 7" xfId="19755" xr:uid="{00000000-0005-0000-0000-00000D8B0000}"/>
    <cellStyle name="Normal 39 12 7 2" xfId="37116" xr:uid="{00000000-0005-0000-0000-00000E8B0000}"/>
    <cellStyle name="Normal 39 12 8" xfId="19756" xr:uid="{00000000-0005-0000-0000-00000F8B0000}"/>
    <cellStyle name="Normal 39 12 8 2" xfId="37117" xr:uid="{00000000-0005-0000-0000-0000108B0000}"/>
    <cellStyle name="Normal 39 12 9" xfId="19757" xr:uid="{00000000-0005-0000-0000-0000118B0000}"/>
    <cellStyle name="Normal 39 12 9 2" xfId="37118" xr:uid="{00000000-0005-0000-0000-0000128B0000}"/>
    <cellStyle name="Normal 39 13" xfId="19758" xr:uid="{00000000-0005-0000-0000-0000138B0000}"/>
    <cellStyle name="Normal 39 13 10" xfId="19759" xr:uid="{00000000-0005-0000-0000-0000148B0000}"/>
    <cellStyle name="Normal 39 13 10 2" xfId="37120" xr:uid="{00000000-0005-0000-0000-0000158B0000}"/>
    <cellStyle name="Normal 39 13 11" xfId="19760" xr:uid="{00000000-0005-0000-0000-0000168B0000}"/>
    <cellStyle name="Normal 39 13 11 2" xfId="37121" xr:uid="{00000000-0005-0000-0000-0000178B0000}"/>
    <cellStyle name="Normal 39 13 12" xfId="19761" xr:uid="{00000000-0005-0000-0000-0000188B0000}"/>
    <cellStyle name="Normal 39 13 12 2" xfId="37122" xr:uid="{00000000-0005-0000-0000-0000198B0000}"/>
    <cellStyle name="Normal 39 13 13" xfId="19762" xr:uid="{00000000-0005-0000-0000-00001A8B0000}"/>
    <cellStyle name="Normal 39 13 13 2" xfId="37123" xr:uid="{00000000-0005-0000-0000-00001B8B0000}"/>
    <cellStyle name="Normal 39 13 14" xfId="19763" xr:uid="{00000000-0005-0000-0000-00001C8B0000}"/>
    <cellStyle name="Normal 39 13 14 2" xfId="37124" xr:uid="{00000000-0005-0000-0000-00001D8B0000}"/>
    <cellStyle name="Normal 39 13 15" xfId="37119" xr:uid="{00000000-0005-0000-0000-00001E8B0000}"/>
    <cellStyle name="Normal 39 13 2" xfId="19764" xr:uid="{00000000-0005-0000-0000-00001F8B0000}"/>
    <cellStyle name="Normal 39 13 2 2" xfId="37125" xr:uid="{00000000-0005-0000-0000-0000208B0000}"/>
    <cellStyle name="Normal 39 13 3" xfId="19765" xr:uid="{00000000-0005-0000-0000-0000218B0000}"/>
    <cellStyle name="Normal 39 13 3 2" xfId="37126" xr:uid="{00000000-0005-0000-0000-0000228B0000}"/>
    <cellStyle name="Normal 39 13 4" xfId="19766" xr:uid="{00000000-0005-0000-0000-0000238B0000}"/>
    <cellStyle name="Normal 39 13 4 2" xfId="37127" xr:uid="{00000000-0005-0000-0000-0000248B0000}"/>
    <cellStyle name="Normal 39 13 5" xfId="19767" xr:uid="{00000000-0005-0000-0000-0000258B0000}"/>
    <cellStyle name="Normal 39 13 5 2" xfId="37128" xr:uid="{00000000-0005-0000-0000-0000268B0000}"/>
    <cellStyle name="Normal 39 13 6" xfId="19768" xr:uid="{00000000-0005-0000-0000-0000278B0000}"/>
    <cellStyle name="Normal 39 13 6 2" xfId="37129" xr:uid="{00000000-0005-0000-0000-0000288B0000}"/>
    <cellStyle name="Normal 39 13 7" xfId="19769" xr:uid="{00000000-0005-0000-0000-0000298B0000}"/>
    <cellStyle name="Normal 39 13 7 2" xfId="37130" xr:uid="{00000000-0005-0000-0000-00002A8B0000}"/>
    <cellStyle name="Normal 39 13 8" xfId="19770" xr:uid="{00000000-0005-0000-0000-00002B8B0000}"/>
    <cellStyle name="Normal 39 13 8 2" xfId="37131" xr:uid="{00000000-0005-0000-0000-00002C8B0000}"/>
    <cellStyle name="Normal 39 13 9" xfId="19771" xr:uid="{00000000-0005-0000-0000-00002D8B0000}"/>
    <cellStyle name="Normal 39 13 9 2" xfId="37132" xr:uid="{00000000-0005-0000-0000-00002E8B0000}"/>
    <cellStyle name="Normal 39 14" xfId="19772" xr:uid="{00000000-0005-0000-0000-00002F8B0000}"/>
    <cellStyle name="Normal 39 14 10" xfId="19773" xr:uid="{00000000-0005-0000-0000-0000308B0000}"/>
    <cellStyle name="Normal 39 14 10 2" xfId="37134" xr:uid="{00000000-0005-0000-0000-0000318B0000}"/>
    <cellStyle name="Normal 39 14 11" xfId="19774" xr:uid="{00000000-0005-0000-0000-0000328B0000}"/>
    <cellStyle name="Normal 39 14 11 2" xfId="37135" xr:uid="{00000000-0005-0000-0000-0000338B0000}"/>
    <cellStyle name="Normal 39 14 12" xfId="19775" xr:uid="{00000000-0005-0000-0000-0000348B0000}"/>
    <cellStyle name="Normal 39 14 12 2" xfId="37136" xr:uid="{00000000-0005-0000-0000-0000358B0000}"/>
    <cellStyle name="Normal 39 14 13" xfId="19776" xr:uid="{00000000-0005-0000-0000-0000368B0000}"/>
    <cellStyle name="Normal 39 14 13 2" xfId="37137" xr:uid="{00000000-0005-0000-0000-0000378B0000}"/>
    <cellStyle name="Normal 39 14 14" xfId="19777" xr:uid="{00000000-0005-0000-0000-0000388B0000}"/>
    <cellStyle name="Normal 39 14 14 2" xfId="37138" xr:uid="{00000000-0005-0000-0000-0000398B0000}"/>
    <cellStyle name="Normal 39 14 15" xfId="37133" xr:uid="{00000000-0005-0000-0000-00003A8B0000}"/>
    <cellStyle name="Normal 39 14 2" xfId="19778" xr:uid="{00000000-0005-0000-0000-00003B8B0000}"/>
    <cellStyle name="Normal 39 14 2 2" xfId="37139" xr:uid="{00000000-0005-0000-0000-00003C8B0000}"/>
    <cellStyle name="Normal 39 14 3" xfId="19779" xr:uid="{00000000-0005-0000-0000-00003D8B0000}"/>
    <cellStyle name="Normal 39 14 3 2" xfId="37140" xr:uid="{00000000-0005-0000-0000-00003E8B0000}"/>
    <cellStyle name="Normal 39 14 4" xfId="19780" xr:uid="{00000000-0005-0000-0000-00003F8B0000}"/>
    <cellStyle name="Normal 39 14 4 2" xfId="37141" xr:uid="{00000000-0005-0000-0000-0000408B0000}"/>
    <cellStyle name="Normal 39 14 5" xfId="19781" xr:uid="{00000000-0005-0000-0000-0000418B0000}"/>
    <cellStyle name="Normal 39 14 5 2" xfId="37142" xr:uid="{00000000-0005-0000-0000-0000428B0000}"/>
    <cellStyle name="Normal 39 14 6" xfId="19782" xr:uid="{00000000-0005-0000-0000-0000438B0000}"/>
    <cellStyle name="Normal 39 14 6 2" xfId="37143" xr:uid="{00000000-0005-0000-0000-0000448B0000}"/>
    <cellStyle name="Normal 39 14 7" xfId="19783" xr:uid="{00000000-0005-0000-0000-0000458B0000}"/>
    <cellStyle name="Normal 39 14 7 2" xfId="37144" xr:uid="{00000000-0005-0000-0000-0000468B0000}"/>
    <cellStyle name="Normal 39 14 8" xfId="19784" xr:uid="{00000000-0005-0000-0000-0000478B0000}"/>
    <cellStyle name="Normal 39 14 8 2" xfId="37145" xr:uid="{00000000-0005-0000-0000-0000488B0000}"/>
    <cellStyle name="Normal 39 14 9" xfId="19785" xr:uid="{00000000-0005-0000-0000-0000498B0000}"/>
    <cellStyle name="Normal 39 14 9 2" xfId="37146" xr:uid="{00000000-0005-0000-0000-00004A8B0000}"/>
    <cellStyle name="Normal 39 15" xfId="19786" xr:uid="{00000000-0005-0000-0000-00004B8B0000}"/>
    <cellStyle name="Normal 39 15 10" xfId="19787" xr:uid="{00000000-0005-0000-0000-00004C8B0000}"/>
    <cellStyle name="Normal 39 15 10 2" xfId="37148" xr:uid="{00000000-0005-0000-0000-00004D8B0000}"/>
    <cellStyle name="Normal 39 15 11" xfId="19788" xr:uid="{00000000-0005-0000-0000-00004E8B0000}"/>
    <cellStyle name="Normal 39 15 11 2" xfId="37149" xr:uid="{00000000-0005-0000-0000-00004F8B0000}"/>
    <cellStyle name="Normal 39 15 12" xfId="19789" xr:uid="{00000000-0005-0000-0000-0000508B0000}"/>
    <cellStyle name="Normal 39 15 12 2" xfId="37150" xr:uid="{00000000-0005-0000-0000-0000518B0000}"/>
    <cellStyle name="Normal 39 15 13" xfId="19790" xr:uid="{00000000-0005-0000-0000-0000528B0000}"/>
    <cellStyle name="Normal 39 15 13 2" xfId="37151" xr:uid="{00000000-0005-0000-0000-0000538B0000}"/>
    <cellStyle name="Normal 39 15 14" xfId="19791" xr:uid="{00000000-0005-0000-0000-0000548B0000}"/>
    <cellStyle name="Normal 39 15 14 2" xfId="37152" xr:uid="{00000000-0005-0000-0000-0000558B0000}"/>
    <cellStyle name="Normal 39 15 15" xfId="37147" xr:uid="{00000000-0005-0000-0000-0000568B0000}"/>
    <cellStyle name="Normal 39 15 2" xfId="19792" xr:uid="{00000000-0005-0000-0000-0000578B0000}"/>
    <cellStyle name="Normal 39 15 2 2" xfId="37153" xr:uid="{00000000-0005-0000-0000-0000588B0000}"/>
    <cellStyle name="Normal 39 15 3" xfId="19793" xr:uid="{00000000-0005-0000-0000-0000598B0000}"/>
    <cellStyle name="Normal 39 15 3 2" xfId="37154" xr:uid="{00000000-0005-0000-0000-00005A8B0000}"/>
    <cellStyle name="Normal 39 15 4" xfId="19794" xr:uid="{00000000-0005-0000-0000-00005B8B0000}"/>
    <cellStyle name="Normal 39 15 4 2" xfId="37155" xr:uid="{00000000-0005-0000-0000-00005C8B0000}"/>
    <cellStyle name="Normal 39 15 5" xfId="19795" xr:uid="{00000000-0005-0000-0000-00005D8B0000}"/>
    <cellStyle name="Normal 39 15 5 2" xfId="37156" xr:uid="{00000000-0005-0000-0000-00005E8B0000}"/>
    <cellStyle name="Normal 39 15 6" xfId="19796" xr:uid="{00000000-0005-0000-0000-00005F8B0000}"/>
    <cellStyle name="Normal 39 15 6 2" xfId="37157" xr:uid="{00000000-0005-0000-0000-0000608B0000}"/>
    <cellStyle name="Normal 39 15 7" xfId="19797" xr:uid="{00000000-0005-0000-0000-0000618B0000}"/>
    <cellStyle name="Normal 39 15 7 2" xfId="37158" xr:uid="{00000000-0005-0000-0000-0000628B0000}"/>
    <cellStyle name="Normal 39 15 8" xfId="19798" xr:uid="{00000000-0005-0000-0000-0000638B0000}"/>
    <cellStyle name="Normal 39 15 8 2" xfId="37159" xr:uid="{00000000-0005-0000-0000-0000648B0000}"/>
    <cellStyle name="Normal 39 15 9" xfId="19799" xr:uid="{00000000-0005-0000-0000-0000658B0000}"/>
    <cellStyle name="Normal 39 15 9 2" xfId="37160" xr:uid="{00000000-0005-0000-0000-0000668B0000}"/>
    <cellStyle name="Normal 39 16" xfId="19800" xr:uid="{00000000-0005-0000-0000-0000678B0000}"/>
    <cellStyle name="Normal 39 16 10" xfId="19801" xr:uid="{00000000-0005-0000-0000-0000688B0000}"/>
    <cellStyle name="Normal 39 16 10 2" xfId="37162" xr:uid="{00000000-0005-0000-0000-0000698B0000}"/>
    <cellStyle name="Normal 39 16 11" xfId="19802" xr:uid="{00000000-0005-0000-0000-00006A8B0000}"/>
    <cellStyle name="Normal 39 16 11 2" xfId="37163" xr:uid="{00000000-0005-0000-0000-00006B8B0000}"/>
    <cellStyle name="Normal 39 16 12" xfId="19803" xr:uid="{00000000-0005-0000-0000-00006C8B0000}"/>
    <cellStyle name="Normal 39 16 12 2" xfId="37164" xr:uid="{00000000-0005-0000-0000-00006D8B0000}"/>
    <cellStyle name="Normal 39 16 13" xfId="19804" xr:uid="{00000000-0005-0000-0000-00006E8B0000}"/>
    <cellStyle name="Normal 39 16 13 2" xfId="37165" xr:uid="{00000000-0005-0000-0000-00006F8B0000}"/>
    <cellStyle name="Normal 39 16 14" xfId="19805" xr:uid="{00000000-0005-0000-0000-0000708B0000}"/>
    <cellStyle name="Normal 39 16 14 2" xfId="37166" xr:uid="{00000000-0005-0000-0000-0000718B0000}"/>
    <cellStyle name="Normal 39 16 15" xfId="37161" xr:uid="{00000000-0005-0000-0000-0000728B0000}"/>
    <cellStyle name="Normal 39 16 2" xfId="19806" xr:uid="{00000000-0005-0000-0000-0000738B0000}"/>
    <cellStyle name="Normal 39 16 2 2" xfId="37167" xr:uid="{00000000-0005-0000-0000-0000748B0000}"/>
    <cellStyle name="Normal 39 16 3" xfId="19807" xr:uid="{00000000-0005-0000-0000-0000758B0000}"/>
    <cellStyle name="Normal 39 16 3 2" xfId="37168" xr:uid="{00000000-0005-0000-0000-0000768B0000}"/>
    <cellStyle name="Normal 39 16 4" xfId="19808" xr:uid="{00000000-0005-0000-0000-0000778B0000}"/>
    <cellStyle name="Normal 39 16 4 2" xfId="37169" xr:uid="{00000000-0005-0000-0000-0000788B0000}"/>
    <cellStyle name="Normal 39 16 5" xfId="19809" xr:uid="{00000000-0005-0000-0000-0000798B0000}"/>
    <cellStyle name="Normal 39 16 5 2" xfId="37170" xr:uid="{00000000-0005-0000-0000-00007A8B0000}"/>
    <cellStyle name="Normal 39 16 6" xfId="19810" xr:uid="{00000000-0005-0000-0000-00007B8B0000}"/>
    <cellStyle name="Normal 39 16 6 2" xfId="37171" xr:uid="{00000000-0005-0000-0000-00007C8B0000}"/>
    <cellStyle name="Normal 39 16 7" xfId="19811" xr:uid="{00000000-0005-0000-0000-00007D8B0000}"/>
    <cellStyle name="Normal 39 16 7 2" xfId="37172" xr:uid="{00000000-0005-0000-0000-00007E8B0000}"/>
    <cellStyle name="Normal 39 16 8" xfId="19812" xr:uid="{00000000-0005-0000-0000-00007F8B0000}"/>
    <cellStyle name="Normal 39 16 8 2" xfId="37173" xr:uid="{00000000-0005-0000-0000-0000808B0000}"/>
    <cellStyle name="Normal 39 16 9" xfId="19813" xr:uid="{00000000-0005-0000-0000-0000818B0000}"/>
    <cellStyle name="Normal 39 16 9 2" xfId="37174" xr:uid="{00000000-0005-0000-0000-0000828B0000}"/>
    <cellStyle name="Normal 39 17" xfId="19814" xr:uid="{00000000-0005-0000-0000-0000838B0000}"/>
    <cellStyle name="Normal 39 17 10" xfId="19815" xr:uid="{00000000-0005-0000-0000-0000848B0000}"/>
    <cellStyle name="Normal 39 17 10 2" xfId="37176" xr:uid="{00000000-0005-0000-0000-0000858B0000}"/>
    <cellStyle name="Normal 39 17 11" xfId="19816" xr:uid="{00000000-0005-0000-0000-0000868B0000}"/>
    <cellStyle name="Normal 39 17 11 2" xfId="37177" xr:uid="{00000000-0005-0000-0000-0000878B0000}"/>
    <cellStyle name="Normal 39 17 12" xfId="19817" xr:uid="{00000000-0005-0000-0000-0000888B0000}"/>
    <cellStyle name="Normal 39 17 12 2" xfId="37178" xr:uid="{00000000-0005-0000-0000-0000898B0000}"/>
    <cellStyle name="Normal 39 17 13" xfId="19818" xr:uid="{00000000-0005-0000-0000-00008A8B0000}"/>
    <cellStyle name="Normal 39 17 13 2" xfId="37179" xr:uid="{00000000-0005-0000-0000-00008B8B0000}"/>
    <cellStyle name="Normal 39 17 14" xfId="19819" xr:uid="{00000000-0005-0000-0000-00008C8B0000}"/>
    <cellStyle name="Normal 39 17 14 2" xfId="37180" xr:uid="{00000000-0005-0000-0000-00008D8B0000}"/>
    <cellStyle name="Normal 39 17 15" xfId="37175" xr:uid="{00000000-0005-0000-0000-00008E8B0000}"/>
    <cellStyle name="Normal 39 17 2" xfId="19820" xr:uid="{00000000-0005-0000-0000-00008F8B0000}"/>
    <cellStyle name="Normal 39 17 2 2" xfId="37181" xr:uid="{00000000-0005-0000-0000-0000908B0000}"/>
    <cellStyle name="Normal 39 17 3" xfId="19821" xr:uid="{00000000-0005-0000-0000-0000918B0000}"/>
    <cellStyle name="Normal 39 17 3 2" xfId="37182" xr:uid="{00000000-0005-0000-0000-0000928B0000}"/>
    <cellStyle name="Normal 39 17 4" xfId="19822" xr:uid="{00000000-0005-0000-0000-0000938B0000}"/>
    <cellStyle name="Normal 39 17 4 2" xfId="37183" xr:uid="{00000000-0005-0000-0000-0000948B0000}"/>
    <cellStyle name="Normal 39 17 5" xfId="19823" xr:uid="{00000000-0005-0000-0000-0000958B0000}"/>
    <cellStyle name="Normal 39 17 5 2" xfId="37184" xr:uid="{00000000-0005-0000-0000-0000968B0000}"/>
    <cellStyle name="Normal 39 17 6" xfId="19824" xr:uid="{00000000-0005-0000-0000-0000978B0000}"/>
    <cellStyle name="Normal 39 17 6 2" xfId="37185" xr:uid="{00000000-0005-0000-0000-0000988B0000}"/>
    <cellStyle name="Normal 39 17 7" xfId="19825" xr:uid="{00000000-0005-0000-0000-0000998B0000}"/>
    <cellStyle name="Normal 39 17 7 2" xfId="37186" xr:uid="{00000000-0005-0000-0000-00009A8B0000}"/>
    <cellStyle name="Normal 39 17 8" xfId="19826" xr:uid="{00000000-0005-0000-0000-00009B8B0000}"/>
    <cellStyle name="Normal 39 17 8 2" xfId="37187" xr:uid="{00000000-0005-0000-0000-00009C8B0000}"/>
    <cellStyle name="Normal 39 17 9" xfId="19827" xr:uid="{00000000-0005-0000-0000-00009D8B0000}"/>
    <cellStyle name="Normal 39 17 9 2" xfId="37188" xr:uid="{00000000-0005-0000-0000-00009E8B0000}"/>
    <cellStyle name="Normal 39 18" xfId="19828" xr:uid="{00000000-0005-0000-0000-00009F8B0000}"/>
    <cellStyle name="Normal 39 18 2" xfId="37189" xr:uid="{00000000-0005-0000-0000-0000A08B0000}"/>
    <cellStyle name="Normal 39 19" xfId="19829" xr:uid="{00000000-0005-0000-0000-0000A18B0000}"/>
    <cellStyle name="Normal 39 19 2" xfId="37190" xr:uid="{00000000-0005-0000-0000-0000A28B0000}"/>
    <cellStyle name="Normal 39 2" xfId="227" xr:uid="{00000000-0005-0000-0000-0000A38B0000}"/>
    <cellStyle name="Normal 39 20" xfId="19830" xr:uid="{00000000-0005-0000-0000-0000A48B0000}"/>
    <cellStyle name="Normal 39 20 2" xfId="37191" xr:uid="{00000000-0005-0000-0000-0000A58B0000}"/>
    <cellStyle name="Normal 39 21" xfId="19831" xr:uid="{00000000-0005-0000-0000-0000A68B0000}"/>
    <cellStyle name="Normal 39 21 2" xfId="37192" xr:uid="{00000000-0005-0000-0000-0000A78B0000}"/>
    <cellStyle name="Normal 39 22" xfId="19832" xr:uid="{00000000-0005-0000-0000-0000A88B0000}"/>
    <cellStyle name="Normal 39 22 2" xfId="37193" xr:uid="{00000000-0005-0000-0000-0000A98B0000}"/>
    <cellStyle name="Normal 39 23" xfId="19833" xr:uid="{00000000-0005-0000-0000-0000AA8B0000}"/>
    <cellStyle name="Normal 39 23 2" xfId="37194" xr:uid="{00000000-0005-0000-0000-0000AB8B0000}"/>
    <cellStyle name="Normal 39 24" xfId="19834" xr:uid="{00000000-0005-0000-0000-0000AC8B0000}"/>
    <cellStyle name="Normal 39 24 2" xfId="37195" xr:uid="{00000000-0005-0000-0000-0000AD8B0000}"/>
    <cellStyle name="Normal 39 25" xfId="19835" xr:uid="{00000000-0005-0000-0000-0000AE8B0000}"/>
    <cellStyle name="Normal 39 25 2" xfId="37196" xr:uid="{00000000-0005-0000-0000-0000AF8B0000}"/>
    <cellStyle name="Normal 39 26" xfId="19836" xr:uid="{00000000-0005-0000-0000-0000B08B0000}"/>
    <cellStyle name="Normal 39 26 2" xfId="37197" xr:uid="{00000000-0005-0000-0000-0000B18B0000}"/>
    <cellStyle name="Normal 39 27" xfId="19837" xr:uid="{00000000-0005-0000-0000-0000B28B0000}"/>
    <cellStyle name="Normal 39 27 2" xfId="37198" xr:uid="{00000000-0005-0000-0000-0000B38B0000}"/>
    <cellStyle name="Normal 39 28" xfId="19838" xr:uid="{00000000-0005-0000-0000-0000B48B0000}"/>
    <cellStyle name="Normal 39 28 2" xfId="37199" xr:uid="{00000000-0005-0000-0000-0000B58B0000}"/>
    <cellStyle name="Normal 39 29" xfId="19839" xr:uid="{00000000-0005-0000-0000-0000B68B0000}"/>
    <cellStyle name="Normal 39 29 2" xfId="37200" xr:uid="{00000000-0005-0000-0000-0000B78B0000}"/>
    <cellStyle name="Normal 39 3" xfId="19840" xr:uid="{00000000-0005-0000-0000-0000B88B0000}"/>
    <cellStyle name="Normal 39 30" xfId="19841" xr:uid="{00000000-0005-0000-0000-0000B98B0000}"/>
    <cellStyle name="Normal 39 30 2" xfId="37201" xr:uid="{00000000-0005-0000-0000-0000BA8B0000}"/>
    <cellStyle name="Normal 39 31" xfId="37076" xr:uid="{00000000-0005-0000-0000-0000BB8B0000}"/>
    <cellStyle name="Normal 39 4" xfId="19842" xr:uid="{00000000-0005-0000-0000-0000BC8B0000}"/>
    <cellStyle name="Normal 39 4 10" xfId="19843" xr:uid="{00000000-0005-0000-0000-0000BD8B0000}"/>
    <cellStyle name="Normal 39 4 10 2" xfId="37203" xr:uid="{00000000-0005-0000-0000-0000BE8B0000}"/>
    <cellStyle name="Normal 39 4 11" xfId="19844" xr:uid="{00000000-0005-0000-0000-0000BF8B0000}"/>
    <cellStyle name="Normal 39 4 11 2" xfId="37204" xr:uid="{00000000-0005-0000-0000-0000C08B0000}"/>
    <cellStyle name="Normal 39 4 12" xfId="19845" xr:uid="{00000000-0005-0000-0000-0000C18B0000}"/>
    <cellStyle name="Normal 39 4 12 2" xfId="37205" xr:uid="{00000000-0005-0000-0000-0000C28B0000}"/>
    <cellStyle name="Normal 39 4 13" xfId="19846" xr:uid="{00000000-0005-0000-0000-0000C38B0000}"/>
    <cellStyle name="Normal 39 4 13 2" xfId="37206" xr:uid="{00000000-0005-0000-0000-0000C48B0000}"/>
    <cellStyle name="Normal 39 4 14" xfId="19847" xr:uid="{00000000-0005-0000-0000-0000C58B0000}"/>
    <cellStyle name="Normal 39 4 14 2" xfId="37207" xr:uid="{00000000-0005-0000-0000-0000C68B0000}"/>
    <cellStyle name="Normal 39 4 15" xfId="19848" xr:uid="{00000000-0005-0000-0000-0000C78B0000}"/>
    <cellStyle name="Normal 39 4 15 2" xfId="37208" xr:uid="{00000000-0005-0000-0000-0000C88B0000}"/>
    <cellStyle name="Normal 39 4 16" xfId="37202" xr:uid="{00000000-0005-0000-0000-0000C98B0000}"/>
    <cellStyle name="Normal 39 4 2" xfId="19849" xr:uid="{00000000-0005-0000-0000-0000CA8B0000}"/>
    <cellStyle name="Normal 39 4 2 10" xfId="19850" xr:uid="{00000000-0005-0000-0000-0000CB8B0000}"/>
    <cellStyle name="Normal 39 4 2 10 2" xfId="37210" xr:uid="{00000000-0005-0000-0000-0000CC8B0000}"/>
    <cellStyle name="Normal 39 4 2 11" xfId="19851" xr:uid="{00000000-0005-0000-0000-0000CD8B0000}"/>
    <cellStyle name="Normal 39 4 2 11 2" xfId="37211" xr:uid="{00000000-0005-0000-0000-0000CE8B0000}"/>
    <cellStyle name="Normal 39 4 2 12" xfId="19852" xr:uid="{00000000-0005-0000-0000-0000CF8B0000}"/>
    <cellStyle name="Normal 39 4 2 12 2" xfId="37212" xr:uid="{00000000-0005-0000-0000-0000D08B0000}"/>
    <cellStyle name="Normal 39 4 2 13" xfId="19853" xr:uid="{00000000-0005-0000-0000-0000D18B0000}"/>
    <cellStyle name="Normal 39 4 2 13 2" xfId="37213" xr:uid="{00000000-0005-0000-0000-0000D28B0000}"/>
    <cellStyle name="Normal 39 4 2 14" xfId="19854" xr:uid="{00000000-0005-0000-0000-0000D38B0000}"/>
    <cellStyle name="Normal 39 4 2 14 2" xfId="37214" xr:uid="{00000000-0005-0000-0000-0000D48B0000}"/>
    <cellStyle name="Normal 39 4 2 15" xfId="37209" xr:uid="{00000000-0005-0000-0000-0000D58B0000}"/>
    <cellStyle name="Normal 39 4 2 2" xfId="19855" xr:uid="{00000000-0005-0000-0000-0000D68B0000}"/>
    <cellStyle name="Normal 39 4 2 2 2" xfId="37215" xr:uid="{00000000-0005-0000-0000-0000D78B0000}"/>
    <cellStyle name="Normal 39 4 2 3" xfId="19856" xr:uid="{00000000-0005-0000-0000-0000D88B0000}"/>
    <cellStyle name="Normal 39 4 2 3 2" xfId="37216" xr:uid="{00000000-0005-0000-0000-0000D98B0000}"/>
    <cellStyle name="Normal 39 4 2 4" xfId="19857" xr:uid="{00000000-0005-0000-0000-0000DA8B0000}"/>
    <cellStyle name="Normal 39 4 2 4 2" xfId="37217" xr:uid="{00000000-0005-0000-0000-0000DB8B0000}"/>
    <cellStyle name="Normal 39 4 2 5" xfId="19858" xr:uid="{00000000-0005-0000-0000-0000DC8B0000}"/>
    <cellStyle name="Normal 39 4 2 5 2" xfId="37218" xr:uid="{00000000-0005-0000-0000-0000DD8B0000}"/>
    <cellStyle name="Normal 39 4 2 6" xfId="19859" xr:uid="{00000000-0005-0000-0000-0000DE8B0000}"/>
    <cellStyle name="Normal 39 4 2 6 2" xfId="37219" xr:uid="{00000000-0005-0000-0000-0000DF8B0000}"/>
    <cellStyle name="Normal 39 4 2 7" xfId="19860" xr:uid="{00000000-0005-0000-0000-0000E08B0000}"/>
    <cellStyle name="Normal 39 4 2 7 2" xfId="37220" xr:uid="{00000000-0005-0000-0000-0000E18B0000}"/>
    <cellStyle name="Normal 39 4 2 8" xfId="19861" xr:uid="{00000000-0005-0000-0000-0000E28B0000}"/>
    <cellStyle name="Normal 39 4 2 8 2" xfId="37221" xr:uid="{00000000-0005-0000-0000-0000E38B0000}"/>
    <cellStyle name="Normal 39 4 2 9" xfId="19862" xr:uid="{00000000-0005-0000-0000-0000E48B0000}"/>
    <cellStyle name="Normal 39 4 2 9 2" xfId="37222" xr:uid="{00000000-0005-0000-0000-0000E58B0000}"/>
    <cellStyle name="Normal 39 4 3" xfId="19863" xr:uid="{00000000-0005-0000-0000-0000E68B0000}"/>
    <cellStyle name="Normal 39 4 3 2" xfId="37223" xr:uid="{00000000-0005-0000-0000-0000E78B0000}"/>
    <cellStyle name="Normal 39 4 4" xfId="19864" xr:uid="{00000000-0005-0000-0000-0000E88B0000}"/>
    <cellStyle name="Normal 39 4 4 2" xfId="37224" xr:uid="{00000000-0005-0000-0000-0000E98B0000}"/>
    <cellStyle name="Normal 39 4 5" xfId="19865" xr:uid="{00000000-0005-0000-0000-0000EA8B0000}"/>
    <cellStyle name="Normal 39 4 5 2" xfId="37225" xr:uid="{00000000-0005-0000-0000-0000EB8B0000}"/>
    <cellStyle name="Normal 39 4 6" xfId="19866" xr:uid="{00000000-0005-0000-0000-0000EC8B0000}"/>
    <cellStyle name="Normal 39 4 6 2" xfId="37226" xr:uid="{00000000-0005-0000-0000-0000ED8B0000}"/>
    <cellStyle name="Normal 39 4 7" xfId="19867" xr:uid="{00000000-0005-0000-0000-0000EE8B0000}"/>
    <cellStyle name="Normal 39 4 7 2" xfId="37227" xr:uid="{00000000-0005-0000-0000-0000EF8B0000}"/>
    <cellStyle name="Normal 39 4 8" xfId="19868" xr:uid="{00000000-0005-0000-0000-0000F08B0000}"/>
    <cellStyle name="Normal 39 4 8 2" xfId="37228" xr:uid="{00000000-0005-0000-0000-0000F18B0000}"/>
    <cellStyle name="Normal 39 4 9" xfId="19869" xr:uid="{00000000-0005-0000-0000-0000F28B0000}"/>
    <cellStyle name="Normal 39 4 9 2" xfId="37229" xr:uid="{00000000-0005-0000-0000-0000F38B0000}"/>
    <cellStyle name="Normal 39 5" xfId="19870" xr:uid="{00000000-0005-0000-0000-0000F48B0000}"/>
    <cellStyle name="Normal 39 5 10" xfId="19871" xr:uid="{00000000-0005-0000-0000-0000F58B0000}"/>
    <cellStyle name="Normal 39 5 10 2" xfId="37231" xr:uid="{00000000-0005-0000-0000-0000F68B0000}"/>
    <cellStyle name="Normal 39 5 11" xfId="19872" xr:uid="{00000000-0005-0000-0000-0000F78B0000}"/>
    <cellStyle name="Normal 39 5 11 2" xfId="37232" xr:uid="{00000000-0005-0000-0000-0000F88B0000}"/>
    <cellStyle name="Normal 39 5 12" xfId="19873" xr:uid="{00000000-0005-0000-0000-0000F98B0000}"/>
    <cellStyle name="Normal 39 5 12 2" xfId="37233" xr:uid="{00000000-0005-0000-0000-0000FA8B0000}"/>
    <cellStyle name="Normal 39 5 13" xfId="19874" xr:uid="{00000000-0005-0000-0000-0000FB8B0000}"/>
    <cellStyle name="Normal 39 5 13 2" xfId="37234" xr:uid="{00000000-0005-0000-0000-0000FC8B0000}"/>
    <cellStyle name="Normal 39 5 14" xfId="19875" xr:uid="{00000000-0005-0000-0000-0000FD8B0000}"/>
    <cellStyle name="Normal 39 5 14 2" xfId="37235" xr:uid="{00000000-0005-0000-0000-0000FE8B0000}"/>
    <cellStyle name="Normal 39 5 15" xfId="19876" xr:uid="{00000000-0005-0000-0000-0000FF8B0000}"/>
    <cellStyle name="Normal 39 5 15 2" xfId="37236" xr:uid="{00000000-0005-0000-0000-0000008C0000}"/>
    <cellStyle name="Normal 39 5 16" xfId="37230" xr:uid="{00000000-0005-0000-0000-0000018C0000}"/>
    <cellStyle name="Normal 39 5 2" xfId="19877" xr:uid="{00000000-0005-0000-0000-0000028C0000}"/>
    <cellStyle name="Normal 39 5 2 10" xfId="19878" xr:uid="{00000000-0005-0000-0000-0000038C0000}"/>
    <cellStyle name="Normal 39 5 2 10 2" xfId="37238" xr:uid="{00000000-0005-0000-0000-0000048C0000}"/>
    <cellStyle name="Normal 39 5 2 11" xfId="19879" xr:uid="{00000000-0005-0000-0000-0000058C0000}"/>
    <cellStyle name="Normal 39 5 2 11 2" xfId="37239" xr:uid="{00000000-0005-0000-0000-0000068C0000}"/>
    <cellStyle name="Normal 39 5 2 12" xfId="19880" xr:uid="{00000000-0005-0000-0000-0000078C0000}"/>
    <cellStyle name="Normal 39 5 2 12 2" xfId="37240" xr:uid="{00000000-0005-0000-0000-0000088C0000}"/>
    <cellStyle name="Normal 39 5 2 13" xfId="19881" xr:uid="{00000000-0005-0000-0000-0000098C0000}"/>
    <cellStyle name="Normal 39 5 2 13 2" xfId="37241" xr:uid="{00000000-0005-0000-0000-00000A8C0000}"/>
    <cellStyle name="Normal 39 5 2 14" xfId="19882" xr:uid="{00000000-0005-0000-0000-00000B8C0000}"/>
    <cellStyle name="Normal 39 5 2 14 2" xfId="37242" xr:uid="{00000000-0005-0000-0000-00000C8C0000}"/>
    <cellStyle name="Normal 39 5 2 15" xfId="37237" xr:uid="{00000000-0005-0000-0000-00000D8C0000}"/>
    <cellStyle name="Normal 39 5 2 2" xfId="19883" xr:uid="{00000000-0005-0000-0000-00000E8C0000}"/>
    <cellStyle name="Normal 39 5 2 2 2" xfId="37243" xr:uid="{00000000-0005-0000-0000-00000F8C0000}"/>
    <cellStyle name="Normal 39 5 2 3" xfId="19884" xr:uid="{00000000-0005-0000-0000-0000108C0000}"/>
    <cellStyle name="Normal 39 5 2 3 2" xfId="37244" xr:uid="{00000000-0005-0000-0000-0000118C0000}"/>
    <cellStyle name="Normal 39 5 2 4" xfId="19885" xr:uid="{00000000-0005-0000-0000-0000128C0000}"/>
    <cellStyle name="Normal 39 5 2 4 2" xfId="37245" xr:uid="{00000000-0005-0000-0000-0000138C0000}"/>
    <cellStyle name="Normal 39 5 2 5" xfId="19886" xr:uid="{00000000-0005-0000-0000-0000148C0000}"/>
    <cellStyle name="Normal 39 5 2 5 2" xfId="37246" xr:uid="{00000000-0005-0000-0000-0000158C0000}"/>
    <cellStyle name="Normal 39 5 2 6" xfId="19887" xr:uid="{00000000-0005-0000-0000-0000168C0000}"/>
    <cellStyle name="Normal 39 5 2 6 2" xfId="37247" xr:uid="{00000000-0005-0000-0000-0000178C0000}"/>
    <cellStyle name="Normal 39 5 2 7" xfId="19888" xr:uid="{00000000-0005-0000-0000-0000188C0000}"/>
    <cellStyle name="Normal 39 5 2 7 2" xfId="37248" xr:uid="{00000000-0005-0000-0000-0000198C0000}"/>
    <cellStyle name="Normal 39 5 2 8" xfId="19889" xr:uid="{00000000-0005-0000-0000-00001A8C0000}"/>
    <cellStyle name="Normal 39 5 2 8 2" xfId="37249" xr:uid="{00000000-0005-0000-0000-00001B8C0000}"/>
    <cellStyle name="Normal 39 5 2 9" xfId="19890" xr:uid="{00000000-0005-0000-0000-00001C8C0000}"/>
    <cellStyle name="Normal 39 5 2 9 2" xfId="37250" xr:uid="{00000000-0005-0000-0000-00001D8C0000}"/>
    <cellStyle name="Normal 39 5 3" xfId="19891" xr:uid="{00000000-0005-0000-0000-00001E8C0000}"/>
    <cellStyle name="Normal 39 5 3 2" xfId="37251" xr:uid="{00000000-0005-0000-0000-00001F8C0000}"/>
    <cellStyle name="Normal 39 5 4" xfId="19892" xr:uid="{00000000-0005-0000-0000-0000208C0000}"/>
    <cellStyle name="Normal 39 5 4 2" xfId="37252" xr:uid="{00000000-0005-0000-0000-0000218C0000}"/>
    <cellStyle name="Normal 39 5 5" xfId="19893" xr:uid="{00000000-0005-0000-0000-0000228C0000}"/>
    <cellStyle name="Normal 39 5 5 2" xfId="37253" xr:uid="{00000000-0005-0000-0000-0000238C0000}"/>
    <cellStyle name="Normal 39 5 6" xfId="19894" xr:uid="{00000000-0005-0000-0000-0000248C0000}"/>
    <cellStyle name="Normal 39 5 6 2" xfId="37254" xr:uid="{00000000-0005-0000-0000-0000258C0000}"/>
    <cellStyle name="Normal 39 5 7" xfId="19895" xr:uid="{00000000-0005-0000-0000-0000268C0000}"/>
    <cellStyle name="Normal 39 5 7 2" xfId="37255" xr:uid="{00000000-0005-0000-0000-0000278C0000}"/>
    <cellStyle name="Normal 39 5 8" xfId="19896" xr:uid="{00000000-0005-0000-0000-0000288C0000}"/>
    <cellStyle name="Normal 39 5 8 2" xfId="37256" xr:uid="{00000000-0005-0000-0000-0000298C0000}"/>
    <cellStyle name="Normal 39 5 9" xfId="19897" xr:uid="{00000000-0005-0000-0000-00002A8C0000}"/>
    <cellStyle name="Normal 39 5 9 2" xfId="37257" xr:uid="{00000000-0005-0000-0000-00002B8C0000}"/>
    <cellStyle name="Normal 39 6" xfId="19898" xr:uid="{00000000-0005-0000-0000-00002C8C0000}"/>
    <cellStyle name="Normal 39 6 10" xfId="19899" xr:uid="{00000000-0005-0000-0000-00002D8C0000}"/>
    <cellStyle name="Normal 39 6 10 2" xfId="37259" xr:uid="{00000000-0005-0000-0000-00002E8C0000}"/>
    <cellStyle name="Normal 39 6 11" xfId="19900" xr:uid="{00000000-0005-0000-0000-00002F8C0000}"/>
    <cellStyle name="Normal 39 6 11 2" xfId="37260" xr:uid="{00000000-0005-0000-0000-0000308C0000}"/>
    <cellStyle name="Normal 39 6 12" xfId="19901" xr:uid="{00000000-0005-0000-0000-0000318C0000}"/>
    <cellStyle name="Normal 39 6 12 2" xfId="37261" xr:uid="{00000000-0005-0000-0000-0000328C0000}"/>
    <cellStyle name="Normal 39 6 13" xfId="19902" xr:uid="{00000000-0005-0000-0000-0000338C0000}"/>
    <cellStyle name="Normal 39 6 13 2" xfId="37262" xr:uid="{00000000-0005-0000-0000-0000348C0000}"/>
    <cellStyle name="Normal 39 6 14" xfId="19903" xr:uid="{00000000-0005-0000-0000-0000358C0000}"/>
    <cellStyle name="Normal 39 6 14 2" xfId="37263" xr:uid="{00000000-0005-0000-0000-0000368C0000}"/>
    <cellStyle name="Normal 39 6 15" xfId="19904" xr:uid="{00000000-0005-0000-0000-0000378C0000}"/>
    <cellStyle name="Normal 39 6 15 2" xfId="37264" xr:uid="{00000000-0005-0000-0000-0000388C0000}"/>
    <cellStyle name="Normal 39 6 16" xfId="37258" xr:uid="{00000000-0005-0000-0000-0000398C0000}"/>
    <cellStyle name="Normal 39 6 2" xfId="19905" xr:uid="{00000000-0005-0000-0000-00003A8C0000}"/>
    <cellStyle name="Normal 39 6 2 10" xfId="19906" xr:uid="{00000000-0005-0000-0000-00003B8C0000}"/>
    <cellStyle name="Normal 39 6 2 10 2" xfId="37266" xr:uid="{00000000-0005-0000-0000-00003C8C0000}"/>
    <cellStyle name="Normal 39 6 2 11" xfId="19907" xr:uid="{00000000-0005-0000-0000-00003D8C0000}"/>
    <cellStyle name="Normal 39 6 2 11 2" xfId="37267" xr:uid="{00000000-0005-0000-0000-00003E8C0000}"/>
    <cellStyle name="Normal 39 6 2 12" xfId="19908" xr:uid="{00000000-0005-0000-0000-00003F8C0000}"/>
    <cellStyle name="Normal 39 6 2 12 2" xfId="37268" xr:uid="{00000000-0005-0000-0000-0000408C0000}"/>
    <cellStyle name="Normal 39 6 2 13" xfId="19909" xr:uid="{00000000-0005-0000-0000-0000418C0000}"/>
    <cellStyle name="Normal 39 6 2 13 2" xfId="37269" xr:uid="{00000000-0005-0000-0000-0000428C0000}"/>
    <cellStyle name="Normal 39 6 2 14" xfId="19910" xr:uid="{00000000-0005-0000-0000-0000438C0000}"/>
    <cellStyle name="Normal 39 6 2 14 2" xfId="37270" xr:uid="{00000000-0005-0000-0000-0000448C0000}"/>
    <cellStyle name="Normal 39 6 2 15" xfId="37265" xr:uid="{00000000-0005-0000-0000-0000458C0000}"/>
    <cellStyle name="Normal 39 6 2 2" xfId="19911" xr:uid="{00000000-0005-0000-0000-0000468C0000}"/>
    <cellStyle name="Normal 39 6 2 2 2" xfId="37271" xr:uid="{00000000-0005-0000-0000-0000478C0000}"/>
    <cellStyle name="Normal 39 6 2 3" xfId="19912" xr:uid="{00000000-0005-0000-0000-0000488C0000}"/>
    <cellStyle name="Normal 39 6 2 3 2" xfId="37272" xr:uid="{00000000-0005-0000-0000-0000498C0000}"/>
    <cellStyle name="Normal 39 6 2 4" xfId="19913" xr:uid="{00000000-0005-0000-0000-00004A8C0000}"/>
    <cellStyle name="Normal 39 6 2 4 2" xfId="37273" xr:uid="{00000000-0005-0000-0000-00004B8C0000}"/>
    <cellStyle name="Normal 39 6 2 5" xfId="19914" xr:uid="{00000000-0005-0000-0000-00004C8C0000}"/>
    <cellStyle name="Normal 39 6 2 5 2" xfId="37274" xr:uid="{00000000-0005-0000-0000-00004D8C0000}"/>
    <cellStyle name="Normal 39 6 2 6" xfId="19915" xr:uid="{00000000-0005-0000-0000-00004E8C0000}"/>
    <cellStyle name="Normal 39 6 2 6 2" xfId="37275" xr:uid="{00000000-0005-0000-0000-00004F8C0000}"/>
    <cellStyle name="Normal 39 6 2 7" xfId="19916" xr:uid="{00000000-0005-0000-0000-0000508C0000}"/>
    <cellStyle name="Normal 39 6 2 7 2" xfId="37276" xr:uid="{00000000-0005-0000-0000-0000518C0000}"/>
    <cellStyle name="Normal 39 6 2 8" xfId="19917" xr:uid="{00000000-0005-0000-0000-0000528C0000}"/>
    <cellStyle name="Normal 39 6 2 8 2" xfId="37277" xr:uid="{00000000-0005-0000-0000-0000538C0000}"/>
    <cellStyle name="Normal 39 6 2 9" xfId="19918" xr:uid="{00000000-0005-0000-0000-0000548C0000}"/>
    <cellStyle name="Normal 39 6 2 9 2" xfId="37278" xr:uid="{00000000-0005-0000-0000-0000558C0000}"/>
    <cellStyle name="Normal 39 6 3" xfId="19919" xr:uid="{00000000-0005-0000-0000-0000568C0000}"/>
    <cellStyle name="Normal 39 6 3 2" xfId="37279" xr:uid="{00000000-0005-0000-0000-0000578C0000}"/>
    <cellStyle name="Normal 39 6 4" xfId="19920" xr:uid="{00000000-0005-0000-0000-0000588C0000}"/>
    <cellStyle name="Normal 39 6 4 2" xfId="37280" xr:uid="{00000000-0005-0000-0000-0000598C0000}"/>
    <cellStyle name="Normal 39 6 5" xfId="19921" xr:uid="{00000000-0005-0000-0000-00005A8C0000}"/>
    <cellStyle name="Normal 39 6 5 2" xfId="37281" xr:uid="{00000000-0005-0000-0000-00005B8C0000}"/>
    <cellStyle name="Normal 39 6 6" xfId="19922" xr:uid="{00000000-0005-0000-0000-00005C8C0000}"/>
    <cellStyle name="Normal 39 6 6 2" xfId="37282" xr:uid="{00000000-0005-0000-0000-00005D8C0000}"/>
    <cellStyle name="Normal 39 6 7" xfId="19923" xr:uid="{00000000-0005-0000-0000-00005E8C0000}"/>
    <cellStyle name="Normal 39 6 7 2" xfId="37283" xr:uid="{00000000-0005-0000-0000-00005F8C0000}"/>
    <cellStyle name="Normal 39 6 8" xfId="19924" xr:uid="{00000000-0005-0000-0000-0000608C0000}"/>
    <cellStyle name="Normal 39 6 8 2" xfId="37284" xr:uid="{00000000-0005-0000-0000-0000618C0000}"/>
    <cellStyle name="Normal 39 6 9" xfId="19925" xr:uid="{00000000-0005-0000-0000-0000628C0000}"/>
    <cellStyle name="Normal 39 6 9 2" xfId="37285" xr:uid="{00000000-0005-0000-0000-0000638C0000}"/>
    <cellStyle name="Normal 39 7" xfId="19926" xr:uid="{00000000-0005-0000-0000-0000648C0000}"/>
    <cellStyle name="Normal 39 7 10" xfId="19927" xr:uid="{00000000-0005-0000-0000-0000658C0000}"/>
    <cellStyle name="Normal 39 7 10 2" xfId="37287" xr:uid="{00000000-0005-0000-0000-0000668C0000}"/>
    <cellStyle name="Normal 39 7 11" xfId="19928" xr:uid="{00000000-0005-0000-0000-0000678C0000}"/>
    <cellStyle name="Normal 39 7 11 2" xfId="37288" xr:uid="{00000000-0005-0000-0000-0000688C0000}"/>
    <cellStyle name="Normal 39 7 12" xfId="19929" xr:uid="{00000000-0005-0000-0000-0000698C0000}"/>
    <cellStyle name="Normal 39 7 12 2" xfId="37289" xr:uid="{00000000-0005-0000-0000-00006A8C0000}"/>
    <cellStyle name="Normal 39 7 13" xfId="19930" xr:uid="{00000000-0005-0000-0000-00006B8C0000}"/>
    <cellStyle name="Normal 39 7 13 2" xfId="37290" xr:uid="{00000000-0005-0000-0000-00006C8C0000}"/>
    <cellStyle name="Normal 39 7 14" xfId="19931" xr:uid="{00000000-0005-0000-0000-00006D8C0000}"/>
    <cellStyle name="Normal 39 7 14 2" xfId="37291" xr:uid="{00000000-0005-0000-0000-00006E8C0000}"/>
    <cellStyle name="Normal 39 7 15" xfId="37286" xr:uid="{00000000-0005-0000-0000-00006F8C0000}"/>
    <cellStyle name="Normal 39 7 2" xfId="19932" xr:uid="{00000000-0005-0000-0000-0000708C0000}"/>
    <cellStyle name="Normal 39 7 2 2" xfId="37292" xr:uid="{00000000-0005-0000-0000-0000718C0000}"/>
    <cellStyle name="Normal 39 7 3" xfId="19933" xr:uid="{00000000-0005-0000-0000-0000728C0000}"/>
    <cellStyle name="Normal 39 7 3 2" xfId="37293" xr:uid="{00000000-0005-0000-0000-0000738C0000}"/>
    <cellStyle name="Normal 39 7 4" xfId="19934" xr:uid="{00000000-0005-0000-0000-0000748C0000}"/>
    <cellStyle name="Normal 39 7 4 2" xfId="37294" xr:uid="{00000000-0005-0000-0000-0000758C0000}"/>
    <cellStyle name="Normal 39 7 5" xfId="19935" xr:uid="{00000000-0005-0000-0000-0000768C0000}"/>
    <cellStyle name="Normal 39 7 5 2" xfId="37295" xr:uid="{00000000-0005-0000-0000-0000778C0000}"/>
    <cellStyle name="Normal 39 7 6" xfId="19936" xr:uid="{00000000-0005-0000-0000-0000788C0000}"/>
    <cellStyle name="Normal 39 7 6 2" xfId="37296" xr:uid="{00000000-0005-0000-0000-0000798C0000}"/>
    <cellStyle name="Normal 39 7 7" xfId="19937" xr:uid="{00000000-0005-0000-0000-00007A8C0000}"/>
    <cellStyle name="Normal 39 7 7 2" xfId="37297" xr:uid="{00000000-0005-0000-0000-00007B8C0000}"/>
    <cellStyle name="Normal 39 7 8" xfId="19938" xr:uid="{00000000-0005-0000-0000-00007C8C0000}"/>
    <cellStyle name="Normal 39 7 8 2" xfId="37298" xr:uid="{00000000-0005-0000-0000-00007D8C0000}"/>
    <cellStyle name="Normal 39 7 9" xfId="19939" xr:uid="{00000000-0005-0000-0000-00007E8C0000}"/>
    <cellStyle name="Normal 39 7 9 2" xfId="37299" xr:uid="{00000000-0005-0000-0000-00007F8C0000}"/>
    <cellStyle name="Normal 39 8" xfId="19940" xr:uid="{00000000-0005-0000-0000-0000808C0000}"/>
    <cellStyle name="Normal 39 8 10" xfId="19941" xr:uid="{00000000-0005-0000-0000-0000818C0000}"/>
    <cellStyle name="Normal 39 8 10 2" xfId="37301" xr:uid="{00000000-0005-0000-0000-0000828C0000}"/>
    <cellStyle name="Normal 39 8 11" xfId="19942" xr:uid="{00000000-0005-0000-0000-0000838C0000}"/>
    <cellStyle name="Normal 39 8 11 2" xfId="37302" xr:uid="{00000000-0005-0000-0000-0000848C0000}"/>
    <cellStyle name="Normal 39 8 12" xfId="19943" xr:uid="{00000000-0005-0000-0000-0000858C0000}"/>
    <cellStyle name="Normal 39 8 12 2" xfId="37303" xr:uid="{00000000-0005-0000-0000-0000868C0000}"/>
    <cellStyle name="Normal 39 8 13" xfId="19944" xr:uid="{00000000-0005-0000-0000-0000878C0000}"/>
    <cellStyle name="Normal 39 8 13 2" xfId="37304" xr:uid="{00000000-0005-0000-0000-0000888C0000}"/>
    <cellStyle name="Normal 39 8 14" xfId="19945" xr:uid="{00000000-0005-0000-0000-0000898C0000}"/>
    <cellStyle name="Normal 39 8 14 2" xfId="37305" xr:uid="{00000000-0005-0000-0000-00008A8C0000}"/>
    <cellStyle name="Normal 39 8 15" xfId="37300" xr:uid="{00000000-0005-0000-0000-00008B8C0000}"/>
    <cellStyle name="Normal 39 8 2" xfId="19946" xr:uid="{00000000-0005-0000-0000-00008C8C0000}"/>
    <cellStyle name="Normal 39 8 2 2" xfId="37306" xr:uid="{00000000-0005-0000-0000-00008D8C0000}"/>
    <cellStyle name="Normal 39 8 3" xfId="19947" xr:uid="{00000000-0005-0000-0000-00008E8C0000}"/>
    <cellStyle name="Normal 39 8 3 2" xfId="37307" xr:uid="{00000000-0005-0000-0000-00008F8C0000}"/>
    <cellStyle name="Normal 39 8 4" xfId="19948" xr:uid="{00000000-0005-0000-0000-0000908C0000}"/>
    <cellStyle name="Normal 39 8 4 2" xfId="37308" xr:uid="{00000000-0005-0000-0000-0000918C0000}"/>
    <cellStyle name="Normal 39 8 5" xfId="19949" xr:uid="{00000000-0005-0000-0000-0000928C0000}"/>
    <cellStyle name="Normal 39 8 5 2" xfId="37309" xr:uid="{00000000-0005-0000-0000-0000938C0000}"/>
    <cellStyle name="Normal 39 8 6" xfId="19950" xr:uid="{00000000-0005-0000-0000-0000948C0000}"/>
    <cellStyle name="Normal 39 8 6 2" xfId="37310" xr:uid="{00000000-0005-0000-0000-0000958C0000}"/>
    <cellStyle name="Normal 39 8 7" xfId="19951" xr:uid="{00000000-0005-0000-0000-0000968C0000}"/>
    <cellStyle name="Normal 39 8 7 2" xfId="37311" xr:uid="{00000000-0005-0000-0000-0000978C0000}"/>
    <cellStyle name="Normal 39 8 8" xfId="19952" xr:uid="{00000000-0005-0000-0000-0000988C0000}"/>
    <cellStyle name="Normal 39 8 8 2" xfId="37312" xr:uid="{00000000-0005-0000-0000-0000998C0000}"/>
    <cellStyle name="Normal 39 8 9" xfId="19953" xr:uid="{00000000-0005-0000-0000-00009A8C0000}"/>
    <cellStyle name="Normal 39 8 9 2" xfId="37313" xr:uid="{00000000-0005-0000-0000-00009B8C0000}"/>
    <cellStyle name="Normal 39 9" xfId="19954" xr:uid="{00000000-0005-0000-0000-00009C8C0000}"/>
    <cellStyle name="Normal 39 9 10" xfId="19955" xr:uid="{00000000-0005-0000-0000-00009D8C0000}"/>
    <cellStyle name="Normal 39 9 10 2" xfId="37315" xr:uid="{00000000-0005-0000-0000-00009E8C0000}"/>
    <cellStyle name="Normal 39 9 11" xfId="19956" xr:uid="{00000000-0005-0000-0000-00009F8C0000}"/>
    <cellStyle name="Normal 39 9 11 2" xfId="37316" xr:uid="{00000000-0005-0000-0000-0000A08C0000}"/>
    <cellStyle name="Normal 39 9 12" xfId="19957" xr:uid="{00000000-0005-0000-0000-0000A18C0000}"/>
    <cellStyle name="Normal 39 9 12 2" xfId="37317" xr:uid="{00000000-0005-0000-0000-0000A28C0000}"/>
    <cellStyle name="Normal 39 9 13" xfId="19958" xr:uid="{00000000-0005-0000-0000-0000A38C0000}"/>
    <cellStyle name="Normal 39 9 13 2" xfId="37318" xr:uid="{00000000-0005-0000-0000-0000A48C0000}"/>
    <cellStyle name="Normal 39 9 14" xfId="19959" xr:uid="{00000000-0005-0000-0000-0000A58C0000}"/>
    <cellStyle name="Normal 39 9 14 2" xfId="37319" xr:uid="{00000000-0005-0000-0000-0000A68C0000}"/>
    <cellStyle name="Normal 39 9 15" xfId="37314" xr:uid="{00000000-0005-0000-0000-0000A78C0000}"/>
    <cellStyle name="Normal 39 9 2" xfId="19960" xr:uid="{00000000-0005-0000-0000-0000A88C0000}"/>
    <cellStyle name="Normal 39 9 2 2" xfId="37320" xr:uid="{00000000-0005-0000-0000-0000A98C0000}"/>
    <cellStyle name="Normal 39 9 3" xfId="19961" xr:uid="{00000000-0005-0000-0000-0000AA8C0000}"/>
    <cellStyle name="Normal 39 9 3 2" xfId="37321" xr:uid="{00000000-0005-0000-0000-0000AB8C0000}"/>
    <cellStyle name="Normal 39 9 4" xfId="19962" xr:uid="{00000000-0005-0000-0000-0000AC8C0000}"/>
    <cellStyle name="Normal 39 9 4 2" xfId="37322" xr:uid="{00000000-0005-0000-0000-0000AD8C0000}"/>
    <cellStyle name="Normal 39 9 5" xfId="19963" xr:uid="{00000000-0005-0000-0000-0000AE8C0000}"/>
    <cellStyle name="Normal 39 9 5 2" xfId="37323" xr:uid="{00000000-0005-0000-0000-0000AF8C0000}"/>
    <cellStyle name="Normal 39 9 6" xfId="19964" xr:uid="{00000000-0005-0000-0000-0000B08C0000}"/>
    <cellStyle name="Normal 39 9 6 2" xfId="37324" xr:uid="{00000000-0005-0000-0000-0000B18C0000}"/>
    <cellStyle name="Normal 39 9 7" xfId="19965" xr:uid="{00000000-0005-0000-0000-0000B28C0000}"/>
    <cellStyle name="Normal 39 9 7 2" xfId="37325" xr:uid="{00000000-0005-0000-0000-0000B38C0000}"/>
    <cellStyle name="Normal 39 9 8" xfId="19966" xr:uid="{00000000-0005-0000-0000-0000B48C0000}"/>
    <cellStyle name="Normal 39 9 8 2" xfId="37326" xr:uid="{00000000-0005-0000-0000-0000B58C0000}"/>
    <cellStyle name="Normal 39 9 9" xfId="19967" xr:uid="{00000000-0005-0000-0000-0000B68C0000}"/>
    <cellStyle name="Normal 39 9 9 2" xfId="37327" xr:uid="{00000000-0005-0000-0000-0000B78C0000}"/>
    <cellStyle name="Normal 4" xfId="5" xr:uid="{00000000-0005-0000-0000-0000B88C0000}"/>
    <cellStyle name="Normal 4 10" xfId="19969" xr:uid="{00000000-0005-0000-0000-0000B98C0000}"/>
    <cellStyle name="Normal 4 11" xfId="19970" xr:uid="{00000000-0005-0000-0000-0000BA8C0000}"/>
    <cellStyle name="Normal 4 12" xfId="19968" xr:uid="{00000000-0005-0000-0000-0000BB8C0000}"/>
    <cellStyle name="Normal 4 12 2" xfId="37676" xr:uid="{00000000-0005-0000-0000-0000BC8C0000}"/>
    <cellStyle name="Normal 4 2" xfId="68" xr:uid="{00000000-0005-0000-0000-0000BD8C0000}"/>
    <cellStyle name="Normal 4 2 2" xfId="19971" xr:uid="{00000000-0005-0000-0000-0000BE8C0000}"/>
    <cellStyle name="Normal 4 2 3" xfId="37677" xr:uid="{00000000-0005-0000-0000-0000BF8C0000}"/>
    <cellStyle name="Normal 4 3" xfId="69" xr:uid="{00000000-0005-0000-0000-0000C08C0000}"/>
    <cellStyle name="Normal 4 3 2" xfId="518" xr:uid="{00000000-0005-0000-0000-0000C18C0000}"/>
    <cellStyle name="Normal 4 3 3" xfId="516" xr:uid="{00000000-0005-0000-0000-0000C28C0000}"/>
    <cellStyle name="Normal 4 3 3 2" xfId="500" xr:uid="{00000000-0005-0000-0000-0000C38C0000}"/>
    <cellStyle name="Normal 4 3 4" xfId="37678" xr:uid="{00000000-0005-0000-0000-0000C48C0000}"/>
    <cellStyle name="Normal 4 4" xfId="282" xr:uid="{00000000-0005-0000-0000-0000C58C0000}"/>
    <cellStyle name="Normal 4 4 2" xfId="19972" xr:uid="{00000000-0005-0000-0000-0000C68C0000}"/>
    <cellStyle name="Normal 4 5" xfId="351" xr:uid="{00000000-0005-0000-0000-0000C78C0000}"/>
    <cellStyle name="Normal 4 5 2" xfId="541" xr:uid="{00000000-0005-0000-0000-0000C88C0000}"/>
    <cellStyle name="Normal 4 5 2 2" xfId="19974" xr:uid="{00000000-0005-0000-0000-0000C98C0000}"/>
    <cellStyle name="Normal 4 5 3" xfId="19973" xr:uid="{00000000-0005-0000-0000-0000CA8C0000}"/>
    <cellStyle name="Normal 4 6" xfId="466" xr:uid="{00000000-0005-0000-0000-0000CB8C0000}"/>
    <cellStyle name="Normal 4 6 2" xfId="19975" xr:uid="{00000000-0005-0000-0000-0000CC8C0000}"/>
    <cellStyle name="Normal 4 7" xfId="19976" xr:uid="{00000000-0005-0000-0000-0000CD8C0000}"/>
    <cellStyle name="Normal 4 8" xfId="19977" xr:uid="{00000000-0005-0000-0000-0000CE8C0000}"/>
    <cellStyle name="Normal 4 9" xfId="19978" xr:uid="{00000000-0005-0000-0000-0000CF8C0000}"/>
    <cellStyle name="Normal 40" xfId="70" xr:uid="{00000000-0005-0000-0000-0000D08C0000}"/>
    <cellStyle name="Normal 40 10" xfId="19979" xr:uid="{00000000-0005-0000-0000-0000D18C0000}"/>
    <cellStyle name="Normal 40 10 10" xfId="19980" xr:uid="{00000000-0005-0000-0000-0000D28C0000}"/>
    <cellStyle name="Normal 40 10 10 2" xfId="37330" xr:uid="{00000000-0005-0000-0000-0000D38C0000}"/>
    <cellStyle name="Normal 40 10 11" xfId="19981" xr:uid="{00000000-0005-0000-0000-0000D48C0000}"/>
    <cellStyle name="Normal 40 10 11 2" xfId="37331" xr:uid="{00000000-0005-0000-0000-0000D58C0000}"/>
    <cellStyle name="Normal 40 10 12" xfId="19982" xr:uid="{00000000-0005-0000-0000-0000D68C0000}"/>
    <cellStyle name="Normal 40 10 12 2" xfId="37332" xr:uid="{00000000-0005-0000-0000-0000D78C0000}"/>
    <cellStyle name="Normal 40 10 13" xfId="19983" xr:uid="{00000000-0005-0000-0000-0000D88C0000}"/>
    <cellStyle name="Normal 40 10 13 2" xfId="37333" xr:uid="{00000000-0005-0000-0000-0000D98C0000}"/>
    <cellStyle name="Normal 40 10 14" xfId="19984" xr:uid="{00000000-0005-0000-0000-0000DA8C0000}"/>
    <cellStyle name="Normal 40 10 14 2" xfId="37334" xr:uid="{00000000-0005-0000-0000-0000DB8C0000}"/>
    <cellStyle name="Normal 40 10 15" xfId="37329" xr:uid="{00000000-0005-0000-0000-0000DC8C0000}"/>
    <cellStyle name="Normal 40 10 2" xfId="19985" xr:uid="{00000000-0005-0000-0000-0000DD8C0000}"/>
    <cellStyle name="Normal 40 10 2 2" xfId="37335" xr:uid="{00000000-0005-0000-0000-0000DE8C0000}"/>
    <cellStyle name="Normal 40 10 3" xfId="19986" xr:uid="{00000000-0005-0000-0000-0000DF8C0000}"/>
    <cellStyle name="Normal 40 10 3 2" xfId="37336" xr:uid="{00000000-0005-0000-0000-0000E08C0000}"/>
    <cellStyle name="Normal 40 10 4" xfId="19987" xr:uid="{00000000-0005-0000-0000-0000E18C0000}"/>
    <cellStyle name="Normal 40 10 4 2" xfId="37337" xr:uid="{00000000-0005-0000-0000-0000E28C0000}"/>
    <cellStyle name="Normal 40 10 5" xfId="19988" xr:uid="{00000000-0005-0000-0000-0000E38C0000}"/>
    <cellStyle name="Normal 40 10 5 2" xfId="37338" xr:uid="{00000000-0005-0000-0000-0000E48C0000}"/>
    <cellStyle name="Normal 40 10 6" xfId="19989" xr:uid="{00000000-0005-0000-0000-0000E58C0000}"/>
    <cellStyle name="Normal 40 10 6 2" xfId="37339" xr:uid="{00000000-0005-0000-0000-0000E68C0000}"/>
    <cellStyle name="Normal 40 10 7" xfId="19990" xr:uid="{00000000-0005-0000-0000-0000E78C0000}"/>
    <cellStyle name="Normal 40 10 7 2" xfId="37340" xr:uid="{00000000-0005-0000-0000-0000E88C0000}"/>
    <cellStyle name="Normal 40 10 8" xfId="19991" xr:uid="{00000000-0005-0000-0000-0000E98C0000}"/>
    <cellStyle name="Normal 40 10 8 2" xfId="37341" xr:uid="{00000000-0005-0000-0000-0000EA8C0000}"/>
    <cellStyle name="Normal 40 10 9" xfId="19992" xr:uid="{00000000-0005-0000-0000-0000EB8C0000}"/>
    <cellStyle name="Normal 40 10 9 2" xfId="37342" xr:uid="{00000000-0005-0000-0000-0000EC8C0000}"/>
    <cellStyle name="Normal 40 11" xfId="19993" xr:uid="{00000000-0005-0000-0000-0000ED8C0000}"/>
    <cellStyle name="Normal 40 11 10" xfId="19994" xr:uid="{00000000-0005-0000-0000-0000EE8C0000}"/>
    <cellStyle name="Normal 40 11 10 2" xfId="37344" xr:uid="{00000000-0005-0000-0000-0000EF8C0000}"/>
    <cellStyle name="Normal 40 11 11" xfId="19995" xr:uid="{00000000-0005-0000-0000-0000F08C0000}"/>
    <cellStyle name="Normal 40 11 11 2" xfId="37345" xr:uid="{00000000-0005-0000-0000-0000F18C0000}"/>
    <cellStyle name="Normal 40 11 12" xfId="19996" xr:uid="{00000000-0005-0000-0000-0000F28C0000}"/>
    <cellStyle name="Normal 40 11 12 2" xfId="37346" xr:uid="{00000000-0005-0000-0000-0000F38C0000}"/>
    <cellStyle name="Normal 40 11 13" xfId="19997" xr:uid="{00000000-0005-0000-0000-0000F48C0000}"/>
    <cellStyle name="Normal 40 11 13 2" xfId="37347" xr:uid="{00000000-0005-0000-0000-0000F58C0000}"/>
    <cellStyle name="Normal 40 11 14" xfId="19998" xr:uid="{00000000-0005-0000-0000-0000F68C0000}"/>
    <cellStyle name="Normal 40 11 14 2" xfId="37348" xr:uid="{00000000-0005-0000-0000-0000F78C0000}"/>
    <cellStyle name="Normal 40 11 15" xfId="37343" xr:uid="{00000000-0005-0000-0000-0000F88C0000}"/>
    <cellStyle name="Normal 40 11 2" xfId="19999" xr:uid="{00000000-0005-0000-0000-0000F98C0000}"/>
    <cellStyle name="Normal 40 11 2 2" xfId="37349" xr:uid="{00000000-0005-0000-0000-0000FA8C0000}"/>
    <cellStyle name="Normal 40 11 3" xfId="20000" xr:uid="{00000000-0005-0000-0000-0000FB8C0000}"/>
    <cellStyle name="Normal 40 11 3 2" xfId="37350" xr:uid="{00000000-0005-0000-0000-0000FC8C0000}"/>
    <cellStyle name="Normal 40 11 4" xfId="20001" xr:uid="{00000000-0005-0000-0000-0000FD8C0000}"/>
    <cellStyle name="Normal 40 11 4 2" xfId="37351" xr:uid="{00000000-0005-0000-0000-0000FE8C0000}"/>
    <cellStyle name="Normal 40 11 5" xfId="20002" xr:uid="{00000000-0005-0000-0000-0000FF8C0000}"/>
    <cellStyle name="Normal 40 11 5 2" xfId="37352" xr:uid="{00000000-0005-0000-0000-0000008D0000}"/>
    <cellStyle name="Normal 40 11 6" xfId="20003" xr:uid="{00000000-0005-0000-0000-0000018D0000}"/>
    <cellStyle name="Normal 40 11 6 2" xfId="37353" xr:uid="{00000000-0005-0000-0000-0000028D0000}"/>
    <cellStyle name="Normal 40 11 7" xfId="20004" xr:uid="{00000000-0005-0000-0000-0000038D0000}"/>
    <cellStyle name="Normal 40 11 7 2" xfId="37354" xr:uid="{00000000-0005-0000-0000-0000048D0000}"/>
    <cellStyle name="Normal 40 11 8" xfId="20005" xr:uid="{00000000-0005-0000-0000-0000058D0000}"/>
    <cellStyle name="Normal 40 11 8 2" xfId="37355" xr:uid="{00000000-0005-0000-0000-0000068D0000}"/>
    <cellStyle name="Normal 40 11 9" xfId="20006" xr:uid="{00000000-0005-0000-0000-0000078D0000}"/>
    <cellStyle name="Normal 40 11 9 2" xfId="37356" xr:uid="{00000000-0005-0000-0000-0000088D0000}"/>
    <cellStyle name="Normal 40 12" xfId="20007" xr:uid="{00000000-0005-0000-0000-0000098D0000}"/>
    <cellStyle name="Normal 40 12 10" xfId="20008" xr:uid="{00000000-0005-0000-0000-00000A8D0000}"/>
    <cellStyle name="Normal 40 12 10 2" xfId="37358" xr:uid="{00000000-0005-0000-0000-00000B8D0000}"/>
    <cellStyle name="Normal 40 12 11" xfId="20009" xr:uid="{00000000-0005-0000-0000-00000C8D0000}"/>
    <cellStyle name="Normal 40 12 11 2" xfId="37359" xr:uid="{00000000-0005-0000-0000-00000D8D0000}"/>
    <cellStyle name="Normal 40 12 12" xfId="20010" xr:uid="{00000000-0005-0000-0000-00000E8D0000}"/>
    <cellStyle name="Normal 40 12 12 2" xfId="37360" xr:uid="{00000000-0005-0000-0000-00000F8D0000}"/>
    <cellStyle name="Normal 40 12 13" xfId="20011" xr:uid="{00000000-0005-0000-0000-0000108D0000}"/>
    <cellStyle name="Normal 40 12 13 2" xfId="37361" xr:uid="{00000000-0005-0000-0000-0000118D0000}"/>
    <cellStyle name="Normal 40 12 14" xfId="20012" xr:uid="{00000000-0005-0000-0000-0000128D0000}"/>
    <cellStyle name="Normal 40 12 14 2" xfId="37362" xr:uid="{00000000-0005-0000-0000-0000138D0000}"/>
    <cellStyle name="Normal 40 12 15" xfId="37357" xr:uid="{00000000-0005-0000-0000-0000148D0000}"/>
    <cellStyle name="Normal 40 12 2" xfId="20013" xr:uid="{00000000-0005-0000-0000-0000158D0000}"/>
    <cellStyle name="Normal 40 12 2 2" xfId="37363" xr:uid="{00000000-0005-0000-0000-0000168D0000}"/>
    <cellStyle name="Normal 40 12 3" xfId="20014" xr:uid="{00000000-0005-0000-0000-0000178D0000}"/>
    <cellStyle name="Normal 40 12 3 2" xfId="37364" xr:uid="{00000000-0005-0000-0000-0000188D0000}"/>
    <cellStyle name="Normal 40 12 4" xfId="20015" xr:uid="{00000000-0005-0000-0000-0000198D0000}"/>
    <cellStyle name="Normal 40 12 4 2" xfId="37365" xr:uid="{00000000-0005-0000-0000-00001A8D0000}"/>
    <cellStyle name="Normal 40 12 5" xfId="20016" xr:uid="{00000000-0005-0000-0000-00001B8D0000}"/>
    <cellStyle name="Normal 40 12 5 2" xfId="37366" xr:uid="{00000000-0005-0000-0000-00001C8D0000}"/>
    <cellStyle name="Normal 40 12 6" xfId="20017" xr:uid="{00000000-0005-0000-0000-00001D8D0000}"/>
    <cellStyle name="Normal 40 12 6 2" xfId="37367" xr:uid="{00000000-0005-0000-0000-00001E8D0000}"/>
    <cellStyle name="Normal 40 12 7" xfId="20018" xr:uid="{00000000-0005-0000-0000-00001F8D0000}"/>
    <cellStyle name="Normal 40 12 7 2" xfId="37368" xr:uid="{00000000-0005-0000-0000-0000208D0000}"/>
    <cellStyle name="Normal 40 12 8" xfId="20019" xr:uid="{00000000-0005-0000-0000-0000218D0000}"/>
    <cellStyle name="Normal 40 12 8 2" xfId="37369" xr:uid="{00000000-0005-0000-0000-0000228D0000}"/>
    <cellStyle name="Normal 40 12 9" xfId="20020" xr:uid="{00000000-0005-0000-0000-0000238D0000}"/>
    <cellStyle name="Normal 40 12 9 2" xfId="37370" xr:uid="{00000000-0005-0000-0000-0000248D0000}"/>
    <cellStyle name="Normal 40 13" xfId="20021" xr:uid="{00000000-0005-0000-0000-0000258D0000}"/>
    <cellStyle name="Normal 40 13 10" xfId="20022" xr:uid="{00000000-0005-0000-0000-0000268D0000}"/>
    <cellStyle name="Normal 40 13 10 2" xfId="37372" xr:uid="{00000000-0005-0000-0000-0000278D0000}"/>
    <cellStyle name="Normal 40 13 11" xfId="20023" xr:uid="{00000000-0005-0000-0000-0000288D0000}"/>
    <cellStyle name="Normal 40 13 11 2" xfId="37373" xr:uid="{00000000-0005-0000-0000-0000298D0000}"/>
    <cellStyle name="Normal 40 13 12" xfId="20024" xr:uid="{00000000-0005-0000-0000-00002A8D0000}"/>
    <cellStyle name="Normal 40 13 12 2" xfId="37374" xr:uid="{00000000-0005-0000-0000-00002B8D0000}"/>
    <cellStyle name="Normal 40 13 13" xfId="20025" xr:uid="{00000000-0005-0000-0000-00002C8D0000}"/>
    <cellStyle name="Normal 40 13 13 2" xfId="37375" xr:uid="{00000000-0005-0000-0000-00002D8D0000}"/>
    <cellStyle name="Normal 40 13 14" xfId="20026" xr:uid="{00000000-0005-0000-0000-00002E8D0000}"/>
    <cellStyle name="Normal 40 13 14 2" xfId="37376" xr:uid="{00000000-0005-0000-0000-00002F8D0000}"/>
    <cellStyle name="Normal 40 13 15" xfId="37371" xr:uid="{00000000-0005-0000-0000-0000308D0000}"/>
    <cellStyle name="Normal 40 13 2" xfId="20027" xr:uid="{00000000-0005-0000-0000-0000318D0000}"/>
    <cellStyle name="Normal 40 13 2 2" xfId="37377" xr:uid="{00000000-0005-0000-0000-0000328D0000}"/>
    <cellStyle name="Normal 40 13 3" xfId="20028" xr:uid="{00000000-0005-0000-0000-0000338D0000}"/>
    <cellStyle name="Normal 40 13 3 2" xfId="37378" xr:uid="{00000000-0005-0000-0000-0000348D0000}"/>
    <cellStyle name="Normal 40 13 4" xfId="20029" xr:uid="{00000000-0005-0000-0000-0000358D0000}"/>
    <cellStyle name="Normal 40 13 4 2" xfId="37379" xr:uid="{00000000-0005-0000-0000-0000368D0000}"/>
    <cellStyle name="Normal 40 13 5" xfId="20030" xr:uid="{00000000-0005-0000-0000-0000378D0000}"/>
    <cellStyle name="Normal 40 13 5 2" xfId="37380" xr:uid="{00000000-0005-0000-0000-0000388D0000}"/>
    <cellStyle name="Normal 40 13 6" xfId="20031" xr:uid="{00000000-0005-0000-0000-0000398D0000}"/>
    <cellStyle name="Normal 40 13 6 2" xfId="37381" xr:uid="{00000000-0005-0000-0000-00003A8D0000}"/>
    <cellStyle name="Normal 40 13 7" xfId="20032" xr:uid="{00000000-0005-0000-0000-00003B8D0000}"/>
    <cellStyle name="Normal 40 13 7 2" xfId="37382" xr:uid="{00000000-0005-0000-0000-00003C8D0000}"/>
    <cellStyle name="Normal 40 13 8" xfId="20033" xr:uid="{00000000-0005-0000-0000-00003D8D0000}"/>
    <cellStyle name="Normal 40 13 8 2" xfId="37383" xr:uid="{00000000-0005-0000-0000-00003E8D0000}"/>
    <cellStyle name="Normal 40 13 9" xfId="20034" xr:uid="{00000000-0005-0000-0000-00003F8D0000}"/>
    <cellStyle name="Normal 40 13 9 2" xfId="37384" xr:uid="{00000000-0005-0000-0000-0000408D0000}"/>
    <cellStyle name="Normal 40 14" xfId="20035" xr:uid="{00000000-0005-0000-0000-0000418D0000}"/>
    <cellStyle name="Normal 40 14 10" xfId="20036" xr:uid="{00000000-0005-0000-0000-0000428D0000}"/>
    <cellStyle name="Normal 40 14 10 2" xfId="37386" xr:uid="{00000000-0005-0000-0000-0000438D0000}"/>
    <cellStyle name="Normal 40 14 11" xfId="20037" xr:uid="{00000000-0005-0000-0000-0000448D0000}"/>
    <cellStyle name="Normal 40 14 11 2" xfId="37387" xr:uid="{00000000-0005-0000-0000-0000458D0000}"/>
    <cellStyle name="Normal 40 14 12" xfId="20038" xr:uid="{00000000-0005-0000-0000-0000468D0000}"/>
    <cellStyle name="Normal 40 14 12 2" xfId="37388" xr:uid="{00000000-0005-0000-0000-0000478D0000}"/>
    <cellStyle name="Normal 40 14 13" xfId="20039" xr:uid="{00000000-0005-0000-0000-0000488D0000}"/>
    <cellStyle name="Normal 40 14 13 2" xfId="37389" xr:uid="{00000000-0005-0000-0000-0000498D0000}"/>
    <cellStyle name="Normal 40 14 14" xfId="20040" xr:uid="{00000000-0005-0000-0000-00004A8D0000}"/>
    <cellStyle name="Normal 40 14 14 2" xfId="37390" xr:uid="{00000000-0005-0000-0000-00004B8D0000}"/>
    <cellStyle name="Normal 40 14 15" xfId="37385" xr:uid="{00000000-0005-0000-0000-00004C8D0000}"/>
    <cellStyle name="Normal 40 14 2" xfId="20041" xr:uid="{00000000-0005-0000-0000-00004D8D0000}"/>
    <cellStyle name="Normal 40 14 2 2" xfId="37391" xr:uid="{00000000-0005-0000-0000-00004E8D0000}"/>
    <cellStyle name="Normal 40 14 3" xfId="20042" xr:uid="{00000000-0005-0000-0000-00004F8D0000}"/>
    <cellStyle name="Normal 40 14 3 2" xfId="37392" xr:uid="{00000000-0005-0000-0000-0000508D0000}"/>
    <cellStyle name="Normal 40 14 4" xfId="20043" xr:uid="{00000000-0005-0000-0000-0000518D0000}"/>
    <cellStyle name="Normal 40 14 4 2" xfId="37393" xr:uid="{00000000-0005-0000-0000-0000528D0000}"/>
    <cellStyle name="Normal 40 14 5" xfId="20044" xr:uid="{00000000-0005-0000-0000-0000538D0000}"/>
    <cellStyle name="Normal 40 14 5 2" xfId="37394" xr:uid="{00000000-0005-0000-0000-0000548D0000}"/>
    <cellStyle name="Normal 40 14 6" xfId="20045" xr:uid="{00000000-0005-0000-0000-0000558D0000}"/>
    <cellStyle name="Normal 40 14 6 2" xfId="37395" xr:uid="{00000000-0005-0000-0000-0000568D0000}"/>
    <cellStyle name="Normal 40 14 7" xfId="20046" xr:uid="{00000000-0005-0000-0000-0000578D0000}"/>
    <cellStyle name="Normal 40 14 7 2" xfId="37396" xr:uid="{00000000-0005-0000-0000-0000588D0000}"/>
    <cellStyle name="Normal 40 14 8" xfId="20047" xr:uid="{00000000-0005-0000-0000-0000598D0000}"/>
    <cellStyle name="Normal 40 14 8 2" xfId="37397" xr:uid="{00000000-0005-0000-0000-00005A8D0000}"/>
    <cellStyle name="Normal 40 14 9" xfId="20048" xr:uid="{00000000-0005-0000-0000-00005B8D0000}"/>
    <cellStyle name="Normal 40 14 9 2" xfId="37398" xr:uid="{00000000-0005-0000-0000-00005C8D0000}"/>
    <cellStyle name="Normal 40 15" xfId="20049" xr:uid="{00000000-0005-0000-0000-00005D8D0000}"/>
    <cellStyle name="Normal 40 15 10" xfId="20050" xr:uid="{00000000-0005-0000-0000-00005E8D0000}"/>
    <cellStyle name="Normal 40 15 10 2" xfId="37400" xr:uid="{00000000-0005-0000-0000-00005F8D0000}"/>
    <cellStyle name="Normal 40 15 11" xfId="20051" xr:uid="{00000000-0005-0000-0000-0000608D0000}"/>
    <cellStyle name="Normal 40 15 11 2" xfId="37401" xr:uid="{00000000-0005-0000-0000-0000618D0000}"/>
    <cellStyle name="Normal 40 15 12" xfId="20052" xr:uid="{00000000-0005-0000-0000-0000628D0000}"/>
    <cellStyle name="Normal 40 15 12 2" xfId="37402" xr:uid="{00000000-0005-0000-0000-0000638D0000}"/>
    <cellStyle name="Normal 40 15 13" xfId="20053" xr:uid="{00000000-0005-0000-0000-0000648D0000}"/>
    <cellStyle name="Normal 40 15 13 2" xfId="37403" xr:uid="{00000000-0005-0000-0000-0000658D0000}"/>
    <cellStyle name="Normal 40 15 14" xfId="20054" xr:uid="{00000000-0005-0000-0000-0000668D0000}"/>
    <cellStyle name="Normal 40 15 14 2" xfId="37404" xr:uid="{00000000-0005-0000-0000-0000678D0000}"/>
    <cellStyle name="Normal 40 15 15" xfId="37399" xr:uid="{00000000-0005-0000-0000-0000688D0000}"/>
    <cellStyle name="Normal 40 15 2" xfId="20055" xr:uid="{00000000-0005-0000-0000-0000698D0000}"/>
    <cellStyle name="Normal 40 15 2 2" xfId="37405" xr:uid="{00000000-0005-0000-0000-00006A8D0000}"/>
    <cellStyle name="Normal 40 15 3" xfId="20056" xr:uid="{00000000-0005-0000-0000-00006B8D0000}"/>
    <cellStyle name="Normal 40 15 3 2" xfId="37406" xr:uid="{00000000-0005-0000-0000-00006C8D0000}"/>
    <cellStyle name="Normal 40 15 4" xfId="20057" xr:uid="{00000000-0005-0000-0000-00006D8D0000}"/>
    <cellStyle name="Normal 40 15 4 2" xfId="37407" xr:uid="{00000000-0005-0000-0000-00006E8D0000}"/>
    <cellStyle name="Normal 40 15 5" xfId="20058" xr:uid="{00000000-0005-0000-0000-00006F8D0000}"/>
    <cellStyle name="Normal 40 15 5 2" xfId="37408" xr:uid="{00000000-0005-0000-0000-0000708D0000}"/>
    <cellStyle name="Normal 40 15 6" xfId="20059" xr:uid="{00000000-0005-0000-0000-0000718D0000}"/>
    <cellStyle name="Normal 40 15 6 2" xfId="37409" xr:uid="{00000000-0005-0000-0000-0000728D0000}"/>
    <cellStyle name="Normal 40 15 7" xfId="20060" xr:uid="{00000000-0005-0000-0000-0000738D0000}"/>
    <cellStyle name="Normal 40 15 7 2" xfId="37410" xr:uid="{00000000-0005-0000-0000-0000748D0000}"/>
    <cellStyle name="Normal 40 15 8" xfId="20061" xr:uid="{00000000-0005-0000-0000-0000758D0000}"/>
    <cellStyle name="Normal 40 15 8 2" xfId="37411" xr:uid="{00000000-0005-0000-0000-0000768D0000}"/>
    <cellStyle name="Normal 40 15 9" xfId="20062" xr:uid="{00000000-0005-0000-0000-0000778D0000}"/>
    <cellStyle name="Normal 40 15 9 2" xfId="37412" xr:uid="{00000000-0005-0000-0000-0000788D0000}"/>
    <cellStyle name="Normal 40 16" xfId="20063" xr:uid="{00000000-0005-0000-0000-0000798D0000}"/>
    <cellStyle name="Normal 40 16 10" xfId="20064" xr:uid="{00000000-0005-0000-0000-00007A8D0000}"/>
    <cellStyle name="Normal 40 16 10 2" xfId="37414" xr:uid="{00000000-0005-0000-0000-00007B8D0000}"/>
    <cellStyle name="Normal 40 16 11" xfId="20065" xr:uid="{00000000-0005-0000-0000-00007C8D0000}"/>
    <cellStyle name="Normal 40 16 11 2" xfId="37415" xr:uid="{00000000-0005-0000-0000-00007D8D0000}"/>
    <cellStyle name="Normal 40 16 12" xfId="20066" xr:uid="{00000000-0005-0000-0000-00007E8D0000}"/>
    <cellStyle name="Normal 40 16 12 2" xfId="37416" xr:uid="{00000000-0005-0000-0000-00007F8D0000}"/>
    <cellStyle name="Normal 40 16 13" xfId="20067" xr:uid="{00000000-0005-0000-0000-0000808D0000}"/>
    <cellStyle name="Normal 40 16 13 2" xfId="37417" xr:uid="{00000000-0005-0000-0000-0000818D0000}"/>
    <cellStyle name="Normal 40 16 14" xfId="20068" xr:uid="{00000000-0005-0000-0000-0000828D0000}"/>
    <cellStyle name="Normal 40 16 14 2" xfId="37418" xr:uid="{00000000-0005-0000-0000-0000838D0000}"/>
    <cellStyle name="Normal 40 16 15" xfId="37413" xr:uid="{00000000-0005-0000-0000-0000848D0000}"/>
    <cellStyle name="Normal 40 16 2" xfId="20069" xr:uid="{00000000-0005-0000-0000-0000858D0000}"/>
    <cellStyle name="Normal 40 16 2 2" xfId="37419" xr:uid="{00000000-0005-0000-0000-0000868D0000}"/>
    <cellStyle name="Normal 40 16 3" xfId="20070" xr:uid="{00000000-0005-0000-0000-0000878D0000}"/>
    <cellStyle name="Normal 40 16 3 2" xfId="37420" xr:uid="{00000000-0005-0000-0000-0000888D0000}"/>
    <cellStyle name="Normal 40 16 4" xfId="20071" xr:uid="{00000000-0005-0000-0000-0000898D0000}"/>
    <cellStyle name="Normal 40 16 4 2" xfId="37421" xr:uid="{00000000-0005-0000-0000-00008A8D0000}"/>
    <cellStyle name="Normal 40 16 5" xfId="20072" xr:uid="{00000000-0005-0000-0000-00008B8D0000}"/>
    <cellStyle name="Normal 40 16 5 2" xfId="37422" xr:uid="{00000000-0005-0000-0000-00008C8D0000}"/>
    <cellStyle name="Normal 40 16 6" xfId="20073" xr:uid="{00000000-0005-0000-0000-00008D8D0000}"/>
    <cellStyle name="Normal 40 16 6 2" xfId="37423" xr:uid="{00000000-0005-0000-0000-00008E8D0000}"/>
    <cellStyle name="Normal 40 16 7" xfId="20074" xr:uid="{00000000-0005-0000-0000-00008F8D0000}"/>
    <cellStyle name="Normal 40 16 7 2" xfId="37424" xr:uid="{00000000-0005-0000-0000-0000908D0000}"/>
    <cellStyle name="Normal 40 16 8" xfId="20075" xr:uid="{00000000-0005-0000-0000-0000918D0000}"/>
    <cellStyle name="Normal 40 16 8 2" xfId="37425" xr:uid="{00000000-0005-0000-0000-0000928D0000}"/>
    <cellStyle name="Normal 40 16 9" xfId="20076" xr:uid="{00000000-0005-0000-0000-0000938D0000}"/>
    <cellStyle name="Normal 40 16 9 2" xfId="37426" xr:uid="{00000000-0005-0000-0000-0000948D0000}"/>
    <cellStyle name="Normal 40 17" xfId="20077" xr:uid="{00000000-0005-0000-0000-0000958D0000}"/>
    <cellStyle name="Normal 40 17 10" xfId="20078" xr:uid="{00000000-0005-0000-0000-0000968D0000}"/>
    <cellStyle name="Normal 40 17 10 2" xfId="37428" xr:uid="{00000000-0005-0000-0000-0000978D0000}"/>
    <cellStyle name="Normal 40 17 11" xfId="20079" xr:uid="{00000000-0005-0000-0000-0000988D0000}"/>
    <cellStyle name="Normal 40 17 11 2" xfId="37429" xr:uid="{00000000-0005-0000-0000-0000998D0000}"/>
    <cellStyle name="Normal 40 17 12" xfId="20080" xr:uid="{00000000-0005-0000-0000-00009A8D0000}"/>
    <cellStyle name="Normal 40 17 12 2" xfId="37430" xr:uid="{00000000-0005-0000-0000-00009B8D0000}"/>
    <cellStyle name="Normal 40 17 13" xfId="20081" xr:uid="{00000000-0005-0000-0000-00009C8D0000}"/>
    <cellStyle name="Normal 40 17 13 2" xfId="37431" xr:uid="{00000000-0005-0000-0000-00009D8D0000}"/>
    <cellStyle name="Normal 40 17 14" xfId="20082" xr:uid="{00000000-0005-0000-0000-00009E8D0000}"/>
    <cellStyle name="Normal 40 17 14 2" xfId="37432" xr:uid="{00000000-0005-0000-0000-00009F8D0000}"/>
    <cellStyle name="Normal 40 17 15" xfId="37427" xr:uid="{00000000-0005-0000-0000-0000A08D0000}"/>
    <cellStyle name="Normal 40 17 2" xfId="20083" xr:uid="{00000000-0005-0000-0000-0000A18D0000}"/>
    <cellStyle name="Normal 40 17 2 2" xfId="37433" xr:uid="{00000000-0005-0000-0000-0000A28D0000}"/>
    <cellStyle name="Normal 40 17 3" xfId="20084" xr:uid="{00000000-0005-0000-0000-0000A38D0000}"/>
    <cellStyle name="Normal 40 17 3 2" xfId="37434" xr:uid="{00000000-0005-0000-0000-0000A48D0000}"/>
    <cellStyle name="Normal 40 17 4" xfId="20085" xr:uid="{00000000-0005-0000-0000-0000A58D0000}"/>
    <cellStyle name="Normal 40 17 4 2" xfId="37435" xr:uid="{00000000-0005-0000-0000-0000A68D0000}"/>
    <cellStyle name="Normal 40 17 5" xfId="20086" xr:uid="{00000000-0005-0000-0000-0000A78D0000}"/>
    <cellStyle name="Normal 40 17 5 2" xfId="37436" xr:uid="{00000000-0005-0000-0000-0000A88D0000}"/>
    <cellStyle name="Normal 40 17 6" xfId="20087" xr:uid="{00000000-0005-0000-0000-0000A98D0000}"/>
    <cellStyle name="Normal 40 17 6 2" xfId="37437" xr:uid="{00000000-0005-0000-0000-0000AA8D0000}"/>
    <cellStyle name="Normal 40 17 7" xfId="20088" xr:uid="{00000000-0005-0000-0000-0000AB8D0000}"/>
    <cellStyle name="Normal 40 17 7 2" xfId="37438" xr:uid="{00000000-0005-0000-0000-0000AC8D0000}"/>
    <cellStyle name="Normal 40 17 8" xfId="20089" xr:uid="{00000000-0005-0000-0000-0000AD8D0000}"/>
    <cellStyle name="Normal 40 17 8 2" xfId="37439" xr:uid="{00000000-0005-0000-0000-0000AE8D0000}"/>
    <cellStyle name="Normal 40 17 9" xfId="20090" xr:uid="{00000000-0005-0000-0000-0000AF8D0000}"/>
    <cellStyle name="Normal 40 17 9 2" xfId="37440" xr:uid="{00000000-0005-0000-0000-0000B08D0000}"/>
    <cellStyle name="Normal 40 18" xfId="20091" xr:uid="{00000000-0005-0000-0000-0000B18D0000}"/>
    <cellStyle name="Normal 40 18 2" xfId="37441" xr:uid="{00000000-0005-0000-0000-0000B28D0000}"/>
    <cellStyle name="Normal 40 19" xfId="20092" xr:uid="{00000000-0005-0000-0000-0000B38D0000}"/>
    <cellStyle name="Normal 40 19 2" xfId="37442" xr:uid="{00000000-0005-0000-0000-0000B48D0000}"/>
    <cellStyle name="Normal 40 2" xfId="228" xr:uid="{00000000-0005-0000-0000-0000B58D0000}"/>
    <cellStyle name="Normal 40 20" xfId="20093" xr:uid="{00000000-0005-0000-0000-0000B68D0000}"/>
    <cellStyle name="Normal 40 20 2" xfId="37443" xr:uid="{00000000-0005-0000-0000-0000B78D0000}"/>
    <cellStyle name="Normal 40 21" xfId="20094" xr:uid="{00000000-0005-0000-0000-0000B88D0000}"/>
    <cellStyle name="Normal 40 21 2" xfId="37444" xr:uid="{00000000-0005-0000-0000-0000B98D0000}"/>
    <cellStyle name="Normal 40 22" xfId="20095" xr:uid="{00000000-0005-0000-0000-0000BA8D0000}"/>
    <cellStyle name="Normal 40 22 2" xfId="37445" xr:uid="{00000000-0005-0000-0000-0000BB8D0000}"/>
    <cellStyle name="Normal 40 23" xfId="20096" xr:uid="{00000000-0005-0000-0000-0000BC8D0000}"/>
    <cellStyle name="Normal 40 23 2" xfId="37446" xr:uid="{00000000-0005-0000-0000-0000BD8D0000}"/>
    <cellStyle name="Normal 40 24" xfId="20097" xr:uid="{00000000-0005-0000-0000-0000BE8D0000}"/>
    <cellStyle name="Normal 40 24 2" xfId="37447" xr:uid="{00000000-0005-0000-0000-0000BF8D0000}"/>
    <cellStyle name="Normal 40 25" xfId="20098" xr:uid="{00000000-0005-0000-0000-0000C08D0000}"/>
    <cellStyle name="Normal 40 25 2" xfId="37448" xr:uid="{00000000-0005-0000-0000-0000C18D0000}"/>
    <cellStyle name="Normal 40 26" xfId="20099" xr:uid="{00000000-0005-0000-0000-0000C28D0000}"/>
    <cellStyle name="Normal 40 26 2" xfId="37449" xr:uid="{00000000-0005-0000-0000-0000C38D0000}"/>
    <cellStyle name="Normal 40 27" xfId="20100" xr:uid="{00000000-0005-0000-0000-0000C48D0000}"/>
    <cellStyle name="Normal 40 27 2" xfId="37450" xr:uid="{00000000-0005-0000-0000-0000C58D0000}"/>
    <cellStyle name="Normal 40 28" xfId="20101" xr:uid="{00000000-0005-0000-0000-0000C68D0000}"/>
    <cellStyle name="Normal 40 28 2" xfId="37451" xr:uid="{00000000-0005-0000-0000-0000C78D0000}"/>
    <cellStyle name="Normal 40 29" xfId="20102" xr:uid="{00000000-0005-0000-0000-0000C88D0000}"/>
    <cellStyle name="Normal 40 29 2" xfId="37452" xr:uid="{00000000-0005-0000-0000-0000C98D0000}"/>
    <cellStyle name="Normal 40 3" xfId="20103" xr:uid="{00000000-0005-0000-0000-0000CA8D0000}"/>
    <cellStyle name="Normal 40 30" xfId="20104" xr:uid="{00000000-0005-0000-0000-0000CB8D0000}"/>
    <cellStyle name="Normal 40 30 2" xfId="37453" xr:uid="{00000000-0005-0000-0000-0000CC8D0000}"/>
    <cellStyle name="Normal 40 31" xfId="37328" xr:uid="{00000000-0005-0000-0000-0000CD8D0000}"/>
    <cellStyle name="Normal 40 4" xfId="20105" xr:uid="{00000000-0005-0000-0000-0000CE8D0000}"/>
    <cellStyle name="Normal 40 4 10" xfId="20106" xr:uid="{00000000-0005-0000-0000-0000CF8D0000}"/>
    <cellStyle name="Normal 40 4 10 2" xfId="37455" xr:uid="{00000000-0005-0000-0000-0000D08D0000}"/>
    <cellStyle name="Normal 40 4 11" xfId="20107" xr:uid="{00000000-0005-0000-0000-0000D18D0000}"/>
    <cellStyle name="Normal 40 4 11 2" xfId="37456" xr:uid="{00000000-0005-0000-0000-0000D28D0000}"/>
    <cellStyle name="Normal 40 4 12" xfId="20108" xr:uid="{00000000-0005-0000-0000-0000D38D0000}"/>
    <cellStyle name="Normal 40 4 12 2" xfId="37457" xr:uid="{00000000-0005-0000-0000-0000D48D0000}"/>
    <cellStyle name="Normal 40 4 13" xfId="20109" xr:uid="{00000000-0005-0000-0000-0000D58D0000}"/>
    <cellStyle name="Normal 40 4 13 2" xfId="37458" xr:uid="{00000000-0005-0000-0000-0000D68D0000}"/>
    <cellStyle name="Normal 40 4 14" xfId="20110" xr:uid="{00000000-0005-0000-0000-0000D78D0000}"/>
    <cellStyle name="Normal 40 4 14 2" xfId="37459" xr:uid="{00000000-0005-0000-0000-0000D88D0000}"/>
    <cellStyle name="Normal 40 4 15" xfId="20111" xr:uid="{00000000-0005-0000-0000-0000D98D0000}"/>
    <cellStyle name="Normal 40 4 15 2" xfId="37460" xr:uid="{00000000-0005-0000-0000-0000DA8D0000}"/>
    <cellStyle name="Normal 40 4 16" xfId="37454" xr:uid="{00000000-0005-0000-0000-0000DB8D0000}"/>
    <cellStyle name="Normal 40 4 2" xfId="20112" xr:uid="{00000000-0005-0000-0000-0000DC8D0000}"/>
    <cellStyle name="Normal 40 4 2 10" xfId="20113" xr:uid="{00000000-0005-0000-0000-0000DD8D0000}"/>
    <cellStyle name="Normal 40 4 2 10 2" xfId="37462" xr:uid="{00000000-0005-0000-0000-0000DE8D0000}"/>
    <cellStyle name="Normal 40 4 2 11" xfId="20114" xr:uid="{00000000-0005-0000-0000-0000DF8D0000}"/>
    <cellStyle name="Normal 40 4 2 11 2" xfId="37463" xr:uid="{00000000-0005-0000-0000-0000E08D0000}"/>
    <cellStyle name="Normal 40 4 2 12" xfId="20115" xr:uid="{00000000-0005-0000-0000-0000E18D0000}"/>
    <cellStyle name="Normal 40 4 2 12 2" xfId="37464" xr:uid="{00000000-0005-0000-0000-0000E28D0000}"/>
    <cellStyle name="Normal 40 4 2 13" xfId="20116" xr:uid="{00000000-0005-0000-0000-0000E38D0000}"/>
    <cellStyle name="Normal 40 4 2 13 2" xfId="37465" xr:uid="{00000000-0005-0000-0000-0000E48D0000}"/>
    <cellStyle name="Normal 40 4 2 14" xfId="20117" xr:uid="{00000000-0005-0000-0000-0000E58D0000}"/>
    <cellStyle name="Normal 40 4 2 14 2" xfId="37466" xr:uid="{00000000-0005-0000-0000-0000E68D0000}"/>
    <cellStyle name="Normal 40 4 2 15" xfId="37461" xr:uid="{00000000-0005-0000-0000-0000E78D0000}"/>
    <cellStyle name="Normal 40 4 2 2" xfId="20118" xr:uid="{00000000-0005-0000-0000-0000E88D0000}"/>
    <cellStyle name="Normal 40 4 2 2 2" xfId="37467" xr:uid="{00000000-0005-0000-0000-0000E98D0000}"/>
    <cellStyle name="Normal 40 4 2 3" xfId="20119" xr:uid="{00000000-0005-0000-0000-0000EA8D0000}"/>
    <cellStyle name="Normal 40 4 2 3 2" xfId="37468" xr:uid="{00000000-0005-0000-0000-0000EB8D0000}"/>
    <cellStyle name="Normal 40 4 2 4" xfId="20120" xr:uid="{00000000-0005-0000-0000-0000EC8D0000}"/>
    <cellStyle name="Normal 40 4 2 4 2" xfId="37469" xr:uid="{00000000-0005-0000-0000-0000ED8D0000}"/>
    <cellStyle name="Normal 40 4 2 5" xfId="20121" xr:uid="{00000000-0005-0000-0000-0000EE8D0000}"/>
    <cellStyle name="Normal 40 4 2 5 2" xfId="37470" xr:uid="{00000000-0005-0000-0000-0000EF8D0000}"/>
    <cellStyle name="Normal 40 4 2 6" xfId="20122" xr:uid="{00000000-0005-0000-0000-0000F08D0000}"/>
    <cellStyle name="Normal 40 4 2 6 2" xfId="37471" xr:uid="{00000000-0005-0000-0000-0000F18D0000}"/>
    <cellStyle name="Normal 40 4 2 7" xfId="20123" xr:uid="{00000000-0005-0000-0000-0000F28D0000}"/>
    <cellStyle name="Normal 40 4 2 7 2" xfId="37472" xr:uid="{00000000-0005-0000-0000-0000F38D0000}"/>
    <cellStyle name="Normal 40 4 2 8" xfId="20124" xr:uid="{00000000-0005-0000-0000-0000F48D0000}"/>
    <cellStyle name="Normal 40 4 2 8 2" xfId="37473" xr:uid="{00000000-0005-0000-0000-0000F58D0000}"/>
    <cellStyle name="Normal 40 4 2 9" xfId="20125" xr:uid="{00000000-0005-0000-0000-0000F68D0000}"/>
    <cellStyle name="Normal 40 4 2 9 2" xfId="37474" xr:uid="{00000000-0005-0000-0000-0000F78D0000}"/>
    <cellStyle name="Normal 40 4 3" xfId="20126" xr:uid="{00000000-0005-0000-0000-0000F88D0000}"/>
    <cellStyle name="Normal 40 4 3 2" xfId="37475" xr:uid="{00000000-0005-0000-0000-0000F98D0000}"/>
    <cellStyle name="Normal 40 4 4" xfId="20127" xr:uid="{00000000-0005-0000-0000-0000FA8D0000}"/>
    <cellStyle name="Normal 40 4 4 2" xfId="37476" xr:uid="{00000000-0005-0000-0000-0000FB8D0000}"/>
    <cellStyle name="Normal 40 4 5" xfId="20128" xr:uid="{00000000-0005-0000-0000-0000FC8D0000}"/>
    <cellStyle name="Normal 40 4 5 2" xfId="37477" xr:uid="{00000000-0005-0000-0000-0000FD8D0000}"/>
    <cellStyle name="Normal 40 4 6" xfId="20129" xr:uid="{00000000-0005-0000-0000-0000FE8D0000}"/>
    <cellStyle name="Normal 40 4 6 2" xfId="37478" xr:uid="{00000000-0005-0000-0000-0000FF8D0000}"/>
    <cellStyle name="Normal 40 4 7" xfId="20130" xr:uid="{00000000-0005-0000-0000-0000008E0000}"/>
    <cellStyle name="Normal 40 4 7 2" xfId="37479" xr:uid="{00000000-0005-0000-0000-0000018E0000}"/>
    <cellStyle name="Normal 40 4 8" xfId="20131" xr:uid="{00000000-0005-0000-0000-0000028E0000}"/>
    <cellStyle name="Normal 40 4 8 2" xfId="37480" xr:uid="{00000000-0005-0000-0000-0000038E0000}"/>
    <cellStyle name="Normal 40 4 9" xfId="20132" xr:uid="{00000000-0005-0000-0000-0000048E0000}"/>
    <cellStyle name="Normal 40 4 9 2" xfId="37481" xr:uid="{00000000-0005-0000-0000-0000058E0000}"/>
    <cellStyle name="Normal 40 5" xfId="20133" xr:uid="{00000000-0005-0000-0000-0000068E0000}"/>
    <cellStyle name="Normal 40 5 10" xfId="20134" xr:uid="{00000000-0005-0000-0000-0000078E0000}"/>
    <cellStyle name="Normal 40 5 10 2" xfId="37483" xr:uid="{00000000-0005-0000-0000-0000088E0000}"/>
    <cellStyle name="Normal 40 5 11" xfId="20135" xr:uid="{00000000-0005-0000-0000-0000098E0000}"/>
    <cellStyle name="Normal 40 5 11 2" xfId="37484" xr:uid="{00000000-0005-0000-0000-00000A8E0000}"/>
    <cellStyle name="Normal 40 5 12" xfId="20136" xr:uid="{00000000-0005-0000-0000-00000B8E0000}"/>
    <cellStyle name="Normal 40 5 12 2" xfId="37485" xr:uid="{00000000-0005-0000-0000-00000C8E0000}"/>
    <cellStyle name="Normal 40 5 13" xfId="20137" xr:uid="{00000000-0005-0000-0000-00000D8E0000}"/>
    <cellStyle name="Normal 40 5 13 2" xfId="37486" xr:uid="{00000000-0005-0000-0000-00000E8E0000}"/>
    <cellStyle name="Normal 40 5 14" xfId="20138" xr:uid="{00000000-0005-0000-0000-00000F8E0000}"/>
    <cellStyle name="Normal 40 5 14 2" xfId="37487" xr:uid="{00000000-0005-0000-0000-0000108E0000}"/>
    <cellStyle name="Normal 40 5 15" xfId="20139" xr:uid="{00000000-0005-0000-0000-0000118E0000}"/>
    <cellStyle name="Normal 40 5 15 2" xfId="37488" xr:uid="{00000000-0005-0000-0000-0000128E0000}"/>
    <cellStyle name="Normal 40 5 16" xfId="37482" xr:uid="{00000000-0005-0000-0000-0000138E0000}"/>
    <cellStyle name="Normal 40 5 2" xfId="20140" xr:uid="{00000000-0005-0000-0000-0000148E0000}"/>
    <cellStyle name="Normal 40 5 2 10" xfId="20141" xr:uid="{00000000-0005-0000-0000-0000158E0000}"/>
    <cellStyle name="Normal 40 5 2 10 2" xfId="37490" xr:uid="{00000000-0005-0000-0000-0000168E0000}"/>
    <cellStyle name="Normal 40 5 2 11" xfId="20142" xr:uid="{00000000-0005-0000-0000-0000178E0000}"/>
    <cellStyle name="Normal 40 5 2 11 2" xfId="37491" xr:uid="{00000000-0005-0000-0000-0000188E0000}"/>
    <cellStyle name="Normal 40 5 2 12" xfId="20143" xr:uid="{00000000-0005-0000-0000-0000198E0000}"/>
    <cellStyle name="Normal 40 5 2 12 2" xfId="37492" xr:uid="{00000000-0005-0000-0000-00001A8E0000}"/>
    <cellStyle name="Normal 40 5 2 13" xfId="20144" xr:uid="{00000000-0005-0000-0000-00001B8E0000}"/>
    <cellStyle name="Normal 40 5 2 13 2" xfId="37493" xr:uid="{00000000-0005-0000-0000-00001C8E0000}"/>
    <cellStyle name="Normal 40 5 2 14" xfId="20145" xr:uid="{00000000-0005-0000-0000-00001D8E0000}"/>
    <cellStyle name="Normal 40 5 2 14 2" xfId="37494" xr:uid="{00000000-0005-0000-0000-00001E8E0000}"/>
    <cellStyle name="Normal 40 5 2 15" xfId="37489" xr:uid="{00000000-0005-0000-0000-00001F8E0000}"/>
    <cellStyle name="Normal 40 5 2 2" xfId="20146" xr:uid="{00000000-0005-0000-0000-0000208E0000}"/>
    <cellStyle name="Normal 40 5 2 2 2" xfId="37495" xr:uid="{00000000-0005-0000-0000-0000218E0000}"/>
    <cellStyle name="Normal 40 5 2 3" xfId="20147" xr:uid="{00000000-0005-0000-0000-0000228E0000}"/>
    <cellStyle name="Normal 40 5 2 3 2" xfId="37496" xr:uid="{00000000-0005-0000-0000-0000238E0000}"/>
    <cellStyle name="Normal 40 5 2 4" xfId="20148" xr:uid="{00000000-0005-0000-0000-0000248E0000}"/>
    <cellStyle name="Normal 40 5 2 4 2" xfId="37497" xr:uid="{00000000-0005-0000-0000-0000258E0000}"/>
    <cellStyle name="Normal 40 5 2 5" xfId="20149" xr:uid="{00000000-0005-0000-0000-0000268E0000}"/>
    <cellStyle name="Normal 40 5 2 5 2" xfId="37498" xr:uid="{00000000-0005-0000-0000-0000278E0000}"/>
    <cellStyle name="Normal 40 5 2 6" xfId="20150" xr:uid="{00000000-0005-0000-0000-0000288E0000}"/>
    <cellStyle name="Normal 40 5 2 6 2" xfId="37499" xr:uid="{00000000-0005-0000-0000-0000298E0000}"/>
    <cellStyle name="Normal 40 5 2 7" xfId="20151" xr:uid="{00000000-0005-0000-0000-00002A8E0000}"/>
    <cellStyle name="Normal 40 5 2 7 2" xfId="37500" xr:uid="{00000000-0005-0000-0000-00002B8E0000}"/>
    <cellStyle name="Normal 40 5 2 8" xfId="20152" xr:uid="{00000000-0005-0000-0000-00002C8E0000}"/>
    <cellStyle name="Normal 40 5 2 8 2" xfId="37501" xr:uid="{00000000-0005-0000-0000-00002D8E0000}"/>
    <cellStyle name="Normal 40 5 2 9" xfId="20153" xr:uid="{00000000-0005-0000-0000-00002E8E0000}"/>
    <cellStyle name="Normal 40 5 2 9 2" xfId="37502" xr:uid="{00000000-0005-0000-0000-00002F8E0000}"/>
    <cellStyle name="Normal 40 5 3" xfId="20154" xr:uid="{00000000-0005-0000-0000-0000308E0000}"/>
    <cellStyle name="Normal 40 5 3 2" xfId="37503" xr:uid="{00000000-0005-0000-0000-0000318E0000}"/>
    <cellStyle name="Normal 40 5 4" xfId="20155" xr:uid="{00000000-0005-0000-0000-0000328E0000}"/>
    <cellStyle name="Normal 40 5 4 2" xfId="37504" xr:uid="{00000000-0005-0000-0000-0000338E0000}"/>
    <cellStyle name="Normal 40 5 5" xfId="20156" xr:uid="{00000000-0005-0000-0000-0000348E0000}"/>
    <cellStyle name="Normal 40 5 5 2" xfId="37505" xr:uid="{00000000-0005-0000-0000-0000358E0000}"/>
    <cellStyle name="Normal 40 5 6" xfId="20157" xr:uid="{00000000-0005-0000-0000-0000368E0000}"/>
    <cellStyle name="Normal 40 5 6 2" xfId="37506" xr:uid="{00000000-0005-0000-0000-0000378E0000}"/>
    <cellStyle name="Normal 40 5 7" xfId="20158" xr:uid="{00000000-0005-0000-0000-0000388E0000}"/>
    <cellStyle name="Normal 40 5 7 2" xfId="37507" xr:uid="{00000000-0005-0000-0000-0000398E0000}"/>
    <cellStyle name="Normal 40 5 8" xfId="20159" xr:uid="{00000000-0005-0000-0000-00003A8E0000}"/>
    <cellStyle name="Normal 40 5 8 2" xfId="37508" xr:uid="{00000000-0005-0000-0000-00003B8E0000}"/>
    <cellStyle name="Normal 40 5 9" xfId="20160" xr:uid="{00000000-0005-0000-0000-00003C8E0000}"/>
    <cellStyle name="Normal 40 5 9 2" xfId="37509" xr:uid="{00000000-0005-0000-0000-00003D8E0000}"/>
    <cellStyle name="Normal 40 6" xfId="20161" xr:uid="{00000000-0005-0000-0000-00003E8E0000}"/>
    <cellStyle name="Normal 40 6 10" xfId="20162" xr:uid="{00000000-0005-0000-0000-00003F8E0000}"/>
    <cellStyle name="Normal 40 6 10 2" xfId="37511" xr:uid="{00000000-0005-0000-0000-0000408E0000}"/>
    <cellStyle name="Normal 40 6 11" xfId="20163" xr:uid="{00000000-0005-0000-0000-0000418E0000}"/>
    <cellStyle name="Normal 40 6 11 2" xfId="37512" xr:uid="{00000000-0005-0000-0000-0000428E0000}"/>
    <cellStyle name="Normal 40 6 12" xfId="20164" xr:uid="{00000000-0005-0000-0000-0000438E0000}"/>
    <cellStyle name="Normal 40 6 12 2" xfId="37513" xr:uid="{00000000-0005-0000-0000-0000448E0000}"/>
    <cellStyle name="Normal 40 6 13" xfId="20165" xr:uid="{00000000-0005-0000-0000-0000458E0000}"/>
    <cellStyle name="Normal 40 6 13 2" xfId="37514" xr:uid="{00000000-0005-0000-0000-0000468E0000}"/>
    <cellStyle name="Normal 40 6 14" xfId="20166" xr:uid="{00000000-0005-0000-0000-0000478E0000}"/>
    <cellStyle name="Normal 40 6 14 2" xfId="37515" xr:uid="{00000000-0005-0000-0000-0000488E0000}"/>
    <cellStyle name="Normal 40 6 15" xfId="20167" xr:uid="{00000000-0005-0000-0000-0000498E0000}"/>
    <cellStyle name="Normal 40 6 15 2" xfId="37516" xr:uid="{00000000-0005-0000-0000-00004A8E0000}"/>
    <cellStyle name="Normal 40 6 16" xfId="37510" xr:uid="{00000000-0005-0000-0000-00004B8E0000}"/>
    <cellStyle name="Normal 40 6 2" xfId="20168" xr:uid="{00000000-0005-0000-0000-00004C8E0000}"/>
    <cellStyle name="Normal 40 6 2 10" xfId="20169" xr:uid="{00000000-0005-0000-0000-00004D8E0000}"/>
    <cellStyle name="Normal 40 6 2 10 2" xfId="37518" xr:uid="{00000000-0005-0000-0000-00004E8E0000}"/>
    <cellStyle name="Normal 40 6 2 11" xfId="20170" xr:uid="{00000000-0005-0000-0000-00004F8E0000}"/>
    <cellStyle name="Normal 40 6 2 11 2" xfId="37519" xr:uid="{00000000-0005-0000-0000-0000508E0000}"/>
    <cellStyle name="Normal 40 6 2 12" xfId="20171" xr:uid="{00000000-0005-0000-0000-0000518E0000}"/>
    <cellStyle name="Normal 40 6 2 12 2" xfId="37520" xr:uid="{00000000-0005-0000-0000-0000528E0000}"/>
    <cellStyle name="Normal 40 6 2 13" xfId="20172" xr:uid="{00000000-0005-0000-0000-0000538E0000}"/>
    <cellStyle name="Normal 40 6 2 13 2" xfId="37521" xr:uid="{00000000-0005-0000-0000-0000548E0000}"/>
    <cellStyle name="Normal 40 6 2 14" xfId="20173" xr:uid="{00000000-0005-0000-0000-0000558E0000}"/>
    <cellStyle name="Normal 40 6 2 14 2" xfId="37522" xr:uid="{00000000-0005-0000-0000-0000568E0000}"/>
    <cellStyle name="Normal 40 6 2 15" xfId="37517" xr:uid="{00000000-0005-0000-0000-0000578E0000}"/>
    <cellStyle name="Normal 40 6 2 2" xfId="20174" xr:uid="{00000000-0005-0000-0000-0000588E0000}"/>
    <cellStyle name="Normal 40 6 2 2 2" xfId="37523" xr:uid="{00000000-0005-0000-0000-0000598E0000}"/>
    <cellStyle name="Normal 40 6 2 3" xfId="20175" xr:uid="{00000000-0005-0000-0000-00005A8E0000}"/>
    <cellStyle name="Normal 40 6 2 3 2" xfId="37524" xr:uid="{00000000-0005-0000-0000-00005B8E0000}"/>
    <cellStyle name="Normal 40 6 2 4" xfId="20176" xr:uid="{00000000-0005-0000-0000-00005C8E0000}"/>
    <cellStyle name="Normal 40 6 2 4 2" xfId="37525" xr:uid="{00000000-0005-0000-0000-00005D8E0000}"/>
    <cellStyle name="Normal 40 6 2 5" xfId="20177" xr:uid="{00000000-0005-0000-0000-00005E8E0000}"/>
    <cellStyle name="Normal 40 6 2 5 2" xfId="37526" xr:uid="{00000000-0005-0000-0000-00005F8E0000}"/>
    <cellStyle name="Normal 40 6 2 6" xfId="20178" xr:uid="{00000000-0005-0000-0000-0000608E0000}"/>
    <cellStyle name="Normal 40 6 2 6 2" xfId="37527" xr:uid="{00000000-0005-0000-0000-0000618E0000}"/>
    <cellStyle name="Normal 40 6 2 7" xfId="20179" xr:uid="{00000000-0005-0000-0000-0000628E0000}"/>
    <cellStyle name="Normal 40 6 2 7 2" xfId="37528" xr:uid="{00000000-0005-0000-0000-0000638E0000}"/>
    <cellStyle name="Normal 40 6 2 8" xfId="20180" xr:uid="{00000000-0005-0000-0000-0000648E0000}"/>
    <cellStyle name="Normal 40 6 2 8 2" xfId="37529" xr:uid="{00000000-0005-0000-0000-0000658E0000}"/>
    <cellStyle name="Normal 40 6 2 9" xfId="20181" xr:uid="{00000000-0005-0000-0000-0000668E0000}"/>
    <cellStyle name="Normal 40 6 2 9 2" xfId="37530" xr:uid="{00000000-0005-0000-0000-0000678E0000}"/>
    <cellStyle name="Normal 40 6 3" xfId="20182" xr:uid="{00000000-0005-0000-0000-0000688E0000}"/>
    <cellStyle name="Normal 40 6 3 2" xfId="37531" xr:uid="{00000000-0005-0000-0000-0000698E0000}"/>
    <cellStyle name="Normal 40 6 4" xfId="20183" xr:uid="{00000000-0005-0000-0000-00006A8E0000}"/>
    <cellStyle name="Normal 40 6 4 2" xfId="37532" xr:uid="{00000000-0005-0000-0000-00006B8E0000}"/>
    <cellStyle name="Normal 40 6 5" xfId="20184" xr:uid="{00000000-0005-0000-0000-00006C8E0000}"/>
    <cellStyle name="Normal 40 6 5 2" xfId="37533" xr:uid="{00000000-0005-0000-0000-00006D8E0000}"/>
    <cellStyle name="Normal 40 6 6" xfId="20185" xr:uid="{00000000-0005-0000-0000-00006E8E0000}"/>
    <cellStyle name="Normal 40 6 6 2" xfId="37534" xr:uid="{00000000-0005-0000-0000-00006F8E0000}"/>
    <cellStyle name="Normal 40 6 7" xfId="20186" xr:uid="{00000000-0005-0000-0000-0000708E0000}"/>
    <cellStyle name="Normal 40 6 7 2" xfId="37535" xr:uid="{00000000-0005-0000-0000-0000718E0000}"/>
    <cellStyle name="Normal 40 6 8" xfId="20187" xr:uid="{00000000-0005-0000-0000-0000728E0000}"/>
    <cellStyle name="Normal 40 6 8 2" xfId="37536" xr:uid="{00000000-0005-0000-0000-0000738E0000}"/>
    <cellStyle name="Normal 40 6 9" xfId="20188" xr:uid="{00000000-0005-0000-0000-0000748E0000}"/>
    <cellStyle name="Normal 40 6 9 2" xfId="37537" xr:uid="{00000000-0005-0000-0000-0000758E0000}"/>
    <cellStyle name="Normal 40 7" xfId="20189" xr:uid="{00000000-0005-0000-0000-0000768E0000}"/>
    <cellStyle name="Normal 40 7 10" xfId="20190" xr:uid="{00000000-0005-0000-0000-0000778E0000}"/>
    <cellStyle name="Normal 40 7 10 2" xfId="37539" xr:uid="{00000000-0005-0000-0000-0000788E0000}"/>
    <cellStyle name="Normal 40 7 11" xfId="20191" xr:uid="{00000000-0005-0000-0000-0000798E0000}"/>
    <cellStyle name="Normal 40 7 11 2" xfId="37540" xr:uid="{00000000-0005-0000-0000-00007A8E0000}"/>
    <cellStyle name="Normal 40 7 12" xfId="20192" xr:uid="{00000000-0005-0000-0000-00007B8E0000}"/>
    <cellStyle name="Normal 40 7 12 2" xfId="37541" xr:uid="{00000000-0005-0000-0000-00007C8E0000}"/>
    <cellStyle name="Normal 40 7 13" xfId="20193" xr:uid="{00000000-0005-0000-0000-00007D8E0000}"/>
    <cellStyle name="Normal 40 7 13 2" xfId="37542" xr:uid="{00000000-0005-0000-0000-00007E8E0000}"/>
    <cellStyle name="Normal 40 7 14" xfId="20194" xr:uid="{00000000-0005-0000-0000-00007F8E0000}"/>
    <cellStyle name="Normal 40 7 14 2" xfId="37543" xr:uid="{00000000-0005-0000-0000-0000808E0000}"/>
    <cellStyle name="Normal 40 7 15" xfId="37538" xr:uid="{00000000-0005-0000-0000-0000818E0000}"/>
    <cellStyle name="Normal 40 7 2" xfId="20195" xr:uid="{00000000-0005-0000-0000-0000828E0000}"/>
    <cellStyle name="Normal 40 7 2 2" xfId="37544" xr:uid="{00000000-0005-0000-0000-0000838E0000}"/>
    <cellStyle name="Normal 40 7 3" xfId="20196" xr:uid="{00000000-0005-0000-0000-0000848E0000}"/>
    <cellStyle name="Normal 40 7 3 2" xfId="37545" xr:uid="{00000000-0005-0000-0000-0000858E0000}"/>
    <cellStyle name="Normal 40 7 4" xfId="20197" xr:uid="{00000000-0005-0000-0000-0000868E0000}"/>
    <cellStyle name="Normal 40 7 4 2" xfId="37546" xr:uid="{00000000-0005-0000-0000-0000878E0000}"/>
    <cellStyle name="Normal 40 7 5" xfId="20198" xr:uid="{00000000-0005-0000-0000-0000888E0000}"/>
    <cellStyle name="Normal 40 7 5 2" xfId="37547" xr:uid="{00000000-0005-0000-0000-0000898E0000}"/>
    <cellStyle name="Normal 40 7 6" xfId="20199" xr:uid="{00000000-0005-0000-0000-00008A8E0000}"/>
    <cellStyle name="Normal 40 7 6 2" xfId="37548" xr:uid="{00000000-0005-0000-0000-00008B8E0000}"/>
    <cellStyle name="Normal 40 7 7" xfId="20200" xr:uid="{00000000-0005-0000-0000-00008C8E0000}"/>
    <cellStyle name="Normal 40 7 7 2" xfId="37549" xr:uid="{00000000-0005-0000-0000-00008D8E0000}"/>
    <cellStyle name="Normal 40 7 8" xfId="20201" xr:uid="{00000000-0005-0000-0000-00008E8E0000}"/>
    <cellStyle name="Normal 40 7 8 2" xfId="37550" xr:uid="{00000000-0005-0000-0000-00008F8E0000}"/>
    <cellStyle name="Normal 40 7 9" xfId="20202" xr:uid="{00000000-0005-0000-0000-0000908E0000}"/>
    <cellStyle name="Normal 40 7 9 2" xfId="37551" xr:uid="{00000000-0005-0000-0000-0000918E0000}"/>
    <cellStyle name="Normal 40 8" xfId="20203" xr:uid="{00000000-0005-0000-0000-0000928E0000}"/>
    <cellStyle name="Normal 40 8 10" xfId="20204" xr:uid="{00000000-0005-0000-0000-0000938E0000}"/>
    <cellStyle name="Normal 40 8 10 2" xfId="37553" xr:uid="{00000000-0005-0000-0000-0000948E0000}"/>
    <cellStyle name="Normal 40 8 11" xfId="20205" xr:uid="{00000000-0005-0000-0000-0000958E0000}"/>
    <cellStyle name="Normal 40 8 11 2" xfId="37554" xr:uid="{00000000-0005-0000-0000-0000968E0000}"/>
    <cellStyle name="Normal 40 8 12" xfId="20206" xr:uid="{00000000-0005-0000-0000-0000978E0000}"/>
    <cellStyle name="Normal 40 8 12 2" xfId="37555" xr:uid="{00000000-0005-0000-0000-0000988E0000}"/>
    <cellStyle name="Normal 40 8 13" xfId="20207" xr:uid="{00000000-0005-0000-0000-0000998E0000}"/>
    <cellStyle name="Normal 40 8 13 2" xfId="37556" xr:uid="{00000000-0005-0000-0000-00009A8E0000}"/>
    <cellStyle name="Normal 40 8 14" xfId="20208" xr:uid="{00000000-0005-0000-0000-00009B8E0000}"/>
    <cellStyle name="Normal 40 8 14 2" xfId="37557" xr:uid="{00000000-0005-0000-0000-00009C8E0000}"/>
    <cellStyle name="Normal 40 8 15" xfId="37552" xr:uid="{00000000-0005-0000-0000-00009D8E0000}"/>
    <cellStyle name="Normal 40 8 2" xfId="20209" xr:uid="{00000000-0005-0000-0000-00009E8E0000}"/>
    <cellStyle name="Normal 40 8 2 2" xfId="37558" xr:uid="{00000000-0005-0000-0000-00009F8E0000}"/>
    <cellStyle name="Normal 40 8 3" xfId="20210" xr:uid="{00000000-0005-0000-0000-0000A08E0000}"/>
    <cellStyle name="Normal 40 8 3 2" xfId="37559" xr:uid="{00000000-0005-0000-0000-0000A18E0000}"/>
    <cellStyle name="Normal 40 8 4" xfId="20211" xr:uid="{00000000-0005-0000-0000-0000A28E0000}"/>
    <cellStyle name="Normal 40 8 4 2" xfId="37560" xr:uid="{00000000-0005-0000-0000-0000A38E0000}"/>
    <cellStyle name="Normal 40 8 5" xfId="20212" xr:uid="{00000000-0005-0000-0000-0000A48E0000}"/>
    <cellStyle name="Normal 40 8 5 2" xfId="37561" xr:uid="{00000000-0005-0000-0000-0000A58E0000}"/>
    <cellStyle name="Normal 40 8 6" xfId="20213" xr:uid="{00000000-0005-0000-0000-0000A68E0000}"/>
    <cellStyle name="Normal 40 8 6 2" xfId="37562" xr:uid="{00000000-0005-0000-0000-0000A78E0000}"/>
    <cellStyle name="Normal 40 8 7" xfId="20214" xr:uid="{00000000-0005-0000-0000-0000A88E0000}"/>
    <cellStyle name="Normal 40 8 7 2" xfId="37563" xr:uid="{00000000-0005-0000-0000-0000A98E0000}"/>
    <cellStyle name="Normal 40 8 8" xfId="20215" xr:uid="{00000000-0005-0000-0000-0000AA8E0000}"/>
    <cellStyle name="Normal 40 8 8 2" xfId="37564" xr:uid="{00000000-0005-0000-0000-0000AB8E0000}"/>
    <cellStyle name="Normal 40 8 9" xfId="20216" xr:uid="{00000000-0005-0000-0000-0000AC8E0000}"/>
    <cellStyle name="Normal 40 8 9 2" xfId="37565" xr:uid="{00000000-0005-0000-0000-0000AD8E0000}"/>
    <cellStyle name="Normal 40 9" xfId="20217" xr:uid="{00000000-0005-0000-0000-0000AE8E0000}"/>
    <cellStyle name="Normal 40 9 10" xfId="20218" xr:uid="{00000000-0005-0000-0000-0000AF8E0000}"/>
    <cellStyle name="Normal 40 9 10 2" xfId="37567" xr:uid="{00000000-0005-0000-0000-0000B08E0000}"/>
    <cellStyle name="Normal 40 9 11" xfId="20219" xr:uid="{00000000-0005-0000-0000-0000B18E0000}"/>
    <cellStyle name="Normal 40 9 11 2" xfId="37568" xr:uid="{00000000-0005-0000-0000-0000B28E0000}"/>
    <cellStyle name="Normal 40 9 12" xfId="20220" xr:uid="{00000000-0005-0000-0000-0000B38E0000}"/>
    <cellStyle name="Normal 40 9 12 2" xfId="37569" xr:uid="{00000000-0005-0000-0000-0000B48E0000}"/>
    <cellStyle name="Normal 40 9 13" xfId="20221" xr:uid="{00000000-0005-0000-0000-0000B58E0000}"/>
    <cellStyle name="Normal 40 9 13 2" xfId="37570" xr:uid="{00000000-0005-0000-0000-0000B68E0000}"/>
    <cellStyle name="Normal 40 9 14" xfId="20222" xr:uid="{00000000-0005-0000-0000-0000B78E0000}"/>
    <cellStyle name="Normal 40 9 14 2" xfId="37571" xr:uid="{00000000-0005-0000-0000-0000B88E0000}"/>
    <cellStyle name="Normal 40 9 15" xfId="37566" xr:uid="{00000000-0005-0000-0000-0000B98E0000}"/>
    <cellStyle name="Normal 40 9 2" xfId="20223" xr:uid="{00000000-0005-0000-0000-0000BA8E0000}"/>
    <cellStyle name="Normal 40 9 2 2" xfId="37572" xr:uid="{00000000-0005-0000-0000-0000BB8E0000}"/>
    <cellStyle name="Normal 40 9 3" xfId="20224" xr:uid="{00000000-0005-0000-0000-0000BC8E0000}"/>
    <cellStyle name="Normal 40 9 3 2" xfId="37573" xr:uid="{00000000-0005-0000-0000-0000BD8E0000}"/>
    <cellStyle name="Normal 40 9 4" xfId="20225" xr:uid="{00000000-0005-0000-0000-0000BE8E0000}"/>
    <cellStyle name="Normal 40 9 4 2" xfId="37574" xr:uid="{00000000-0005-0000-0000-0000BF8E0000}"/>
    <cellStyle name="Normal 40 9 5" xfId="20226" xr:uid="{00000000-0005-0000-0000-0000C08E0000}"/>
    <cellStyle name="Normal 40 9 5 2" xfId="37575" xr:uid="{00000000-0005-0000-0000-0000C18E0000}"/>
    <cellStyle name="Normal 40 9 6" xfId="20227" xr:uid="{00000000-0005-0000-0000-0000C28E0000}"/>
    <cellStyle name="Normal 40 9 6 2" xfId="37576" xr:uid="{00000000-0005-0000-0000-0000C38E0000}"/>
    <cellStyle name="Normal 40 9 7" xfId="20228" xr:uid="{00000000-0005-0000-0000-0000C48E0000}"/>
    <cellStyle name="Normal 40 9 7 2" xfId="37577" xr:uid="{00000000-0005-0000-0000-0000C58E0000}"/>
    <cellStyle name="Normal 40 9 8" xfId="20229" xr:uid="{00000000-0005-0000-0000-0000C68E0000}"/>
    <cellStyle name="Normal 40 9 8 2" xfId="37578" xr:uid="{00000000-0005-0000-0000-0000C78E0000}"/>
    <cellStyle name="Normal 40 9 9" xfId="20230" xr:uid="{00000000-0005-0000-0000-0000C88E0000}"/>
    <cellStyle name="Normal 40 9 9 2" xfId="37579" xr:uid="{00000000-0005-0000-0000-0000C98E0000}"/>
    <cellStyle name="Normal 41" xfId="71" xr:uid="{00000000-0005-0000-0000-0000CA8E0000}"/>
    <cellStyle name="Normal 41 2" xfId="229" xr:uid="{00000000-0005-0000-0000-0000CB8E0000}"/>
    <cellStyle name="Normal 41 3" xfId="20231" xr:uid="{00000000-0005-0000-0000-0000CC8E0000}"/>
    <cellStyle name="Normal 42" xfId="72" xr:uid="{00000000-0005-0000-0000-0000CD8E0000}"/>
    <cellStyle name="Normal 42 2" xfId="230" xr:uid="{00000000-0005-0000-0000-0000CE8E0000}"/>
    <cellStyle name="Normal 43" xfId="73" xr:uid="{00000000-0005-0000-0000-0000CF8E0000}"/>
    <cellStyle name="Normal 43 2" xfId="231" xr:uid="{00000000-0005-0000-0000-0000D08E0000}"/>
    <cellStyle name="Normal 44" xfId="74" xr:uid="{00000000-0005-0000-0000-0000D18E0000}"/>
    <cellStyle name="Normal 44 2" xfId="232" xr:uid="{00000000-0005-0000-0000-0000D28E0000}"/>
    <cellStyle name="Normal 45" xfId="75" xr:uid="{00000000-0005-0000-0000-0000D38E0000}"/>
    <cellStyle name="Normal 45 2" xfId="233" xr:uid="{00000000-0005-0000-0000-0000D48E0000}"/>
    <cellStyle name="Normal 46" xfId="76" xr:uid="{00000000-0005-0000-0000-0000D58E0000}"/>
    <cellStyle name="Normal 46 2" xfId="234" xr:uid="{00000000-0005-0000-0000-0000D68E0000}"/>
    <cellStyle name="Normal 47" xfId="77" xr:uid="{00000000-0005-0000-0000-0000D78E0000}"/>
    <cellStyle name="Normal 47 2" xfId="235" xr:uid="{00000000-0005-0000-0000-0000D88E0000}"/>
    <cellStyle name="Normal 48" xfId="78" xr:uid="{00000000-0005-0000-0000-0000D98E0000}"/>
    <cellStyle name="Normal 48 2" xfId="236" xr:uid="{00000000-0005-0000-0000-0000DA8E0000}"/>
    <cellStyle name="Normal 49" xfId="79" xr:uid="{00000000-0005-0000-0000-0000DB8E0000}"/>
    <cellStyle name="Normal 49 2" xfId="237" xr:uid="{00000000-0005-0000-0000-0000DC8E0000}"/>
    <cellStyle name="Normal 5" xfId="80" xr:uid="{00000000-0005-0000-0000-0000DD8E0000}"/>
    <cellStyle name="Normal 5 10" xfId="20232" xr:uid="{00000000-0005-0000-0000-0000DE8E0000}"/>
    <cellStyle name="Normal 5 11" xfId="20233" xr:uid="{00000000-0005-0000-0000-0000DF8E0000}"/>
    <cellStyle name="Normal 5 12" xfId="20234" xr:uid="{00000000-0005-0000-0000-0000E08E0000}"/>
    <cellStyle name="Normal 5 13" xfId="20235" xr:uid="{00000000-0005-0000-0000-0000E18E0000}"/>
    <cellStyle name="Normal 5 14" xfId="20236" xr:uid="{00000000-0005-0000-0000-0000E28E0000}"/>
    <cellStyle name="Normal 5 15" xfId="20237" xr:uid="{00000000-0005-0000-0000-0000E38E0000}"/>
    <cellStyle name="Normal 5 16" xfId="20238" xr:uid="{00000000-0005-0000-0000-0000E48E0000}"/>
    <cellStyle name="Normal 5 17" xfId="20239" xr:uid="{00000000-0005-0000-0000-0000E58E0000}"/>
    <cellStyle name="Normal 5 18" xfId="20240" xr:uid="{00000000-0005-0000-0000-0000E68E0000}"/>
    <cellStyle name="Normal 5 19" xfId="20241" xr:uid="{00000000-0005-0000-0000-0000E78E0000}"/>
    <cellStyle name="Normal 5 2" xfId="81" xr:uid="{00000000-0005-0000-0000-0000E88E0000}"/>
    <cellStyle name="Normal 5 2 10" xfId="20242" xr:uid="{00000000-0005-0000-0000-0000E98E0000}"/>
    <cellStyle name="Normal 5 2 11" xfId="20243" xr:uid="{00000000-0005-0000-0000-0000EA8E0000}"/>
    <cellStyle name="Normal 5 2 12" xfId="20244" xr:uid="{00000000-0005-0000-0000-0000EB8E0000}"/>
    <cellStyle name="Normal 5 2 13" xfId="20245" xr:uid="{00000000-0005-0000-0000-0000EC8E0000}"/>
    <cellStyle name="Normal 5 2 14" xfId="37680" xr:uid="{00000000-0005-0000-0000-0000ED8E0000}"/>
    <cellStyle name="Normal 5 2 2" xfId="20246" xr:uid="{00000000-0005-0000-0000-0000EE8E0000}"/>
    <cellStyle name="Normal 5 2 2 10" xfId="20247" xr:uid="{00000000-0005-0000-0000-0000EF8E0000}"/>
    <cellStyle name="Normal 5 2 2 2" xfId="20248" xr:uid="{00000000-0005-0000-0000-0000F08E0000}"/>
    <cellStyle name="Normal 5 2 2 2 2" xfId="20249" xr:uid="{00000000-0005-0000-0000-0000F18E0000}"/>
    <cellStyle name="Normal 5 2 2 2 3" xfId="20250" xr:uid="{00000000-0005-0000-0000-0000F28E0000}"/>
    <cellStyle name="Normal 5 2 2 2 4" xfId="20251" xr:uid="{00000000-0005-0000-0000-0000F38E0000}"/>
    <cellStyle name="Normal 5 2 2 3" xfId="20252" xr:uid="{00000000-0005-0000-0000-0000F48E0000}"/>
    <cellStyle name="Normal 5 2 2 4" xfId="20253" xr:uid="{00000000-0005-0000-0000-0000F58E0000}"/>
    <cellStyle name="Normal 5 2 2 5" xfId="20254" xr:uid="{00000000-0005-0000-0000-0000F68E0000}"/>
    <cellStyle name="Normal 5 2 2 6" xfId="20255" xr:uid="{00000000-0005-0000-0000-0000F78E0000}"/>
    <cellStyle name="Normal 5 2 2 7" xfId="20256" xr:uid="{00000000-0005-0000-0000-0000F88E0000}"/>
    <cellStyle name="Normal 5 2 2 8" xfId="20257" xr:uid="{00000000-0005-0000-0000-0000F98E0000}"/>
    <cellStyle name="Normal 5 2 2 9" xfId="20258" xr:uid="{00000000-0005-0000-0000-0000FA8E0000}"/>
    <cellStyle name="Normal 5 2 3" xfId="20259" xr:uid="{00000000-0005-0000-0000-0000FB8E0000}"/>
    <cellStyle name="Normal 5 2 4" xfId="20260" xr:uid="{00000000-0005-0000-0000-0000FC8E0000}"/>
    <cellStyle name="Normal 5 2 5" xfId="20261" xr:uid="{00000000-0005-0000-0000-0000FD8E0000}"/>
    <cellStyle name="Normal 5 2 6" xfId="20262" xr:uid="{00000000-0005-0000-0000-0000FE8E0000}"/>
    <cellStyle name="Normal 5 2 6 2" xfId="20263" xr:uid="{00000000-0005-0000-0000-0000FF8E0000}"/>
    <cellStyle name="Normal 5 2 6 3" xfId="20264" xr:uid="{00000000-0005-0000-0000-0000008F0000}"/>
    <cellStyle name="Normal 5 2 6 4" xfId="20265" xr:uid="{00000000-0005-0000-0000-0000018F0000}"/>
    <cellStyle name="Normal 5 2 7" xfId="20266" xr:uid="{00000000-0005-0000-0000-0000028F0000}"/>
    <cellStyle name="Normal 5 2 8" xfId="20267" xr:uid="{00000000-0005-0000-0000-0000038F0000}"/>
    <cellStyle name="Normal 5 2 9" xfId="20268" xr:uid="{00000000-0005-0000-0000-0000048F0000}"/>
    <cellStyle name="Normal 5 20" xfId="20269" xr:uid="{00000000-0005-0000-0000-0000058F0000}"/>
    <cellStyle name="Normal 5 20 2" xfId="37581" xr:uid="{00000000-0005-0000-0000-0000068F0000}"/>
    <cellStyle name="Normal 5 21" xfId="20270" xr:uid="{00000000-0005-0000-0000-0000078F0000}"/>
    <cellStyle name="Normal 5 21 2" xfId="37582" xr:uid="{00000000-0005-0000-0000-0000088F0000}"/>
    <cellStyle name="Normal 5 22" xfId="20271" xr:uid="{00000000-0005-0000-0000-0000098F0000}"/>
    <cellStyle name="Normal 5 22 2" xfId="37583" xr:uid="{00000000-0005-0000-0000-00000A8F0000}"/>
    <cellStyle name="Normal 5 23" xfId="20272" xr:uid="{00000000-0005-0000-0000-00000B8F0000}"/>
    <cellStyle name="Normal 5 23 2" xfId="37584" xr:uid="{00000000-0005-0000-0000-00000C8F0000}"/>
    <cellStyle name="Normal 5 24" xfId="20273" xr:uid="{00000000-0005-0000-0000-00000D8F0000}"/>
    <cellStyle name="Normal 5 24 2" xfId="37585" xr:uid="{00000000-0005-0000-0000-00000E8F0000}"/>
    <cellStyle name="Normal 5 25" xfId="20274" xr:uid="{00000000-0005-0000-0000-00000F8F0000}"/>
    <cellStyle name="Normal 5 25 2" xfId="37586" xr:uid="{00000000-0005-0000-0000-0000108F0000}"/>
    <cellStyle name="Normal 5 26" xfId="20275" xr:uid="{00000000-0005-0000-0000-0000118F0000}"/>
    <cellStyle name="Normal 5 26 2" xfId="37587" xr:uid="{00000000-0005-0000-0000-0000128F0000}"/>
    <cellStyle name="Normal 5 27" xfId="20276" xr:uid="{00000000-0005-0000-0000-0000138F0000}"/>
    <cellStyle name="Normal 5 27 2" xfId="37588" xr:uid="{00000000-0005-0000-0000-0000148F0000}"/>
    <cellStyle name="Normal 5 28" xfId="20277" xr:uid="{00000000-0005-0000-0000-0000158F0000}"/>
    <cellStyle name="Normal 5 28 2" xfId="37589" xr:uid="{00000000-0005-0000-0000-0000168F0000}"/>
    <cellStyle name="Normal 5 29" xfId="20278" xr:uid="{00000000-0005-0000-0000-0000178F0000}"/>
    <cellStyle name="Normal 5 29 2" xfId="37590" xr:uid="{00000000-0005-0000-0000-0000188F0000}"/>
    <cellStyle name="Normal 5 3" xfId="82" xr:uid="{00000000-0005-0000-0000-0000198F0000}"/>
    <cellStyle name="Normal 5 3 2" xfId="585" xr:uid="{00000000-0005-0000-0000-00001A8F0000}"/>
    <cellStyle name="Normal 5 3 3" xfId="498" xr:uid="{00000000-0005-0000-0000-00001B8F0000}"/>
    <cellStyle name="Normal 5 3 3 2" xfId="608" xr:uid="{00000000-0005-0000-0000-00001C8F0000}"/>
    <cellStyle name="Normal 5 3 4" xfId="37681" xr:uid="{00000000-0005-0000-0000-00001D8F0000}"/>
    <cellStyle name="Normal 5 30" xfId="20279" xr:uid="{00000000-0005-0000-0000-00001E8F0000}"/>
    <cellStyle name="Normal 5 30 2" xfId="37591" xr:uid="{00000000-0005-0000-0000-00001F8F0000}"/>
    <cellStyle name="Normal 5 31" xfId="20280" xr:uid="{00000000-0005-0000-0000-0000208F0000}"/>
    <cellStyle name="Normal 5 31 2" xfId="37592" xr:uid="{00000000-0005-0000-0000-0000218F0000}"/>
    <cellStyle name="Normal 5 32" xfId="20281" xr:uid="{00000000-0005-0000-0000-0000228F0000}"/>
    <cellStyle name="Normal 5 32 2" xfId="37593" xr:uid="{00000000-0005-0000-0000-0000238F0000}"/>
    <cellStyle name="Normal 5 33" xfId="37679" xr:uid="{00000000-0005-0000-0000-0000248F0000}"/>
    <cellStyle name="Normal 5 34" xfId="37580" xr:uid="{00000000-0005-0000-0000-0000258F0000}"/>
    <cellStyle name="Normal 5 4" xfId="83" xr:uid="{00000000-0005-0000-0000-0000268F0000}"/>
    <cellStyle name="Normal 5 4 2" xfId="20282" xr:uid="{00000000-0005-0000-0000-0000278F0000}"/>
    <cellStyle name="Normal 5 4 3" xfId="37682" xr:uid="{00000000-0005-0000-0000-0000288F0000}"/>
    <cellStyle name="Normal 5 5" xfId="320" xr:uid="{00000000-0005-0000-0000-0000298F0000}"/>
    <cellStyle name="Normal 5 5 2" xfId="20284" xr:uid="{00000000-0005-0000-0000-00002A8F0000}"/>
    <cellStyle name="Normal 5 5 3" xfId="20283" xr:uid="{00000000-0005-0000-0000-00002B8F0000}"/>
    <cellStyle name="Normal 5 5 4" xfId="514" xr:uid="{00000000-0005-0000-0000-00002C8F0000}"/>
    <cellStyle name="Normal 5 6" xfId="20285" xr:uid="{00000000-0005-0000-0000-00002D8F0000}"/>
    <cellStyle name="Normal 5 7" xfId="20286" xr:uid="{00000000-0005-0000-0000-00002E8F0000}"/>
    <cellStyle name="Normal 5 8" xfId="20287" xr:uid="{00000000-0005-0000-0000-00002F8F0000}"/>
    <cellStyle name="Normal 5 9" xfId="20288" xr:uid="{00000000-0005-0000-0000-0000308F0000}"/>
    <cellStyle name="Normal 50" xfId="84" xr:uid="{00000000-0005-0000-0000-0000318F0000}"/>
    <cellStyle name="Normal 50 2" xfId="238" xr:uid="{00000000-0005-0000-0000-0000328F0000}"/>
    <cellStyle name="Normal 51" xfId="85" xr:uid="{00000000-0005-0000-0000-0000338F0000}"/>
    <cellStyle name="Normal 51 2" xfId="239" xr:uid="{00000000-0005-0000-0000-0000348F0000}"/>
    <cellStyle name="Normal 52" xfId="86" xr:uid="{00000000-0005-0000-0000-0000358F0000}"/>
    <cellStyle name="Normal 52 2" xfId="240" xr:uid="{00000000-0005-0000-0000-0000368F0000}"/>
    <cellStyle name="Normal 53" xfId="87" xr:uid="{00000000-0005-0000-0000-0000378F0000}"/>
    <cellStyle name="Normal 53 2" xfId="241" xr:uid="{00000000-0005-0000-0000-0000388F0000}"/>
    <cellStyle name="Normal 54" xfId="88" xr:uid="{00000000-0005-0000-0000-0000398F0000}"/>
    <cellStyle name="Normal 54 2" xfId="242" xr:uid="{00000000-0005-0000-0000-00003A8F0000}"/>
    <cellStyle name="Normal 55" xfId="89" xr:uid="{00000000-0005-0000-0000-00003B8F0000}"/>
    <cellStyle name="Normal 55 2" xfId="243" xr:uid="{00000000-0005-0000-0000-00003C8F0000}"/>
    <cellStyle name="Normal 56" xfId="90" xr:uid="{00000000-0005-0000-0000-00003D8F0000}"/>
    <cellStyle name="Normal 56 2" xfId="244" xr:uid="{00000000-0005-0000-0000-00003E8F0000}"/>
    <cellStyle name="Normal 57" xfId="91" xr:uid="{00000000-0005-0000-0000-00003F8F0000}"/>
    <cellStyle name="Normal 57 2" xfId="245" xr:uid="{00000000-0005-0000-0000-0000408F0000}"/>
    <cellStyle name="Normal 58" xfId="92" xr:uid="{00000000-0005-0000-0000-0000418F0000}"/>
    <cellStyle name="Normal 58 2" xfId="246" xr:uid="{00000000-0005-0000-0000-0000428F0000}"/>
    <cellStyle name="Normal 59" xfId="93" xr:uid="{00000000-0005-0000-0000-0000438F0000}"/>
    <cellStyle name="Normal 59 2" xfId="247" xr:uid="{00000000-0005-0000-0000-0000448F0000}"/>
    <cellStyle name="Normal 6" xfId="94" xr:uid="{00000000-0005-0000-0000-0000458F0000}"/>
    <cellStyle name="Normal 6 10" xfId="20289" xr:uid="{00000000-0005-0000-0000-0000468F0000}"/>
    <cellStyle name="Normal 6 11" xfId="20290" xr:uid="{00000000-0005-0000-0000-0000478F0000}"/>
    <cellStyle name="Normal 6 12" xfId="20291" xr:uid="{00000000-0005-0000-0000-0000488F0000}"/>
    <cellStyle name="Normal 6 13" xfId="20292" xr:uid="{00000000-0005-0000-0000-0000498F0000}"/>
    <cellStyle name="Normal 6 14" xfId="20293" xr:uid="{00000000-0005-0000-0000-00004A8F0000}"/>
    <cellStyle name="Normal 6 15" xfId="20294" xr:uid="{00000000-0005-0000-0000-00004B8F0000}"/>
    <cellStyle name="Normal 6 16" xfId="20295" xr:uid="{00000000-0005-0000-0000-00004C8F0000}"/>
    <cellStyle name="Normal 6 2" xfId="95" xr:uid="{00000000-0005-0000-0000-00004D8F0000}"/>
    <cellStyle name="Normal 6 2 10" xfId="20296" xr:uid="{00000000-0005-0000-0000-00004E8F0000}"/>
    <cellStyle name="Normal 6 2 11" xfId="20297" xr:uid="{00000000-0005-0000-0000-00004F8F0000}"/>
    <cellStyle name="Normal 6 2 12" xfId="20298" xr:uid="{00000000-0005-0000-0000-0000508F0000}"/>
    <cellStyle name="Normal 6 2 13" xfId="20299" xr:uid="{00000000-0005-0000-0000-0000518F0000}"/>
    <cellStyle name="Normal 6 2 14" xfId="37683" xr:uid="{00000000-0005-0000-0000-0000528F0000}"/>
    <cellStyle name="Normal 6 2 2" xfId="20300" xr:uid="{00000000-0005-0000-0000-0000538F0000}"/>
    <cellStyle name="Normal 6 2 2 10" xfId="20301" xr:uid="{00000000-0005-0000-0000-0000548F0000}"/>
    <cellStyle name="Normal 6 2 2 2" xfId="20302" xr:uid="{00000000-0005-0000-0000-0000558F0000}"/>
    <cellStyle name="Normal 6 2 2 2 2" xfId="20303" xr:uid="{00000000-0005-0000-0000-0000568F0000}"/>
    <cellStyle name="Normal 6 2 2 2 3" xfId="20304" xr:uid="{00000000-0005-0000-0000-0000578F0000}"/>
    <cellStyle name="Normal 6 2 2 2 4" xfId="20305" xr:uid="{00000000-0005-0000-0000-0000588F0000}"/>
    <cellStyle name="Normal 6 2 2 3" xfId="20306" xr:uid="{00000000-0005-0000-0000-0000598F0000}"/>
    <cellStyle name="Normal 6 2 2 4" xfId="20307" xr:uid="{00000000-0005-0000-0000-00005A8F0000}"/>
    <cellStyle name="Normal 6 2 2 5" xfId="20308" xr:uid="{00000000-0005-0000-0000-00005B8F0000}"/>
    <cellStyle name="Normal 6 2 2 6" xfId="20309" xr:uid="{00000000-0005-0000-0000-00005C8F0000}"/>
    <cellStyle name="Normal 6 2 2 7" xfId="20310" xr:uid="{00000000-0005-0000-0000-00005D8F0000}"/>
    <cellStyle name="Normal 6 2 2 8" xfId="20311" xr:uid="{00000000-0005-0000-0000-00005E8F0000}"/>
    <cellStyle name="Normal 6 2 2 9" xfId="20312" xr:uid="{00000000-0005-0000-0000-00005F8F0000}"/>
    <cellStyle name="Normal 6 2 3" xfId="20313" xr:uid="{00000000-0005-0000-0000-0000608F0000}"/>
    <cellStyle name="Normal 6 2 4" xfId="20314" xr:uid="{00000000-0005-0000-0000-0000618F0000}"/>
    <cellStyle name="Normal 6 2 5" xfId="20315" xr:uid="{00000000-0005-0000-0000-0000628F0000}"/>
    <cellStyle name="Normal 6 2 6" xfId="20316" xr:uid="{00000000-0005-0000-0000-0000638F0000}"/>
    <cellStyle name="Normal 6 2 6 2" xfId="20317" xr:uid="{00000000-0005-0000-0000-0000648F0000}"/>
    <cellStyle name="Normal 6 2 6 3" xfId="20318" xr:uid="{00000000-0005-0000-0000-0000658F0000}"/>
    <cellStyle name="Normal 6 2 6 4" xfId="20319" xr:uid="{00000000-0005-0000-0000-0000668F0000}"/>
    <cellStyle name="Normal 6 2 7" xfId="20320" xr:uid="{00000000-0005-0000-0000-0000678F0000}"/>
    <cellStyle name="Normal 6 2 8" xfId="20321" xr:uid="{00000000-0005-0000-0000-0000688F0000}"/>
    <cellStyle name="Normal 6 2 9" xfId="20322" xr:uid="{00000000-0005-0000-0000-0000698F0000}"/>
    <cellStyle name="Normal 6 3" xfId="96" xr:uid="{00000000-0005-0000-0000-00006A8F0000}"/>
    <cellStyle name="Normal 6 3 2" xfId="510" xr:uid="{00000000-0005-0000-0000-00006B8F0000}"/>
    <cellStyle name="Normal 6 3 3" xfId="444" xr:uid="{00000000-0005-0000-0000-00006C8F0000}"/>
    <cellStyle name="Normal 6 3 3 2" xfId="596" xr:uid="{00000000-0005-0000-0000-00006D8F0000}"/>
    <cellStyle name="Normal 6 3 4" xfId="37684" xr:uid="{00000000-0005-0000-0000-00006E8F0000}"/>
    <cellStyle name="Normal 6 4" xfId="311" xr:uid="{00000000-0005-0000-0000-00006F8F0000}"/>
    <cellStyle name="Normal 6 4 2" xfId="20324" xr:uid="{00000000-0005-0000-0000-0000708F0000}"/>
    <cellStyle name="Normal 6 4 3" xfId="20323" xr:uid="{00000000-0005-0000-0000-0000718F0000}"/>
    <cellStyle name="Normal 6 5" xfId="20325" xr:uid="{00000000-0005-0000-0000-0000728F0000}"/>
    <cellStyle name="Normal 6 5 2" xfId="20326" xr:uid="{00000000-0005-0000-0000-0000738F0000}"/>
    <cellStyle name="Normal 6 6" xfId="20327" xr:uid="{00000000-0005-0000-0000-0000748F0000}"/>
    <cellStyle name="Normal 6 7" xfId="20328" xr:uid="{00000000-0005-0000-0000-0000758F0000}"/>
    <cellStyle name="Normal 6 8" xfId="20329" xr:uid="{00000000-0005-0000-0000-0000768F0000}"/>
    <cellStyle name="Normal 6 9" xfId="20330" xr:uid="{00000000-0005-0000-0000-0000778F0000}"/>
    <cellStyle name="Normal 60" xfId="97" xr:uid="{00000000-0005-0000-0000-0000788F0000}"/>
    <cellStyle name="Normal 60 2" xfId="248" xr:uid="{00000000-0005-0000-0000-0000798F0000}"/>
    <cellStyle name="Normal 61" xfId="98" xr:uid="{00000000-0005-0000-0000-00007A8F0000}"/>
    <cellStyle name="Normal 61 2" xfId="249" xr:uid="{00000000-0005-0000-0000-00007B8F0000}"/>
    <cellStyle name="Normal 62" xfId="99" xr:uid="{00000000-0005-0000-0000-00007C8F0000}"/>
    <cellStyle name="Normal 62 2" xfId="250" xr:uid="{00000000-0005-0000-0000-00007D8F0000}"/>
    <cellStyle name="Normal 63" xfId="100" xr:uid="{00000000-0005-0000-0000-00007E8F0000}"/>
    <cellStyle name="Normal 63 2" xfId="251" xr:uid="{00000000-0005-0000-0000-00007F8F0000}"/>
    <cellStyle name="Normal 64" xfId="101" xr:uid="{00000000-0005-0000-0000-0000808F0000}"/>
    <cellStyle name="Normal 64 2" xfId="252" xr:uid="{00000000-0005-0000-0000-0000818F0000}"/>
    <cellStyle name="Normal 65" xfId="102" xr:uid="{00000000-0005-0000-0000-0000828F0000}"/>
    <cellStyle name="Normal 65 2" xfId="253" xr:uid="{00000000-0005-0000-0000-0000838F0000}"/>
    <cellStyle name="Normal 66" xfId="103" xr:uid="{00000000-0005-0000-0000-0000848F0000}"/>
    <cellStyle name="Normal 66 2" xfId="254" xr:uid="{00000000-0005-0000-0000-0000858F0000}"/>
    <cellStyle name="Normal 67" xfId="104" xr:uid="{00000000-0005-0000-0000-0000868F0000}"/>
    <cellStyle name="Normal 67 2" xfId="255" xr:uid="{00000000-0005-0000-0000-0000878F0000}"/>
    <cellStyle name="Normal 68" xfId="610" xr:uid="{00000000-0005-0000-0000-0000888F0000}"/>
    <cellStyle name="Normal 69" xfId="105" xr:uid="{00000000-0005-0000-0000-0000898F0000}"/>
    <cellStyle name="Normal 69 2" xfId="256" xr:uid="{00000000-0005-0000-0000-00008A8F0000}"/>
    <cellStyle name="Normal 7" xfId="106" xr:uid="{00000000-0005-0000-0000-00008B8F0000}"/>
    <cellStyle name="Normal 7 10" xfId="20331" xr:uid="{00000000-0005-0000-0000-00008C8F0000}"/>
    <cellStyle name="Normal 7 11" xfId="37685" xr:uid="{00000000-0005-0000-0000-00008D8F0000}"/>
    <cellStyle name="Normal 7 2" xfId="310" xr:uid="{00000000-0005-0000-0000-00008E8F0000}"/>
    <cellStyle name="Normal 7 2 2" xfId="20332" xr:uid="{00000000-0005-0000-0000-00008F8F0000}"/>
    <cellStyle name="Normal 7 2 3" xfId="598" xr:uid="{00000000-0005-0000-0000-0000908F0000}"/>
    <cellStyle name="Normal 7 3" xfId="607" xr:uid="{00000000-0005-0000-0000-0000918F0000}"/>
    <cellStyle name="Normal 7 3 2" xfId="487" xr:uid="{00000000-0005-0000-0000-0000928F0000}"/>
    <cellStyle name="Normal 7 3 3" xfId="606" xr:uid="{00000000-0005-0000-0000-0000938F0000}"/>
    <cellStyle name="Normal 7 3 3 2" xfId="443" xr:uid="{00000000-0005-0000-0000-0000948F0000}"/>
    <cellStyle name="Normal 7 3 4" xfId="20333" xr:uid="{00000000-0005-0000-0000-0000958F0000}"/>
    <cellStyle name="Normal 7 4" xfId="20334" xr:uid="{00000000-0005-0000-0000-0000968F0000}"/>
    <cellStyle name="Normal 7 5" xfId="20335" xr:uid="{00000000-0005-0000-0000-0000978F0000}"/>
    <cellStyle name="Normal 7 6" xfId="20336" xr:uid="{00000000-0005-0000-0000-0000988F0000}"/>
    <cellStyle name="Normal 7 7" xfId="20337" xr:uid="{00000000-0005-0000-0000-0000998F0000}"/>
    <cellStyle name="Normal 7 8" xfId="20338" xr:uid="{00000000-0005-0000-0000-00009A8F0000}"/>
    <cellStyle name="Normal 7 9" xfId="20339" xr:uid="{00000000-0005-0000-0000-00009B8F0000}"/>
    <cellStyle name="Normal 70" xfId="107" xr:uid="{00000000-0005-0000-0000-00009C8F0000}"/>
    <cellStyle name="Normal 70 2" xfId="257" xr:uid="{00000000-0005-0000-0000-00009D8F0000}"/>
    <cellStyle name="Normal 71" xfId="108" xr:uid="{00000000-0005-0000-0000-00009E8F0000}"/>
    <cellStyle name="Normal 71 2" xfId="258" xr:uid="{00000000-0005-0000-0000-00009F8F0000}"/>
    <cellStyle name="Normal 72" xfId="109" xr:uid="{00000000-0005-0000-0000-0000A08F0000}"/>
    <cellStyle name="Normal 72 2" xfId="259" xr:uid="{00000000-0005-0000-0000-0000A18F0000}"/>
    <cellStyle name="Normal 73" xfId="110" xr:uid="{00000000-0005-0000-0000-0000A28F0000}"/>
    <cellStyle name="Normal 73 2" xfId="260" xr:uid="{00000000-0005-0000-0000-0000A38F0000}"/>
    <cellStyle name="Normal 74" xfId="111" xr:uid="{00000000-0005-0000-0000-0000A48F0000}"/>
    <cellStyle name="Normal 74 2" xfId="261" xr:uid="{00000000-0005-0000-0000-0000A58F0000}"/>
    <cellStyle name="Normal 75" xfId="112" xr:uid="{00000000-0005-0000-0000-0000A68F0000}"/>
    <cellStyle name="Normal 75 2" xfId="262" xr:uid="{00000000-0005-0000-0000-0000A78F0000}"/>
    <cellStyle name="Normal 76" xfId="113" xr:uid="{00000000-0005-0000-0000-0000A88F0000}"/>
    <cellStyle name="Normal 76 2" xfId="263" xr:uid="{00000000-0005-0000-0000-0000A98F0000}"/>
    <cellStyle name="Normal 77" xfId="114" xr:uid="{00000000-0005-0000-0000-0000AA8F0000}"/>
    <cellStyle name="Normal 77 2" xfId="264" xr:uid="{00000000-0005-0000-0000-0000AB8F0000}"/>
    <cellStyle name="Normal 78" xfId="115" xr:uid="{00000000-0005-0000-0000-0000AC8F0000}"/>
    <cellStyle name="Normal 78 2" xfId="265" xr:uid="{00000000-0005-0000-0000-0000AD8F0000}"/>
    <cellStyle name="Normal 79" xfId="116" xr:uid="{00000000-0005-0000-0000-0000AE8F0000}"/>
    <cellStyle name="Normal 79 2" xfId="266" xr:uid="{00000000-0005-0000-0000-0000AF8F0000}"/>
    <cellStyle name="Normal 8" xfId="117" xr:uid="{00000000-0005-0000-0000-0000B08F0000}"/>
    <cellStyle name="Normal 8 10" xfId="20340" xr:uid="{00000000-0005-0000-0000-0000B18F0000}"/>
    <cellStyle name="Normal 8 11" xfId="20341" xr:uid="{00000000-0005-0000-0000-0000B28F0000}"/>
    <cellStyle name="Normal 8 12" xfId="20342" xr:uid="{00000000-0005-0000-0000-0000B38F0000}"/>
    <cellStyle name="Normal 8 13" xfId="20343" xr:uid="{00000000-0005-0000-0000-0000B48F0000}"/>
    <cellStyle name="Normal 8 14" xfId="20344" xr:uid="{00000000-0005-0000-0000-0000B58F0000}"/>
    <cellStyle name="Normal 8 15" xfId="20345" xr:uid="{00000000-0005-0000-0000-0000B68F0000}"/>
    <cellStyle name="Normal 8 16" xfId="20346" xr:uid="{00000000-0005-0000-0000-0000B78F0000}"/>
    <cellStyle name="Normal 8 17" xfId="37686" xr:uid="{00000000-0005-0000-0000-0000B88F0000}"/>
    <cellStyle name="Normal 8 2" xfId="442" xr:uid="{00000000-0005-0000-0000-0000B98F0000}"/>
    <cellStyle name="Normal 8 2 2" xfId="20348" xr:uid="{00000000-0005-0000-0000-0000BA8F0000}"/>
    <cellStyle name="Normal 8 2 3" xfId="20349" xr:uid="{00000000-0005-0000-0000-0000BB8F0000}"/>
    <cellStyle name="Normal 8 2 4" xfId="20350" xr:uid="{00000000-0005-0000-0000-0000BC8F0000}"/>
    <cellStyle name="Normal 8 2 5" xfId="20351" xr:uid="{00000000-0005-0000-0000-0000BD8F0000}"/>
    <cellStyle name="Normal 8 2 6" xfId="20347" xr:uid="{00000000-0005-0000-0000-0000BE8F0000}"/>
    <cellStyle name="Normal 8 3" xfId="508" xr:uid="{00000000-0005-0000-0000-0000BF8F0000}"/>
    <cellStyle name="Normal 8 3 2" xfId="511" xr:uid="{00000000-0005-0000-0000-0000C08F0000}"/>
    <cellStyle name="Normal 8 3 3" xfId="583" xr:uid="{00000000-0005-0000-0000-0000C18F0000}"/>
    <cellStyle name="Normal 8 3 3 2" xfId="586" xr:uid="{00000000-0005-0000-0000-0000C28F0000}"/>
    <cellStyle name="Normal 8 4" xfId="20352" xr:uid="{00000000-0005-0000-0000-0000C38F0000}"/>
    <cellStyle name="Normal 8 4 2" xfId="20353" xr:uid="{00000000-0005-0000-0000-0000C48F0000}"/>
    <cellStyle name="Normal 8 5" xfId="20354" xr:uid="{00000000-0005-0000-0000-0000C58F0000}"/>
    <cellStyle name="Normal 8 5 2" xfId="20355" xr:uid="{00000000-0005-0000-0000-0000C68F0000}"/>
    <cellStyle name="Normal 8 6" xfId="20356" xr:uid="{00000000-0005-0000-0000-0000C78F0000}"/>
    <cellStyle name="Normal 8 7" xfId="20357" xr:uid="{00000000-0005-0000-0000-0000C88F0000}"/>
    <cellStyle name="Normal 8 8" xfId="20358" xr:uid="{00000000-0005-0000-0000-0000C98F0000}"/>
    <cellStyle name="Normal 8 9" xfId="20359" xr:uid="{00000000-0005-0000-0000-0000CA8F0000}"/>
    <cellStyle name="Normal 80" xfId="118" xr:uid="{00000000-0005-0000-0000-0000CB8F0000}"/>
    <cellStyle name="Normal 80 2" xfId="267" xr:uid="{00000000-0005-0000-0000-0000CC8F0000}"/>
    <cellStyle name="Normal 81" xfId="119" xr:uid="{00000000-0005-0000-0000-0000CD8F0000}"/>
    <cellStyle name="Normal 81 2" xfId="268" xr:uid="{00000000-0005-0000-0000-0000CE8F0000}"/>
    <cellStyle name="Normal 82" xfId="120" xr:uid="{00000000-0005-0000-0000-0000CF8F0000}"/>
    <cellStyle name="Normal 82 2" xfId="269" xr:uid="{00000000-0005-0000-0000-0000D08F0000}"/>
    <cellStyle name="Normal 83" xfId="121" xr:uid="{00000000-0005-0000-0000-0000D18F0000}"/>
    <cellStyle name="Normal 83 2" xfId="270" xr:uid="{00000000-0005-0000-0000-0000D28F0000}"/>
    <cellStyle name="Normal 84" xfId="122" xr:uid="{00000000-0005-0000-0000-0000D38F0000}"/>
    <cellStyle name="Normal 84 2" xfId="271" xr:uid="{00000000-0005-0000-0000-0000D48F0000}"/>
    <cellStyle name="Normal 85" xfId="123" xr:uid="{00000000-0005-0000-0000-0000D58F0000}"/>
    <cellStyle name="Normal 85 2" xfId="272" xr:uid="{00000000-0005-0000-0000-0000D68F0000}"/>
    <cellStyle name="Normal 86" xfId="124" xr:uid="{00000000-0005-0000-0000-0000D78F0000}"/>
    <cellStyle name="Normal 86 2" xfId="273" xr:uid="{00000000-0005-0000-0000-0000D88F0000}"/>
    <cellStyle name="Normal 87" xfId="125" xr:uid="{00000000-0005-0000-0000-0000D98F0000}"/>
    <cellStyle name="Normal 87 2" xfId="274" xr:uid="{00000000-0005-0000-0000-0000DA8F0000}"/>
    <cellStyle name="Normal 88" xfId="611" xr:uid="{00000000-0005-0000-0000-0000DB8F0000}"/>
    <cellStyle name="Normal 88 2" xfId="20360" xr:uid="{00000000-0005-0000-0000-0000DC8F0000}"/>
    <cellStyle name="Normal 89" xfId="612" xr:uid="{00000000-0005-0000-0000-0000DD8F0000}"/>
    <cellStyle name="Normal 9" xfId="126" xr:uid="{00000000-0005-0000-0000-0000DE8F0000}"/>
    <cellStyle name="Normal 9 10" xfId="20361" xr:uid="{00000000-0005-0000-0000-0000DF8F0000}"/>
    <cellStyle name="Normal 9 11" xfId="20362" xr:uid="{00000000-0005-0000-0000-0000E08F0000}"/>
    <cellStyle name="Normal 9 12" xfId="20363" xr:uid="{00000000-0005-0000-0000-0000E18F0000}"/>
    <cellStyle name="Normal 9 13" xfId="20364" xr:uid="{00000000-0005-0000-0000-0000E28F0000}"/>
    <cellStyle name="Normal 9 14" xfId="20365" xr:uid="{00000000-0005-0000-0000-0000E38F0000}"/>
    <cellStyle name="Normal 9 15" xfId="20366" xr:uid="{00000000-0005-0000-0000-0000E48F0000}"/>
    <cellStyle name="Normal 9 16" xfId="20367" xr:uid="{00000000-0005-0000-0000-0000E58F0000}"/>
    <cellStyle name="Normal 9 17" xfId="20368" xr:uid="{00000000-0005-0000-0000-0000E68F0000}"/>
    <cellStyle name="Normal 9 18" xfId="20369" xr:uid="{00000000-0005-0000-0000-0000E78F0000}"/>
    <cellStyle name="Normal 9 19" xfId="37687" xr:uid="{00000000-0005-0000-0000-0000E88F0000}"/>
    <cellStyle name="Normal 9 2" xfId="127" xr:uid="{00000000-0005-0000-0000-0000E98F0000}"/>
    <cellStyle name="Normal 9 2 2" xfId="202" xr:uid="{00000000-0005-0000-0000-0000EA8F0000}"/>
    <cellStyle name="Normal 9 2 3" xfId="20370" xr:uid="{00000000-0005-0000-0000-0000EB8F0000}"/>
    <cellStyle name="Normal 9 2 4" xfId="20371" xr:uid="{00000000-0005-0000-0000-0000EC8F0000}"/>
    <cellStyle name="Normal 9 2 5" xfId="20372" xr:uid="{00000000-0005-0000-0000-0000ED8F0000}"/>
    <cellStyle name="Normal 9 2 6" xfId="37594" xr:uid="{00000000-0005-0000-0000-0000EE8F0000}"/>
    <cellStyle name="Normal 9 3" xfId="20373" xr:uid="{00000000-0005-0000-0000-0000EF8F0000}"/>
    <cellStyle name="Normal 9 3 2" xfId="20374" xr:uid="{00000000-0005-0000-0000-0000F08F0000}"/>
    <cellStyle name="Normal 9 4" xfId="20375" xr:uid="{00000000-0005-0000-0000-0000F18F0000}"/>
    <cellStyle name="Normal 9 4 2" xfId="20376" xr:uid="{00000000-0005-0000-0000-0000F28F0000}"/>
    <cellStyle name="Normal 9 5" xfId="20377" xr:uid="{00000000-0005-0000-0000-0000F38F0000}"/>
    <cellStyle name="Normal 9 5 2" xfId="20378" xr:uid="{00000000-0005-0000-0000-0000F48F0000}"/>
    <cellStyle name="Normal 9 6" xfId="20379" xr:uid="{00000000-0005-0000-0000-0000F58F0000}"/>
    <cellStyle name="Normal 9 7" xfId="20380" xr:uid="{00000000-0005-0000-0000-0000F68F0000}"/>
    <cellStyle name="Normal 9 8" xfId="20381" xr:uid="{00000000-0005-0000-0000-0000F78F0000}"/>
    <cellStyle name="Normal 9 9" xfId="20382" xr:uid="{00000000-0005-0000-0000-0000F88F0000}"/>
    <cellStyle name="Normal 90" xfId="613" xr:uid="{00000000-0005-0000-0000-0000F98F0000}"/>
    <cellStyle name="Normal 91" xfId="614" xr:uid="{00000000-0005-0000-0000-0000FA8F0000}"/>
    <cellStyle name="Normal 92" xfId="615" xr:uid="{00000000-0005-0000-0000-0000FB8F0000}"/>
    <cellStyle name="Normal 93" xfId="616" xr:uid="{00000000-0005-0000-0000-0000FC8F0000}"/>
    <cellStyle name="Normal 94" xfId="660" xr:uid="{00000000-0005-0000-0000-0000FD8F0000}"/>
    <cellStyle name="Normal 95" xfId="664" xr:uid="{00000000-0005-0000-0000-0000FE8F0000}"/>
    <cellStyle name="Normal 96" xfId="665" xr:uid="{00000000-0005-0000-0000-0000FF8F0000}"/>
    <cellStyle name="Normal 97" xfId="666" xr:uid="{00000000-0005-0000-0000-000000900000}"/>
    <cellStyle name="Normal 98" xfId="670" xr:uid="{00000000-0005-0000-0000-000001900000}"/>
    <cellStyle name="Normal 99" xfId="21150" xr:uid="{00000000-0005-0000-0000-000002900000}"/>
    <cellStyle name="Note" xfId="3" builtinId="10" customBuiltin="1"/>
    <cellStyle name="Note 10 2" xfId="20383" xr:uid="{00000000-0005-0000-0000-000004900000}"/>
    <cellStyle name="Note 10 3" xfId="20384" xr:uid="{00000000-0005-0000-0000-000005900000}"/>
    <cellStyle name="Note 11 2" xfId="20385" xr:uid="{00000000-0005-0000-0000-000006900000}"/>
    <cellStyle name="Note 11 3" xfId="20386" xr:uid="{00000000-0005-0000-0000-000007900000}"/>
    <cellStyle name="Note 12 2" xfId="20387" xr:uid="{00000000-0005-0000-0000-000008900000}"/>
    <cellStyle name="Note 12 3" xfId="20388" xr:uid="{00000000-0005-0000-0000-000009900000}"/>
    <cellStyle name="Note 13 2" xfId="20389" xr:uid="{00000000-0005-0000-0000-00000A900000}"/>
    <cellStyle name="Note 13 3" xfId="20390" xr:uid="{00000000-0005-0000-0000-00000B900000}"/>
    <cellStyle name="Note 14 2" xfId="20391" xr:uid="{00000000-0005-0000-0000-00000C900000}"/>
    <cellStyle name="Note 14 3" xfId="20392" xr:uid="{00000000-0005-0000-0000-00000D900000}"/>
    <cellStyle name="Note 15 2" xfId="20393" xr:uid="{00000000-0005-0000-0000-00000E900000}"/>
    <cellStyle name="Note 15 3" xfId="20394" xr:uid="{00000000-0005-0000-0000-00000F900000}"/>
    <cellStyle name="Note 16" xfId="20395" xr:uid="{00000000-0005-0000-0000-000010900000}"/>
    <cellStyle name="Note 16 2" xfId="20396" xr:uid="{00000000-0005-0000-0000-000011900000}"/>
    <cellStyle name="Note 16 3" xfId="20397" xr:uid="{00000000-0005-0000-0000-000012900000}"/>
    <cellStyle name="Note 16 4" xfId="20398" xr:uid="{00000000-0005-0000-0000-000013900000}"/>
    <cellStyle name="Note 16 5" xfId="20399" xr:uid="{00000000-0005-0000-0000-000014900000}"/>
    <cellStyle name="Note 16 6" xfId="20400" xr:uid="{00000000-0005-0000-0000-000015900000}"/>
    <cellStyle name="Note 16 7" xfId="20401" xr:uid="{00000000-0005-0000-0000-000016900000}"/>
    <cellStyle name="Note 17" xfId="20402" xr:uid="{00000000-0005-0000-0000-000017900000}"/>
    <cellStyle name="Note 18" xfId="20403" xr:uid="{00000000-0005-0000-0000-000018900000}"/>
    <cellStyle name="Note 19" xfId="20404" xr:uid="{00000000-0005-0000-0000-000019900000}"/>
    <cellStyle name="Note 2" xfId="185" xr:uid="{00000000-0005-0000-0000-00001A900000}"/>
    <cellStyle name="Note 2 10" xfId="20406" xr:uid="{00000000-0005-0000-0000-00001B900000}"/>
    <cellStyle name="Note 2 11" xfId="20407" xr:uid="{00000000-0005-0000-0000-00001C900000}"/>
    <cellStyle name="Note 2 11 2" xfId="20408" xr:uid="{00000000-0005-0000-0000-00001D900000}"/>
    <cellStyle name="Note 2 11 2 2" xfId="20409" xr:uid="{00000000-0005-0000-0000-00001E900000}"/>
    <cellStyle name="Note 2 11 2 3" xfId="20410" xr:uid="{00000000-0005-0000-0000-00001F900000}"/>
    <cellStyle name="Note 2 11 2 4" xfId="20411" xr:uid="{00000000-0005-0000-0000-000020900000}"/>
    <cellStyle name="Note 2 11 2 5" xfId="20412" xr:uid="{00000000-0005-0000-0000-000021900000}"/>
    <cellStyle name="Note 2 11 2 6" xfId="20413" xr:uid="{00000000-0005-0000-0000-000022900000}"/>
    <cellStyle name="Note 2 11 2 7" xfId="20414" xr:uid="{00000000-0005-0000-0000-000023900000}"/>
    <cellStyle name="Note 2 11 3" xfId="20415" xr:uid="{00000000-0005-0000-0000-000024900000}"/>
    <cellStyle name="Note 2 11 4" xfId="20416" xr:uid="{00000000-0005-0000-0000-000025900000}"/>
    <cellStyle name="Note 2 11 5" xfId="20417" xr:uid="{00000000-0005-0000-0000-000026900000}"/>
    <cellStyle name="Note 2 11 6" xfId="20418" xr:uid="{00000000-0005-0000-0000-000027900000}"/>
    <cellStyle name="Note 2 11 7" xfId="20419" xr:uid="{00000000-0005-0000-0000-000028900000}"/>
    <cellStyle name="Note 2 12" xfId="20420" xr:uid="{00000000-0005-0000-0000-000029900000}"/>
    <cellStyle name="Note 2 13" xfId="20421" xr:uid="{00000000-0005-0000-0000-00002A900000}"/>
    <cellStyle name="Note 2 14" xfId="20422" xr:uid="{00000000-0005-0000-0000-00002B900000}"/>
    <cellStyle name="Note 2 15" xfId="20423" xr:uid="{00000000-0005-0000-0000-00002C900000}"/>
    <cellStyle name="Note 2 16" xfId="20424" xr:uid="{00000000-0005-0000-0000-00002D900000}"/>
    <cellStyle name="Note 2 17" xfId="20425" xr:uid="{00000000-0005-0000-0000-00002E900000}"/>
    <cellStyle name="Note 2 18" xfId="20426" xr:uid="{00000000-0005-0000-0000-00002F900000}"/>
    <cellStyle name="Note 2 19" xfId="20427" xr:uid="{00000000-0005-0000-0000-000030900000}"/>
    <cellStyle name="Note 2 2" xfId="367" xr:uid="{00000000-0005-0000-0000-000031900000}"/>
    <cellStyle name="Note 2 2 2" xfId="559" xr:uid="{00000000-0005-0000-0000-000032900000}"/>
    <cellStyle name="Note 2 2 3" xfId="20428" xr:uid="{00000000-0005-0000-0000-000033900000}"/>
    <cellStyle name="Note 2 20" xfId="20429" xr:uid="{00000000-0005-0000-0000-000034900000}"/>
    <cellStyle name="Note 2 20 2" xfId="20430" xr:uid="{00000000-0005-0000-0000-000035900000}"/>
    <cellStyle name="Note 2 20 2 2" xfId="20431" xr:uid="{00000000-0005-0000-0000-000036900000}"/>
    <cellStyle name="Note 2 20 2 3" xfId="20432" xr:uid="{00000000-0005-0000-0000-000037900000}"/>
    <cellStyle name="Note 2 20 3" xfId="20433" xr:uid="{00000000-0005-0000-0000-000038900000}"/>
    <cellStyle name="Note 2 20 4" xfId="20434" xr:uid="{00000000-0005-0000-0000-000039900000}"/>
    <cellStyle name="Note 2 21" xfId="20435" xr:uid="{00000000-0005-0000-0000-00003A900000}"/>
    <cellStyle name="Note 2 22" xfId="20436" xr:uid="{00000000-0005-0000-0000-00003B900000}"/>
    <cellStyle name="Note 2 23" xfId="20437" xr:uid="{00000000-0005-0000-0000-00003C900000}"/>
    <cellStyle name="Note 2 23 2" xfId="20438" xr:uid="{00000000-0005-0000-0000-00003D900000}"/>
    <cellStyle name="Note 2 23 3" xfId="20439" xr:uid="{00000000-0005-0000-0000-00003E900000}"/>
    <cellStyle name="Note 2 24" xfId="20440" xr:uid="{00000000-0005-0000-0000-00003F900000}"/>
    <cellStyle name="Note 2 24 2" xfId="20441" xr:uid="{00000000-0005-0000-0000-000040900000}"/>
    <cellStyle name="Note 2 24 3" xfId="20442" xr:uid="{00000000-0005-0000-0000-000041900000}"/>
    <cellStyle name="Note 2 25" xfId="20443" xr:uid="{00000000-0005-0000-0000-000042900000}"/>
    <cellStyle name="Note 2 25 2" xfId="20444" xr:uid="{00000000-0005-0000-0000-000043900000}"/>
    <cellStyle name="Note 2 25 3" xfId="20445" xr:uid="{00000000-0005-0000-0000-000044900000}"/>
    <cellStyle name="Note 2 26" xfId="20446" xr:uid="{00000000-0005-0000-0000-000045900000}"/>
    <cellStyle name="Note 2 26 2" xfId="20447" xr:uid="{00000000-0005-0000-0000-000046900000}"/>
    <cellStyle name="Note 2 26 3" xfId="20448" xr:uid="{00000000-0005-0000-0000-000047900000}"/>
    <cellStyle name="Note 2 27" xfId="20449" xr:uid="{00000000-0005-0000-0000-000048900000}"/>
    <cellStyle name="Note 2 28" xfId="20450" xr:uid="{00000000-0005-0000-0000-000049900000}"/>
    <cellStyle name="Note 2 29" xfId="20451" xr:uid="{00000000-0005-0000-0000-00004A900000}"/>
    <cellStyle name="Note 2 3" xfId="470" xr:uid="{00000000-0005-0000-0000-00004B900000}"/>
    <cellStyle name="Note 2 3 2" xfId="20452" xr:uid="{00000000-0005-0000-0000-00004C900000}"/>
    <cellStyle name="Note 2 30" xfId="20453" xr:uid="{00000000-0005-0000-0000-00004D900000}"/>
    <cellStyle name="Note 2 31" xfId="20405" xr:uid="{00000000-0005-0000-0000-00004E900000}"/>
    <cellStyle name="Note 2 32" xfId="37688" xr:uid="{00000000-0005-0000-0000-00004F900000}"/>
    <cellStyle name="Note 2 4" xfId="20454" xr:uid="{00000000-0005-0000-0000-000050900000}"/>
    <cellStyle name="Note 2 5" xfId="20455" xr:uid="{00000000-0005-0000-0000-000051900000}"/>
    <cellStyle name="Note 2 6" xfId="20456" xr:uid="{00000000-0005-0000-0000-000052900000}"/>
    <cellStyle name="Note 2 7" xfId="20457" xr:uid="{00000000-0005-0000-0000-000053900000}"/>
    <cellStyle name="Note 2 8" xfId="20458" xr:uid="{00000000-0005-0000-0000-000054900000}"/>
    <cellStyle name="Note 2 8 10" xfId="20459" xr:uid="{00000000-0005-0000-0000-000055900000}"/>
    <cellStyle name="Note 2 8 11" xfId="20460" xr:uid="{00000000-0005-0000-0000-000056900000}"/>
    <cellStyle name="Note 2 8 2" xfId="20461" xr:uid="{00000000-0005-0000-0000-000057900000}"/>
    <cellStyle name="Note 2 8 2 2" xfId="20462" xr:uid="{00000000-0005-0000-0000-000058900000}"/>
    <cellStyle name="Note 2 8 2 3" xfId="20463" xr:uid="{00000000-0005-0000-0000-000059900000}"/>
    <cellStyle name="Note 2 8 2 4" xfId="20464" xr:uid="{00000000-0005-0000-0000-00005A900000}"/>
    <cellStyle name="Note 2 8 2 5" xfId="20465" xr:uid="{00000000-0005-0000-0000-00005B900000}"/>
    <cellStyle name="Note 2 8 2 6" xfId="20466" xr:uid="{00000000-0005-0000-0000-00005C900000}"/>
    <cellStyle name="Note 2 8 2 7" xfId="20467" xr:uid="{00000000-0005-0000-0000-00005D900000}"/>
    <cellStyle name="Note 2 8 2 8" xfId="20468" xr:uid="{00000000-0005-0000-0000-00005E900000}"/>
    <cellStyle name="Note 2 8 2 9" xfId="20469" xr:uid="{00000000-0005-0000-0000-00005F900000}"/>
    <cellStyle name="Note 2 8 3" xfId="20470" xr:uid="{00000000-0005-0000-0000-000060900000}"/>
    <cellStyle name="Note 2 8 4" xfId="20471" xr:uid="{00000000-0005-0000-0000-000061900000}"/>
    <cellStyle name="Note 2 8 5" xfId="20472" xr:uid="{00000000-0005-0000-0000-000062900000}"/>
    <cellStyle name="Note 2 8 5 2" xfId="20473" xr:uid="{00000000-0005-0000-0000-000063900000}"/>
    <cellStyle name="Note 2 8 5 3" xfId="20474" xr:uid="{00000000-0005-0000-0000-000064900000}"/>
    <cellStyle name="Note 2 8 6" xfId="20475" xr:uid="{00000000-0005-0000-0000-000065900000}"/>
    <cellStyle name="Note 2 8 6 2" xfId="20476" xr:uid="{00000000-0005-0000-0000-000066900000}"/>
    <cellStyle name="Note 2 8 6 3" xfId="20477" xr:uid="{00000000-0005-0000-0000-000067900000}"/>
    <cellStyle name="Note 2 8 7" xfId="20478" xr:uid="{00000000-0005-0000-0000-000068900000}"/>
    <cellStyle name="Note 2 8 7 2" xfId="20479" xr:uid="{00000000-0005-0000-0000-000069900000}"/>
    <cellStyle name="Note 2 8 7 3" xfId="20480" xr:uid="{00000000-0005-0000-0000-00006A900000}"/>
    <cellStyle name="Note 2 8 8" xfId="20481" xr:uid="{00000000-0005-0000-0000-00006B900000}"/>
    <cellStyle name="Note 2 8 8 2" xfId="20482" xr:uid="{00000000-0005-0000-0000-00006C900000}"/>
    <cellStyle name="Note 2 8 8 3" xfId="20483" xr:uid="{00000000-0005-0000-0000-00006D900000}"/>
    <cellStyle name="Note 2 8 9" xfId="20484" xr:uid="{00000000-0005-0000-0000-00006E900000}"/>
    <cellStyle name="Note 2 8 9 2" xfId="20485" xr:uid="{00000000-0005-0000-0000-00006F900000}"/>
    <cellStyle name="Note 2 8 9 3" xfId="20486" xr:uid="{00000000-0005-0000-0000-000070900000}"/>
    <cellStyle name="Note 2 9" xfId="20487" xr:uid="{00000000-0005-0000-0000-000071900000}"/>
    <cellStyle name="Note 20" xfId="20488" xr:uid="{00000000-0005-0000-0000-000072900000}"/>
    <cellStyle name="Note 21" xfId="20489" xr:uid="{00000000-0005-0000-0000-000073900000}"/>
    <cellStyle name="Note 22" xfId="20490" xr:uid="{00000000-0005-0000-0000-000074900000}"/>
    <cellStyle name="Note 23" xfId="20491" xr:uid="{00000000-0005-0000-0000-000075900000}"/>
    <cellStyle name="Note 24" xfId="20492" xr:uid="{00000000-0005-0000-0000-000076900000}"/>
    <cellStyle name="Note 25" xfId="20493" xr:uid="{00000000-0005-0000-0000-000077900000}"/>
    <cellStyle name="Note 3" xfId="331" xr:uid="{00000000-0005-0000-0000-000078900000}"/>
    <cellStyle name="Note 3 2" xfId="465" xr:uid="{00000000-0005-0000-0000-000079900000}"/>
    <cellStyle name="Note 3 2 2" xfId="20495" xr:uid="{00000000-0005-0000-0000-00007A900000}"/>
    <cellStyle name="Note 3 3" xfId="20496" xr:uid="{00000000-0005-0000-0000-00007B900000}"/>
    <cellStyle name="Note 3 4" xfId="20497" xr:uid="{00000000-0005-0000-0000-00007C900000}"/>
    <cellStyle name="Note 3 5" xfId="20498" xr:uid="{00000000-0005-0000-0000-00007D900000}"/>
    <cellStyle name="Note 3 6" xfId="20499" xr:uid="{00000000-0005-0000-0000-00007E900000}"/>
    <cellStyle name="Note 3 7" xfId="20500" xr:uid="{00000000-0005-0000-0000-00007F900000}"/>
    <cellStyle name="Note 3 8" xfId="20494" xr:uid="{00000000-0005-0000-0000-000080900000}"/>
    <cellStyle name="Note 4" xfId="333" xr:uid="{00000000-0005-0000-0000-000081900000}"/>
    <cellStyle name="Note 4 2" xfId="523" xr:uid="{00000000-0005-0000-0000-000082900000}"/>
    <cellStyle name="Note 4 2 2" xfId="20502" xr:uid="{00000000-0005-0000-0000-000083900000}"/>
    <cellStyle name="Note 4 3" xfId="20503" xr:uid="{00000000-0005-0000-0000-000084900000}"/>
    <cellStyle name="Note 4 4" xfId="20501" xr:uid="{00000000-0005-0000-0000-000085900000}"/>
    <cellStyle name="Note 4 5" xfId="37689" xr:uid="{00000000-0005-0000-0000-000086900000}"/>
    <cellStyle name="Note 5" xfId="353" xr:uid="{00000000-0005-0000-0000-000087900000}"/>
    <cellStyle name="Note 5 2" xfId="543" xr:uid="{00000000-0005-0000-0000-000088900000}"/>
    <cellStyle name="Note 5 2 2" xfId="20504" xr:uid="{00000000-0005-0000-0000-000089900000}"/>
    <cellStyle name="Note 5 3" xfId="20505" xr:uid="{00000000-0005-0000-0000-00008A900000}"/>
    <cellStyle name="Note 6" xfId="403" xr:uid="{00000000-0005-0000-0000-00008B900000}"/>
    <cellStyle name="Note 6 2" xfId="20506" xr:uid="{00000000-0005-0000-0000-00008C900000}"/>
    <cellStyle name="Note 6 3" xfId="20507" xr:uid="{00000000-0005-0000-0000-00008D900000}"/>
    <cellStyle name="Note 7 2" xfId="20508" xr:uid="{00000000-0005-0000-0000-00008E900000}"/>
    <cellStyle name="Note 7 3" xfId="20509" xr:uid="{00000000-0005-0000-0000-00008F900000}"/>
    <cellStyle name="Note 8 2" xfId="20510" xr:uid="{00000000-0005-0000-0000-000090900000}"/>
    <cellStyle name="Note 8 3" xfId="20511" xr:uid="{00000000-0005-0000-0000-000091900000}"/>
    <cellStyle name="Note 9 2" xfId="20512" xr:uid="{00000000-0005-0000-0000-000092900000}"/>
    <cellStyle name="Note 9 3" xfId="20513" xr:uid="{00000000-0005-0000-0000-000093900000}"/>
    <cellStyle name="Output" xfId="145" builtinId="21" customBuiltin="1"/>
    <cellStyle name="Output 10 2" xfId="20514" xr:uid="{00000000-0005-0000-0000-000095900000}"/>
    <cellStyle name="Output 10 3" xfId="20515" xr:uid="{00000000-0005-0000-0000-000096900000}"/>
    <cellStyle name="Output 11 2" xfId="20516" xr:uid="{00000000-0005-0000-0000-000097900000}"/>
    <cellStyle name="Output 11 3" xfId="20517" xr:uid="{00000000-0005-0000-0000-000098900000}"/>
    <cellStyle name="Output 12 2" xfId="20518" xr:uid="{00000000-0005-0000-0000-000099900000}"/>
    <cellStyle name="Output 12 3" xfId="20519" xr:uid="{00000000-0005-0000-0000-00009A900000}"/>
    <cellStyle name="Output 13 2" xfId="20520" xr:uid="{00000000-0005-0000-0000-00009B900000}"/>
    <cellStyle name="Output 13 3" xfId="20521" xr:uid="{00000000-0005-0000-0000-00009C900000}"/>
    <cellStyle name="Output 14 2" xfId="20522" xr:uid="{00000000-0005-0000-0000-00009D900000}"/>
    <cellStyle name="Output 14 3" xfId="20523" xr:uid="{00000000-0005-0000-0000-00009E900000}"/>
    <cellStyle name="Output 15" xfId="20524" xr:uid="{00000000-0005-0000-0000-00009F900000}"/>
    <cellStyle name="Output 15 2" xfId="20525" xr:uid="{00000000-0005-0000-0000-0000A0900000}"/>
    <cellStyle name="Output 15 3" xfId="20526" xr:uid="{00000000-0005-0000-0000-0000A1900000}"/>
    <cellStyle name="Output 15 4" xfId="20527" xr:uid="{00000000-0005-0000-0000-0000A2900000}"/>
    <cellStyle name="Output 15 5" xfId="20528" xr:uid="{00000000-0005-0000-0000-0000A3900000}"/>
    <cellStyle name="Output 15 6" xfId="20529" xr:uid="{00000000-0005-0000-0000-0000A4900000}"/>
    <cellStyle name="Output 15 7" xfId="20530" xr:uid="{00000000-0005-0000-0000-0000A5900000}"/>
    <cellStyle name="Output 16" xfId="20531" xr:uid="{00000000-0005-0000-0000-0000A6900000}"/>
    <cellStyle name="Output 17" xfId="20532" xr:uid="{00000000-0005-0000-0000-0000A7900000}"/>
    <cellStyle name="Output 18" xfId="20533" xr:uid="{00000000-0005-0000-0000-0000A8900000}"/>
    <cellStyle name="Output 19" xfId="20534" xr:uid="{00000000-0005-0000-0000-0000A9900000}"/>
    <cellStyle name="Output 2" xfId="398" xr:uid="{00000000-0005-0000-0000-0000AA900000}"/>
    <cellStyle name="Output 2 2" xfId="488" xr:uid="{00000000-0005-0000-0000-0000AB900000}"/>
    <cellStyle name="Output 2 2 2" xfId="20535" xr:uid="{00000000-0005-0000-0000-0000AC900000}"/>
    <cellStyle name="Output 2 3" xfId="20536" xr:uid="{00000000-0005-0000-0000-0000AD900000}"/>
    <cellStyle name="Output 20" xfId="20537" xr:uid="{00000000-0005-0000-0000-0000AE900000}"/>
    <cellStyle name="Output 21" xfId="20538" xr:uid="{00000000-0005-0000-0000-0000AF900000}"/>
    <cellStyle name="Output 22" xfId="20539" xr:uid="{00000000-0005-0000-0000-0000B0900000}"/>
    <cellStyle name="Output 3" xfId="656" xr:uid="{00000000-0005-0000-0000-0000B1900000}"/>
    <cellStyle name="Output 3 2" xfId="20540" xr:uid="{00000000-0005-0000-0000-0000B2900000}"/>
    <cellStyle name="Output 3 3" xfId="20541" xr:uid="{00000000-0005-0000-0000-0000B3900000}"/>
    <cellStyle name="Output 4 2" xfId="20542" xr:uid="{00000000-0005-0000-0000-0000B4900000}"/>
    <cellStyle name="Output 4 3" xfId="20543" xr:uid="{00000000-0005-0000-0000-0000B5900000}"/>
    <cellStyle name="Output 5 2" xfId="20544" xr:uid="{00000000-0005-0000-0000-0000B6900000}"/>
    <cellStyle name="Output 5 3" xfId="20545" xr:uid="{00000000-0005-0000-0000-0000B7900000}"/>
    <cellStyle name="Output 6 2" xfId="20546" xr:uid="{00000000-0005-0000-0000-0000B8900000}"/>
    <cellStyle name="Output 6 3" xfId="20547" xr:uid="{00000000-0005-0000-0000-0000B9900000}"/>
    <cellStyle name="Output 7 2" xfId="20548" xr:uid="{00000000-0005-0000-0000-0000BA900000}"/>
    <cellStyle name="Output 7 3" xfId="20549" xr:uid="{00000000-0005-0000-0000-0000BB900000}"/>
    <cellStyle name="Output 8 2" xfId="20550" xr:uid="{00000000-0005-0000-0000-0000BC900000}"/>
    <cellStyle name="Output 8 3" xfId="20551" xr:uid="{00000000-0005-0000-0000-0000BD900000}"/>
    <cellStyle name="Output 9 2" xfId="20552" xr:uid="{00000000-0005-0000-0000-0000BE900000}"/>
    <cellStyle name="Output 9 3" xfId="20553" xr:uid="{00000000-0005-0000-0000-0000BF900000}"/>
    <cellStyle name="Percent" xfId="6" builtinId="5"/>
    <cellStyle name="Percent 10" xfId="200" xr:uid="{00000000-0005-0000-0000-0000C1900000}"/>
    <cellStyle name="Percent 10 10" xfId="20555" xr:uid="{00000000-0005-0000-0000-0000C2900000}"/>
    <cellStyle name="Percent 10 11" xfId="20556" xr:uid="{00000000-0005-0000-0000-0000C3900000}"/>
    <cellStyle name="Percent 10 12" xfId="20554" xr:uid="{00000000-0005-0000-0000-0000C4900000}"/>
    <cellStyle name="Percent 10 2" xfId="385" xr:uid="{00000000-0005-0000-0000-0000C5900000}"/>
    <cellStyle name="Percent 10 2 2" xfId="577" xr:uid="{00000000-0005-0000-0000-0000C6900000}"/>
    <cellStyle name="Percent 10 2 2 2" xfId="20558" xr:uid="{00000000-0005-0000-0000-0000C7900000}"/>
    <cellStyle name="Percent 10 2 3" xfId="20559" xr:uid="{00000000-0005-0000-0000-0000C8900000}"/>
    <cellStyle name="Percent 10 2 4" xfId="20560" xr:uid="{00000000-0005-0000-0000-0000C9900000}"/>
    <cellStyle name="Percent 10 2 5" xfId="20561" xr:uid="{00000000-0005-0000-0000-0000CA900000}"/>
    <cellStyle name="Percent 10 2 6" xfId="20557" xr:uid="{00000000-0005-0000-0000-0000CB900000}"/>
    <cellStyle name="Percent 10 3" xfId="492" xr:uid="{00000000-0005-0000-0000-0000CC900000}"/>
    <cellStyle name="Percent 10 3 2" xfId="20562" xr:uid="{00000000-0005-0000-0000-0000CD900000}"/>
    <cellStyle name="Percent 10 4" xfId="20563" xr:uid="{00000000-0005-0000-0000-0000CE900000}"/>
    <cellStyle name="Percent 10 5" xfId="20564" xr:uid="{00000000-0005-0000-0000-0000CF900000}"/>
    <cellStyle name="Percent 10 6" xfId="20565" xr:uid="{00000000-0005-0000-0000-0000D0900000}"/>
    <cellStyle name="Percent 10 7" xfId="20566" xr:uid="{00000000-0005-0000-0000-0000D1900000}"/>
    <cellStyle name="Percent 10 8" xfId="20567" xr:uid="{00000000-0005-0000-0000-0000D2900000}"/>
    <cellStyle name="Percent 10 9" xfId="20568" xr:uid="{00000000-0005-0000-0000-0000D3900000}"/>
    <cellStyle name="Percent 11" xfId="181" xr:uid="{00000000-0005-0000-0000-0000D4900000}"/>
    <cellStyle name="Percent 11 2" xfId="294" xr:uid="{00000000-0005-0000-0000-0000D5900000}"/>
    <cellStyle name="Percent 12" xfId="350" xr:uid="{00000000-0005-0000-0000-0000D6900000}"/>
    <cellStyle name="Percent 12 2" xfId="540" xr:uid="{00000000-0005-0000-0000-0000D7900000}"/>
    <cellStyle name="Percent 12 2 2" xfId="20570" xr:uid="{00000000-0005-0000-0000-0000D8900000}"/>
    <cellStyle name="Percent 12 3" xfId="20569" xr:uid="{00000000-0005-0000-0000-0000D9900000}"/>
    <cellStyle name="Percent 13" xfId="431" xr:uid="{00000000-0005-0000-0000-0000DA900000}"/>
    <cellStyle name="Percent 13 2" xfId="588" xr:uid="{00000000-0005-0000-0000-0000DB900000}"/>
    <cellStyle name="Percent 13 2 2" xfId="20572" xr:uid="{00000000-0005-0000-0000-0000DC900000}"/>
    <cellStyle name="Percent 13 3" xfId="20571" xr:uid="{00000000-0005-0000-0000-0000DD900000}"/>
    <cellStyle name="Percent 14" xfId="435" xr:uid="{00000000-0005-0000-0000-0000DE900000}"/>
    <cellStyle name="Percent 14 2" xfId="593" xr:uid="{00000000-0005-0000-0000-0000DF900000}"/>
    <cellStyle name="Percent 14 2 2" xfId="20574" xr:uid="{00000000-0005-0000-0000-0000E0900000}"/>
    <cellStyle name="Percent 14 3" xfId="20573" xr:uid="{00000000-0005-0000-0000-0000E1900000}"/>
    <cellStyle name="Percent 15" xfId="657" xr:uid="{00000000-0005-0000-0000-0000E2900000}"/>
    <cellStyle name="Percent 15 2" xfId="20576" xr:uid="{00000000-0005-0000-0000-0000E3900000}"/>
    <cellStyle name="Percent 15 3" xfId="20575" xr:uid="{00000000-0005-0000-0000-0000E4900000}"/>
    <cellStyle name="Percent 16" xfId="661" xr:uid="{00000000-0005-0000-0000-0000E5900000}"/>
    <cellStyle name="Percent 16 2" xfId="20578" xr:uid="{00000000-0005-0000-0000-0000E6900000}"/>
    <cellStyle name="Percent 16 3" xfId="20577" xr:uid="{00000000-0005-0000-0000-0000E7900000}"/>
    <cellStyle name="Percent 17" xfId="667" xr:uid="{00000000-0005-0000-0000-0000E8900000}"/>
    <cellStyle name="Percent 17 2" xfId="20580" xr:uid="{00000000-0005-0000-0000-0000E9900000}"/>
    <cellStyle name="Percent 17 3" xfId="20579" xr:uid="{00000000-0005-0000-0000-0000EA900000}"/>
    <cellStyle name="Percent 18" xfId="20581" xr:uid="{00000000-0005-0000-0000-0000EB900000}"/>
    <cellStyle name="Percent 18 2" xfId="20582" xr:uid="{00000000-0005-0000-0000-0000EC900000}"/>
    <cellStyle name="Percent 19" xfId="20583" xr:uid="{00000000-0005-0000-0000-0000ED900000}"/>
    <cellStyle name="Percent 19 2" xfId="20584" xr:uid="{00000000-0005-0000-0000-0000EE900000}"/>
    <cellStyle name="Percent 2" xfId="128" xr:uid="{00000000-0005-0000-0000-0000EF900000}"/>
    <cellStyle name="Percent 2 10" xfId="20585" xr:uid="{00000000-0005-0000-0000-0000F0900000}"/>
    <cellStyle name="Percent 2 11" xfId="20586" xr:uid="{00000000-0005-0000-0000-0000F1900000}"/>
    <cellStyle name="Percent 2 12" xfId="20587" xr:uid="{00000000-0005-0000-0000-0000F2900000}"/>
    <cellStyle name="Percent 2 13" xfId="20588" xr:uid="{00000000-0005-0000-0000-0000F3900000}"/>
    <cellStyle name="Percent 2 14" xfId="20589" xr:uid="{00000000-0005-0000-0000-0000F4900000}"/>
    <cellStyle name="Percent 2 15" xfId="20590" xr:uid="{00000000-0005-0000-0000-0000F5900000}"/>
    <cellStyle name="Percent 2 16" xfId="20591" xr:uid="{00000000-0005-0000-0000-0000F6900000}"/>
    <cellStyle name="Percent 2 17" xfId="20592" xr:uid="{00000000-0005-0000-0000-0000F7900000}"/>
    <cellStyle name="Percent 2 18" xfId="20593" xr:uid="{00000000-0005-0000-0000-0000F8900000}"/>
    <cellStyle name="Percent 2 19" xfId="20594" xr:uid="{00000000-0005-0000-0000-0000F9900000}"/>
    <cellStyle name="Percent 2 2" xfId="275" xr:uid="{00000000-0005-0000-0000-0000FA900000}"/>
    <cellStyle name="Percent 2 2 10" xfId="20595" xr:uid="{00000000-0005-0000-0000-0000FB900000}"/>
    <cellStyle name="Percent 2 2 10 2" xfId="20596" xr:uid="{00000000-0005-0000-0000-0000FC900000}"/>
    <cellStyle name="Percent 2 2 10 3" xfId="20597" xr:uid="{00000000-0005-0000-0000-0000FD900000}"/>
    <cellStyle name="Percent 2 2 11" xfId="20598" xr:uid="{00000000-0005-0000-0000-0000FE900000}"/>
    <cellStyle name="Percent 2 2 11 2" xfId="20599" xr:uid="{00000000-0005-0000-0000-0000FF900000}"/>
    <cellStyle name="Percent 2 2 11 3" xfId="20600" xr:uid="{00000000-0005-0000-0000-000000910000}"/>
    <cellStyle name="Percent 2 2 12" xfId="20601" xr:uid="{00000000-0005-0000-0000-000001910000}"/>
    <cellStyle name="Percent 2 2 12 2" xfId="20602" xr:uid="{00000000-0005-0000-0000-000002910000}"/>
    <cellStyle name="Percent 2 2 12 3" xfId="20603" xr:uid="{00000000-0005-0000-0000-000003910000}"/>
    <cellStyle name="Percent 2 2 13" xfId="20604" xr:uid="{00000000-0005-0000-0000-000004910000}"/>
    <cellStyle name="Percent 2 2 13 2" xfId="20605" xr:uid="{00000000-0005-0000-0000-000005910000}"/>
    <cellStyle name="Percent 2 2 13 3" xfId="20606" xr:uid="{00000000-0005-0000-0000-000006910000}"/>
    <cellStyle name="Percent 2 2 14" xfId="20607" xr:uid="{00000000-0005-0000-0000-000007910000}"/>
    <cellStyle name="Percent 2 2 14 2" xfId="20608" xr:uid="{00000000-0005-0000-0000-000008910000}"/>
    <cellStyle name="Percent 2 2 14 3" xfId="20609" xr:uid="{00000000-0005-0000-0000-000009910000}"/>
    <cellStyle name="Percent 2 2 15" xfId="20610" xr:uid="{00000000-0005-0000-0000-00000A910000}"/>
    <cellStyle name="Percent 2 2 16" xfId="20611" xr:uid="{00000000-0005-0000-0000-00000B910000}"/>
    <cellStyle name="Percent 2 2 17" xfId="20612" xr:uid="{00000000-0005-0000-0000-00000C910000}"/>
    <cellStyle name="Percent 2 2 18" xfId="20613" xr:uid="{00000000-0005-0000-0000-00000D910000}"/>
    <cellStyle name="Percent 2 2 19" xfId="20614" xr:uid="{00000000-0005-0000-0000-00000E910000}"/>
    <cellStyle name="Percent 2 2 2" xfId="20615" xr:uid="{00000000-0005-0000-0000-00000F910000}"/>
    <cellStyle name="Percent 2 2 2 10" xfId="20616" xr:uid="{00000000-0005-0000-0000-000010910000}"/>
    <cellStyle name="Percent 2 2 2 2" xfId="20617" xr:uid="{00000000-0005-0000-0000-000011910000}"/>
    <cellStyle name="Percent 2 2 2 3" xfId="20618" xr:uid="{00000000-0005-0000-0000-000012910000}"/>
    <cellStyle name="Percent 2 2 2 4" xfId="20619" xr:uid="{00000000-0005-0000-0000-000013910000}"/>
    <cellStyle name="Percent 2 2 2 5" xfId="20620" xr:uid="{00000000-0005-0000-0000-000014910000}"/>
    <cellStyle name="Percent 2 2 2 6" xfId="20621" xr:uid="{00000000-0005-0000-0000-000015910000}"/>
    <cellStyle name="Percent 2 2 2 7" xfId="20622" xr:uid="{00000000-0005-0000-0000-000016910000}"/>
    <cellStyle name="Percent 2 2 2 8" xfId="20623" xr:uid="{00000000-0005-0000-0000-000017910000}"/>
    <cellStyle name="Percent 2 2 2 9" xfId="20624" xr:uid="{00000000-0005-0000-0000-000018910000}"/>
    <cellStyle name="Percent 2 2 20" xfId="20625" xr:uid="{00000000-0005-0000-0000-000019910000}"/>
    <cellStyle name="Percent 2 2 21" xfId="20626" xr:uid="{00000000-0005-0000-0000-00001A910000}"/>
    <cellStyle name="Percent 2 2 3" xfId="20627" xr:uid="{00000000-0005-0000-0000-00001B910000}"/>
    <cellStyle name="Percent 2 2 3 2" xfId="20628" xr:uid="{00000000-0005-0000-0000-00001C910000}"/>
    <cellStyle name="Percent 2 2 3 3" xfId="20629" xr:uid="{00000000-0005-0000-0000-00001D910000}"/>
    <cellStyle name="Percent 2 2 4" xfId="20630" xr:uid="{00000000-0005-0000-0000-00001E910000}"/>
    <cellStyle name="Percent 2 2 4 2" xfId="20631" xr:uid="{00000000-0005-0000-0000-00001F910000}"/>
    <cellStyle name="Percent 2 2 4 3" xfId="20632" xr:uid="{00000000-0005-0000-0000-000020910000}"/>
    <cellStyle name="Percent 2 2 5" xfId="20633" xr:uid="{00000000-0005-0000-0000-000021910000}"/>
    <cellStyle name="Percent 2 2 5 2" xfId="20634" xr:uid="{00000000-0005-0000-0000-000022910000}"/>
    <cellStyle name="Percent 2 2 5 3" xfId="20635" xr:uid="{00000000-0005-0000-0000-000023910000}"/>
    <cellStyle name="Percent 2 2 6" xfId="20636" xr:uid="{00000000-0005-0000-0000-000024910000}"/>
    <cellStyle name="Percent 2 2 6 2" xfId="20637" xr:uid="{00000000-0005-0000-0000-000025910000}"/>
    <cellStyle name="Percent 2 2 6 3" xfId="20638" xr:uid="{00000000-0005-0000-0000-000026910000}"/>
    <cellStyle name="Percent 2 2 7" xfId="20639" xr:uid="{00000000-0005-0000-0000-000027910000}"/>
    <cellStyle name="Percent 2 2 7 2" xfId="20640" xr:uid="{00000000-0005-0000-0000-000028910000}"/>
    <cellStyle name="Percent 2 2 7 3" xfId="20641" xr:uid="{00000000-0005-0000-0000-000029910000}"/>
    <cellStyle name="Percent 2 2 8" xfId="20642" xr:uid="{00000000-0005-0000-0000-00002A910000}"/>
    <cellStyle name="Percent 2 2 8 2" xfId="20643" xr:uid="{00000000-0005-0000-0000-00002B910000}"/>
    <cellStyle name="Percent 2 2 8 3" xfId="20644" xr:uid="{00000000-0005-0000-0000-00002C910000}"/>
    <cellStyle name="Percent 2 2 9" xfId="20645" xr:uid="{00000000-0005-0000-0000-00002D910000}"/>
    <cellStyle name="Percent 2 2 9 2" xfId="20646" xr:uid="{00000000-0005-0000-0000-00002E910000}"/>
    <cellStyle name="Percent 2 2 9 3" xfId="20647" xr:uid="{00000000-0005-0000-0000-00002F910000}"/>
    <cellStyle name="Percent 2 20" xfId="20648" xr:uid="{00000000-0005-0000-0000-000030910000}"/>
    <cellStyle name="Percent 2 21" xfId="20649" xr:uid="{00000000-0005-0000-0000-000031910000}"/>
    <cellStyle name="Percent 2 22" xfId="20650" xr:uid="{00000000-0005-0000-0000-000032910000}"/>
    <cellStyle name="Percent 2 23" xfId="20651" xr:uid="{00000000-0005-0000-0000-000033910000}"/>
    <cellStyle name="Percent 2 24" xfId="20652" xr:uid="{00000000-0005-0000-0000-000034910000}"/>
    <cellStyle name="Percent 2 25" xfId="20653" xr:uid="{00000000-0005-0000-0000-000035910000}"/>
    <cellStyle name="Percent 2 26" xfId="20654" xr:uid="{00000000-0005-0000-0000-000036910000}"/>
    <cellStyle name="Percent 2 3" xfId="454" xr:uid="{00000000-0005-0000-0000-000037910000}"/>
    <cellStyle name="Percent 2 3 10" xfId="20656" xr:uid="{00000000-0005-0000-0000-000038910000}"/>
    <cellStyle name="Percent 2 3 11" xfId="20655" xr:uid="{00000000-0005-0000-0000-000039910000}"/>
    <cellStyle name="Percent 2 3 2" xfId="20657" xr:uid="{00000000-0005-0000-0000-00003A910000}"/>
    <cellStyle name="Percent 2 3 3" xfId="20658" xr:uid="{00000000-0005-0000-0000-00003B910000}"/>
    <cellStyle name="Percent 2 3 4" xfId="20659" xr:uid="{00000000-0005-0000-0000-00003C910000}"/>
    <cellStyle name="Percent 2 3 5" xfId="20660" xr:uid="{00000000-0005-0000-0000-00003D910000}"/>
    <cellStyle name="Percent 2 3 6" xfId="20661" xr:uid="{00000000-0005-0000-0000-00003E910000}"/>
    <cellStyle name="Percent 2 3 7" xfId="20662" xr:uid="{00000000-0005-0000-0000-00003F910000}"/>
    <cellStyle name="Percent 2 3 8" xfId="20663" xr:uid="{00000000-0005-0000-0000-000040910000}"/>
    <cellStyle name="Percent 2 3 9" xfId="20664" xr:uid="{00000000-0005-0000-0000-000041910000}"/>
    <cellStyle name="Percent 2 4" xfId="20665" xr:uid="{00000000-0005-0000-0000-000042910000}"/>
    <cellStyle name="Percent 2 4 10" xfId="20666" xr:uid="{00000000-0005-0000-0000-000043910000}"/>
    <cellStyle name="Percent 2 4 2" xfId="20667" xr:uid="{00000000-0005-0000-0000-000044910000}"/>
    <cellStyle name="Percent 2 4 3" xfId="20668" xr:uid="{00000000-0005-0000-0000-000045910000}"/>
    <cellStyle name="Percent 2 4 4" xfId="20669" xr:uid="{00000000-0005-0000-0000-000046910000}"/>
    <cellStyle name="Percent 2 4 5" xfId="20670" xr:uid="{00000000-0005-0000-0000-000047910000}"/>
    <cellStyle name="Percent 2 4 6" xfId="20671" xr:uid="{00000000-0005-0000-0000-000048910000}"/>
    <cellStyle name="Percent 2 4 7" xfId="20672" xr:uid="{00000000-0005-0000-0000-000049910000}"/>
    <cellStyle name="Percent 2 4 8" xfId="20673" xr:uid="{00000000-0005-0000-0000-00004A910000}"/>
    <cellStyle name="Percent 2 4 9" xfId="20674" xr:uid="{00000000-0005-0000-0000-00004B910000}"/>
    <cellStyle name="Percent 2 5" xfId="20675" xr:uid="{00000000-0005-0000-0000-00004C910000}"/>
    <cellStyle name="Percent 2 5 10" xfId="20676" xr:uid="{00000000-0005-0000-0000-00004D910000}"/>
    <cellStyle name="Percent 2 5 2" xfId="20677" xr:uid="{00000000-0005-0000-0000-00004E910000}"/>
    <cellStyle name="Percent 2 5 3" xfId="20678" xr:uid="{00000000-0005-0000-0000-00004F910000}"/>
    <cellStyle name="Percent 2 5 4" xfId="20679" xr:uid="{00000000-0005-0000-0000-000050910000}"/>
    <cellStyle name="Percent 2 5 5" xfId="20680" xr:uid="{00000000-0005-0000-0000-000051910000}"/>
    <cellStyle name="Percent 2 5 6" xfId="20681" xr:uid="{00000000-0005-0000-0000-000052910000}"/>
    <cellStyle name="Percent 2 5 7" xfId="20682" xr:uid="{00000000-0005-0000-0000-000053910000}"/>
    <cellStyle name="Percent 2 5 8" xfId="20683" xr:uid="{00000000-0005-0000-0000-000054910000}"/>
    <cellStyle name="Percent 2 5 9" xfId="20684" xr:uid="{00000000-0005-0000-0000-000055910000}"/>
    <cellStyle name="Percent 2 6" xfId="20685" xr:uid="{00000000-0005-0000-0000-000056910000}"/>
    <cellStyle name="Percent 2 6 10" xfId="20686" xr:uid="{00000000-0005-0000-0000-000057910000}"/>
    <cellStyle name="Percent 2 6 2" xfId="20687" xr:uid="{00000000-0005-0000-0000-000058910000}"/>
    <cellStyle name="Percent 2 6 3" xfId="20688" xr:uid="{00000000-0005-0000-0000-000059910000}"/>
    <cellStyle name="Percent 2 6 4" xfId="20689" xr:uid="{00000000-0005-0000-0000-00005A910000}"/>
    <cellStyle name="Percent 2 6 5" xfId="20690" xr:uid="{00000000-0005-0000-0000-00005B910000}"/>
    <cellStyle name="Percent 2 6 6" xfId="20691" xr:uid="{00000000-0005-0000-0000-00005C910000}"/>
    <cellStyle name="Percent 2 6 7" xfId="20692" xr:uid="{00000000-0005-0000-0000-00005D910000}"/>
    <cellStyle name="Percent 2 6 8" xfId="20693" xr:uid="{00000000-0005-0000-0000-00005E910000}"/>
    <cellStyle name="Percent 2 6 9" xfId="20694" xr:uid="{00000000-0005-0000-0000-00005F910000}"/>
    <cellStyle name="Percent 2 7" xfId="20695" xr:uid="{00000000-0005-0000-0000-000060910000}"/>
    <cellStyle name="Percent 2 8" xfId="20696" xr:uid="{00000000-0005-0000-0000-000061910000}"/>
    <cellStyle name="Percent 2 9" xfId="20697" xr:uid="{00000000-0005-0000-0000-000062910000}"/>
    <cellStyle name="Percent 20" xfId="20698" xr:uid="{00000000-0005-0000-0000-000063910000}"/>
    <cellStyle name="Percent 20 2" xfId="20699" xr:uid="{00000000-0005-0000-0000-000064910000}"/>
    <cellStyle name="Percent 21" xfId="20700" xr:uid="{00000000-0005-0000-0000-000065910000}"/>
    <cellStyle name="Percent 21 2" xfId="20701" xr:uid="{00000000-0005-0000-0000-000066910000}"/>
    <cellStyle name="Percent 22" xfId="20702" xr:uid="{00000000-0005-0000-0000-000067910000}"/>
    <cellStyle name="Percent 22 2" xfId="20703" xr:uid="{00000000-0005-0000-0000-000068910000}"/>
    <cellStyle name="Percent 23" xfId="20704" xr:uid="{00000000-0005-0000-0000-000069910000}"/>
    <cellStyle name="Percent 24" xfId="20705" xr:uid="{00000000-0005-0000-0000-00006A910000}"/>
    <cellStyle name="Percent 25" xfId="20706" xr:uid="{00000000-0005-0000-0000-00006B910000}"/>
    <cellStyle name="Percent 26" xfId="20707" xr:uid="{00000000-0005-0000-0000-00006C910000}"/>
    <cellStyle name="Percent 27" xfId="20708" xr:uid="{00000000-0005-0000-0000-00006D910000}"/>
    <cellStyle name="Percent 28" xfId="20709" xr:uid="{00000000-0005-0000-0000-00006E910000}"/>
    <cellStyle name="Percent 29" xfId="20710" xr:uid="{00000000-0005-0000-0000-00006F910000}"/>
    <cellStyle name="Percent 3" xfId="129" xr:uid="{00000000-0005-0000-0000-000070910000}"/>
    <cellStyle name="Percent 3 2" xfId="276" xr:uid="{00000000-0005-0000-0000-000071910000}"/>
    <cellStyle name="Percent 3 3" xfId="287" xr:uid="{00000000-0005-0000-0000-000072910000}"/>
    <cellStyle name="Percent 3 3 2" xfId="501" xr:uid="{00000000-0005-0000-0000-000073910000}"/>
    <cellStyle name="Percent 3 3 3" xfId="20711" xr:uid="{00000000-0005-0000-0000-000074910000}"/>
    <cellStyle name="Percent 3 4" xfId="315" xr:uid="{00000000-0005-0000-0000-000075910000}"/>
    <cellStyle name="Percent 3 4 2" xfId="20712" xr:uid="{00000000-0005-0000-0000-000076910000}"/>
    <cellStyle name="Percent 3 5" xfId="20713" xr:uid="{00000000-0005-0000-0000-000077910000}"/>
    <cellStyle name="Percent 30" xfId="20714" xr:uid="{00000000-0005-0000-0000-000078910000}"/>
    <cellStyle name="Percent 31" xfId="20715" xr:uid="{00000000-0005-0000-0000-000079910000}"/>
    <cellStyle name="Percent 32" xfId="20716" xr:uid="{00000000-0005-0000-0000-00007A910000}"/>
    <cellStyle name="Percent 33" xfId="20717" xr:uid="{00000000-0005-0000-0000-00007B910000}"/>
    <cellStyle name="Percent 34" xfId="20718" xr:uid="{00000000-0005-0000-0000-00007C910000}"/>
    <cellStyle name="Percent 35" xfId="20719" xr:uid="{00000000-0005-0000-0000-00007D910000}"/>
    <cellStyle name="Percent 36" xfId="20720" xr:uid="{00000000-0005-0000-0000-00007E910000}"/>
    <cellStyle name="Percent 37" xfId="20721" xr:uid="{00000000-0005-0000-0000-00007F910000}"/>
    <cellStyle name="Percent 38" xfId="20722" xr:uid="{00000000-0005-0000-0000-000080910000}"/>
    <cellStyle name="Percent 39" xfId="20723" xr:uid="{00000000-0005-0000-0000-000081910000}"/>
    <cellStyle name="Percent 39 2" xfId="20724" xr:uid="{00000000-0005-0000-0000-000082910000}"/>
    <cellStyle name="Percent 39 2 2" xfId="20725" xr:uid="{00000000-0005-0000-0000-000083910000}"/>
    <cellStyle name="Percent 39 3" xfId="20726" xr:uid="{00000000-0005-0000-0000-000084910000}"/>
    <cellStyle name="Percent 39 3 2" xfId="20727" xr:uid="{00000000-0005-0000-0000-000085910000}"/>
    <cellStyle name="Percent 39 4" xfId="20728" xr:uid="{00000000-0005-0000-0000-000086910000}"/>
    <cellStyle name="Percent 39 4 2" xfId="20729" xr:uid="{00000000-0005-0000-0000-000087910000}"/>
    <cellStyle name="Percent 39 5" xfId="20730" xr:uid="{00000000-0005-0000-0000-000088910000}"/>
    <cellStyle name="Percent 39 5 2" xfId="20731" xr:uid="{00000000-0005-0000-0000-000089910000}"/>
    <cellStyle name="Percent 39 6" xfId="20732" xr:uid="{00000000-0005-0000-0000-00008A910000}"/>
    <cellStyle name="Percent 39 6 2" xfId="20733" xr:uid="{00000000-0005-0000-0000-00008B910000}"/>
    <cellStyle name="Percent 39 7" xfId="20734" xr:uid="{00000000-0005-0000-0000-00008C910000}"/>
    <cellStyle name="Percent 39 7 2" xfId="20735" xr:uid="{00000000-0005-0000-0000-00008D910000}"/>
    <cellStyle name="Percent 39 8" xfId="20736" xr:uid="{00000000-0005-0000-0000-00008E910000}"/>
    <cellStyle name="Percent 4" xfId="130" xr:uid="{00000000-0005-0000-0000-00008F910000}"/>
    <cellStyle name="Percent 4 10" xfId="20737" xr:uid="{00000000-0005-0000-0000-000090910000}"/>
    <cellStyle name="Percent 4 11" xfId="20738" xr:uid="{00000000-0005-0000-0000-000091910000}"/>
    <cellStyle name="Percent 4 12" xfId="20739" xr:uid="{00000000-0005-0000-0000-000092910000}"/>
    <cellStyle name="Percent 4 13" xfId="20740" xr:uid="{00000000-0005-0000-0000-000093910000}"/>
    <cellStyle name="Percent 4 2" xfId="277" xr:uid="{00000000-0005-0000-0000-000094910000}"/>
    <cellStyle name="Percent 4 2 10" xfId="20742" xr:uid="{00000000-0005-0000-0000-000095910000}"/>
    <cellStyle name="Percent 4 2 2" xfId="20743" xr:uid="{00000000-0005-0000-0000-000096910000}"/>
    <cellStyle name="Percent 4 2 2 2" xfId="20744" xr:uid="{00000000-0005-0000-0000-000097910000}"/>
    <cellStyle name="Percent 4 2 2 3" xfId="20745" xr:uid="{00000000-0005-0000-0000-000098910000}"/>
    <cellStyle name="Percent 4 2 2 4" xfId="20746" xr:uid="{00000000-0005-0000-0000-000099910000}"/>
    <cellStyle name="Percent 4 2 3" xfId="20747" xr:uid="{00000000-0005-0000-0000-00009A910000}"/>
    <cellStyle name="Percent 4 2 4" xfId="20748" xr:uid="{00000000-0005-0000-0000-00009B910000}"/>
    <cellStyle name="Percent 4 2 5" xfId="20749" xr:uid="{00000000-0005-0000-0000-00009C910000}"/>
    <cellStyle name="Percent 4 2 6" xfId="20750" xr:uid="{00000000-0005-0000-0000-00009D910000}"/>
    <cellStyle name="Percent 4 2 7" xfId="20751" xr:uid="{00000000-0005-0000-0000-00009E910000}"/>
    <cellStyle name="Percent 4 2 8" xfId="20752" xr:uid="{00000000-0005-0000-0000-00009F910000}"/>
    <cellStyle name="Percent 4 2 9" xfId="20753" xr:uid="{00000000-0005-0000-0000-0000A0910000}"/>
    <cellStyle name="Percent 4 3" xfId="288" xr:uid="{00000000-0005-0000-0000-0000A1910000}"/>
    <cellStyle name="Percent 4 3 2" xfId="20754" xr:uid="{00000000-0005-0000-0000-0000A2910000}"/>
    <cellStyle name="Percent 4 4" xfId="20755" xr:uid="{00000000-0005-0000-0000-0000A3910000}"/>
    <cellStyle name="Percent 4 5" xfId="20756" xr:uid="{00000000-0005-0000-0000-0000A4910000}"/>
    <cellStyle name="Percent 4 6" xfId="20757" xr:uid="{00000000-0005-0000-0000-0000A5910000}"/>
    <cellStyle name="Percent 4 6 2" xfId="20758" xr:uid="{00000000-0005-0000-0000-0000A6910000}"/>
    <cellStyle name="Percent 4 6 3" xfId="20759" xr:uid="{00000000-0005-0000-0000-0000A7910000}"/>
    <cellStyle name="Percent 4 6 4" xfId="20760" xr:uid="{00000000-0005-0000-0000-0000A8910000}"/>
    <cellStyle name="Percent 4 7" xfId="20761" xr:uid="{00000000-0005-0000-0000-0000A9910000}"/>
    <cellStyle name="Percent 4 8" xfId="20762" xr:uid="{00000000-0005-0000-0000-0000AA910000}"/>
    <cellStyle name="Percent 4 9" xfId="20763" xr:uid="{00000000-0005-0000-0000-0000AB910000}"/>
    <cellStyle name="Percent 40" xfId="20764" xr:uid="{00000000-0005-0000-0000-0000AC910000}"/>
    <cellStyle name="Percent 40 2" xfId="20765" xr:uid="{00000000-0005-0000-0000-0000AD910000}"/>
    <cellStyle name="Percent 40 2 2" xfId="20766" xr:uid="{00000000-0005-0000-0000-0000AE910000}"/>
    <cellStyle name="Percent 40 3" xfId="20767" xr:uid="{00000000-0005-0000-0000-0000AF910000}"/>
    <cellStyle name="Percent 40 3 2" xfId="20768" xr:uid="{00000000-0005-0000-0000-0000B0910000}"/>
    <cellStyle name="Percent 40 4" xfId="20769" xr:uid="{00000000-0005-0000-0000-0000B1910000}"/>
    <cellStyle name="Percent 40 4 2" xfId="20770" xr:uid="{00000000-0005-0000-0000-0000B2910000}"/>
    <cellStyle name="Percent 40 5" xfId="20771" xr:uid="{00000000-0005-0000-0000-0000B3910000}"/>
    <cellStyle name="Percent 40 5 2" xfId="20772" xr:uid="{00000000-0005-0000-0000-0000B4910000}"/>
    <cellStyle name="Percent 40 6" xfId="20773" xr:uid="{00000000-0005-0000-0000-0000B5910000}"/>
    <cellStyle name="Percent 40 6 2" xfId="20774" xr:uid="{00000000-0005-0000-0000-0000B6910000}"/>
    <cellStyle name="Percent 40 7" xfId="20775" xr:uid="{00000000-0005-0000-0000-0000B7910000}"/>
    <cellStyle name="Percent 40 7 2" xfId="20776" xr:uid="{00000000-0005-0000-0000-0000B8910000}"/>
    <cellStyle name="Percent 40 8" xfId="20777" xr:uid="{00000000-0005-0000-0000-0000B9910000}"/>
    <cellStyle name="Percent 41" xfId="20778" xr:uid="{00000000-0005-0000-0000-0000BA910000}"/>
    <cellStyle name="Percent 41 2" xfId="20779" xr:uid="{00000000-0005-0000-0000-0000BB910000}"/>
    <cellStyle name="Percent 42" xfId="20780" xr:uid="{00000000-0005-0000-0000-0000BC910000}"/>
    <cellStyle name="Percent 42 2" xfId="20781" xr:uid="{00000000-0005-0000-0000-0000BD910000}"/>
    <cellStyle name="Percent 42 2 2" xfId="20782" xr:uid="{00000000-0005-0000-0000-0000BE910000}"/>
    <cellStyle name="Percent 42 3" xfId="20783" xr:uid="{00000000-0005-0000-0000-0000BF910000}"/>
    <cellStyle name="Percent 42 3 2" xfId="20784" xr:uid="{00000000-0005-0000-0000-0000C0910000}"/>
    <cellStyle name="Percent 42 4" xfId="20785" xr:uid="{00000000-0005-0000-0000-0000C1910000}"/>
    <cellStyle name="Percent 42 4 2" xfId="20786" xr:uid="{00000000-0005-0000-0000-0000C2910000}"/>
    <cellStyle name="Percent 42 5" xfId="20787" xr:uid="{00000000-0005-0000-0000-0000C3910000}"/>
    <cellStyle name="Percent 42 5 2" xfId="20788" xr:uid="{00000000-0005-0000-0000-0000C4910000}"/>
    <cellStyle name="Percent 42 6" xfId="20789" xr:uid="{00000000-0005-0000-0000-0000C5910000}"/>
    <cellStyle name="Percent 42 6 2" xfId="20790" xr:uid="{00000000-0005-0000-0000-0000C6910000}"/>
    <cellStyle name="Percent 42 7" xfId="20791" xr:uid="{00000000-0005-0000-0000-0000C7910000}"/>
    <cellStyle name="Percent 42 7 2" xfId="20792" xr:uid="{00000000-0005-0000-0000-0000C8910000}"/>
    <cellStyle name="Percent 42 8" xfId="20793" xr:uid="{00000000-0005-0000-0000-0000C9910000}"/>
    <cellStyle name="Percent 43" xfId="20794" xr:uid="{00000000-0005-0000-0000-0000CA910000}"/>
    <cellStyle name="Percent 43 10" xfId="20795" xr:uid="{00000000-0005-0000-0000-0000CB910000}"/>
    <cellStyle name="Percent 43 2" xfId="20796" xr:uid="{00000000-0005-0000-0000-0000CC910000}"/>
    <cellStyle name="Percent 43 3" xfId="20797" xr:uid="{00000000-0005-0000-0000-0000CD910000}"/>
    <cellStyle name="Percent 43 4" xfId="20798" xr:uid="{00000000-0005-0000-0000-0000CE910000}"/>
    <cellStyle name="Percent 43 5" xfId="20799" xr:uid="{00000000-0005-0000-0000-0000CF910000}"/>
    <cellStyle name="Percent 43 6" xfId="20800" xr:uid="{00000000-0005-0000-0000-0000D0910000}"/>
    <cellStyle name="Percent 43 7" xfId="20801" xr:uid="{00000000-0005-0000-0000-0000D1910000}"/>
    <cellStyle name="Percent 43 8" xfId="20802" xr:uid="{00000000-0005-0000-0000-0000D2910000}"/>
    <cellStyle name="Percent 43 9" xfId="20803" xr:uid="{00000000-0005-0000-0000-0000D3910000}"/>
    <cellStyle name="Percent 44" xfId="20804" xr:uid="{00000000-0005-0000-0000-0000D4910000}"/>
    <cellStyle name="Percent 44 10" xfId="20805" xr:uid="{00000000-0005-0000-0000-0000D5910000}"/>
    <cellStyle name="Percent 44 2" xfId="20806" xr:uid="{00000000-0005-0000-0000-0000D6910000}"/>
    <cellStyle name="Percent 44 3" xfId="20807" xr:uid="{00000000-0005-0000-0000-0000D7910000}"/>
    <cellStyle name="Percent 44 4" xfId="20808" xr:uid="{00000000-0005-0000-0000-0000D8910000}"/>
    <cellStyle name="Percent 44 5" xfId="20809" xr:uid="{00000000-0005-0000-0000-0000D9910000}"/>
    <cellStyle name="Percent 44 6" xfId="20810" xr:uid="{00000000-0005-0000-0000-0000DA910000}"/>
    <cellStyle name="Percent 44 7" xfId="20811" xr:uid="{00000000-0005-0000-0000-0000DB910000}"/>
    <cellStyle name="Percent 44 8" xfId="20812" xr:uid="{00000000-0005-0000-0000-0000DC910000}"/>
    <cellStyle name="Percent 44 9" xfId="20813" xr:uid="{00000000-0005-0000-0000-0000DD910000}"/>
    <cellStyle name="Percent 45" xfId="20814" xr:uid="{00000000-0005-0000-0000-0000DE910000}"/>
    <cellStyle name="Percent 45 10" xfId="20815" xr:uid="{00000000-0005-0000-0000-0000DF910000}"/>
    <cellStyle name="Percent 45 2" xfId="20816" xr:uid="{00000000-0005-0000-0000-0000E0910000}"/>
    <cellStyle name="Percent 45 3" xfId="20817" xr:uid="{00000000-0005-0000-0000-0000E1910000}"/>
    <cellStyle name="Percent 45 4" xfId="20818" xr:uid="{00000000-0005-0000-0000-0000E2910000}"/>
    <cellStyle name="Percent 45 5" xfId="20819" xr:uid="{00000000-0005-0000-0000-0000E3910000}"/>
    <cellStyle name="Percent 45 6" xfId="20820" xr:uid="{00000000-0005-0000-0000-0000E4910000}"/>
    <cellStyle name="Percent 45 7" xfId="20821" xr:uid="{00000000-0005-0000-0000-0000E5910000}"/>
    <cellStyle name="Percent 45 8" xfId="20822" xr:uid="{00000000-0005-0000-0000-0000E6910000}"/>
    <cellStyle name="Percent 45 9" xfId="20823" xr:uid="{00000000-0005-0000-0000-0000E7910000}"/>
    <cellStyle name="Percent 46" xfId="20824" xr:uid="{00000000-0005-0000-0000-0000E8910000}"/>
    <cellStyle name="Percent 46 10" xfId="20825" xr:uid="{00000000-0005-0000-0000-0000E9910000}"/>
    <cellStyle name="Percent 46 2" xfId="20826" xr:uid="{00000000-0005-0000-0000-0000EA910000}"/>
    <cellStyle name="Percent 46 3" xfId="20827" xr:uid="{00000000-0005-0000-0000-0000EB910000}"/>
    <cellStyle name="Percent 46 4" xfId="20828" xr:uid="{00000000-0005-0000-0000-0000EC910000}"/>
    <cellStyle name="Percent 46 5" xfId="20829" xr:uid="{00000000-0005-0000-0000-0000ED910000}"/>
    <cellStyle name="Percent 46 6" xfId="20830" xr:uid="{00000000-0005-0000-0000-0000EE910000}"/>
    <cellStyle name="Percent 46 7" xfId="20831" xr:uid="{00000000-0005-0000-0000-0000EF910000}"/>
    <cellStyle name="Percent 46 8" xfId="20832" xr:uid="{00000000-0005-0000-0000-0000F0910000}"/>
    <cellStyle name="Percent 46 9" xfId="20833" xr:uid="{00000000-0005-0000-0000-0000F1910000}"/>
    <cellStyle name="Percent 47" xfId="20834" xr:uid="{00000000-0005-0000-0000-0000F2910000}"/>
    <cellStyle name="Percent 47 10" xfId="20835" xr:uid="{00000000-0005-0000-0000-0000F3910000}"/>
    <cellStyle name="Percent 47 2" xfId="20836" xr:uid="{00000000-0005-0000-0000-0000F4910000}"/>
    <cellStyle name="Percent 47 3" xfId="20837" xr:uid="{00000000-0005-0000-0000-0000F5910000}"/>
    <cellStyle name="Percent 47 4" xfId="20838" xr:uid="{00000000-0005-0000-0000-0000F6910000}"/>
    <cellStyle name="Percent 47 5" xfId="20839" xr:uid="{00000000-0005-0000-0000-0000F7910000}"/>
    <cellStyle name="Percent 47 6" xfId="20840" xr:uid="{00000000-0005-0000-0000-0000F8910000}"/>
    <cellStyle name="Percent 47 7" xfId="20841" xr:uid="{00000000-0005-0000-0000-0000F9910000}"/>
    <cellStyle name="Percent 47 8" xfId="20842" xr:uid="{00000000-0005-0000-0000-0000FA910000}"/>
    <cellStyle name="Percent 47 9" xfId="20843" xr:uid="{00000000-0005-0000-0000-0000FB910000}"/>
    <cellStyle name="Percent 48" xfId="20844" xr:uid="{00000000-0005-0000-0000-0000FC910000}"/>
    <cellStyle name="Percent 48 10" xfId="20845" xr:uid="{00000000-0005-0000-0000-0000FD910000}"/>
    <cellStyle name="Percent 48 2" xfId="20846" xr:uid="{00000000-0005-0000-0000-0000FE910000}"/>
    <cellStyle name="Percent 48 3" xfId="20847" xr:uid="{00000000-0005-0000-0000-0000FF910000}"/>
    <cellStyle name="Percent 48 4" xfId="20848" xr:uid="{00000000-0005-0000-0000-000000920000}"/>
    <cellStyle name="Percent 48 5" xfId="20849" xr:uid="{00000000-0005-0000-0000-000001920000}"/>
    <cellStyle name="Percent 48 6" xfId="20850" xr:uid="{00000000-0005-0000-0000-000002920000}"/>
    <cellStyle name="Percent 48 7" xfId="20851" xr:uid="{00000000-0005-0000-0000-000003920000}"/>
    <cellStyle name="Percent 48 8" xfId="20852" xr:uid="{00000000-0005-0000-0000-000004920000}"/>
    <cellStyle name="Percent 48 9" xfId="20853" xr:uid="{00000000-0005-0000-0000-000005920000}"/>
    <cellStyle name="Percent 49" xfId="673" xr:uid="{00000000-0005-0000-0000-000006920000}"/>
    <cellStyle name="Percent 5" xfId="131" xr:uid="{00000000-0005-0000-0000-000007920000}"/>
    <cellStyle name="Percent 5 2" xfId="278" xr:uid="{00000000-0005-0000-0000-000008920000}"/>
    <cellStyle name="Percent 5 3" xfId="20854" xr:uid="{00000000-0005-0000-0000-000009920000}"/>
    <cellStyle name="Percent 5 4" xfId="20855" xr:uid="{00000000-0005-0000-0000-00000A920000}"/>
    <cellStyle name="Percent 5 5" xfId="20856" xr:uid="{00000000-0005-0000-0000-00000B920000}"/>
    <cellStyle name="Percent 5 6" xfId="37597" xr:uid="{00000000-0005-0000-0000-00000C920000}"/>
    <cellStyle name="Percent 50" xfId="328" xr:uid="{00000000-0005-0000-0000-00000D920000}"/>
    <cellStyle name="Percent 50 2" xfId="21155" xr:uid="{00000000-0005-0000-0000-00000E920000}"/>
    <cellStyle name="Percent 51 2" xfId="20857" xr:uid="{00000000-0005-0000-0000-00000F920000}"/>
    <cellStyle name="Percent 51 3" xfId="20858" xr:uid="{00000000-0005-0000-0000-000010920000}"/>
    <cellStyle name="Percent 51 4" xfId="20859" xr:uid="{00000000-0005-0000-0000-000011920000}"/>
    <cellStyle name="Percent 52 2" xfId="20860" xr:uid="{00000000-0005-0000-0000-000012920000}"/>
    <cellStyle name="Percent 52 3" xfId="20861" xr:uid="{00000000-0005-0000-0000-000013920000}"/>
    <cellStyle name="Percent 52 4" xfId="20862" xr:uid="{00000000-0005-0000-0000-000014920000}"/>
    <cellStyle name="Percent 52 5" xfId="20863" xr:uid="{00000000-0005-0000-0000-000015920000}"/>
    <cellStyle name="Percent 52 6" xfId="20864" xr:uid="{00000000-0005-0000-0000-000016920000}"/>
    <cellStyle name="Percent 52 7" xfId="20865" xr:uid="{00000000-0005-0000-0000-000017920000}"/>
    <cellStyle name="Percent 52 8" xfId="20866" xr:uid="{00000000-0005-0000-0000-000018920000}"/>
    <cellStyle name="Percent 55 2" xfId="20867" xr:uid="{00000000-0005-0000-0000-000019920000}"/>
    <cellStyle name="Percent 55 3" xfId="20868" xr:uid="{00000000-0005-0000-0000-00001A920000}"/>
    <cellStyle name="Percent 57 2" xfId="20869" xr:uid="{00000000-0005-0000-0000-00001B920000}"/>
    <cellStyle name="Percent 57 2 2" xfId="20870" xr:uid="{00000000-0005-0000-0000-00001C920000}"/>
    <cellStyle name="Percent 57 2 3" xfId="20871" xr:uid="{00000000-0005-0000-0000-00001D920000}"/>
    <cellStyle name="Percent 57 3" xfId="20872" xr:uid="{00000000-0005-0000-0000-00001E920000}"/>
    <cellStyle name="Percent 57 4" xfId="20873" xr:uid="{00000000-0005-0000-0000-00001F920000}"/>
    <cellStyle name="Percent 58 2" xfId="20874" xr:uid="{00000000-0005-0000-0000-000020920000}"/>
    <cellStyle name="Percent 58 3" xfId="20875" xr:uid="{00000000-0005-0000-0000-000021920000}"/>
    <cellStyle name="Percent 59 2" xfId="20876" xr:uid="{00000000-0005-0000-0000-000022920000}"/>
    <cellStyle name="Percent 59 3" xfId="20877" xr:uid="{00000000-0005-0000-0000-000023920000}"/>
    <cellStyle name="Percent 6" xfId="132" xr:uid="{00000000-0005-0000-0000-000024920000}"/>
    <cellStyle name="Percent 6 2" xfId="279" xr:uid="{00000000-0005-0000-0000-000025920000}"/>
    <cellStyle name="Percent 6 3" xfId="20878" xr:uid="{00000000-0005-0000-0000-000026920000}"/>
    <cellStyle name="Percent 6 4" xfId="20879" xr:uid="{00000000-0005-0000-0000-000027920000}"/>
    <cellStyle name="Percent 6 5" xfId="20880" xr:uid="{00000000-0005-0000-0000-000028920000}"/>
    <cellStyle name="Percent 6 6" xfId="37598" xr:uid="{00000000-0005-0000-0000-000029920000}"/>
    <cellStyle name="Percent 60 2" xfId="20881" xr:uid="{00000000-0005-0000-0000-00002A920000}"/>
    <cellStyle name="Percent 60 3" xfId="20882" xr:uid="{00000000-0005-0000-0000-00002B920000}"/>
    <cellStyle name="Percent 61 2" xfId="20883" xr:uid="{00000000-0005-0000-0000-00002C920000}"/>
    <cellStyle name="Percent 61 3" xfId="20884" xr:uid="{00000000-0005-0000-0000-00002D920000}"/>
    <cellStyle name="Percent 62" xfId="20885" xr:uid="{00000000-0005-0000-0000-00002E920000}"/>
    <cellStyle name="Percent 64" xfId="20886" xr:uid="{00000000-0005-0000-0000-00002F920000}"/>
    <cellStyle name="Percent 68" xfId="20887" xr:uid="{00000000-0005-0000-0000-000030920000}"/>
    <cellStyle name="Percent 7" xfId="133" xr:uid="{00000000-0005-0000-0000-000031920000}"/>
    <cellStyle name="Percent 7 10" xfId="20888" xr:uid="{00000000-0005-0000-0000-000032920000}"/>
    <cellStyle name="Percent 7 11" xfId="20889" xr:uid="{00000000-0005-0000-0000-000033920000}"/>
    <cellStyle name="Percent 7 12" xfId="37690" xr:uid="{00000000-0005-0000-0000-000034920000}"/>
    <cellStyle name="Percent 7 13" xfId="37599" xr:uid="{00000000-0005-0000-0000-000035920000}"/>
    <cellStyle name="Percent 7 2" xfId="306" xr:uid="{00000000-0005-0000-0000-000036920000}"/>
    <cellStyle name="Percent 7 2 10" xfId="20890" xr:uid="{00000000-0005-0000-0000-000037920000}"/>
    <cellStyle name="Percent 7 2 2" xfId="20891" xr:uid="{00000000-0005-0000-0000-000038920000}"/>
    <cellStyle name="Percent 7 2 3" xfId="20892" xr:uid="{00000000-0005-0000-0000-000039920000}"/>
    <cellStyle name="Percent 7 2 4" xfId="20893" xr:uid="{00000000-0005-0000-0000-00003A920000}"/>
    <cellStyle name="Percent 7 2 5" xfId="20894" xr:uid="{00000000-0005-0000-0000-00003B920000}"/>
    <cellStyle name="Percent 7 2 6" xfId="20895" xr:uid="{00000000-0005-0000-0000-00003C920000}"/>
    <cellStyle name="Percent 7 2 7" xfId="20896" xr:uid="{00000000-0005-0000-0000-00003D920000}"/>
    <cellStyle name="Percent 7 2 8" xfId="20897" xr:uid="{00000000-0005-0000-0000-00003E920000}"/>
    <cellStyle name="Percent 7 2 9" xfId="20898" xr:uid="{00000000-0005-0000-0000-00003F920000}"/>
    <cellStyle name="Percent 7 3" xfId="20899" xr:uid="{00000000-0005-0000-0000-000040920000}"/>
    <cellStyle name="Percent 7 3 10" xfId="20900" xr:uid="{00000000-0005-0000-0000-000041920000}"/>
    <cellStyle name="Percent 7 3 2" xfId="20901" xr:uid="{00000000-0005-0000-0000-000042920000}"/>
    <cellStyle name="Percent 7 3 3" xfId="20902" xr:uid="{00000000-0005-0000-0000-000043920000}"/>
    <cellStyle name="Percent 7 3 4" xfId="20903" xr:uid="{00000000-0005-0000-0000-000044920000}"/>
    <cellStyle name="Percent 7 3 5" xfId="20904" xr:uid="{00000000-0005-0000-0000-000045920000}"/>
    <cellStyle name="Percent 7 3 6" xfId="20905" xr:uid="{00000000-0005-0000-0000-000046920000}"/>
    <cellStyle name="Percent 7 3 7" xfId="20906" xr:uid="{00000000-0005-0000-0000-000047920000}"/>
    <cellStyle name="Percent 7 3 8" xfId="20907" xr:uid="{00000000-0005-0000-0000-000048920000}"/>
    <cellStyle name="Percent 7 3 9" xfId="20908" xr:uid="{00000000-0005-0000-0000-000049920000}"/>
    <cellStyle name="Percent 7 4" xfId="20909" xr:uid="{00000000-0005-0000-0000-00004A920000}"/>
    <cellStyle name="Percent 7 4 10" xfId="20910" xr:uid="{00000000-0005-0000-0000-00004B920000}"/>
    <cellStyle name="Percent 7 4 2" xfId="20911" xr:uid="{00000000-0005-0000-0000-00004C920000}"/>
    <cellStyle name="Percent 7 4 3" xfId="20912" xr:uid="{00000000-0005-0000-0000-00004D920000}"/>
    <cellStyle name="Percent 7 4 4" xfId="20913" xr:uid="{00000000-0005-0000-0000-00004E920000}"/>
    <cellStyle name="Percent 7 4 5" xfId="20914" xr:uid="{00000000-0005-0000-0000-00004F920000}"/>
    <cellStyle name="Percent 7 4 6" xfId="20915" xr:uid="{00000000-0005-0000-0000-000050920000}"/>
    <cellStyle name="Percent 7 4 7" xfId="20916" xr:uid="{00000000-0005-0000-0000-000051920000}"/>
    <cellStyle name="Percent 7 4 8" xfId="20917" xr:uid="{00000000-0005-0000-0000-000052920000}"/>
    <cellStyle name="Percent 7 4 9" xfId="20918" xr:uid="{00000000-0005-0000-0000-000053920000}"/>
    <cellStyle name="Percent 7 5" xfId="20919" xr:uid="{00000000-0005-0000-0000-000054920000}"/>
    <cellStyle name="Percent 7 5 10" xfId="20920" xr:uid="{00000000-0005-0000-0000-000055920000}"/>
    <cellStyle name="Percent 7 5 2" xfId="20921" xr:uid="{00000000-0005-0000-0000-000056920000}"/>
    <cellStyle name="Percent 7 5 3" xfId="20922" xr:uid="{00000000-0005-0000-0000-000057920000}"/>
    <cellStyle name="Percent 7 5 4" xfId="20923" xr:uid="{00000000-0005-0000-0000-000058920000}"/>
    <cellStyle name="Percent 7 5 5" xfId="20924" xr:uid="{00000000-0005-0000-0000-000059920000}"/>
    <cellStyle name="Percent 7 5 6" xfId="20925" xr:uid="{00000000-0005-0000-0000-00005A920000}"/>
    <cellStyle name="Percent 7 5 7" xfId="20926" xr:uid="{00000000-0005-0000-0000-00005B920000}"/>
    <cellStyle name="Percent 7 5 8" xfId="20927" xr:uid="{00000000-0005-0000-0000-00005C920000}"/>
    <cellStyle name="Percent 7 5 9" xfId="20928" xr:uid="{00000000-0005-0000-0000-00005D920000}"/>
    <cellStyle name="Percent 7 6" xfId="20929" xr:uid="{00000000-0005-0000-0000-00005E920000}"/>
    <cellStyle name="Percent 7 6 10" xfId="20930" xr:uid="{00000000-0005-0000-0000-00005F920000}"/>
    <cellStyle name="Percent 7 6 2" xfId="20931" xr:uid="{00000000-0005-0000-0000-000060920000}"/>
    <cellStyle name="Percent 7 6 3" xfId="20932" xr:uid="{00000000-0005-0000-0000-000061920000}"/>
    <cellStyle name="Percent 7 6 4" xfId="20933" xr:uid="{00000000-0005-0000-0000-000062920000}"/>
    <cellStyle name="Percent 7 6 5" xfId="20934" xr:uid="{00000000-0005-0000-0000-000063920000}"/>
    <cellStyle name="Percent 7 6 6" xfId="20935" xr:uid="{00000000-0005-0000-0000-000064920000}"/>
    <cellStyle name="Percent 7 6 7" xfId="20936" xr:uid="{00000000-0005-0000-0000-000065920000}"/>
    <cellStyle name="Percent 7 6 8" xfId="20937" xr:uid="{00000000-0005-0000-0000-000066920000}"/>
    <cellStyle name="Percent 7 6 9" xfId="20938" xr:uid="{00000000-0005-0000-0000-000067920000}"/>
    <cellStyle name="Percent 7 7" xfId="20939" xr:uid="{00000000-0005-0000-0000-000068920000}"/>
    <cellStyle name="Percent 7 7 10" xfId="20940" xr:uid="{00000000-0005-0000-0000-000069920000}"/>
    <cellStyle name="Percent 7 7 2" xfId="20941" xr:uid="{00000000-0005-0000-0000-00006A920000}"/>
    <cellStyle name="Percent 7 7 3" xfId="20942" xr:uid="{00000000-0005-0000-0000-00006B920000}"/>
    <cellStyle name="Percent 7 7 4" xfId="20943" xr:uid="{00000000-0005-0000-0000-00006C920000}"/>
    <cellStyle name="Percent 7 7 5" xfId="20944" xr:uid="{00000000-0005-0000-0000-00006D920000}"/>
    <cellStyle name="Percent 7 7 6" xfId="20945" xr:uid="{00000000-0005-0000-0000-00006E920000}"/>
    <cellStyle name="Percent 7 7 7" xfId="20946" xr:uid="{00000000-0005-0000-0000-00006F920000}"/>
    <cellStyle name="Percent 7 7 8" xfId="20947" xr:uid="{00000000-0005-0000-0000-000070920000}"/>
    <cellStyle name="Percent 7 7 9" xfId="20948" xr:uid="{00000000-0005-0000-0000-000071920000}"/>
    <cellStyle name="Percent 7 8" xfId="20949" xr:uid="{00000000-0005-0000-0000-000072920000}"/>
    <cellStyle name="Percent 7 9" xfId="20950" xr:uid="{00000000-0005-0000-0000-000073920000}"/>
    <cellStyle name="Percent 8" xfId="134" xr:uid="{00000000-0005-0000-0000-000074920000}"/>
    <cellStyle name="Percent 8 10" xfId="20951" xr:uid="{00000000-0005-0000-0000-000075920000}"/>
    <cellStyle name="Percent 8 11" xfId="20952" xr:uid="{00000000-0005-0000-0000-000076920000}"/>
    <cellStyle name="Percent 8 2" xfId="280" xr:uid="{00000000-0005-0000-0000-000077920000}"/>
    <cellStyle name="Percent 8 2 10" xfId="20953" xr:uid="{00000000-0005-0000-0000-000078920000}"/>
    <cellStyle name="Percent 8 2 2" xfId="20954" xr:uid="{00000000-0005-0000-0000-000079920000}"/>
    <cellStyle name="Percent 8 2 3" xfId="20955" xr:uid="{00000000-0005-0000-0000-00007A920000}"/>
    <cellStyle name="Percent 8 2 4" xfId="20956" xr:uid="{00000000-0005-0000-0000-00007B920000}"/>
    <cellStyle name="Percent 8 2 5" xfId="20957" xr:uid="{00000000-0005-0000-0000-00007C920000}"/>
    <cellStyle name="Percent 8 2 6" xfId="20958" xr:uid="{00000000-0005-0000-0000-00007D920000}"/>
    <cellStyle name="Percent 8 2 7" xfId="20959" xr:uid="{00000000-0005-0000-0000-00007E920000}"/>
    <cellStyle name="Percent 8 2 8" xfId="20960" xr:uid="{00000000-0005-0000-0000-00007F920000}"/>
    <cellStyle name="Percent 8 2 9" xfId="20961" xr:uid="{00000000-0005-0000-0000-000080920000}"/>
    <cellStyle name="Percent 8 3" xfId="20962" xr:uid="{00000000-0005-0000-0000-000081920000}"/>
    <cellStyle name="Percent 8 3 10" xfId="20963" xr:uid="{00000000-0005-0000-0000-000082920000}"/>
    <cellStyle name="Percent 8 3 2" xfId="20964" xr:uid="{00000000-0005-0000-0000-000083920000}"/>
    <cellStyle name="Percent 8 3 3" xfId="20965" xr:uid="{00000000-0005-0000-0000-000084920000}"/>
    <cellStyle name="Percent 8 3 4" xfId="20966" xr:uid="{00000000-0005-0000-0000-000085920000}"/>
    <cellStyle name="Percent 8 3 5" xfId="20967" xr:uid="{00000000-0005-0000-0000-000086920000}"/>
    <cellStyle name="Percent 8 3 6" xfId="20968" xr:uid="{00000000-0005-0000-0000-000087920000}"/>
    <cellStyle name="Percent 8 3 7" xfId="20969" xr:uid="{00000000-0005-0000-0000-000088920000}"/>
    <cellStyle name="Percent 8 3 8" xfId="20970" xr:uid="{00000000-0005-0000-0000-000089920000}"/>
    <cellStyle name="Percent 8 3 9" xfId="20971" xr:uid="{00000000-0005-0000-0000-00008A920000}"/>
    <cellStyle name="Percent 8 4" xfId="20972" xr:uid="{00000000-0005-0000-0000-00008B920000}"/>
    <cellStyle name="Percent 8 4 10" xfId="20973" xr:uid="{00000000-0005-0000-0000-00008C920000}"/>
    <cellStyle name="Percent 8 4 2" xfId="20974" xr:uid="{00000000-0005-0000-0000-00008D920000}"/>
    <cellStyle name="Percent 8 4 3" xfId="20975" xr:uid="{00000000-0005-0000-0000-00008E920000}"/>
    <cellStyle name="Percent 8 4 4" xfId="20976" xr:uid="{00000000-0005-0000-0000-00008F920000}"/>
    <cellStyle name="Percent 8 4 5" xfId="20977" xr:uid="{00000000-0005-0000-0000-000090920000}"/>
    <cellStyle name="Percent 8 4 6" xfId="20978" xr:uid="{00000000-0005-0000-0000-000091920000}"/>
    <cellStyle name="Percent 8 4 7" xfId="20979" xr:uid="{00000000-0005-0000-0000-000092920000}"/>
    <cellStyle name="Percent 8 4 8" xfId="20980" xr:uid="{00000000-0005-0000-0000-000093920000}"/>
    <cellStyle name="Percent 8 4 9" xfId="20981" xr:uid="{00000000-0005-0000-0000-000094920000}"/>
    <cellStyle name="Percent 8 5" xfId="20982" xr:uid="{00000000-0005-0000-0000-000095920000}"/>
    <cellStyle name="Percent 8 5 10" xfId="20983" xr:uid="{00000000-0005-0000-0000-000096920000}"/>
    <cellStyle name="Percent 8 5 2" xfId="20984" xr:uid="{00000000-0005-0000-0000-000097920000}"/>
    <cellStyle name="Percent 8 5 3" xfId="20985" xr:uid="{00000000-0005-0000-0000-000098920000}"/>
    <cellStyle name="Percent 8 5 4" xfId="20986" xr:uid="{00000000-0005-0000-0000-000099920000}"/>
    <cellStyle name="Percent 8 5 5" xfId="20987" xr:uid="{00000000-0005-0000-0000-00009A920000}"/>
    <cellStyle name="Percent 8 5 6" xfId="20988" xr:uid="{00000000-0005-0000-0000-00009B920000}"/>
    <cellStyle name="Percent 8 5 7" xfId="20989" xr:uid="{00000000-0005-0000-0000-00009C920000}"/>
    <cellStyle name="Percent 8 5 8" xfId="20990" xr:uid="{00000000-0005-0000-0000-00009D920000}"/>
    <cellStyle name="Percent 8 5 9" xfId="20991" xr:uid="{00000000-0005-0000-0000-00009E920000}"/>
    <cellStyle name="Percent 8 6" xfId="20992" xr:uid="{00000000-0005-0000-0000-00009F920000}"/>
    <cellStyle name="Percent 8 6 10" xfId="20993" xr:uid="{00000000-0005-0000-0000-0000A0920000}"/>
    <cellStyle name="Percent 8 6 2" xfId="20994" xr:uid="{00000000-0005-0000-0000-0000A1920000}"/>
    <cellStyle name="Percent 8 6 3" xfId="20995" xr:uid="{00000000-0005-0000-0000-0000A2920000}"/>
    <cellStyle name="Percent 8 6 4" xfId="20996" xr:uid="{00000000-0005-0000-0000-0000A3920000}"/>
    <cellStyle name="Percent 8 6 5" xfId="20997" xr:uid="{00000000-0005-0000-0000-0000A4920000}"/>
    <cellStyle name="Percent 8 6 6" xfId="20998" xr:uid="{00000000-0005-0000-0000-0000A5920000}"/>
    <cellStyle name="Percent 8 6 7" xfId="20999" xr:uid="{00000000-0005-0000-0000-0000A6920000}"/>
    <cellStyle name="Percent 8 6 8" xfId="21000" xr:uid="{00000000-0005-0000-0000-0000A7920000}"/>
    <cellStyle name="Percent 8 6 9" xfId="21001" xr:uid="{00000000-0005-0000-0000-0000A8920000}"/>
    <cellStyle name="Percent 8 7" xfId="21002" xr:uid="{00000000-0005-0000-0000-0000A9920000}"/>
    <cellStyle name="Percent 8 7 10" xfId="21003" xr:uid="{00000000-0005-0000-0000-0000AA920000}"/>
    <cellStyle name="Percent 8 7 2" xfId="21004" xr:uid="{00000000-0005-0000-0000-0000AB920000}"/>
    <cellStyle name="Percent 8 7 3" xfId="21005" xr:uid="{00000000-0005-0000-0000-0000AC920000}"/>
    <cellStyle name="Percent 8 7 4" xfId="21006" xr:uid="{00000000-0005-0000-0000-0000AD920000}"/>
    <cellStyle name="Percent 8 7 5" xfId="21007" xr:uid="{00000000-0005-0000-0000-0000AE920000}"/>
    <cellStyle name="Percent 8 7 6" xfId="21008" xr:uid="{00000000-0005-0000-0000-0000AF920000}"/>
    <cellStyle name="Percent 8 7 7" xfId="21009" xr:uid="{00000000-0005-0000-0000-0000B0920000}"/>
    <cellStyle name="Percent 8 7 8" xfId="21010" xr:uid="{00000000-0005-0000-0000-0000B1920000}"/>
    <cellStyle name="Percent 8 7 9" xfId="21011" xr:uid="{00000000-0005-0000-0000-0000B2920000}"/>
    <cellStyle name="Percent 8 8" xfId="21012" xr:uid="{00000000-0005-0000-0000-0000B3920000}"/>
    <cellStyle name="Percent 8 9" xfId="21013" xr:uid="{00000000-0005-0000-0000-0000B4920000}"/>
    <cellStyle name="Percent 9" xfId="135" xr:uid="{00000000-0005-0000-0000-0000B5920000}"/>
    <cellStyle name="Percent 9 2" xfId="21014" xr:uid="{00000000-0005-0000-0000-0000B6920000}"/>
    <cellStyle name="Percent 9 3" xfId="21015" xr:uid="{00000000-0005-0000-0000-0000B7920000}"/>
    <cellStyle name="Percent 9 4" xfId="21016" xr:uid="{00000000-0005-0000-0000-0000B8920000}"/>
    <cellStyle name="Percent 9 5" xfId="21017" xr:uid="{00000000-0005-0000-0000-0000B9920000}"/>
    <cellStyle name="Title" xfId="137" builtinId="15" customBuiltin="1"/>
    <cellStyle name="Title 10 2" xfId="21018" xr:uid="{00000000-0005-0000-0000-0000BB920000}"/>
    <cellStyle name="Title 10 3" xfId="21019" xr:uid="{00000000-0005-0000-0000-0000BC920000}"/>
    <cellStyle name="Title 11 2" xfId="21020" xr:uid="{00000000-0005-0000-0000-0000BD920000}"/>
    <cellStyle name="Title 11 3" xfId="21021" xr:uid="{00000000-0005-0000-0000-0000BE920000}"/>
    <cellStyle name="Title 12 2" xfId="21022" xr:uid="{00000000-0005-0000-0000-0000BF920000}"/>
    <cellStyle name="Title 12 3" xfId="21023" xr:uid="{00000000-0005-0000-0000-0000C0920000}"/>
    <cellStyle name="Title 13 2" xfId="21024" xr:uid="{00000000-0005-0000-0000-0000C1920000}"/>
    <cellStyle name="Title 13 3" xfId="21025" xr:uid="{00000000-0005-0000-0000-0000C2920000}"/>
    <cellStyle name="Title 14 2" xfId="21026" xr:uid="{00000000-0005-0000-0000-0000C3920000}"/>
    <cellStyle name="Title 14 3" xfId="21027" xr:uid="{00000000-0005-0000-0000-0000C4920000}"/>
    <cellStyle name="Title 15" xfId="21028" xr:uid="{00000000-0005-0000-0000-0000C5920000}"/>
    <cellStyle name="Title 15 2" xfId="21029" xr:uid="{00000000-0005-0000-0000-0000C6920000}"/>
    <cellStyle name="Title 15 3" xfId="21030" xr:uid="{00000000-0005-0000-0000-0000C7920000}"/>
    <cellStyle name="Title 15 4" xfId="21031" xr:uid="{00000000-0005-0000-0000-0000C8920000}"/>
    <cellStyle name="Title 15 5" xfId="21032" xr:uid="{00000000-0005-0000-0000-0000C9920000}"/>
    <cellStyle name="Title 15 6" xfId="21033" xr:uid="{00000000-0005-0000-0000-0000CA920000}"/>
    <cellStyle name="Title 15 7" xfId="21034" xr:uid="{00000000-0005-0000-0000-0000CB920000}"/>
    <cellStyle name="Title 16" xfId="21035" xr:uid="{00000000-0005-0000-0000-0000CC920000}"/>
    <cellStyle name="Title 17" xfId="21036" xr:uid="{00000000-0005-0000-0000-0000CD920000}"/>
    <cellStyle name="Title 18" xfId="21037" xr:uid="{00000000-0005-0000-0000-0000CE920000}"/>
    <cellStyle name="Title 19" xfId="21038" xr:uid="{00000000-0005-0000-0000-0000CF920000}"/>
    <cellStyle name="Title 2" xfId="21039" xr:uid="{00000000-0005-0000-0000-0000D0920000}"/>
    <cellStyle name="Title 2 10" xfId="21040" xr:uid="{00000000-0005-0000-0000-0000D1920000}"/>
    <cellStyle name="Title 2 2" xfId="21041" xr:uid="{00000000-0005-0000-0000-0000D2920000}"/>
    <cellStyle name="Title 2 3" xfId="21042" xr:uid="{00000000-0005-0000-0000-0000D3920000}"/>
    <cellStyle name="Title 2 4" xfId="21043" xr:uid="{00000000-0005-0000-0000-0000D4920000}"/>
    <cellStyle name="Title 2 5" xfId="21044" xr:uid="{00000000-0005-0000-0000-0000D5920000}"/>
    <cellStyle name="Title 2 6" xfId="21045" xr:uid="{00000000-0005-0000-0000-0000D6920000}"/>
    <cellStyle name="Title 2 7" xfId="21046" xr:uid="{00000000-0005-0000-0000-0000D7920000}"/>
    <cellStyle name="Title 2 8" xfId="21047" xr:uid="{00000000-0005-0000-0000-0000D8920000}"/>
    <cellStyle name="Title 2 9" xfId="21048" xr:uid="{00000000-0005-0000-0000-0000D9920000}"/>
    <cellStyle name="Title 20" xfId="21049" xr:uid="{00000000-0005-0000-0000-0000DA920000}"/>
    <cellStyle name="Title 21" xfId="21050" xr:uid="{00000000-0005-0000-0000-0000DB920000}"/>
    <cellStyle name="Title 22" xfId="21051" xr:uid="{00000000-0005-0000-0000-0000DC920000}"/>
    <cellStyle name="Title 3 2" xfId="21052" xr:uid="{00000000-0005-0000-0000-0000DD920000}"/>
    <cellStyle name="Title 3 3" xfId="21053" xr:uid="{00000000-0005-0000-0000-0000DE920000}"/>
    <cellStyle name="Title 4 2" xfId="21054" xr:uid="{00000000-0005-0000-0000-0000DF920000}"/>
    <cellStyle name="Title 4 3" xfId="21055" xr:uid="{00000000-0005-0000-0000-0000E0920000}"/>
    <cellStyle name="Title 5 2" xfId="21056" xr:uid="{00000000-0005-0000-0000-0000E1920000}"/>
    <cellStyle name="Title 5 3" xfId="21057" xr:uid="{00000000-0005-0000-0000-0000E2920000}"/>
    <cellStyle name="Title 6 2" xfId="21058" xr:uid="{00000000-0005-0000-0000-0000E3920000}"/>
    <cellStyle name="Title 6 3" xfId="21059" xr:uid="{00000000-0005-0000-0000-0000E4920000}"/>
    <cellStyle name="Title 7 2" xfId="21060" xr:uid="{00000000-0005-0000-0000-0000E5920000}"/>
    <cellStyle name="Title 7 3" xfId="21061" xr:uid="{00000000-0005-0000-0000-0000E6920000}"/>
    <cellStyle name="Title 8 2" xfId="21062" xr:uid="{00000000-0005-0000-0000-0000E7920000}"/>
    <cellStyle name="Title 8 3" xfId="21063" xr:uid="{00000000-0005-0000-0000-0000E8920000}"/>
    <cellStyle name="Title 9 2" xfId="21064" xr:uid="{00000000-0005-0000-0000-0000E9920000}"/>
    <cellStyle name="Title 9 3" xfId="21065" xr:uid="{00000000-0005-0000-0000-0000EA920000}"/>
    <cellStyle name="Total" xfId="150" builtinId="25" customBuiltin="1"/>
    <cellStyle name="Total 10 2" xfId="21066" xr:uid="{00000000-0005-0000-0000-0000EC920000}"/>
    <cellStyle name="Total 10 3" xfId="21067" xr:uid="{00000000-0005-0000-0000-0000ED920000}"/>
    <cellStyle name="Total 11 2" xfId="21068" xr:uid="{00000000-0005-0000-0000-0000EE920000}"/>
    <cellStyle name="Total 11 3" xfId="21069" xr:uid="{00000000-0005-0000-0000-0000EF920000}"/>
    <cellStyle name="Total 12 2" xfId="21070" xr:uid="{00000000-0005-0000-0000-0000F0920000}"/>
    <cellStyle name="Total 12 3" xfId="21071" xr:uid="{00000000-0005-0000-0000-0000F1920000}"/>
    <cellStyle name="Total 13 2" xfId="21072" xr:uid="{00000000-0005-0000-0000-0000F2920000}"/>
    <cellStyle name="Total 13 3" xfId="21073" xr:uid="{00000000-0005-0000-0000-0000F3920000}"/>
    <cellStyle name="Total 14 2" xfId="21074" xr:uid="{00000000-0005-0000-0000-0000F4920000}"/>
    <cellStyle name="Total 14 3" xfId="21075" xr:uid="{00000000-0005-0000-0000-0000F5920000}"/>
    <cellStyle name="Total 15" xfId="21076" xr:uid="{00000000-0005-0000-0000-0000F6920000}"/>
    <cellStyle name="Total 15 2" xfId="21077" xr:uid="{00000000-0005-0000-0000-0000F7920000}"/>
    <cellStyle name="Total 15 3" xfId="21078" xr:uid="{00000000-0005-0000-0000-0000F8920000}"/>
    <cellStyle name="Total 15 4" xfId="21079" xr:uid="{00000000-0005-0000-0000-0000F9920000}"/>
    <cellStyle name="Total 15 5" xfId="21080" xr:uid="{00000000-0005-0000-0000-0000FA920000}"/>
    <cellStyle name="Total 15 6" xfId="21081" xr:uid="{00000000-0005-0000-0000-0000FB920000}"/>
    <cellStyle name="Total 15 7" xfId="21082" xr:uid="{00000000-0005-0000-0000-0000FC920000}"/>
    <cellStyle name="Total 16" xfId="21083" xr:uid="{00000000-0005-0000-0000-0000FD920000}"/>
    <cellStyle name="Total 17" xfId="21084" xr:uid="{00000000-0005-0000-0000-0000FE920000}"/>
    <cellStyle name="Total 18" xfId="21085" xr:uid="{00000000-0005-0000-0000-0000FF920000}"/>
    <cellStyle name="Total 19" xfId="21086" xr:uid="{00000000-0005-0000-0000-000000930000}"/>
    <cellStyle name="Total 2" xfId="405" xr:uid="{00000000-0005-0000-0000-000001930000}"/>
    <cellStyle name="Total 2 2" xfId="513" xr:uid="{00000000-0005-0000-0000-000002930000}"/>
    <cellStyle name="Total 2 2 2" xfId="21087" xr:uid="{00000000-0005-0000-0000-000003930000}"/>
    <cellStyle name="Total 2 3" xfId="21088" xr:uid="{00000000-0005-0000-0000-000004930000}"/>
    <cellStyle name="Total 20" xfId="21089" xr:uid="{00000000-0005-0000-0000-000005930000}"/>
    <cellStyle name="Total 21" xfId="21090" xr:uid="{00000000-0005-0000-0000-000006930000}"/>
    <cellStyle name="Total 22" xfId="21091" xr:uid="{00000000-0005-0000-0000-000007930000}"/>
    <cellStyle name="Total 3" xfId="658" xr:uid="{00000000-0005-0000-0000-000008930000}"/>
    <cellStyle name="Total 3 2" xfId="21092" xr:uid="{00000000-0005-0000-0000-000009930000}"/>
    <cellStyle name="Total 3 3" xfId="21093" xr:uid="{00000000-0005-0000-0000-00000A930000}"/>
    <cellStyle name="Total 4 2" xfId="21094" xr:uid="{00000000-0005-0000-0000-00000B930000}"/>
    <cellStyle name="Total 4 3" xfId="21095" xr:uid="{00000000-0005-0000-0000-00000C930000}"/>
    <cellStyle name="Total 5 2" xfId="21096" xr:uid="{00000000-0005-0000-0000-00000D930000}"/>
    <cellStyle name="Total 5 3" xfId="21097" xr:uid="{00000000-0005-0000-0000-00000E930000}"/>
    <cellStyle name="Total 6 2" xfId="21098" xr:uid="{00000000-0005-0000-0000-00000F930000}"/>
    <cellStyle name="Total 6 3" xfId="21099" xr:uid="{00000000-0005-0000-0000-000010930000}"/>
    <cellStyle name="Total 7 2" xfId="21100" xr:uid="{00000000-0005-0000-0000-000011930000}"/>
    <cellStyle name="Total 7 3" xfId="21101" xr:uid="{00000000-0005-0000-0000-000012930000}"/>
    <cellStyle name="Total 8 2" xfId="21102" xr:uid="{00000000-0005-0000-0000-000013930000}"/>
    <cellStyle name="Total 8 3" xfId="21103" xr:uid="{00000000-0005-0000-0000-000014930000}"/>
    <cellStyle name="Total 9 2" xfId="21104" xr:uid="{00000000-0005-0000-0000-000015930000}"/>
    <cellStyle name="Total 9 3" xfId="21105" xr:uid="{00000000-0005-0000-0000-000016930000}"/>
    <cellStyle name="Warning Text" xfId="148" builtinId="11" customBuiltin="1"/>
    <cellStyle name="Warning Text 10 2" xfId="21106" xr:uid="{00000000-0005-0000-0000-000018930000}"/>
    <cellStyle name="Warning Text 10 3" xfId="21107" xr:uid="{00000000-0005-0000-0000-000019930000}"/>
    <cellStyle name="Warning Text 11 2" xfId="21108" xr:uid="{00000000-0005-0000-0000-00001A930000}"/>
    <cellStyle name="Warning Text 11 3" xfId="21109" xr:uid="{00000000-0005-0000-0000-00001B930000}"/>
    <cellStyle name="Warning Text 12 2" xfId="21110" xr:uid="{00000000-0005-0000-0000-00001C930000}"/>
    <cellStyle name="Warning Text 12 3" xfId="21111" xr:uid="{00000000-0005-0000-0000-00001D930000}"/>
    <cellStyle name="Warning Text 13 2" xfId="21112" xr:uid="{00000000-0005-0000-0000-00001E930000}"/>
    <cellStyle name="Warning Text 13 3" xfId="21113" xr:uid="{00000000-0005-0000-0000-00001F930000}"/>
    <cellStyle name="Warning Text 14 2" xfId="21114" xr:uid="{00000000-0005-0000-0000-000020930000}"/>
    <cellStyle name="Warning Text 14 3" xfId="21115" xr:uid="{00000000-0005-0000-0000-000021930000}"/>
    <cellStyle name="Warning Text 15" xfId="21116" xr:uid="{00000000-0005-0000-0000-000022930000}"/>
    <cellStyle name="Warning Text 15 2" xfId="21117" xr:uid="{00000000-0005-0000-0000-000023930000}"/>
    <cellStyle name="Warning Text 15 3" xfId="21118" xr:uid="{00000000-0005-0000-0000-000024930000}"/>
    <cellStyle name="Warning Text 15 4" xfId="21119" xr:uid="{00000000-0005-0000-0000-000025930000}"/>
    <cellStyle name="Warning Text 15 5" xfId="21120" xr:uid="{00000000-0005-0000-0000-000026930000}"/>
    <cellStyle name="Warning Text 15 6" xfId="21121" xr:uid="{00000000-0005-0000-0000-000027930000}"/>
    <cellStyle name="Warning Text 15 7" xfId="21122" xr:uid="{00000000-0005-0000-0000-000028930000}"/>
    <cellStyle name="Warning Text 16" xfId="21123" xr:uid="{00000000-0005-0000-0000-000029930000}"/>
    <cellStyle name="Warning Text 17" xfId="21124" xr:uid="{00000000-0005-0000-0000-00002A930000}"/>
    <cellStyle name="Warning Text 18" xfId="21125" xr:uid="{00000000-0005-0000-0000-00002B930000}"/>
    <cellStyle name="Warning Text 19" xfId="21126" xr:uid="{00000000-0005-0000-0000-00002C930000}"/>
    <cellStyle name="Warning Text 2" xfId="402" xr:uid="{00000000-0005-0000-0000-00002D930000}"/>
    <cellStyle name="Warning Text 2 2" xfId="496" xr:uid="{00000000-0005-0000-0000-00002E930000}"/>
    <cellStyle name="Warning Text 2 2 2" xfId="21127" xr:uid="{00000000-0005-0000-0000-00002F930000}"/>
    <cellStyle name="Warning Text 2 3" xfId="21128" xr:uid="{00000000-0005-0000-0000-000030930000}"/>
    <cellStyle name="Warning Text 20" xfId="21129" xr:uid="{00000000-0005-0000-0000-000031930000}"/>
    <cellStyle name="Warning Text 21" xfId="21130" xr:uid="{00000000-0005-0000-0000-000032930000}"/>
    <cellStyle name="Warning Text 22" xfId="21131" xr:uid="{00000000-0005-0000-0000-000033930000}"/>
    <cellStyle name="Warning Text 3" xfId="659" xr:uid="{00000000-0005-0000-0000-000034930000}"/>
    <cellStyle name="Warning Text 3 2" xfId="21132" xr:uid="{00000000-0005-0000-0000-000035930000}"/>
    <cellStyle name="Warning Text 3 3" xfId="21133" xr:uid="{00000000-0005-0000-0000-000036930000}"/>
    <cellStyle name="Warning Text 4 2" xfId="21134" xr:uid="{00000000-0005-0000-0000-000037930000}"/>
    <cellStyle name="Warning Text 4 3" xfId="21135" xr:uid="{00000000-0005-0000-0000-000038930000}"/>
    <cellStyle name="Warning Text 5 2" xfId="21136" xr:uid="{00000000-0005-0000-0000-000039930000}"/>
    <cellStyle name="Warning Text 5 3" xfId="21137" xr:uid="{00000000-0005-0000-0000-00003A930000}"/>
    <cellStyle name="Warning Text 6 2" xfId="21138" xr:uid="{00000000-0005-0000-0000-00003B930000}"/>
    <cellStyle name="Warning Text 6 3" xfId="21139" xr:uid="{00000000-0005-0000-0000-00003C930000}"/>
    <cellStyle name="Warning Text 7 2" xfId="21140" xr:uid="{00000000-0005-0000-0000-00003D930000}"/>
    <cellStyle name="Warning Text 7 3" xfId="21141" xr:uid="{00000000-0005-0000-0000-00003E930000}"/>
    <cellStyle name="Warning Text 8 2" xfId="21142" xr:uid="{00000000-0005-0000-0000-00003F930000}"/>
    <cellStyle name="Warning Text 8 3" xfId="21143" xr:uid="{00000000-0005-0000-0000-000040930000}"/>
    <cellStyle name="Warning Text 9 2" xfId="21144" xr:uid="{00000000-0005-0000-0000-000041930000}"/>
    <cellStyle name="Warning Text 9 3" xfId="21145" xr:uid="{00000000-0005-0000-0000-000042930000}"/>
  </cellStyles>
  <dxfs count="0"/>
  <tableStyles count="0" defaultTableStyle="TableStyleMedium2" defaultPivotStyle="PivotStyleLight16"/>
  <colors>
    <mruColors>
      <color rgb="FFFFFFCC"/>
      <color rgb="FF0000FF"/>
      <color rgb="FF007A37"/>
      <color rgb="FFF7C5BB"/>
      <color rgb="FFFFCC99"/>
      <color rgb="FFBDFFBD"/>
      <color rgb="FFC028AE"/>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8.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63" Type="http://schemas.openxmlformats.org/officeDocument/2006/relationships/externalLink" Target="externalLinks/externalLink54.xml"/><Relationship Id="rId68" Type="http://schemas.openxmlformats.org/officeDocument/2006/relationships/externalLink" Target="externalLinks/externalLink59.xml"/><Relationship Id="rId84" Type="http://schemas.openxmlformats.org/officeDocument/2006/relationships/externalLink" Target="externalLinks/externalLink75.xml"/><Relationship Id="rId89" Type="http://schemas.openxmlformats.org/officeDocument/2006/relationships/externalLink" Target="externalLinks/externalLink80.xml"/><Relationship Id="rId112" Type="http://schemas.openxmlformats.org/officeDocument/2006/relationships/externalLink" Target="externalLinks/externalLink103.xml"/><Relationship Id="rId16" Type="http://schemas.openxmlformats.org/officeDocument/2006/relationships/externalLink" Target="externalLinks/externalLink7.xml"/><Relationship Id="rId107" Type="http://schemas.openxmlformats.org/officeDocument/2006/relationships/externalLink" Target="externalLinks/externalLink98.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53" Type="http://schemas.openxmlformats.org/officeDocument/2006/relationships/externalLink" Target="externalLinks/externalLink44.xml"/><Relationship Id="rId58" Type="http://schemas.openxmlformats.org/officeDocument/2006/relationships/externalLink" Target="externalLinks/externalLink49.xml"/><Relationship Id="rId74" Type="http://schemas.openxmlformats.org/officeDocument/2006/relationships/externalLink" Target="externalLinks/externalLink65.xml"/><Relationship Id="rId79" Type="http://schemas.openxmlformats.org/officeDocument/2006/relationships/externalLink" Target="externalLinks/externalLink70.xml"/><Relationship Id="rId102" Type="http://schemas.openxmlformats.org/officeDocument/2006/relationships/externalLink" Target="externalLinks/externalLink93.xml"/><Relationship Id="rId123" Type="http://schemas.openxmlformats.org/officeDocument/2006/relationships/externalLink" Target="externalLinks/externalLink114.xml"/><Relationship Id="rId128"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externalLink" Target="externalLinks/externalLink81.xml"/><Relationship Id="rId95" Type="http://schemas.openxmlformats.org/officeDocument/2006/relationships/externalLink" Target="externalLinks/externalLink86.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64" Type="http://schemas.openxmlformats.org/officeDocument/2006/relationships/externalLink" Target="externalLinks/externalLink55.xml"/><Relationship Id="rId69" Type="http://schemas.openxmlformats.org/officeDocument/2006/relationships/externalLink" Target="externalLinks/externalLink60.xml"/><Relationship Id="rId113" Type="http://schemas.openxmlformats.org/officeDocument/2006/relationships/externalLink" Target="externalLinks/externalLink104.xml"/><Relationship Id="rId118" Type="http://schemas.openxmlformats.org/officeDocument/2006/relationships/externalLink" Target="externalLinks/externalLink109.xml"/><Relationship Id="rId80" Type="http://schemas.openxmlformats.org/officeDocument/2006/relationships/externalLink" Target="externalLinks/externalLink71.xml"/><Relationship Id="rId85" Type="http://schemas.openxmlformats.org/officeDocument/2006/relationships/externalLink" Target="externalLinks/externalLink76.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59" Type="http://schemas.openxmlformats.org/officeDocument/2006/relationships/externalLink" Target="externalLinks/externalLink50.xml"/><Relationship Id="rId103" Type="http://schemas.openxmlformats.org/officeDocument/2006/relationships/externalLink" Target="externalLinks/externalLink94.xml"/><Relationship Id="rId108" Type="http://schemas.openxmlformats.org/officeDocument/2006/relationships/externalLink" Target="externalLinks/externalLink99.xml"/><Relationship Id="rId124" Type="http://schemas.openxmlformats.org/officeDocument/2006/relationships/externalLink" Target="externalLinks/externalLink115.xml"/><Relationship Id="rId129" Type="http://schemas.openxmlformats.org/officeDocument/2006/relationships/calcChain" Target="calcChain.xml"/><Relationship Id="rId54" Type="http://schemas.openxmlformats.org/officeDocument/2006/relationships/externalLink" Target="externalLinks/externalLink45.xml"/><Relationship Id="rId70" Type="http://schemas.openxmlformats.org/officeDocument/2006/relationships/externalLink" Target="externalLinks/externalLink61.xml"/><Relationship Id="rId75" Type="http://schemas.openxmlformats.org/officeDocument/2006/relationships/externalLink" Target="externalLinks/externalLink66.xml"/><Relationship Id="rId91" Type="http://schemas.openxmlformats.org/officeDocument/2006/relationships/externalLink" Target="externalLinks/externalLink82.xml"/><Relationship Id="rId96" Type="http://schemas.openxmlformats.org/officeDocument/2006/relationships/externalLink" Target="externalLinks/externalLink87.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49" Type="http://schemas.openxmlformats.org/officeDocument/2006/relationships/externalLink" Target="externalLinks/externalLink40.xml"/><Relationship Id="rId114" Type="http://schemas.openxmlformats.org/officeDocument/2006/relationships/externalLink" Target="externalLinks/externalLink105.xml"/><Relationship Id="rId119" Type="http://schemas.openxmlformats.org/officeDocument/2006/relationships/externalLink" Target="externalLinks/externalLink110.xml"/><Relationship Id="rId44" Type="http://schemas.openxmlformats.org/officeDocument/2006/relationships/externalLink" Target="externalLinks/externalLink35.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81" Type="http://schemas.openxmlformats.org/officeDocument/2006/relationships/externalLink" Target="externalLinks/externalLink72.xml"/><Relationship Id="rId86" Type="http://schemas.openxmlformats.org/officeDocument/2006/relationships/externalLink" Target="externalLinks/externalLink77.xml"/><Relationship Id="rId130" Type="http://schemas.openxmlformats.org/officeDocument/2006/relationships/customXml" Target="../customXml/item1.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109" Type="http://schemas.openxmlformats.org/officeDocument/2006/relationships/externalLink" Target="externalLinks/externalLink10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6" Type="http://schemas.openxmlformats.org/officeDocument/2006/relationships/externalLink" Target="externalLinks/externalLink67.xml"/><Relationship Id="rId97" Type="http://schemas.openxmlformats.org/officeDocument/2006/relationships/externalLink" Target="externalLinks/externalLink88.xml"/><Relationship Id="rId104" Type="http://schemas.openxmlformats.org/officeDocument/2006/relationships/externalLink" Target="externalLinks/externalLink95.xml"/><Relationship Id="rId120" Type="http://schemas.openxmlformats.org/officeDocument/2006/relationships/externalLink" Target="externalLinks/externalLink111.xml"/><Relationship Id="rId125" Type="http://schemas.openxmlformats.org/officeDocument/2006/relationships/externalLink" Target="externalLinks/externalLink116.xml"/><Relationship Id="rId7" Type="http://schemas.openxmlformats.org/officeDocument/2006/relationships/worksheet" Target="worksheets/sheet7.xml"/><Relationship Id="rId71" Type="http://schemas.openxmlformats.org/officeDocument/2006/relationships/externalLink" Target="externalLinks/externalLink62.xml"/><Relationship Id="rId92" Type="http://schemas.openxmlformats.org/officeDocument/2006/relationships/externalLink" Target="externalLinks/externalLink83.xml"/><Relationship Id="rId2" Type="http://schemas.openxmlformats.org/officeDocument/2006/relationships/worksheet" Target="worksheets/sheet2.xml"/><Relationship Id="rId29" Type="http://schemas.openxmlformats.org/officeDocument/2006/relationships/externalLink" Target="externalLinks/externalLink20.xml"/><Relationship Id="rId24" Type="http://schemas.openxmlformats.org/officeDocument/2006/relationships/externalLink" Target="externalLinks/externalLink15.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 Id="rId87" Type="http://schemas.openxmlformats.org/officeDocument/2006/relationships/externalLink" Target="externalLinks/externalLink78.xml"/><Relationship Id="rId110" Type="http://schemas.openxmlformats.org/officeDocument/2006/relationships/externalLink" Target="externalLinks/externalLink101.xml"/><Relationship Id="rId115" Type="http://schemas.openxmlformats.org/officeDocument/2006/relationships/externalLink" Target="externalLinks/externalLink106.xml"/><Relationship Id="rId131" Type="http://schemas.openxmlformats.org/officeDocument/2006/relationships/customXml" Target="../customXml/item2.xml"/><Relationship Id="rId61" Type="http://schemas.openxmlformats.org/officeDocument/2006/relationships/externalLink" Target="externalLinks/externalLink52.xml"/><Relationship Id="rId82" Type="http://schemas.openxmlformats.org/officeDocument/2006/relationships/externalLink" Target="externalLinks/externalLink73.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56" Type="http://schemas.openxmlformats.org/officeDocument/2006/relationships/externalLink" Target="externalLinks/externalLink47.xml"/><Relationship Id="rId77" Type="http://schemas.openxmlformats.org/officeDocument/2006/relationships/externalLink" Target="externalLinks/externalLink68.xml"/><Relationship Id="rId100" Type="http://schemas.openxmlformats.org/officeDocument/2006/relationships/externalLink" Target="externalLinks/externalLink91.xml"/><Relationship Id="rId105" Type="http://schemas.openxmlformats.org/officeDocument/2006/relationships/externalLink" Target="externalLinks/externalLink96.xml"/><Relationship Id="rId12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93" Type="http://schemas.openxmlformats.org/officeDocument/2006/relationships/externalLink" Target="externalLinks/externalLink84.xml"/><Relationship Id="rId98" Type="http://schemas.openxmlformats.org/officeDocument/2006/relationships/externalLink" Target="externalLinks/externalLink89.xml"/><Relationship Id="rId121" Type="http://schemas.openxmlformats.org/officeDocument/2006/relationships/externalLink" Target="externalLinks/externalLink112.xml"/><Relationship Id="rId3" Type="http://schemas.openxmlformats.org/officeDocument/2006/relationships/worksheet" Target="worksheets/sheet3.xml"/><Relationship Id="rId25" Type="http://schemas.openxmlformats.org/officeDocument/2006/relationships/externalLink" Target="externalLinks/externalLink16.xml"/><Relationship Id="rId46" Type="http://schemas.openxmlformats.org/officeDocument/2006/relationships/externalLink" Target="externalLinks/externalLink37.xml"/><Relationship Id="rId67" Type="http://schemas.openxmlformats.org/officeDocument/2006/relationships/externalLink" Target="externalLinks/externalLink58.xml"/><Relationship Id="rId116" Type="http://schemas.openxmlformats.org/officeDocument/2006/relationships/externalLink" Target="externalLinks/externalLink107.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62" Type="http://schemas.openxmlformats.org/officeDocument/2006/relationships/externalLink" Target="externalLinks/externalLink53.xml"/><Relationship Id="rId83" Type="http://schemas.openxmlformats.org/officeDocument/2006/relationships/externalLink" Target="externalLinks/externalLink74.xml"/><Relationship Id="rId88" Type="http://schemas.openxmlformats.org/officeDocument/2006/relationships/externalLink" Target="externalLinks/externalLink79.xml"/><Relationship Id="rId111" Type="http://schemas.openxmlformats.org/officeDocument/2006/relationships/externalLink" Target="externalLinks/externalLink102.xml"/><Relationship Id="rId132" Type="http://schemas.openxmlformats.org/officeDocument/2006/relationships/customXml" Target="../customXml/item3.xml"/><Relationship Id="rId15" Type="http://schemas.openxmlformats.org/officeDocument/2006/relationships/externalLink" Target="externalLinks/externalLink6.xml"/><Relationship Id="rId36" Type="http://schemas.openxmlformats.org/officeDocument/2006/relationships/externalLink" Target="externalLinks/externalLink27.xml"/><Relationship Id="rId57" Type="http://schemas.openxmlformats.org/officeDocument/2006/relationships/externalLink" Target="externalLinks/externalLink48.xml"/><Relationship Id="rId106" Type="http://schemas.openxmlformats.org/officeDocument/2006/relationships/externalLink" Target="externalLinks/externalLink97.xml"/><Relationship Id="rId127" Type="http://schemas.openxmlformats.org/officeDocument/2006/relationships/styles" Target="styles.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52" Type="http://schemas.openxmlformats.org/officeDocument/2006/relationships/externalLink" Target="externalLinks/externalLink43.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94" Type="http://schemas.openxmlformats.org/officeDocument/2006/relationships/externalLink" Target="externalLinks/externalLink85.xml"/><Relationship Id="rId99" Type="http://schemas.openxmlformats.org/officeDocument/2006/relationships/externalLink" Target="externalLinks/externalLink90.xml"/><Relationship Id="rId101" Type="http://schemas.openxmlformats.org/officeDocument/2006/relationships/externalLink" Target="externalLinks/externalLink92.xml"/><Relationship Id="rId122" Type="http://schemas.openxmlformats.org/officeDocument/2006/relationships/externalLink" Target="externalLinks/externalLink113.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externalLink" Target="externalLinks/externalLink1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28</xdr:col>
      <xdr:colOff>0</xdr:colOff>
      <xdr:row>17</xdr:row>
      <xdr:rowOff>0</xdr:rowOff>
    </xdr:from>
    <xdr:to>
      <xdr:col>45</xdr:col>
      <xdr:colOff>177672</xdr:colOff>
      <xdr:row>39</xdr:row>
      <xdr:rowOff>65574</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29303382" y="2991971"/>
          <a:ext cx="17457143" cy="43238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402166</xdr:colOff>
      <xdr:row>16</xdr:row>
      <xdr:rowOff>105833</xdr:rowOff>
    </xdr:from>
    <xdr:to>
      <xdr:col>42</xdr:col>
      <xdr:colOff>666220</xdr:colOff>
      <xdr:row>25</xdr:row>
      <xdr:rowOff>48476</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3947583" y="2709333"/>
          <a:ext cx="3742857" cy="1657143"/>
        </a:xfrm>
        <a:prstGeom prst="rect">
          <a:avLst/>
        </a:prstGeom>
      </xdr:spPr>
    </xdr:pic>
    <xdr:clientData/>
  </xdr:twoCellAnchor>
  <xdr:twoCellAnchor editAs="oneCell">
    <xdr:from>
      <xdr:col>48</xdr:col>
      <xdr:colOff>0</xdr:colOff>
      <xdr:row>16</xdr:row>
      <xdr:rowOff>0</xdr:rowOff>
    </xdr:from>
    <xdr:to>
      <xdr:col>65</xdr:col>
      <xdr:colOff>1432732</xdr:colOff>
      <xdr:row>38</xdr:row>
      <xdr:rowOff>132809</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12035118" y="2801471"/>
          <a:ext cx="17457143" cy="43238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04230\2000welf\othsys\boutinp\PCCsProvisions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eafs1\userhome\All%20Projects\Ameren\RATECASE\IP%20Schedules\Other%20Schedules%20-%20CIP,UE%20and%20CILCO\CILCO%20MFRs-Revised%20For%20Deficencies%20-%20March%202006.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E:\Documents%20and%20Settings\madams\My%20Documents\Ameren\2006%20DST%20Filings\IP%20MFRs\IP%20MFRs_100305.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FNBNW301\VOL5\STAFF\jdm\misc\2001%202Q\MERGER2.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Corp1\DATA1\Share\nVision\Pedistr\Balance%20Sheet\2001-8\10200-Balance%20Sheet-Aug-2001.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CHMCLSTR2_VOL3_SERVER\VOL3\COMP_PLN\Annual%20Incentive\2002%20AIP\AIP%20and%20Merit%20Planning%20for%20band%207%20and%20above%20Enterprises.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E:\Documents%20and%20Settings\q95075\Local%20Settings\Temporary%20Internet%20Files\OLK4F\DOCUME~1\madams\LOCALS~1\Temp\notesFFF692\Gas%20%20ROR%2012-31-03.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E:\Documents%20and%20Settings\q95075\Local%20Settings\Temporary%20Internet%20Files\OLK4F\DOCUME~1\madams\LOCALS~1\Temp\notesFFF692\Gas%20Blankets%20by%20Acct.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T:\FINANCE\Larm\Closed%20Dockets\2007\07-0585%20through%200590%20Ameren%20Rate%20Cases\Capital%20Structure%20Workpapers\2007%20IP%20Cost%20of%20Capital.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FNBNW301\VOL5\STAFF\jdm\KMH\Merge\FERC%20Filing\FERC%20stmts2.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T:\FINANCE\Larm\09-0306%20through%200311%20AIU%20Rate%20Cases\2009%20IP%20Cost%20of%20Capital.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Lc3msfs01\lc3nwclstr1_vol16\TEMP\6-09-02SAMPLE%20EXTRAPOLATIO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Windows\Temp\notes758E9C\AMS%20A&amp;G%20Expense%20Analysis.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E:\Documents%20and%20Settings\q95075\Local%20Settings\Temporary%20Internet%20Files\OLK4F\DOCUME~1\madams\LOCALS~1\Temp\notesFFF692\2004%20Expenditures%20from%20PwrPlant%20Jan-Apr2004%20R5.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eafs1\userhome\DST%202005\ASP\ASP%201302%20-.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T:\Business%20Pricing%20&amp;%20Costing\PSG\DLM%20Rate%20Case.WACC%20Base.Mar%2030%2004.DLM.v24.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Z:\74639\07\RET\(751)%20BU%20Allocations\5.%202007%20BU%20Allocation%20Percentages\Allocation%20of%20Forecasted%20Pension%20Costs%202007-2016%20-%20With%20Assets.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Q:\EED\BusinessOps\EED%20Business%20Ops%20(Working)\MFR\Apr%202005%20Financial%20Reporting\EED%20Apr%202005%20Support%20Deck.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N:\Rider%20EEIC%20(MEEIA)\MEEIA%20rate%20filings\Nov%202022%20filing\workpapers\AML2%20-%20MEEIA%20Rider%20Calcs%20November%202022-%20rates.xlsx"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N:\Rider%20EEIC%20(MEEIA)\MEEIA%20rate%20filings\Nov%202022%20filing\workpapers\AML4%20-%20MEEIA%20Rider%20Calcs%20November%202022%20-%20Support.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LL%20Gas%20Rate%20Case%202006\MFRs\IP\IP%20MFRs_REVISED%20FOR%20DEFICIENCIES_February%2020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ILL%20DST%202005\PART%20285%20MFR\ILLINOIS%20POWER\IP%20MFRs_FINAL_12050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Z:\WINDOWS\TEMP\CIPS-UE_Gas%20Schedules_01-31-0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DOCUME~1\MADAMS\LOCALS~1\TEMP\CIPS-UE%20MFR,%20110605%20Versi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Z:\DOCUME~1\MADAMS\LOCALS~1\TEMP\WIP%20-%20April%2023,%20200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ILL%20Gas%20Rate%20Case%202006\MFRs\CILCO\AmerenCILCO%20Natural%20Gas%20MFR%20Model%20071807%20versio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Windows\Temp\notes758E9C\AMS%20A&amp;G%20Expense%20Analysi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ILL%20Gas%20Rate%20Case%202006\MFRs\IP\IP%20MFRs_REVISED%20FOR%20DEFICIENCIES_February%20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DOCUME~1\MADAMS\LOCALS~1\TEMP\WIP%20-%20April%2023,%20200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Z:\ILL%20DST%202005\PART%20285%20MFR\ILLINOIS%20POWER\IP%20MFRs_FINAL_12050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eafs1\userhome\All%20Projects\Ameren\RATECASE\IP%20Schedules\Other%20Schedules%20-%20CIP,UE%20and%20CILCO\CIPS-UE_Gas%20Schedules_01-31-0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afs1\userhome\DOCUME~1\MADAMS\LOCALS~1\TEMP\WIP%20-%20April%2023,%20200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eafs1\userhome\ILL%20Gas%20Rate%20Case%202006\MFRs\IP\AmerenIP%20Natural%20Gas%20MFRs%20Model%20071807%20version.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eafs1\userhome\Windows\Temp\notes758E9C\AMS%20A&amp;G%20Expense%20Analysi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Z:\ILL%20DST%202006\Deficiency%20Response\AmerenCIPS%20Electric%20MFR%20Model%20-%20012508-%20Revised%20for%20Deficiencies%20(with%202nd%20Revd%20C-16).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Documents%20and%20Settings\q95075\Local%20Settings\Temporary%20Internet%20Files\OLK4F\DOCUME~1\MADAMS\LOCALS~1\TEMP\WIP%20-%20April%2023,%20200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eafs1\userhome\ILL%20Gas%20Rate%20Case%202006\MFRs\CILCO\AmerenCILCO%20Natural%20Gas%20MFR%20Model%20071807%20versio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afs1\userhome\ILL%20DST%202005\PART%20285%20MFR\ILLINOIS%20POWER\IP%20MFRs_FINAL_120505.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Documents%20and%20Settings\WBACIC\Local%20Settings\Temporary%20Internet%20Files\Content.Outlook\6PD0HHSU\WINDOWS\TEMP\CIPS-UE_Gas%20Schedules_01-31-0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WINDOWS\TEMP\CIPS-UE_Gas%20Schedules_01-31-0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Documents%20and%20Settings\WBACIC\Local%20Settings\Temporary%20Internet%20Files\Content.Outlook\6PD0HHSU\DOCUME~1\MADAMS\LOCALS~1\TEMP\CIPS-UE%20MFR,%20110605%20Version.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Z:\ILL%20Gas%20Rate%20Case%202006\MFRs\CIPS\AmerenCIPS%20Natural%20Gas%20MFR%20Model%20071807%20Version.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Documents%20and%20Settings\WBACIC\Local%20Settings\Temporary%20Internet%20Files\Content.Outlook\6PD0HHSU\DOCUME~1\MADAMS\LOCALS~1\TEMP\WIP%20-%20April%2023,%20200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Documents%20and%20Settings\WBACIC\Local%20Settings\Temporary%20Internet%20Files\Content.Outlook\6PD0HHSU\ILL%20Gas%20Rate%20Case%202006\MFRs\CILCO\AmerenCILCO%20Natural%20Gas%20MFR%20Model%20071807%20version.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E:\Documents%20and%20Settings\WBACIC\Local%20Settings\Temporary%20Internet%20Files\Content.Outlook\6PD0HHSU\Windows\Temp\notes758E9C\AMS%20A&amp;G%20Expense%20Analysi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Documents%20and%20Settings\WBACIC\Local%20Settings\Temporary%20Internet%20Files\Content.Outlook\6PD0HHSU\ILL%20Gas%20Rate%20Case%202006\MFRs\IP\IP%20MFRs_REVISED%20FOR%20DEFICIENCIES_February%202006.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Documents%20and%20Settings\WBACIC\Local%20Settings\Temporary%20Internet%20Files\Content.Outlook\6PD0HHSU\ILL%20DST%202005\PART%20285%20MFR\ILLINOIS%20POWER\IP%20MFRs_FINAL_120505.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Z:\ILL%20Gas%20Rate%20Case%202006\MFRs\CILCO\AmerenCILCO%20Natural%20Gas%20MFR%20Model%20-%20102607%20-%20(FINAL).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E:\WINDOWS\TEMP\CILCO%20MFRs_Revised%20For%20Deficiencie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E:\Windows\Temp\Temporary%20Directory%202%20for%20MFRs_101005.zip\CILCO%20MFRs\CILCO%20MFR%20-%20October%204,%2020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1\MADAMS\LOCALS~1\TEMP\CIPS-UE%20MFR,%20110605%20Versio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E:\WINDOWS\TEMP\CILCO%20MFRs-Revised%20For%20Deficencies%20-%20March%202006.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Lc3msfs01\lc3nwclstr1_vol16\Documents%20and%20Settings\kyeh001\My%20Documents\Agouron\Ready%20for%20Review\Executive%20Summary\california%20Agouron%20Supermodel@10%25.xls"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Masterdata"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DOWS\Temporary%20Internet%20Files\OLK180\3RD%20Q%20EST%20COMPARISONS.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Documents%20and%20Settings\morrjq\My%20Documents\Project\FFA%202005-08%20Exelon%20IT%20Programs_Initiatives-Joe.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E:\MFRs%2012.11.2008\AmerenCILCO%20Natural%20Gas%20MFR%20Model%20-%20WIP%20-%20100108.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L:\TEMP\6-09-02SAMPLE%20EXTRAPOLATION.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K:\2005%20Budgets\2005%20Khalix%20Budget%20Reports\2005%20CapEx%20(By%20VP%20By%20Dept)%20Budget.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E:\Documents%20and%20Settings\q47709\My%20Documents\Adams%20-%20AmerenUE%20Missouri%20-%20Lead%20Lag%20Workbook%20-%20July%2011,%202006.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Q:\Documents%20and%20Settings\mcmajx\Local%20Settings\Temporary%20Internet%20Files\OLK42C\PECO%20RNF%20Tracking%20Report_February%20'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ILL%20DST%202006\MFRs\CILCO\CILCO%20Electric%20MFRs%20-%20102607%20-%20(FINAL).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Z:\ILL%20DST%202005\Deficiency%20Response\IP%20MFRs_REVISED%20FOR%20DEFICIENCIES_020106.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Z:\ILL%20DST%202005\Deficiency%20Response\CIPS-UE%20MFRs_REVISED%20FOR%20DEFICIENCIES_March%202006.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E:\ILL%20DST%202005\Deficiency%20Response\CIPS-UE%20MFRs_REVISED%20FOR%20DEFICIENCIES_March%202006.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E:\ILL%20DST%202005\Deficiency%20Response\IP%20MFRs_REVISED%20FOR%20DEFICIENCIES_020106.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T:\Users\brimal\Documents\Ameren%20Illinois%202012\ASP\AIU_ASP_Model%2004.02.2012.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Z:\Client%20Work\Ameren\Illinois\2007%20Rate%20Cases\Minimum%20Filing%20Requirements\Ameren%20CIPS\AmerenCIPS%20Natural%20Gas%20MFR%20Workbook,%20051407%20Version.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E:\Client%20Work\Ameren\Illinois\2007%20Rate%20Cases\Minimum%20Filing%20Requirements\Ameren%20CIPS\AmerenCIPS%20Natural%20Gas%20MFR%20Workbook,%20051407%20Version.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Budget-Accounting\0901%20Close\VPS_0901_Close\Sep_01_FinReview_Presentation.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K:\2005%20Reporting%20Requirements\Apr\MFR%20_%20Leadership%20Deck\MFR%20Views%20-%20EED%20O&amp;M%20(BSC-TFP-Passthru)%20V2.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Z:\Documents%20and%20Settings\kosoffr\My%20Documents\Book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afs1\userhome\Windows\Temp\Temporary%20Directory%202%20for%20MFRs_101005.zip\CILCO%20MFRs\CILCO%20MFR%20-%20October%204,%202005.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Q:\EED\BusinessOps\EED%20Business%20Ops%20(Working)\MFR\May%202005%20Financial%20Reporting\EED%20May%202005%20Support%20Deck.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Q:\KSQ\Acctng\Spreadsheet%20Loaders\Spreadsheet%20Loader%202006\January%202006\Brenda\CJ%20(ARC,%20ARO,%20PLDE).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Z:\Documents%20and%20Settings\MOORBP\Local%20Settings\Temporary%20Internet%20Files\OLKC4D\Consolidatd%202007%20-2011%20LRP%20Impact%20Analysis%20_V4.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FNBNW301\VOL5\74639\98Comp\Adam\Top%20Exec%20Pricing%20-%20Gen%20Ind.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Q:\WINDOWS\Temporary%20Internet%20Files\OLK3180\PECO%2012-31-01%20FRP1.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E:\Documents%20and%20Settings\q95075\Local%20Settings\Temporary%20Internet%20Files\OLK4F\DOCUME~1\madams\LOCALS~1\Temp\notesFFF692\CapEx%202004%20Work%20FileRev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Q:\Staff\jdm\misc\2002%202Q\Rptng%20Pkg\June%202002\Exelon%20Consolidated%20EFRP%20June%202002%20Current%201.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E:\Documents%20and%20Settings\arend\Local%20Settings\Temporary%20Internet%20Files\OLK1A3\PGL%20Rev%20Req%20-%202006%20Historic%20Test%20Year.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Q:\PED\Business%20Unit\Planning%20&amp;%20Analysis\Monthly%20Data\2001\Q3%20MFR%20and%20QMM\July%20'Output'%20Files%20and%20Other%20Info\Output%20PECO-08-17-V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rd1\DATA\share\DEPT_ALL\MAIER\Monthly%20ACT%20BUD%20Reports\VPS%2020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OCUME~1\MADAMS\LOCALS~1\TEMP\WIP%20-%20April%2023,%202004.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E:\Ameren%20Illinois%20-%202009%20Filing%20-%20MFRs%20-%20Current%20Versions\AmerenCILCO%20Electric%20MFR%20Model%20-%20WIP%20-%20050109.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Z:\74639\06RET\(751)%20BU%20Allocations\Inactive%20BU%20Allocation%20Codes\Assignment%20of%20Inactive%20BU%20Codes\Active%20and%20Inactive%20Percentages%20-%20Pension.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Q:\WINDOWS\TEMP\REPORT1.xlr"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T:\Lee\Dutch%20Auctions\CIPS%20Dutch_2004.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E:\Client%20Work\Ameren\Ameren%20-%202005%20-%20version%202\MFR\Work%20in%20Progress\Edits%20to%20WIP\CIPS%20and%20CILCO%20MFRs_112305\CILCO%20MFRs\CILCO%20MFR,%20112505%20Version.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E:\Documents%20and%20Settings\E44367\Local%20Settings\Temporary%20Internet%20Files\OLKFC\CIPS-UE%20Electric%20MFR%20-%20102607%20-%20(FINAL).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E:\Documents%20and%20Settings\e42033\Local%20Settings\Temporary%20Internet%20Files\OLK72\Sch%20in%20Progress\C%20Schedules%205_17_05.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Chmclstr2_vol3_server\VOL3\DATA\CORP\CA_CCC\Spreadsheet%20Inventory\Spreadsheet%20Inventory%20Template%20-%20May%202006.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E:\ILL%20Gas%20Rate%20Case%202006\MFRs\CIPS\AmerenCIPS%20Natural%20Gas%20MFR%20Model%20071807%20Version.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Z:\ILL%20Gas%20Rate%20Case%202006\MFRs\CIPS\AmerenCIPS%20Natural%20Gas%20MFR%20Model,%20090907%20Versio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ILL%20Gas%20Rate%20Case%202006\MFRs\CILCO\AmerenCILCO%20Natural%20Gas%20MFR%20Model%20071807%20version.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E:\xls\CMDP\CLAIMS-FEES-99\AsoFee99.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Q:\FINANCE\DEPT-TAX\General%20Ledger%20Department\KAH\Credit%20Facility.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Q:\OSTBenchmarkP7FY05.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Z:\74639\07\RET\(850,851,855)%20Combined%20Results\Disclosures\Year%20End%20Disclosure\Templates\Exelon%20FAS%20158%2012.31.2007%20-%20Pension%20Template.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E:\DOCUME~1\madams\LOCALS~1\Temp\notesFFF692\Gas%20Blankets%20by%20Acct.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E:\WINNT\Profiles\MOYSH\Temporary%20Internet%20Files\OLKB1\PGL%20Schedule%20D3%20-%20REVISED%20(12-14-05%20SM).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T:\Users\jtaylor\AppData\Local\Microsoft\Windows\Temporary%20Internet%20Files\Content.Outlook\QE53FUKO\RECs%20with%20Numbers.xlsx"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ceafs1\userhome\Documents%20and%20Settings\e41540\Local%20Settings\Temporary%20Internet%20Files\OLK99\CWIP%20Dec%202004%20Rev.03.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Z:\Documents%20and%20Settings\q47709\My%20Documents\AmerenIP%20Electric%20MFRs%20090607.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E:\Documents%20and%20Settings\q47709\My%20Documents\AmerenIP%20Electric%20MFRs%200906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eafs1\userhome\All%20Projects\Ameren\RATECASE\IP%20Schedules\Other%20Schedules%20-%20CIP,UE%20and%20CILCO\CILCO%20MFRs_Revised%20For%20Deficiencies.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E:\Documents%20and%20Settings\e42033\Local%20Settings\Temporary%20Internet%20Files\OLK3E3\AmerenIP%20Electric%20MFR%20Model%20-%20WIP%20-%20120508.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E:\Documents%20and%20Settings\madams\Local%20Settings\Temporary%20Internet%20Files\OLK11E\Allocation%20Factor%20Analysis%20for%20Lazares%20Adjustment.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CCCCLSTR2_VOL7_SERVER\VOL7\CA_CCC\Stock%20Options%20-%20FAS%20123R\Budget\2008%20Forecast\FAS%20123R%20Option%20Model%202008%20w_2009%20Forecast.0914vST.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E:\CGCommon\Income%20Tax%20Team\JVs\JV04%20-%20AmerenIP\JV350_Oct-Nov.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Z:\Documents%20and%20Settings\q47709\Local%20Settings\Temp\AmerenIP%20Electric%20MFRs%20100807%20PM.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E:\Documents%20and%20Settings\jtaylor\Desktop\AMS%20Cost%20Study%20(CEA)\Ameren%20Cost%20Study\AMS%20Cost%20Analysis%20-%20All%20Data%20v20070501.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CCCCLSTR2_VOL7_SERVER\VOL7\win32\TEMP\inside.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E:\123\IL_distr\UE\metzler\0998%20il%20ue%20distr.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S:\DOCUME~1\jollu\LOCALS~1\Temp\2005%20Exelon%20IT%20Programs_EDS040603%20Customer1.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S:\Documents%20and%20Settings\u999tfe\Desktop\3year\tomFFA%202005-08%20Exelon%20IT%20Programs_Initiativ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RetireeCensus"/>
      <sheetName val="2000PCCs"/>
      <sheetName val="2000PlanProvisions"/>
      <sheetName val="JobDefinition"/>
    </sheetNames>
    <sheetDataSet>
      <sheetData sheetId="0" refreshError="1"/>
      <sheetData sheetId="1" refreshError="1"/>
      <sheetData sheetId="2" refreshError="1"/>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Print"/>
      <sheetName val="A - 1"/>
      <sheetName val="A - 2"/>
      <sheetName val="A - 2.1"/>
      <sheetName val="A - 3"/>
      <sheetName val="A - 4"/>
      <sheetName val="A - 5a"/>
      <sheetName val="A - 5b"/>
      <sheetName val="WPA - 5"/>
      <sheetName val="DefResp-3a"/>
      <sheetName val="WPA - 5a"/>
      <sheetName val="DefResp-3b"/>
      <sheetName val="B - 1"/>
      <sheetName val="WPB - 1"/>
      <sheetName val="B - 2"/>
      <sheetName val="B - 2.1"/>
      <sheetName val="WPB - 2.1a"/>
      <sheetName val="WPB - 2.1b"/>
      <sheetName val="WPB - 2.1c"/>
      <sheetName val="WPB - 2.1d"/>
      <sheetName val="WPB - 2.1e"/>
      <sheetName val="B - 3"/>
      <sheetName val="B - 4"/>
      <sheetName val="WPB - 4"/>
      <sheetName val="B - 5"/>
      <sheetName val="WPB - 5"/>
      <sheetName val="B - 6a"/>
      <sheetName val="B - 6b"/>
      <sheetName val="B - 7.2a"/>
      <sheetName val="B - 7.2b"/>
      <sheetName val="B - 8"/>
      <sheetName val="CWC"/>
      <sheetName val="B - 8.1"/>
      <sheetName val="WPB-8.1asub"/>
      <sheetName val="WPB - 8.1a"/>
      <sheetName val="WPB - 8.1b"/>
      <sheetName val="WPB - 8.1c"/>
      <sheetName val="B - 9"/>
      <sheetName val="B-9sub"/>
      <sheetName val="WPB - 9a"/>
      <sheetName val="WPB - 9b"/>
      <sheetName val="B - 9.1"/>
      <sheetName val="B - 13"/>
      <sheetName val="WPB - 13"/>
      <sheetName val="B - 14"/>
      <sheetName val="WPB - 14"/>
      <sheetName val="C - 1"/>
      <sheetName val="C - 2"/>
      <sheetName val="C - 2 sub"/>
      <sheetName val="C - 2.1"/>
      <sheetName val="WPC - 2.1"/>
      <sheetName val="C - 2.2"/>
      <sheetName val="C - 2.3"/>
      <sheetName val="WPC - 2.3a"/>
      <sheetName val="WPC - 2.3b"/>
      <sheetName val="C - 2.4"/>
      <sheetName val="WPC - 2.4"/>
      <sheetName val="C - 2.5"/>
      <sheetName val="WPC - 2.5"/>
      <sheetName val="C - 2.6"/>
      <sheetName val="WPC - 2.6a"/>
      <sheetName val="C - 2.6 NOT USED"/>
      <sheetName val="WPC - 2.6a NOT USED"/>
      <sheetName val="WPC - 2.6b"/>
      <sheetName val="C - 2.7"/>
      <sheetName val="WPC - 2.7"/>
      <sheetName val="WPC - 2.7a"/>
      <sheetName val="WPC - 2.7b"/>
      <sheetName val="WPC - 2.7c"/>
      <sheetName val="WPC - 2.7d"/>
      <sheetName val="WPC - 2.7e"/>
      <sheetName val="C - 2.8"/>
      <sheetName val="C - 2.9"/>
      <sheetName val="C - 2.10"/>
      <sheetName val="C - 2.11"/>
      <sheetName val="WPC - 2.11"/>
      <sheetName val="C - 2.12"/>
      <sheetName val="WPC - 2.12"/>
      <sheetName val="C - 2.13"/>
      <sheetName val="C - 2.14"/>
      <sheetName val="WPC - 2.14"/>
      <sheetName val="C - 2.15"/>
      <sheetName val="WPC - 2.15a"/>
      <sheetName val="WPC - 2.15b"/>
      <sheetName val="C - 2.16"/>
      <sheetName val="C - 3"/>
      <sheetName val="C - 4"/>
      <sheetName val="WPC - 4"/>
      <sheetName val="WPC - 4dup"/>
      <sheetName val="C - 5"/>
      <sheetName val="C - 5b"/>
      <sheetName val="C - 5.1"/>
      <sheetName val="C - 5.2"/>
      <sheetName val="C - 5.3"/>
      <sheetName val="C - 5.4"/>
      <sheetName val="WPC - 5.4"/>
      <sheetName val="C - 5.5"/>
      <sheetName val="C - 6"/>
      <sheetName val="C - 6.1"/>
      <sheetName val="C - 6.2"/>
      <sheetName val="C - 7"/>
      <sheetName val="C - 8"/>
      <sheetName val="WPC - 8"/>
      <sheetName val="C - 9"/>
      <sheetName val="C - 10"/>
      <sheetName val="WPC - 10"/>
      <sheetName val="C - 10.1"/>
      <sheetName val="C - 11.1"/>
      <sheetName val="WPC - 11.1"/>
      <sheetName val="C - 11.2a"/>
      <sheetName val="C - 11.2b"/>
      <sheetName val="C - 11.2c"/>
      <sheetName val="C - 11.2d"/>
      <sheetName val="C - 11.2e"/>
      <sheetName val="C - 11.2f"/>
      <sheetName val="C - 11.2g"/>
      <sheetName val="C - 11.2h"/>
      <sheetName val="C - 11.3"/>
      <sheetName val="WPC - 11.3a"/>
      <sheetName val="WPC - 11.3b"/>
      <sheetName val="WPC - 11.3c"/>
      <sheetName val="WPC - 11.3d"/>
      <sheetName val="C - 12"/>
      <sheetName val="WPC - 12"/>
      <sheetName val="C - 13a"/>
      <sheetName val="C - 13b"/>
      <sheetName val="C - 14"/>
      <sheetName val="WPC - 14"/>
      <sheetName val="C - 16"/>
      <sheetName val="WPC - 16"/>
      <sheetName val="C - 17a"/>
      <sheetName val="C - 17b"/>
      <sheetName val="C - 17c"/>
      <sheetName val="C - 17d"/>
      <sheetName val="C - 18"/>
      <sheetName val="WPC - 18a p1"/>
      <sheetName val="WPC - 18a p2"/>
      <sheetName val="WPC - 18b"/>
      <sheetName val="C - 19"/>
      <sheetName val="C - 21"/>
      <sheetName val="C - 23"/>
      <sheetName val="WPC - 23"/>
      <sheetName val="C - 25"/>
      <sheetName val="C - 31"/>
    </sheetNames>
    <sheetDataSet>
      <sheetData sheetId="0">
        <row r="154">
          <cell r="C154" t="str">
            <v>AmerenCILCO</v>
          </cell>
        </row>
        <row r="157">
          <cell r="C157" t="str">
            <v>As Of December 31, 2004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on"/>
      <sheetName val="Index"/>
      <sheetName val="Sch A-1  Summ of Std Info Rqmts"/>
      <sheetName val="Deficiency"/>
      <sheetName val="Sch A-2  Overall Fin Summ"/>
      <sheetName val="Sch A-2.1 GRCF"/>
      <sheetName val="Sch A-3 Comp of Present Propose"/>
      <sheetName val="Sch A-4 Compar to Prior Order"/>
      <sheetName val="Sch A-5 Juris Alloc Summ RB"/>
      <sheetName val="Sch A-5 Juris Alloc Summ Exp"/>
      <sheetName val="WPA-5"/>
      <sheetName val="WPA-5.2"/>
      <sheetName val="WPA-5.1.4 Func Factors"/>
      <sheetName val="Sch B-1 Juris RB"/>
      <sheetName val="WPB-1.1 Cust Adv"/>
      <sheetName val="Sch B-2 Summ of RB Adj"/>
      <sheetName val="Sch B-2.1 CSS Integration"/>
      <sheetName val="Sch B-2.2 CWIP to UPIS"/>
      <sheetName val="WPB-2.2.1"/>
      <sheetName val="WPB-2.2.2"/>
      <sheetName val="WPB-2.2.3"/>
      <sheetName val="Sch B-2.3 Bldg Retirements"/>
      <sheetName val="WPB-2.3.1"/>
      <sheetName val="Sch B-2.4 AMS Alloc Plt"/>
      <sheetName val="Sch B-2.4.1 AMS Alloc Plt"/>
      <sheetName val="WPB-2.4.2 Int Plt Gross - AMS"/>
      <sheetName val="WPB-2.4.3 Int Plt Reserve - AMS"/>
      <sheetName val="WPB-2.4.4 Int Plt Net - AMS"/>
      <sheetName val="WPB-2.4.5 Gen Plt Gross -AMS"/>
      <sheetName val="WPB-2.4.6 Gen Plt Reserve - AMS"/>
      <sheetName val="WPB-2.4.7 Gen Plt Net - AMS"/>
      <sheetName val="Sch B-2.5 Gen CWIP"/>
      <sheetName val="WPB-2.5.1"/>
      <sheetName val="Sch B-2.6 Sys Conv"/>
      <sheetName val="WP B-2.6.1"/>
      <sheetName val="Sch B-3 Comparative BS"/>
      <sheetName val="Sch B-4 Adj to UPIS"/>
      <sheetName val="Sch B-5 Adds Retires Transfers"/>
      <sheetName val="Sch B-5.1 Sale Gains or Losses"/>
      <sheetName val="Sch B-5.2 Merged or Acq Prop"/>
      <sheetName val="Sch B-5.3 Leased Prop"/>
      <sheetName val="Sch B-6 Depr Res"/>
      <sheetName val="Sch B-7 CWIP"/>
      <sheetName val="Sch B-7.1 CWIP % Complete"/>
      <sheetName val="Sch B-7.2 AFUDC"/>
      <sheetName val="Sch B-8 CWC"/>
      <sheetName val="Sch B-8.1 M&amp;S"/>
      <sheetName val="WPB-8.1.1"/>
      <sheetName val="WPB-8.1.2"/>
      <sheetName val="Construction"/>
      <sheetName val="GPROD"/>
      <sheetName val="ETRANS"/>
      <sheetName val="GTRANS"/>
      <sheetName val="EDISTR"/>
      <sheetName val="GDISTR"/>
      <sheetName val="DistrMisc"/>
      <sheetName val="Other"/>
      <sheetName val="Sch B-9 ADIT"/>
      <sheetName val="Sch B-9.1 BS Assets &amp; Liab"/>
      <sheetName val="Sch B-10 Def Charges"/>
      <sheetName val="Sch B-11 PHFFU"/>
      <sheetName val="Sch B-12 Analysis of PHFFU"/>
      <sheetName val="Sch B-13 Cust Deposits"/>
      <sheetName val="WPB-13.1 Customer Deposits"/>
      <sheetName val="Sch B-14 Budget Pymt Plan"/>
      <sheetName val="Sch C-1 Juris Op Inc Sum"/>
      <sheetName val="Sch C-2 Sum of Adj"/>
      <sheetName val="Sch C-2.1 WNA"/>
      <sheetName val="WPC2.1"/>
      <sheetName val="Sch C-2.2 Annualized Labor"/>
      <sheetName val="WPC-2.2.1"/>
      <sheetName val="WPC-2.2.2"/>
      <sheetName val="WPC-2.2.3"/>
      <sheetName val="WPC-2.2.4"/>
      <sheetName val="WPC-2.2.5"/>
      <sheetName val="WPC-2.2.6"/>
      <sheetName val="WPC-2.2.7"/>
      <sheetName val="Sch C-2.3 AMS Realloc"/>
      <sheetName val="WPC-2.3.1 AMS Reallocation"/>
      <sheetName val="WPC-2.3.2 Offsets to AMS Alloc"/>
      <sheetName val="WPC-2.3.3 Annualized Detail"/>
      <sheetName val="WPC-2.3.4 IP 04-05"/>
      <sheetName val="WPC-2.3.5 IP 05-05"/>
      <sheetName val="WPC-2.3.6 IP 06-05"/>
      <sheetName val="WPC-2.3.6 IP 07-05"/>
      <sheetName val="Sch C-2.4 Acq Cost Savings"/>
      <sheetName val="Sch C-2.5 Company Use"/>
      <sheetName val="Sch C-2.6 Tree Trim"/>
      <sheetName val="Sch C-2.7 Rate Case Exp"/>
      <sheetName val="Sch C-2.8 Int on Cust Dep"/>
      <sheetName val="WPC-2.8.1"/>
      <sheetName val="Sch C-2.9 Uncol Exp at Present"/>
      <sheetName val="Sch C-2.10 Purch Accting Elim"/>
      <sheetName val="Sch C-2.11 Elim Dynegy Alloc"/>
      <sheetName val="WPC-2.11.1 Summary"/>
      <sheetName val="WPC-2.11.2 Jan OH"/>
      <sheetName val="WPC-2.11.3 Jan D"/>
      <sheetName val="WPC-2.11.4 Feb OH"/>
      <sheetName val="WPC-2.11.5 Feb D"/>
      <sheetName val="WPC-2.11.6 Mar OH"/>
      <sheetName val="WPC-2.11.7 Mar D"/>
      <sheetName val="WPC-2.11.8 Apr OH"/>
      <sheetName val="WPC-2.11.9 Apr D"/>
      <sheetName val="WPC-2.11.10 May OH"/>
      <sheetName val="WPC-2.11.11 May D"/>
      <sheetName val="WPC-2.11.12 Jun OH"/>
      <sheetName val="WPC-2.11.13 Jun D"/>
      <sheetName val="WPC-2.11.14 Jul OH"/>
      <sheetName val="WPC-2.11.15 Jul D"/>
      <sheetName val="WPC-2.11.16 Aug OH"/>
      <sheetName val="WPC-2.11.17 Aug D"/>
      <sheetName val="WPC-2.11.18 Sep OH"/>
      <sheetName val="WPC-2.11.19 Sep D"/>
      <sheetName val="Sch C-2.12 Annual Empl Pen Ben"/>
      <sheetName val="WPC-2.12.1"/>
      <sheetName val="WPC-2.12.2"/>
      <sheetName val="WPC-2.12.3"/>
      <sheetName val="WPC-2.12.4"/>
      <sheetName val="WPC-2.12.5"/>
      <sheetName val="WPC-2.12.6"/>
      <sheetName val="WPC-2.12.7"/>
      <sheetName val="WPC-2.12.8"/>
      <sheetName val="WPC-2.12.9"/>
      <sheetName val="WPC-2.12.10"/>
      <sheetName val="WPC-2.12.11"/>
      <sheetName val="WPC-2.12.12"/>
      <sheetName val="Sch C-2.13 Franchise Require"/>
      <sheetName val="Sch C-2.14 Spec Int Trust"/>
      <sheetName val="Sch C-2.15 Depr Exp on Bldg Ret"/>
      <sheetName val="Sch C-2.16 Depr Exp CSS Int"/>
      <sheetName val="Sch C-2.17 Amort of Reg Asset"/>
      <sheetName val="Sch C-2.18 Amort on Sys Conv"/>
      <sheetName val="Sch C-2.19 RE Tax Bldg Retire"/>
      <sheetName val="Sch C-2.20 FICA"/>
      <sheetName val="Sch C-2.21 Inv Cap"/>
      <sheetName val="WPC-2.21.1"/>
      <sheetName val="Sch C-2.22 Add-On"/>
      <sheetName val="Sch C-3 Sales Stats"/>
      <sheetName val="Sch C-4 Comp IncSt"/>
      <sheetName val="WPC-4"/>
      <sheetName val="Sch C-5 Inc Tx"/>
      <sheetName val="Sch C-5b St Inc Tx"/>
      <sheetName val="Sch C-5.1 Con Fed Tx Ret"/>
      <sheetName val="Sch C-5.2 Def Inc Tx"/>
      <sheetName val="Sch C-5.3 Diff Bk &amp; Tx Depr"/>
      <sheetName val="Sch C-5.4 Int Synch"/>
      <sheetName val="WPC - 5.4 "/>
      <sheetName val="Sch C-5.5 ITC &amp; Job Dev. Cr"/>
      <sheetName val="Sch C-6 Social &amp; Svc Club Dues"/>
      <sheetName val="Sch C-6.1 Ind Assoc Dues"/>
      <sheetName val="WPC-6.1 2004"/>
      <sheetName val="WPC-6.1 2003"/>
      <sheetName val="WPC-6.1 2002"/>
      <sheetName val="WPC-6.1 2001"/>
      <sheetName val="Sch C-6.2 Exp for Outside Svc"/>
      <sheetName val="WPC-6.2"/>
      <sheetName val="Sch C-7 Charitable Contr"/>
      <sheetName val="WPC-7"/>
      <sheetName val="Sch C-8 Dem. &amp; Sell"/>
      <sheetName val="WPC-8.1"/>
      <sheetName val="Sch C-9 Political &amp; Reltd Act"/>
      <sheetName val="WPC-9"/>
      <sheetName val="Sch C-10 Rate Case Exp"/>
      <sheetName val="Sch WPC-10"/>
      <sheetName val="Sch C-10.1 Rt Case Exp Comp"/>
      <sheetName val="Sch C-11.1 Direct Payroll"/>
      <sheetName val="WPC-11.1.1"/>
      <sheetName val="WPC-11.1.2"/>
      <sheetName val="Sch C-11.2a No. of Empl. 2004"/>
      <sheetName val="Sch C-11.2a  No. of Empl. 2003"/>
      <sheetName val="Sch C-11.2a  No. of Empl. 2002"/>
      <sheetName val="Sch C-11.2a No. of Empl. 2001"/>
      <sheetName val="Sch C-11.2b Auth No. Empl. 2004"/>
      <sheetName val="Sch C-11.2b Auth No. Empl. 2003"/>
      <sheetName val="Sch C-11.2b Auth No. Empl. 2002"/>
      <sheetName val="Sch C-11.2b Auth No. Empl. 2001"/>
      <sheetName val="Sch C-11.3 Empl Benefits"/>
      <sheetName val="WPC-11.3.1"/>
      <sheetName val="WPC-11.3.2"/>
      <sheetName val="WPC-11.3.3"/>
      <sheetName val="WPC-11.3.4"/>
      <sheetName val="Sch 11.4 Recon Est Ovrhd"/>
      <sheetName val="Sch C-12 Depr Exp"/>
      <sheetName val="Sch C-13 Summ Affl Int Tran"/>
      <sheetName val="WPC-13.1 Affl Int Trans"/>
      <sheetName val="Sch C-14 Oper Leases"/>
      <sheetName val="WPC-14"/>
      <sheetName val="WPC-14a"/>
      <sheetName val="WPC-14b"/>
      <sheetName val="WPC-14c"/>
      <sheetName val="WPC-14d"/>
      <sheetName val="WPC-14e"/>
      <sheetName val="Sch C-15 Major Maint Proj"/>
      <sheetName val="Sch C-16 Uncol Exp"/>
      <sheetName val="WPC-16.1"/>
      <sheetName val="WPC-16.2"/>
      <sheetName val="Sch C-17 Insur. Exp.p1"/>
      <sheetName val="Sch C-17 Insur. Exp. p2"/>
      <sheetName val="Sch C-18a Oth Tx 2004"/>
      <sheetName val="WPC-18a 2004"/>
      <sheetName val="Sch C-18a Oth Tx 2003"/>
      <sheetName val="WPC-18a 2003"/>
      <sheetName val="Sch C-18a Oth Tx 2002"/>
      <sheetName val="WPC-18a Oth Tx 2002"/>
      <sheetName val="Sch C-18a Oth Tx 2001"/>
      <sheetName val="WPC-18a 2001"/>
      <sheetName val="Sch C-18c Accr Prop Tax"/>
      <sheetName val="WPC-18c Accr Prop Tax"/>
      <sheetName val="Sch C-19 Prop Tx"/>
      <sheetName val="Sch C-20 Local Tx"/>
      <sheetName val="Sch C-21 Misc Gen Exp"/>
      <sheetName val="WPC-21"/>
      <sheetName val="Sch C-22 Acq. Cost Sav"/>
      <sheetName val="Sch C-23 Misc Oper Rev"/>
      <sheetName val="WPC - 23.1"/>
      <sheetName val="Sch C-24 Legal Exp &amp; Res"/>
      <sheetName val="Sch C-25 Add On Tx"/>
      <sheetName val="WPC-25"/>
      <sheetName val="Sch C-26 Amort Def Ch"/>
      <sheetName val="Sch C-27 Fuel Adj Rev &amp; Exp"/>
      <sheetName val="Sch C-28 Fuel Transp Exp"/>
      <sheetName val="Sch C-29 Decom Exp"/>
      <sheetName val="Sch C-30 PGA Rev &amp; Exp"/>
      <sheetName val="Sch C-31 Compet Serv"/>
      <sheetName val="Sch C-32 Non-Util Oper"/>
      <sheetName val="Sch C-33 Billing Exper"/>
    </sheetNames>
    <sheetDataSet>
      <sheetData sheetId="0" refreshError="1">
        <row r="13">
          <cell r="B13" t="str">
            <v>($000's)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2nd qtr 2000"/>
      <sheetName val="adjustments"/>
      <sheetName val="Fair Value"/>
      <sheetName val="merger related costs"/>
      <sheetName val="JE's"/>
      <sheetName val="Sheet1"/>
      <sheetName val="Nuc FV Dec"/>
      <sheetName val="Goodwill amort"/>
      <sheetName val="PECO Securit Adj"/>
      <sheetName val="chg in acctg prin"/>
      <sheetName val="don't use past here."/>
      <sheetName val="Goodwill"/>
      <sheetName val="PECO stock price"/>
      <sheetName val="UCM Share Repurchase"/>
      <sheetName val="Reg Asset Amort"/>
      <sheetName val="FERC 8K Recon"/>
      <sheetName val="Goodwill (2)"/>
      <sheetName val="MERGER2"/>
      <sheetName val="CONSOLIDATING W ADJUSTMENTS"/>
      <sheetName val="Oct-00"/>
      <sheetName val="mktprice"/>
      <sheetName val="Assumptions"/>
      <sheetName val="State ETR Calc"/>
      <sheetName val="LineItem Data"/>
      <sheetName val="SETUP-Review"/>
    </sheetNames>
    <sheetDataSet>
      <sheetData sheetId="0" refreshError="1"/>
      <sheetData sheetId="1" refreshError="1">
        <row r="6">
          <cell r="A6" t="str">
            <v>UNAUDITED PROFORMA CONDENSED STATEMENT OF INCOME</v>
          </cell>
          <cell r="K6" t="str">
            <v>UNAUDITED PROFORMA CONDENSED STATEMENT OF INCOME</v>
          </cell>
          <cell r="V6" t="str">
            <v>UNAUDITED PRO FORMA COMBINED CONDENSED STATEMENT OF INCOME</v>
          </cell>
        </row>
        <row r="7">
          <cell r="A7" t="str">
            <v>(Millions Except Per Share Data)</v>
          </cell>
          <cell r="K7" t="str">
            <v>(Millions Except Per Share Data)</v>
          </cell>
          <cell r="V7" t="str">
            <v>(Millions Except Per Share Data)</v>
          </cell>
        </row>
        <row r="8">
          <cell r="A8" t="str">
            <v>FOR THE first six months ended June 30, 2000</v>
          </cell>
          <cell r="K8" t="str">
            <v>FOR THE first six months ended June 30, 2000</v>
          </cell>
          <cell r="V8" t="str">
            <v>FOR THE first six months ended June 30, 2000</v>
          </cell>
        </row>
        <row r="11">
          <cell r="I11" t="str">
            <v>PECO</v>
          </cell>
          <cell r="Y11" t="str">
            <v>PECO</v>
          </cell>
        </row>
        <row r="12">
          <cell r="D12" t="str">
            <v>PECO</v>
          </cell>
          <cell r="G12" t="str">
            <v>PECO Energy</v>
          </cell>
          <cell r="I12" t="str">
            <v>Energy</v>
          </cell>
          <cell r="P12" t="str">
            <v>UNICOM</v>
          </cell>
          <cell r="R12" t="str">
            <v>UNICOM</v>
          </cell>
          <cell r="T12" t="str">
            <v>UNICOM</v>
          </cell>
          <cell r="Y12" t="str">
            <v>Energy</v>
          </cell>
        </row>
        <row r="13">
          <cell r="D13" t="str">
            <v>Energy</v>
          </cell>
          <cell r="F13" t="str">
            <v xml:space="preserve">Chg in </v>
          </cell>
          <cell r="G13" t="str">
            <v>Transition Bond</v>
          </cell>
          <cell r="I13" t="str">
            <v>Prior to</v>
          </cell>
          <cell r="N13" t="str">
            <v>UNICOM</v>
          </cell>
          <cell r="P13" t="str">
            <v>Fossil Sale</v>
          </cell>
          <cell r="R13" t="str">
            <v>Share Buyback</v>
          </cell>
          <cell r="T13" t="str">
            <v>Prior to</v>
          </cell>
          <cell r="Y13" t="str">
            <v>Prior to</v>
          </cell>
          <cell r="AA13" t="str">
            <v>UNICOM</v>
          </cell>
          <cell r="AD13" t="str">
            <v>Merger</v>
          </cell>
          <cell r="AF13" t="str">
            <v>Merger</v>
          </cell>
        </row>
        <row r="14">
          <cell r="D14" t="str">
            <v>As</v>
          </cell>
          <cell r="F14" t="str">
            <v>Acct</v>
          </cell>
          <cell r="G14" t="str">
            <v>ProForma</v>
          </cell>
          <cell r="I14" t="str">
            <v>Merger</v>
          </cell>
          <cell r="N14" t="str">
            <v>As</v>
          </cell>
          <cell r="P14" t="str">
            <v>ProForma</v>
          </cell>
          <cell r="R14" t="str">
            <v>ProForma</v>
          </cell>
          <cell r="T14" t="str">
            <v>Merger</v>
          </cell>
          <cell r="Y14" t="str">
            <v>Merger</v>
          </cell>
          <cell r="AA14" t="str">
            <v>as</v>
          </cell>
          <cell r="AB14" t="str">
            <v>ComEd</v>
          </cell>
          <cell r="AD14" t="str">
            <v>Related</v>
          </cell>
          <cell r="AF14" t="str">
            <v>ProForma</v>
          </cell>
          <cell r="AH14" t="str">
            <v>Exelon</v>
          </cell>
        </row>
        <row r="15">
          <cell r="D15" t="str">
            <v>Filed</v>
          </cell>
          <cell r="E15" t="str">
            <v>Reclasses</v>
          </cell>
          <cell r="F15" t="str">
            <v>Princ</v>
          </cell>
          <cell r="G15" t="str">
            <v>Adjustments(1)</v>
          </cell>
          <cell r="I15" t="str">
            <v>ProForma</v>
          </cell>
          <cell r="N15" t="str">
            <v>Filed</v>
          </cell>
          <cell r="P15" t="str">
            <v>Adjustments(3)</v>
          </cell>
          <cell r="R15" t="str">
            <v>Adjustments(4)</v>
          </cell>
          <cell r="T15" t="str">
            <v>ProForma</v>
          </cell>
          <cell r="Y15" t="str">
            <v>ProForma</v>
          </cell>
          <cell r="AA15" t="str">
            <v>filed</v>
          </cell>
          <cell r="AB15" t="str">
            <v>Reclasses</v>
          </cell>
          <cell r="AD15" t="str">
            <v>Costs</v>
          </cell>
          <cell r="AF15" t="str">
            <v>Adjustments</v>
          </cell>
          <cell r="AH15" t="str">
            <v>ProForma</v>
          </cell>
        </row>
        <row r="16">
          <cell r="AD16" t="str">
            <v>UCM 25</v>
          </cell>
        </row>
        <row r="17">
          <cell r="A17" t="str">
            <v>Operating Revenues</v>
          </cell>
          <cell r="K17" t="str">
            <v>Operating Revenues</v>
          </cell>
          <cell r="V17" t="str">
            <v>Operating Revenues</v>
          </cell>
          <cell r="AD17" t="str">
            <v>PECO 20</v>
          </cell>
        </row>
        <row r="18">
          <cell r="B18" t="str">
            <v>Electric</v>
          </cell>
          <cell r="E18">
            <v>4</v>
          </cell>
          <cell r="F18">
            <v>0</v>
          </cell>
          <cell r="G18">
            <v>0</v>
          </cell>
          <cell r="I18">
            <v>4</v>
          </cell>
          <cell r="L18" t="str">
            <v>Electric</v>
          </cell>
          <cell r="N18">
            <v>3465</v>
          </cell>
          <cell r="P18">
            <v>0</v>
          </cell>
          <cell r="R18">
            <v>0</v>
          </cell>
          <cell r="T18">
            <v>3465</v>
          </cell>
          <cell r="W18" t="str">
            <v>Electric</v>
          </cell>
          <cell r="Y18">
            <v>4</v>
          </cell>
          <cell r="AA18">
            <v>3465</v>
          </cell>
          <cell r="AB18">
            <v>3</v>
          </cell>
          <cell r="AF18">
            <v>-14.047000000000001</v>
          </cell>
          <cell r="AH18">
            <v>3457.953</v>
          </cell>
        </row>
        <row r="19">
          <cell r="B19" t="str">
            <v>Gas</v>
          </cell>
          <cell r="D19">
            <v>2716</v>
          </cell>
          <cell r="E19">
            <v>6</v>
          </cell>
          <cell r="G19">
            <v>0</v>
          </cell>
          <cell r="I19">
            <v>2722</v>
          </cell>
          <cell r="L19" t="str">
            <v>Gas</v>
          </cell>
          <cell r="N19">
            <v>0</v>
          </cell>
          <cell r="P19">
            <v>0</v>
          </cell>
          <cell r="R19">
            <v>0</v>
          </cell>
          <cell r="T19">
            <v>0</v>
          </cell>
          <cell r="W19" t="str">
            <v>Gas</v>
          </cell>
          <cell r="Y19">
            <v>2722</v>
          </cell>
          <cell r="AA19">
            <v>0</v>
          </cell>
          <cell r="AB19">
            <v>0</v>
          </cell>
          <cell r="AD19">
            <v>0</v>
          </cell>
          <cell r="AF19">
            <v>0</v>
          </cell>
          <cell r="AH19">
            <v>2722</v>
          </cell>
        </row>
        <row r="20">
          <cell r="B20" t="str">
            <v xml:space="preserve">   Total Operating Revenues</v>
          </cell>
          <cell r="D20">
            <v>2716</v>
          </cell>
          <cell r="E20">
            <v>10</v>
          </cell>
          <cell r="F20">
            <v>0</v>
          </cell>
          <cell r="G20">
            <v>0</v>
          </cell>
          <cell r="I20">
            <v>2726</v>
          </cell>
          <cell r="L20" t="str">
            <v xml:space="preserve">   Total Operating Revenues</v>
          </cell>
          <cell r="N20">
            <v>3465</v>
          </cell>
          <cell r="P20">
            <v>0</v>
          </cell>
          <cell r="R20">
            <v>0</v>
          </cell>
          <cell r="T20">
            <v>3465</v>
          </cell>
          <cell r="W20" t="str">
            <v xml:space="preserve">   Total Operating Revenues</v>
          </cell>
          <cell r="Y20">
            <v>2726</v>
          </cell>
          <cell r="AA20">
            <v>3465</v>
          </cell>
          <cell r="AB20">
            <v>3</v>
          </cell>
          <cell r="AD20">
            <v>0</v>
          </cell>
          <cell r="AF20">
            <v>-14.047000000000001</v>
          </cell>
          <cell r="AH20">
            <v>6179.9529999999995</v>
          </cell>
        </row>
        <row r="22">
          <cell r="A22" t="str">
            <v>Operating Expenses</v>
          </cell>
          <cell r="K22" t="str">
            <v>Operating Expenses</v>
          </cell>
          <cell r="V22" t="str">
            <v>Operating Expenses</v>
          </cell>
        </row>
        <row r="23">
          <cell r="B23" t="str">
            <v>Fuel and Energy Interchange</v>
          </cell>
          <cell r="D23">
            <v>926</v>
          </cell>
          <cell r="E23">
            <v>6</v>
          </cell>
          <cell r="G23">
            <v>0</v>
          </cell>
          <cell r="I23">
            <v>932</v>
          </cell>
          <cell r="L23" t="str">
            <v>Fuel and Energy Interchange</v>
          </cell>
          <cell r="N23">
            <v>872</v>
          </cell>
          <cell r="P23">
            <v>0</v>
          </cell>
          <cell r="R23">
            <v>0</v>
          </cell>
          <cell r="T23">
            <v>872</v>
          </cell>
          <cell r="W23" t="str">
            <v>Fuel and Energy Interchange</v>
          </cell>
          <cell r="Y23">
            <v>932</v>
          </cell>
          <cell r="AA23">
            <v>872</v>
          </cell>
          <cell r="AF23">
            <v>-14.047000000000001</v>
          </cell>
          <cell r="AH23">
            <v>1789.953</v>
          </cell>
        </row>
        <row r="24">
          <cell r="B24" t="str">
            <v>Operation and Maintenance</v>
          </cell>
          <cell r="D24">
            <v>835</v>
          </cell>
          <cell r="E24">
            <v>10</v>
          </cell>
          <cell r="F24">
            <v>-5</v>
          </cell>
          <cell r="G24">
            <v>0</v>
          </cell>
          <cell r="I24">
            <v>840</v>
          </cell>
          <cell r="L24" t="str">
            <v>Operation and Maintenance</v>
          </cell>
          <cell r="N24">
            <v>1094</v>
          </cell>
          <cell r="P24">
            <v>0</v>
          </cell>
          <cell r="R24">
            <v>0</v>
          </cell>
          <cell r="T24">
            <v>1094</v>
          </cell>
          <cell r="W24" t="str">
            <v>Operation and Maintenance</v>
          </cell>
          <cell r="Y24">
            <v>840</v>
          </cell>
          <cell r="AA24">
            <v>1094</v>
          </cell>
          <cell r="AD24">
            <v>-45</v>
          </cell>
          <cell r="AF24">
            <v>22.9</v>
          </cell>
          <cell r="AH24">
            <v>1911.9</v>
          </cell>
        </row>
        <row r="25">
          <cell r="B25" t="str">
            <v>Depreciation and Amortization</v>
          </cell>
          <cell r="D25">
            <v>160</v>
          </cell>
          <cell r="E25">
            <v>0</v>
          </cell>
          <cell r="F25">
            <v>0</v>
          </cell>
          <cell r="G25">
            <v>0</v>
          </cell>
          <cell r="I25">
            <v>160</v>
          </cell>
          <cell r="L25" t="str">
            <v>Depreciation and Amortization</v>
          </cell>
          <cell r="N25">
            <v>601</v>
          </cell>
          <cell r="P25">
            <v>0</v>
          </cell>
          <cell r="R25">
            <v>0</v>
          </cell>
          <cell r="T25">
            <v>601</v>
          </cell>
          <cell r="W25" t="str">
            <v>Depreciation and Amortization</v>
          </cell>
          <cell r="Y25">
            <v>160</v>
          </cell>
          <cell r="AA25">
            <v>601</v>
          </cell>
          <cell r="AF25">
            <v>-110</v>
          </cell>
          <cell r="AH25">
            <v>651</v>
          </cell>
        </row>
        <row r="26">
          <cell r="B26" t="str">
            <v>Goodwill Amortization</v>
          </cell>
          <cell r="D26">
            <v>1</v>
          </cell>
          <cell r="E26">
            <v>0</v>
          </cell>
          <cell r="F26">
            <v>0</v>
          </cell>
          <cell r="G26">
            <v>0</v>
          </cell>
          <cell r="I26">
            <v>1</v>
          </cell>
          <cell r="L26" t="str">
            <v>Goodwill Amortization</v>
          </cell>
          <cell r="N26">
            <v>1</v>
          </cell>
          <cell r="P26">
            <v>0</v>
          </cell>
          <cell r="R26">
            <v>0</v>
          </cell>
          <cell r="T26">
            <v>1</v>
          </cell>
          <cell r="W26" t="str">
            <v>Goodwill Amortization</v>
          </cell>
          <cell r="Y26">
            <v>1</v>
          </cell>
          <cell r="AA26">
            <v>1</v>
          </cell>
          <cell r="AF26">
            <v>59.862498736856949</v>
          </cell>
          <cell r="AH26">
            <v>61.862498736856949</v>
          </cell>
        </row>
        <row r="27">
          <cell r="B27" t="str">
            <v>Taxes Other Than Income Taxes</v>
          </cell>
          <cell r="D27">
            <v>130</v>
          </cell>
          <cell r="E27">
            <v>0</v>
          </cell>
          <cell r="F27">
            <v>0</v>
          </cell>
          <cell r="G27">
            <v>0</v>
          </cell>
          <cell r="I27">
            <v>130</v>
          </cell>
          <cell r="L27" t="str">
            <v>Taxes Other Than Income Taxes</v>
          </cell>
          <cell r="N27">
            <v>268</v>
          </cell>
          <cell r="P27">
            <v>0</v>
          </cell>
          <cell r="R27">
            <v>0</v>
          </cell>
          <cell r="T27">
            <v>268</v>
          </cell>
          <cell r="W27" t="str">
            <v>Taxes Other Than Income Taxes</v>
          </cell>
          <cell r="Y27">
            <v>130</v>
          </cell>
          <cell r="AA27">
            <v>268</v>
          </cell>
          <cell r="AF27">
            <v>0</v>
          </cell>
          <cell r="AH27">
            <v>398</v>
          </cell>
        </row>
        <row r="28">
          <cell r="B28" t="str">
            <v xml:space="preserve">   Total Operating Expenses</v>
          </cell>
          <cell r="D28">
            <v>2052</v>
          </cell>
          <cell r="E28">
            <v>16</v>
          </cell>
          <cell r="F28">
            <v>-5</v>
          </cell>
          <cell r="G28">
            <v>0</v>
          </cell>
          <cell r="I28">
            <v>2063</v>
          </cell>
          <cell r="L28" t="str">
            <v xml:space="preserve">   Total Operating Expenses</v>
          </cell>
          <cell r="N28">
            <v>2836</v>
          </cell>
          <cell r="P28">
            <v>0</v>
          </cell>
          <cell r="R28">
            <v>0</v>
          </cell>
          <cell r="T28">
            <v>2836</v>
          </cell>
          <cell r="W28" t="str">
            <v xml:space="preserve">   Total Operating Expenses</v>
          </cell>
          <cell r="Y28">
            <v>2063</v>
          </cell>
          <cell r="AA28">
            <v>2836</v>
          </cell>
          <cell r="AB28">
            <v>0</v>
          </cell>
          <cell r="AD28">
            <v>-45</v>
          </cell>
          <cell r="AF28">
            <v>-41.284501263143056</v>
          </cell>
          <cell r="AH28">
            <v>4812.7154987368567</v>
          </cell>
        </row>
        <row r="29">
          <cell r="A29" t="str">
            <v xml:space="preserve">Operating Income </v>
          </cell>
          <cell r="D29">
            <v>664</v>
          </cell>
          <cell r="E29">
            <v>-6</v>
          </cell>
          <cell r="F29">
            <v>5</v>
          </cell>
          <cell r="G29">
            <v>0</v>
          </cell>
          <cell r="I29">
            <v>663</v>
          </cell>
          <cell r="K29" t="str">
            <v xml:space="preserve">Operating Income </v>
          </cell>
          <cell r="N29">
            <v>629</v>
          </cell>
          <cell r="P29">
            <v>0</v>
          </cell>
          <cell r="R29">
            <v>0</v>
          </cell>
          <cell r="T29">
            <v>629</v>
          </cell>
          <cell r="V29" t="str">
            <v xml:space="preserve">Operating Income </v>
          </cell>
          <cell r="Y29">
            <v>663</v>
          </cell>
          <cell r="AA29">
            <v>629</v>
          </cell>
          <cell r="AB29">
            <v>3</v>
          </cell>
          <cell r="AD29">
            <v>45</v>
          </cell>
          <cell r="AF29">
            <v>27.237501263143056</v>
          </cell>
          <cell r="AH29">
            <v>1367.2375012631428</v>
          </cell>
        </row>
        <row r="30">
          <cell r="A30" t="str">
            <v>Other Income and Deductions</v>
          </cell>
          <cell r="K30" t="str">
            <v>Other Income and Deductions</v>
          </cell>
          <cell r="V30" t="str">
            <v>Other Income and Deductions</v>
          </cell>
        </row>
        <row r="31">
          <cell r="B31" t="str">
            <v>Interest Expense</v>
          </cell>
          <cell r="D31">
            <v>-220</v>
          </cell>
          <cell r="G31">
            <v>-11.761926795666664</v>
          </cell>
          <cell r="I31">
            <v>-231.76192679566665</v>
          </cell>
          <cell r="L31" t="str">
            <v>Interest Expense</v>
          </cell>
          <cell r="N31">
            <v>-270</v>
          </cell>
          <cell r="P31">
            <v>0</v>
          </cell>
          <cell r="R31">
            <v>0</v>
          </cell>
          <cell r="T31">
            <v>-270</v>
          </cell>
          <cell r="W31" t="str">
            <v>Interest Expense</v>
          </cell>
          <cell r="Y31">
            <v>-231.76192679566665</v>
          </cell>
          <cell r="AA31">
            <v>-270</v>
          </cell>
          <cell r="AF31">
            <v>-11</v>
          </cell>
          <cell r="AH31">
            <v>-512.76192679566668</v>
          </cell>
        </row>
        <row r="32">
          <cell r="B32" t="str">
            <v>Pref Div</v>
          </cell>
          <cell r="D32">
            <v>-5</v>
          </cell>
          <cell r="E32">
            <v>0</v>
          </cell>
          <cell r="F32">
            <v>0</v>
          </cell>
          <cell r="G32">
            <v>0</v>
          </cell>
          <cell r="I32">
            <v>-5</v>
          </cell>
          <cell r="L32" t="str">
            <v>Pref Div</v>
          </cell>
          <cell r="N32">
            <v>-17</v>
          </cell>
          <cell r="P32">
            <v>0</v>
          </cell>
          <cell r="R32">
            <v>0</v>
          </cell>
          <cell r="T32">
            <v>-17</v>
          </cell>
          <cell r="W32" t="str">
            <v>Pref Div</v>
          </cell>
          <cell r="Y32">
            <v>-5</v>
          </cell>
          <cell r="AA32">
            <v>-17</v>
          </cell>
          <cell r="AF32">
            <v>-5</v>
          </cell>
          <cell r="AH32">
            <v>-27</v>
          </cell>
        </row>
        <row r="33">
          <cell r="B33" t="str">
            <v>Other, net</v>
          </cell>
          <cell r="D33">
            <v>24</v>
          </cell>
          <cell r="E33">
            <v>6</v>
          </cell>
          <cell r="I33">
            <v>30</v>
          </cell>
          <cell r="L33" t="str">
            <v>Other, net</v>
          </cell>
          <cell r="N33">
            <v>103</v>
          </cell>
          <cell r="P33">
            <v>0</v>
          </cell>
          <cell r="R33">
            <v>0</v>
          </cell>
          <cell r="T33">
            <v>103</v>
          </cell>
          <cell r="W33" t="str">
            <v>Other, net</v>
          </cell>
          <cell r="Y33">
            <v>30</v>
          </cell>
          <cell r="AA33">
            <v>103</v>
          </cell>
          <cell r="AB33">
            <v>-3</v>
          </cell>
          <cell r="AF33">
            <v>0</v>
          </cell>
          <cell r="AH33">
            <v>130</v>
          </cell>
        </row>
        <row r="34">
          <cell r="B34" t="str">
            <v xml:space="preserve">   Total Other Income and Deductions</v>
          </cell>
          <cell r="D34">
            <v>-201</v>
          </cell>
          <cell r="E34">
            <v>6</v>
          </cell>
          <cell r="F34">
            <v>0</v>
          </cell>
          <cell r="G34">
            <v>-11.761926795666664</v>
          </cell>
          <cell r="I34">
            <v>-206.76192679566665</v>
          </cell>
          <cell r="L34" t="str">
            <v xml:space="preserve">   Total Other Income and Deductions</v>
          </cell>
          <cell r="N34">
            <v>-184</v>
          </cell>
          <cell r="P34">
            <v>0</v>
          </cell>
          <cell r="R34">
            <v>0</v>
          </cell>
          <cell r="T34">
            <v>-184</v>
          </cell>
          <cell r="W34" t="str">
            <v xml:space="preserve">   Total Other Income and Deductions</v>
          </cell>
          <cell r="Y34">
            <v>-206.76192679566665</v>
          </cell>
          <cell r="AA34">
            <v>-184</v>
          </cell>
          <cell r="AB34">
            <v>-3</v>
          </cell>
          <cell r="AD34">
            <v>0</v>
          </cell>
          <cell r="AF34">
            <v>-16</v>
          </cell>
          <cell r="AH34">
            <v>-409.76192679566668</v>
          </cell>
        </row>
        <row r="36">
          <cell r="A36" t="str">
            <v>Income Before Income Taxes</v>
          </cell>
          <cell r="K36" t="str">
            <v>Income Before Income Taxes</v>
          </cell>
          <cell r="V36" t="str">
            <v>Income Before Income Taxes</v>
          </cell>
        </row>
        <row r="37">
          <cell r="A37" t="str">
            <v>and Extraordinary Item</v>
          </cell>
          <cell r="D37">
            <v>463</v>
          </cell>
          <cell r="E37">
            <v>0</v>
          </cell>
          <cell r="F37">
            <v>5</v>
          </cell>
          <cell r="G37">
            <v>-11.761926795666664</v>
          </cell>
          <cell r="I37">
            <v>456.23807320433332</v>
          </cell>
          <cell r="K37" t="str">
            <v>and Extraordinary Item</v>
          </cell>
          <cell r="N37">
            <v>445</v>
          </cell>
          <cell r="P37">
            <v>0</v>
          </cell>
          <cell r="R37">
            <v>0</v>
          </cell>
          <cell r="T37">
            <v>445</v>
          </cell>
          <cell r="V37" t="str">
            <v>and Extraordinary Item</v>
          </cell>
          <cell r="Y37">
            <v>456.23807320433332</v>
          </cell>
          <cell r="AA37">
            <v>445</v>
          </cell>
          <cell r="AB37">
            <v>0</v>
          </cell>
          <cell r="AD37">
            <v>45</v>
          </cell>
          <cell r="AF37">
            <v>11.237501263143056</v>
          </cell>
          <cell r="AH37">
            <v>957.47557446747612</v>
          </cell>
        </row>
        <row r="38">
          <cell r="A38" t="str">
            <v xml:space="preserve"> </v>
          </cell>
          <cell r="K38" t="str">
            <v xml:space="preserve"> </v>
          </cell>
          <cell r="V38" t="str">
            <v xml:space="preserve"> </v>
          </cell>
        </row>
        <row r="39">
          <cell r="A39" t="str">
            <v xml:space="preserve">Income Tax Expense </v>
          </cell>
          <cell r="D39">
            <v>174</v>
          </cell>
          <cell r="F39">
            <v>2</v>
          </cell>
          <cell r="G39">
            <v>-4.7047707182666656</v>
          </cell>
          <cell r="I39">
            <v>171.29522928173333</v>
          </cell>
          <cell r="K39" t="str">
            <v xml:space="preserve">Income Tax Expense </v>
          </cell>
          <cell r="N39">
            <v>102</v>
          </cell>
          <cell r="P39">
            <v>0</v>
          </cell>
          <cell r="R39">
            <v>0</v>
          </cell>
          <cell r="T39">
            <v>102</v>
          </cell>
          <cell r="V39" t="str">
            <v xml:space="preserve">Income Tax Expense </v>
          </cell>
          <cell r="Y39">
            <v>171.29522928173333</v>
          </cell>
          <cell r="AA39">
            <v>102</v>
          </cell>
          <cell r="AB39">
            <v>0</v>
          </cell>
          <cell r="AD39">
            <v>18</v>
          </cell>
          <cell r="AF39">
            <v>38.095820000000003</v>
          </cell>
          <cell r="AH39">
            <v>329.39104928173333</v>
          </cell>
        </row>
        <row r="40">
          <cell r="A40" t="str">
            <v>Income Before Extraordinary Item</v>
          </cell>
          <cell r="D40">
            <v>289</v>
          </cell>
          <cell r="E40">
            <v>0</v>
          </cell>
          <cell r="F40">
            <v>3</v>
          </cell>
          <cell r="G40">
            <v>-7.0571560773999984</v>
          </cell>
          <cell r="I40">
            <v>284.94284392259999</v>
          </cell>
          <cell r="K40" t="str">
            <v>Income Before Extraordinary Item</v>
          </cell>
          <cell r="N40">
            <v>343</v>
          </cell>
          <cell r="P40">
            <v>0</v>
          </cell>
          <cell r="R40">
            <v>0</v>
          </cell>
          <cell r="T40">
            <v>343</v>
          </cell>
          <cell r="V40" t="str">
            <v>Income Before Extraordinary Item</v>
          </cell>
          <cell r="Y40">
            <v>284.94284392259999</v>
          </cell>
          <cell r="AA40">
            <v>343</v>
          </cell>
          <cell r="AB40">
            <v>0</v>
          </cell>
          <cell r="AD40">
            <v>27</v>
          </cell>
          <cell r="AF40">
            <v>-26.858318736856948</v>
          </cell>
          <cell r="AH40">
            <v>628.08452518574279</v>
          </cell>
        </row>
        <row r="41">
          <cell r="B41" t="str">
            <v>Extraordinary</v>
          </cell>
          <cell r="D41">
            <v>-3</v>
          </cell>
          <cell r="I41">
            <v>-3</v>
          </cell>
          <cell r="W41" t="str">
            <v>PECO Extraordinary</v>
          </cell>
          <cell r="Y41">
            <v>-3</v>
          </cell>
          <cell r="AH41">
            <v>-3</v>
          </cell>
        </row>
        <row r="42">
          <cell r="W42" t="str">
            <v>PECO chg in acct prin ($22 million pre tax)( not needed for proforma purposes)</v>
          </cell>
        </row>
        <row r="43">
          <cell r="L43" t="str">
            <v>Extraordinary</v>
          </cell>
          <cell r="N43">
            <v>-4</v>
          </cell>
          <cell r="W43" t="str">
            <v>ComEd Extraordinary</v>
          </cell>
          <cell r="AA43">
            <v>-4</v>
          </cell>
          <cell r="AH43">
            <v>-4</v>
          </cell>
        </row>
        <row r="44">
          <cell r="W44" t="str">
            <v>Net Income</v>
          </cell>
          <cell r="Y44">
            <v>281.94284392259999</v>
          </cell>
          <cell r="AA44">
            <v>339</v>
          </cell>
          <cell r="AB44">
            <v>0</v>
          </cell>
          <cell r="AD44">
            <v>27</v>
          </cell>
          <cell r="AF44">
            <v>-26.858318736856948</v>
          </cell>
          <cell r="AH44">
            <v>621.08452518574279</v>
          </cell>
        </row>
        <row r="45">
          <cell r="A45" t="str">
            <v>Preferred Stock Dividend</v>
          </cell>
          <cell r="D45">
            <v>5</v>
          </cell>
          <cell r="I45">
            <v>5</v>
          </cell>
          <cell r="V45" t="str">
            <v>Pref Dividend</v>
          </cell>
          <cell r="Y45">
            <v>5</v>
          </cell>
          <cell r="AF45">
            <v>-5</v>
          </cell>
          <cell r="AH45">
            <v>0</v>
          </cell>
        </row>
        <row r="46">
          <cell r="B46" t="str">
            <v>Net Income on Common</v>
          </cell>
          <cell r="D46">
            <v>281</v>
          </cell>
          <cell r="W46" t="str">
            <v>Net Income on Common</v>
          </cell>
          <cell r="Y46">
            <v>276.94284392259999</v>
          </cell>
          <cell r="AA46">
            <v>339</v>
          </cell>
          <cell r="AB46">
            <v>0</v>
          </cell>
          <cell r="AD46">
            <v>27</v>
          </cell>
          <cell r="AF46">
            <v>-21.858318736856948</v>
          </cell>
          <cell r="AH46">
            <v>621.08452518574279</v>
          </cell>
        </row>
        <row r="48">
          <cell r="V48" t="str">
            <v>Income Before Extraordinary</v>
          </cell>
        </row>
        <row r="49">
          <cell r="A49" t="str">
            <v>Income Before Extraordinary</v>
          </cell>
          <cell r="K49" t="str">
            <v>Income Before Extraordinary</v>
          </cell>
          <cell r="T49" t="str">
            <v>info only</v>
          </cell>
          <cell r="V49" t="str">
            <v xml:space="preserve">   Item per Share</v>
          </cell>
          <cell r="AH49">
            <v>1.9469734331841466</v>
          </cell>
        </row>
        <row r="50">
          <cell r="A50" t="str">
            <v xml:space="preserve">   Item per Share</v>
          </cell>
          <cell r="D50" t="e">
            <v>#DIV/0!</v>
          </cell>
          <cell r="K50" t="str">
            <v xml:space="preserve">   Item per Share</v>
          </cell>
          <cell r="N50">
            <v>1.578462954440865</v>
          </cell>
          <cell r="T50">
            <v>1.7929952953476214</v>
          </cell>
        </row>
        <row r="51">
          <cell r="V51" t="str">
            <v>Income Before Extraordinary</v>
          </cell>
        </row>
        <row r="52">
          <cell r="A52" t="str">
            <v>Income Before Extraordinary</v>
          </cell>
          <cell r="K52" t="str">
            <v>Income Before Extraordinary</v>
          </cell>
          <cell r="V52" t="str">
            <v xml:space="preserve">   Item per Share - Diluted</v>
          </cell>
          <cell r="AH52">
            <v>1.9348427575879839</v>
          </cell>
        </row>
        <row r="53">
          <cell r="A53" t="str">
            <v xml:space="preserve">   Item per Share - Diluted</v>
          </cell>
          <cell r="D53" t="e">
            <v>#DIV/0!</v>
          </cell>
          <cell r="K53" t="str">
            <v xml:space="preserve">   Item per Share - Diluted</v>
          </cell>
          <cell r="N53">
            <v>1.5729615702100339</v>
          </cell>
        </row>
        <row r="54">
          <cell r="V54" t="str">
            <v>Average Basic Shares Outstanding</v>
          </cell>
          <cell r="AH54">
            <v>319</v>
          </cell>
        </row>
        <row r="55">
          <cell r="A55" t="str">
            <v>Average Basic Shares Outstanding</v>
          </cell>
          <cell r="K55" t="str">
            <v>Average Basic Shares Outstanding</v>
          </cell>
          <cell r="N55">
            <v>217.3</v>
          </cell>
          <cell r="T55">
            <v>191.3</v>
          </cell>
        </row>
        <row r="56">
          <cell r="V56" t="str">
            <v>Average Diluted Shares Outstanding</v>
          </cell>
          <cell r="AH56">
            <v>321</v>
          </cell>
        </row>
        <row r="57">
          <cell r="A57" t="str">
            <v>Average Diluted Shares Outstanding</v>
          </cell>
          <cell r="K57" t="str">
            <v>Average Diluted Shares Outstanding</v>
          </cell>
          <cell r="N57">
            <v>218.06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Module1"/>
      <sheetName val="2nd qtr 2000"/>
    </sheetNames>
    <sheetDataSet>
      <sheetData sheetId="0" refreshError="1">
        <row r="266">
          <cell r="E266">
            <v>10892664.380000001</v>
          </cell>
        </row>
      </sheetData>
      <sheetData sheetId="1" refreshError="1"/>
      <sheetData sheetId="2"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erf Ratings"/>
      <sheetName val="Incentives"/>
      <sheetName val="Goal Results"/>
      <sheetName val="Separations"/>
      <sheetName val="Sheet1"/>
    </sheetNames>
    <sheetDataSet>
      <sheetData sheetId="0" refreshError="1"/>
      <sheetData sheetId="1" refreshError="1">
        <row r="8">
          <cell r="A8" t="str">
            <v>Abromitis,James J</v>
          </cell>
          <cell r="B8" t="str">
            <v>161-52-2381</v>
          </cell>
          <cell r="C8" t="str">
            <v>002983</v>
          </cell>
          <cell r="D8">
            <v>36822</v>
          </cell>
          <cell r="E8" t="str">
            <v>VP &amp; General Manager</v>
          </cell>
          <cell r="F8" t="str">
            <v>E7</v>
          </cell>
          <cell r="G8" t="str">
            <v>ENTERPRISES</v>
          </cell>
          <cell r="H8" t="str">
            <v>NONE</v>
          </cell>
          <cell r="I8" t="str">
            <v>PG2</v>
          </cell>
          <cell r="J8" t="str">
            <v>Energy Outsourced Solutions</v>
          </cell>
          <cell r="K8" t="str">
            <v>9076</v>
          </cell>
          <cell r="L8">
            <v>170000</v>
          </cell>
          <cell r="O8" t="str">
            <v>Yes</v>
          </cell>
          <cell r="P8">
            <v>6375</v>
          </cell>
          <cell r="Q8">
            <v>3.7499999999999999E-2</v>
          </cell>
          <cell r="R8">
            <v>6375</v>
          </cell>
          <cell r="S8">
            <v>2</v>
          </cell>
          <cell r="U8" t="str">
            <v>W</v>
          </cell>
          <cell r="W8" t="str">
            <v>1</v>
          </cell>
          <cell r="X8" t="str">
            <v>M</v>
          </cell>
          <cell r="Y8">
            <v>21225</v>
          </cell>
          <cell r="Z8" t="str">
            <v>W</v>
          </cell>
        </row>
        <row r="9">
          <cell r="A9" t="str">
            <v>Allen Jr,Herbert H</v>
          </cell>
          <cell r="B9" t="str">
            <v>226-94-5030</v>
          </cell>
          <cell r="C9" t="str">
            <v>003201</v>
          </cell>
          <cell r="D9">
            <v>36909</v>
          </cell>
          <cell r="E9" t="str">
            <v>Vice President Human Resources</v>
          </cell>
          <cell r="F9" t="str">
            <v>E7</v>
          </cell>
          <cell r="G9" t="str">
            <v>ENTERPRISES</v>
          </cell>
          <cell r="H9" t="str">
            <v>NONE</v>
          </cell>
          <cell r="I9" t="str">
            <v>PG2</v>
          </cell>
          <cell r="J9" t="str">
            <v>Human Resources - Enterprises</v>
          </cell>
          <cell r="K9" t="str">
            <v>9071</v>
          </cell>
          <cell r="L9">
            <v>185000</v>
          </cell>
          <cell r="O9" t="str">
            <v>Yes</v>
          </cell>
          <cell r="P9">
            <v>6937.5</v>
          </cell>
          <cell r="Q9">
            <v>3.7499999999999999E-2</v>
          </cell>
          <cell r="R9">
            <v>6937.5</v>
          </cell>
          <cell r="S9">
            <v>2</v>
          </cell>
          <cell r="U9" t="str">
            <v>W</v>
          </cell>
          <cell r="W9" t="str">
            <v>2</v>
          </cell>
          <cell r="X9" t="str">
            <v>M</v>
          </cell>
          <cell r="Y9">
            <v>21294</v>
          </cell>
          <cell r="Z9" t="str">
            <v>W</v>
          </cell>
        </row>
        <row r="10">
          <cell r="A10" t="str">
            <v>Beard, Kenneth H.</v>
          </cell>
          <cell r="Q10">
            <v>3.7499999999999999E-2</v>
          </cell>
          <cell r="S10">
            <v>2</v>
          </cell>
          <cell r="W10">
            <v>1</v>
          </cell>
          <cell r="X10" t="str">
            <v>M</v>
          </cell>
        </row>
        <row r="11">
          <cell r="A11" t="str">
            <v>Cucchi,Gregory A</v>
          </cell>
          <cell r="B11" t="str">
            <v>209-38-1203</v>
          </cell>
          <cell r="C11" t="str">
            <v>111164</v>
          </cell>
          <cell r="D11">
            <v>25713</v>
          </cell>
          <cell r="E11" t="str">
            <v>PRESIDENT &amp; CEO  EIS</v>
          </cell>
          <cell r="F11" t="str">
            <v>AE</v>
          </cell>
          <cell r="G11" t="str">
            <v>ENTERPRISES</v>
          </cell>
          <cell r="H11" t="str">
            <v>CAP</v>
          </cell>
          <cell r="I11" t="str">
            <v>TEL</v>
          </cell>
          <cell r="J11" t="str">
            <v>President &amp; Staff</v>
          </cell>
          <cell r="K11" t="str">
            <v>09201</v>
          </cell>
          <cell r="L11">
            <v>450000</v>
          </cell>
          <cell r="M11">
            <v>37256</v>
          </cell>
          <cell r="N11" t="str">
            <v>CIC</v>
          </cell>
          <cell r="P11">
            <v>0</v>
          </cell>
          <cell r="R11">
            <v>0</v>
          </cell>
          <cell r="W11" t="str">
            <v>1</v>
          </cell>
          <cell r="X11" t="str">
            <v>M</v>
          </cell>
          <cell r="Y11">
            <v>17945</v>
          </cell>
          <cell r="Z11" t="str">
            <v>E</v>
          </cell>
        </row>
        <row r="12">
          <cell r="A12" t="str">
            <v>Gilmore,George H</v>
          </cell>
          <cell r="B12" t="str">
            <v>013-40-5599</v>
          </cell>
          <cell r="C12" t="str">
            <v>003853</v>
          </cell>
          <cell r="D12">
            <v>37228</v>
          </cell>
          <cell r="E12" t="str">
            <v>SVP Exelon Corp/Pres Enterpris</v>
          </cell>
          <cell r="F12" t="str">
            <v>E9</v>
          </cell>
          <cell r="G12" t="str">
            <v>ENTERPRISES</v>
          </cell>
          <cell r="H12" t="str">
            <v>NONE</v>
          </cell>
          <cell r="I12" t="str">
            <v>PG2</v>
          </cell>
          <cell r="J12" t="str">
            <v>EVP, President, CEO Exelon Ent</v>
          </cell>
          <cell r="K12" t="str">
            <v>9000</v>
          </cell>
          <cell r="L12">
            <v>425000</v>
          </cell>
          <cell r="M12">
            <v>37228</v>
          </cell>
          <cell r="N12" t="str">
            <v>New Hire</v>
          </cell>
          <cell r="P12">
            <v>0</v>
          </cell>
          <cell r="R12">
            <v>0</v>
          </cell>
          <cell r="W12" t="str">
            <v>1</v>
          </cell>
          <cell r="X12" t="str">
            <v>M</v>
          </cell>
          <cell r="Y12">
            <v>18073</v>
          </cell>
          <cell r="Z12" t="str">
            <v>W</v>
          </cell>
        </row>
        <row r="13">
          <cell r="A13" t="str">
            <v>Kampling,Patricia L</v>
          </cell>
          <cell r="B13" t="str">
            <v>114-42-6145</v>
          </cell>
          <cell r="C13" t="str">
            <v>399850</v>
          </cell>
          <cell r="D13">
            <v>32384</v>
          </cell>
          <cell r="E13" t="str">
            <v>SVP &amp; CFO</v>
          </cell>
          <cell r="F13" t="str">
            <v>E8</v>
          </cell>
          <cell r="G13" t="str">
            <v>ENTERPRISES</v>
          </cell>
          <cell r="H13" t="str">
            <v>NONE</v>
          </cell>
          <cell r="I13" t="str">
            <v>PG2</v>
          </cell>
          <cell r="J13" t="str">
            <v>Ofc SVP &amp; CFO - Enterprises</v>
          </cell>
          <cell r="K13" t="str">
            <v>9070</v>
          </cell>
          <cell r="L13">
            <v>202400</v>
          </cell>
          <cell r="O13" t="str">
            <v>Yes</v>
          </cell>
          <cell r="P13">
            <v>7590</v>
          </cell>
          <cell r="Q13">
            <v>3.7499999999999999E-2</v>
          </cell>
          <cell r="R13">
            <v>7590</v>
          </cell>
          <cell r="S13">
            <v>2</v>
          </cell>
          <cell r="U13" t="str">
            <v>W</v>
          </cell>
          <cell r="W13" t="str">
            <v>1</v>
          </cell>
          <cell r="X13" t="str">
            <v>F</v>
          </cell>
          <cell r="Y13">
            <v>21769</v>
          </cell>
          <cell r="Z13" t="str">
            <v>W</v>
          </cell>
        </row>
        <row r="14">
          <cell r="A14" t="str">
            <v>Morozzi,James W</v>
          </cell>
          <cell r="B14" t="str">
            <v>174-58-6440</v>
          </cell>
          <cell r="C14" t="str">
            <v>104292</v>
          </cell>
          <cell r="D14">
            <v>31600</v>
          </cell>
          <cell r="E14" t="str">
            <v>DIRECTOR A T &amp; T</v>
          </cell>
          <cell r="F14" t="str">
            <v>E06</v>
          </cell>
          <cell r="G14" t="str">
            <v>ENTERPRISES</v>
          </cell>
          <cell r="H14" t="str">
            <v>TELE- ENT</v>
          </cell>
          <cell r="I14" t="str">
            <v>TEL</v>
          </cell>
          <cell r="J14" t="str">
            <v>Wireless Operations</v>
          </cell>
          <cell r="K14" t="str">
            <v>09100</v>
          </cell>
          <cell r="L14">
            <v>141264</v>
          </cell>
          <cell r="O14" t="str">
            <v>Yes</v>
          </cell>
          <cell r="P14">
            <v>5297.4</v>
          </cell>
          <cell r="Q14">
            <v>3.7499999999999999E-2</v>
          </cell>
          <cell r="R14">
            <v>5297.4</v>
          </cell>
          <cell r="S14">
            <v>2</v>
          </cell>
          <cell r="U14" t="str">
            <v>E</v>
          </cell>
          <cell r="W14" t="str">
            <v>1</v>
          </cell>
          <cell r="X14" t="str">
            <v>M</v>
          </cell>
          <cell r="Y14">
            <v>23053</v>
          </cell>
          <cell r="Z14" t="str">
            <v>E</v>
          </cell>
        </row>
        <row r="15">
          <cell r="A15" t="str">
            <v>Murphy,Dennis E.</v>
          </cell>
          <cell r="B15" t="str">
            <v>180-36-8627</v>
          </cell>
          <cell r="C15" t="str">
            <v>105567</v>
          </cell>
          <cell r="D15">
            <v>35198</v>
          </cell>
          <cell r="E15" t="str">
            <v>VP MKTNG &amp; BUS DEVELOPMENT</v>
          </cell>
          <cell r="F15" t="str">
            <v>E07</v>
          </cell>
          <cell r="G15" t="str">
            <v>ENTERPRISES</v>
          </cell>
          <cell r="H15" t="str">
            <v>MARKETING- ENT</v>
          </cell>
          <cell r="I15" t="str">
            <v>UES</v>
          </cell>
          <cell r="J15" t="str">
            <v>Director of Marketing</v>
          </cell>
          <cell r="K15" t="str">
            <v>32809</v>
          </cell>
          <cell r="L15">
            <v>150000</v>
          </cell>
          <cell r="O15" t="str">
            <v>Yes</v>
          </cell>
          <cell r="P15">
            <v>5625</v>
          </cell>
          <cell r="Q15">
            <v>3.7499999999999999E-2</v>
          </cell>
          <cell r="R15">
            <v>5625</v>
          </cell>
          <cell r="S15">
            <v>2</v>
          </cell>
          <cell r="U15" t="str">
            <v>E</v>
          </cell>
          <cell r="W15" t="str">
            <v>1</v>
          </cell>
          <cell r="X15" t="str">
            <v>M</v>
          </cell>
          <cell r="Y15">
            <v>16656</v>
          </cell>
          <cell r="Z15" t="str">
            <v>E</v>
          </cell>
        </row>
        <row r="16">
          <cell r="A16" t="str">
            <v>Rhodes,Gerald N.</v>
          </cell>
          <cell r="B16" t="str">
            <v>151-34-5416</v>
          </cell>
          <cell r="C16" t="str">
            <v>127207</v>
          </cell>
          <cell r="D16">
            <v>36269</v>
          </cell>
          <cell r="E16" t="str">
            <v>VP CORP &amp; PRESIDENT EXELON</v>
          </cell>
          <cell r="F16" t="str">
            <v>E08</v>
          </cell>
          <cell r="G16" t="str">
            <v>ENTERPRISES</v>
          </cell>
          <cell r="H16" t="str">
            <v>HORIZON- ENT</v>
          </cell>
          <cell r="I16" t="str">
            <v>HEE</v>
          </cell>
          <cell r="J16" t="str">
            <v>Residential &amp; Small Comm'l</v>
          </cell>
          <cell r="K16" t="str">
            <v>04200</v>
          </cell>
          <cell r="L16">
            <v>225000</v>
          </cell>
          <cell r="O16" t="str">
            <v>Yes</v>
          </cell>
          <cell r="P16">
            <v>8437.5</v>
          </cell>
          <cell r="Q16">
            <v>3.7499999999999999E-2</v>
          </cell>
          <cell r="R16">
            <v>8437.5</v>
          </cell>
          <cell r="S16">
            <v>2</v>
          </cell>
          <cell r="U16" t="str">
            <v>E</v>
          </cell>
          <cell r="W16" t="str">
            <v>2</v>
          </cell>
          <cell r="X16" t="str">
            <v>M</v>
          </cell>
          <cell r="Y16">
            <v>16339</v>
          </cell>
          <cell r="Z16" t="str">
            <v>E</v>
          </cell>
        </row>
        <row r="17">
          <cell r="A17" t="str">
            <v>Rollo,Richard</v>
          </cell>
          <cell r="B17" t="str">
            <v>573-25-0741</v>
          </cell>
          <cell r="C17" t="str">
            <v>001528</v>
          </cell>
          <cell r="D17">
            <v>36395</v>
          </cell>
          <cell r="E17" t="str">
            <v>Strategic Bus Devlp Vice Pres</v>
          </cell>
          <cell r="F17" t="str">
            <v>E7</v>
          </cell>
          <cell r="G17" t="str">
            <v>ENTERPRISES</v>
          </cell>
          <cell r="H17" t="str">
            <v>NONE</v>
          </cell>
          <cell r="I17" t="str">
            <v>PG2</v>
          </cell>
          <cell r="J17" t="str">
            <v>Strategic Plng - Enterprises</v>
          </cell>
          <cell r="K17" t="str">
            <v>9072</v>
          </cell>
          <cell r="L17">
            <v>197950</v>
          </cell>
          <cell r="M17">
            <v>36932</v>
          </cell>
          <cell r="N17" t="str">
            <v>Merger</v>
          </cell>
          <cell r="O17" t="str">
            <v>NO</v>
          </cell>
          <cell r="P17">
            <v>0</v>
          </cell>
          <cell r="W17" t="str">
            <v>1</v>
          </cell>
          <cell r="X17" t="str">
            <v>M</v>
          </cell>
          <cell r="Y17">
            <v>21425</v>
          </cell>
          <cell r="Z17" t="str">
            <v>W</v>
          </cell>
        </row>
        <row r="18">
          <cell r="A18" t="str">
            <v>Shinn,Robert A</v>
          </cell>
          <cell r="B18" t="str">
            <v>142-38-5482</v>
          </cell>
          <cell r="C18" t="str">
            <v>100640</v>
          </cell>
          <cell r="D18">
            <v>34712</v>
          </cell>
          <cell r="E18" t="str">
            <v>VP PRES EXELON CAPITAL PARTNRS</v>
          </cell>
          <cell r="F18" t="str">
            <v>E07</v>
          </cell>
          <cell r="G18" t="str">
            <v>ENTERPRISES</v>
          </cell>
          <cell r="H18" t="str">
            <v>OFC PRESIDENT ENT</v>
          </cell>
          <cell r="I18" t="str">
            <v>UES</v>
          </cell>
          <cell r="J18" t="str">
            <v>Exelon Capital Partners</v>
          </cell>
          <cell r="K18" t="str">
            <v>04510</v>
          </cell>
          <cell r="L18">
            <v>225000</v>
          </cell>
          <cell r="O18" t="str">
            <v>Yes</v>
          </cell>
          <cell r="P18">
            <v>8437.5</v>
          </cell>
          <cell r="Q18">
            <v>3.7499999999999999E-2</v>
          </cell>
          <cell r="R18">
            <v>8437.5</v>
          </cell>
          <cell r="S18">
            <v>2</v>
          </cell>
          <cell r="U18" t="str">
            <v>E</v>
          </cell>
          <cell r="W18" t="str">
            <v>1</v>
          </cell>
          <cell r="X18" t="str">
            <v>M</v>
          </cell>
          <cell r="Y18">
            <v>17716</v>
          </cell>
          <cell r="Z18" t="str">
            <v>E</v>
          </cell>
        </row>
      </sheetData>
      <sheetData sheetId="2" refreshError="1"/>
      <sheetData sheetId="3" refreshError="1"/>
      <sheetData sheetId="4" refreshError="1"/>
      <sheetData sheetId="5"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AFUDC"/>
      <sheetName val="WO Type Id PJF Acct"/>
      <sheetName val="CWIP to In-Service List"/>
      <sheetName val="CWIP Open List"/>
      <sheetName val="Completed"/>
      <sheetName val="Blankets"/>
      <sheetName val="Gas Plant"/>
    </sheetNames>
    <sheetDataSet>
      <sheetData sheetId="0"/>
      <sheetData sheetId="1" refreshError="1">
        <row r="7">
          <cell r="B7">
            <v>107712</v>
          </cell>
          <cell r="D7">
            <v>1</v>
          </cell>
        </row>
        <row r="8">
          <cell r="B8">
            <v>107715</v>
          </cell>
          <cell r="D8">
            <v>1</v>
          </cell>
        </row>
        <row r="9">
          <cell r="B9">
            <v>107732</v>
          </cell>
          <cell r="E9">
            <v>1</v>
          </cell>
        </row>
        <row r="10">
          <cell r="B10">
            <v>107734</v>
          </cell>
          <cell r="E10">
            <v>1</v>
          </cell>
        </row>
        <row r="11">
          <cell r="B11">
            <v>107735</v>
          </cell>
          <cell r="E11">
            <v>1</v>
          </cell>
        </row>
        <row r="12">
          <cell r="B12">
            <v>107736</v>
          </cell>
          <cell r="E12">
            <v>1</v>
          </cell>
        </row>
        <row r="13">
          <cell r="B13">
            <v>107737</v>
          </cell>
          <cell r="E13">
            <v>1</v>
          </cell>
        </row>
        <row r="14">
          <cell r="B14">
            <v>107751</v>
          </cell>
          <cell r="F14">
            <v>1</v>
          </cell>
        </row>
        <row r="15">
          <cell r="B15">
            <v>107753</v>
          </cell>
          <cell r="F15">
            <v>1</v>
          </cell>
        </row>
        <row r="16">
          <cell r="B16">
            <v>107754</v>
          </cell>
          <cell r="F16">
            <v>1</v>
          </cell>
        </row>
        <row r="17">
          <cell r="B17">
            <v>107755</v>
          </cell>
          <cell r="F17">
            <v>1</v>
          </cell>
        </row>
        <row r="18">
          <cell r="B18">
            <v>107756</v>
          </cell>
          <cell r="F18">
            <v>1</v>
          </cell>
        </row>
        <row r="19">
          <cell r="B19">
            <v>107759</v>
          </cell>
          <cell r="F19">
            <v>1</v>
          </cell>
        </row>
        <row r="20">
          <cell r="B20">
            <v>107771</v>
          </cell>
          <cell r="G20">
            <v>1</v>
          </cell>
        </row>
        <row r="21">
          <cell r="B21">
            <v>107773</v>
          </cell>
          <cell r="G21">
            <v>1</v>
          </cell>
        </row>
        <row r="22">
          <cell r="B22">
            <v>107774</v>
          </cell>
          <cell r="G22">
            <v>1</v>
          </cell>
        </row>
        <row r="23">
          <cell r="B23">
            <v>107775</v>
          </cell>
          <cell r="G23">
            <v>1</v>
          </cell>
        </row>
        <row r="24">
          <cell r="B24">
            <v>107776</v>
          </cell>
          <cell r="G24">
            <v>1</v>
          </cell>
        </row>
        <row r="25">
          <cell r="B25">
            <v>107781</v>
          </cell>
          <cell r="H25">
            <v>0.25</v>
          </cell>
          <cell r="I25">
            <v>0.5</v>
          </cell>
          <cell r="J25">
            <v>0.25</v>
          </cell>
        </row>
        <row r="26">
          <cell r="B26">
            <v>107785</v>
          </cell>
          <cell r="H26">
            <v>0.25</v>
          </cell>
          <cell r="I26">
            <v>0.5</v>
          </cell>
          <cell r="J26">
            <v>0.25</v>
          </cell>
        </row>
        <row r="27">
          <cell r="B27">
            <v>107786</v>
          </cell>
          <cell r="H27">
            <v>0.25</v>
          </cell>
          <cell r="I27">
            <v>0.5</v>
          </cell>
          <cell r="J27">
            <v>0.25</v>
          </cell>
        </row>
        <row r="28">
          <cell r="B28">
            <v>107789</v>
          </cell>
          <cell r="H28">
            <v>0.25</v>
          </cell>
          <cell r="I28">
            <v>0.5</v>
          </cell>
          <cell r="J28">
            <v>0.25</v>
          </cell>
        </row>
        <row r="29">
          <cell r="B29">
            <v>107791</v>
          </cell>
          <cell r="H29">
            <v>0.25</v>
          </cell>
          <cell r="I29">
            <v>0.5</v>
          </cell>
          <cell r="N29">
            <v>0.25</v>
          </cell>
        </row>
        <row r="30">
          <cell r="B30">
            <v>107796</v>
          </cell>
          <cell r="H30">
            <v>0.25</v>
          </cell>
          <cell r="I30">
            <v>0.5</v>
          </cell>
          <cell r="N30">
            <v>0.25</v>
          </cell>
        </row>
        <row r="31">
          <cell r="B31" t="str">
            <v>1077M8</v>
          </cell>
          <cell r="K31">
            <v>1</v>
          </cell>
        </row>
        <row r="32">
          <cell r="B32" t="str">
            <v>1077R8</v>
          </cell>
          <cell r="L32">
            <v>1</v>
          </cell>
        </row>
        <row r="33">
          <cell r="B33" t="str">
            <v>1077S8</v>
          </cell>
          <cell r="M33">
            <v>0.25</v>
          </cell>
          <cell r="O33">
            <v>0.75</v>
          </cell>
        </row>
        <row r="34">
          <cell r="B34" t="str">
            <v>1077T8</v>
          </cell>
          <cell r="M34">
            <v>0.25</v>
          </cell>
          <cell r="O34">
            <v>0.75</v>
          </cell>
        </row>
        <row r="35">
          <cell r="B35" t="str">
            <v>1077W9</v>
          </cell>
          <cell r="C35">
            <v>1</v>
          </cell>
        </row>
        <row r="36">
          <cell r="B36">
            <v>107812</v>
          </cell>
          <cell r="D36">
            <v>1</v>
          </cell>
        </row>
        <row r="37">
          <cell r="B37">
            <v>107815</v>
          </cell>
          <cell r="D37">
            <v>1</v>
          </cell>
        </row>
        <row r="38">
          <cell r="B38">
            <v>107835</v>
          </cell>
          <cell r="E38">
            <v>1</v>
          </cell>
        </row>
        <row r="39">
          <cell r="B39">
            <v>107851</v>
          </cell>
          <cell r="F39">
            <v>1</v>
          </cell>
        </row>
        <row r="40">
          <cell r="B40">
            <v>107853</v>
          </cell>
          <cell r="F40">
            <v>1</v>
          </cell>
        </row>
        <row r="41">
          <cell r="B41">
            <v>107854</v>
          </cell>
          <cell r="F41">
            <v>1</v>
          </cell>
        </row>
        <row r="42">
          <cell r="B42">
            <v>107855</v>
          </cell>
          <cell r="F42">
            <v>1</v>
          </cell>
        </row>
        <row r="43">
          <cell r="B43">
            <v>107856</v>
          </cell>
          <cell r="F43">
            <v>1</v>
          </cell>
        </row>
        <row r="44">
          <cell r="B44">
            <v>107859</v>
          </cell>
          <cell r="F44">
            <v>1</v>
          </cell>
        </row>
        <row r="45">
          <cell r="B45">
            <v>107861</v>
          </cell>
          <cell r="H45">
            <v>1</v>
          </cell>
        </row>
        <row r="46">
          <cell r="B46">
            <v>107871</v>
          </cell>
          <cell r="G46">
            <v>1</v>
          </cell>
        </row>
        <row r="47">
          <cell r="B47">
            <v>107873</v>
          </cell>
          <cell r="G47">
            <v>1</v>
          </cell>
        </row>
        <row r="48">
          <cell r="B48">
            <v>107874</v>
          </cell>
          <cell r="G48">
            <v>1</v>
          </cell>
        </row>
        <row r="49">
          <cell r="B49">
            <v>107875</v>
          </cell>
          <cell r="G49">
            <v>1</v>
          </cell>
        </row>
        <row r="50">
          <cell r="B50">
            <v>107876</v>
          </cell>
          <cell r="G50">
            <v>1</v>
          </cell>
        </row>
        <row r="51">
          <cell r="B51">
            <v>107881</v>
          </cell>
          <cell r="H51">
            <v>0.25</v>
          </cell>
          <cell r="I51">
            <v>0.5</v>
          </cell>
          <cell r="J51">
            <v>0.25</v>
          </cell>
        </row>
        <row r="52">
          <cell r="B52">
            <v>107885</v>
          </cell>
          <cell r="H52">
            <v>0.25</v>
          </cell>
          <cell r="I52">
            <v>0.5</v>
          </cell>
          <cell r="J52">
            <v>0.25</v>
          </cell>
        </row>
        <row r="53">
          <cell r="B53">
            <v>107891</v>
          </cell>
          <cell r="H53">
            <v>0.25</v>
          </cell>
          <cell r="I53">
            <v>0.5</v>
          </cell>
          <cell r="J53">
            <v>0.25</v>
          </cell>
        </row>
        <row r="54">
          <cell r="B54">
            <v>107896</v>
          </cell>
          <cell r="H54">
            <v>0.25</v>
          </cell>
          <cell r="I54">
            <v>0.5</v>
          </cell>
          <cell r="J54">
            <v>0.25</v>
          </cell>
        </row>
        <row r="55">
          <cell r="B55" t="str">
            <v>1078M8</v>
          </cell>
          <cell r="K55">
            <v>1</v>
          </cell>
        </row>
        <row r="56">
          <cell r="B56" t="str">
            <v>1078R8</v>
          </cell>
          <cell r="L56">
            <v>1</v>
          </cell>
        </row>
        <row r="57">
          <cell r="B57" t="str">
            <v>1078S8</v>
          </cell>
          <cell r="M57">
            <v>0.25</v>
          </cell>
          <cell r="O57">
            <v>0.75</v>
          </cell>
        </row>
        <row r="58">
          <cell r="B58" t="str">
            <v>1078T8</v>
          </cell>
          <cell r="M58">
            <v>0.25</v>
          </cell>
          <cell r="O58">
            <v>0.75</v>
          </cell>
        </row>
        <row r="59">
          <cell r="B59" t="str">
            <v>1078V8</v>
          </cell>
          <cell r="K59">
            <v>1</v>
          </cell>
        </row>
      </sheetData>
      <sheetData sheetId="2"/>
      <sheetData sheetId="3"/>
      <sheetData sheetId="4"/>
      <sheetData sheetId="5"/>
      <sheetData sheetId="6"/>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s CWIP Blanket WOs"/>
      <sheetName val="Estimated Retirements"/>
      <sheetName val="WO Type Id PJF Acct"/>
    </sheetNames>
    <sheetDataSet>
      <sheetData sheetId="0"/>
      <sheetData sheetId="1" refreshError="1"/>
      <sheetData sheetId="2" refreshError="1">
        <row r="6">
          <cell r="C6" t="str">
            <v>PJF 2</v>
          </cell>
          <cell r="D6">
            <v>23030</v>
          </cell>
          <cell r="E6">
            <v>23040</v>
          </cell>
          <cell r="F6">
            <v>23550</v>
          </cell>
          <cell r="G6">
            <v>23670</v>
          </cell>
          <cell r="H6">
            <v>23760</v>
          </cell>
          <cell r="I6">
            <v>23800</v>
          </cell>
          <cell r="J6">
            <v>23820</v>
          </cell>
          <cell r="K6">
            <v>23830</v>
          </cell>
          <cell r="L6">
            <v>23900</v>
          </cell>
          <cell r="M6">
            <v>23920</v>
          </cell>
          <cell r="N6">
            <v>23940</v>
          </cell>
          <cell r="O6">
            <v>23950</v>
          </cell>
          <cell r="P6">
            <v>23960</v>
          </cell>
          <cell r="Q6" t="str">
            <v>Grand Total</v>
          </cell>
        </row>
        <row r="7">
          <cell r="E7">
            <v>1</v>
          </cell>
          <cell r="Q7">
            <v>1</v>
          </cell>
        </row>
        <row r="8">
          <cell r="E8">
            <v>1</v>
          </cell>
          <cell r="Q8">
            <v>1</v>
          </cell>
        </row>
        <row r="9">
          <cell r="C9" t="str">
            <v>107732</v>
          </cell>
          <cell r="F9">
            <v>1</v>
          </cell>
          <cell r="Q9">
            <v>1</v>
          </cell>
        </row>
        <row r="10">
          <cell r="F10">
            <v>1</v>
          </cell>
          <cell r="Q10">
            <v>1</v>
          </cell>
        </row>
        <row r="11">
          <cell r="C11" t="str">
            <v>107735</v>
          </cell>
          <cell r="F11">
            <v>1</v>
          </cell>
          <cell r="Q11">
            <v>1</v>
          </cell>
        </row>
        <row r="12">
          <cell r="C12" t="str">
            <v>107736</v>
          </cell>
          <cell r="F12">
            <v>1</v>
          </cell>
          <cell r="Q12">
            <v>1</v>
          </cell>
        </row>
        <row r="13">
          <cell r="C13" t="str">
            <v>107737</v>
          </cell>
          <cell r="F13">
            <v>1</v>
          </cell>
          <cell r="Q13">
            <v>1</v>
          </cell>
        </row>
        <row r="14">
          <cell r="C14" t="str">
            <v>107751</v>
          </cell>
          <cell r="G14">
            <v>1</v>
          </cell>
          <cell r="Q14">
            <v>1</v>
          </cell>
        </row>
        <row r="15">
          <cell r="C15" t="str">
            <v>107753</v>
          </cell>
          <cell r="G15">
            <v>1</v>
          </cell>
          <cell r="Q15">
            <v>1</v>
          </cell>
        </row>
        <row r="16">
          <cell r="C16" t="str">
            <v>107754</v>
          </cell>
          <cell r="G16">
            <v>1</v>
          </cell>
          <cell r="Q16">
            <v>1</v>
          </cell>
        </row>
        <row r="17">
          <cell r="C17" t="str">
            <v>107755</v>
          </cell>
          <cell r="G17">
            <v>1</v>
          </cell>
          <cell r="Q17">
            <v>1</v>
          </cell>
        </row>
        <row r="18">
          <cell r="C18" t="str">
            <v>107756</v>
          </cell>
          <cell r="G18">
            <v>1</v>
          </cell>
          <cell r="Q18">
            <v>1</v>
          </cell>
        </row>
        <row r="19">
          <cell r="C19" t="str">
            <v>107759</v>
          </cell>
          <cell r="G19">
            <v>1</v>
          </cell>
          <cell r="Q19">
            <v>1</v>
          </cell>
        </row>
        <row r="20">
          <cell r="C20" t="str">
            <v>107771</v>
          </cell>
          <cell r="H20">
            <v>1</v>
          </cell>
          <cell r="Q20">
            <v>1</v>
          </cell>
        </row>
        <row r="21">
          <cell r="C21" t="str">
            <v>107773</v>
          </cell>
          <cell r="H21">
            <v>1</v>
          </cell>
          <cell r="Q21">
            <v>1</v>
          </cell>
        </row>
        <row r="22">
          <cell r="C22" t="str">
            <v>107774</v>
          </cell>
          <cell r="H22">
            <v>1</v>
          </cell>
          <cell r="Q22">
            <v>1</v>
          </cell>
        </row>
        <row r="23">
          <cell r="C23" t="str">
            <v>107775</v>
          </cell>
          <cell r="H23">
            <v>1</v>
          </cell>
          <cell r="Q23">
            <v>1</v>
          </cell>
        </row>
        <row r="24">
          <cell r="H24">
            <v>1</v>
          </cell>
          <cell r="Q24">
            <v>1</v>
          </cell>
        </row>
        <row r="25">
          <cell r="C25" t="str">
            <v>107781</v>
          </cell>
          <cell r="I25">
            <v>0.25</v>
          </cell>
          <cell r="J25">
            <v>0.5</v>
          </cell>
          <cell r="K25">
            <v>0.25</v>
          </cell>
          <cell r="Q25">
            <v>1</v>
          </cell>
        </row>
        <row r="26">
          <cell r="I26">
            <v>0.25</v>
          </cell>
          <cell r="J26">
            <v>0.5</v>
          </cell>
          <cell r="K26">
            <v>0.25</v>
          </cell>
          <cell r="Q26">
            <v>1</v>
          </cell>
        </row>
        <row r="27">
          <cell r="I27">
            <v>0.25</v>
          </cell>
          <cell r="J27">
            <v>0.5</v>
          </cell>
          <cell r="K27">
            <v>0.25</v>
          </cell>
          <cell r="Q27">
            <v>1</v>
          </cell>
        </row>
        <row r="28">
          <cell r="I28">
            <v>0.25</v>
          </cell>
          <cell r="J28">
            <v>0.5</v>
          </cell>
          <cell r="K28">
            <v>0.25</v>
          </cell>
          <cell r="Q28">
            <v>1</v>
          </cell>
        </row>
        <row r="29">
          <cell r="I29">
            <v>0.25</v>
          </cell>
          <cell r="J29">
            <v>0.5</v>
          </cell>
          <cell r="O29">
            <v>0.25</v>
          </cell>
          <cell r="Q29">
            <v>1</v>
          </cell>
        </row>
        <row r="30">
          <cell r="I30">
            <v>0.25</v>
          </cell>
          <cell r="J30">
            <v>0.5</v>
          </cell>
          <cell r="O30">
            <v>0.25</v>
          </cell>
          <cell r="Q30">
            <v>1</v>
          </cell>
        </row>
        <row r="31">
          <cell r="L31">
            <v>1</v>
          </cell>
          <cell r="Q31">
            <v>1</v>
          </cell>
        </row>
        <row r="32">
          <cell r="M32">
            <v>1</v>
          </cell>
          <cell r="Q32">
            <v>1</v>
          </cell>
        </row>
        <row r="33">
          <cell r="N33">
            <v>0.25</v>
          </cell>
          <cell r="P33">
            <v>0.75</v>
          </cell>
          <cell r="Q33">
            <v>1</v>
          </cell>
        </row>
        <row r="34">
          <cell r="N34">
            <v>0.25</v>
          </cell>
          <cell r="P34">
            <v>0.75</v>
          </cell>
          <cell r="Q34">
            <v>1</v>
          </cell>
        </row>
        <row r="35">
          <cell r="D35">
            <v>1</v>
          </cell>
          <cell r="Q35">
            <v>1</v>
          </cell>
        </row>
        <row r="36">
          <cell r="E36">
            <v>1</v>
          </cell>
          <cell r="Q36">
            <v>1</v>
          </cell>
        </row>
        <row r="37">
          <cell r="E37">
            <v>1</v>
          </cell>
          <cell r="Q37">
            <v>1</v>
          </cell>
        </row>
        <row r="38">
          <cell r="C38" t="str">
            <v>107835</v>
          </cell>
          <cell r="F38">
            <v>1</v>
          </cell>
          <cell r="Q38">
            <v>1</v>
          </cell>
        </row>
        <row r="39">
          <cell r="C39" t="str">
            <v>107851</v>
          </cell>
          <cell r="G39">
            <v>1</v>
          </cell>
          <cell r="Q39">
            <v>1</v>
          </cell>
        </row>
        <row r="40">
          <cell r="C40" t="str">
            <v>107853</v>
          </cell>
          <cell r="G40">
            <v>1</v>
          </cell>
          <cell r="Q40">
            <v>1</v>
          </cell>
        </row>
        <row r="41">
          <cell r="C41" t="str">
            <v>107854</v>
          </cell>
          <cell r="G41">
            <v>1</v>
          </cell>
          <cell r="Q41">
            <v>1</v>
          </cell>
        </row>
        <row r="42">
          <cell r="C42" t="str">
            <v>107855</v>
          </cell>
          <cell r="G42">
            <v>1</v>
          </cell>
          <cell r="Q42">
            <v>1</v>
          </cell>
        </row>
        <row r="43">
          <cell r="C43" t="str">
            <v>107856</v>
          </cell>
          <cell r="G43">
            <v>1</v>
          </cell>
          <cell r="Q43">
            <v>1</v>
          </cell>
        </row>
        <row r="44">
          <cell r="C44" t="str">
            <v>107859</v>
          </cell>
          <cell r="G44">
            <v>1</v>
          </cell>
          <cell r="Q44">
            <v>1</v>
          </cell>
        </row>
        <row r="45">
          <cell r="C45" t="str">
            <v>107861</v>
          </cell>
          <cell r="I45">
            <v>1</v>
          </cell>
          <cell r="Q45">
            <v>1</v>
          </cell>
        </row>
        <row r="46">
          <cell r="C46" t="str">
            <v>107871</v>
          </cell>
          <cell r="H46">
            <v>1</v>
          </cell>
          <cell r="Q46">
            <v>1</v>
          </cell>
        </row>
        <row r="47">
          <cell r="C47" t="str">
            <v>107873</v>
          </cell>
          <cell r="H47">
            <v>1</v>
          </cell>
          <cell r="Q47">
            <v>1</v>
          </cell>
        </row>
        <row r="48">
          <cell r="C48" t="str">
            <v>107874</v>
          </cell>
          <cell r="H48">
            <v>1</v>
          </cell>
          <cell r="Q48">
            <v>1</v>
          </cell>
        </row>
        <row r="49">
          <cell r="C49" t="str">
            <v>107875</v>
          </cell>
          <cell r="H49">
            <v>1</v>
          </cell>
          <cell r="Q49">
            <v>1</v>
          </cell>
        </row>
        <row r="50">
          <cell r="C50" t="str">
            <v>107876</v>
          </cell>
          <cell r="H50">
            <v>1</v>
          </cell>
          <cell r="Q50">
            <v>1</v>
          </cell>
        </row>
        <row r="51">
          <cell r="C51" t="str">
            <v>107881</v>
          </cell>
          <cell r="I51">
            <v>0.25</v>
          </cell>
          <cell r="J51">
            <v>0.5</v>
          </cell>
          <cell r="K51">
            <v>0.25</v>
          </cell>
          <cell r="Q51">
            <v>1</v>
          </cell>
        </row>
        <row r="52">
          <cell r="I52">
            <v>0.25</v>
          </cell>
          <cell r="J52">
            <v>0.5</v>
          </cell>
          <cell r="K52">
            <v>0.25</v>
          </cell>
          <cell r="Q52">
            <v>1</v>
          </cell>
        </row>
        <row r="53">
          <cell r="I53">
            <v>0.25</v>
          </cell>
          <cell r="J53">
            <v>0.5</v>
          </cell>
          <cell r="K53">
            <v>0.25</v>
          </cell>
          <cell r="Q53">
            <v>1</v>
          </cell>
        </row>
        <row r="54">
          <cell r="I54">
            <v>0.25</v>
          </cell>
          <cell r="J54">
            <v>0.5</v>
          </cell>
          <cell r="K54">
            <v>0.25</v>
          </cell>
          <cell r="Q54">
            <v>1</v>
          </cell>
        </row>
        <row r="55">
          <cell r="L55">
            <v>1</v>
          </cell>
          <cell r="Q55">
            <v>1</v>
          </cell>
        </row>
        <row r="56">
          <cell r="M56">
            <v>1</v>
          </cell>
          <cell r="Q56">
            <v>1</v>
          </cell>
        </row>
        <row r="57">
          <cell r="C57" t="str">
            <v>1078S8</v>
          </cell>
          <cell r="N57">
            <v>0.25</v>
          </cell>
          <cell r="P57">
            <v>0.75</v>
          </cell>
          <cell r="Q57">
            <v>1</v>
          </cell>
        </row>
        <row r="58">
          <cell r="N58">
            <v>0.25</v>
          </cell>
          <cell r="P58">
            <v>0.75</v>
          </cell>
          <cell r="Q58">
            <v>1</v>
          </cell>
        </row>
        <row r="59">
          <cell r="L59">
            <v>1</v>
          </cell>
          <cell r="Q59">
            <v>1</v>
          </cell>
        </row>
      </sheetData>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TD SCH (2)"/>
      <sheetName val="TFTNs (2)"/>
      <sheetName val="LTD SCH"/>
      <sheetName val="ST Debt WP per AEE RTTY"/>
      <sheetName val="ST Debt"/>
      <sheetName val="ST Debt WP"/>
      <sheetName val="TFTNs"/>
      <sheetName val="Var Int 08"/>
      <sheetName val="Var Int"/>
      <sheetName val="P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FI use"/>
      <sheetName val="FERC Stmts"/>
      <sheetName val="UCM Share Repurchase"/>
      <sheetName val="Goodwill"/>
      <sheetName val="available fossil proceeds"/>
      <sheetName val="Div Declared"/>
      <sheetName val="Sheet1"/>
      <sheetName val="SETUP - Review"/>
      <sheetName val="Table of Contents"/>
      <sheetName val="1-IncStmt-MTH"/>
      <sheetName val="1a-IncStmt-MTD Adj"/>
      <sheetName val="2-IncStmt-QTR"/>
      <sheetName val="2b-IncStmt-QTD Adj"/>
      <sheetName val="3-IncStmt-YTD"/>
      <sheetName val="3a-IncStmt-YTD Adj"/>
      <sheetName val="4-Capital Structure"/>
      <sheetName val="5-Balance Sheet"/>
      <sheetName val="5b - Detail of BS Close Entries"/>
      <sheetName val="6-5% Test"/>
      <sheetName val="6a-5% Test Detail"/>
      <sheetName val="7 - Cash Flows Consolidated"/>
      <sheetName val="7a - Cash Flow Summary"/>
      <sheetName val="7b - Cash Flows - ComEd"/>
      <sheetName val="7c - Cash Flows - PECO"/>
      <sheetName val="7d - Cash Flows - Genco"/>
      <sheetName val="7e - Cash Flows - Enterprises"/>
      <sheetName val="7f - Corp BSC"/>
      <sheetName val="8 - PPE"/>
      <sheetName val="9 - Investments"/>
      <sheetName val="10-LTD"/>
      <sheetName val="11-GW Amort and Other Assets"/>
      <sheetName val="12-Equity Rollforward"/>
      <sheetName val="12a- OCI Qtr"/>
      <sheetName val="12b - OCI ytd"/>
      <sheetName val="13 - Footnote disclosures "/>
      <sheetName val="14-Schedule II - Valuations"/>
      <sheetName val="15-Statistics -QTR"/>
      <sheetName val="16-Statistics - YTD"/>
      <sheetName val="17-Add'l Info"/>
      <sheetName val="21-Revised 12.04 BS"/>
      <sheetName val="22 - Revised PY BS"/>
      <sheetName val="23-QTD 2005 DO Summary"/>
      <sheetName val="23a-QTD 2005 DO Detail"/>
      <sheetName val="24-YTD 2005 DO Summary"/>
      <sheetName val="24a-YTD 2005 DO Detail"/>
      <sheetName val="25-QTD 2004 DO Summary"/>
      <sheetName val="25a-QTD 2004 DO Detail"/>
      <sheetName val="26-YTD 2004 DO Summary"/>
      <sheetName val="26a-YTD 2004 DO Detail"/>
      <sheetName val="PETT 1999 A-2 3-1-03"/>
      <sheetName val="PETT 2000 C-1 3-1-10"/>
      <sheetName val="PETT 1999 A-3 3-1-04 Libor"/>
      <sheetName val="PETT 1999 A-4 3-1-05"/>
      <sheetName val="PETT 1999 A-5 9-1-07 Libor"/>
      <sheetName val="PETT 1999 A-6 3-1-07"/>
      <sheetName val="PETT 1999 A-7  9-1-08"/>
      <sheetName val="PETT 2000 B-2 9-1-02"/>
      <sheetName val="PETT 2000 B-3 3-1-09"/>
      <sheetName val="PETT 2000 B-4 9-1-09"/>
      <sheetName val="Wolf Hollow"/>
      <sheetName val="Major Maintenance_without Hud 2"/>
    </sheetNames>
    <sheetDataSet>
      <sheetData sheetId="0" refreshError="1">
        <row r="1">
          <cell r="I1" t="str">
            <v>Inc/(dec)</v>
          </cell>
          <cell r="J1" t="str">
            <v>Inc/(dec)</v>
          </cell>
          <cell r="L1" t="str">
            <v>Premium/</v>
          </cell>
        </row>
        <row r="2">
          <cell r="C2" t="str">
            <v>Shares</v>
          </cell>
          <cell r="D2" t="str">
            <v>Principal</v>
          </cell>
          <cell r="I2" t="str">
            <v>in Interest</v>
          </cell>
          <cell r="J2" t="str">
            <v>in Div's</v>
          </cell>
          <cell r="L2" t="str">
            <v>Fees</v>
          </cell>
          <cell r="N2" t="str">
            <v>Cash</v>
          </cell>
          <cell r="O2" t="str">
            <v>Interest</v>
          </cell>
        </row>
        <row r="3">
          <cell r="B3" t="str">
            <v>Issue</v>
          </cell>
          <cell r="C3" t="str">
            <v>in millions</v>
          </cell>
          <cell r="D3" t="str">
            <v>in millions</v>
          </cell>
          <cell r="I3" t="str">
            <v>in millions</v>
          </cell>
          <cell r="J3" t="str">
            <v>in millions</v>
          </cell>
          <cell r="L3" t="str">
            <v>in millions</v>
          </cell>
          <cell r="N3" t="str">
            <v>Balance</v>
          </cell>
          <cell r="O3" t="str">
            <v>Income</v>
          </cell>
        </row>
        <row r="4">
          <cell r="B4" t="str">
            <v>Initial Proceeds</v>
          </cell>
          <cell r="D4">
            <v>3400</v>
          </cell>
          <cell r="F4">
            <v>5.5800000000000002E-2</v>
          </cell>
          <cell r="I4">
            <v>189.72</v>
          </cell>
          <cell r="L4">
            <v>-40</v>
          </cell>
          <cell r="N4">
            <v>3360</v>
          </cell>
        </row>
        <row r="5">
          <cell r="I5">
            <v>0</v>
          </cell>
        </row>
        <row r="6">
          <cell r="B6" t="str">
            <v>CP</v>
          </cell>
          <cell r="D6">
            <v>-272</v>
          </cell>
          <cell r="F6">
            <v>5.1999999999999998E-2</v>
          </cell>
          <cell r="I6">
            <v>-14.144</v>
          </cell>
          <cell r="K6" t="str">
            <v>$43 was originally used in the 8-K</v>
          </cell>
          <cell r="N6">
            <v>3088</v>
          </cell>
        </row>
        <row r="7">
          <cell r="A7" t="str">
            <v>6M shares</v>
          </cell>
          <cell r="B7" t="str">
            <v>Common(1)</v>
          </cell>
          <cell r="D7">
            <v>-230</v>
          </cell>
          <cell r="I7">
            <v>0</v>
          </cell>
          <cell r="K7" t="str">
            <v xml:space="preserve">the amount calc's to $66.5.  What </v>
          </cell>
          <cell r="N7">
            <v>2858</v>
          </cell>
        </row>
        <row r="8">
          <cell r="B8" t="str">
            <v>CP</v>
          </cell>
          <cell r="D8">
            <v>-106.4</v>
          </cell>
          <cell r="F8">
            <v>5.6500000000000002E-2</v>
          </cell>
          <cell r="I8">
            <v>-6.0116000000000005</v>
          </cell>
          <cell r="K8" t="str">
            <v>is the difference?</v>
          </cell>
          <cell r="N8">
            <v>2751.6</v>
          </cell>
        </row>
        <row r="9">
          <cell r="B9" t="str">
            <v>CP</v>
          </cell>
          <cell r="D9">
            <v>-47.3</v>
          </cell>
          <cell r="F9">
            <v>6.2199999999999998E-2</v>
          </cell>
          <cell r="I9">
            <v>-2.9420599999999997</v>
          </cell>
          <cell r="N9">
            <v>2704.2999999999997</v>
          </cell>
        </row>
        <row r="10">
          <cell r="B10" t="str">
            <v>Pref</v>
          </cell>
          <cell r="C10">
            <v>11.519894000000001</v>
          </cell>
          <cell r="D10">
            <v>-534.20000000000005</v>
          </cell>
          <cell r="G10">
            <v>5.78</v>
          </cell>
          <cell r="I10">
            <v>0</v>
          </cell>
          <cell r="J10">
            <v>-43</v>
          </cell>
          <cell r="L10">
            <v>-5.9</v>
          </cell>
          <cell r="N10">
            <v>2164.1999999999994</v>
          </cell>
        </row>
        <row r="11">
          <cell r="B11" t="str">
            <v>LTD</v>
          </cell>
          <cell r="D11">
            <v>-730</v>
          </cell>
          <cell r="F11">
            <v>8.2199999999999995E-2</v>
          </cell>
          <cell r="I11">
            <v>-60.005999999999993</v>
          </cell>
          <cell r="L11">
            <v>-18.5</v>
          </cell>
          <cell r="N11">
            <v>1415.6999999999994</v>
          </cell>
        </row>
        <row r="12">
          <cell r="B12" t="str">
            <v>LTD</v>
          </cell>
          <cell r="D12">
            <v>-30.3</v>
          </cell>
          <cell r="F12">
            <v>9.3799999999999994E-2</v>
          </cell>
          <cell r="I12">
            <v>-2.8421400000000001</v>
          </cell>
          <cell r="L12">
            <v>-1.4</v>
          </cell>
          <cell r="N12">
            <v>1383.9999999999993</v>
          </cell>
        </row>
        <row r="13">
          <cell r="A13">
            <v>36187</v>
          </cell>
          <cell r="B13" t="str">
            <v>Common</v>
          </cell>
          <cell r="D13">
            <v>-6.8</v>
          </cell>
          <cell r="I13">
            <v>0</v>
          </cell>
          <cell r="N13">
            <v>1377.1999999999994</v>
          </cell>
        </row>
        <row r="14">
          <cell r="A14" t="str">
            <v>Forward</v>
          </cell>
          <cell r="B14" t="str">
            <v>Common</v>
          </cell>
          <cell r="D14">
            <v>-495</v>
          </cell>
          <cell r="I14">
            <v>0</v>
          </cell>
          <cell r="N14">
            <v>882.19999999999936</v>
          </cell>
        </row>
        <row r="15">
          <cell r="B15" t="str">
            <v>LTD</v>
          </cell>
          <cell r="D15">
            <v>-198.9</v>
          </cell>
          <cell r="F15">
            <v>9.6500000000000002E-2</v>
          </cell>
          <cell r="I15">
            <v>-19.193850000000001</v>
          </cell>
          <cell r="L15">
            <v>-15</v>
          </cell>
          <cell r="N15">
            <v>668.29999999999939</v>
          </cell>
        </row>
        <row r="16">
          <cell r="B16" t="str">
            <v>CP</v>
          </cell>
          <cell r="D16">
            <v>-65</v>
          </cell>
          <cell r="F16">
            <v>6.2E-2</v>
          </cell>
          <cell r="I16">
            <v>-4.03</v>
          </cell>
          <cell r="N16">
            <v>603.29999999999939</v>
          </cell>
        </row>
        <row r="17">
          <cell r="B17" t="str">
            <v>LTD</v>
          </cell>
          <cell r="D17">
            <v>-58</v>
          </cell>
          <cell r="F17">
            <v>7.6300000000000007E-2</v>
          </cell>
          <cell r="I17">
            <v>-4.4254000000000007</v>
          </cell>
          <cell r="L17">
            <v>-0.06</v>
          </cell>
          <cell r="N17">
            <v>545.23999999999944</v>
          </cell>
        </row>
        <row r="18">
          <cell r="B18" t="str">
            <v>CP</v>
          </cell>
          <cell r="D18">
            <v>-9.3000000000000007</v>
          </cell>
          <cell r="F18">
            <v>6.13E-2</v>
          </cell>
          <cell r="I18">
            <v>-0.5700900000000001</v>
          </cell>
          <cell r="N18">
            <v>535.93999999999949</v>
          </cell>
        </row>
        <row r="19">
          <cell r="A19" t="str">
            <v>March</v>
          </cell>
          <cell r="B19" t="str">
            <v>Common</v>
          </cell>
          <cell r="D19">
            <v>-186.90000000000003</v>
          </cell>
          <cell r="I19">
            <v>0</v>
          </cell>
          <cell r="N19">
            <v>349.03999999999945</v>
          </cell>
        </row>
        <row r="20">
          <cell r="B20" t="str">
            <v>LTD</v>
          </cell>
          <cell r="D20">
            <v>-0.1</v>
          </cell>
          <cell r="F20">
            <v>9.4100000000000003E-2</v>
          </cell>
          <cell r="I20">
            <v>-9.4100000000000017E-3</v>
          </cell>
          <cell r="L20">
            <v>-4.0999999999999996</v>
          </cell>
          <cell r="N20">
            <v>344.83999999999941</v>
          </cell>
        </row>
        <row r="21">
          <cell r="B21" t="str">
            <v>Pref</v>
          </cell>
          <cell r="C21">
            <v>3</v>
          </cell>
          <cell r="D21">
            <v>-75</v>
          </cell>
          <cell r="G21">
            <v>2.4300000000000002</v>
          </cell>
          <cell r="I21">
            <v>0</v>
          </cell>
          <cell r="J21">
            <v>-7.2900000000000009</v>
          </cell>
          <cell r="L21">
            <v>-2.2999999999999998</v>
          </cell>
          <cell r="N21">
            <v>267.5399999999994</v>
          </cell>
        </row>
        <row r="22">
          <cell r="N22">
            <v>267.5399999999994</v>
          </cell>
        </row>
        <row r="23">
          <cell r="B23" t="str">
            <v>Seaway Loan</v>
          </cell>
          <cell r="D23">
            <v>-3.6</v>
          </cell>
          <cell r="F23">
            <v>-0.08</v>
          </cell>
          <cell r="I23">
            <v>0.28800000000000003</v>
          </cell>
          <cell r="N23">
            <v>263.93999999999937</v>
          </cell>
        </row>
        <row r="24">
          <cell r="B24" t="str">
            <v>MTN</v>
          </cell>
          <cell r="D24">
            <v>-140</v>
          </cell>
          <cell r="F24">
            <v>9.0423214285714273E-2</v>
          </cell>
          <cell r="I24">
            <v>-12.659249999999998</v>
          </cell>
          <cell r="L24">
            <v>0</v>
          </cell>
          <cell r="N24">
            <v>123.93999999999937</v>
          </cell>
        </row>
        <row r="25">
          <cell r="O25">
            <v>4.4999999999999998E-2</v>
          </cell>
        </row>
        <row r="26">
          <cell r="B26" t="str">
            <v>Balance</v>
          </cell>
          <cell r="D26">
            <v>211.19999999999953</v>
          </cell>
          <cell r="I26">
            <v>63.174200000000013</v>
          </cell>
          <cell r="J26">
            <v>-50.29</v>
          </cell>
          <cell r="L26">
            <v>-87.26</v>
          </cell>
          <cell r="O26">
            <v>5.5772999999999717</v>
          </cell>
        </row>
        <row r="28">
          <cell r="B28" t="str">
            <v>Fees</v>
          </cell>
          <cell r="D28">
            <v>-87.26</v>
          </cell>
        </row>
        <row r="29">
          <cell r="D29">
            <v>123.93999999999953</v>
          </cell>
        </row>
        <row r="31">
          <cell r="B31" t="str">
            <v>Addback items which</v>
          </cell>
        </row>
        <row r="32">
          <cell r="B32" t="str">
            <v xml:space="preserve">have not happen through </v>
          </cell>
        </row>
        <row r="33">
          <cell r="B33" t="str">
            <v>September 30, 1999</v>
          </cell>
        </row>
        <row r="34">
          <cell r="B34" t="str">
            <v>Common(1)</v>
          </cell>
          <cell r="D34">
            <v>230</v>
          </cell>
        </row>
        <row r="35">
          <cell r="B35" t="str">
            <v>MTN</v>
          </cell>
          <cell r="D35">
            <v>140</v>
          </cell>
        </row>
        <row r="36">
          <cell r="D36">
            <v>493.93999999999954</v>
          </cell>
          <cell r="E36" t="str">
            <v>Ana, I believe this should be the $496M we discussed on the phone.</v>
          </cell>
        </row>
        <row r="37">
          <cell r="E37" t="str">
            <v>Do you know what the difference is?</v>
          </cell>
        </row>
        <row r="39">
          <cell r="A39" t="str">
            <v>"(1)  represents estimate of additional shares to be repurchases due to merger other than the $750M.</v>
          </cell>
        </row>
        <row r="43">
          <cell r="A43" t="str">
            <v>PER INFORMATION ABOVE</v>
          </cell>
        </row>
        <row r="44">
          <cell r="A44" t="str">
            <v>Income Statement Impact</v>
          </cell>
          <cell r="D44" t="str">
            <v>Int Exp/Inc</v>
          </cell>
          <cell r="F44" t="str">
            <v>Fees</v>
          </cell>
          <cell r="H44" t="str">
            <v>Total</v>
          </cell>
        </row>
        <row r="45">
          <cell r="A45" t="str">
            <v>Fees and Premiums</v>
          </cell>
          <cell r="F45">
            <v>39.06</v>
          </cell>
          <cell r="H45">
            <v>39.06</v>
          </cell>
        </row>
        <row r="46">
          <cell r="A46" t="str">
            <v>Increased Interest Expense</v>
          </cell>
          <cell r="D46">
            <v>63.174200000000013</v>
          </cell>
          <cell r="H46">
            <v>63.174200000000013</v>
          </cell>
        </row>
        <row r="47">
          <cell r="A47" t="str">
            <v>Increase Interest Income</v>
          </cell>
          <cell r="D47">
            <v>5.5772999999999717</v>
          </cell>
          <cell r="H47">
            <v>5.5772999999999717</v>
          </cell>
        </row>
        <row r="48">
          <cell r="A48" t="str">
            <v>Change to Taxable Income</v>
          </cell>
          <cell r="D48">
            <v>-57.596900000000041</v>
          </cell>
          <cell r="F48">
            <v>-39.06</v>
          </cell>
          <cell r="H48">
            <v>-96.656900000000036</v>
          </cell>
        </row>
        <row r="49">
          <cell r="A49" t="str">
            <v>Change to income taxes(fed)</v>
          </cell>
          <cell r="D49">
            <v>18.742031260000015</v>
          </cell>
          <cell r="E49">
            <v>0.32540000000000002</v>
          </cell>
          <cell r="F49">
            <v>12.710124000000002</v>
          </cell>
          <cell r="H49">
            <v>31.452155260000019</v>
          </cell>
        </row>
        <row r="50">
          <cell r="A50" t="str">
            <v>Change to income taxes(State)</v>
          </cell>
          <cell r="D50">
            <v>4.0433023800000027</v>
          </cell>
          <cell r="E50">
            <v>7.0199999999999999E-2</v>
          </cell>
          <cell r="F50">
            <v>2.7420119999999999</v>
          </cell>
          <cell r="H50">
            <v>6.7853143800000026</v>
          </cell>
        </row>
        <row r="51">
          <cell r="A51" t="str">
            <v>Incr/(decr) to income</v>
          </cell>
          <cell r="D51">
            <v>-34.811566360000029</v>
          </cell>
          <cell r="F51">
            <v>-23.607864000000003</v>
          </cell>
          <cell r="H51">
            <v>-58.419430360000035</v>
          </cell>
        </row>
        <row r="52">
          <cell r="A52" t="str">
            <v>Decrease Pref Div</v>
          </cell>
          <cell r="D52">
            <v>50.29</v>
          </cell>
          <cell r="F52">
            <v>-8.1999999999999993</v>
          </cell>
          <cell r="H52">
            <v>42.09</v>
          </cell>
        </row>
        <row r="53">
          <cell r="A53" t="str">
            <v xml:space="preserve">Incr/(decr) to inc to common </v>
          </cell>
          <cell r="D53">
            <v>15.47843363999997</v>
          </cell>
          <cell r="H53">
            <v>-16.329430360000032</v>
          </cell>
        </row>
        <row r="55">
          <cell r="A55" t="str">
            <v xml:space="preserve">USE FOR PRESENTATION PURPOSES </v>
          </cell>
        </row>
        <row r="56">
          <cell r="A56" t="str">
            <v>Income Statement Impact</v>
          </cell>
          <cell r="D56" t="str">
            <v>Int Exp/Inc</v>
          </cell>
          <cell r="F56" t="str">
            <v>Fees</v>
          </cell>
          <cell r="H56" t="str">
            <v>Total</v>
          </cell>
        </row>
        <row r="57">
          <cell r="A57" t="str">
            <v>Fees and Premiums</v>
          </cell>
          <cell r="F57">
            <v>45.6</v>
          </cell>
          <cell r="G57" t="str">
            <v>(1)</v>
          </cell>
          <cell r="H57">
            <v>45.6</v>
          </cell>
          <cell r="J57" t="str">
            <v>(1)  use per trial balance extraordinary item, for FERc reporting use account 426</v>
          </cell>
        </row>
        <row r="58">
          <cell r="A58" t="str">
            <v>Increased Interest Expense</v>
          </cell>
          <cell r="D58">
            <v>63.174200000000013</v>
          </cell>
          <cell r="H58">
            <v>63.174200000000013</v>
          </cell>
        </row>
        <row r="59">
          <cell r="A59" t="str">
            <v>Increase Interest Income</v>
          </cell>
          <cell r="D59">
            <v>5.5772999999999717</v>
          </cell>
          <cell r="H59">
            <v>5.5772999999999717</v>
          </cell>
          <cell r="J59" t="str">
            <v>Note: the format for FERC Form 1 reporting does not include provision</v>
          </cell>
        </row>
        <row r="60">
          <cell r="A60" t="str">
            <v>Change to Taxable Income</v>
          </cell>
          <cell r="D60">
            <v>-57.596900000000041</v>
          </cell>
          <cell r="F60">
            <v>-45.6</v>
          </cell>
          <cell r="H60">
            <v>-103.19690000000004</v>
          </cell>
          <cell r="J60" t="str">
            <v>for pref dividends.  Any item affecting the provision is not reflected</v>
          </cell>
        </row>
        <row r="61">
          <cell r="A61" t="str">
            <v>Change to income taxes(fed)</v>
          </cell>
          <cell r="D61">
            <v>18.742031260000015</v>
          </cell>
          <cell r="E61">
            <v>0.32540000000000002</v>
          </cell>
          <cell r="F61">
            <v>14.838240000000001</v>
          </cell>
          <cell r="H61">
            <v>33.580271260000018</v>
          </cell>
          <cell r="J61" t="str">
            <v>in the incomestatement for this filing.</v>
          </cell>
        </row>
        <row r="62">
          <cell r="A62" t="str">
            <v>Change to income taxes(State)</v>
          </cell>
          <cell r="D62">
            <v>4.0433023800000027</v>
          </cell>
          <cell r="E62">
            <v>7.0199999999999999E-2</v>
          </cell>
          <cell r="F62">
            <v>3.20112</v>
          </cell>
          <cell r="H62">
            <v>7.2444223800000032</v>
          </cell>
        </row>
        <row r="63">
          <cell r="A63" t="str">
            <v>Incr/(decr) to income</v>
          </cell>
          <cell r="D63">
            <v>-34.811566360000029</v>
          </cell>
          <cell r="F63">
            <v>-27.560640000000003</v>
          </cell>
          <cell r="H63">
            <v>-62.372206360000035</v>
          </cell>
        </row>
        <row r="64">
          <cell r="A64" t="str">
            <v>Decrease Pref Div</v>
          </cell>
          <cell r="D64">
            <v>50.29</v>
          </cell>
          <cell r="F64">
            <v>-12.3</v>
          </cell>
          <cell r="G64" t="str">
            <v>(2)</v>
          </cell>
          <cell r="H64">
            <v>37.989999999999995</v>
          </cell>
          <cell r="J64" t="str">
            <v>(2)  per Trial balance account 216051</v>
          </cell>
        </row>
        <row r="65">
          <cell r="A65" t="str">
            <v xml:space="preserve">Incr/(decr) to inc to common </v>
          </cell>
          <cell r="D65">
            <v>15.47843363999997</v>
          </cell>
          <cell r="H65">
            <v>-24.38220636000004</v>
          </cell>
        </row>
        <row r="68">
          <cell r="D68" t="str">
            <v>Total from above</v>
          </cell>
          <cell r="H68" t="str">
            <v>Actually Used in 1998</v>
          </cell>
          <cell r="L68" t="str">
            <v>Proceeds used after 1998</v>
          </cell>
          <cell r="O68" t="str">
            <v>Use these #'s for presentation purposes</v>
          </cell>
        </row>
        <row r="69">
          <cell r="C69" t="str">
            <v>Principal</v>
          </cell>
          <cell r="D69" t="str">
            <v>Fees</v>
          </cell>
          <cell r="E69" t="str">
            <v>Total</v>
          </cell>
          <cell r="G69" t="str">
            <v>Principal</v>
          </cell>
          <cell r="H69" t="str">
            <v>Fees</v>
          </cell>
          <cell r="I69" t="str">
            <v>Total</v>
          </cell>
          <cell r="K69" t="str">
            <v>Principal</v>
          </cell>
          <cell r="L69" t="str">
            <v>Fees</v>
          </cell>
          <cell r="M69" t="str">
            <v>Total</v>
          </cell>
          <cell r="O69" t="str">
            <v>Principal</v>
          </cell>
          <cell r="Q69" t="str">
            <v>Fees</v>
          </cell>
          <cell r="R69" t="str">
            <v>Total</v>
          </cell>
        </row>
        <row r="70">
          <cell r="A70" t="str">
            <v>CP</v>
          </cell>
          <cell r="C70">
            <v>-500</v>
          </cell>
          <cell r="D70">
            <v>0</v>
          </cell>
          <cell r="E70">
            <v>-500</v>
          </cell>
          <cell r="G70">
            <v>-332</v>
          </cell>
          <cell r="I70">
            <v>-332</v>
          </cell>
          <cell r="K70">
            <v>-168</v>
          </cell>
          <cell r="L70">
            <v>0</v>
          </cell>
          <cell r="M70">
            <v>-168</v>
          </cell>
          <cell r="O70">
            <v>-168</v>
          </cell>
          <cell r="Q70">
            <v>0</v>
          </cell>
          <cell r="R70">
            <v>-168</v>
          </cell>
        </row>
        <row r="71">
          <cell r="A71" t="str">
            <v>Common</v>
          </cell>
          <cell r="C71">
            <v>-918.7</v>
          </cell>
          <cell r="D71">
            <v>0</v>
          </cell>
          <cell r="E71">
            <v>-918.7</v>
          </cell>
          <cell r="G71">
            <v>0</v>
          </cell>
          <cell r="H71">
            <v>0</v>
          </cell>
          <cell r="I71">
            <v>0</v>
          </cell>
          <cell r="K71">
            <v>-918.7</v>
          </cell>
          <cell r="L71">
            <v>0</v>
          </cell>
          <cell r="M71">
            <v>-918.7</v>
          </cell>
          <cell r="O71">
            <v>-1020.973024</v>
          </cell>
          <cell r="P71" t="str">
            <v xml:space="preserve">(3)  </v>
          </cell>
          <cell r="Q71">
            <v>0</v>
          </cell>
          <cell r="R71">
            <v>-1021</v>
          </cell>
        </row>
        <row r="72">
          <cell r="A72" t="str">
            <v>LTD</v>
          </cell>
          <cell r="C72">
            <v>-1160.9000000000001</v>
          </cell>
          <cell r="D72">
            <v>-39.06</v>
          </cell>
          <cell r="E72">
            <v>-1199.96</v>
          </cell>
          <cell r="G72">
            <v>0</v>
          </cell>
          <cell r="I72">
            <v>0</v>
          </cell>
          <cell r="K72">
            <v>-1160.9000000000001</v>
          </cell>
          <cell r="L72">
            <v>-39.06</v>
          </cell>
          <cell r="M72">
            <v>-1199.96</v>
          </cell>
          <cell r="O72">
            <v>-1160.9000000000001</v>
          </cell>
          <cell r="Q72">
            <v>-45.6</v>
          </cell>
          <cell r="R72">
            <v>-1206.5</v>
          </cell>
        </row>
        <row r="73">
          <cell r="A73" t="str">
            <v>Pref</v>
          </cell>
          <cell r="C73">
            <v>-609.20000000000005</v>
          </cell>
          <cell r="D73">
            <v>-8.1999999999999993</v>
          </cell>
          <cell r="E73">
            <v>-617.40000000000009</v>
          </cell>
          <cell r="G73">
            <v>0</v>
          </cell>
          <cell r="H73">
            <v>0</v>
          </cell>
          <cell r="I73">
            <v>0</v>
          </cell>
          <cell r="K73">
            <v>-609.20000000000005</v>
          </cell>
          <cell r="L73">
            <v>-8.1999999999999993</v>
          </cell>
          <cell r="M73">
            <v>-617.40000000000009</v>
          </cell>
          <cell r="O73">
            <v>-609.20000000000005</v>
          </cell>
          <cell r="Q73">
            <v>12.3</v>
          </cell>
          <cell r="R73">
            <v>-596.9</v>
          </cell>
        </row>
        <row r="74">
          <cell r="C74">
            <v>-3188.8</v>
          </cell>
          <cell r="D74">
            <v>-47.260000000000005</v>
          </cell>
          <cell r="E74">
            <v>-3236.06</v>
          </cell>
          <cell r="G74">
            <v>-332</v>
          </cell>
          <cell r="H74">
            <v>0</v>
          </cell>
          <cell r="I74">
            <v>-332</v>
          </cell>
          <cell r="K74">
            <v>-2856.8</v>
          </cell>
          <cell r="L74">
            <v>-47.260000000000005</v>
          </cell>
          <cell r="M74">
            <v>-2904.06</v>
          </cell>
          <cell r="O74">
            <v>-2959.0730240000003</v>
          </cell>
          <cell r="Q74">
            <v>-33.299999999999997</v>
          </cell>
          <cell r="R74">
            <v>-2992.4</v>
          </cell>
        </row>
        <row r="75">
          <cell r="A75" t="str">
            <v>Other uses</v>
          </cell>
        </row>
        <row r="76">
          <cell r="A76" t="str">
            <v>Initail Fees</v>
          </cell>
          <cell r="E76">
            <v>-40</v>
          </cell>
          <cell r="I76">
            <v>-40</v>
          </cell>
          <cell r="M76">
            <v>0</v>
          </cell>
          <cell r="O76">
            <v>0</v>
          </cell>
          <cell r="R76">
            <v>0</v>
          </cell>
        </row>
        <row r="77">
          <cell r="E77">
            <v>-3276.06</v>
          </cell>
          <cell r="I77">
            <v>-372</v>
          </cell>
          <cell r="M77">
            <v>-2904.06</v>
          </cell>
          <cell r="O77">
            <v>-2959.0730240000003</v>
          </cell>
          <cell r="R77">
            <v>-2992.4</v>
          </cell>
        </row>
        <row r="78">
          <cell r="A78" t="str">
            <v>Initail Proceeds</v>
          </cell>
          <cell r="E78">
            <v>3400</v>
          </cell>
        </row>
        <row r="79">
          <cell r="A79" t="str">
            <v>Remaining proceeds</v>
          </cell>
          <cell r="E79">
            <v>123.94000000000005</v>
          </cell>
        </row>
        <row r="81">
          <cell r="O81" t="str">
            <v>(3)    See UCM Share Repurchase tab.    This is</v>
          </cell>
        </row>
        <row r="82">
          <cell r="A82" t="str">
            <v>F:\STAFF\jdm\KMH\Merge\FERC Filing\[FERC stmts2.XLS]TFI use</v>
          </cell>
          <cell r="O82" t="str">
            <v xml:space="preserve">         the same amount that was use in the 8-K </v>
          </cell>
        </row>
        <row r="83">
          <cell r="O83" t="str">
            <v xml:space="preserve">          filing for the merger.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TD EOY 08"/>
      <sheetName val="LTD EOY 06"/>
      <sheetName val="ST Debt WP per AEE RTTY"/>
      <sheetName val="ST Debt"/>
      <sheetName val="ST Debt WP"/>
      <sheetName val="PS"/>
    </sheetNames>
    <sheetDataSet>
      <sheetData sheetId="0"/>
      <sheetData sheetId="1" refreshError="1"/>
      <sheetData sheetId="2" refreshError="1"/>
      <sheetData sheetId="3" refreshError="1"/>
      <sheetData sheetId="4" refreshError="1"/>
      <sheetData sheetId="5"/>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TACHMENT E"/>
      <sheetName val="ATTACHMENT D"/>
      <sheetName val="ATTACHMENT C"/>
      <sheetName val="ATTACHMENT B"/>
      <sheetName val="ATTACHMENT A"/>
      <sheetName val="SUM BY GROUP BY SITE BY YEAR"/>
      <sheetName val="CRC SCENARIO 1"/>
      <sheetName val="CRC SCENARIO 1 (BY SITE)"/>
      <sheetName val="CRC SCENARIO 2"/>
      <sheetName val="CRC SCENARIO 2 (BY SITE)"/>
      <sheetName val="IDR 15"/>
      <sheetName val="SAMPLE WORKSHEET"/>
      <sheetName val="REVISED 1998 SUM BY GROUP"/>
      <sheetName val="LEGACY SUM BY GROUP BY LOCATION"/>
      <sheetName val="CBMS SUM BY GROUP BY LOCATION"/>
      <sheetName val="Sample"/>
      <sheetName val="REVISED"/>
      <sheetName val="NH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GROUP</v>
          </cell>
          <cell r="B1" t="str">
            <v>PROJECT GROUP NAME</v>
          </cell>
          <cell r="C1" t="str">
            <v>PRE-CBMS IRC 41 QREs</v>
          </cell>
          <cell r="D1" t="str">
            <v>CBMS CAPX QREs</v>
          </cell>
          <cell r="E1" t="str">
            <v>CBMS O&amp;M QREs</v>
          </cell>
          <cell r="F1" t="str">
            <v>prelim 300 AND 302</v>
          </cell>
          <cell r="G1" t="str">
            <v>IRC 41 QREs FROM 300 AND 302</v>
          </cell>
          <cell r="H1" t="str">
            <v>TOTAL QREs</v>
          </cell>
        </row>
        <row r="2">
          <cell r="A2">
            <v>0</v>
          </cell>
          <cell r="B2" t="str">
            <v>Improve Reliability of the Digital Rod Position Indication (DRPI) System</v>
          </cell>
          <cell r="C2">
            <v>0</v>
          </cell>
          <cell r="D2">
            <v>0</v>
          </cell>
          <cell r="E2">
            <v>0</v>
          </cell>
          <cell r="F2">
            <v>469225.70474999992</v>
          </cell>
          <cell r="G2">
            <v>469225.70474999992</v>
          </cell>
          <cell r="H2">
            <v>469225.70474999992</v>
          </cell>
        </row>
        <row r="3">
          <cell r="A3">
            <v>1</v>
          </cell>
          <cell r="B3" t="str">
            <v>Wastewater Treatment</v>
          </cell>
          <cell r="C3">
            <v>0</v>
          </cell>
          <cell r="D3">
            <v>0</v>
          </cell>
          <cell r="E3">
            <v>0</v>
          </cell>
          <cell r="F3">
            <v>0</v>
          </cell>
          <cell r="G3">
            <v>0</v>
          </cell>
          <cell r="H3">
            <v>0</v>
          </cell>
        </row>
        <row r="4">
          <cell r="A4">
            <v>2</v>
          </cell>
          <cell r="B4" t="str">
            <v>Rod Cluster Control Assembly</v>
          </cell>
          <cell r="C4">
            <v>0</v>
          </cell>
          <cell r="D4">
            <v>0</v>
          </cell>
          <cell r="E4">
            <v>0</v>
          </cell>
          <cell r="F4">
            <v>0</v>
          </cell>
          <cell r="G4">
            <v>0</v>
          </cell>
          <cell r="H4">
            <v>0</v>
          </cell>
        </row>
        <row r="5">
          <cell r="A5">
            <v>3</v>
          </cell>
          <cell r="B5" t="str">
            <v>Station Battery Capability Upgrade</v>
          </cell>
          <cell r="C5">
            <v>3360903.7711475077</v>
          </cell>
          <cell r="D5">
            <v>17890.14499999999</v>
          </cell>
          <cell r="E5">
            <v>463.30500000000001</v>
          </cell>
          <cell r="F5">
            <v>0</v>
          </cell>
          <cell r="G5">
            <v>0</v>
          </cell>
          <cell r="H5">
            <v>3379257.2211475079</v>
          </cell>
        </row>
        <row r="6">
          <cell r="A6">
            <v>4</v>
          </cell>
          <cell r="B6" t="str">
            <v>Chemical Treatment of Cooling Water</v>
          </cell>
          <cell r="C6">
            <v>834502.35657199821</v>
          </cell>
          <cell r="D6">
            <v>0</v>
          </cell>
          <cell r="E6">
            <v>0</v>
          </cell>
          <cell r="F6">
            <v>9677.2200525000007</v>
          </cell>
          <cell r="G6">
            <v>9677.2200525000007</v>
          </cell>
          <cell r="H6">
            <v>844179.57662449824</v>
          </cell>
        </row>
        <row r="7">
          <cell r="A7">
            <v>5</v>
          </cell>
          <cell r="B7" t="str">
            <v>Moisture Separator Reheater Upgrade</v>
          </cell>
          <cell r="C7">
            <v>475777.60129650001</v>
          </cell>
          <cell r="D7">
            <v>0</v>
          </cell>
          <cell r="E7">
            <v>0</v>
          </cell>
          <cell r="F7">
            <v>0</v>
          </cell>
          <cell r="G7">
            <v>0</v>
          </cell>
          <cell r="H7">
            <v>475777.60129650001</v>
          </cell>
        </row>
        <row r="8">
          <cell r="A8">
            <v>6</v>
          </cell>
          <cell r="B8" t="str">
            <v>Roof Improvements</v>
          </cell>
          <cell r="C8">
            <v>0</v>
          </cell>
          <cell r="D8">
            <v>0</v>
          </cell>
          <cell r="E8">
            <v>0</v>
          </cell>
          <cell r="F8">
            <v>0</v>
          </cell>
          <cell r="G8">
            <v>0</v>
          </cell>
          <cell r="H8">
            <v>0</v>
          </cell>
        </row>
        <row r="9">
          <cell r="A9">
            <v>7</v>
          </cell>
          <cell r="B9" t="str">
            <v>Reactor Cooling Pump Vibration Monitoring</v>
          </cell>
          <cell r="C9">
            <v>277472.73547499999</v>
          </cell>
          <cell r="D9">
            <v>178061.17750000031</v>
          </cell>
          <cell r="E9">
            <v>0</v>
          </cell>
          <cell r="F9">
            <v>0</v>
          </cell>
          <cell r="G9">
            <v>0</v>
          </cell>
          <cell r="H9">
            <v>455533.91297500033</v>
          </cell>
        </row>
        <row r="10">
          <cell r="A10">
            <v>8</v>
          </cell>
          <cell r="B10" t="str">
            <v>Main Condenser Bellows Improvements</v>
          </cell>
          <cell r="C10">
            <v>522.52200000000005</v>
          </cell>
          <cell r="D10">
            <v>0</v>
          </cell>
          <cell r="E10">
            <v>0</v>
          </cell>
          <cell r="F10">
            <v>0</v>
          </cell>
          <cell r="G10">
            <v>0</v>
          </cell>
          <cell r="H10">
            <v>522.52200000000005</v>
          </cell>
        </row>
        <row r="11">
          <cell r="A11">
            <v>9</v>
          </cell>
          <cell r="B11" t="str">
            <v>Improvements to Butterfly Valves</v>
          </cell>
          <cell r="C11">
            <v>170344.74020000003</v>
          </cell>
          <cell r="D11">
            <v>0</v>
          </cell>
          <cell r="E11">
            <v>0</v>
          </cell>
          <cell r="F11">
            <v>0</v>
          </cell>
          <cell r="G11">
            <v>0</v>
          </cell>
          <cell r="H11">
            <v>170344.74020000003</v>
          </cell>
        </row>
        <row r="12">
          <cell r="A12">
            <v>10</v>
          </cell>
          <cell r="B12" t="str">
            <v>Steam Generator Improvements Initiatives</v>
          </cell>
          <cell r="C12">
            <v>24395807.685359348</v>
          </cell>
          <cell r="D12">
            <v>-11.885200000000001</v>
          </cell>
          <cell r="E12">
            <v>219.69700000000006</v>
          </cell>
          <cell r="F12">
            <v>0</v>
          </cell>
          <cell r="G12">
            <v>0</v>
          </cell>
          <cell r="H12">
            <v>24396015.497159347</v>
          </cell>
        </row>
        <row r="13">
          <cell r="A13">
            <v>11</v>
          </cell>
          <cell r="B13" t="str">
            <v>Increase Capacity of Steam Generator System</v>
          </cell>
          <cell r="C13">
            <v>1431971.0863485013</v>
          </cell>
          <cell r="D13">
            <v>0</v>
          </cell>
          <cell r="E13">
            <v>0</v>
          </cell>
          <cell r="F13">
            <v>0</v>
          </cell>
          <cell r="G13">
            <v>0</v>
          </cell>
          <cell r="H13">
            <v>1431971.0863485013</v>
          </cell>
        </row>
        <row r="14">
          <cell r="A14">
            <v>12</v>
          </cell>
          <cell r="B14" t="str">
            <v>Intermediate Radwaste Storage Facilities</v>
          </cell>
          <cell r="C14">
            <v>0</v>
          </cell>
          <cell r="D14">
            <v>0</v>
          </cell>
          <cell r="E14">
            <v>0</v>
          </cell>
          <cell r="F14">
            <v>0</v>
          </cell>
          <cell r="G14">
            <v>0</v>
          </cell>
          <cell r="H14">
            <v>0</v>
          </cell>
        </row>
        <row r="15">
          <cell r="A15">
            <v>13</v>
          </cell>
          <cell r="B15" t="str">
            <v>Low Level Radwaste</v>
          </cell>
          <cell r="C15">
            <v>0</v>
          </cell>
          <cell r="D15">
            <v>0</v>
          </cell>
          <cell r="E15">
            <v>0</v>
          </cell>
          <cell r="F15">
            <v>0</v>
          </cell>
          <cell r="G15">
            <v>0</v>
          </cell>
          <cell r="H15">
            <v>0</v>
          </cell>
        </row>
        <row r="16">
          <cell r="A16">
            <v>14</v>
          </cell>
          <cell r="B16" t="str">
            <v>Improvements to Plant Security Barriers</v>
          </cell>
          <cell r="C16">
            <v>0</v>
          </cell>
          <cell r="D16">
            <v>0</v>
          </cell>
          <cell r="E16">
            <v>0</v>
          </cell>
          <cell r="F16">
            <v>0</v>
          </cell>
          <cell r="G16">
            <v>0</v>
          </cell>
          <cell r="H16">
            <v>0</v>
          </cell>
        </row>
        <row r="17">
          <cell r="A17">
            <v>15</v>
          </cell>
          <cell r="B17" t="str">
            <v>Main Power Transformer Replacement</v>
          </cell>
          <cell r="C17">
            <v>0</v>
          </cell>
          <cell r="D17">
            <v>0</v>
          </cell>
          <cell r="E17">
            <v>0</v>
          </cell>
          <cell r="F17">
            <v>0</v>
          </cell>
          <cell r="G17">
            <v>0</v>
          </cell>
          <cell r="H17">
            <v>0</v>
          </cell>
        </row>
        <row r="18">
          <cell r="A18">
            <v>16</v>
          </cell>
          <cell r="B18" t="str">
            <v>Replacement of Plant Security Computers</v>
          </cell>
          <cell r="C18">
            <v>0</v>
          </cell>
          <cell r="D18">
            <v>0</v>
          </cell>
          <cell r="E18">
            <v>0</v>
          </cell>
          <cell r="F18">
            <v>0</v>
          </cell>
          <cell r="G18">
            <v>0</v>
          </cell>
          <cell r="H18">
            <v>0</v>
          </cell>
        </row>
        <row r="19">
          <cell r="A19">
            <v>17</v>
          </cell>
          <cell r="B19" t="str">
            <v>Land or Right-of-Way Acquisition</v>
          </cell>
          <cell r="C19">
            <v>0</v>
          </cell>
          <cell r="D19">
            <v>0</v>
          </cell>
          <cell r="E19">
            <v>0</v>
          </cell>
          <cell r="F19">
            <v>0</v>
          </cell>
          <cell r="G19">
            <v>0</v>
          </cell>
          <cell r="H19">
            <v>0</v>
          </cell>
        </row>
        <row r="20">
          <cell r="A20">
            <v>18</v>
          </cell>
          <cell r="B20" t="str">
            <v>Transmission Lines and Substation</v>
          </cell>
          <cell r="C20">
            <v>0</v>
          </cell>
          <cell r="D20">
            <v>0</v>
          </cell>
          <cell r="E20">
            <v>0</v>
          </cell>
          <cell r="F20">
            <v>0</v>
          </cell>
          <cell r="G20">
            <v>0</v>
          </cell>
          <cell r="H20">
            <v>0</v>
          </cell>
        </row>
        <row r="21">
          <cell r="A21">
            <v>19</v>
          </cell>
          <cell r="B21" t="str">
            <v>Radioactive Gas Effluent Monitoring</v>
          </cell>
          <cell r="C21">
            <v>0</v>
          </cell>
          <cell r="D21">
            <v>0</v>
          </cell>
          <cell r="E21">
            <v>0</v>
          </cell>
          <cell r="F21">
            <v>0</v>
          </cell>
          <cell r="G21">
            <v>0</v>
          </cell>
          <cell r="H21">
            <v>0</v>
          </cell>
        </row>
        <row r="22">
          <cell r="A22">
            <v>20</v>
          </cell>
          <cell r="B22" t="str">
            <v>High Density Spent Fuel Storage</v>
          </cell>
          <cell r="C22">
            <v>12781500.192131486</v>
          </cell>
          <cell r="D22">
            <v>30293.232999999997</v>
          </cell>
          <cell r="E22">
            <v>0</v>
          </cell>
          <cell r="F22">
            <v>0</v>
          </cell>
          <cell r="G22">
            <v>0</v>
          </cell>
          <cell r="H22">
            <v>12811793.425131485</v>
          </cell>
        </row>
        <row r="23">
          <cell r="A23">
            <v>21</v>
          </cell>
          <cell r="B23" t="str">
            <v>ATWS (Alternative Transient Without SCRAM) - Turbine Modification</v>
          </cell>
          <cell r="C23">
            <v>1550.2695000000001</v>
          </cell>
          <cell r="D23">
            <v>0</v>
          </cell>
          <cell r="E23">
            <v>0</v>
          </cell>
          <cell r="F23">
            <v>0</v>
          </cell>
          <cell r="G23">
            <v>0</v>
          </cell>
          <cell r="H23">
            <v>1550.2695000000001</v>
          </cell>
        </row>
        <row r="24">
          <cell r="A24">
            <v>22</v>
          </cell>
          <cell r="B24" t="str">
            <v>ATWS (Alternative Transient Without SCRAM) - Modification for BWRs</v>
          </cell>
          <cell r="C24">
            <v>27326.500479999999</v>
          </cell>
          <cell r="D24">
            <v>0</v>
          </cell>
          <cell r="E24">
            <v>0</v>
          </cell>
          <cell r="F24">
            <v>0</v>
          </cell>
          <cell r="G24">
            <v>0</v>
          </cell>
          <cell r="H24">
            <v>27326.500479999999</v>
          </cell>
        </row>
        <row r="25">
          <cell r="A25">
            <v>23</v>
          </cell>
          <cell r="B25" t="str">
            <v>Resistance Temperature Detectors</v>
          </cell>
          <cell r="C25">
            <v>2780508.612500486</v>
          </cell>
          <cell r="D25">
            <v>0</v>
          </cell>
          <cell r="E25">
            <v>0</v>
          </cell>
          <cell r="F25">
            <v>0</v>
          </cell>
          <cell r="G25">
            <v>0</v>
          </cell>
          <cell r="H25">
            <v>2780508.612500486</v>
          </cell>
        </row>
        <row r="26">
          <cell r="A26">
            <v>24</v>
          </cell>
          <cell r="B26" t="str">
            <v>Process Computer Upgrades</v>
          </cell>
          <cell r="C26">
            <v>0</v>
          </cell>
          <cell r="D26">
            <v>0</v>
          </cell>
          <cell r="E26">
            <v>0</v>
          </cell>
          <cell r="F26">
            <v>0</v>
          </cell>
          <cell r="G26">
            <v>0</v>
          </cell>
          <cell r="H26">
            <v>0</v>
          </cell>
        </row>
        <row r="27">
          <cell r="A27">
            <v>25</v>
          </cell>
          <cell r="B27" t="str">
            <v>Resolution of Human Engineering Discrepancy</v>
          </cell>
          <cell r="C27">
            <v>24137874.168085158</v>
          </cell>
          <cell r="D27">
            <v>0</v>
          </cell>
          <cell r="E27">
            <v>0</v>
          </cell>
          <cell r="F27">
            <v>15973.404466</v>
          </cell>
          <cell r="G27">
            <v>15973.404466</v>
          </cell>
          <cell r="H27">
            <v>24153847.572551157</v>
          </cell>
        </row>
        <row r="28">
          <cell r="A28">
            <v>26</v>
          </cell>
          <cell r="B28" t="str">
            <v>Snubber Reduction Program</v>
          </cell>
          <cell r="C28">
            <v>13127568.183722457</v>
          </cell>
          <cell r="D28">
            <v>0</v>
          </cell>
          <cell r="E28">
            <v>-7686.3409999999994</v>
          </cell>
          <cell r="F28">
            <v>0</v>
          </cell>
          <cell r="G28">
            <v>0</v>
          </cell>
          <cell r="H28">
            <v>13119881.842722457</v>
          </cell>
        </row>
        <row r="29">
          <cell r="A29">
            <v>27</v>
          </cell>
          <cell r="B29" t="str">
            <v>Safety-Related Valves</v>
          </cell>
          <cell r="C29">
            <v>18425084.325985558</v>
          </cell>
          <cell r="D29">
            <v>0</v>
          </cell>
          <cell r="E29">
            <v>0</v>
          </cell>
          <cell r="F29">
            <v>0</v>
          </cell>
          <cell r="G29">
            <v>0</v>
          </cell>
          <cell r="H29">
            <v>18425084.325985558</v>
          </cell>
        </row>
        <row r="30">
          <cell r="A30">
            <v>28</v>
          </cell>
          <cell r="B30" t="str">
            <v>Events Recorder System</v>
          </cell>
          <cell r="C30">
            <v>0</v>
          </cell>
          <cell r="D30">
            <v>0</v>
          </cell>
          <cell r="E30">
            <v>0</v>
          </cell>
          <cell r="F30">
            <v>0</v>
          </cell>
          <cell r="G30">
            <v>0</v>
          </cell>
          <cell r="H30">
            <v>0</v>
          </cell>
        </row>
        <row r="31">
          <cell r="A31">
            <v>29</v>
          </cell>
          <cell r="B31" t="str">
            <v>Metal Diaphragm Valves</v>
          </cell>
          <cell r="C31">
            <v>0</v>
          </cell>
          <cell r="D31">
            <v>0</v>
          </cell>
          <cell r="E31">
            <v>0</v>
          </cell>
          <cell r="F31">
            <v>0</v>
          </cell>
          <cell r="G31">
            <v>0</v>
          </cell>
          <cell r="H31">
            <v>0</v>
          </cell>
        </row>
        <row r="32">
          <cell r="A32">
            <v>30</v>
          </cell>
          <cell r="B32" t="str">
            <v>Installation of Safe Shutdown Cables/ Appendix R</v>
          </cell>
          <cell r="C32">
            <v>3762243.059191498</v>
          </cell>
          <cell r="D32">
            <v>0</v>
          </cell>
          <cell r="E32">
            <v>5006763.6900000004</v>
          </cell>
          <cell r="F32">
            <v>1025408.2609840003</v>
          </cell>
          <cell r="G32">
            <v>1025408.2609840003</v>
          </cell>
          <cell r="H32">
            <v>9794415.0101754963</v>
          </cell>
        </row>
        <row r="33">
          <cell r="A33">
            <v>31</v>
          </cell>
          <cell r="B33" t="str">
            <v>Steam Generator Level Instrumentation</v>
          </cell>
          <cell r="C33">
            <v>434393.14029049978</v>
          </cell>
          <cell r="D33">
            <v>0</v>
          </cell>
          <cell r="E33">
            <v>0</v>
          </cell>
          <cell r="F33">
            <v>0</v>
          </cell>
          <cell r="G33">
            <v>0</v>
          </cell>
          <cell r="H33">
            <v>434393.14029049978</v>
          </cell>
        </row>
        <row r="34">
          <cell r="A34">
            <v>32</v>
          </cell>
          <cell r="B34" t="str">
            <v>Radioactive Chemical Laboratory Expansion</v>
          </cell>
          <cell r="C34">
            <v>0</v>
          </cell>
          <cell r="D34">
            <v>0</v>
          </cell>
          <cell r="E34">
            <v>0</v>
          </cell>
          <cell r="F34">
            <v>0</v>
          </cell>
          <cell r="G34">
            <v>0</v>
          </cell>
          <cell r="H34">
            <v>0</v>
          </cell>
        </row>
        <row r="35">
          <cell r="A35">
            <v>33</v>
          </cell>
          <cell r="B35" t="str">
            <v>Replacement of Generator Retaining Rings</v>
          </cell>
          <cell r="C35">
            <v>0</v>
          </cell>
          <cell r="D35">
            <v>0</v>
          </cell>
          <cell r="E35">
            <v>0</v>
          </cell>
          <cell r="F35">
            <v>0</v>
          </cell>
          <cell r="G35">
            <v>0</v>
          </cell>
          <cell r="H35">
            <v>0</v>
          </cell>
        </row>
        <row r="36">
          <cell r="A36">
            <v>34</v>
          </cell>
          <cell r="B36" t="str">
            <v>Extraction Steam Piping</v>
          </cell>
          <cell r="C36">
            <v>50585.731599999999</v>
          </cell>
          <cell r="D36">
            <v>0</v>
          </cell>
          <cell r="E36">
            <v>0</v>
          </cell>
          <cell r="F36">
            <v>0</v>
          </cell>
          <cell r="G36">
            <v>0</v>
          </cell>
          <cell r="H36">
            <v>50585.731599999999</v>
          </cell>
        </row>
        <row r="37">
          <cell r="A37">
            <v>35</v>
          </cell>
          <cell r="B37" t="str">
            <v>Dynamic Rod Worth Measurement</v>
          </cell>
          <cell r="C37">
            <v>0</v>
          </cell>
          <cell r="D37">
            <v>0</v>
          </cell>
          <cell r="E37">
            <v>0</v>
          </cell>
          <cell r="F37">
            <v>0</v>
          </cell>
          <cell r="G37">
            <v>0</v>
          </cell>
          <cell r="H37">
            <v>0</v>
          </cell>
        </row>
        <row r="38">
          <cell r="A38">
            <v>36</v>
          </cell>
          <cell r="B38" t="str">
            <v>Reactor Core Monitor</v>
          </cell>
          <cell r="C38">
            <v>0</v>
          </cell>
          <cell r="D38">
            <v>0</v>
          </cell>
          <cell r="E38">
            <v>0</v>
          </cell>
          <cell r="F38">
            <v>0</v>
          </cell>
          <cell r="G38">
            <v>0</v>
          </cell>
          <cell r="H38">
            <v>0</v>
          </cell>
        </row>
        <row r="39">
          <cell r="A39">
            <v>37</v>
          </cell>
          <cell r="B39" t="str">
            <v>Design and Installation of Clamps to Mitigate Cracking due to IGSCC in Reactor Internals of Exelon’s BWR Stations</v>
          </cell>
          <cell r="C39">
            <v>5780734.6282879934</v>
          </cell>
          <cell r="D39">
            <v>142000</v>
          </cell>
          <cell r="E39">
            <v>267930</v>
          </cell>
          <cell r="F39">
            <v>87945.965479000035</v>
          </cell>
          <cell r="G39">
            <v>87945.965479000035</v>
          </cell>
          <cell r="H39">
            <v>6278610.5937669938</v>
          </cell>
        </row>
        <row r="40">
          <cell r="A40">
            <v>38</v>
          </cell>
          <cell r="B40" t="str">
            <v>Natural Draft Cooling Tower Conversion</v>
          </cell>
          <cell r="C40">
            <v>1248943.3491729998</v>
          </cell>
          <cell r="D40">
            <v>210102.15850000002</v>
          </cell>
          <cell r="E40">
            <v>0</v>
          </cell>
          <cell r="F40">
            <v>0</v>
          </cell>
          <cell r="G40">
            <v>0</v>
          </cell>
          <cell r="H40">
            <v>1459045.507673</v>
          </cell>
        </row>
        <row r="41">
          <cell r="A41">
            <v>39</v>
          </cell>
          <cell r="B41" t="str">
            <v>Service Water Cooling Pipe Material Re-Evaluation</v>
          </cell>
          <cell r="C41">
            <v>342111.6126680001</v>
          </cell>
          <cell r="D41">
            <v>17705.734200000028</v>
          </cell>
          <cell r="E41">
            <v>1930.2850000000001</v>
          </cell>
          <cell r="F41">
            <v>223.90114999999935</v>
          </cell>
          <cell r="G41">
            <v>223.90114999999935</v>
          </cell>
          <cell r="H41">
            <v>361971.53301800007</v>
          </cell>
        </row>
        <row r="42">
          <cell r="A42">
            <v>40</v>
          </cell>
          <cell r="B42" t="str">
            <v>River Silt Control System</v>
          </cell>
          <cell r="C42">
            <v>219439.13403399996</v>
          </cell>
          <cell r="D42">
            <v>0</v>
          </cell>
          <cell r="E42">
            <v>0</v>
          </cell>
          <cell r="F42">
            <v>0</v>
          </cell>
          <cell r="G42">
            <v>0</v>
          </cell>
          <cell r="H42">
            <v>219439.13403399996</v>
          </cell>
        </row>
        <row r="43">
          <cell r="A43">
            <v>41</v>
          </cell>
          <cell r="B43" t="str">
            <v>Pressurized Water Reactor Simulator</v>
          </cell>
          <cell r="C43">
            <v>0</v>
          </cell>
          <cell r="D43">
            <v>0</v>
          </cell>
          <cell r="E43">
            <v>0</v>
          </cell>
          <cell r="F43">
            <v>0</v>
          </cell>
          <cell r="G43">
            <v>0</v>
          </cell>
          <cell r="H43">
            <v>0</v>
          </cell>
        </row>
        <row r="44">
          <cell r="A44">
            <v>42</v>
          </cell>
          <cell r="B44" t="str">
            <v>Joint Public Information Center</v>
          </cell>
          <cell r="C44">
            <v>0</v>
          </cell>
          <cell r="D44">
            <v>0</v>
          </cell>
          <cell r="E44">
            <v>0</v>
          </cell>
          <cell r="F44">
            <v>0</v>
          </cell>
          <cell r="G44">
            <v>0</v>
          </cell>
          <cell r="H44">
            <v>0</v>
          </cell>
        </row>
        <row r="45">
          <cell r="A45">
            <v>43</v>
          </cell>
          <cell r="B45" t="str">
            <v>Low Pressure Turbine Rotor</v>
          </cell>
          <cell r="C45">
            <v>8286018.9971264862</v>
          </cell>
          <cell r="D45">
            <v>39995.110999999983</v>
          </cell>
          <cell r="E45">
            <v>0</v>
          </cell>
          <cell r="F45">
            <v>0</v>
          </cell>
          <cell r="G45">
            <v>0</v>
          </cell>
          <cell r="H45">
            <v>8326014.1081264857</v>
          </cell>
        </row>
        <row r="46">
          <cell r="A46">
            <v>44</v>
          </cell>
          <cell r="B46" t="str">
            <v>Replace Asbestos Insulation</v>
          </cell>
          <cell r="C46">
            <v>0</v>
          </cell>
          <cell r="D46">
            <v>0</v>
          </cell>
          <cell r="E46">
            <v>0</v>
          </cell>
          <cell r="F46">
            <v>0</v>
          </cell>
          <cell r="G46">
            <v>0</v>
          </cell>
          <cell r="H46">
            <v>0</v>
          </cell>
        </row>
        <row r="47">
          <cell r="A47">
            <v>45</v>
          </cell>
          <cell r="B47" t="str">
            <v>Piping Susceptible to Intergranular Stress Corrosion Cracking</v>
          </cell>
          <cell r="C47">
            <v>7622676.0753580006</v>
          </cell>
          <cell r="D47">
            <v>0</v>
          </cell>
          <cell r="E47">
            <v>78279.864000000001</v>
          </cell>
          <cell r="F47">
            <v>-424.06976600000002</v>
          </cell>
          <cell r="G47">
            <v>-424.06976600000002</v>
          </cell>
          <cell r="H47">
            <v>7700531.8695920007</v>
          </cell>
        </row>
        <row r="48">
          <cell r="A48">
            <v>46</v>
          </cell>
          <cell r="B48" t="str">
            <v>24 Month Operating Cycle</v>
          </cell>
          <cell r="C48">
            <v>0</v>
          </cell>
          <cell r="D48">
            <v>0</v>
          </cell>
          <cell r="E48">
            <v>0</v>
          </cell>
          <cell r="F48">
            <v>0</v>
          </cell>
          <cell r="G48">
            <v>0</v>
          </cell>
          <cell r="H48">
            <v>0</v>
          </cell>
        </row>
        <row r="49">
          <cell r="A49">
            <v>47</v>
          </cell>
          <cell r="B49" t="str">
            <v>GENERIC LETTER 96-01</v>
          </cell>
          <cell r="C49">
            <v>0</v>
          </cell>
          <cell r="D49">
            <v>0</v>
          </cell>
          <cell r="E49">
            <v>0</v>
          </cell>
          <cell r="F49">
            <v>0</v>
          </cell>
          <cell r="G49">
            <v>0</v>
          </cell>
          <cell r="H49">
            <v>0</v>
          </cell>
        </row>
        <row r="50">
          <cell r="A50">
            <v>48</v>
          </cell>
          <cell r="B50" t="str">
            <v>Reactor Building Cooling</v>
          </cell>
          <cell r="C50">
            <v>0</v>
          </cell>
          <cell r="D50">
            <v>0</v>
          </cell>
          <cell r="E50">
            <v>0</v>
          </cell>
          <cell r="F50">
            <v>2625168.6260374971</v>
          </cell>
          <cell r="G50">
            <v>2625168.6260374971</v>
          </cell>
          <cell r="H50">
            <v>2625168.6260374971</v>
          </cell>
        </row>
        <row r="51">
          <cell r="A51">
            <v>49</v>
          </cell>
          <cell r="B51" t="str">
            <v>Upgrade Standby Gas Treatment</v>
          </cell>
          <cell r="C51">
            <v>16183.827659999999</v>
          </cell>
          <cell r="D51">
            <v>0</v>
          </cell>
          <cell r="E51">
            <v>0</v>
          </cell>
          <cell r="F51">
            <v>0</v>
          </cell>
          <cell r="G51">
            <v>0</v>
          </cell>
          <cell r="H51">
            <v>16183.827659999999</v>
          </cell>
        </row>
        <row r="52">
          <cell r="A52">
            <v>50</v>
          </cell>
          <cell r="B52" t="str">
            <v>Pipe Ventilation System</v>
          </cell>
          <cell r="C52">
            <v>0</v>
          </cell>
          <cell r="D52">
            <v>0</v>
          </cell>
          <cell r="E52">
            <v>0</v>
          </cell>
          <cell r="F52">
            <v>0</v>
          </cell>
          <cell r="G52">
            <v>0</v>
          </cell>
          <cell r="H52">
            <v>0</v>
          </cell>
        </row>
        <row r="53">
          <cell r="A53">
            <v>51</v>
          </cell>
          <cell r="B53" t="str">
            <v>Control Rod Shield</v>
          </cell>
          <cell r="C53">
            <v>94.988615500002652</v>
          </cell>
          <cell r="D53">
            <v>0</v>
          </cell>
          <cell r="E53">
            <v>0</v>
          </cell>
          <cell r="F53">
            <v>0</v>
          </cell>
          <cell r="G53">
            <v>0</v>
          </cell>
          <cell r="H53">
            <v>94.988615500002652</v>
          </cell>
        </row>
        <row r="54">
          <cell r="A54">
            <v>52</v>
          </cell>
          <cell r="B54" t="str">
            <v>Feedwater System Revision</v>
          </cell>
          <cell r="C54">
            <v>2470602.9960524933</v>
          </cell>
          <cell r="D54">
            <v>0</v>
          </cell>
          <cell r="E54">
            <v>124902.74849999996</v>
          </cell>
          <cell r="F54">
            <v>71071.540150000015</v>
          </cell>
          <cell r="G54">
            <v>71071.540150000015</v>
          </cell>
          <cell r="H54">
            <v>2666577.2847024929</v>
          </cell>
        </row>
        <row r="55">
          <cell r="A55">
            <v>53</v>
          </cell>
          <cell r="B55" t="str">
            <v>Off-Gas Hydrogen Combustion Design Basis Accident</v>
          </cell>
          <cell r="C55">
            <v>293810.51034050016</v>
          </cell>
          <cell r="D55">
            <v>0</v>
          </cell>
          <cell r="E55">
            <v>0</v>
          </cell>
          <cell r="F55">
            <v>0</v>
          </cell>
          <cell r="G55">
            <v>0</v>
          </cell>
          <cell r="H55">
            <v>293810.51034050016</v>
          </cell>
        </row>
        <row r="56">
          <cell r="A56">
            <v>54</v>
          </cell>
          <cell r="B56" t="str">
            <v>Dry Tube Assembly</v>
          </cell>
          <cell r="C56">
            <v>0</v>
          </cell>
          <cell r="D56">
            <v>0</v>
          </cell>
          <cell r="E56">
            <v>0</v>
          </cell>
          <cell r="F56">
            <v>0</v>
          </cell>
          <cell r="G56">
            <v>0</v>
          </cell>
          <cell r="H56">
            <v>0</v>
          </cell>
        </row>
        <row r="57">
          <cell r="A57">
            <v>55</v>
          </cell>
          <cell r="B57" t="str">
            <v>Batteries &amp; Chargers</v>
          </cell>
          <cell r="C57">
            <v>35899.804804500047</v>
          </cell>
          <cell r="D57">
            <v>0</v>
          </cell>
          <cell r="E57">
            <v>0</v>
          </cell>
          <cell r="F57">
            <v>0</v>
          </cell>
          <cell r="G57">
            <v>0</v>
          </cell>
          <cell r="H57">
            <v>35899.804804500047</v>
          </cell>
        </row>
        <row r="58">
          <cell r="A58">
            <v>56</v>
          </cell>
          <cell r="B58" t="str">
            <v>Technical Support Facility &amp; Emergency Offsite Facility</v>
          </cell>
          <cell r="C58">
            <v>3328731.3317375039</v>
          </cell>
          <cell r="D58">
            <v>0</v>
          </cell>
          <cell r="E58">
            <v>0</v>
          </cell>
          <cell r="F58">
            <v>0</v>
          </cell>
          <cell r="G58">
            <v>0</v>
          </cell>
          <cell r="H58">
            <v>3328731.3317375039</v>
          </cell>
        </row>
        <row r="59">
          <cell r="A59">
            <v>57</v>
          </cell>
          <cell r="B59" t="str">
            <v>TMI Accident Review Modifications</v>
          </cell>
          <cell r="C59">
            <v>2435227.3810010017</v>
          </cell>
          <cell r="D59">
            <v>0</v>
          </cell>
          <cell r="E59">
            <v>0</v>
          </cell>
          <cell r="F59">
            <v>0</v>
          </cell>
          <cell r="G59">
            <v>0</v>
          </cell>
          <cell r="H59">
            <v>2435227.3810010017</v>
          </cell>
        </row>
        <row r="60">
          <cell r="A60">
            <v>58</v>
          </cell>
          <cell r="B60" t="str">
            <v>Canal Cooling Bank Improvements</v>
          </cell>
          <cell r="C60">
            <v>0</v>
          </cell>
          <cell r="D60">
            <v>0</v>
          </cell>
          <cell r="E60">
            <v>0</v>
          </cell>
          <cell r="F60">
            <v>0</v>
          </cell>
          <cell r="G60">
            <v>0</v>
          </cell>
          <cell r="H60">
            <v>0</v>
          </cell>
        </row>
        <row r="61">
          <cell r="A61">
            <v>59</v>
          </cell>
          <cell r="B61" t="str">
            <v>Corner Room Modifications</v>
          </cell>
          <cell r="C61">
            <v>0</v>
          </cell>
          <cell r="D61">
            <v>0</v>
          </cell>
          <cell r="E61">
            <v>0</v>
          </cell>
          <cell r="F61">
            <v>0</v>
          </cell>
          <cell r="G61">
            <v>0</v>
          </cell>
          <cell r="H61">
            <v>0</v>
          </cell>
        </row>
        <row r="62">
          <cell r="A62">
            <v>60</v>
          </cell>
          <cell r="B62" t="str">
            <v>Lubricating System Diesel Generator</v>
          </cell>
          <cell r="C62">
            <v>0</v>
          </cell>
          <cell r="D62">
            <v>0</v>
          </cell>
          <cell r="E62">
            <v>0</v>
          </cell>
          <cell r="F62">
            <v>0</v>
          </cell>
          <cell r="G62">
            <v>0</v>
          </cell>
          <cell r="H62">
            <v>0</v>
          </cell>
        </row>
        <row r="63">
          <cell r="A63">
            <v>61</v>
          </cell>
          <cell r="B63" t="str">
            <v>Reactor Protection Indication System Cables</v>
          </cell>
          <cell r="C63">
            <v>0</v>
          </cell>
          <cell r="D63">
            <v>0</v>
          </cell>
          <cell r="E63">
            <v>0</v>
          </cell>
          <cell r="F63">
            <v>0</v>
          </cell>
          <cell r="G63">
            <v>0</v>
          </cell>
          <cell r="H63">
            <v>0</v>
          </cell>
        </row>
        <row r="64">
          <cell r="A64">
            <v>62</v>
          </cell>
          <cell r="B64" t="str">
            <v>Physical Support of Safety Related Piping</v>
          </cell>
          <cell r="C64">
            <v>16559147.049991027</v>
          </cell>
          <cell r="D64">
            <v>0</v>
          </cell>
          <cell r="E64">
            <v>0</v>
          </cell>
          <cell r="F64">
            <v>0</v>
          </cell>
          <cell r="G64">
            <v>0</v>
          </cell>
          <cell r="H64">
            <v>16559147.049991027</v>
          </cell>
        </row>
        <row r="65">
          <cell r="A65">
            <v>63</v>
          </cell>
          <cell r="B65" t="str">
            <v>Zion Safety Improvements: Service Water</v>
          </cell>
          <cell r="C65">
            <v>12321386.974367017</v>
          </cell>
          <cell r="D65">
            <v>0</v>
          </cell>
          <cell r="E65">
            <v>42250</v>
          </cell>
          <cell r="F65">
            <v>0</v>
          </cell>
          <cell r="G65">
            <v>0</v>
          </cell>
          <cell r="H65">
            <v>12363636.974367017</v>
          </cell>
        </row>
        <row r="66">
          <cell r="A66">
            <v>64</v>
          </cell>
          <cell r="B66" t="str">
            <v>Liquid Radwaste System Improvement</v>
          </cell>
          <cell r="C66">
            <v>5535100.5601999518</v>
          </cell>
          <cell r="D66">
            <v>0</v>
          </cell>
          <cell r="E66">
            <v>0</v>
          </cell>
          <cell r="F66">
            <v>0</v>
          </cell>
          <cell r="G66">
            <v>0</v>
          </cell>
          <cell r="H66">
            <v>5535100.5601999518</v>
          </cell>
        </row>
        <row r="67">
          <cell r="A67">
            <v>65</v>
          </cell>
          <cell r="B67" t="str">
            <v>Installation of Nitrogen Containment Air Dilution (NCAD) System</v>
          </cell>
          <cell r="C67">
            <v>35957.199778500006</v>
          </cell>
          <cell r="D67">
            <v>0</v>
          </cell>
          <cell r="E67">
            <v>0</v>
          </cell>
          <cell r="F67">
            <v>0</v>
          </cell>
          <cell r="G67">
            <v>0</v>
          </cell>
          <cell r="H67">
            <v>35957.199778500006</v>
          </cell>
        </row>
        <row r="68">
          <cell r="A68">
            <v>66</v>
          </cell>
          <cell r="B68" t="str">
            <v>Initial Coatings</v>
          </cell>
          <cell r="C68">
            <v>0</v>
          </cell>
          <cell r="D68">
            <v>0</v>
          </cell>
          <cell r="E68">
            <v>0</v>
          </cell>
          <cell r="F68">
            <v>0</v>
          </cell>
          <cell r="G68">
            <v>0</v>
          </cell>
          <cell r="H68">
            <v>0</v>
          </cell>
        </row>
        <row r="69">
          <cell r="A69">
            <v>67</v>
          </cell>
          <cell r="B69" t="str">
            <v>Reactor Head Removal Tool Replacement</v>
          </cell>
          <cell r="C69">
            <v>0</v>
          </cell>
          <cell r="D69">
            <v>0</v>
          </cell>
          <cell r="E69">
            <v>0</v>
          </cell>
          <cell r="F69">
            <v>0</v>
          </cell>
          <cell r="G69">
            <v>0</v>
          </cell>
          <cell r="H69">
            <v>0</v>
          </cell>
        </row>
        <row r="70">
          <cell r="A70">
            <v>68</v>
          </cell>
          <cell r="B70" t="str">
            <v>Refueling Bridges</v>
          </cell>
          <cell r="C70">
            <v>0</v>
          </cell>
          <cell r="D70">
            <v>0</v>
          </cell>
          <cell r="E70">
            <v>0</v>
          </cell>
          <cell r="F70">
            <v>0</v>
          </cell>
          <cell r="G70">
            <v>0</v>
          </cell>
          <cell r="H70">
            <v>0</v>
          </cell>
        </row>
        <row r="71">
          <cell r="A71">
            <v>69</v>
          </cell>
          <cell r="B71" t="str">
            <v>Long Term SCRAM Reduction Modifications</v>
          </cell>
          <cell r="C71">
            <v>1424704.0773214989</v>
          </cell>
          <cell r="D71">
            <v>0</v>
          </cell>
          <cell r="E71">
            <v>0</v>
          </cell>
          <cell r="F71">
            <v>0</v>
          </cell>
          <cell r="G71">
            <v>0</v>
          </cell>
          <cell r="H71">
            <v>1424704.0773214989</v>
          </cell>
        </row>
        <row r="72">
          <cell r="A72">
            <v>70</v>
          </cell>
          <cell r="B72" t="str">
            <v>Containment Penetration Bellows</v>
          </cell>
          <cell r="C72">
            <v>3100391.3995104958</v>
          </cell>
          <cell r="D72">
            <v>0</v>
          </cell>
          <cell r="E72">
            <v>0</v>
          </cell>
          <cell r="F72">
            <v>14080.054377999999</v>
          </cell>
          <cell r="G72">
            <v>14080.054377999999</v>
          </cell>
          <cell r="H72">
            <v>3114471.4538884959</v>
          </cell>
        </row>
        <row r="73">
          <cell r="A73">
            <v>71</v>
          </cell>
          <cell r="B73" t="str">
            <v>Hydrogen Water Chemistry</v>
          </cell>
          <cell r="C73">
            <v>6456934.386208945</v>
          </cell>
          <cell r="D73">
            <v>492271.18150000024</v>
          </cell>
          <cell r="E73">
            <v>24319.434500000003</v>
          </cell>
          <cell r="F73">
            <v>0</v>
          </cell>
          <cell r="G73">
            <v>0</v>
          </cell>
          <cell r="H73">
            <v>6973525.0022089453</v>
          </cell>
        </row>
        <row r="74">
          <cell r="A74">
            <v>72</v>
          </cell>
          <cell r="B74" t="str">
            <v>Water Chemistry Improvement</v>
          </cell>
          <cell r="C74">
            <v>0</v>
          </cell>
          <cell r="D74">
            <v>0</v>
          </cell>
          <cell r="E74">
            <v>0</v>
          </cell>
          <cell r="F74">
            <v>0</v>
          </cell>
          <cell r="G74">
            <v>0</v>
          </cell>
          <cell r="H74">
            <v>0</v>
          </cell>
        </row>
        <row r="75">
          <cell r="A75">
            <v>73</v>
          </cell>
          <cell r="B75" t="str">
            <v>Upgrade of 4kV Auxiliary Power Distribution</v>
          </cell>
          <cell r="C75">
            <v>5410273.2812494943</v>
          </cell>
          <cell r="D75">
            <v>3370.44</v>
          </cell>
          <cell r="E75">
            <v>0</v>
          </cell>
          <cell r="F75">
            <v>275809.88305100007</v>
          </cell>
          <cell r="G75">
            <v>275809.88305100007</v>
          </cell>
          <cell r="H75">
            <v>5689453.6043004952</v>
          </cell>
        </row>
        <row r="76">
          <cell r="A76">
            <v>74</v>
          </cell>
          <cell r="B76" t="str">
            <v>Environmental Qualification</v>
          </cell>
          <cell r="C76">
            <v>6172933.5758940028</v>
          </cell>
          <cell r="D76">
            <v>0</v>
          </cell>
          <cell r="E76">
            <v>0</v>
          </cell>
          <cell r="F76">
            <v>1448869.0340864984</v>
          </cell>
          <cell r="G76">
            <v>1448869.0340864984</v>
          </cell>
          <cell r="H76">
            <v>7621802.6099805012</v>
          </cell>
        </row>
        <row r="77">
          <cell r="A77">
            <v>75</v>
          </cell>
          <cell r="B77" t="str">
            <v>Water Level Measurement and Instrumentation Design Flaw Correction</v>
          </cell>
          <cell r="C77">
            <v>7338772.0479360241</v>
          </cell>
          <cell r="D77">
            <v>0</v>
          </cell>
          <cell r="E77">
            <v>0</v>
          </cell>
          <cell r="F77">
            <v>909147.52974650043</v>
          </cell>
          <cell r="G77">
            <v>909147.52974650043</v>
          </cell>
          <cell r="H77">
            <v>8247919.5776825249</v>
          </cell>
        </row>
        <row r="78">
          <cell r="A78">
            <v>76</v>
          </cell>
          <cell r="B78" t="str">
            <v>Replace Main Generator Voltage Regulator</v>
          </cell>
          <cell r="C78">
            <v>0</v>
          </cell>
          <cell r="D78">
            <v>0</v>
          </cell>
          <cell r="E78">
            <v>0</v>
          </cell>
          <cell r="F78">
            <v>0</v>
          </cell>
          <cell r="G78">
            <v>0</v>
          </cell>
          <cell r="H78">
            <v>0</v>
          </cell>
        </row>
        <row r="79">
          <cell r="A79">
            <v>77</v>
          </cell>
          <cell r="B79" t="str">
            <v>Masonry Block Wall Study and Upgrades</v>
          </cell>
          <cell r="C79">
            <v>137678.07331450004</v>
          </cell>
          <cell r="D79">
            <v>0</v>
          </cell>
          <cell r="E79">
            <v>0</v>
          </cell>
          <cell r="F79">
            <v>0</v>
          </cell>
          <cell r="G79">
            <v>0</v>
          </cell>
          <cell r="H79">
            <v>137678.07331450004</v>
          </cell>
        </row>
        <row r="80">
          <cell r="A80">
            <v>78</v>
          </cell>
          <cell r="B80" t="str">
            <v>Zinc Injection System</v>
          </cell>
          <cell r="C80">
            <v>669467.16093000013</v>
          </cell>
          <cell r="D80">
            <v>94926.161999999982</v>
          </cell>
          <cell r="E80">
            <v>0</v>
          </cell>
          <cell r="F80">
            <v>243441.9640025002</v>
          </cell>
          <cell r="G80">
            <v>243441.9640025002</v>
          </cell>
          <cell r="H80">
            <v>1007835.2869325003</v>
          </cell>
        </row>
        <row r="81">
          <cell r="A81">
            <v>79</v>
          </cell>
          <cell r="B81" t="str">
            <v>Disposal of Reactor Core Components</v>
          </cell>
          <cell r="C81">
            <v>0</v>
          </cell>
          <cell r="D81">
            <v>0</v>
          </cell>
          <cell r="E81">
            <v>0</v>
          </cell>
          <cell r="F81">
            <v>0</v>
          </cell>
          <cell r="G81">
            <v>0</v>
          </cell>
          <cell r="H81">
            <v>0</v>
          </cell>
        </row>
        <row r="82">
          <cell r="A82">
            <v>80</v>
          </cell>
          <cell r="B82" t="str">
            <v>Rotating Assemblies and Monitoring</v>
          </cell>
          <cell r="C82">
            <v>0</v>
          </cell>
          <cell r="D82">
            <v>0</v>
          </cell>
          <cell r="E82">
            <v>0</v>
          </cell>
          <cell r="F82">
            <v>0</v>
          </cell>
          <cell r="G82">
            <v>0</v>
          </cell>
          <cell r="H82">
            <v>0</v>
          </cell>
        </row>
        <row r="83">
          <cell r="A83">
            <v>81</v>
          </cell>
          <cell r="B83" t="str">
            <v>Reactor Water Level Trip System</v>
          </cell>
          <cell r="C83">
            <v>1917055.5237000026</v>
          </cell>
          <cell r="D83">
            <v>0</v>
          </cell>
          <cell r="E83">
            <v>0</v>
          </cell>
          <cell r="F83">
            <v>0</v>
          </cell>
          <cell r="G83">
            <v>0</v>
          </cell>
          <cell r="H83">
            <v>1917055.5237000026</v>
          </cell>
        </row>
        <row r="84">
          <cell r="A84">
            <v>82</v>
          </cell>
          <cell r="B84" t="str">
            <v>Isolation Condenser</v>
          </cell>
          <cell r="C84">
            <v>0</v>
          </cell>
          <cell r="D84">
            <v>0</v>
          </cell>
          <cell r="E84">
            <v>0</v>
          </cell>
          <cell r="F84">
            <v>0</v>
          </cell>
          <cell r="G84">
            <v>0</v>
          </cell>
          <cell r="H84">
            <v>0</v>
          </cell>
        </row>
        <row r="85">
          <cell r="A85">
            <v>83</v>
          </cell>
          <cell r="B85" t="str">
            <v>Auxiliary Building Ventilation Fan Motor</v>
          </cell>
          <cell r="C85">
            <v>0</v>
          </cell>
          <cell r="D85">
            <v>0</v>
          </cell>
          <cell r="E85">
            <v>0</v>
          </cell>
          <cell r="F85">
            <v>0</v>
          </cell>
          <cell r="G85">
            <v>0</v>
          </cell>
          <cell r="H85">
            <v>0</v>
          </cell>
        </row>
        <row r="86">
          <cell r="A86">
            <v>84</v>
          </cell>
          <cell r="B86" t="str">
            <v>High Pressure Turbine Blades</v>
          </cell>
          <cell r="C86">
            <v>142787.30346300008</v>
          </cell>
          <cell r="D86">
            <v>190482.72399999999</v>
          </cell>
          <cell r="E86">
            <v>21164.72050000001</v>
          </cell>
          <cell r="F86">
            <v>0</v>
          </cell>
          <cell r="G86">
            <v>0</v>
          </cell>
          <cell r="H86">
            <v>354434.74796300003</v>
          </cell>
        </row>
        <row r="87">
          <cell r="A87">
            <v>85</v>
          </cell>
          <cell r="B87" t="str">
            <v>Public Notification System</v>
          </cell>
          <cell r="C87">
            <v>0</v>
          </cell>
          <cell r="D87">
            <v>0</v>
          </cell>
          <cell r="E87">
            <v>0</v>
          </cell>
          <cell r="F87">
            <v>0</v>
          </cell>
          <cell r="G87">
            <v>0</v>
          </cell>
          <cell r="H87">
            <v>0</v>
          </cell>
        </row>
        <row r="88">
          <cell r="A88">
            <v>86</v>
          </cell>
          <cell r="B88" t="str">
            <v>Replace Masonelian Control Valves</v>
          </cell>
          <cell r="C88">
            <v>0</v>
          </cell>
          <cell r="D88">
            <v>0</v>
          </cell>
          <cell r="E88">
            <v>0</v>
          </cell>
          <cell r="F88">
            <v>0</v>
          </cell>
          <cell r="G88">
            <v>0</v>
          </cell>
          <cell r="H88">
            <v>0</v>
          </cell>
        </row>
        <row r="89">
          <cell r="A89">
            <v>87</v>
          </cell>
          <cell r="B89" t="str">
            <v>Installation of PWR Core Monitoring System</v>
          </cell>
          <cell r="C89">
            <v>0</v>
          </cell>
          <cell r="D89">
            <v>0</v>
          </cell>
          <cell r="E89">
            <v>0</v>
          </cell>
          <cell r="F89">
            <v>0</v>
          </cell>
          <cell r="G89">
            <v>0</v>
          </cell>
          <cell r="H89">
            <v>0</v>
          </cell>
        </row>
        <row r="90">
          <cell r="A90">
            <v>88</v>
          </cell>
          <cell r="B90" t="str">
            <v>Fuel Sipping Equipment</v>
          </cell>
          <cell r="C90">
            <v>0</v>
          </cell>
          <cell r="D90">
            <v>0</v>
          </cell>
          <cell r="E90">
            <v>0</v>
          </cell>
          <cell r="F90">
            <v>0</v>
          </cell>
          <cell r="G90">
            <v>0</v>
          </cell>
          <cell r="H90">
            <v>0</v>
          </cell>
        </row>
        <row r="91">
          <cell r="A91">
            <v>89</v>
          </cell>
          <cell r="B91" t="str">
            <v>Systematic Evaluation Program</v>
          </cell>
          <cell r="C91">
            <v>35920.537986999989</v>
          </cell>
          <cell r="D91">
            <v>0</v>
          </cell>
          <cell r="E91">
            <v>0</v>
          </cell>
          <cell r="F91">
            <v>0</v>
          </cell>
          <cell r="G91">
            <v>0</v>
          </cell>
          <cell r="H91">
            <v>35920.537986999989</v>
          </cell>
        </row>
        <row r="92">
          <cell r="A92">
            <v>90</v>
          </cell>
          <cell r="B92" t="str">
            <v>Decommissioning</v>
          </cell>
          <cell r="C92">
            <v>16211313.825114895</v>
          </cell>
          <cell r="D92">
            <v>0</v>
          </cell>
          <cell r="E92">
            <v>0</v>
          </cell>
          <cell r="F92">
            <v>0</v>
          </cell>
          <cell r="G92">
            <v>0</v>
          </cell>
          <cell r="H92">
            <v>16211313.825114895</v>
          </cell>
        </row>
        <row r="93">
          <cell r="A93">
            <v>91</v>
          </cell>
          <cell r="B93" t="str">
            <v>Traveling In Core Probe System</v>
          </cell>
          <cell r="C93">
            <v>0</v>
          </cell>
          <cell r="D93">
            <v>0</v>
          </cell>
          <cell r="E93">
            <v>0</v>
          </cell>
          <cell r="F93">
            <v>0</v>
          </cell>
          <cell r="G93">
            <v>0</v>
          </cell>
          <cell r="H93">
            <v>0</v>
          </cell>
        </row>
        <row r="94">
          <cell r="A94">
            <v>92</v>
          </cell>
          <cell r="B94" t="str">
            <v>Reactor Recirculation Pump Routine Replacement</v>
          </cell>
          <cell r="C94">
            <v>0</v>
          </cell>
          <cell r="D94">
            <v>0</v>
          </cell>
          <cell r="E94">
            <v>0</v>
          </cell>
          <cell r="F94">
            <v>0</v>
          </cell>
          <cell r="G94">
            <v>0</v>
          </cell>
          <cell r="H94">
            <v>0</v>
          </cell>
        </row>
        <row r="95">
          <cell r="A95">
            <v>93</v>
          </cell>
          <cell r="B95" t="str">
            <v>Replace Recirculation Pump Element</v>
          </cell>
          <cell r="C95">
            <v>0</v>
          </cell>
          <cell r="D95">
            <v>0</v>
          </cell>
          <cell r="E95">
            <v>0</v>
          </cell>
          <cell r="F95">
            <v>0</v>
          </cell>
          <cell r="G95">
            <v>0</v>
          </cell>
          <cell r="H95">
            <v>0</v>
          </cell>
        </row>
        <row r="96">
          <cell r="A96">
            <v>94</v>
          </cell>
          <cell r="B96" t="str">
            <v>Station Blackout</v>
          </cell>
          <cell r="C96">
            <v>0</v>
          </cell>
          <cell r="D96">
            <v>0</v>
          </cell>
          <cell r="E96">
            <v>0</v>
          </cell>
          <cell r="F96">
            <v>0</v>
          </cell>
          <cell r="G96">
            <v>0</v>
          </cell>
          <cell r="H96">
            <v>0</v>
          </cell>
        </row>
        <row r="97">
          <cell r="A97">
            <v>95</v>
          </cell>
          <cell r="B97" t="str">
            <v>Mark 1 Containment Modifications</v>
          </cell>
          <cell r="C97">
            <v>4207685.7743880004</v>
          </cell>
          <cell r="D97">
            <v>0</v>
          </cell>
          <cell r="E97">
            <v>0</v>
          </cell>
          <cell r="F97">
            <v>0</v>
          </cell>
          <cell r="G97">
            <v>0</v>
          </cell>
          <cell r="H97">
            <v>4207685.7743880004</v>
          </cell>
        </row>
        <row r="98">
          <cell r="A98">
            <v>96</v>
          </cell>
          <cell r="B98" t="str">
            <v>Feedwater Flow Measurement Instrumentation</v>
          </cell>
          <cell r="C98">
            <v>0</v>
          </cell>
          <cell r="D98">
            <v>0</v>
          </cell>
          <cell r="E98">
            <v>0</v>
          </cell>
          <cell r="F98">
            <v>0</v>
          </cell>
          <cell r="G98">
            <v>0</v>
          </cell>
          <cell r="H98">
            <v>0</v>
          </cell>
        </row>
        <row r="99">
          <cell r="A99">
            <v>97</v>
          </cell>
          <cell r="B99" t="str">
            <v>Computer Upgrades</v>
          </cell>
          <cell r="C99">
            <v>0</v>
          </cell>
          <cell r="D99">
            <v>0</v>
          </cell>
          <cell r="E99">
            <v>0</v>
          </cell>
          <cell r="F99">
            <v>0</v>
          </cell>
          <cell r="G99">
            <v>0</v>
          </cell>
          <cell r="H99">
            <v>0</v>
          </cell>
        </row>
        <row r="100">
          <cell r="A100">
            <v>98</v>
          </cell>
          <cell r="B100" t="str">
            <v>Heat Tracing System</v>
          </cell>
          <cell r="C100">
            <v>0</v>
          </cell>
          <cell r="D100">
            <v>0</v>
          </cell>
          <cell r="E100">
            <v>0</v>
          </cell>
          <cell r="F100">
            <v>0</v>
          </cell>
          <cell r="G100">
            <v>0</v>
          </cell>
          <cell r="H100">
            <v>0</v>
          </cell>
        </row>
        <row r="101">
          <cell r="A101">
            <v>99</v>
          </cell>
          <cell r="B101" t="str">
            <v>Reactor Building High Temperatures (LOCA)</v>
          </cell>
          <cell r="C101">
            <v>0</v>
          </cell>
          <cell r="D101">
            <v>0</v>
          </cell>
          <cell r="E101">
            <v>0</v>
          </cell>
          <cell r="F101">
            <v>0</v>
          </cell>
          <cell r="G101">
            <v>0</v>
          </cell>
          <cell r="H101">
            <v>0</v>
          </cell>
        </row>
        <row r="102">
          <cell r="A102">
            <v>100</v>
          </cell>
          <cell r="B102" t="str">
            <v>Emergency Lighting &amp; Fire Protection</v>
          </cell>
          <cell r="C102">
            <v>0</v>
          </cell>
          <cell r="D102">
            <v>0</v>
          </cell>
          <cell r="E102">
            <v>0</v>
          </cell>
          <cell r="F102">
            <v>0</v>
          </cell>
          <cell r="G102">
            <v>0</v>
          </cell>
          <cell r="H102">
            <v>0</v>
          </cell>
        </row>
        <row r="103">
          <cell r="A103">
            <v>102</v>
          </cell>
          <cell r="B103" t="str">
            <v>HPCS/RCIC System Piping Modification</v>
          </cell>
          <cell r="C103">
            <v>1921658.2284705006</v>
          </cell>
          <cell r="D103">
            <v>0</v>
          </cell>
          <cell r="E103">
            <v>0</v>
          </cell>
          <cell r="F103">
            <v>0</v>
          </cell>
          <cell r="G103">
            <v>0</v>
          </cell>
          <cell r="H103">
            <v>1921658.2284705006</v>
          </cell>
        </row>
        <row r="104">
          <cell r="A104">
            <v>103</v>
          </cell>
          <cell r="B104" t="str">
            <v>Drywell Ventilation System Improvements</v>
          </cell>
          <cell r="C104">
            <v>4548794.1199649917</v>
          </cell>
          <cell r="D104">
            <v>0</v>
          </cell>
          <cell r="E104">
            <v>0</v>
          </cell>
          <cell r="F104">
            <v>0</v>
          </cell>
          <cell r="G104">
            <v>0</v>
          </cell>
          <cell r="H104">
            <v>4548794.1199649917</v>
          </cell>
        </row>
        <row r="105">
          <cell r="A105">
            <v>104</v>
          </cell>
          <cell r="B105" t="str">
            <v>Containment Vent &amp; Purge Valves</v>
          </cell>
          <cell r="C105">
            <v>1548941.2891409989</v>
          </cell>
          <cell r="D105">
            <v>0</v>
          </cell>
          <cell r="E105">
            <v>0</v>
          </cell>
          <cell r="F105">
            <v>0</v>
          </cell>
          <cell r="G105">
            <v>0</v>
          </cell>
          <cell r="H105">
            <v>1548941.2891409989</v>
          </cell>
        </row>
        <row r="106">
          <cell r="A106">
            <v>105</v>
          </cell>
          <cell r="B106" t="str">
            <v>Spare Exciter Unit</v>
          </cell>
          <cell r="C106">
            <v>0</v>
          </cell>
          <cell r="D106">
            <v>0</v>
          </cell>
          <cell r="E106">
            <v>0</v>
          </cell>
          <cell r="F106">
            <v>0</v>
          </cell>
          <cell r="G106">
            <v>0</v>
          </cell>
          <cell r="H106">
            <v>0</v>
          </cell>
        </row>
        <row r="107">
          <cell r="A107">
            <v>106</v>
          </cell>
          <cell r="B107" t="str">
            <v>Extend Discharge Canal to Eliminate Fog</v>
          </cell>
          <cell r="C107">
            <v>229375.38934450003</v>
          </cell>
          <cell r="D107">
            <v>0</v>
          </cell>
          <cell r="E107">
            <v>0</v>
          </cell>
          <cell r="F107">
            <v>0</v>
          </cell>
          <cell r="G107">
            <v>0</v>
          </cell>
          <cell r="H107">
            <v>229375.38934450003</v>
          </cell>
        </row>
        <row r="108">
          <cell r="A108">
            <v>107</v>
          </cell>
          <cell r="B108" t="str">
            <v>NGG Year 2000</v>
          </cell>
          <cell r="C108">
            <v>0</v>
          </cell>
          <cell r="D108">
            <v>0</v>
          </cell>
          <cell r="E108">
            <v>0</v>
          </cell>
          <cell r="F108">
            <v>0</v>
          </cell>
          <cell r="G108">
            <v>0</v>
          </cell>
          <cell r="H108">
            <v>0</v>
          </cell>
        </row>
        <row r="109">
          <cell r="A109">
            <v>108</v>
          </cell>
          <cell r="B109" t="str">
            <v>Radiation Monitor</v>
          </cell>
          <cell r="C109">
            <v>0</v>
          </cell>
          <cell r="D109">
            <v>0</v>
          </cell>
          <cell r="E109">
            <v>0</v>
          </cell>
          <cell r="F109">
            <v>0</v>
          </cell>
          <cell r="G109">
            <v>0</v>
          </cell>
          <cell r="H109">
            <v>0</v>
          </cell>
        </row>
        <row r="110">
          <cell r="A110">
            <v>109</v>
          </cell>
          <cell r="B110" t="str">
            <v>DBI Issues/Resolution</v>
          </cell>
          <cell r="C110">
            <v>0</v>
          </cell>
          <cell r="D110">
            <v>0</v>
          </cell>
          <cell r="E110">
            <v>0</v>
          </cell>
          <cell r="F110">
            <v>0</v>
          </cell>
          <cell r="G110">
            <v>0</v>
          </cell>
          <cell r="H110">
            <v>0</v>
          </cell>
        </row>
        <row r="111">
          <cell r="A111">
            <v>110</v>
          </cell>
          <cell r="B111" t="str">
            <v>Feedwater Bypass Line &amp; Valves</v>
          </cell>
          <cell r="C111">
            <v>0</v>
          </cell>
          <cell r="D111">
            <v>0</v>
          </cell>
          <cell r="E111">
            <v>0</v>
          </cell>
          <cell r="F111">
            <v>0</v>
          </cell>
          <cell r="G111">
            <v>0</v>
          </cell>
          <cell r="H111">
            <v>0</v>
          </cell>
        </row>
        <row r="112">
          <cell r="A112">
            <v>111</v>
          </cell>
          <cell r="B112" t="str">
            <v>Diesel Generator System Upgrade</v>
          </cell>
          <cell r="C112">
            <v>0</v>
          </cell>
          <cell r="D112">
            <v>0</v>
          </cell>
          <cell r="E112">
            <v>0</v>
          </cell>
          <cell r="F112">
            <v>0</v>
          </cell>
          <cell r="G112">
            <v>0</v>
          </cell>
          <cell r="H112">
            <v>0</v>
          </cell>
        </row>
        <row r="113">
          <cell r="A113">
            <v>112</v>
          </cell>
          <cell r="B113" t="str">
            <v>Main Generator Revision</v>
          </cell>
          <cell r="C113">
            <v>0</v>
          </cell>
          <cell r="D113">
            <v>0</v>
          </cell>
          <cell r="E113">
            <v>0</v>
          </cell>
          <cell r="F113">
            <v>0</v>
          </cell>
          <cell r="G113">
            <v>0</v>
          </cell>
          <cell r="H113">
            <v>0</v>
          </cell>
        </row>
        <row r="114">
          <cell r="A114">
            <v>113</v>
          </cell>
          <cell r="B114" t="str">
            <v>Control Power Supply Upgrade</v>
          </cell>
          <cell r="C114">
            <v>0</v>
          </cell>
          <cell r="D114">
            <v>0</v>
          </cell>
          <cell r="E114">
            <v>0</v>
          </cell>
          <cell r="F114">
            <v>0</v>
          </cell>
          <cell r="G114">
            <v>0</v>
          </cell>
          <cell r="H114">
            <v>0</v>
          </cell>
        </row>
        <row r="115">
          <cell r="A115">
            <v>114</v>
          </cell>
          <cell r="B115" t="str">
            <v>Pump Supporting System</v>
          </cell>
          <cell r="C115">
            <v>0</v>
          </cell>
          <cell r="D115">
            <v>0</v>
          </cell>
          <cell r="E115">
            <v>0</v>
          </cell>
          <cell r="F115">
            <v>0</v>
          </cell>
          <cell r="G115">
            <v>0</v>
          </cell>
          <cell r="H115">
            <v>0</v>
          </cell>
        </row>
        <row r="116">
          <cell r="A116">
            <v>115</v>
          </cell>
          <cell r="B116" t="str">
            <v>Radio System Upgrade</v>
          </cell>
          <cell r="C116">
            <v>0</v>
          </cell>
          <cell r="D116">
            <v>0</v>
          </cell>
          <cell r="E116">
            <v>0</v>
          </cell>
          <cell r="F116">
            <v>0</v>
          </cell>
          <cell r="G116">
            <v>0</v>
          </cell>
          <cell r="H116">
            <v>0</v>
          </cell>
        </row>
        <row r="117">
          <cell r="A117">
            <v>116</v>
          </cell>
          <cell r="B117" t="str">
            <v>Layer Separators for Generator Rotor Windings</v>
          </cell>
          <cell r="C117">
            <v>421042.45862250018</v>
          </cell>
          <cell r="D117">
            <v>0</v>
          </cell>
          <cell r="E117">
            <v>0</v>
          </cell>
          <cell r="F117">
            <v>0</v>
          </cell>
          <cell r="G117">
            <v>0</v>
          </cell>
          <cell r="H117">
            <v>421042.45862250018</v>
          </cell>
        </row>
        <row r="118">
          <cell r="A118">
            <v>117</v>
          </cell>
          <cell r="B118" t="str">
            <v>Emergency Core Cooling System</v>
          </cell>
          <cell r="C118">
            <v>0</v>
          </cell>
          <cell r="D118">
            <v>0</v>
          </cell>
          <cell r="E118">
            <v>0</v>
          </cell>
          <cell r="F118">
            <v>0</v>
          </cell>
          <cell r="G118">
            <v>0</v>
          </cell>
          <cell r="H118">
            <v>0</v>
          </cell>
        </row>
        <row r="119">
          <cell r="A119">
            <v>118</v>
          </cell>
          <cell r="B119" t="str">
            <v>Main Steam Safety Relief Valves</v>
          </cell>
          <cell r="C119">
            <v>718928.8564939996</v>
          </cell>
          <cell r="D119">
            <v>0</v>
          </cell>
          <cell r="E119">
            <v>0</v>
          </cell>
          <cell r="F119">
            <v>0</v>
          </cell>
          <cell r="G119">
            <v>0</v>
          </cell>
          <cell r="H119">
            <v>718928.8564939996</v>
          </cell>
        </row>
        <row r="120">
          <cell r="A120">
            <v>119</v>
          </cell>
          <cell r="B120" t="str">
            <v>Upgrade Feedwater Regulating Valves</v>
          </cell>
          <cell r="C120">
            <v>408641.92150150071</v>
          </cell>
          <cell r="D120">
            <v>0</v>
          </cell>
          <cell r="E120">
            <v>0</v>
          </cell>
          <cell r="F120">
            <v>0</v>
          </cell>
          <cell r="G120">
            <v>0</v>
          </cell>
          <cell r="H120">
            <v>408641.92150150071</v>
          </cell>
        </row>
        <row r="121">
          <cell r="A121">
            <v>120</v>
          </cell>
          <cell r="B121" t="str">
            <v>LaSalle High Energy Line Break Issue</v>
          </cell>
          <cell r="C121">
            <v>0</v>
          </cell>
          <cell r="D121">
            <v>1508405.1394999998</v>
          </cell>
          <cell r="E121">
            <v>0</v>
          </cell>
          <cell r="F121">
            <v>0</v>
          </cell>
          <cell r="G121">
            <v>0</v>
          </cell>
          <cell r="H121">
            <v>1508405.1394999998</v>
          </cell>
        </row>
        <row r="122">
          <cell r="A122">
            <v>121</v>
          </cell>
          <cell r="B122" t="str">
            <v>Post Accident Sampling System</v>
          </cell>
          <cell r="C122">
            <v>24097.073375999989</v>
          </cell>
          <cell r="D122">
            <v>0</v>
          </cell>
          <cell r="E122">
            <v>0</v>
          </cell>
          <cell r="F122">
            <v>0</v>
          </cell>
          <cell r="G122">
            <v>0</v>
          </cell>
          <cell r="H122">
            <v>24097.073375999989</v>
          </cell>
        </row>
        <row r="123">
          <cell r="A123">
            <v>122</v>
          </cell>
          <cell r="B123" t="str">
            <v>Water Pump Vault Ventilation</v>
          </cell>
          <cell r="C123">
            <v>-79.635484500000075</v>
          </cell>
          <cell r="D123">
            <v>0</v>
          </cell>
          <cell r="E123">
            <v>0</v>
          </cell>
          <cell r="F123">
            <v>0</v>
          </cell>
          <cell r="G123">
            <v>0</v>
          </cell>
          <cell r="H123">
            <v>-79.635484500000075</v>
          </cell>
        </row>
        <row r="124">
          <cell r="A124">
            <v>123</v>
          </cell>
          <cell r="B124" t="str">
            <v>Drywell/Torus Purge Valves</v>
          </cell>
          <cell r="C124">
            <v>0</v>
          </cell>
          <cell r="D124">
            <v>0</v>
          </cell>
          <cell r="E124">
            <v>0</v>
          </cell>
          <cell r="F124">
            <v>0</v>
          </cell>
          <cell r="G124">
            <v>0</v>
          </cell>
          <cell r="H124">
            <v>0</v>
          </cell>
        </row>
        <row r="125">
          <cell r="A125">
            <v>124</v>
          </cell>
          <cell r="B125" t="str">
            <v>Safety Related Cables</v>
          </cell>
          <cell r="C125">
            <v>0</v>
          </cell>
          <cell r="D125">
            <v>0</v>
          </cell>
          <cell r="E125">
            <v>0</v>
          </cell>
          <cell r="F125">
            <v>0</v>
          </cell>
          <cell r="G125">
            <v>0</v>
          </cell>
          <cell r="H125">
            <v>0</v>
          </cell>
        </row>
        <row r="126">
          <cell r="A126">
            <v>125</v>
          </cell>
          <cell r="B126" t="str">
            <v>Residual Heat Removal Pump Monitoring</v>
          </cell>
          <cell r="C126">
            <v>0</v>
          </cell>
          <cell r="D126">
            <v>0</v>
          </cell>
          <cell r="E126">
            <v>0</v>
          </cell>
          <cell r="F126">
            <v>0</v>
          </cell>
          <cell r="G126">
            <v>0</v>
          </cell>
          <cell r="H126">
            <v>0</v>
          </cell>
        </row>
        <row r="127">
          <cell r="A127">
            <v>126</v>
          </cell>
          <cell r="B127" t="str">
            <v>MSIV Actuators</v>
          </cell>
          <cell r="C127">
            <v>0</v>
          </cell>
          <cell r="D127">
            <v>0</v>
          </cell>
          <cell r="E127">
            <v>0</v>
          </cell>
          <cell r="F127">
            <v>0</v>
          </cell>
          <cell r="G127">
            <v>0</v>
          </cell>
          <cell r="H127">
            <v>0</v>
          </cell>
        </row>
        <row r="128">
          <cell r="A128">
            <v>127</v>
          </cell>
          <cell r="B128" t="str">
            <v>Improvements to Reactor Building Sumps</v>
          </cell>
          <cell r="C128">
            <v>0</v>
          </cell>
          <cell r="D128">
            <v>0</v>
          </cell>
          <cell r="E128">
            <v>0</v>
          </cell>
          <cell r="F128">
            <v>0</v>
          </cell>
          <cell r="G128">
            <v>0</v>
          </cell>
          <cell r="H128">
            <v>0</v>
          </cell>
        </row>
        <row r="129">
          <cell r="A129">
            <v>128</v>
          </cell>
          <cell r="B129" t="str">
            <v>Data Communications</v>
          </cell>
          <cell r="C129">
            <v>0</v>
          </cell>
          <cell r="D129">
            <v>0</v>
          </cell>
          <cell r="E129">
            <v>0</v>
          </cell>
          <cell r="F129">
            <v>0</v>
          </cell>
          <cell r="G129">
            <v>0</v>
          </cell>
          <cell r="H129">
            <v>0</v>
          </cell>
        </row>
        <row r="130">
          <cell r="A130">
            <v>129</v>
          </cell>
          <cell r="B130" t="str">
            <v>Remove Makeup Demineralizer System</v>
          </cell>
          <cell r="C130">
            <v>0</v>
          </cell>
          <cell r="D130">
            <v>0</v>
          </cell>
          <cell r="E130">
            <v>0</v>
          </cell>
          <cell r="F130">
            <v>0</v>
          </cell>
          <cell r="G130">
            <v>0</v>
          </cell>
          <cell r="H130">
            <v>0</v>
          </cell>
        </row>
        <row r="131">
          <cell r="A131">
            <v>130</v>
          </cell>
          <cell r="B131" t="str">
            <v>Stability of the 4kV Power Distribution System</v>
          </cell>
          <cell r="C131">
            <v>480825.67796999984</v>
          </cell>
          <cell r="D131">
            <v>0</v>
          </cell>
          <cell r="E131">
            <v>0</v>
          </cell>
          <cell r="F131">
            <v>0</v>
          </cell>
          <cell r="G131">
            <v>0</v>
          </cell>
          <cell r="H131">
            <v>480825.67796999984</v>
          </cell>
        </row>
        <row r="132">
          <cell r="A132">
            <v>131</v>
          </cell>
          <cell r="B132" t="str">
            <v>Vacco Filter System</v>
          </cell>
          <cell r="C132">
            <v>0</v>
          </cell>
          <cell r="D132">
            <v>0</v>
          </cell>
          <cell r="E132">
            <v>0</v>
          </cell>
          <cell r="F132">
            <v>0</v>
          </cell>
          <cell r="G132">
            <v>0</v>
          </cell>
          <cell r="H132">
            <v>0</v>
          </cell>
        </row>
        <row r="133">
          <cell r="A133">
            <v>132</v>
          </cell>
          <cell r="B133" t="str">
            <v>Local Leak Rate Test Taps</v>
          </cell>
          <cell r="C133">
            <v>0</v>
          </cell>
          <cell r="D133">
            <v>0</v>
          </cell>
          <cell r="E133">
            <v>0</v>
          </cell>
          <cell r="F133">
            <v>0</v>
          </cell>
          <cell r="G133">
            <v>0</v>
          </cell>
          <cell r="H133">
            <v>0</v>
          </cell>
        </row>
        <row r="134">
          <cell r="A134">
            <v>133</v>
          </cell>
          <cell r="B134" t="str">
            <v>Main Control Room Recorders</v>
          </cell>
          <cell r="C134">
            <v>0</v>
          </cell>
          <cell r="D134">
            <v>0</v>
          </cell>
          <cell r="E134">
            <v>0</v>
          </cell>
          <cell r="F134">
            <v>0</v>
          </cell>
          <cell r="G134">
            <v>0</v>
          </cell>
          <cell r="H134">
            <v>0</v>
          </cell>
        </row>
        <row r="135">
          <cell r="A135">
            <v>134</v>
          </cell>
          <cell r="B135" t="str">
            <v>Upgrade Relay</v>
          </cell>
          <cell r="C135">
            <v>0</v>
          </cell>
          <cell r="D135">
            <v>0</v>
          </cell>
          <cell r="E135">
            <v>0</v>
          </cell>
          <cell r="F135">
            <v>0</v>
          </cell>
          <cell r="G135">
            <v>0</v>
          </cell>
          <cell r="H135">
            <v>0</v>
          </cell>
        </row>
        <row r="136">
          <cell r="A136">
            <v>135</v>
          </cell>
          <cell r="B136" t="str">
            <v>Zion TMI Accident Review Modifications</v>
          </cell>
          <cell r="C136">
            <v>9583.2991860000075</v>
          </cell>
          <cell r="D136">
            <v>0</v>
          </cell>
          <cell r="E136">
            <v>0</v>
          </cell>
          <cell r="F136">
            <v>0</v>
          </cell>
          <cell r="G136">
            <v>0</v>
          </cell>
          <cell r="H136">
            <v>9583.2991860000075</v>
          </cell>
        </row>
        <row r="137">
          <cell r="A137">
            <v>136</v>
          </cell>
          <cell r="B137" t="str">
            <v>Improvements to Drywell Monitoring</v>
          </cell>
          <cell r="C137">
            <v>0</v>
          </cell>
          <cell r="D137">
            <v>0</v>
          </cell>
          <cell r="E137">
            <v>0</v>
          </cell>
          <cell r="F137">
            <v>0</v>
          </cell>
          <cell r="G137">
            <v>0</v>
          </cell>
          <cell r="H137">
            <v>0</v>
          </cell>
        </row>
        <row r="138">
          <cell r="A138">
            <v>137</v>
          </cell>
          <cell r="B138" t="str">
            <v>Rerouting of Residual Heat Removal Service Water Line</v>
          </cell>
          <cell r="C138">
            <v>0</v>
          </cell>
          <cell r="D138">
            <v>0</v>
          </cell>
          <cell r="E138">
            <v>0</v>
          </cell>
          <cell r="F138">
            <v>0</v>
          </cell>
          <cell r="G138">
            <v>0</v>
          </cell>
          <cell r="H138">
            <v>0</v>
          </cell>
        </row>
        <row r="139">
          <cell r="A139">
            <v>138</v>
          </cell>
          <cell r="B139" t="str">
            <v>Residual Heat Removal System Check Valves</v>
          </cell>
          <cell r="C139">
            <v>87988.445150000014</v>
          </cell>
          <cell r="D139">
            <v>0</v>
          </cell>
          <cell r="E139">
            <v>0</v>
          </cell>
          <cell r="F139">
            <v>0</v>
          </cell>
          <cell r="G139">
            <v>0</v>
          </cell>
          <cell r="H139">
            <v>87988.445150000014</v>
          </cell>
        </row>
        <row r="140">
          <cell r="A140">
            <v>139</v>
          </cell>
          <cell r="B140" t="str">
            <v>Installation of LUC &amp; GIX Relays</v>
          </cell>
          <cell r="C140">
            <v>0</v>
          </cell>
          <cell r="D140">
            <v>0</v>
          </cell>
          <cell r="E140">
            <v>0</v>
          </cell>
          <cell r="F140">
            <v>0</v>
          </cell>
          <cell r="G140">
            <v>0</v>
          </cell>
          <cell r="H140">
            <v>0</v>
          </cell>
        </row>
        <row r="141">
          <cell r="A141">
            <v>140</v>
          </cell>
          <cell r="B141" t="str">
            <v>Secondary Water Recycle</v>
          </cell>
          <cell r="C141">
            <v>0</v>
          </cell>
          <cell r="D141">
            <v>0</v>
          </cell>
          <cell r="E141">
            <v>0</v>
          </cell>
          <cell r="F141">
            <v>0</v>
          </cell>
          <cell r="G141">
            <v>0</v>
          </cell>
          <cell r="H141">
            <v>0</v>
          </cell>
        </row>
        <row r="142">
          <cell r="A142">
            <v>141</v>
          </cell>
          <cell r="B142" t="str">
            <v>Condensate PreFilter Modification</v>
          </cell>
          <cell r="C142">
            <v>0</v>
          </cell>
          <cell r="D142">
            <v>0</v>
          </cell>
          <cell r="E142">
            <v>0</v>
          </cell>
          <cell r="F142">
            <v>0</v>
          </cell>
          <cell r="G142">
            <v>0</v>
          </cell>
          <cell r="H142">
            <v>0</v>
          </cell>
        </row>
        <row r="143">
          <cell r="A143">
            <v>142</v>
          </cell>
          <cell r="B143" t="str">
            <v>Analytical Instrumentation Upgrade</v>
          </cell>
          <cell r="C143">
            <v>0</v>
          </cell>
          <cell r="D143">
            <v>0</v>
          </cell>
          <cell r="E143">
            <v>0</v>
          </cell>
          <cell r="F143">
            <v>0</v>
          </cell>
          <cell r="G143">
            <v>0</v>
          </cell>
          <cell r="H143">
            <v>0</v>
          </cell>
        </row>
        <row r="144">
          <cell r="A144">
            <v>143</v>
          </cell>
          <cell r="B144" t="str">
            <v>Radiation Monitoring System</v>
          </cell>
          <cell r="C144">
            <v>369104.92891499982</v>
          </cell>
          <cell r="D144">
            <v>0</v>
          </cell>
          <cell r="E144">
            <v>0</v>
          </cell>
          <cell r="F144">
            <v>0</v>
          </cell>
          <cell r="G144">
            <v>0</v>
          </cell>
          <cell r="H144">
            <v>369104.92891499982</v>
          </cell>
        </row>
        <row r="145">
          <cell r="A145">
            <v>144</v>
          </cell>
          <cell r="B145" t="str">
            <v>Air Compressor Instrumentation Upgrade</v>
          </cell>
          <cell r="C145">
            <v>0</v>
          </cell>
          <cell r="D145">
            <v>0</v>
          </cell>
          <cell r="E145">
            <v>0</v>
          </cell>
          <cell r="F145">
            <v>0</v>
          </cell>
          <cell r="G145">
            <v>0</v>
          </cell>
          <cell r="H145">
            <v>0</v>
          </cell>
        </row>
        <row r="146">
          <cell r="A146">
            <v>145</v>
          </cell>
          <cell r="B146" t="str">
            <v>Three Charging Pumps</v>
          </cell>
          <cell r="C146">
            <v>0</v>
          </cell>
          <cell r="D146">
            <v>0</v>
          </cell>
          <cell r="E146">
            <v>0</v>
          </cell>
          <cell r="F146">
            <v>0</v>
          </cell>
          <cell r="G146">
            <v>0</v>
          </cell>
          <cell r="H146">
            <v>0</v>
          </cell>
        </row>
        <row r="147">
          <cell r="A147">
            <v>146</v>
          </cell>
          <cell r="B147" t="str">
            <v>Steam Generators J Nozzles</v>
          </cell>
          <cell r="C147">
            <v>600519.49831600022</v>
          </cell>
          <cell r="D147">
            <v>0</v>
          </cell>
          <cell r="E147">
            <v>0</v>
          </cell>
          <cell r="F147">
            <v>0</v>
          </cell>
          <cell r="G147">
            <v>0</v>
          </cell>
          <cell r="H147">
            <v>600519.49831600022</v>
          </cell>
        </row>
        <row r="148">
          <cell r="A148">
            <v>147</v>
          </cell>
          <cell r="B148" t="str">
            <v>Diesel Generator Air Systems</v>
          </cell>
          <cell r="C148">
            <v>9585136.7747708261</v>
          </cell>
          <cell r="D148">
            <v>10586.316000000001</v>
          </cell>
          <cell r="E148">
            <v>0</v>
          </cell>
          <cell r="F148">
            <v>0</v>
          </cell>
          <cell r="G148">
            <v>0</v>
          </cell>
          <cell r="H148">
            <v>9595723.0907708257</v>
          </cell>
        </row>
        <row r="149">
          <cell r="A149">
            <v>148</v>
          </cell>
          <cell r="B149" t="str">
            <v>Regulatory Guide 1.97 Modification</v>
          </cell>
          <cell r="C149">
            <v>3363292.2030064682</v>
          </cell>
          <cell r="D149">
            <v>0</v>
          </cell>
          <cell r="E149">
            <v>0</v>
          </cell>
          <cell r="F149">
            <v>0</v>
          </cell>
          <cell r="G149">
            <v>0</v>
          </cell>
          <cell r="H149">
            <v>3363292.2030064682</v>
          </cell>
        </row>
        <row r="150">
          <cell r="A150">
            <v>149</v>
          </cell>
          <cell r="B150" t="str">
            <v>Feedwater Pump Discharge Valves</v>
          </cell>
          <cell r="C150">
            <v>0</v>
          </cell>
          <cell r="D150">
            <v>0</v>
          </cell>
          <cell r="E150">
            <v>0</v>
          </cell>
          <cell r="F150">
            <v>0</v>
          </cell>
          <cell r="G150">
            <v>0</v>
          </cell>
          <cell r="H150">
            <v>0</v>
          </cell>
        </row>
        <row r="151">
          <cell r="A151">
            <v>150</v>
          </cell>
          <cell r="B151" t="str">
            <v>Reactor Coolant Pump Motor</v>
          </cell>
          <cell r="C151">
            <v>0</v>
          </cell>
          <cell r="D151">
            <v>0</v>
          </cell>
          <cell r="E151">
            <v>0</v>
          </cell>
          <cell r="F151">
            <v>0</v>
          </cell>
          <cell r="G151">
            <v>0</v>
          </cell>
          <cell r="H151">
            <v>0</v>
          </cell>
        </row>
        <row r="152">
          <cell r="A152">
            <v>151</v>
          </cell>
          <cell r="B152" t="str">
            <v>Radwaste System Modification</v>
          </cell>
          <cell r="C152">
            <v>592682.79408450006</v>
          </cell>
          <cell r="D152">
            <v>0</v>
          </cell>
          <cell r="E152">
            <v>0</v>
          </cell>
          <cell r="F152">
            <v>0</v>
          </cell>
          <cell r="G152">
            <v>0</v>
          </cell>
          <cell r="H152">
            <v>592682.79408450006</v>
          </cell>
        </row>
        <row r="153">
          <cell r="A153">
            <v>152</v>
          </cell>
          <cell r="B153" t="str">
            <v>Computer Inverters Modification</v>
          </cell>
          <cell r="C153">
            <v>0</v>
          </cell>
          <cell r="D153">
            <v>0</v>
          </cell>
          <cell r="E153">
            <v>0</v>
          </cell>
          <cell r="F153">
            <v>0</v>
          </cell>
          <cell r="G153">
            <v>0</v>
          </cell>
          <cell r="H153">
            <v>0</v>
          </cell>
        </row>
        <row r="154">
          <cell r="A154">
            <v>153</v>
          </cell>
          <cell r="B154" t="str">
            <v>Reactor Vessel Integrity Program</v>
          </cell>
          <cell r="C154">
            <v>186057.81024750002</v>
          </cell>
          <cell r="D154">
            <v>0</v>
          </cell>
          <cell r="E154">
            <v>0</v>
          </cell>
          <cell r="F154">
            <v>0</v>
          </cell>
          <cell r="G154">
            <v>0</v>
          </cell>
          <cell r="H154">
            <v>186057.81024750002</v>
          </cell>
        </row>
        <row r="155">
          <cell r="A155">
            <v>154</v>
          </cell>
          <cell r="B155" t="str">
            <v>New Rod Worth Minimizer</v>
          </cell>
          <cell r="C155">
            <v>730160.13136549934</v>
          </cell>
          <cell r="D155">
            <v>0</v>
          </cell>
          <cell r="E155">
            <v>0</v>
          </cell>
          <cell r="F155">
            <v>0</v>
          </cell>
          <cell r="G155">
            <v>0</v>
          </cell>
          <cell r="H155">
            <v>730160.13136549934</v>
          </cell>
        </row>
        <row r="156">
          <cell r="A156">
            <v>155</v>
          </cell>
          <cell r="B156" t="str">
            <v>Drain Controller Replacement</v>
          </cell>
          <cell r="C156">
            <v>0</v>
          </cell>
          <cell r="D156">
            <v>0</v>
          </cell>
          <cell r="E156">
            <v>0</v>
          </cell>
          <cell r="F156">
            <v>0</v>
          </cell>
          <cell r="G156">
            <v>0</v>
          </cell>
          <cell r="H156">
            <v>0</v>
          </cell>
        </row>
        <row r="157">
          <cell r="A157">
            <v>156</v>
          </cell>
          <cell r="B157" t="str">
            <v>Non-Essential Station Load</v>
          </cell>
          <cell r="C157">
            <v>3660.6971664999996</v>
          </cell>
          <cell r="D157">
            <v>0</v>
          </cell>
          <cell r="E157">
            <v>0</v>
          </cell>
          <cell r="F157">
            <v>0</v>
          </cell>
          <cell r="G157">
            <v>0</v>
          </cell>
          <cell r="H157">
            <v>3660.6971664999996</v>
          </cell>
        </row>
        <row r="158">
          <cell r="A158">
            <v>157</v>
          </cell>
          <cell r="B158" t="str">
            <v>Throttle Valve Upgrade</v>
          </cell>
          <cell r="C158">
            <v>495823.38470949954</v>
          </cell>
          <cell r="D158">
            <v>0</v>
          </cell>
          <cell r="E158">
            <v>0</v>
          </cell>
          <cell r="F158">
            <v>0</v>
          </cell>
          <cell r="G158">
            <v>0</v>
          </cell>
          <cell r="H158">
            <v>495823.38470949954</v>
          </cell>
        </row>
        <row r="159">
          <cell r="A159">
            <v>158</v>
          </cell>
          <cell r="B159" t="str">
            <v>Fan Cooler Modification</v>
          </cell>
          <cell r="C159">
            <v>503120.84740799991</v>
          </cell>
          <cell r="D159">
            <v>0</v>
          </cell>
          <cell r="E159">
            <v>0</v>
          </cell>
          <cell r="F159">
            <v>0</v>
          </cell>
          <cell r="G159">
            <v>0</v>
          </cell>
          <cell r="H159">
            <v>503120.84740799991</v>
          </cell>
        </row>
        <row r="160">
          <cell r="A160">
            <v>159</v>
          </cell>
          <cell r="B160" t="str">
            <v>Integration of Anti-Vibration Bars</v>
          </cell>
          <cell r="C160">
            <v>831663.02032349992</v>
          </cell>
          <cell r="D160">
            <v>0</v>
          </cell>
          <cell r="E160">
            <v>0</v>
          </cell>
          <cell r="F160">
            <v>0</v>
          </cell>
          <cell r="G160">
            <v>0</v>
          </cell>
          <cell r="H160">
            <v>831663.02032349992</v>
          </cell>
        </row>
        <row r="161">
          <cell r="A161">
            <v>160</v>
          </cell>
          <cell r="B161" t="str">
            <v>Hydrogen Cooler Modification</v>
          </cell>
          <cell r="C161">
            <v>0</v>
          </cell>
          <cell r="D161">
            <v>0</v>
          </cell>
          <cell r="E161">
            <v>0</v>
          </cell>
          <cell r="F161">
            <v>0</v>
          </cell>
          <cell r="G161">
            <v>0</v>
          </cell>
          <cell r="H161">
            <v>0</v>
          </cell>
        </row>
        <row r="162">
          <cell r="A162">
            <v>161</v>
          </cell>
          <cell r="B162" t="str">
            <v>PICV Test System</v>
          </cell>
          <cell r="C162">
            <v>0</v>
          </cell>
          <cell r="D162">
            <v>0</v>
          </cell>
          <cell r="E162">
            <v>0</v>
          </cell>
          <cell r="F162">
            <v>0</v>
          </cell>
          <cell r="G162">
            <v>0</v>
          </cell>
          <cell r="H162">
            <v>0</v>
          </cell>
        </row>
        <row r="163">
          <cell r="A163">
            <v>162</v>
          </cell>
          <cell r="B163" t="str">
            <v>Upgrade Auxiliary Feedwater Steam Traps</v>
          </cell>
          <cell r="C163">
            <v>96673.793453999984</v>
          </cell>
          <cell r="D163">
            <v>0</v>
          </cell>
          <cell r="E163">
            <v>0</v>
          </cell>
          <cell r="F163">
            <v>0</v>
          </cell>
          <cell r="G163">
            <v>0</v>
          </cell>
          <cell r="H163">
            <v>96673.793453999984</v>
          </cell>
        </row>
        <row r="164">
          <cell r="A164">
            <v>163</v>
          </cell>
          <cell r="B164" t="str">
            <v>Reactor Plant Capital DCPs</v>
          </cell>
          <cell r="C164">
            <v>0</v>
          </cell>
          <cell r="D164">
            <v>0</v>
          </cell>
          <cell r="E164">
            <v>0</v>
          </cell>
          <cell r="F164">
            <v>0</v>
          </cell>
          <cell r="G164">
            <v>0</v>
          </cell>
          <cell r="H164">
            <v>0</v>
          </cell>
        </row>
        <row r="165">
          <cell r="A165">
            <v>164</v>
          </cell>
          <cell r="B165" t="str">
            <v>Reactor Vessel Water Level System</v>
          </cell>
          <cell r="C165">
            <v>49951.873790500002</v>
          </cell>
          <cell r="D165">
            <v>0</v>
          </cell>
          <cell r="E165">
            <v>0</v>
          </cell>
          <cell r="F165">
            <v>0</v>
          </cell>
          <cell r="G165">
            <v>0</v>
          </cell>
          <cell r="H165">
            <v>49951.873790500002</v>
          </cell>
        </row>
        <row r="166">
          <cell r="A166">
            <v>165</v>
          </cell>
          <cell r="B166" t="str">
            <v>Independent Reactor Vessel</v>
          </cell>
          <cell r="C166">
            <v>167511.32158200009</v>
          </cell>
          <cell r="D166">
            <v>0</v>
          </cell>
          <cell r="E166">
            <v>0</v>
          </cell>
          <cell r="F166">
            <v>0</v>
          </cell>
          <cell r="G166">
            <v>0</v>
          </cell>
          <cell r="H166">
            <v>167511.32158200009</v>
          </cell>
        </row>
        <row r="167">
          <cell r="A167">
            <v>166</v>
          </cell>
          <cell r="B167" t="str">
            <v>Decontamination Project</v>
          </cell>
          <cell r="C167">
            <v>3642063.3115664981</v>
          </cell>
          <cell r="D167">
            <v>0</v>
          </cell>
          <cell r="E167">
            <v>0</v>
          </cell>
          <cell r="F167">
            <v>0</v>
          </cell>
          <cell r="G167">
            <v>0</v>
          </cell>
          <cell r="H167">
            <v>3642063.3115664981</v>
          </cell>
        </row>
        <row r="168">
          <cell r="A168">
            <v>167</v>
          </cell>
          <cell r="B168" t="str">
            <v>Install Addition to Fab Shop</v>
          </cell>
          <cell r="C168">
            <v>0</v>
          </cell>
          <cell r="D168">
            <v>0</v>
          </cell>
          <cell r="E168">
            <v>0</v>
          </cell>
          <cell r="F168">
            <v>0</v>
          </cell>
          <cell r="G168">
            <v>0</v>
          </cell>
          <cell r="H168">
            <v>0</v>
          </cell>
        </row>
        <row r="169">
          <cell r="A169">
            <v>168</v>
          </cell>
          <cell r="B169" t="str">
            <v>Two Unloading Heat Exchangers</v>
          </cell>
          <cell r="C169">
            <v>0</v>
          </cell>
          <cell r="D169">
            <v>0</v>
          </cell>
          <cell r="E169">
            <v>0</v>
          </cell>
          <cell r="F169">
            <v>0</v>
          </cell>
          <cell r="G169">
            <v>0</v>
          </cell>
          <cell r="H169">
            <v>0</v>
          </cell>
        </row>
        <row r="170">
          <cell r="A170">
            <v>169</v>
          </cell>
          <cell r="B170" t="str">
            <v>Pneumatic Actuators</v>
          </cell>
          <cell r="C170">
            <v>0</v>
          </cell>
          <cell r="D170">
            <v>0</v>
          </cell>
          <cell r="E170">
            <v>0</v>
          </cell>
          <cell r="F170">
            <v>0</v>
          </cell>
          <cell r="G170">
            <v>0</v>
          </cell>
          <cell r="H170">
            <v>0</v>
          </cell>
        </row>
        <row r="171">
          <cell r="A171">
            <v>170</v>
          </cell>
          <cell r="B171" t="str">
            <v>L2R01 Design Changes</v>
          </cell>
          <cell r="C171">
            <v>0</v>
          </cell>
          <cell r="D171">
            <v>0</v>
          </cell>
          <cell r="E171">
            <v>105867.60458625005</v>
          </cell>
          <cell r="F171">
            <v>0</v>
          </cell>
          <cell r="G171">
            <v>0</v>
          </cell>
          <cell r="H171">
            <v>105867.60458625005</v>
          </cell>
        </row>
        <row r="172">
          <cell r="A172">
            <v>171</v>
          </cell>
          <cell r="B172" t="str">
            <v>Spare Diesel Generator Engine</v>
          </cell>
          <cell r="C172">
            <v>0</v>
          </cell>
          <cell r="D172">
            <v>0</v>
          </cell>
          <cell r="E172">
            <v>0</v>
          </cell>
          <cell r="F172">
            <v>0</v>
          </cell>
          <cell r="G172">
            <v>0</v>
          </cell>
          <cell r="H172">
            <v>0</v>
          </cell>
        </row>
        <row r="173">
          <cell r="A173">
            <v>172</v>
          </cell>
          <cell r="B173" t="str">
            <v>Drywell Cooling System</v>
          </cell>
          <cell r="C173">
            <v>0</v>
          </cell>
          <cell r="D173">
            <v>0</v>
          </cell>
          <cell r="E173">
            <v>0</v>
          </cell>
          <cell r="F173">
            <v>0</v>
          </cell>
          <cell r="G173">
            <v>0</v>
          </cell>
          <cell r="H173">
            <v>0</v>
          </cell>
        </row>
        <row r="174">
          <cell r="A174">
            <v>173</v>
          </cell>
          <cell r="B174" t="str">
            <v>Auxiliary Feed Pump Modification</v>
          </cell>
          <cell r="C174">
            <v>0</v>
          </cell>
          <cell r="D174">
            <v>0</v>
          </cell>
          <cell r="E174">
            <v>0</v>
          </cell>
          <cell r="F174">
            <v>0</v>
          </cell>
          <cell r="G174">
            <v>0</v>
          </cell>
          <cell r="H174">
            <v>0</v>
          </cell>
        </row>
        <row r="175">
          <cell r="A175">
            <v>174</v>
          </cell>
          <cell r="B175" t="str">
            <v>Alternative Intake to Lab Ventilation</v>
          </cell>
          <cell r="C175">
            <v>0</v>
          </cell>
          <cell r="D175">
            <v>61763.097500000003</v>
          </cell>
          <cell r="E175">
            <v>6862.57</v>
          </cell>
          <cell r="F175">
            <v>0</v>
          </cell>
          <cell r="G175">
            <v>0</v>
          </cell>
          <cell r="H175">
            <v>68625.66750000001</v>
          </cell>
        </row>
        <row r="176">
          <cell r="A176">
            <v>175</v>
          </cell>
          <cell r="B176" t="str">
            <v>Digital Rod Position Indication Cable/Connect</v>
          </cell>
          <cell r="C176">
            <v>0</v>
          </cell>
          <cell r="D176">
            <v>0</v>
          </cell>
          <cell r="E176">
            <v>0</v>
          </cell>
          <cell r="F176">
            <v>265089.67189899995</v>
          </cell>
          <cell r="G176">
            <v>265089.67189899995</v>
          </cell>
          <cell r="H176">
            <v>265089.67189899995</v>
          </cell>
        </row>
        <row r="177">
          <cell r="A177">
            <v>176</v>
          </cell>
          <cell r="B177" t="str">
            <v>Power Uprate</v>
          </cell>
          <cell r="C177">
            <v>0</v>
          </cell>
          <cell r="D177">
            <v>319374.96500000003</v>
          </cell>
          <cell r="E177">
            <v>0</v>
          </cell>
          <cell r="F177">
            <v>0</v>
          </cell>
          <cell r="G177">
            <v>0</v>
          </cell>
          <cell r="H177">
            <v>319374.96500000003</v>
          </cell>
        </row>
        <row r="178">
          <cell r="A178">
            <v>177</v>
          </cell>
          <cell r="B178" t="str">
            <v>Seismic Monitor Replacement</v>
          </cell>
          <cell r="C178">
            <v>0</v>
          </cell>
          <cell r="D178">
            <v>0</v>
          </cell>
          <cell r="E178">
            <v>0</v>
          </cell>
          <cell r="F178">
            <v>0</v>
          </cell>
          <cell r="G178">
            <v>0</v>
          </cell>
          <cell r="H178">
            <v>0</v>
          </cell>
        </row>
        <row r="179">
          <cell r="A179">
            <v>178</v>
          </cell>
          <cell r="B179" t="str">
            <v>EHC Elect SCRAM Reduction</v>
          </cell>
          <cell r="C179">
            <v>0</v>
          </cell>
          <cell r="D179">
            <v>0</v>
          </cell>
          <cell r="E179">
            <v>0</v>
          </cell>
          <cell r="F179">
            <v>33649.136253000011</v>
          </cell>
          <cell r="G179">
            <v>33649.136253000011</v>
          </cell>
          <cell r="H179">
            <v>33649.136253000011</v>
          </cell>
        </row>
        <row r="180">
          <cell r="A180">
            <v>179</v>
          </cell>
          <cell r="B180" t="str">
            <v>DCP</v>
          </cell>
          <cell r="C180">
            <v>0</v>
          </cell>
          <cell r="D180">
            <v>0</v>
          </cell>
          <cell r="E180">
            <v>0</v>
          </cell>
          <cell r="F180">
            <v>0</v>
          </cell>
          <cell r="G180">
            <v>0</v>
          </cell>
          <cell r="H180">
            <v>0</v>
          </cell>
        </row>
        <row r="181">
          <cell r="A181">
            <v>180</v>
          </cell>
          <cell r="B181" t="str">
            <v>Source Range ENuclear Instrumentation Upgrade</v>
          </cell>
          <cell r="C181">
            <v>0</v>
          </cell>
          <cell r="D181">
            <v>3065.82</v>
          </cell>
          <cell r="E181">
            <v>0</v>
          </cell>
          <cell r="F181">
            <v>0</v>
          </cell>
          <cell r="G181">
            <v>0</v>
          </cell>
          <cell r="H181">
            <v>3065.82</v>
          </cell>
        </row>
        <row r="182">
          <cell r="A182">
            <v>181</v>
          </cell>
          <cell r="B182" t="str">
            <v>Cathodic Protection of Underground Piping</v>
          </cell>
          <cell r="C182">
            <v>0</v>
          </cell>
          <cell r="D182">
            <v>64694.41</v>
          </cell>
          <cell r="E182">
            <v>0</v>
          </cell>
          <cell r="F182">
            <v>0</v>
          </cell>
          <cell r="G182">
            <v>0</v>
          </cell>
          <cell r="H182">
            <v>64694.41</v>
          </cell>
        </row>
        <row r="183">
          <cell r="A183">
            <v>183</v>
          </cell>
          <cell r="B183" t="str">
            <v>RSH Ice Boom/Blow Down</v>
          </cell>
          <cell r="C183">
            <v>0</v>
          </cell>
          <cell r="D183">
            <v>0</v>
          </cell>
          <cell r="E183">
            <v>0</v>
          </cell>
          <cell r="F183">
            <v>0</v>
          </cell>
          <cell r="G183">
            <v>0</v>
          </cell>
          <cell r="H183">
            <v>0</v>
          </cell>
        </row>
        <row r="184">
          <cell r="A184">
            <v>184</v>
          </cell>
          <cell r="B184" t="str">
            <v>Crane Upgrade</v>
          </cell>
          <cell r="C184">
            <v>0</v>
          </cell>
          <cell r="D184">
            <v>0</v>
          </cell>
          <cell r="E184">
            <v>0</v>
          </cell>
          <cell r="F184">
            <v>0</v>
          </cell>
          <cell r="G184">
            <v>0</v>
          </cell>
          <cell r="H184">
            <v>0</v>
          </cell>
        </row>
        <row r="185">
          <cell r="A185">
            <v>185</v>
          </cell>
          <cell r="B185" t="str">
            <v>Reactor Water Cleanup System High Energy Line Break</v>
          </cell>
          <cell r="C185">
            <v>0</v>
          </cell>
          <cell r="D185">
            <v>963588.49050000019</v>
          </cell>
          <cell r="E185">
            <v>35192.727500000008</v>
          </cell>
          <cell r="F185">
            <v>204901.11359899997</v>
          </cell>
          <cell r="G185">
            <v>204901.11359899997</v>
          </cell>
          <cell r="H185">
            <v>1203682.3315990001</v>
          </cell>
        </row>
        <row r="186">
          <cell r="A186">
            <v>186</v>
          </cell>
          <cell r="B186" t="str">
            <v>SQUG Outliers</v>
          </cell>
          <cell r="C186">
            <v>0</v>
          </cell>
          <cell r="D186">
            <v>0</v>
          </cell>
          <cell r="E186">
            <v>0</v>
          </cell>
          <cell r="F186">
            <v>0</v>
          </cell>
          <cell r="G186">
            <v>0</v>
          </cell>
          <cell r="H186">
            <v>0</v>
          </cell>
        </row>
        <row r="187">
          <cell r="A187">
            <v>187</v>
          </cell>
          <cell r="B187" t="str">
            <v>Maintaining ECCS Flow Path Following a Loss of Coolant Accident</v>
          </cell>
          <cell r="C187">
            <v>0</v>
          </cell>
          <cell r="D187">
            <v>407222.47100000008</v>
          </cell>
          <cell r="E187">
            <v>-4165.46</v>
          </cell>
          <cell r="F187">
            <v>122399.95749999997</v>
          </cell>
          <cell r="G187">
            <v>122399.95749999997</v>
          </cell>
          <cell r="H187">
            <v>525456.96850000008</v>
          </cell>
        </row>
        <row r="188">
          <cell r="A188">
            <v>188</v>
          </cell>
          <cell r="B188" t="str">
            <v>Drywell Insulation Replacement</v>
          </cell>
          <cell r="C188">
            <v>0</v>
          </cell>
          <cell r="D188">
            <v>0</v>
          </cell>
          <cell r="E188">
            <v>0</v>
          </cell>
          <cell r="F188">
            <v>0</v>
          </cell>
          <cell r="G188">
            <v>0</v>
          </cell>
          <cell r="H188">
            <v>0</v>
          </cell>
        </row>
        <row r="189">
          <cell r="A189">
            <v>189</v>
          </cell>
          <cell r="B189" t="str">
            <v>Installation of Cooling Towers at Dresden Nuclear Station</v>
          </cell>
          <cell r="C189">
            <v>0</v>
          </cell>
          <cell r="D189">
            <v>8958.6224999999977</v>
          </cell>
          <cell r="E189">
            <v>54981.734499999999</v>
          </cell>
          <cell r="F189">
            <v>0</v>
          </cell>
          <cell r="G189">
            <v>0</v>
          </cell>
          <cell r="H189">
            <v>63940.356999999996</v>
          </cell>
        </row>
        <row r="190">
          <cell r="A190">
            <v>190</v>
          </cell>
          <cell r="B190" t="str">
            <v>Installation of EHC Isolation Valves</v>
          </cell>
          <cell r="C190">
            <v>0</v>
          </cell>
          <cell r="D190">
            <v>0</v>
          </cell>
          <cell r="E190">
            <v>0</v>
          </cell>
          <cell r="F190">
            <v>0</v>
          </cell>
          <cell r="G190">
            <v>0</v>
          </cell>
          <cell r="H190">
            <v>0</v>
          </cell>
        </row>
        <row r="191">
          <cell r="A191">
            <v>191</v>
          </cell>
          <cell r="B191" t="str">
            <v>Noble Metals Modification</v>
          </cell>
          <cell r="C191">
            <v>0</v>
          </cell>
          <cell r="D191">
            <v>0</v>
          </cell>
          <cell r="E191">
            <v>0</v>
          </cell>
          <cell r="F191">
            <v>0</v>
          </cell>
          <cell r="G191">
            <v>0</v>
          </cell>
          <cell r="H191">
            <v>0</v>
          </cell>
        </row>
        <row r="192">
          <cell r="A192">
            <v>192</v>
          </cell>
          <cell r="B192" t="str">
            <v>Reactor SCRAM Switches</v>
          </cell>
          <cell r="C192">
            <v>0</v>
          </cell>
          <cell r="D192">
            <v>0</v>
          </cell>
          <cell r="E192">
            <v>0</v>
          </cell>
          <cell r="F192">
            <v>0</v>
          </cell>
          <cell r="G192">
            <v>0</v>
          </cell>
          <cell r="H192">
            <v>0</v>
          </cell>
        </row>
        <row r="193">
          <cell r="A193">
            <v>193</v>
          </cell>
          <cell r="B193" t="str">
            <v>Condenser Demineralizer</v>
          </cell>
          <cell r="C193">
            <v>0</v>
          </cell>
          <cell r="D193">
            <v>341146.84350000008</v>
          </cell>
          <cell r="E193">
            <v>102361.78850000002</v>
          </cell>
          <cell r="F193">
            <v>16709.676375999996</v>
          </cell>
          <cell r="G193">
            <v>16709.676375999996</v>
          </cell>
          <cell r="H193">
            <v>460218.30837600009</v>
          </cell>
        </row>
        <row r="194">
          <cell r="A194">
            <v>194</v>
          </cell>
          <cell r="B194" t="str">
            <v>ECCS Suction Strainer Redesign at the BWRs</v>
          </cell>
          <cell r="C194">
            <v>53717.675472999996</v>
          </cell>
          <cell r="D194">
            <v>171291.24849999993</v>
          </cell>
          <cell r="E194">
            <v>42972.8675</v>
          </cell>
          <cell r="F194">
            <v>2555564.7782804999</v>
          </cell>
          <cell r="G194">
            <v>2555564.7782804999</v>
          </cell>
          <cell r="H194">
            <v>2823546.5697534997</v>
          </cell>
        </row>
        <row r="195">
          <cell r="A195">
            <v>195</v>
          </cell>
          <cell r="B195" t="str">
            <v>Installation of Filter Skids</v>
          </cell>
          <cell r="C195">
            <v>0</v>
          </cell>
          <cell r="D195">
            <v>0</v>
          </cell>
          <cell r="E195">
            <v>0</v>
          </cell>
          <cell r="F195">
            <v>0</v>
          </cell>
          <cell r="G195">
            <v>0</v>
          </cell>
          <cell r="H195">
            <v>0</v>
          </cell>
        </row>
        <row r="196">
          <cell r="A196">
            <v>196</v>
          </cell>
          <cell r="B196" t="str">
            <v>Reactor Water Cleanup (RWCU) System Upgrades at LaSalle</v>
          </cell>
          <cell r="C196">
            <v>12326985.85625145</v>
          </cell>
          <cell r="D196">
            <v>4442554.8064999981</v>
          </cell>
          <cell r="E196">
            <v>1183022.5914999994</v>
          </cell>
          <cell r="F196">
            <v>0</v>
          </cell>
          <cell r="G196">
            <v>0</v>
          </cell>
          <cell r="H196">
            <v>17952563.254251447</v>
          </cell>
        </row>
        <row r="197">
          <cell r="A197">
            <v>197</v>
          </cell>
          <cell r="B197" t="str">
            <v>Installation of Isolation Valves</v>
          </cell>
          <cell r="C197">
            <v>0</v>
          </cell>
          <cell r="D197">
            <v>0</v>
          </cell>
          <cell r="E197">
            <v>0</v>
          </cell>
          <cell r="F197">
            <v>0</v>
          </cell>
          <cell r="G197">
            <v>0</v>
          </cell>
          <cell r="H197">
            <v>0</v>
          </cell>
        </row>
        <row r="198">
          <cell r="A198">
            <v>198</v>
          </cell>
          <cell r="B198" t="str">
            <v>Installation of RHR Vacuum Breaker</v>
          </cell>
          <cell r="C198">
            <v>0</v>
          </cell>
          <cell r="D198">
            <v>0</v>
          </cell>
          <cell r="E198">
            <v>0</v>
          </cell>
          <cell r="F198">
            <v>0</v>
          </cell>
          <cell r="G198">
            <v>0</v>
          </cell>
          <cell r="H198">
            <v>0</v>
          </cell>
        </row>
        <row r="199">
          <cell r="A199">
            <v>199</v>
          </cell>
          <cell r="B199" t="str">
            <v>Reactor Recirculation Pump Seals</v>
          </cell>
          <cell r="C199">
            <v>0</v>
          </cell>
          <cell r="D199">
            <v>0</v>
          </cell>
          <cell r="E199">
            <v>0</v>
          </cell>
          <cell r="F199">
            <v>0</v>
          </cell>
          <cell r="G199">
            <v>0</v>
          </cell>
          <cell r="H199">
            <v>0</v>
          </cell>
        </row>
        <row r="200">
          <cell r="A200">
            <v>200</v>
          </cell>
          <cell r="B200" t="str">
            <v>Recirculation Pump Motor Rewind</v>
          </cell>
          <cell r="C200">
            <v>0</v>
          </cell>
          <cell r="D200">
            <v>0</v>
          </cell>
          <cell r="E200">
            <v>0</v>
          </cell>
          <cell r="F200">
            <v>0</v>
          </cell>
          <cell r="G200">
            <v>0</v>
          </cell>
          <cell r="H200">
            <v>0</v>
          </cell>
        </row>
        <row r="201">
          <cell r="A201">
            <v>201</v>
          </cell>
          <cell r="B201" t="str">
            <v>Reactor Recirc MG Set Brush Replacement at Quad Cities</v>
          </cell>
          <cell r="C201">
            <v>0</v>
          </cell>
          <cell r="D201">
            <v>0</v>
          </cell>
          <cell r="E201">
            <v>0</v>
          </cell>
          <cell r="F201">
            <v>0</v>
          </cell>
          <cell r="G201">
            <v>0</v>
          </cell>
          <cell r="H201">
            <v>0</v>
          </cell>
        </row>
        <row r="202">
          <cell r="A202">
            <v>202</v>
          </cell>
          <cell r="B202" t="str">
            <v>Reactivity Management</v>
          </cell>
          <cell r="C202">
            <v>0</v>
          </cell>
          <cell r="D202">
            <v>0</v>
          </cell>
          <cell r="E202">
            <v>0</v>
          </cell>
          <cell r="F202">
            <v>0</v>
          </cell>
          <cell r="G202">
            <v>0</v>
          </cell>
          <cell r="H202">
            <v>0</v>
          </cell>
        </row>
        <row r="203">
          <cell r="A203">
            <v>203</v>
          </cell>
          <cell r="B203" t="str">
            <v>Replacement of Safety Injection Accumulator Transmitter</v>
          </cell>
          <cell r="C203">
            <v>0</v>
          </cell>
          <cell r="D203">
            <v>0</v>
          </cell>
          <cell r="E203">
            <v>0</v>
          </cell>
          <cell r="F203">
            <v>535951.429</v>
          </cell>
          <cell r="G203">
            <v>535951.429</v>
          </cell>
          <cell r="H203">
            <v>535951.429</v>
          </cell>
        </row>
        <row r="204">
          <cell r="A204">
            <v>204</v>
          </cell>
          <cell r="B204" t="str">
            <v>Synchronous Condenser - Zion</v>
          </cell>
          <cell r="C204">
            <v>0</v>
          </cell>
          <cell r="D204">
            <v>0</v>
          </cell>
          <cell r="E204">
            <v>0</v>
          </cell>
          <cell r="F204">
            <v>0</v>
          </cell>
          <cell r="G204">
            <v>0</v>
          </cell>
          <cell r="H204">
            <v>0</v>
          </cell>
        </row>
        <row r="205">
          <cell r="A205">
            <v>205</v>
          </cell>
          <cell r="B205" t="str">
            <v>High Pressure Core Injection Gland Seal</v>
          </cell>
          <cell r="C205">
            <v>0</v>
          </cell>
          <cell r="D205">
            <v>0</v>
          </cell>
          <cell r="E205">
            <v>0</v>
          </cell>
          <cell r="F205">
            <v>0</v>
          </cell>
          <cell r="G205">
            <v>0</v>
          </cell>
          <cell r="H205">
            <v>0</v>
          </cell>
        </row>
        <row r="206">
          <cell r="A206">
            <v>206</v>
          </cell>
          <cell r="B206" t="str">
            <v>Replacement of Valves</v>
          </cell>
          <cell r="C206">
            <v>0</v>
          </cell>
          <cell r="D206">
            <v>0</v>
          </cell>
          <cell r="E206">
            <v>0</v>
          </cell>
          <cell r="F206">
            <v>0</v>
          </cell>
          <cell r="G206">
            <v>0</v>
          </cell>
          <cell r="H206">
            <v>0</v>
          </cell>
        </row>
        <row r="207">
          <cell r="A207">
            <v>207</v>
          </cell>
          <cell r="B207" t="str">
            <v>Replacement of Valves</v>
          </cell>
          <cell r="C207">
            <v>0</v>
          </cell>
          <cell r="D207">
            <v>0</v>
          </cell>
          <cell r="E207">
            <v>0</v>
          </cell>
          <cell r="F207">
            <v>0</v>
          </cell>
          <cell r="G207">
            <v>0</v>
          </cell>
          <cell r="H207">
            <v>0</v>
          </cell>
        </row>
        <row r="208">
          <cell r="A208">
            <v>208</v>
          </cell>
          <cell r="B208" t="str">
            <v>Primary Containment Drain</v>
          </cell>
          <cell r="C208">
            <v>0</v>
          </cell>
          <cell r="D208">
            <v>0</v>
          </cell>
          <cell r="E208">
            <v>0</v>
          </cell>
          <cell r="F208">
            <v>0</v>
          </cell>
          <cell r="G208">
            <v>0</v>
          </cell>
          <cell r="H208">
            <v>0</v>
          </cell>
        </row>
        <row r="209">
          <cell r="A209">
            <v>209</v>
          </cell>
          <cell r="B209" t="str">
            <v>Managed Task to Support L1RO8</v>
          </cell>
          <cell r="C209">
            <v>0</v>
          </cell>
          <cell r="D209">
            <v>0</v>
          </cell>
          <cell r="E209">
            <v>0</v>
          </cell>
          <cell r="F209">
            <v>0</v>
          </cell>
          <cell r="G209">
            <v>0</v>
          </cell>
          <cell r="H209">
            <v>0</v>
          </cell>
        </row>
        <row r="210">
          <cell r="A210">
            <v>300</v>
          </cell>
          <cell r="B210" t="str">
            <v>Plant Completion</v>
          </cell>
          <cell r="C210">
            <v>2454314.658735496</v>
          </cell>
          <cell r="D210">
            <v>0</v>
          </cell>
          <cell r="E210">
            <v>0</v>
          </cell>
          <cell r="F210">
            <v>0</v>
          </cell>
          <cell r="G210">
            <v>-2454314.658735496</v>
          </cell>
          <cell r="H210">
            <v>0</v>
          </cell>
        </row>
        <row r="211">
          <cell r="A211">
            <v>301</v>
          </cell>
          <cell r="B211" t="str">
            <v>Reactor Coolant Sampling System</v>
          </cell>
          <cell r="C211">
            <v>0</v>
          </cell>
          <cell r="D211">
            <v>0</v>
          </cell>
          <cell r="E211">
            <v>0</v>
          </cell>
          <cell r="F211">
            <v>0</v>
          </cell>
          <cell r="G211">
            <v>0</v>
          </cell>
          <cell r="H211">
            <v>0</v>
          </cell>
        </row>
        <row r="212">
          <cell r="A212">
            <v>302</v>
          </cell>
          <cell r="B212" t="str">
            <v>Pending Approval</v>
          </cell>
          <cell r="C212">
            <v>8475570.122739451</v>
          </cell>
          <cell r="D212">
            <v>0</v>
          </cell>
          <cell r="E212">
            <v>0</v>
          </cell>
          <cell r="F212">
            <v>0</v>
          </cell>
          <cell r="G212">
            <v>-8475570.122739451</v>
          </cell>
          <cell r="H212">
            <v>0</v>
          </cell>
        </row>
        <row r="213">
          <cell r="B213" t="str">
            <v>TOTALS</v>
          </cell>
          <cell r="C213">
            <v>281161727.89774144</v>
          </cell>
          <cell r="D213">
            <v>9719738.4119999986</v>
          </cell>
          <cell r="E213">
            <v>7087633.8275862504</v>
          </cell>
          <cell r="F213">
            <v>10929884.781474996</v>
          </cell>
          <cell r="G213">
            <v>5.029141902923584E-8</v>
          </cell>
          <cell r="H213">
            <v>297969100.13732791</v>
          </cell>
        </row>
      </sheetData>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S Charges by Target"/>
      <sheetName val="PivotByMajMin"/>
      <sheetName val="AMS Charges by RT-All"/>
      <sheetName val="Pivot-CILCO"/>
      <sheetName val="CILCO"/>
      <sheetName val="CIPS"/>
      <sheetName val="IPC"/>
      <sheetName val="Projects 2006"/>
      <sheetName val="RMC-Descrip"/>
      <sheetName val="Resource Types"/>
      <sheetName val="Functions"/>
      <sheetName val="2005-SR-AllocFactors"/>
      <sheetName val="AllocFactors"/>
      <sheetName val="UnknownProj#"/>
      <sheetName val="IndirectAllocFa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
          <cell r="B6" t="str">
            <v>0E203</v>
          </cell>
          <cell r="C6" t="str">
            <v>CIP</v>
          </cell>
          <cell r="D6" t="str">
            <v>N</v>
          </cell>
          <cell r="E6" t="str">
            <v>C</v>
          </cell>
          <cell r="F6" t="str">
            <v>02/12/1999</v>
          </cell>
        </row>
        <row r="7">
          <cell r="B7" t="str">
            <v>0E204</v>
          </cell>
          <cell r="C7" t="str">
            <v>CIP</v>
          </cell>
          <cell r="D7" t="str">
            <v>N</v>
          </cell>
          <cell r="E7" t="str">
            <v>C</v>
          </cell>
          <cell r="F7" t="str">
            <v>02/12/1999</v>
          </cell>
        </row>
        <row r="8">
          <cell r="B8" t="str">
            <v>02963</v>
          </cell>
          <cell r="C8" t="str">
            <v>UEC</v>
          </cell>
          <cell r="D8" t="str">
            <v>N</v>
          </cell>
          <cell r="E8" t="str">
            <v>A</v>
          </cell>
          <cell r="F8" t="str">
            <v>11/04/1997</v>
          </cell>
        </row>
        <row r="9">
          <cell r="B9" t="str">
            <v>02990</v>
          </cell>
          <cell r="C9" t="str">
            <v>CIL</v>
          </cell>
          <cell r="D9" t="str">
            <v>N</v>
          </cell>
          <cell r="E9" t="str">
            <v>A</v>
          </cell>
          <cell r="F9" t="str">
            <v>12/21/2003</v>
          </cell>
        </row>
        <row r="10">
          <cell r="B10" t="str">
            <v>03246</v>
          </cell>
          <cell r="C10" t="str">
            <v>CIL</v>
          </cell>
          <cell r="D10" t="str">
            <v>N</v>
          </cell>
          <cell r="E10" t="str">
            <v>A</v>
          </cell>
          <cell r="F10" t="str">
            <v>12/21/2003</v>
          </cell>
        </row>
        <row r="11">
          <cell r="B11" t="str">
            <v>03993</v>
          </cell>
          <cell r="C11" t="str">
            <v>ARG</v>
          </cell>
          <cell r="D11" t="str">
            <v>N</v>
          </cell>
          <cell r="E11" t="str">
            <v>A</v>
          </cell>
          <cell r="F11" t="str">
            <v>12/22/2003</v>
          </cell>
        </row>
        <row r="12">
          <cell r="B12" t="str">
            <v>03994</v>
          </cell>
          <cell r="C12" t="str">
            <v>UEC</v>
          </cell>
          <cell r="D12" t="str">
            <v>N</v>
          </cell>
          <cell r="E12" t="str">
            <v>A</v>
          </cell>
          <cell r="F12" t="str">
            <v>01/06/2004</v>
          </cell>
        </row>
        <row r="13">
          <cell r="B13" t="str">
            <v>05491</v>
          </cell>
          <cell r="C13" t="str">
            <v>UEC</v>
          </cell>
          <cell r="D13" t="str">
            <v>N</v>
          </cell>
          <cell r="E13" t="str">
            <v>C</v>
          </cell>
          <cell r="F13" t="str">
            <v>12/11/1997</v>
          </cell>
        </row>
        <row r="14">
          <cell r="B14" t="str">
            <v>08051</v>
          </cell>
          <cell r="C14" t="str">
            <v>UEC</v>
          </cell>
          <cell r="D14" t="str">
            <v>N</v>
          </cell>
          <cell r="E14" t="str">
            <v>C</v>
          </cell>
          <cell r="F14" t="str">
            <v>11/19/1997</v>
          </cell>
        </row>
        <row r="15">
          <cell r="B15" t="str">
            <v>08937</v>
          </cell>
          <cell r="C15" t="str">
            <v>UEC</v>
          </cell>
          <cell r="D15" t="str">
            <v>N</v>
          </cell>
          <cell r="E15" t="str">
            <v>C</v>
          </cell>
          <cell r="F15" t="str">
            <v>12/11/1997</v>
          </cell>
        </row>
        <row r="16">
          <cell r="B16" t="str">
            <v>09047</v>
          </cell>
          <cell r="C16" t="str">
            <v>UEC</v>
          </cell>
          <cell r="D16" t="str">
            <v>N</v>
          </cell>
          <cell r="E16" t="str">
            <v>C</v>
          </cell>
          <cell r="F16" t="str">
            <v>12/11/1997</v>
          </cell>
        </row>
        <row r="17">
          <cell r="B17" t="str">
            <v>09280</v>
          </cell>
          <cell r="C17" t="str">
            <v>UEC</v>
          </cell>
          <cell r="D17" t="str">
            <v>N</v>
          </cell>
          <cell r="E17" t="str">
            <v>C</v>
          </cell>
          <cell r="F17" t="str">
            <v>11/17/1997</v>
          </cell>
        </row>
        <row r="18">
          <cell r="B18" t="str">
            <v>09288</v>
          </cell>
          <cell r="C18" t="str">
            <v>UEC</v>
          </cell>
          <cell r="D18" t="str">
            <v>N</v>
          </cell>
          <cell r="E18" t="str">
            <v>C</v>
          </cell>
          <cell r="F18" t="str">
            <v>12/02/1997</v>
          </cell>
        </row>
        <row r="19">
          <cell r="B19" t="str">
            <v>09289</v>
          </cell>
          <cell r="C19" t="str">
            <v>UEC</v>
          </cell>
          <cell r="D19" t="str">
            <v>N</v>
          </cell>
          <cell r="E19" t="str">
            <v>C</v>
          </cell>
          <cell r="F19" t="str">
            <v>12/02/1997</v>
          </cell>
        </row>
        <row r="20">
          <cell r="B20" t="str">
            <v>09290</v>
          </cell>
          <cell r="C20" t="str">
            <v>UEC</v>
          </cell>
          <cell r="D20" t="str">
            <v>N</v>
          </cell>
          <cell r="E20" t="str">
            <v>C</v>
          </cell>
          <cell r="F20" t="str">
            <v>12/02/1997</v>
          </cell>
        </row>
        <row r="21">
          <cell r="B21" t="str">
            <v>09432</v>
          </cell>
          <cell r="C21" t="str">
            <v>UEC</v>
          </cell>
          <cell r="D21" t="str">
            <v>N</v>
          </cell>
          <cell r="E21" t="str">
            <v>A</v>
          </cell>
          <cell r="F21" t="str">
            <v>12/11/1998</v>
          </cell>
        </row>
        <row r="22">
          <cell r="B22" t="str">
            <v>09444</v>
          </cell>
          <cell r="C22" t="str">
            <v>UEC</v>
          </cell>
          <cell r="D22" t="str">
            <v>N</v>
          </cell>
          <cell r="E22" t="str">
            <v>C</v>
          </cell>
          <cell r="F22" t="str">
            <v>12/02/1997</v>
          </cell>
        </row>
        <row r="23">
          <cell r="B23" t="str">
            <v>09499</v>
          </cell>
          <cell r="C23" t="str">
            <v>UEC</v>
          </cell>
          <cell r="D23" t="str">
            <v>N</v>
          </cell>
          <cell r="E23" t="str">
            <v>C</v>
          </cell>
          <cell r="F23" t="str">
            <v>12/02/1997</v>
          </cell>
        </row>
        <row r="24">
          <cell r="B24" t="str">
            <v>09501</v>
          </cell>
          <cell r="C24" t="str">
            <v>UEC</v>
          </cell>
          <cell r="D24" t="str">
            <v>N</v>
          </cell>
          <cell r="E24" t="str">
            <v>A</v>
          </cell>
          <cell r="F24" t="str">
            <v>01/13/1998</v>
          </cell>
        </row>
        <row r="25">
          <cell r="B25" t="str">
            <v>09515</v>
          </cell>
          <cell r="C25" t="str">
            <v>UEC</v>
          </cell>
          <cell r="D25" t="str">
            <v>N</v>
          </cell>
          <cell r="E25" t="str">
            <v>C</v>
          </cell>
          <cell r="F25" t="str">
            <v>12/02/1997</v>
          </cell>
        </row>
        <row r="26">
          <cell r="B26" t="str">
            <v>09571</v>
          </cell>
          <cell r="C26" t="str">
            <v>UEC</v>
          </cell>
          <cell r="D26" t="str">
            <v>N</v>
          </cell>
          <cell r="E26" t="str">
            <v>C</v>
          </cell>
          <cell r="F26" t="str">
            <v>12/03/1997</v>
          </cell>
        </row>
        <row r="27">
          <cell r="B27" t="str">
            <v>09704</v>
          </cell>
          <cell r="C27" t="str">
            <v>UEC</v>
          </cell>
          <cell r="D27" t="str">
            <v>N</v>
          </cell>
          <cell r="E27" t="str">
            <v>C</v>
          </cell>
          <cell r="F27" t="str">
            <v>12/03/1997</v>
          </cell>
        </row>
        <row r="28">
          <cell r="B28" t="str">
            <v>09795</v>
          </cell>
          <cell r="C28" t="str">
            <v>UEC</v>
          </cell>
          <cell r="D28" t="str">
            <v>N</v>
          </cell>
          <cell r="E28" t="str">
            <v>C</v>
          </cell>
          <cell r="F28" t="str">
            <v>01/07/1998</v>
          </cell>
        </row>
        <row r="29">
          <cell r="B29" t="str">
            <v>09826</v>
          </cell>
          <cell r="C29" t="str">
            <v>UEC</v>
          </cell>
          <cell r="D29" t="str">
            <v>N</v>
          </cell>
          <cell r="E29" t="str">
            <v>C</v>
          </cell>
          <cell r="F29" t="str">
            <v>12/22/1997</v>
          </cell>
        </row>
        <row r="30">
          <cell r="B30" t="str">
            <v>09889</v>
          </cell>
          <cell r="C30" t="str">
            <v>CIP</v>
          </cell>
          <cell r="D30" t="str">
            <v>N</v>
          </cell>
          <cell r="E30" t="str">
            <v>I</v>
          </cell>
          <cell r="F30" t="str">
            <v>12/12/2001</v>
          </cell>
        </row>
        <row r="31">
          <cell r="B31" t="str">
            <v>09905</v>
          </cell>
          <cell r="C31" t="str">
            <v>GEN</v>
          </cell>
          <cell r="D31" t="str">
            <v>N</v>
          </cell>
          <cell r="E31" t="str">
            <v>C</v>
          </cell>
          <cell r="F31" t="str">
            <v>01/09/1998</v>
          </cell>
        </row>
        <row r="32">
          <cell r="B32" t="str">
            <v>09907</v>
          </cell>
          <cell r="C32" t="str">
            <v>UEC</v>
          </cell>
          <cell r="D32" t="str">
            <v>N</v>
          </cell>
          <cell r="E32" t="str">
            <v>C</v>
          </cell>
          <cell r="F32" t="str">
            <v>03/25/1998</v>
          </cell>
        </row>
        <row r="33">
          <cell r="B33" t="str">
            <v>09923</v>
          </cell>
          <cell r="C33" t="str">
            <v>UEC</v>
          </cell>
          <cell r="D33" t="str">
            <v>N</v>
          </cell>
          <cell r="E33" t="str">
            <v>C</v>
          </cell>
          <cell r="F33" t="str">
            <v>06/11/1998</v>
          </cell>
        </row>
        <row r="34">
          <cell r="B34" t="str">
            <v>09924</v>
          </cell>
          <cell r="C34" t="str">
            <v>UEC</v>
          </cell>
          <cell r="D34" t="str">
            <v>N</v>
          </cell>
          <cell r="E34" t="str">
            <v>C</v>
          </cell>
          <cell r="F34" t="str">
            <v>10/02/2000</v>
          </cell>
        </row>
        <row r="35">
          <cell r="B35" t="str">
            <v>09941</v>
          </cell>
          <cell r="C35" t="str">
            <v>GEN</v>
          </cell>
          <cell r="D35" t="str">
            <v>N</v>
          </cell>
          <cell r="E35" t="str">
            <v>A</v>
          </cell>
          <cell r="F35" t="str">
            <v>01/15/1998</v>
          </cell>
        </row>
        <row r="36">
          <cell r="B36" t="str">
            <v>09944</v>
          </cell>
          <cell r="C36" t="str">
            <v>GEN</v>
          </cell>
          <cell r="D36" t="str">
            <v>N</v>
          </cell>
          <cell r="E36" t="str">
            <v>C</v>
          </cell>
          <cell r="F36" t="str">
            <v>03/12/1998</v>
          </cell>
        </row>
        <row r="37">
          <cell r="B37" t="str">
            <v>09959</v>
          </cell>
          <cell r="C37" t="str">
            <v>UEC</v>
          </cell>
          <cell r="D37" t="str">
            <v>N</v>
          </cell>
          <cell r="E37" t="str">
            <v>C</v>
          </cell>
          <cell r="F37" t="str">
            <v>01/21/1998</v>
          </cell>
        </row>
        <row r="38">
          <cell r="B38" t="str">
            <v>09964</v>
          </cell>
          <cell r="C38" t="str">
            <v>UEC</v>
          </cell>
          <cell r="D38" t="str">
            <v>N</v>
          </cell>
          <cell r="E38" t="str">
            <v>C</v>
          </cell>
          <cell r="F38" t="str">
            <v>01/23/1998</v>
          </cell>
        </row>
        <row r="39">
          <cell r="B39" t="str">
            <v>09976</v>
          </cell>
          <cell r="C39" t="str">
            <v>UEC</v>
          </cell>
          <cell r="D39" t="str">
            <v>N</v>
          </cell>
          <cell r="E39" t="str">
            <v>C</v>
          </cell>
          <cell r="F39" t="str">
            <v>01/28/1998</v>
          </cell>
        </row>
        <row r="40">
          <cell r="B40" t="str">
            <v>09994</v>
          </cell>
          <cell r="C40" t="str">
            <v>UEC</v>
          </cell>
          <cell r="D40" t="str">
            <v>N</v>
          </cell>
          <cell r="E40" t="str">
            <v>C</v>
          </cell>
          <cell r="F40" t="str">
            <v>03/23/1998</v>
          </cell>
        </row>
        <row r="41">
          <cell r="B41" t="str">
            <v>10024</v>
          </cell>
          <cell r="C41" t="str">
            <v>UEC</v>
          </cell>
          <cell r="D41" t="str">
            <v>N</v>
          </cell>
          <cell r="E41" t="str">
            <v>C</v>
          </cell>
          <cell r="F41" t="str">
            <v>04/15/1998</v>
          </cell>
        </row>
        <row r="42">
          <cell r="B42" t="str">
            <v>10026</v>
          </cell>
          <cell r="C42" t="str">
            <v>UEC</v>
          </cell>
          <cell r="D42" t="str">
            <v>N</v>
          </cell>
          <cell r="E42" t="str">
            <v>A</v>
          </cell>
          <cell r="F42" t="str">
            <v>04/15/1998</v>
          </cell>
        </row>
        <row r="43">
          <cell r="B43" t="str">
            <v>10028</v>
          </cell>
          <cell r="C43" t="str">
            <v>UEC</v>
          </cell>
          <cell r="D43" t="str">
            <v>N</v>
          </cell>
          <cell r="E43" t="str">
            <v>C</v>
          </cell>
          <cell r="F43" t="str">
            <v>07/07/1998</v>
          </cell>
        </row>
        <row r="44">
          <cell r="B44" t="str">
            <v>10036</v>
          </cell>
          <cell r="C44" t="str">
            <v>UEC</v>
          </cell>
          <cell r="D44" t="str">
            <v>N</v>
          </cell>
          <cell r="E44" t="str">
            <v>C</v>
          </cell>
          <cell r="F44" t="str">
            <v>06/12/1998</v>
          </cell>
        </row>
        <row r="45">
          <cell r="B45" t="str">
            <v>10053</v>
          </cell>
          <cell r="C45" t="str">
            <v>UEC</v>
          </cell>
          <cell r="D45" t="str">
            <v>N</v>
          </cell>
          <cell r="E45" t="str">
            <v>C</v>
          </cell>
          <cell r="F45" t="str">
            <v>06/02/1998</v>
          </cell>
        </row>
        <row r="46">
          <cell r="B46" t="str">
            <v>10054</v>
          </cell>
          <cell r="C46" t="str">
            <v>UEC</v>
          </cell>
          <cell r="D46" t="str">
            <v>N</v>
          </cell>
          <cell r="E46" t="str">
            <v>C</v>
          </cell>
          <cell r="F46" t="str">
            <v>01/11/2002</v>
          </cell>
        </row>
        <row r="47">
          <cell r="B47" t="str">
            <v>10055</v>
          </cell>
          <cell r="C47" t="str">
            <v>UEC</v>
          </cell>
          <cell r="D47" t="str">
            <v>N</v>
          </cell>
          <cell r="E47" t="str">
            <v>C</v>
          </cell>
          <cell r="F47" t="str">
            <v>06/15/1998</v>
          </cell>
        </row>
        <row r="48">
          <cell r="B48" t="str">
            <v>10069</v>
          </cell>
          <cell r="C48" t="str">
            <v>UEC</v>
          </cell>
          <cell r="D48" t="str">
            <v>N</v>
          </cell>
          <cell r="E48" t="str">
            <v>C</v>
          </cell>
          <cell r="F48" t="str">
            <v>07/09/1998</v>
          </cell>
        </row>
        <row r="49">
          <cell r="B49" t="str">
            <v>10087</v>
          </cell>
          <cell r="C49" t="str">
            <v>UEC</v>
          </cell>
          <cell r="D49" t="str">
            <v>N</v>
          </cell>
          <cell r="E49" t="str">
            <v>C</v>
          </cell>
          <cell r="F49" t="str">
            <v>10/06/1998</v>
          </cell>
        </row>
        <row r="50">
          <cell r="B50" t="str">
            <v>10094</v>
          </cell>
          <cell r="C50" t="str">
            <v>UEC</v>
          </cell>
          <cell r="D50" t="str">
            <v>N</v>
          </cell>
          <cell r="E50" t="str">
            <v>C</v>
          </cell>
          <cell r="F50" t="str">
            <v>10/06/1998</v>
          </cell>
        </row>
        <row r="51">
          <cell r="B51" t="str">
            <v>10100</v>
          </cell>
          <cell r="C51" t="str">
            <v>UEC</v>
          </cell>
          <cell r="D51" t="str">
            <v>N</v>
          </cell>
          <cell r="E51" t="str">
            <v>C</v>
          </cell>
          <cell r="F51" t="str">
            <v>10/06/1998</v>
          </cell>
        </row>
        <row r="52">
          <cell r="B52" t="str">
            <v>10101</v>
          </cell>
          <cell r="C52" t="str">
            <v>UEC</v>
          </cell>
          <cell r="D52" t="str">
            <v>N</v>
          </cell>
          <cell r="E52" t="str">
            <v>C</v>
          </cell>
          <cell r="F52" t="str">
            <v>07/24/1998</v>
          </cell>
        </row>
        <row r="53">
          <cell r="B53" t="str">
            <v>10104</v>
          </cell>
          <cell r="C53" t="str">
            <v>UEC</v>
          </cell>
          <cell r="D53" t="str">
            <v>N</v>
          </cell>
          <cell r="E53" t="str">
            <v>C</v>
          </cell>
          <cell r="F53" t="str">
            <v>08/17/1998</v>
          </cell>
        </row>
        <row r="54">
          <cell r="B54" t="str">
            <v>10115</v>
          </cell>
          <cell r="C54" t="str">
            <v>UEC</v>
          </cell>
          <cell r="D54" t="str">
            <v>N</v>
          </cell>
          <cell r="E54" t="str">
            <v>C</v>
          </cell>
          <cell r="F54" t="str">
            <v>07/29/1998</v>
          </cell>
        </row>
        <row r="55">
          <cell r="B55" t="str">
            <v>10125</v>
          </cell>
          <cell r="C55" t="str">
            <v>UEC</v>
          </cell>
          <cell r="D55" t="str">
            <v>N</v>
          </cell>
          <cell r="E55" t="str">
            <v>C</v>
          </cell>
          <cell r="F55" t="str">
            <v>08/03/1998</v>
          </cell>
        </row>
        <row r="56">
          <cell r="B56" t="str">
            <v>10127</v>
          </cell>
          <cell r="C56" t="str">
            <v>GEN</v>
          </cell>
          <cell r="D56" t="str">
            <v>N</v>
          </cell>
          <cell r="E56" t="str">
            <v>C</v>
          </cell>
          <cell r="F56" t="str">
            <v>08/03/1998</v>
          </cell>
        </row>
        <row r="57">
          <cell r="B57" t="str">
            <v>10149</v>
          </cell>
          <cell r="C57" t="str">
            <v>UEC</v>
          </cell>
          <cell r="D57" t="str">
            <v>N</v>
          </cell>
          <cell r="E57" t="str">
            <v>C</v>
          </cell>
          <cell r="F57" t="str">
            <v>09/01/1998</v>
          </cell>
        </row>
        <row r="58">
          <cell r="B58" t="str">
            <v>10170</v>
          </cell>
          <cell r="C58" t="str">
            <v>UEC</v>
          </cell>
          <cell r="D58" t="str">
            <v>N</v>
          </cell>
          <cell r="E58" t="str">
            <v>C</v>
          </cell>
          <cell r="F58" t="str">
            <v>09/21/1998</v>
          </cell>
        </row>
        <row r="59">
          <cell r="B59" t="str">
            <v>10174</v>
          </cell>
          <cell r="C59" t="str">
            <v>UEC</v>
          </cell>
          <cell r="D59" t="str">
            <v>N</v>
          </cell>
          <cell r="E59" t="str">
            <v>C</v>
          </cell>
          <cell r="F59" t="str">
            <v>10/15/1998</v>
          </cell>
        </row>
        <row r="60">
          <cell r="B60" t="str">
            <v>10175</v>
          </cell>
          <cell r="C60" t="str">
            <v>UEC</v>
          </cell>
          <cell r="D60" t="str">
            <v>N</v>
          </cell>
          <cell r="E60" t="str">
            <v>C</v>
          </cell>
          <cell r="F60" t="str">
            <v>10/15/1998</v>
          </cell>
        </row>
        <row r="61">
          <cell r="B61" t="str">
            <v>10180</v>
          </cell>
          <cell r="C61" t="str">
            <v>UEC</v>
          </cell>
          <cell r="D61" t="str">
            <v>N</v>
          </cell>
          <cell r="E61" t="str">
            <v>C</v>
          </cell>
          <cell r="F61" t="str">
            <v>10/16/1998</v>
          </cell>
        </row>
        <row r="62">
          <cell r="B62" t="str">
            <v>10186</v>
          </cell>
          <cell r="C62" t="str">
            <v>UEC</v>
          </cell>
          <cell r="D62" t="str">
            <v>N</v>
          </cell>
          <cell r="E62" t="str">
            <v>C</v>
          </cell>
          <cell r="F62" t="str">
            <v>10/19/1998</v>
          </cell>
        </row>
        <row r="63">
          <cell r="B63" t="str">
            <v>10187</v>
          </cell>
          <cell r="C63" t="str">
            <v>UEC</v>
          </cell>
          <cell r="D63" t="str">
            <v>N</v>
          </cell>
          <cell r="E63" t="str">
            <v>C</v>
          </cell>
          <cell r="F63" t="str">
            <v>10/19/1998</v>
          </cell>
        </row>
        <row r="64">
          <cell r="B64" t="str">
            <v>10199</v>
          </cell>
          <cell r="C64" t="str">
            <v>CIP</v>
          </cell>
          <cell r="D64" t="str">
            <v>N</v>
          </cell>
          <cell r="E64" t="str">
            <v>C</v>
          </cell>
          <cell r="F64" t="str">
            <v>10/12/1998</v>
          </cell>
        </row>
        <row r="65">
          <cell r="B65" t="str">
            <v>10206</v>
          </cell>
          <cell r="C65" t="str">
            <v>UEC</v>
          </cell>
          <cell r="D65" t="str">
            <v>N</v>
          </cell>
          <cell r="E65" t="str">
            <v>C</v>
          </cell>
          <cell r="F65" t="str">
            <v>10/21/1998</v>
          </cell>
        </row>
        <row r="66">
          <cell r="B66" t="str">
            <v>10211</v>
          </cell>
          <cell r="C66" t="str">
            <v>UEC</v>
          </cell>
          <cell r="D66" t="str">
            <v>N</v>
          </cell>
          <cell r="E66" t="str">
            <v>C</v>
          </cell>
          <cell r="F66" t="str">
            <v>10/27/1998</v>
          </cell>
        </row>
        <row r="67">
          <cell r="B67" t="str">
            <v>10230</v>
          </cell>
          <cell r="C67" t="str">
            <v>CIP</v>
          </cell>
          <cell r="D67" t="str">
            <v>N</v>
          </cell>
          <cell r="E67" t="str">
            <v>C</v>
          </cell>
          <cell r="F67" t="str">
            <v>10/30/1998</v>
          </cell>
        </row>
        <row r="68">
          <cell r="B68" t="str">
            <v>10231</v>
          </cell>
          <cell r="C68" t="str">
            <v>CIP</v>
          </cell>
          <cell r="D68" t="str">
            <v>N</v>
          </cell>
          <cell r="E68" t="str">
            <v>C</v>
          </cell>
          <cell r="F68" t="str">
            <v>10/30/1998</v>
          </cell>
        </row>
        <row r="69">
          <cell r="B69" t="str">
            <v>10233</v>
          </cell>
          <cell r="C69" t="str">
            <v>GEN</v>
          </cell>
          <cell r="D69" t="str">
            <v>N</v>
          </cell>
          <cell r="E69" t="str">
            <v>C</v>
          </cell>
          <cell r="F69" t="str">
            <v>12/01/1998</v>
          </cell>
        </row>
        <row r="70">
          <cell r="B70" t="str">
            <v>10235</v>
          </cell>
          <cell r="C70" t="str">
            <v>UEC</v>
          </cell>
          <cell r="D70" t="str">
            <v>N</v>
          </cell>
          <cell r="E70" t="str">
            <v>C</v>
          </cell>
          <cell r="F70" t="str">
            <v>11/24/1998</v>
          </cell>
        </row>
        <row r="71">
          <cell r="B71" t="str">
            <v>10237</v>
          </cell>
          <cell r="C71" t="str">
            <v>UEC</v>
          </cell>
          <cell r="D71" t="str">
            <v>N</v>
          </cell>
          <cell r="E71" t="str">
            <v>C</v>
          </cell>
          <cell r="F71" t="str">
            <v>04/14/1999</v>
          </cell>
        </row>
        <row r="72">
          <cell r="B72" t="str">
            <v>10247</v>
          </cell>
          <cell r="C72" t="str">
            <v>UEC</v>
          </cell>
          <cell r="D72" t="str">
            <v>N</v>
          </cell>
          <cell r="E72" t="str">
            <v>C</v>
          </cell>
          <cell r="F72" t="str">
            <v>12/02/1998</v>
          </cell>
        </row>
        <row r="73">
          <cell r="B73" t="str">
            <v>10262</v>
          </cell>
          <cell r="C73" t="str">
            <v>UEC</v>
          </cell>
          <cell r="D73" t="str">
            <v>N</v>
          </cell>
          <cell r="E73" t="str">
            <v>C</v>
          </cell>
          <cell r="F73" t="str">
            <v>10/04/2000</v>
          </cell>
        </row>
        <row r="74">
          <cell r="B74" t="str">
            <v>10266</v>
          </cell>
          <cell r="C74" t="str">
            <v>UEC</v>
          </cell>
          <cell r="D74" t="str">
            <v>N</v>
          </cell>
          <cell r="E74" t="str">
            <v>C</v>
          </cell>
          <cell r="F74" t="str">
            <v>12/09/1998</v>
          </cell>
        </row>
        <row r="75">
          <cell r="B75" t="str">
            <v>10268</v>
          </cell>
          <cell r="C75" t="str">
            <v>UEC</v>
          </cell>
          <cell r="D75" t="str">
            <v>N</v>
          </cell>
          <cell r="E75" t="str">
            <v>C</v>
          </cell>
          <cell r="F75" t="str">
            <v>12/09/1998</v>
          </cell>
        </row>
        <row r="76">
          <cell r="B76" t="str">
            <v>10282</v>
          </cell>
          <cell r="C76" t="str">
            <v>GEN</v>
          </cell>
          <cell r="D76" t="str">
            <v>N</v>
          </cell>
          <cell r="E76" t="str">
            <v>C</v>
          </cell>
          <cell r="F76" t="str">
            <v>01/15/1999</v>
          </cell>
        </row>
        <row r="77">
          <cell r="B77" t="str">
            <v>10291</v>
          </cell>
          <cell r="C77" t="str">
            <v>GEN</v>
          </cell>
          <cell r="D77" t="str">
            <v>N</v>
          </cell>
          <cell r="E77" t="str">
            <v>C</v>
          </cell>
          <cell r="F77" t="str">
            <v>01/30/2001</v>
          </cell>
        </row>
        <row r="78">
          <cell r="B78" t="str">
            <v>10292</v>
          </cell>
          <cell r="C78" t="str">
            <v>GEN</v>
          </cell>
          <cell r="D78" t="str">
            <v>N</v>
          </cell>
          <cell r="E78" t="str">
            <v>C</v>
          </cell>
          <cell r="F78" t="str">
            <v>01/30/2001</v>
          </cell>
        </row>
        <row r="79">
          <cell r="B79" t="str">
            <v>10305</v>
          </cell>
          <cell r="C79" t="str">
            <v>UEC</v>
          </cell>
          <cell r="D79" t="str">
            <v>N</v>
          </cell>
          <cell r="E79" t="str">
            <v>C</v>
          </cell>
          <cell r="F79" t="str">
            <v>04/08/1999</v>
          </cell>
        </row>
        <row r="80">
          <cell r="B80" t="str">
            <v>10316</v>
          </cell>
          <cell r="C80" t="str">
            <v>GEN</v>
          </cell>
          <cell r="D80" t="str">
            <v>N</v>
          </cell>
          <cell r="E80" t="str">
            <v>C</v>
          </cell>
          <cell r="F80" t="str">
            <v>01/21/1999</v>
          </cell>
        </row>
        <row r="81">
          <cell r="B81" t="str">
            <v>10317</v>
          </cell>
          <cell r="C81" t="str">
            <v>GEN</v>
          </cell>
          <cell r="D81" t="str">
            <v>N</v>
          </cell>
          <cell r="E81" t="str">
            <v>A</v>
          </cell>
          <cell r="F81" t="str">
            <v>01/21/1999</v>
          </cell>
        </row>
        <row r="82">
          <cell r="B82" t="str">
            <v>10318</v>
          </cell>
          <cell r="C82" t="str">
            <v>UEC</v>
          </cell>
          <cell r="D82" t="str">
            <v>N</v>
          </cell>
          <cell r="E82" t="str">
            <v>A</v>
          </cell>
          <cell r="F82" t="str">
            <v>01/21/1999</v>
          </cell>
        </row>
        <row r="83">
          <cell r="B83" t="str">
            <v>10320</v>
          </cell>
          <cell r="C83" t="str">
            <v>UEC</v>
          </cell>
          <cell r="D83" t="str">
            <v>N</v>
          </cell>
          <cell r="E83" t="str">
            <v>A</v>
          </cell>
          <cell r="F83" t="str">
            <v>01/21/1999</v>
          </cell>
        </row>
        <row r="84">
          <cell r="B84" t="str">
            <v>10348</v>
          </cell>
          <cell r="C84" t="str">
            <v>UEC</v>
          </cell>
          <cell r="D84" t="str">
            <v>N</v>
          </cell>
          <cell r="E84" t="str">
            <v>C</v>
          </cell>
          <cell r="F84" t="str">
            <v>01/04/1999</v>
          </cell>
        </row>
        <row r="85">
          <cell r="B85" t="str">
            <v>10370</v>
          </cell>
          <cell r="C85" t="str">
            <v>GEN</v>
          </cell>
          <cell r="D85" t="str">
            <v>N</v>
          </cell>
          <cell r="E85" t="str">
            <v>C</v>
          </cell>
          <cell r="F85" t="str">
            <v>01/30/2001</v>
          </cell>
        </row>
        <row r="86">
          <cell r="B86" t="str">
            <v>10374</v>
          </cell>
          <cell r="C86" t="str">
            <v>GEN</v>
          </cell>
          <cell r="D86" t="str">
            <v>N</v>
          </cell>
          <cell r="E86" t="str">
            <v>C</v>
          </cell>
          <cell r="F86" t="str">
            <v>01/30/2001</v>
          </cell>
        </row>
        <row r="87">
          <cell r="B87" t="str">
            <v>10375</v>
          </cell>
          <cell r="C87" t="str">
            <v>UEC</v>
          </cell>
          <cell r="D87" t="str">
            <v>N</v>
          </cell>
          <cell r="E87" t="str">
            <v>C</v>
          </cell>
          <cell r="F87" t="str">
            <v>01/07/1999</v>
          </cell>
        </row>
        <row r="88">
          <cell r="B88" t="str">
            <v>10387</v>
          </cell>
          <cell r="C88" t="str">
            <v>UEC</v>
          </cell>
          <cell r="D88" t="str">
            <v>N</v>
          </cell>
          <cell r="E88" t="str">
            <v>A</v>
          </cell>
          <cell r="F88" t="str">
            <v>01/28/1999</v>
          </cell>
        </row>
        <row r="89">
          <cell r="B89" t="str">
            <v>10389</v>
          </cell>
          <cell r="C89" t="str">
            <v>UEC</v>
          </cell>
          <cell r="D89" t="str">
            <v>N</v>
          </cell>
          <cell r="E89" t="str">
            <v>C</v>
          </cell>
          <cell r="F89" t="str">
            <v>01/29/1999</v>
          </cell>
        </row>
        <row r="90">
          <cell r="B90" t="str">
            <v>10390</v>
          </cell>
          <cell r="C90" t="str">
            <v>GEN</v>
          </cell>
          <cell r="D90" t="str">
            <v>N</v>
          </cell>
          <cell r="E90" t="str">
            <v>A</v>
          </cell>
          <cell r="F90" t="str">
            <v>02/01/1999</v>
          </cell>
        </row>
        <row r="91">
          <cell r="B91" t="str">
            <v>10391</v>
          </cell>
          <cell r="C91" t="str">
            <v>UEC</v>
          </cell>
          <cell r="D91" t="str">
            <v>N</v>
          </cell>
          <cell r="E91" t="str">
            <v>C</v>
          </cell>
          <cell r="F91" t="str">
            <v>04/28/1999</v>
          </cell>
        </row>
        <row r="92">
          <cell r="B92" t="str">
            <v>10395</v>
          </cell>
          <cell r="C92" t="str">
            <v>UEC</v>
          </cell>
          <cell r="D92" t="str">
            <v>N</v>
          </cell>
          <cell r="E92" t="str">
            <v>C</v>
          </cell>
          <cell r="F92" t="str">
            <v>02/08/1999</v>
          </cell>
        </row>
        <row r="93">
          <cell r="B93" t="str">
            <v>10401</v>
          </cell>
          <cell r="C93" t="str">
            <v>UEC</v>
          </cell>
          <cell r="D93" t="str">
            <v>N</v>
          </cell>
          <cell r="E93" t="str">
            <v>C</v>
          </cell>
          <cell r="F93" t="str">
            <v>05/13/1999</v>
          </cell>
        </row>
        <row r="94">
          <cell r="B94" t="str">
            <v>10402</v>
          </cell>
          <cell r="C94" t="str">
            <v>UEC</v>
          </cell>
          <cell r="D94" t="str">
            <v>N</v>
          </cell>
          <cell r="E94" t="str">
            <v>C</v>
          </cell>
          <cell r="F94" t="str">
            <v>08/13/1999</v>
          </cell>
        </row>
        <row r="95">
          <cell r="B95" t="str">
            <v>10406</v>
          </cell>
          <cell r="C95" t="str">
            <v>UEC</v>
          </cell>
          <cell r="D95" t="str">
            <v>N</v>
          </cell>
          <cell r="E95" t="str">
            <v>C</v>
          </cell>
          <cell r="F95" t="str">
            <v>05/12/1999</v>
          </cell>
        </row>
        <row r="96">
          <cell r="B96" t="str">
            <v>10411</v>
          </cell>
          <cell r="C96" t="str">
            <v>UEC</v>
          </cell>
          <cell r="D96" t="str">
            <v>N</v>
          </cell>
          <cell r="E96" t="str">
            <v>C</v>
          </cell>
          <cell r="F96" t="str">
            <v>02/05/1999</v>
          </cell>
        </row>
        <row r="97">
          <cell r="B97" t="str">
            <v>10421</v>
          </cell>
          <cell r="C97" t="str">
            <v>UEC</v>
          </cell>
          <cell r="D97" t="str">
            <v>N</v>
          </cell>
          <cell r="E97" t="str">
            <v>C</v>
          </cell>
          <cell r="F97" t="str">
            <v>02/11/1999</v>
          </cell>
        </row>
        <row r="98">
          <cell r="B98" t="str">
            <v>10422</v>
          </cell>
          <cell r="C98" t="str">
            <v>UEC</v>
          </cell>
          <cell r="D98" t="str">
            <v>N</v>
          </cell>
          <cell r="E98" t="str">
            <v>C</v>
          </cell>
          <cell r="F98" t="str">
            <v>02/11/1999</v>
          </cell>
        </row>
        <row r="99">
          <cell r="B99" t="str">
            <v>10423</v>
          </cell>
          <cell r="C99" t="str">
            <v>UEC</v>
          </cell>
          <cell r="D99" t="str">
            <v>N</v>
          </cell>
          <cell r="E99" t="str">
            <v>C</v>
          </cell>
          <cell r="F99" t="str">
            <v>02/11/1999</v>
          </cell>
        </row>
        <row r="100">
          <cell r="B100" t="str">
            <v>10424</v>
          </cell>
          <cell r="C100" t="str">
            <v>UEC</v>
          </cell>
          <cell r="D100" t="str">
            <v>N</v>
          </cell>
          <cell r="E100" t="str">
            <v>C</v>
          </cell>
          <cell r="F100" t="str">
            <v>02/11/1999</v>
          </cell>
        </row>
        <row r="101">
          <cell r="B101" t="str">
            <v>10432</v>
          </cell>
          <cell r="C101" t="str">
            <v>UEC</v>
          </cell>
          <cell r="D101" t="str">
            <v>N</v>
          </cell>
          <cell r="E101" t="str">
            <v>C</v>
          </cell>
          <cell r="F101" t="str">
            <v>05/07/1999</v>
          </cell>
        </row>
        <row r="102">
          <cell r="B102" t="str">
            <v>10433</v>
          </cell>
          <cell r="C102" t="str">
            <v>UEC</v>
          </cell>
          <cell r="D102" t="str">
            <v>N</v>
          </cell>
          <cell r="E102" t="str">
            <v>C</v>
          </cell>
          <cell r="F102" t="str">
            <v>05/07/1999</v>
          </cell>
        </row>
        <row r="103">
          <cell r="B103" t="str">
            <v>10434</v>
          </cell>
          <cell r="C103" t="str">
            <v>UEC</v>
          </cell>
          <cell r="D103" t="str">
            <v>N</v>
          </cell>
          <cell r="E103" t="str">
            <v>C</v>
          </cell>
          <cell r="F103" t="str">
            <v>02/12/1999</v>
          </cell>
        </row>
        <row r="104">
          <cell r="B104" t="str">
            <v>10441</v>
          </cell>
          <cell r="C104" t="str">
            <v>CIP</v>
          </cell>
          <cell r="D104" t="str">
            <v>N</v>
          </cell>
          <cell r="E104" t="str">
            <v>C</v>
          </cell>
          <cell r="F104" t="str">
            <v>07/18/2000</v>
          </cell>
        </row>
        <row r="105">
          <cell r="B105" t="str">
            <v>10462</v>
          </cell>
          <cell r="C105" t="str">
            <v>CIP</v>
          </cell>
          <cell r="D105" t="str">
            <v>N</v>
          </cell>
          <cell r="E105" t="str">
            <v>C</v>
          </cell>
          <cell r="F105" t="str">
            <v>04/26/1999</v>
          </cell>
        </row>
        <row r="106">
          <cell r="B106" t="str">
            <v>10465</v>
          </cell>
          <cell r="C106" t="str">
            <v>UEC</v>
          </cell>
          <cell r="D106" t="str">
            <v>N</v>
          </cell>
          <cell r="E106" t="str">
            <v>C</v>
          </cell>
          <cell r="F106" t="str">
            <v>02/26/1999</v>
          </cell>
        </row>
        <row r="107">
          <cell r="B107" t="str">
            <v>10467</v>
          </cell>
          <cell r="C107" t="str">
            <v>UEC</v>
          </cell>
          <cell r="D107" t="str">
            <v>N</v>
          </cell>
          <cell r="E107" t="str">
            <v>A</v>
          </cell>
          <cell r="F107" t="str">
            <v>12/20/2000</v>
          </cell>
        </row>
        <row r="108">
          <cell r="B108" t="str">
            <v>10468</v>
          </cell>
          <cell r="C108" t="str">
            <v>CIP</v>
          </cell>
          <cell r="D108" t="str">
            <v>N</v>
          </cell>
          <cell r="E108" t="str">
            <v>C</v>
          </cell>
          <cell r="F108" t="str">
            <v>05/11/1999</v>
          </cell>
        </row>
        <row r="109">
          <cell r="B109" t="str">
            <v>10477</v>
          </cell>
          <cell r="C109" t="str">
            <v>CIP</v>
          </cell>
          <cell r="D109" t="str">
            <v>N</v>
          </cell>
          <cell r="E109" t="str">
            <v>C</v>
          </cell>
          <cell r="F109" t="str">
            <v>03/10/1999</v>
          </cell>
        </row>
        <row r="110">
          <cell r="B110" t="str">
            <v>10488</v>
          </cell>
          <cell r="C110" t="str">
            <v>UEC</v>
          </cell>
          <cell r="D110" t="str">
            <v>N</v>
          </cell>
          <cell r="E110" t="str">
            <v>C</v>
          </cell>
          <cell r="F110" t="str">
            <v>08/04/1999</v>
          </cell>
        </row>
        <row r="111">
          <cell r="B111" t="str">
            <v>10489</v>
          </cell>
          <cell r="C111" t="str">
            <v>UEC</v>
          </cell>
          <cell r="D111" t="str">
            <v>N</v>
          </cell>
          <cell r="E111" t="str">
            <v>C</v>
          </cell>
          <cell r="F111" t="str">
            <v>08/05/1999</v>
          </cell>
        </row>
        <row r="112">
          <cell r="B112" t="str">
            <v>10494</v>
          </cell>
          <cell r="C112" t="str">
            <v>UEC</v>
          </cell>
          <cell r="D112" t="str">
            <v>N</v>
          </cell>
          <cell r="E112" t="str">
            <v>C</v>
          </cell>
          <cell r="F112" t="str">
            <v>05/12/1999</v>
          </cell>
        </row>
        <row r="113">
          <cell r="B113" t="str">
            <v>10504</v>
          </cell>
          <cell r="C113" t="str">
            <v>UEC</v>
          </cell>
          <cell r="D113" t="str">
            <v>N</v>
          </cell>
          <cell r="E113" t="str">
            <v>C</v>
          </cell>
          <cell r="F113" t="str">
            <v>03/31/1999</v>
          </cell>
        </row>
        <row r="114">
          <cell r="B114" t="str">
            <v>10516</v>
          </cell>
          <cell r="C114" t="str">
            <v>GEN</v>
          </cell>
          <cell r="D114" t="str">
            <v>N</v>
          </cell>
          <cell r="E114" t="str">
            <v>C</v>
          </cell>
          <cell r="F114" t="str">
            <v>02/22/2001</v>
          </cell>
        </row>
        <row r="115">
          <cell r="B115" t="str">
            <v>10517</v>
          </cell>
          <cell r="C115" t="str">
            <v>CIP</v>
          </cell>
          <cell r="D115" t="str">
            <v>N</v>
          </cell>
          <cell r="E115" t="str">
            <v>C</v>
          </cell>
          <cell r="F115" t="str">
            <v>08/10/1999</v>
          </cell>
        </row>
        <row r="116">
          <cell r="B116" t="str">
            <v>10519</v>
          </cell>
          <cell r="C116" t="str">
            <v>UEC</v>
          </cell>
          <cell r="D116" t="str">
            <v>N</v>
          </cell>
          <cell r="E116" t="str">
            <v>C</v>
          </cell>
          <cell r="F116" t="str">
            <v>05/26/1999</v>
          </cell>
        </row>
        <row r="117">
          <cell r="B117" t="str">
            <v>10524</v>
          </cell>
          <cell r="C117" t="str">
            <v>UEC</v>
          </cell>
          <cell r="D117" t="str">
            <v>N</v>
          </cell>
          <cell r="E117" t="str">
            <v>C</v>
          </cell>
          <cell r="F117" t="str">
            <v>08/10/1999</v>
          </cell>
        </row>
        <row r="118">
          <cell r="B118" t="str">
            <v>10528</v>
          </cell>
          <cell r="C118" t="str">
            <v>UEC</v>
          </cell>
          <cell r="D118" t="str">
            <v>N</v>
          </cell>
          <cell r="E118" t="str">
            <v>C</v>
          </cell>
          <cell r="F118" t="str">
            <v>06/02/1999</v>
          </cell>
        </row>
        <row r="119">
          <cell r="B119" t="str">
            <v>10529</v>
          </cell>
          <cell r="C119" t="str">
            <v>UEC</v>
          </cell>
          <cell r="D119" t="str">
            <v>N</v>
          </cell>
          <cell r="E119" t="str">
            <v>C</v>
          </cell>
          <cell r="F119" t="str">
            <v>06/02/1999</v>
          </cell>
        </row>
        <row r="120">
          <cell r="B120" t="str">
            <v>10534</v>
          </cell>
          <cell r="C120" t="str">
            <v>UEC</v>
          </cell>
          <cell r="D120" t="str">
            <v>N</v>
          </cell>
          <cell r="E120" t="str">
            <v>C</v>
          </cell>
          <cell r="F120" t="str">
            <v>06/08/1999</v>
          </cell>
        </row>
        <row r="121">
          <cell r="B121" t="str">
            <v>10535</v>
          </cell>
          <cell r="C121" t="str">
            <v>UEC</v>
          </cell>
          <cell r="D121" t="str">
            <v>N</v>
          </cell>
          <cell r="E121" t="str">
            <v>C</v>
          </cell>
          <cell r="F121" t="str">
            <v>06/08/1999</v>
          </cell>
        </row>
        <row r="122">
          <cell r="B122" t="str">
            <v>10536</v>
          </cell>
          <cell r="C122"/>
          <cell r="D122"/>
          <cell r="E122"/>
          <cell r="F122"/>
        </row>
        <row r="123">
          <cell r="B123" t="str">
            <v>10542</v>
          </cell>
          <cell r="C123" t="str">
            <v>UEC</v>
          </cell>
          <cell r="D123" t="str">
            <v>N</v>
          </cell>
          <cell r="E123" t="str">
            <v>C</v>
          </cell>
          <cell r="F123" t="str">
            <v>06/09/1999</v>
          </cell>
        </row>
        <row r="124">
          <cell r="B124" t="str">
            <v>10543</v>
          </cell>
          <cell r="C124" t="str">
            <v>ADC</v>
          </cell>
          <cell r="D124" t="str">
            <v>N</v>
          </cell>
          <cell r="E124" t="str">
            <v>C</v>
          </cell>
          <cell r="F124" t="str">
            <v>07/27/2000</v>
          </cell>
        </row>
        <row r="125">
          <cell r="B125" t="str">
            <v>10551</v>
          </cell>
          <cell r="C125" t="str">
            <v>UEC</v>
          </cell>
          <cell r="D125" t="str">
            <v>N</v>
          </cell>
          <cell r="E125" t="str">
            <v>C</v>
          </cell>
          <cell r="F125" t="str">
            <v>06/10/1999</v>
          </cell>
        </row>
        <row r="126">
          <cell r="B126" t="str">
            <v>10557</v>
          </cell>
          <cell r="C126" t="str">
            <v>GEN</v>
          </cell>
          <cell r="D126" t="str">
            <v>N</v>
          </cell>
          <cell r="E126" t="str">
            <v>C</v>
          </cell>
          <cell r="F126" t="str">
            <v>01/30/2001</v>
          </cell>
        </row>
        <row r="127">
          <cell r="B127" t="str">
            <v>10558</v>
          </cell>
          <cell r="C127" t="str">
            <v>GEN</v>
          </cell>
          <cell r="D127" t="str">
            <v>N</v>
          </cell>
          <cell r="E127" t="str">
            <v>C</v>
          </cell>
          <cell r="F127" t="str">
            <v>01/30/2001</v>
          </cell>
        </row>
        <row r="128">
          <cell r="B128" t="str">
            <v>10559</v>
          </cell>
          <cell r="C128" t="str">
            <v>UEC</v>
          </cell>
          <cell r="D128" t="str">
            <v>N</v>
          </cell>
          <cell r="E128" t="str">
            <v>C</v>
          </cell>
          <cell r="F128" t="str">
            <v>06/14/1999</v>
          </cell>
        </row>
        <row r="129">
          <cell r="B129" t="str">
            <v>10561</v>
          </cell>
          <cell r="C129" t="str">
            <v>UEC</v>
          </cell>
          <cell r="D129" t="str">
            <v>N</v>
          </cell>
          <cell r="E129" t="str">
            <v>C</v>
          </cell>
          <cell r="F129" t="str">
            <v>06/15/1999</v>
          </cell>
        </row>
        <row r="130">
          <cell r="B130" t="str">
            <v>10565</v>
          </cell>
          <cell r="C130" t="str">
            <v>UEC</v>
          </cell>
          <cell r="D130" t="str">
            <v>N</v>
          </cell>
          <cell r="E130" t="str">
            <v>C</v>
          </cell>
          <cell r="F130" t="str">
            <v>06/16/1999</v>
          </cell>
        </row>
        <row r="131">
          <cell r="B131" t="str">
            <v>10572</v>
          </cell>
          <cell r="C131" t="str">
            <v>UEC</v>
          </cell>
          <cell r="D131" t="str">
            <v>N</v>
          </cell>
          <cell r="E131" t="str">
            <v>C</v>
          </cell>
          <cell r="F131" t="str">
            <v>06/22/1999</v>
          </cell>
        </row>
        <row r="132">
          <cell r="B132" t="str">
            <v>10603</v>
          </cell>
          <cell r="C132" t="str">
            <v>UEC</v>
          </cell>
          <cell r="D132" t="str">
            <v>N</v>
          </cell>
          <cell r="E132" t="str">
            <v>C</v>
          </cell>
          <cell r="F132" t="str">
            <v>07/02/1999</v>
          </cell>
        </row>
        <row r="133">
          <cell r="B133" t="str">
            <v>10605</v>
          </cell>
          <cell r="C133" t="str">
            <v>CIP</v>
          </cell>
          <cell r="D133" t="str">
            <v>N</v>
          </cell>
          <cell r="E133" t="str">
            <v>C</v>
          </cell>
          <cell r="F133" t="str">
            <v>07/08/1999</v>
          </cell>
        </row>
        <row r="134">
          <cell r="B134" t="str">
            <v>10628</v>
          </cell>
          <cell r="C134" t="str">
            <v>UEC</v>
          </cell>
          <cell r="D134" t="str">
            <v>N</v>
          </cell>
          <cell r="E134" t="str">
            <v>C</v>
          </cell>
          <cell r="F134" t="str">
            <v>09/21/1999</v>
          </cell>
        </row>
        <row r="135">
          <cell r="B135" t="str">
            <v>10630</v>
          </cell>
          <cell r="C135" t="str">
            <v>UEC</v>
          </cell>
          <cell r="D135" t="str">
            <v>N</v>
          </cell>
          <cell r="E135" t="str">
            <v>C</v>
          </cell>
          <cell r="F135" t="str">
            <v>07/20/1999</v>
          </cell>
        </row>
        <row r="136">
          <cell r="B136" t="str">
            <v>10632</v>
          </cell>
          <cell r="C136" t="str">
            <v>UEC</v>
          </cell>
          <cell r="D136" t="str">
            <v>N</v>
          </cell>
          <cell r="E136" t="str">
            <v>C</v>
          </cell>
          <cell r="F136" t="str">
            <v>08/18/1999</v>
          </cell>
        </row>
        <row r="137">
          <cell r="B137" t="str">
            <v>10634</v>
          </cell>
          <cell r="C137" t="str">
            <v>GEN</v>
          </cell>
          <cell r="D137" t="str">
            <v>N</v>
          </cell>
          <cell r="E137" t="str">
            <v>C</v>
          </cell>
          <cell r="F137" t="str">
            <v>08/20/1999</v>
          </cell>
        </row>
        <row r="138">
          <cell r="B138" t="str">
            <v>10636</v>
          </cell>
          <cell r="C138" t="str">
            <v>GEN</v>
          </cell>
          <cell r="D138" t="str">
            <v>N</v>
          </cell>
          <cell r="E138" t="str">
            <v>C</v>
          </cell>
          <cell r="F138" t="str">
            <v>08/20/1999</v>
          </cell>
        </row>
        <row r="139">
          <cell r="B139" t="str">
            <v>10637</v>
          </cell>
          <cell r="C139" t="str">
            <v>CIP</v>
          </cell>
          <cell r="D139" t="str">
            <v>N</v>
          </cell>
          <cell r="E139" t="str">
            <v>C</v>
          </cell>
          <cell r="F139" t="str">
            <v>07/22/1999</v>
          </cell>
        </row>
        <row r="140">
          <cell r="B140" t="str">
            <v>10638</v>
          </cell>
          <cell r="C140" t="str">
            <v>GEN</v>
          </cell>
          <cell r="D140" t="str">
            <v>N</v>
          </cell>
          <cell r="E140" t="str">
            <v>C</v>
          </cell>
          <cell r="F140" t="str">
            <v>08/20/1999</v>
          </cell>
        </row>
        <row r="141">
          <cell r="B141" t="str">
            <v>10640</v>
          </cell>
          <cell r="C141" t="str">
            <v>GEN</v>
          </cell>
          <cell r="D141" t="str">
            <v>N</v>
          </cell>
          <cell r="E141" t="str">
            <v>C</v>
          </cell>
          <cell r="F141" t="str">
            <v>08/20/1999</v>
          </cell>
        </row>
        <row r="142">
          <cell r="B142" t="str">
            <v>10645</v>
          </cell>
          <cell r="C142" t="str">
            <v>UEC</v>
          </cell>
          <cell r="D142" t="str">
            <v>N</v>
          </cell>
          <cell r="E142" t="str">
            <v>C</v>
          </cell>
          <cell r="F142" t="str">
            <v>09/14/2000</v>
          </cell>
        </row>
        <row r="143">
          <cell r="B143" t="str">
            <v>10654</v>
          </cell>
          <cell r="C143" t="str">
            <v>UEC</v>
          </cell>
          <cell r="D143" t="str">
            <v>N</v>
          </cell>
          <cell r="E143" t="str">
            <v>C</v>
          </cell>
          <cell r="F143" t="str">
            <v>10/28/1999</v>
          </cell>
        </row>
        <row r="144">
          <cell r="B144" t="str">
            <v>10665</v>
          </cell>
          <cell r="C144" t="str">
            <v>UEC</v>
          </cell>
          <cell r="D144" t="str">
            <v>N</v>
          </cell>
          <cell r="E144" t="str">
            <v>C</v>
          </cell>
          <cell r="F144" t="str">
            <v>10/12/1999</v>
          </cell>
        </row>
        <row r="145">
          <cell r="B145" t="str">
            <v>10682</v>
          </cell>
          <cell r="C145" t="str">
            <v>UEC</v>
          </cell>
          <cell r="D145" t="str">
            <v>N</v>
          </cell>
          <cell r="E145" t="str">
            <v>C</v>
          </cell>
          <cell r="F145" t="str">
            <v>11/18/1999</v>
          </cell>
        </row>
        <row r="146">
          <cell r="B146" t="str">
            <v>10685</v>
          </cell>
          <cell r="C146" t="str">
            <v>UEC</v>
          </cell>
          <cell r="D146" t="str">
            <v>N</v>
          </cell>
          <cell r="E146" t="str">
            <v>C</v>
          </cell>
          <cell r="F146" t="str">
            <v>08/26/1999</v>
          </cell>
        </row>
        <row r="147">
          <cell r="B147" t="str">
            <v>10691</v>
          </cell>
          <cell r="C147" t="str">
            <v>AED</v>
          </cell>
          <cell r="D147" t="str">
            <v>N</v>
          </cell>
          <cell r="E147" t="str">
            <v>C</v>
          </cell>
          <cell r="F147" t="str">
            <v>01/30/2001</v>
          </cell>
        </row>
        <row r="148">
          <cell r="B148" t="str">
            <v>10692</v>
          </cell>
          <cell r="C148" t="str">
            <v>UEC</v>
          </cell>
          <cell r="D148" t="str">
            <v>N</v>
          </cell>
          <cell r="E148" t="str">
            <v>C</v>
          </cell>
          <cell r="F148" t="str">
            <v>01/07/2000</v>
          </cell>
        </row>
        <row r="149">
          <cell r="B149" t="str">
            <v>10693</v>
          </cell>
          <cell r="C149" t="str">
            <v>AED</v>
          </cell>
          <cell r="D149" t="str">
            <v>N</v>
          </cell>
          <cell r="E149" t="str">
            <v>C</v>
          </cell>
          <cell r="F149" t="str">
            <v>01/30/2001</v>
          </cell>
        </row>
        <row r="150">
          <cell r="B150" t="str">
            <v>10694</v>
          </cell>
          <cell r="C150" t="str">
            <v>GEN</v>
          </cell>
          <cell r="D150" t="str">
            <v>N</v>
          </cell>
          <cell r="E150" t="str">
            <v>C</v>
          </cell>
          <cell r="F150" t="str">
            <v>01/30/2001</v>
          </cell>
        </row>
        <row r="151">
          <cell r="B151" t="str">
            <v>10695</v>
          </cell>
          <cell r="C151" t="str">
            <v>AED</v>
          </cell>
          <cell r="D151" t="str">
            <v>N</v>
          </cell>
          <cell r="E151" t="str">
            <v>C</v>
          </cell>
          <cell r="F151" t="str">
            <v>01/30/2001</v>
          </cell>
        </row>
        <row r="152">
          <cell r="B152" t="str">
            <v>10697</v>
          </cell>
          <cell r="C152" t="str">
            <v>UEC</v>
          </cell>
          <cell r="D152" t="str">
            <v>N</v>
          </cell>
          <cell r="E152" t="str">
            <v>C</v>
          </cell>
          <cell r="F152" t="str">
            <v>08/31/1999</v>
          </cell>
        </row>
        <row r="153">
          <cell r="B153" t="str">
            <v>10700</v>
          </cell>
          <cell r="C153" t="str">
            <v>UEC</v>
          </cell>
          <cell r="D153" t="str">
            <v>N</v>
          </cell>
          <cell r="E153" t="str">
            <v>A</v>
          </cell>
          <cell r="F153" t="str">
            <v>09/02/1999</v>
          </cell>
        </row>
        <row r="154">
          <cell r="B154" t="str">
            <v>10705</v>
          </cell>
          <cell r="C154" t="str">
            <v>UEC</v>
          </cell>
          <cell r="D154" t="str">
            <v>N</v>
          </cell>
          <cell r="E154" t="str">
            <v>C</v>
          </cell>
          <cell r="F154" t="str">
            <v>09/10/1999</v>
          </cell>
        </row>
        <row r="155">
          <cell r="B155" t="str">
            <v>10710</v>
          </cell>
          <cell r="C155" t="str">
            <v>UEC</v>
          </cell>
          <cell r="D155" t="str">
            <v>N</v>
          </cell>
          <cell r="E155" t="str">
            <v>C</v>
          </cell>
          <cell r="F155" t="str">
            <v>09/13/1999</v>
          </cell>
        </row>
        <row r="156">
          <cell r="B156" t="str">
            <v>10715</v>
          </cell>
          <cell r="C156" t="str">
            <v>UEC</v>
          </cell>
          <cell r="D156" t="str">
            <v>N</v>
          </cell>
          <cell r="E156" t="str">
            <v>C</v>
          </cell>
          <cell r="F156" t="str">
            <v>09/13/1999</v>
          </cell>
        </row>
        <row r="157">
          <cell r="B157" t="str">
            <v>10717</v>
          </cell>
          <cell r="C157" t="str">
            <v>UEC</v>
          </cell>
          <cell r="D157" t="str">
            <v>N</v>
          </cell>
          <cell r="E157" t="str">
            <v>C</v>
          </cell>
          <cell r="F157" t="str">
            <v>09/14/1999</v>
          </cell>
        </row>
        <row r="158">
          <cell r="B158" t="str">
            <v>10745</v>
          </cell>
          <cell r="C158" t="str">
            <v>UEC</v>
          </cell>
          <cell r="D158" t="str">
            <v>N</v>
          </cell>
          <cell r="E158" t="str">
            <v>C</v>
          </cell>
          <cell r="F158" t="str">
            <v>09/30/1999</v>
          </cell>
        </row>
        <row r="159">
          <cell r="B159" t="str">
            <v>10746</v>
          </cell>
          <cell r="C159" t="str">
            <v>CIP</v>
          </cell>
          <cell r="D159" t="str">
            <v>N</v>
          </cell>
          <cell r="E159" t="str">
            <v>C</v>
          </cell>
          <cell r="F159" t="str">
            <v>10/20/1999</v>
          </cell>
        </row>
        <row r="160">
          <cell r="B160" t="str">
            <v>10748</v>
          </cell>
          <cell r="C160"/>
          <cell r="D160"/>
          <cell r="E160"/>
          <cell r="F160"/>
        </row>
        <row r="161">
          <cell r="B161" t="str">
            <v>10752</v>
          </cell>
          <cell r="C161" t="str">
            <v>UEC</v>
          </cell>
          <cell r="D161" t="str">
            <v>N</v>
          </cell>
          <cell r="E161" t="str">
            <v>C</v>
          </cell>
          <cell r="F161" t="str">
            <v>10/21/1999</v>
          </cell>
        </row>
        <row r="162">
          <cell r="B162" t="str">
            <v>10761</v>
          </cell>
          <cell r="C162" t="str">
            <v>UEC</v>
          </cell>
          <cell r="D162" t="str">
            <v>N</v>
          </cell>
          <cell r="E162" t="str">
            <v>C</v>
          </cell>
          <cell r="F162" t="str">
            <v>10/25/1999</v>
          </cell>
        </row>
        <row r="163">
          <cell r="B163" t="str">
            <v>10770</v>
          </cell>
          <cell r="C163" t="str">
            <v>UEC</v>
          </cell>
          <cell r="D163" t="str">
            <v>N</v>
          </cell>
          <cell r="E163" t="str">
            <v>C</v>
          </cell>
          <cell r="F163" t="str">
            <v>10/27/1999</v>
          </cell>
        </row>
        <row r="164">
          <cell r="B164" t="str">
            <v>10771</v>
          </cell>
          <cell r="C164" t="str">
            <v>UEC</v>
          </cell>
          <cell r="D164" t="str">
            <v>N</v>
          </cell>
          <cell r="E164" t="str">
            <v>C</v>
          </cell>
          <cell r="F164" t="str">
            <v>10/28/1999</v>
          </cell>
        </row>
        <row r="165">
          <cell r="B165" t="str">
            <v>10775</v>
          </cell>
          <cell r="C165" t="str">
            <v>UEC</v>
          </cell>
          <cell r="D165" t="str">
            <v>N</v>
          </cell>
          <cell r="E165" t="str">
            <v>C</v>
          </cell>
          <cell r="F165" t="str">
            <v>10/28/1999</v>
          </cell>
        </row>
        <row r="166">
          <cell r="B166" t="str">
            <v>10784</v>
          </cell>
          <cell r="C166" t="str">
            <v>UEC</v>
          </cell>
          <cell r="D166" t="str">
            <v>N</v>
          </cell>
          <cell r="E166" t="str">
            <v>C</v>
          </cell>
          <cell r="F166" t="str">
            <v>02/14/2000</v>
          </cell>
        </row>
        <row r="167">
          <cell r="B167" t="str">
            <v>10788</v>
          </cell>
          <cell r="C167" t="str">
            <v>UEC</v>
          </cell>
          <cell r="D167" t="str">
            <v>N</v>
          </cell>
          <cell r="E167" t="str">
            <v>C</v>
          </cell>
          <cell r="F167" t="str">
            <v>11/15/1999</v>
          </cell>
        </row>
        <row r="168">
          <cell r="B168" t="str">
            <v>10799</v>
          </cell>
          <cell r="C168" t="str">
            <v>CIP</v>
          </cell>
          <cell r="D168" t="str">
            <v>N</v>
          </cell>
          <cell r="E168" t="str">
            <v>C</v>
          </cell>
          <cell r="F168" t="str">
            <v>11/19/1999</v>
          </cell>
        </row>
        <row r="169">
          <cell r="B169" t="str">
            <v>10802</v>
          </cell>
          <cell r="C169" t="str">
            <v>UEC</v>
          </cell>
          <cell r="D169" t="str">
            <v>N</v>
          </cell>
          <cell r="E169" t="str">
            <v>C</v>
          </cell>
          <cell r="F169" t="str">
            <v>06/05/2000</v>
          </cell>
        </row>
        <row r="170">
          <cell r="B170" t="str">
            <v>10803</v>
          </cell>
          <cell r="C170" t="str">
            <v>UEC</v>
          </cell>
          <cell r="D170" t="str">
            <v>N</v>
          </cell>
          <cell r="E170" t="str">
            <v>C</v>
          </cell>
          <cell r="F170" t="str">
            <v>08/19/2002</v>
          </cell>
        </row>
        <row r="171">
          <cell r="B171" t="str">
            <v>10807</v>
          </cell>
          <cell r="C171" t="str">
            <v>UEC</v>
          </cell>
          <cell r="D171" t="str">
            <v>N</v>
          </cell>
          <cell r="E171" t="str">
            <v>C</v>
          </cell>
          <cell r="F171" t="str">
            <v>03/08/2000</v>
          </cell>
        </row>
        <row r="172">
          <cell r="B172" t="str">
            <v>10809</v>
          </cell>
          <cell r="C172" t="str">
            <v>UEC</v>
          </cell>
          <cell r="D172" t="str">
            <v>N</v>
          </cell>
          <cell r="E172" t="str">
            <v>C</v>
          </cell>
          <cell r="F172" t="str">
            <v>03/08/2000</v>
          </cell>
        </row>
        <row r="173">
          <cell r="B173" t="str">
            <v>10810</v>
          </cell>
          <cell r="C173" t="str">
            <v>AEC</v>
          </cell>
          <cell r="D173" t="str">
            <v>N</v>
          </cell>
          <cell r="E173" t="str">
            <v>A</v>
          </cell>
          <cell r="F173" t="str">
            <v>03/08/2000</v>
          </cell>
        </row>
        <row r="174">
          <cell r="B174" t="str">
            <v>10811</v>
          </cell>
          <cell r="C174" t="str">
            <v>UEC</v>
          </cell>
          <cell r="D174" t="str">
            <v>N</v>
          </cell>
          <cell r="E174" t="str">
            <v>A</v>
          </cell>
          <cell r="F174" t="str">
            <v>03/09/2001</v>
          </cell>
        </row>
        <row r="175">
          <cell r="B175" t="str">
            <v>10824</v>
          </cell>
          <cell r="C175" t="str">
            <v>UEC</v>
          </cell>
          <cell r="D175" t="str">
            <v>N</v>
          </cell>
          <cell r="E175" t="str">
            <v>C</v>
          </cell>
          <cell r="F175" t="str">
            <v>11/26/1999</v>
          </cell>
        </row>
        <row r="176">
          <cell r="B176" t="str">
            <v>10825</v>
          </cell>
          <cell r="C176" t="str">
            <v>UEC</v>
          </cell>
          <cell r="D176" t="str">
            <v>N</v>
          </cell>
          <cell r="E176" t="str">
            <v>C</v>
          </cell>
          <cell r="F176" t="str">
            <v>11/26/1999</v>
          </cell>
        </row>
        <row r="177">
          <cell r="B177" t="str">
            <v>10826</v>
          </cell>
          <cell r="C177" t="str">
            <v>UEC</v>
          </cell>
          <cell r="D177" t="str">
            <v>N</v>
          </cell>
          <cell r="E177" t="str">
            <v>C</v>
          </cell>
          <cell r="F177" t="str">
            <v>11/29/1999</v>
          </cell>
        </row>
        <row r="178">
          <cell r="B178" t="str">
            <v>10832</v>
          </cell>
          <cell r="C178" t="str">
            <v>UEC</v>
          </cell>
          <cell r="D178" t="str">
            <v>N</v>
          </cell>
          <cell r="E178" t="str">
            <v>C</v>
          </cell>
          <cell r="F178" t="str">
            <v>03/13/2000</v>
          </cell>
        </row>
        <row r="179">
          <cell r="B179" t="str">
            <v>10841</v>
          </cell>
          <cell r="C179" t="str">
            <v>UEC</v>
          </cell>
          <cell r="D179" t="str">
            <v>N</v>
          </cell>
          <cell r="E179" t="str">
            <v>C</v>
          </cell>
          <cell r="F179" t="str">
            <v>06/06/2000</v>
          </cell>
        </row>
        <row r="180">
          <cell r="B180" t="str">
            <v>10845</v>
          </cell>
          <cell r="C180" t="str">
            <v>GEN</v>
          </cell>
          <cell r="D180" t="str">
            <v>N</v>
          </cell>
          <cell r="E180" t="str">
            <v>C</v>
          </cell>
          <cell r="F180" t="str">
            <v>12/02/1999</v>
          </cell>
        </row>
        <row r="181">
          <cell r="B181" t="str">
            <v>10846</v>
          </cell>
          <cell r="C181" t="str">
            <v>UEC</v>
          </cell>
          <cell r="D181" t="str">
            <v>N</v>
          </cell>
          <cell r="E181" t="str">
            <v>C</v>
          </cell>
          <cell r="F181" t="str">
            <v>12/02/1999</v>
          </cell>
        </row>
        <row r="182">
          <cell r="B182" t="str">
            <v>10847</v>
          </cell>
          <cell r="C182" t="str">
            <v>UEC</v>
          </cell>
          <cell r="D182" t="str">
            <v>N</v>
          </cell>
          <cell r="E182" t="str">
            <v>C</v>
          </cell>
          <cell r="F182" t="str">
            <v>12/02/1999</v>
          </cell>
        </row>
        <row r="183">
          <cell r="B183" t="str">
            <v>10854</v>
          </cell>
          <cell r="C183" t="str">
            <v>UEC</v>
          </cell>
          <cell r="D183" t="str">
            <v>N</v>
          </cell>
          <cell r="E183" t="str">
            <v>A</v>
          </cell>
          <cell r="F183" t="str">
            <v>12/08/1999</v>
          </cell>
        </row>
        <row r="184">
          <cell r="B184" t="str">
            <v>10855</v>
          </cell>
          <cell r="C184" t="str">
            <v>CIP</v>
          </cell>
          <cell r="D184" t="str">
            <v>N</v>
          </cell>
          <cell r="E184" t="str">
            <v>C</v>
          </cell>
          <cell r="F184" t="str">
            <v>12/08/1999</v>
          </cell>
        </row>
        <row r="185">
          <cell r="B185" t="str">
            <v>10859</v>
          </cell>
          <cell r="C185" t="str">
            <v>UEC</v>
          </cell>
          <cell r="D185" t="str">
            <v>N</v>
          </cell>
          <cell r="E185" t="str">
            <v>C</v>
          </cell>
          <cell r="F185" t="str">
            <v>12/14/1999</v>
          </cell>
        </row>
        <row r="186">
          <cell r="B186" t="str">
            <v>10862</v>
          </cell>
          <cell r="C186" t="str">
            <v>UEC</v>
          </cell>
          <cell r="D186" t="str">
            <v>N</v>
          </cell>
          <cell r="E186" t="str">
            <v>C</v>
          </cell>
          <cell r="F186" t="str">
            <v>12/14/1999</v>
          </cell>
        </row>
        <row r="187">
          <cell r="B187" t="str">
            <v>10863</v>
          </cell>
          <cell r="C187" t="str">
            <v>UEC</v>
          </cell>
          <cell r="D187" t="str">
            <v>N</v>
          </cell>
          <cell r="E187" t="str">
            <v>C</v>
          </cell>
          <cell r="F187" t="str">
            <v>03/21/2000</v>
          </cell>
        </row>
        <row r="188">
          <cell r="B188" t="str">
            <v>10865</v>
          </cell>
          <cell r="C188" t="str">
            <v>UEC</v>
          </cell>
          <cell r="D188" t="str">
            <v>N</v>
          </cell>
          <cell r="E188" t="str">
            <v>C</v>
          </cell>
          <cell r="F188" t="str">
            <v>12/14/1999</v>
          </cell>
        </row>
        <row r="189">
          <cell r="B189" t="str">
            <v>10870</v>
          </cell>
          <cell r="C189" t="str">
            <v>UEC</v>
          </cell>
          <cell r="D189" t="str">
            <v>N</v>
          </cell>
          <cell r="E189" t="str">
            <v>A</v>
          </cell>
          <cell r="F189" t="str">
            <v>03/22/2000</v>
          </cell>
        </row>
        <row r="190">
          <cell r="B190" t="str">
            <v>10871</v>
          </cell>
          <cell r="C190" t="str">
            <v>UEC</v>
          </cell>
          <cell r="D190" t="str">
            <v>N</v>
          </cell>
          <cell r="E190" t="str">
            <v>C</v>
          </cell>
          <cell r="F190" t="str">
            <v>03/21/2000</v>
          </cell>
        </row>
        <row r="191">
          <cell r="B191" t="str">
            <v>10874</v>
          </cell>
          <cell r="C191" t="str">
            <v>UEC</v>
          </cell>
          <cell r="D191" t="str">
            <v>N</v>
          </cell>
          <cell r="E191" t="str">
            <v>C</v>
          </cell>
          <cell r="F191" t="str">
            <v>03/24/2000</v>
          </cell>
        </row>
        <row r="192">
          <cell r="B192" t="str">
            <v>10879</v>
          </cell>
          <cell r="C192" t="str">
            <v>UEC</v>
          </cell>
          <cell r="D192" t="str">
            <v>N</v>
          </cell>
          <cell r="E192" t="str">
            <v>C</v>
          </cell>
          <cell r="F192" t="str">
            <v>05/05/2000</v>
          </cell>
        </row>
        <row r="193">
          <cell r="B193" t="str">
            <v>10883</v>
          </cell>
          <cell r="C193" t="str">
            <v>UEC</v>
          </cell>
          <cell r="D193" t="str">
            <v>N</v>
          </cell>
          <cell r="E193" t="str">
            <v>A</v>
          </cell>
          <cell r="F193" t="str">
            <v>03/29/2000</v>
          </cell>
        </row>
        <row r="194">
          <cell r="B194" t="str">
            <v>10885</v>
          </cell>
          <cell r="C194" t="str">
            <v>UEC</v>
          </cell>
          <cell r="D194" t="str">
            <v>N</v>
          </cell>
          <cell r="E194" t="str">
            <v>C</v>
          </cell>
          <cell r="F194" t="str">
            <v>03/29/2000</v>
          </cell>
        </row>
        <row r="195">
          <cell r="B195" t="str">
            <v>10887</v>
          </cell>
          <cell r="C195" t="str">
            <v>UEC</v>
          </cell>
          <cell r="D195" t="str">
            <v>N</v>
          </cell>
          <cell r="E195" t="str">
            <v>C</v>
          </cell>
          <cell r="F195" t="str">
            <v>12/27/1999</v>
          </cell>
        </row>
        <row r="196">
          <cell r="B196" t="str">
            <v>10888</v>
          </cell>
          <cell r="C196" t="str">
            <v>UEC</v>
          </cell>
          <cell r="D196" t="str">
            <v>N</v>
          </cell>
          <cell r="E196" t="str">
            <v>C</v>
          </cell>
          <cell r="F196" t="str">
            <v>01/30/2001</v>
          </cell>
        </row>
        <row r="197">
          <cell r="B197" t="str">
            <v>10890</v>
          </cell>
          <cell r="C197" t="str">
            <v>UEC</v>
          </cell>
          <cell r="D197" t="str">
            <v>N</v>
          </cell>
          <cell r="E197" t="str">
            <v>C</v>
          </cell>
          <cell r="F197" t="str">
            <v>12/29/1999</v>
          </cell>
        </row>
        <row r="198">
          <cell r="B198" t="str">
            <v>10892</v>
          </cell>
          <cell r="C198" t="str">
            <v>GEN</v>
          </cell>
          <cell r="D198" t="str">
            <v>N</v>
          </cell>
          <cell r="E198" t="str">
            <v>C</v>
          </cell>
          <cell r="F198" t="str">
            <v>01/03/2000</v>
          </cell>
        </row>
        <row r="199">
          <cell r="B199" t="str">
            <v>10895</v>
          </cell>
          <cell r="C199" t="str">
            <v>UEC</v>
          </cell>
          <cell r="D199" t="str">
            <v>N</v>
          </cell>
          <cell r="E199" t="str">
            <v>A</v>
          </cell>
          <cell r="F199" t="str">
            <v>01/04/2000</v>
          </cell>
        </row>
        <row r="200">
          <cell r="B200" t="str">
            <v>10896</v>
          </cell>
          <cell r="C200" t="str">
            <v>UEC</v>
          </cell>
          <cell r="D200" t="str">
            <v>N</v>
          </cell>
          <cell r="E200" t="str">
            <v>C</v>
          </cell>
          <cell r="F200" t="str">
            <v>01/04/2000</v>
          </cell>
        </row>
        <row r="201">
          <cell r="B201" t="str">
            <v>10898</v>
          </cell>
          <cell r="C201" t="str">
            <v>UEC</v>
          </cell>
          <cell r="D201" t="str">
            <v>N</v>
          </cell>
          <cell r="E201" t="str">
            <v>C</v>
          </cell>
          <cell r="F201" t="str">
            <v>01/05/2000</v>
          </cell>
        </row>
        <row r="202">
          <cell r="B202" t="str">
            <v>10901</v>
          </cell>
          <cell r="C202" t="str">
            <v>UEC</v>
          </cell>
          <cell r="D202" t="str">
            <v>N</v>
          </cell>
          <cell r="E202" t="str">
            <v>C</v>
          </cell>
          <cell r="F202" t="str">
            <v>01/06/2000</v>
          </cell>
        </row>
        <row r="203">
          <cell r="B203" t="str">
            <v>10902</v>
          </cell>
          <cell r="C203" t="str">
            <v>UEC</v>
          </cell>
          <cell r="D203" t="str">
            <v>N</v>
          </cell>
          <cell r="E203" t="str">
            <v>C</v>
          </cell>
          <cell r="F203" t="str">
            <v>01/06/2000</v>
          </cell>
        </row>
        <row r="204">
          <cell r="B204" t="str">
            <v>10909</v>
          </cell>
          <cell r="C204" t="str">
            <v>UEC</v>
          </cell>
          <cell r="D204" t="str">
            <v>N</v>
          </cell>
          <cell r="E204" t="str">
            <v>C</v>
          </cell>
          <cell r="F204" t="str">
            <v>01/07/2000</v>
          </cell>
        </row>
        <row r="205">
          <cell r="B205" t="str">
            <v>10912</v>
          </cell>
          <cell r="C205" t="str">
            <v>CIP</v>
          </cell>
          <cell r="D205" t="str">
            <v>N</v>
          </cell>
          <cell r="E205" t="str">
            <v>C</v>
          </cell>
          <cell r="F205" t="str">
            <v>01/10/2000</v>
          </cell>
        </row>
        <row r="206">
          <cell r="B206" t="str">
            <v>10916</v>
          </cell>
          <cell r="C206" t="str">
            <v>CIP</v>
          </cell>
          <cell r="D206" t="str">
            <v>N</v>
          </cell>
          <cell r="E206" t="str">
            <v>C</v>
          </cell>
          <cell r="F206" t="str">
            <v>01/11/2000</v>
          </cell>
        </row>
        <row r="207">
          <cell r="B207" t="str">
            <v>10924</v>
          </cell>
          <cell r="C207" t="str">
            <v>UEC</v>
          </cell>
          <cell r="D207" t="str">
            <v>N</v>
          </cell>
          <cell r="E207" t="str">
            <v>C</v>
          </cell>
          <cell r="F207" t="str">
            <v>01/13/2000</v>
          </cell>
        </row>
        <row r="208">
          <cell r="B208" t="str">
            <v>10930</v>
          </cell>
          <cell r="C208" t="str">
            <v>UEC</v>
          </cell>
          <cell r="D208" t="str">
            <v>N</v>
          </cell>
          <cell r="E208" t="str">
            <v>C</v>
          </cell>
          <cell r="F208" t="str">
            <v>01/19/2000</v>
          </cell>
        </row>
        <row r="209">
          <cell r="B209" t="str">
            <v>10935</v>
          </cell>
          <cell r="C209" t="str">
            <v>UEC</v>
          </cell>
          <cell r="D209" t="str">
            <v>N</v>
          </cell>
          <cell r="E209" t="str">
            <v>C</v>
          </cell>
          <cell r="F209" t="str">
            <v>01/20/2000</v>
          </cell>
        </row>
        <row r="210">
          <cell r="B210" t="str">
            <v>10941</v>
          </cell>
          <cell r="C210" t="str">
            <v>GEN</v>
          </cell>
          <cell r="D210" t="str">
            <v>N</v>
          </cell>
          <cell r="E210" t="str">
            <v>C</v>
          </cell>
          <cell r="F210" t="str">
            <v>01/26/2000</v>
          </cell>
        </row>
        <row r="211">
          <cell r="B211" t="str">
            <v>10942</v>
          </cell>
          <cell r="C211" t="str">
            <v>GEN</v>
          </cell>
          <cell r="D211" t="str">
            <v>N</v>
          </cell>
          <cell r="E211" t="str">
            <v>C</v>
          </cell>
          <cell r="F211" t="str">
            <v>01/26/2000</v>
          </cell>
        </row>
        <row r="212">
          <cell r="B212" t="str">
            <v>10943</v>
          </cell>
          <cell r="C212" t="str">
            <v>UEC</v>
          </cell>
          <cell r="D212" t="str">
            <v>N</v>
          </cell>
          <cell r="E212" t="str">
            <v>A</v>
          </cell>
          <cell r="F212" t="str">
            <v>01/26/2000</v>
          </cell>
        </row>
        <row r="213">
          <cell r="B213" t="str">
            <v>10944</v>
          </cell>
          <cell r="C213" t="str">
            <v>UEC</v>
          </cell>
          <cell r="D213" t="str">
            <v>N</v>
          </cell>
          <cell r="E213" t="str">
            <v>A</v>
          </cell>
          <cell r="F213" t="str">
            <v>01/26/2000</v>
          </cell>
        </row>
        <row r="214">
          <cell r="B214" t="str">
            <v>10945</v>
          </cell>
          <cell r="C214" t="str">
            <v>UEC</v>
          </cell>
          <cell r="D214" t="str">
            <v>N</v>
          </cell>
          <cell r="E214" t="str">
            <v>A</v>
          </cell>
          <cell r="F214" t="str">
            <v>01/26/2000</v>
          </cell>
        </row>
        <row r="215">
          <cell r="B215" t="str">
            <v>10946</v>
          </cell>
          <cell r="C215" t="str">
            <v>UEC</v>
          </cell>
          <cell r="D215" t="str">
            <v>N</v>
          </cell>
          <cell r="E215" t="str">
            <v>A</v>
          </cell>
          <cell r="F215" t="str">
            <v>01/26/2000</v>
          </cell>
        </row>
        <row r="216">
          <cell r="B216" t="str">
            <v>10947</v>
          </cell>
          <cell r="C216" t="str">
            <v>CIP</v>
          </cell>
          <cell r="D216" t="str">
            <v>N</v>
          </cell>
          <cell r="E216" t="str">
            <v>C</v>
          </cell>
          <cell r="F216" t="str">
            <v>01/26/2000</v>
          </cell>
        </row>
        <row r="217">
          <cell r="B217" t="str">
            <v>10951</v>
          </cell>
          <cell r="C217" t="str">
            <v>UEC</v>
          </cell>
          <cell r="D217" t="str">
            <v>N</v>
          </cell>
          <cell r="E217" t="str">
            <v>C</v>
          </cell>
          <cell r="F217" t="str">
            <v>01/31/2000</v>
          </cell>
        </row>
        <row r="218">
          <cell r="B218" t="str">
            <v>10954</v>
          </cell>
          <cell r="C218" t="str">
            <v>UEC</v>
          </cell>
          <cell r="D218" t="str">
            <v>N</v>
          </cell>
          <cell r="E218" t="str">
            <v>C</v>
          </cell>
          <cell r="F218" t="str">
            <v>02/01/2000</v>
          </cell>
        </row>
        <row r="219">
          <cell r="B219" t="str">
            <v>10955</v>
          </cell>
          <cell r="C219" t="str">
            <v>UEC</v>
          </cell>
          <cell r="D219" t="str">
            <v>N</v>
          </cell>
          <cell r="E219" t="str">
            <v>C</v>
          </cell>
          <cell r="F219" t="str">
            <v>02/01/2000</v>
          </cell>
        </row>
        <row r="220">
          <cell r="B220" t="str">
            <v>10960</v>
          </cell>
          <cell r="C220" t="str">
            <v>UEC</v>
          </cell>
          <cell r="D220" t="str">
            <v>N</v>
          </cell>
          <cell r="E220" t="str">
            <v>C</v>
          </cell>
          <cell r="F220" t="str">
            <v>02/07/2000</v>
          </cell>
        </row>
        <row r="221">
          <cell r="B221" t="str">
            <v>10966</v>
          </cell>
          <cell r="C221" t="str">
            <v>UEC</v>
          </cell>
          <cell r="D221" t="str">
            <v>N</v>
          </cell>
          <cell r="E221" t="str">
            <v>C</v>
          </cell>
          <cell r="F221" t="str">
            <v>02/08/2000</v>
          </cell>
        </row>
        <row r="222">
          <cell r="B222" t="str">
            <v>10967</v>
          </cell>
          <cell r="C222" t="str">
            <v>CIP</v>
          </cell>
          <cell r="D222" t="str">
            <v>N</v>
          </cell>
          <cell r="E222" t="str">
            <v>C</v>
          </cell>
          <cell r="F222" t="str">
            <v>02/08/2000</v>
          </cell>
        </row>
        <row r="223">
          <cell r="B223" t="str">
            <v>10968</v>
          </cell>
          <cell r="C223" t="str">
            <v>CIP</v>
          </cell>
          <cell r="D223" t="str">
            <v>N</v>
          </cell>
          <cell r="E223" t="str">
            <v>C</v>
          </cell>
          <cell r="F223" t="str">
            <v>04/04/2000</v>
          </cell>
        </row>
        <row r="224">
          <cell r="B224" t="str">
            <v>10969</v>
          </cell>
          <cell r="C224" t="str">
            <v>UEC</v>
          </cell>
          <cell r="D224" t="str">
            <v>N</v>
          </cell>
          <cell r="E224" t="str">
            <v>C</v>
          </cell>
          <cell r="F224" t="str">
            <v>02/09/2000</v>
          </cell>
        </row>
        <row r="225">
          <cell r="B225" t="str">
            <v>10970</v>
          </cell>
          <cell r="C225" t="str">
            <v>GEN</v>
          </cell>
          <cell r="D225" t="str">
            <v>N</v>
          </cell>
          <cell r="E225" t="str">
            <v>C</v>
          </cell>
          <cell r="F225" t="str">
            <v>02/10/2000</v>
          </cell>
        </row>
        <row r="226">
          <cell r="B226" t="str">
            <v>10971</v>
          </cell>
          <cell r="C226" t="str">
            <v>GEN</v>
          </cell>
          <cell r="D226" t="str">
            <v>N</v>
          </cell>
          <cell r="E226" t="str">
            <v>C</v>
          </cell>
          <cell r="F226" t="str">
            <v>02/10/2000</v>
          </cell>
        </row>
        <row r="227">
          <cell r="B227" t="str">
            <v>10972</v>
          </cell>
          <cell r="C227" t="str">
            <v>UEC</v>
          </cell>
          <cell r="D227" t="str">
            <v>N</v>
          </cell>
          <cell r="E227" t="str">
            <v>C</v>
          </cell>
          <cell r="F227" t="str">
            <v>02/11/2000</v>
          </cell>
        </row>
        <row r="228">
          <cell r="B228" t="str">
            <v>10973</v>
          </cell>
          <cell r="C228" t="str">
            <v>UEC</v>
          </cell>
          <cell r="D228" t="str">
            <v>N</v>
          </cell>
          <cell r="E228" t="str">
            <v>C</v>
          </cell>
          <cell r="F228" t="str">
            <v>02/11/2000</v>
          </cell>
        </row>
        <row r="229">
          <cell r="B229" t="str">
            <v>10975</v>
          </cell>
          <cell r="C229" t="str">
            <v>UEC</v>
          </cell>
          <cell r="D229" t="str">
            <v>N</v>
          </cell>
          <cell r="E229" t="str">
            <v>C</v>
          </cell>
          <cell r="F229" t="str">
            <v>02/14/2000</v>
          </cell>
        </row>
        <row r="230">
          <cell r="B230" t="str">
            <v>10976</v>
          </cell>
          <cell r="C230" t="str">
            <v>GEN</v>
          </cell>
          <cell r="D230" t="str">
            <v>N</v>
          </cell>
          <cell r="E230" t="str">
            <v>C</v>
          </cell>
          <cell r="F230" t="str">
            <v>01/30/2001</v>
          </cell>
        </row>
        <row r="231">
          <cell r="B231" t="str">
            <v>10985</v>
          </cell>
          <cell r="C231" t="str">
            <v>GEN</v>
          </cell>
          <cell r="D231" t="str">
            <v>N</v>
          </cell>
          <cell r="E231" t="str">
            <v>A</v>
          </cell>
          <cell r="F231" t="str">
            <v>02/17/2000</v>
          </cell>
        </row>
        <row r="232">
          <cell r="B232" t="str">
            <v>10989</v>
          </cell>
          <cell r="C232" t="str">
            <v>UEC</v>
          </cell>
          <cell r="D232" t="str">
            <v>N</v>
          </cell>
          <cell r="E232" t="str">
            <v>C</v>
          </cell>
          <cell r="F232" t="str">
            <v>02/18/2000</v>
          </cell>
        </row>
        <row r="233">
          <cell r="B233" t="str">
            <v>10990</v>
          </cell>
          <cell r="C233" t="str">
            <v>UEC</v>
          </cell>
          <cell r="D233" t="str">
            <v>N</v>
          </cell>
          <cell r="E233" t="str">
            <v>C</v>
          </cell>
          <cell r="F233" t="str">
            <v>04/04/2000</v>
          </cell>
        </row>
        <row r="234">
          <cell r="B234" t="str">
            <v>10992</v>
          </cell>
          <cell r="C234" t="str">
            <v>UEC</v>
          </cell>
          <cell r="D234" t="str">
            <v>N</v>
          </cell>
          <cell r="E234" t="str">
            <v>C</v>
          </cell>
          <cell r="F234" t="str">
            <v>02/22/2000</v>
          </cell>
        </row>
        <row r="235">
          <cell r="B235" t="str">
            <v>10996</v>
          </cell>
          <cell r="C235"/>
          <cell r="D235"/>
          <cell r="E235"/>
          <cell r="F235"/>
        </row>
        <row r="236">
          <cell r="B236" t="str">
            <v>10997</v>
          </cell>
          <cell r="C236" t="str">
            <v>UEC</v>
          </cell>
          <cell r="D236" t="str">
            <v>N</v>
          </cell>
          <cell r="E236" t="str">
            <v>A</v>
          </cell>
          <cell r="F236" t="str">
            <v>02/23/2000</v>
          </cell>
        </row>
        <row r="237">
          <cell r="B237" t="str">
            <v>10999</v>
          </cell>
          <cell r="C237" t="str">
            <v>CIP</v>
          </cell>
          <cell r="D237" t="str">
            <v>N</v>
          </cell>
          <cell r="E237" t="str">
            <v>C</v>
          </cell>
          <cell r="F237" t="str">
            <v>02/23/2000</v>
          </cell>
        </row>
        <row r="238">
          <cell r="B238" t="str">
            <v>11000</v>
          </cell>
          <cell r="C238" t="str">
            <v>UEC</v>
          </cell>
          <cell r="D238" t="str">
            <v>N</v>
          </cell>
          <cell r="E238" t="str">
            <v>C</v>
          </cell>
          <cell r="F238" t="str">
            <v>02/23/2000</v>
          </cell>
        </row>
        <row r="239">
          <cell r="B239" t="str">
            <v>11005</v>
          </cell>
          <cell r="C239" t="str">
            <v>UEC</v>
          </cell>
          <cell r="D239" t="str">
            <v>N</v>
          </cell>
          <cell r="E239" t="str">
            <v>C</v>
          </cell>
          <cell r="F239" t="str">
            <v>10/02/2000</v>
          </cell>
        </row>
        <row r="240">
          <cell r="B240" t="str">
            <v>11007</v>
          </cell>
          <cell r="C240" t="str">
            <v>UEC</v>
          </cell>
          <cell r="D240" t="str">
            <v>N</v>
          </cell>
          <cell r="E240" t="str">
            <v>A</v>
          </cell>
          <cell r="F240" t="str">
            <v>02/28/2000</v>
          </cell>
        </row>
        <row r="241">
          <cell r="B241" t="str">
            <v>11014</v>
          </cell>
          <cell r="C241" t="str">
            <v>UEC</v>
          </cell>
          <cell r="D241" t="str">
            <v>N</v>
          </cell>
          <cell r="E241" t="str">
            <v>C</v>
          </cell>
          <cell r="F241" t="str">
            <v>04/07/2000</v>
          </cell>
        </row>
        <row r="242">
          <cell r="B242" t="str">
            <v>11025</v>
          </cell>
          <cell r="C242" t="str">
            <v>UEC</v>
          </cell>
          <cell r="D242" t="str">
            <v>N</v>
          </cell>
          <cell r="E242" t="str">
            <v>C</v>
          </cell>
          <cell r="F242" t="str">
            <v>04/13/2000</v>
          </cell>
        </row>
        <row r="243">
          <cell r="B243" t="str">
            <v>11026</v>
          </cell>
          <cell r="C243" t="str">
            <v>GEN</v>
          </cell>
          <cell r="D243" t="str">
            <v>N</v>
          </cell>
          <cell r="E243" t="str">
            <v>C</v>
          </cell>
          <cell r="F243" t="str">
            <v>04/13/2000</v>
          </cell>
        </row>
        <row r="244">
          <cell r="B244" t="str">
            <v>11033</v>
          </cell>
          <cell r="C244" t="str">
            <v>GEN</v>
          </cell>
          <cell r="D244" t="str">
            <v>N</v>
          </cell>
          <cell r="E244" t="str">
            <v>C</v>
          </cell>
          <cell r="F244" t="str">
            <v>04/17/2000</v>
          </cell>
        </row>
        <row r="245">
          <cell r="B245" t="str">
            <v>11035</v>
          </cell>
          <cell r="C245" t="str">
            <v>UEC</v>
          </cell>
          <cell r="D245" t="str">
            <v>N</v>
          </cell>
          <cell r="E245" t="str">
            <v>C</v>
          </cell>
          <cell r="F245" t="str">
            <v>04/18/2000</v>
          </cell>
        </row>
        <row r="246">
          <cell r="B246" t="str">
            <v>11038</v>
          </cell>
          <cell r="C246" t="str">
            <v>UEC</v>
          </cell>
          <cell r="D246" t="str">
            <v>N</v>
          </cell>
          <cell r="E246" t="str">
            <v>C</v>
          </cell>
          <cell r="F246" t="str">
            <v>04/24/2000</v>
          </cell>
        </row>
        <row r="247">
          <cell r="B247" t="str">
            <v>11047</v>
          </cell>
          <cell r="C247" t="str">
            <v>UEC</v>
          </cell>
          <cell r="D247" t="str">
            <v>N</v>
          </cell>
          <cell r="E247" t="str">
            <v>C</v>
          </cell>
          <cell r="F247" t="str">
            <v>04/25/2000</v>
          </cell>
        </row>
        <row r="248">
          <cell r="B248" t="str">
            <v>11055</v>
          </cell>
          <cell r="C248" t="str">
            <v>UEC</v>
          </cell>
          <cell r="D248" t="str">
            <v>N</v>
          </cell>
          <cell r="E248" t="str">
            <v>C</v>
          </cell>
          <cell r="F248" t="str">
            <v>04/28/2000</v>
          </cell>
        </row>
        <row r="249">
          <cell r="B249" t="str">
            <v>11057</v>
          </cell>
          <cell r="C249" t="str">
            <v>UEC</v>
          </cell>
          <cell r="D249" t="str">
            <v>N</v>
          </cell>
          <cell r="E249" t="str">
            <v>C</v>
          </cell>
          <cell r="F249" t="str">
            <v>05/19/2000</v>
          </cell>
        </row>
        <row r="250">
          <cell r="B250" t="str">
            <v>11060</v>
          </cell>
          <cell r="C250" t="str">
            <v>UEC</v>
          </cell>
          <cell r="D250" t="str">
            <v>N</v>
          </cell>
          <cell r="E250" t="str">
            <v>A</v>
          </cell>
          <cell r="F250" t="str">
            <v>10/02/2000</v>
          </cell>
        </row>
        <row r="251">
          <cell r="B251" t="str">
            <v>11063</v>
          </cell>
          <cell r="C251" t="str">
            <v>UEC</v>
          </cell>
          <cell r="D251" t="str">
            <v>N</v>
          </cell>
          <cell r="E251" t="str">
            <v>I</v>
          </cell>
          <cell r="F251" t="str">
            <v>05/24/2000</v>
          </cell>
        </row>
        <row r="252">
          <cell r="B252" t="str">
            <v>11068</v>
          </cell>
          <cell r="C252" t="str">
            <v>UEC</v>
          </cell>
          <cell r="D252" t="str">
            <v>N</v>
          </cell>
          <cell r="E252" t="str">
            <v>C</v>
          </cell>
          <cell r="F252" t="str">
            <v>05/26/2000</v>
          </cell>
        </row>
        <row r="253">
          <cell r="B253" t="str">
            <v>11073</v>
          </cell>
          <cell r="C253" t="str">
            <v>UEC</v>
          </cell>
          <cell r="D253" t="str">
            <v>N</v>
          </cell>
          <cell r="E253" t="str">
            <v>C</v>
          </cell>
          <cell r="F253" t="str">
            <v>05/31/2000</v>
          </cell>
        </row>
        <row r="254">
          <cell r="B254" t="str">
            <v>11074</v>
          </cell>
          <cell r="C254" t="str">
            <v>UEC</v>
          </cell>
          <cell r="D254" t="str">
            <v>N</v>
          </cell>
          <cell r="E254" t="str">
            <v>C</v>
          </cell>
          <cell r="F254" t="str">
            <v>05/31/2000</v>
          </cell>
        </row>
        <row r="255">
          <cell r="B255" t="str">
            <v>11075</v>
          </cell>
          <cell r="C255" t="str">
            <v>GEN</v>
          </cell>
          <cell r="D255" t="str">
            <v>N</v>
          </cell>
          <cell r="E255" t="str">
            <v>C</v>
          </cell>
          <cell r="F255" t="str">
            <v>06/01/2000</v>
          </cell>
        </row>
        <row r="256">
          <cell r="B256" t="str">
            <v>11080</v>
          </cell>
          <cell r="C256" t="str">
            <v>UEC</v>
          </cell>
          <cell r="D256" t="str">
            <v>N</v>
          </cell>
          <cell r="E256" t="str">
            <v>C</v>
          </cell>
          <cell r="F256" t="str">
            <v>06/12/2000</v>
          </cell>
        </row>
        <row r="257">
          <cell r="B257" t="str">
            <v>11084</v>
          </cell>
          <cell r="C257" t="str">
            <v>UEC</v>
          </cell>
          <cell r="D257" t="str">
            <v>N</v>
          </cell>
          <cell r="E257" t="str">
            <v>C</v>
          </cell>
          <cell r="F257" t="str">
            <v>06/12/2000</v>
          </cell>
        </row>
        <row r="258">
          <cell r="B258" t="str">
            <v>11099</v>
          </cell>
          <cell r="C258" t="str">
            <v>UEC</v>
          </cell>
          <cell r="D258" t="str">
            <v>N</v>
          </cell>
          <cell r="E258" t="str">
            <v>C</v>
          </cell>
          <cell r="F258" t="str">
            <v>08/07/2000</v>
          </cell>
        </row>
        <row r="259">
          <cell r="B259" t="str">
            <v>11107</v>
          </cell>
          <cell r="C259" t="str">
            <v>UEC</v>
          </cell>
          <cell r="D259" t="str">
            <v>N</v>
          </cell>
          <cell r="E259" t="str">
            <v>A</v>
          </cell>
          <cell r="F259" t="str">
            <v>06/19/2000</v>
          </cell>
        </row>
        <row r="260">
          <cell r="B260" t="str">
            <v>11108</v>
          </cell>
          <cell r="C260" t="str">
            <v>UEC</v>
          </cell>
          <cell r="D260" t="str">
            <v>N</v>
          </cell>
          <cell r="E260" t="str">
            <v>C</v>
          </cell>
          <cell r="F260" t="str">
            <v>06/19/2000</v>
          </cell>
        </row>
        <row r="261">
          <cell r="B261" t="str">
            <v>11109</v>
          </cell>
          <cell r="C261" t="str">
            <v>UEC</v>
          </cell>
          <cell r="D261" t="str">
            <v>N</v>
          </cell>
          <cell r="E261" t="str">
            <v>A</v>
          </cell>
          <cell r="F261" t="str">
            <v>06/19/2000</v>
          </cell>
        </row>
        <row r="262">
          <cell r="B262" t="str">
            <v>11112</v>
          </cell>
          <cell r="C262" t="str">
            <v>UEC</v>
          </cell>
          <cell r="D262" t="str">
            <v>N</v>
          </cell>
          <cell r="E262" t="str">
            <v>C</v>
          </cell>
          <cell r="F262" t="str">
            <v>03/13/2001</v>
          </cell>
        </row>
        <row r="263">
          <cell r="B263" t="str">
            <v>11117</v>
          </cell>
          <cell r="C263" t="str">
            <v>CIP</v>
          </cell>
          <cell r="D263" t="str">
            <v>N</v>
          </cell>
          <cell r="E263" t="str">
            <v>C</v>
          </cell>
          <cell r="F263" t="str">
            <v>06/22/2000</v>
          </cell>
        </row>
        <row r="264">
          <cell r="B264" t="str">
            <v>11126</v>
          </cell>
          <cell r="C264" t="str">
            <v>UEC</v>
          </cell>
          <cell r="D264" t="str">
            <v>N</v>
          </cell>
          <cell r="E264" t="str">
            <v>C</v>
          </cell>
          <cell r="F264" t="str">
            <v>06/29/2000</v>
          </cell>
        </row>
        <row r="265">
          <cell r="B265" t="str">
            <v>11127</v>
          </cell>
          <cell r="C265" t="str">
            <v>UEC</v>
          </cell>
          <cell r="D265" t="str">
            <v>N</v>
          </cell>
          <cell r="E265" t="str">
            <v>C</v>
          </cell>
          <cell r="F265" t="str">
            <v>06/29/2000</v>
          </cell>
        </row>
        <row r="266">
          <cell r="B266" t="str">
            <v>11128</v>
          </cell>
          <cell r="C266" t="str">
            <v>UEC</v>
          </cell>
          <cell r="D266" t="str">
            <v>N</v>
          </cell>
          <cell r="E266" t="str">
            <v>C</v>
          </cell>
          <cell r="F266" t="str">
            <v>06/30/2000</v>
          </cell>
        </row>
        <row r="267">
          <cell r="B267" t="str">
            <v>11129</v>
          </cell>
          <cell r="C267" t="str">
            <v>UEC</v>
          </cell>
          <cell r="D267" t="str">
            <v>N</v>
          </cell>
          <cell r="E267" t="str">
            <v>C</v>
          </cell>
          <cell r="F267" t="str">
            <v>07/05/2000</v>
          </cell>
        </row>
        <row r="268">
          <cell r="B268" t="str">
            <v>11130</v>
          </cell>
          <cell r="C268" t="str">
            <v>CIP</v>
          </cell>
          <cell r="D268" t="str">
            <v>N</v>
          </cell>
          <cell r="E268" t="str">
            <v>C</v>
          </cell>
          <cell r="F268" t="str">
            <v>07/05/2000</v>
          </cell>
        </row>
        <row r="269">
          <cell r="B269" t="str">
            <v>11131</v>
          </cell>
          <cell r="C269" t="str">
            <v>GEN</v>
          </cell>
          <cell r="D269" t="str">
            <v>N</v>
          </cell>
          <cell r="E269" t="str">
            <v>C</v>
          </cell>
          <cell r="F269" t="str">
            <v>07/05/2000</v>
          </cell>
        </row>
        <row r="270">
          <cell r="B270" t="str">
            <v>11135</v>
          </cell>
          <cell r="C270" t="str">
            <v>GEN</v>
          </cell>
          <cell r="D270" t="str">
            <v>N</v>
          </cell>
          <cell r="E270" t="str">
            <v>C</v>
          </cell>
          <cell r="F270" t="str">
            <v>07/05/2000</v>
          </cell>
        </row>
        <row r="271">
          <cell r="B271" t="str">
            <v>11136</v>
          </cell>
          <cell r="C271" t="str">
            <v>GEN</v>
          </cell>
          <cell r="D271" t="str">
            <v>N</v>
          </cell>
          <cell r="E271" t="str">
            <v>C</v>
          </cell>
          <cell r="F271" t="str">
            <v>07/05/2000</v>
          </cell>
        </row>
        <row r="272">
          <cell r="B272" t="str">
            <v>11137</v>
          </cell>
          <cell r="C272" t="str">
            <v>GEN</v>
          </cell>
          <cell r="D272" t="str">
            <v>N</v>
          </cell>
          <cell r="E272" t="str">
            <v>C</v>
          </cell>
          <cell r="F272" t="str">
            <v>07/05/2000</v>
          </cell>
        </row>
        <row r="273">
          <cell r="B273" t="str">
            <v>11138</v>
          </cell>
          <cell r="C273" t="str">
            <v>GEN</v>
          </cell>
          <cell r="D273" t="str">
            <v>N</v>
          </cell>
          <cell r="E273" t="str">
            <v>C</v>
          </cell>
          <cell r="F273" t="str">
            <v>07/05/2000</v>
          </cell>
        </row>
        <row r="274">
          <cell r="B274" t="str">
            <v>11142</v>
          </cell>
          <cell r="C274" t="str">
            <v>UEC</v>
          </cell>
          <cell r="D274" t="str">
            <v>N</v>
          </cell>
          <cell r="E274" t="str">
            <v>C</v>
          </cell>
          <cell r="F274" t="str">
            <v>07/06/2000</v>
          </cell>
        </row>
        <row r="275">
          <cell r="B275" t="str">
            <v>11143</v>
          </cell>
          <cell r="C275" t="str">
            <v>UEC</v>
          </cell>
          <cell r="D275" t="str">
            <v>N</v>
          </cell>
          <cell r="E275" t="str">
            <v>C</v>
          </cell>
          <cell r="F275" t="str">
            <v>08/08/2000</v>
          </cell>
        </row>
        <row r="276">
          <cell r="B276" t="str">
            <v>11144</v>
          </cell>
          <cell r="C276" t="str">
            <v>UEC</v>
          </cell>
          <cell r="D276" t="str">
            <v>N</v>
          </cell>
          <cell r="E276" t="str">
            <v>C</v>
          </cell>
          <cell r="F276" t="str">
            <v>08/08/2000</v>
          </cell>
        </row>
        <row r="277">
          <cell r="B277" t="str">
            <v>11150</v>
          </cell>
          <cell r="C277" t="str">
            <v>CIP</v>
          </cell>
          <cell r="D277" t="str">
            <v>N</v>
          </cell>
          <cell r="E277" t="str">
            <v>C</v>
          </cell>
          <cell r="F277" t="str">
            <v>11/08/2000</v>
          </cell>
        </row>
        <row r="278">
          <cell r="B278" t="str">
            <v>11152</v>
          </cell>
          <cell r="C278" t="str">
            <v>UEC</v>
          </cell>
          <cell r="D278" t="str">
            <v>N</v>
          </cell>
          <cell r="E278" t="str">
            <v>I</v>
          </cell>
          <cell r="F278" t="str">
            <v>08/01/2002</v>
          </cell>
        </row>
        <row r="279">
          <cell r="B279" t="str">
            <v>11159</v>
          </cell>
          <cell r="C279" t="str">
            <v>CIP</v>
          </cell>
          <cell r="D279" t="str">
            <v>N</v>
          </cell>
          <cell r="E279" t="str">
            <v>A</v>
          </cell>
          <cell r="F279" t="str">
            <v>11/08/2000</v>
          </cell>
        </row>
        <row r="280">
          <cell r="B280" t="str">
            <v>11166</v>
          </cell>
          <cell r="C280" t="str">
            <v>UEC</v>
          </cell>
          <cell r="D280" t="str">
            <v>N</v>
          </cell>
          <cell r="E280" t="str">
            <v>A</v>
          </cell>
          <cell r="F280" t="str">
            <v>08/05/2002</v>
          </cell>
        </row>
        <row r="281">
          <cell r="B281" t="str">
            <v>11167</v>
          </cell>
          <cell r="C281" t="str">
            <v>UEC</v>
          </cell>
          <cell r="D281" t="str">
            <v>N</v>
          </cell>
          <cell r="E281" t="str">
            <v>C</v>
          </cell>
          <cell r="F281" t="str">
            <v>10/16/2000</v>
          </cell>
        </row>
        <row r="282">
          <cell r="B282" t="str">
            <v>11179</v>
          </cell>
          <cell r="C282" t="str">
            <v>CIP</v>
          </cell>
          <cell r="D282" t="str">
            <v>N</v>
          </cell>
          <cell r="E282" t="str">
            <v>C</v>
          </cell>
          <cell r="F282" t="str">
            <v>11/20/2000</v>
          </cell>
        </row>
        <row r="283">
          <cell r="B283" t="str">
            <v>11191</v>
          </cell>
          <cell r="C283" t="str">
            <v>CIP</v>
          </cell>
          <cell r="D283" t="str">
            <v>N</v>
          </cell>
          <cell r="E283" t="str">
            <v>C</v>
          </cell>
          <cell r="F283" t="str">
            <v>11/21/2000</v>
          </cell>
        </row>
        <row r="284">
          <cell r="B284" t="str">
            <v>11192</v>
          </cell>
          <cell r="C284" t="str">
            <v>CIP</v>
          </cell>
          <cell r="D284" t="str">
            <v>N</v>
          </cell>
          <cell r="E284" t="str">
            <v>C</v>
          </cell>
          <cell r="F284" t="str">
            <v>11/21/2000</v>
          </cell>
        </row>
        <row r="285">
          <cell r="B285" t="str">
            <v>11202</v>
          </cell>
          <cell r="C285" t="str">
            <v>CIP</v>
          </cell>
          <cell r="D285" t="str">
            <v>N</v>
          </cell>
          <cell r="E285" t="str">
            <v>C</v>
          </cell>
          <cell r="F285" t="str">
            <v>11/27/2000</v>
          </cell>
        </row>
        <row r="286">
          <cell r="B286" t="str">
            <v>11203</v>
          </cell>
          <cell r="C286" t="str">
            <v>CIP</v>
          </cell>
          <cell r="D286" t="str">
            <v>N</v>
          </cell>
          <cell r="E286" t="str">
            <v>C</v>
          </cell>
          <cell r="F286" t="str">
            <v>11/21/2000</v>
          </cell>
        </row>
        <row r="287">
          <cell r="B287" t="str">
            <v>11211</v>
          </cell>
          <cell r="C287" t="str">
            <v>UEC</v>
          </cell>
          <cell r="D287" t="str">
            <v>N</v>
          </cell>
          <cell r="E287" t="str">
            <v>C</v>
          </cell>
          <cell r="F287" t="str">
            <v>08/11/2000</v>
          </cell>
        </row>
        <row r="288">
          <cell r="B288" t="str">
            <v>11216</v>
          </cell>
          <cell r="C288" t="str">
            <v>UEC</v>
          </cell>
          <cell r="D288" t="str">
            <v>N</v>
          </cell>
          <cell r="E288" t="str">
            <v>A</v>
          </cell>
          <cell r="F288" t="str">
            <v>11/20/2000</v>
          </cell>
        </row>
        <row r="289">
          <cell r="B289" t="str">
            <v>11225</v>
          </cell>
          <cell r="C289" t="str">
            <v>UEC</v>
          </cell>
          <cell r="D289" t="str">
            <v>N</v>
          </cell>
          <cell r="E289" t="str">
            <v>C</v>
          </cell>
          <cell r="F289" t="str">
            <v>11/13/2000</v>
          </cell>
        </row>
        <row r="290">
          <cell r="B290" t="str">
            <v>11229</v>
          </cell>
          <cell r="C290" t="str">
            <v>UEC</v>
          </cell>
          <cell r="D290" t="str">
            <v>N</v>
          </cell>
          <cell r="E290" t="str">
            <v>A</v>
          </cell>
          <cell r="F290" t="str">
            <v>11/14/2000</v>
          </cell>
        </row>
        <row r="291">
          <cell r="B291" t="str">
            <v>11243</v>
          </cell>
          <cell r="C291" t="str">
            <v>UEC</v>
          </cell>
          <cell r="D291" t="str">
            <v>N</v>
          </cell>
          <cell r="E291" t="str">
            <v>C</v>
          </cell>
          <cell r="F291" t="str">
            <v>01/22/2002</v>
          </cell>
        </row>
        <row r="292">
          <cell r="B292" t="str">
            <v>11245</v>
          </cell>
          <cell r="C292" t="str">
            <v>UEC</v>
          </cell>
          <cell r="D292" t="str">
            <v>Y</v>
          </cell>
          <cell r="E292" t="str">
            <v>C</v>
          </cell>
          <cell r="F292" t="str">
            <v>07/13/2001</v>
          </cell>
        </row>
        <row r="293">
          <cell r="B293" t="str">
            <v>11258</v>
          </cell>
          <cell r="C293" t="str">
            <v>CIP</v>
          </cell>
          <cell r="D293" t="str">
            <v>N</v>
          </cell>
          <cell r="E293" t="str">
            <v>C</v>
          </cell>
          <cell r="F293" t="str">
            <v>03/13/2001</v>
          </cell>
        </row>
        <row r="294">
          <cell r="B294" t="str">
            <v>11280</v>
          </cell>
          <cell r="C294" t="str">
            <v>CIP</v>
          </cell>
          <cell r="D294" t="str">
            <v>N</v>
          </cell>
          <cell r="E294" t="str">
            <v>C</v>
          </cell>
          <cell r="F294" t="str">
            <v>11/22/2000</v>
          </cell>
        </row>
        <row r="295">
          <cell r="B295" t="str">
            <v>11291</v>
          </cell>
          <cell r="C295" t="str">
            <v>UEC</v>
          </cell>
          <cell r="D295" t="str">
            <v>N</v>
          </cell>
          <cell r="E295" t="str">
            <v>C</v>
          </cell>
          <cell r="F295" t="str">
            <v>10/04/2000</v>
          </cell>
        </row>
        <row r="296">
          <cell r="B296" t="str">
            <v>11295</v>
          </cell>
          <cell r="C296" t="str">
            <v>UEC</v>
          </cell>
          <cell r="D296" t="str">
            <v>N</v>
          </cell>
          <cell r="E296" t="str">
            <v>C</v>
          </cell>
          <cell r="F296" t="str">
            <v>11/24/2000</v>
          </cell>
        </row>
        <row r="297">
          <cell r="B297" t="str">
            <v>11299</v>
          </cell>
          <cell r="C297" t="str">
            <v>UEC</v>
          </cell>
          <cell r="D297" t="str">
            <v>N</v>
          </cell>
          <cell r="E297" t="str">
            <v>C</v>
          </cell>
          <cell r="F297" t="str">
            <v>03/01/2001</v>
          </cell>
        </row>
        <row r="298">
          <cell r="B298" t="str">
            <v>11303</v>
          </cell>
          <cell r="C298" t="str">
            <v>UEC</v>
          </cell>
          <cell r="D298" t="str">
            <v>N</v>
          </cell>
          <cell r="E298" t="str">
            <v>A</v>
          </cell>
          <cell r="F298" t="str">
            <v>03/01/2001</v>
          </cell>
        </row>
        <row r="299">
          <cell r="B299" t="str">
            <v>11304</v>
          </cell>
          <cell r="C299" t="str">
            <v>UEC</v>
          </cell>
          <cell r="D299" t="str">
            <v>N</v>
          </cell>
          <cell r="E299" t="str">
            <v>A</v>
          </cell>
          <cell r="F299" t="str">
            <v>03/07/2001</v>
          </cell>
        </row>
        <row r="300">
          <cell r="B300" t="str">
            <v>11305</v>
          </cell>
          <cell r="C300" t="str">
            <v>UEC</v>
          </cell>
          <cell r="D300" t="str">
            <v>N</v>
          </cell>
          <cell r="E300" t="str">
            <v>A</v>
          </cell>
          <cell r="F300" t="str">
            <v>03/26/2001</v>
          </cell>
        </row>
        <row r="301">
          <cell r="B301" t="str">
            <v>11306</v>
          </cell>
          <cell r="C301" t="str">
            <v>UEC</v>
          </cell>
          <cell r="D301" t="str">
            <v>N</v>
          </cell>
          <cell r="E301" t="str">
            <v>A</v>
          </cell>
          <cell r="F301" t="str">
            <v>10/19/2000</v>
          </cell>
        </row>
        <row r="302">
          <cell r="B302" t="str">
            <v>11323</v>
          </cell>
          <cell r="C302" t="str">
            <v>CIP</v>
          </cell>
          <cell r="D302" t="str">
            <v>N</v>
          </cell>
          <cell r="E302" t="str">
            <v>I</v>
          </cell>
          <cell r="F302" t="str">
            <v>08/21/2000</v>
          </cell>
        </row>
        <row r="303">
          <cell r="B303" t="str">
            <v>11341</v>
          </cell>
          <cell r="C303" t="str">
            <v>UEC</v>
          </cell>
          <cell r="D303" t="str">
            <v>N</v>
          </cell>
          <cell r="E303" t="str">
            <v>C</v>
          </cell>
          <cell r="F303" t="str">
            <v>10/10/2000</v>
          </cell>
        </row>
        <row r="304">
          <cell r="B304" t="str">
            <v>11344</v>
          </cell>
          <cell r="C304" t="str">
            <v>UEC</v>
          </cell>
          <cell r="D304" t="str">
            <v>N</v>
          </cell>
          <cell r="E304" t="str">
            <v>C</v>
          </cell>
          <cell r="F304" t="str">
            <v>08/22/2000</v>
          </cell>
        </row>
        <row r="305">
          <cell r="B305" t="str">
            <v>11346</v>
          </cell>
          <cell r="C305" t="str">
            <v>CIP</v>
          </cell>
          <cell r="D305" t="str">
            <v>N</v>
          </cell>
          <cell r="E305" t="str">
            <v>A</v>
          </cell>
          <cell r="F305" t="str">
            <v>04/11/2003</v>
          </cell>
        </row>
        <row r="306">
          <cell r="B306" t="str">
            <v>11347</v>
          </cell>
          <cell r="C306" t="str">
            <v>UEC</v>
          </cell>
          <cell r="D306" t="str">
            <v>Y</v>
          </cell>
          <cell r="E306" t="str">
            <v>C</v>
          </cell>
          <cell r="F306" t="str">
            <v>07/13/2001</v>
          </cell>
        </row>
        <row r="307">
          <cell r="B307" t="str">
            <v>11348</v>
          </cell>
          <cell r="C307" t="str">
            <v>CIP</v>
          </cell>
          <cell r="D307" t="str">
            <v>N</v>
          </cell>
          <cell r="E307" t="str">
            <v>C</v>
          </cell>
          <cell r="F307" t="str">
            <v>03/15/2001</v>
          </cell>
        </row>
        <row r="308">
          <cell r="B308" t="str">
            <v>11351</v>
          </cell>
          <cell r="C308" t="str">
            <v>UEC</v>
          </cell>
          <cell r="D308" t="str">
            <v>N</v>
          </cell>
          <cell r="E308" t="str">
            <v>C</v>
          </cell>
          <cell r="F308" t="str">
            <v>09/15/2000</v>
          </cell>
        </row>
        <row r="309">
          <cell r="B309" t="str">
            <v>11354</v>
          </cell>
          <cell r="C309" t="str">
            <v>UEC</v>
          </cell>
          <cell r="D309" t="str">
            <v>N</v>
          </cell>
          <cell r="E309" t="str">
            <v>A</v>
          </cell>
          <cell r="F309" t="str">
            <v>06/13/2001</v>
          </cell>
        </row>
        <row r="310">
          <cell r="B310" t="str">
            <v>11358</v>
          </cell>
          <cell r="C310" t="str">
            <v>UEC</v>
          </cell>
          <cell r="D310" t="str">
            <v>N</v>
          </cell>
          <cell r="E310" t="str">
            <v>C</v>
          </cell>
          <cell r="F310" t="str">
            <v>02/01/2001</v>
          </cell>
        </row>
        <row r="311">
          <cell r="B311" t="str">
            <v>11363</v>
          </cell>
          <cell r="C311" t="str">
            <v>UEC</v>
          </cell>
          <cell r="D311" t="str">
            <v>N</v>
          </cell>
          <cell r="E311" t="str">
            <v>A</v>
          </cell>
          <cell r="F311" t="str">
            <v>12/27/2001</v>
          </cell>
        </row>
        <row r="312">
          <cell r="B312" t="str">
            <v>11366</v>
          </cell>
          <cell r="C312" t="str">
            <v>CIP</v>
          </cell>
          <cell r="D312" t="str">
            <v>N</v>
          </cell>
          <cell r="E312" t="str">
            <v>C</v>
          </cell>
          <cell r="F312" t="str">
            <v>09/08/2000</v>
          </cell>
        </row>
        <row r="313">
          <cell r="B313" t="str">
            <v>11367</v>
          </cell>
          <cell r="C313" t="str">
            <v>UEC</v>
          </cell>
          <cell r="D313" t="str">
            <v>N</v>
          </cell>
          <cell r="E313" t="str">
            <v>C</v>
          </cell>
          <cell r="F313" t="str">
            <v>03/13/2001</v>
          </cell>
        </row>
        <row r="314">
          <cell r="B314" t="str">
            <v>11370</v>
          </cell>
          <cell r="C314" t="str">
            <v>UEC</v>
          </cell>
          <cell r="D314" t="str">
            <v>N</v>
          </cell>
          <cell r="E314" t="str">
            <v>A</v>
          </cell>
          <cell r="F314" t="str">
            <v>04/11/2001</v>
          </cell>
        </row>
        <row r="315">
          <cell r="B315" t="str">
            <v>11378</v>
          </cell>
          <cell r="C315" t="str">
            <v>UEC</v>
          </cell>
          <cell r="D315" t="str">
            <v>N</v>
          </cell>
          <cell r="E315" t="str">
            <v>C</v>
          </cell>
          <cell r="F315" t="str">
            <v>09/07/2000</v>
          </cell>
        </row>
        <row r="316">
          <cell r="B316" t="str">
            <v>11383</v>
          </cell>
          <cell r="C316" t="str">
            <v>UEC</v>
          </cell>
          <cell r="D316" t="str">
            <v>N</v>
          </cell>
          <cell r="E316" t="str">
            <v>A</v>
          </cell>
          <cell r="F316" t="str">
            <v>09/20/2001</v>
          </cell>
        </row>
        <row r="317">
          <cell r="B317" t="str">
            <v>11399</v>
          </cell>
          <cell r="C317" t="str">
            <v>UEC</v>
          </cell>
          <cell r="D317" t="str">
            <v>N</v>
          </cell>
          <cell r="E317" t="str">
            <v>C</v>
          </cell>
          <cell r="F317" t="str">
            <v>07/29/2002</v>
          </cell>
        </row>
        <row r="318">
          <cell r="B318" t="str">
            <v>11406</v>
          </cell>
          <cell r="C318" t="str">
            <v>UEC</v>
          </cell>
          <cell r="D318" t="str">
            <v>N</v>
          </cell>
          <cell r="E318" t="str">
            <v>C</v>
          </cell>
          <cell r="F318" t="str">
            <v>08/25/2000</v>
          </cell>
        </row>
        <row r="319">
          <cell r="B319" t="str">
            <v>11407</v>
          </cell>
          <cell r="C319" t="str">
            <v>UEC</v>
          </cell>
          <cell r="D319" t="str">
            <v>N</v>
          </cell>
          <cell r="E319" t="str">
            <v>C</v>
          </cell>
          <cell r="F319" t="str">
            <v>08/25/2000</v>
          </cell>
        </row>
        <row r="320">
          <cell r="B320" t="str">
            <v>11408</v>
          </cell>
          <cell r="C320" t="str">
            <v>UEC</v>
          </cell>
          <cell r="D320" t="str">
            <v>N</v>
          </cell>
          <cell r="E320" t="str">
            <v>A</v>
          </cell>
          <cell r="F320" t="str">
            <v>08/25/2000</v>
          </cell>
        </row>
        <row r="321">
          <cell r="B321" t="str">
            <v>11409</v>
          </cell>
          <cell r="C321" t="str">
            <v>UEC</v>
          </cell>
          <cell r="D321" t="str">
            <v>N</v>
          </cell>
          <cell r="E321" t="str">
            <v>A</v>
          </cell>
          <cell r="F321" t="str">
            <v>08/25/2000</v>
          </cell>
        </row>
        <row r="322">
          <cell r="B322" t="str">
            <v>11412</v>
          </cell>
          <cell r="C322" t="str">
            <v>UEC</v>
          </cell>
          <cell r="D322" t="str">
            <v>N</v>
          </cell>
          <cell r="E322" t="str">
            <v>C</v>
          </cell>
          <cell r="F322" t="str">
            <v>05/04/2001</v>
          </cell>
        </row>
        <row r="323">
          <cell r="B323" t="str">
            <v>11414</v>
          </cell>
          <cell r="C323" t="str">
            <v>UEC</v>
          </cell>
          <cell r="D323" t="str">
            <v>N</v>
          </cell>
          <cell r="E323" t="str">
            <v>C</v>
          </cell>
          <cell r="F323" t="str">
            <v>03/14/2001</v>
          </cell>
        </row>
        <row r="324">
          <cell r="B324" t="str">
            <v>11415</v>
          </cell>
          <cell r="C324" t="str">
            <v>UEC</v>
          </cell>
          <cell r="D324" t="str">
            <v>N</v>
          </cell>
          <cell r="E324" t="str">
            <v>C</v>
          </cell>
          <cell r="F324" t="str">
            <v>10/17/2000</v>
          </cell>
        </row>
        <row r="325">
          <cell r="B325" t="str">
            <v>11418</v>
          </cell>
          <cell r="C325" t="str">
            <v>UEC</v>
          </cell>
          <cell r="D325" t="str">
            <v>N</v>
          </cell>
          <cell r="E325" t="str">
            <v>C</v>
          </cell>
          <cell r="F325" t="str">
            <v>10/02/2000</v>
          </cell>
        </row>
        <row r="326">
          <cell r="B326" t="str">
            <v>11419</v>
          </cell>
          <cell r="C326" t="str">
            <v>UEC</v>
          </cell>
          <cell r="D326" t="str">
            <v>N</v>
          </cell>
          <cell r="E326" t="str">
            <v>C</v>
          </cell>
          <cell r="F326" t="str">
            <v>11/01/2000</v>
          </cell>
        </row>
        <row r="327">
          <cell r="B327" t="str">
            <v>11421</v>
          </cell>
          <cell r="C327" t="str">
            <v>UEC</v>
          </cell>
          <cell r="D327" t="str">
            <v>N</v>
          </cell>
          <cell r="E327" t="str">
            <v>C</v>
          </cell>
          <cell r="F327" t="str">
            <v>09/06/2000</v>
          </cell>
        </row>
        <row r="328">
          <cell r="B328" t="str">
            <v>11424</v>
          </cell>
          <cell r="C328" t="str">
            <v>UEC</v>
          </cell>
          <cell r="D328" t="str">
            <v>N</v>
          </cell>
          <cell r="E328" t="str">
            <v>A</v>
          </cell>
          <cell r="F328" t="str">
            <v>03/12/2002</v>
          </cell>
        </row>
        <row r="329">
          <cell r="B329" t="str">
            <v>11427</v>
          </cell>
          <cell r="C329" t="str">
            <v>UEC</v>
          </cell>
          <cell r="D329" t="str">
            <v>N</v>
          </cell>
          <cell r="E329" t="str">
            <v>A</v>
          </cell>
          <cell r="F329" t="str">
            <v>05/25/2001</v>
          </cell>
        </row>
        <row r="330">
          <cell r="B330" t="str">
            <v>11439</v>
          </cell>
          <cell r="C330" t="str">
            <v>UEC</v>
          </cell>
          <cell r="D330" t="str">
            <v>N</v>
          </cell>
          <cell r="E330" t="str">
            <v>C</v>
          </cell>
          <cell r="F330" t="str">
            <v>03/15/2001</v>
          </cell>
        </row>
        <row r="331">
          <cell r="B331" t="str">
            <v>11444</v>
          </cell>
          <cell r="C331" t="str">
            <v>CIP</v>
          </cell>
          <cell r="D331" t="str">
            <v>N</v>
          </cell>
          <cell r="E331" t="str">
            <v>C</v>
          </cell>
          <cell r="F331" t="str">
            <v>08/29/2000</v>
          </cell>
        </row>
        <row r="332">
          <cell r="B332" t="str">
            <v>11445</v>
          </cell>
          <cell r="C332" t="str">
            <v>CIP</v>
          </cell>
          <cell r="D332" t="str">
            <v>N</v>
          </cell>
          <cell r="E332" t="str">
            <v>C</v>
          </cell>
          <cell r="F332" t="str">
            <v>08/29/2000</v>
          </cell>
        </row>
        <row r="333">
          <cell r="B333" t="str">
            <v>11447</v>
          </cell>
          <cell r="C333" t="str">
            <v>UEC</v>
          </cell>
          <cell r="D333" t="str">
            <v>N</v>
          </cell>
          <cell r="E333" t="str">
            <v>A</v>
          </cell>
          <cell r="F333" t="str">
            <v>06/12/2002</v>
          </cell>
        </row>
        <row r="334">
          <cell r="B334" t="str">
            <v>11453</v>
          </cell>
          <cell r="C334" t="str">
            <v>UEC</v>
          </cell>
          <cell r="D334" t="str">
            <v>N</v>
          </cell>
          <cell r="E334" t="str">
            <v>C</v>
          </cell>
          <cell r="F334" t="str">
            <v>05/24/2002</v>
          </cell>
        </row>
        <row r="335">
          <cell r="B335" t="str">
            <v>11454</v>
          </cell>
          <cell r="C335" t="str">
            <v>UEC</v>
          </cell>
          <cell r="D335" t="str">
            <v>N</v>
          </cell>
          <cell r="E335" t="str">
            <v>C</v>
          </cell>
          <cell r="F335" t="str">
            <v>03/06/2002</v>
          </cell>
        </row>
        <row r="336">
          <cell r="B336" t="str">
            <v>11464</v>
          </cell>
          <cell r="C336" t="str">
            <v>UEC</v>
          </cell>
          <cell r="D336" t="str">
            <v>N</v>
          </cell>
          <cell r="E336" t="str">
            <v>C</v>
          </cell>
          <cell r="F336" t="str">
            <v>12/21/2000</v>
          </cell>
        </row>
        <row r="337">
          <cell r="B337" t="str">
            <v>11465</v>
          </cell>
          <cell r="C337" t="str">
            <v>UEC</v>
          </cell>
          <cell r="D337" t="str">
            <v>N</v>
          </cell>
          <cell r="E337" t="str">
            <v>C</v>
          </cell>
          <cell r="F337" t="str">
            <v>09/06/2001</v>
          </cell>
        </row>
        <row r="338">
          <cell r="B338" t="str">
            <v>11466</v>
          </cell>
          <cell r="C338" t="str">
            <v>UEC</v>
          </cell>
          <cell r="D338" t="str">
            <v>N</v>
          </cell>
          <cell r="E338" t="str">
            <v>C</v>
          </cell>
          <cell r="F338" t="str">
            <v>08/21/2001</v>
          </cell>
        </row>
        <row r="339">
          <cell r="B339" t="str">
            <v>11473</v>
          </cell>
          <cell r="C339" t="str">
            <v>UEC</v>
          </cell>
          <cell r="D339" t="str">
            <v>N</v>
          </cell>
          <cell r="E339" t="str">
            <v>C</v>
          </cell>
          <cell r="F339" t="str">
            <v>03/20/2001</v>
          </cell>
        </row>
        <row r="340">
          <cell r="B340" t="str">
            <v>11474</v>
          </cell>
          <cell r="C340" t="str">
            <v>UEC</v>
          </cell>
          <cell r="D340" t="str">
            <v>N</v>
          </cell>
          <cell r="E340" t="str">
            <v>C</v>
          </cell>
          <cell r="F340" t="str">
            <v>09/25/2000</v>
          </cell>
        </row>
        <row r="341">
          <cell r="B341" t="str">
            <v>11478</v>
          </cell>
          <cell r="C341" t="str">
            <v>UEC</v>
          </cell>
          <cell r="D341" t="str">
            <v>N</v>
          </cell>
          <cell r="E341" t="str">
            <v>C</v>
          </cell>
          <cell r="F341" t="str">
            <v>12/27/2000</v>
          </cell>
        </row>
        <row r="342">
          <cell r="B342" t="str">
            <v>11488</v>
          </cell>
          <cell r="C342" t="str">
            <v>UEC</v>
          </cell>
          <cell r="D342" t="str">
            <v>N</v>
          </cell>
          <cell r="E342" t="str">
            <v>C</v>
          </cell>
          <cell r="F342" t="str">
            <v>01/03/2001</v>
          </cell>
        </row>
        <row r="343">
          <cell r="B343" t="str">
            <v>11491</v>
          </cell>
          <cell r="C343" t="str">
            <v>UEC</v>
          </cell>
          <cell r="D343" t="str">
            <v>N</v>
          </cell>
          <cell r="E343" t="str">
            <v>A</v>
          </cell>
          <cell r="F343" t="str">
            <v>01/03/2001</v>
          </cell>
        </row>
        <row r="344">
          <cell r="B344" t="str">
            <v>11499</v>
          </cell>
          <cell r="C344" t="str">
            <v>UEC</v>
          </cell>
          <cell r="D344" t="str">
            <v>N</v>
          </cell>
          <cell r="E344" t="str">
            <v>C</v>
          </cell>
          <cell r="F344" t="str">
            <v>03/16/2001</v>
          </cell>
        </row>
        <row r="345">
          <cell r="B345" t="str">
            <v>11500</v>
          </cell>
          <cell r="C345" t="str">
            <v>UEC</v>
          </cell>
          <cell r="D345" t="str">
            <v>N</v>
          </cell>
          <cell r="E345" t="str">
            <v>C</v>
          </cell>
          <cell r="F345" t="str">
            <v>01/03/2001</v>
          </cell>
        </row>
        <row r="346">
          <cell r="B346" t="str">
            <v>11504</v>
          </cell>
          <cell r="C346" t="str">
            <v>UEC</v>
          </cell>
          <cell r="D346" t="str">
            <v>N</v>
          </cell>
          <cell r="E346" t="str">
            <v>C</v>
          </cell>
          <cell r="F346" t="str">
            <v>03/23/2001</v>
          </cell>
        </row>
        <row r="347">
          <cell r="B347" t="str">
            <v>11505</v>
          </cell>
          <cell r="C347" t="str">
            <v>UEC</v>
          </cell>
          <cell r="D347" t="str">
            <v>N</v>
          </cell>
          <cell r="E347" t="str">
            <v>I</v>
          </cell>
          <cell r="F347" t="str">
            <v>10/07/2002</v>
          </cell>
        </row>
        <row r="348">
          <cell r="B348" t="str">
            <v>11505</v>
          </cell>
          <cell r="C348" t="str">
            <v>UEC</v>
          </cell>
          <cell r="D348" t="str">
            <v>N</v>
          </cell>
          <cell r="E348" t="str">
            <v>I</v>
          </cell>
          <cell r="F348" t="str">
            <v>10/07/2002</v>
          </cell>
        </row>
        <row r="349">
          <cell r="B349" t="str">
            <v>11506</v>
          </cell>
          <cell r="C349" t="str">
            <v>UEC</v>
          </cell>
          <cell r="D349" t="str">
            <v>N</v>
          </cell>
          <cell r="E349" t="str">
            <v>A</v>
          </cell>
          <cell r="F349" t="str">
            <v>09/12/2003</v>
          </cell>
        </row>
        <row r="350">
          <cell r="B350" t="str">
            <v>11507</v>
          </cell>
          <cell r="C350" t="str">
            <v>UEC</v>
          </cell>
          <cell r="D350" t="str">
            <v>N</v>
          </cell>
          <cell r="E350" t="str">
            <v>A</v>
          </cell>
          <cell r="F350" t="str">
            <v>01/16/2003</v>
          </cell>
        </row>
        <row r="351">
          <cell r="B351" t="str">
            <v>11508</v>
          </cell>
          <cell r="C351" t="str">
            <v>UEC</v>
          </cell>
          <cell r="D351" t="str">
            <v>N</v>
          </cell>
          <cell r="E351" t="str">
            <v>C</v>
          </cell>
          <cell r="F351" t="str">
            <v>02/09/2001</v>
          </cell>
        </row>
        <row r="352">
          <cell r="B352" t="str">
            <v>11514</v>
          </cell>
          <cell r="C352" t="str">
            <v>UEC</v>
          </cell>
          <cell r="D352" t="str">
            <v>N</v>
          </cell>
          <cell r="E352" t="str">
            <v>C</v>
          </cell>
          <cell r="F352" t="str">
            <v>06/21/2001</v>
          </cell>
        </row>
        <row r="353">
          <cell r="B353" t="str">
            <v>11515</v>
          </cell>
          <cell r="C353" t="str">
            <v>UEC</v>
          </cell>
          <cell r="D353" t="str">
            <v>N</v>
          </cell>
          <cell r="E353" t="str">
            <v>A</v>
          </cell>
          <cell r="F353" t="str">
            <v>01/28/2003</v>
          </cell>
        </row>
        <row r="354">
          <cell r="B354" t="str">
            <v>11524</v>
          </cell>
          <cell r="C354" t="str">
            <v>UEC</v>
          </cell>
          <cell r="D354" t="str">
            <v>N</v>
          </cell>
          <cell r="E354" t="str">
            <v>C</v>
          </cell>
          <cell r="F354" t="str">
            <v>10/03/2001</v>
          </cell>
        </row>
        <row r="355">
          <cell r="B355" t="str">
            <v>11525</v>
          </cell>
          <cell r="C355" t="str">
            <v>UEC</v>
          </cell>
          <cell r="D355" t="str">
            <v>N</v>
          </cell>
          <cell r="E355" t="str">
            <v>C</v>
          </cell>
          <cell r="F355" t="str">
            <v>01/30/2001</v>
          </cell>
        </row>
        <row r="356">
          <cell r="B356" t="str">
            <v>11528</v>
          </cell>
          <cell r="C356" t="str">
            <v>UEC</v>
          </cell>
          <cell r="D356" t="str">
            <v>N</v>
          </cell>
          <cell r="E356" t="str">
            <v>C</v>
          </cell>
          <cell r="F356" t="str">
            <v>04/22/2002</v>
          </cell>
        </row>
        <row r="357">
          <cell r="B357" t="str">
            <v>11528</v>
          </cell>
          <cell r="C357" t="str">
            <v>UEC</v>
          </cell>
          <cell r="D357" t="str">
            <v>N</v>
          </cell>
          <cell r="E357" t="str">
            <v>C</v>
          </cell>
          <cell r="F357" t="str">
            <v>04/22/2002</v>
          </cell>
        </row>
        <row r="358">
          <cell r="B358" t="str">
            <v>11531</v>
          </cell>
          <cell r="C358" t="str">
            <v>UEC</v>
          </cell>
          <cell r="D358" t="str">
            <v>N</v>
          </cell>
          <cell r="E358" t="str">
            <v>C</v>
          </cell>
          <cell r="F358" t="str">
            <v>09/27/2000</v>
          </cell>
        </row>
        <row r="359">
          <cell r="B359" t="str">
            <v>11534</v>
          </cell>
          <cell r="C359" t="str">
            <v>UEC</v>
          </cell>
          <cell r="D359" t="str">
            <v>N</v>
          </cell>
          <cell r="E359" t="str">
            <v>C</v>
          </cell>
          <cell r="F359" t="str">
            <v>11/02/2000</v>
          </cell>
        </row>
        <row r="360">
          <cell r="B360" t="str">
            <v>11566</v>
          </cell>
          <cell r="C360" t="str">
            <v>UEC</v>
          </cell>
          <cell r="D360" t="str">
            <v>N</v>
          </cell>
          <cell r="E360" t="str">
            <v>A</v>
          </cell>
          <cell r="F360" t="str">
            <v>09/12/2003</v>
          </cell>
        </row>
        <row r="361">
          <cell r="B361" t="str">
            <v>11581</v>
          </cell>
          <cell r="C361" t="str">
            <v>UEC</v>
          </cell>
          <cell r="D361" t="str">
            <v>N</v>
          </cell>
          <cell r="E361" t="str">
            <v>A</v>
          </cell>
          <cell r="F361" t="str">
            <v>08/07/2002</v>
          </cell>
        </row>
        <row r="362">
          <cell r="B362" t="str">
            <v>11583</v>
          </cell>
          <cell r="C362" t="str">
            <v>UEC</v>
          </cell>
          <cell r="D362" t="str">
            <v>N</v>
          </cell>
          <cell r="E362" t="str">
            <v>C</v>
          </cell>
          <cell r="F362" t="str">
            <v>10/21/2002</v>
          </cell>
        </row>
        <row r="363">
          <cell r="B363" t="str">
            <v>11586</v>
          </cell>
          <cell r="C363" t="str">
            <v>UEC</v>
          </cell>
          <cell r="D363" t="str">
            <v>N</v>
          </cell>
          <cell r="E363" t="str">
            <v>A</v>
          </cell>
          <cell r="F363" t="str">
            <v>10/07/2003</v>
          </cell>
        </row>
        <row r="364">
          <cell r="B364" t="str">
            <v>11587</v>
          </cell>
          <cell r="C364" t="str">
            <v>UEC</v>
          </cell>
          <cell r="D364" t="str">
            <v>N</v>
          </cell>
          <cell r="E364" t="str">
            <v>C</v>
          </cell>
          <cell r="F364" t="str">
            <v>10/24/2000</v>
          </cell>
        </row>
        <row r="365">
          <cell r="B365" t="str">
            <v>11589</v>
          </cell>
          <cell r="C365" t="str">
            <v>UEC</v>
          </cell>
          <cell r="D365" t="str">
            <v>N</v>
          </cell>
          <cell r="E365" t="str">
            <v>C</v>
          </cell>
          <cell r="F365" t="str">
            <v>10/08/2001</v>
          </cell>
        </row>
        <row r="366">
          <cell r="B366" t="str">
            <v>11593</v>
          </cell>
          <cell r="C366" t="str">
            <v>UEC</v>
          </cell>
          <cell r="D366" t="str">
            <v>N</v>
          </cell>
          <cell r="E366" t="str">
            <v>A</v>
          </cell>
          <cell r="F366" t="str">
            <v>12/13/2001</v>
          </cell>
        </row>
        <row r="367">
          <cell r="B367" t="str">
            <v>11594</v>
          </cell>
          <cell r="C367" t="str">
            <v>UEC</v>
          </cell>
          <cell r="D367" t="str">
            <v>N</v>
          </cell>
          <cell r="E367" t="str">
            <v>A</v>
          </cell>
          <cell r="F367" t="str">
            <v>10/08/2003</v>
          </cell>
        </row>
        <row r="368">
          <cell r="B368" t="str">
            <v>11596</v>
          </cell>
          <cell r="C368" t="str">
            <v>UEC</v>
          </cell>
          <cell r="D368" t="str">
            <v>N</v>
          </cell>
          <cell r="E368" t="str">
            <v>C</v>
          </cell>
          <cell r="F368" t="str">
            <v>08/31/2000</v>
          </cell>
        </row>
        <row r="369">
          <cell r="B369" t="str">
            <v>11599</v>
          </cell>
          <cell r="C369" t="str">
            <v>UEC</v>
          </cell>
          <cell r="D369" t="str">
            <v>N</v>
          </cell>
          <cell r="E369" t="str">
            <v>A</v>
          </cell>
          <cell r="F369" t="str">
            <v>09/26/2003</v>
          </cell>
        </row>
        <row r="370">
          <cell r="B370" t="str">
            <v>11601</v>
          </cell>
          <cell r="C370" t="str">
            <v>UEC</v>
          </cell>
          <cell r="D370" t="str">
            <v>N</v>
          </cell>
          <cell r="E370" t="str">
            <v>A</v>
          </cell>
          <cell r="F370" t="str">
            <v>09/04/2003</v>
          </cell>
        </row>
        <row r="371">
          <cell r="B371" t="str">
            <v>11610</v>
          </cell>
          <cell r="C371" t="str">
            <v>UEC</v>
          </cell>
          <cell r="D371" t="str">
            <v>N</v>
          </cell>
          <cell r="E371" t="str">
            <v>C</v>
          </cell>
          <cell r="F371" t="str">
            <v>07/19/2001</v>
          </cell>
        </row>
        <row r="372">
          <cell r="B372" t="str">
            <v>11613</v>
          </cell>
          <cell r="C372" t="str">
            <v>UEC</v>
          </cell>
          <cell r="D372" t="str">
            <v>N</v>
          </cell>
          <cell r="E372" t="str">
            <v>C</v>
          </cell>
          <cell r="F372" t="str">
            <v>08/02/2001</v>
          </cell>
        </row>
        <row r="373">
          <cell r="B373" t="str">
            <v>11618</v>
          </cell>
          <cell r="C373" t="str">
            <v>UEC</v>
          </cell>
          <cell r="D373" t="str">
            <v>N</v>
          </cell>
          <cell r="E373" t="str">
            <v>A</v>
          </cell>
          <cell r="F373" t="str">
            <v>01/15/2002</v>
          </cell>
        </row>
        <row r="374">
          <cell r="B374" t="str">
            <v>11619</v>
          </cell>
          <cell r="C374" t="str">
            <v>UEC</v>
          </cell>
          <cell r="D374" t="str">
            <v>N</v>
          </cell>
          <cell r="E374" t="str">
            <v>A</v>
          </cell>
          <cell r="F374" t="str">
            <v>08/01/2002</v>
          </cell>
        </row>
        <row r="375">
          <cell r="B375" t="str">
            <v>11620</v>
          </cell>
          <cell r="C375" t="str">
            <v>UEC</v>
          </cell>
          <cell r="D375" t="str">
            <v>N</v>
          </cell>
          <cell r="E375" t="str">
            <v>A</v>
          </cell>
          <cell r="F375" t="str">
            <v>08/01/2002</v>
          </cell>
        </row>
        <row r="376">
          <cell r="B376" t="str">
            <v>11626</v>
          </cell>
          <cell r="C376" t="str">
            <v>UEC</v>
          </cell>
          <cell r="D376" t="str">
            <v>N</v>
          </cell>
          <cell r="E376" t="str">
            <v>C</v>
          </cell>
          <cell r="F376" t="str">
            <v>03/26/2001</v>
          </cell>
        </row>
        <row r="377">
          <cell r="B377" t="str">
            <v>11643</v>
          </cell>
          <cell r="C377" t="str">
            <v>UEC</v>
          </cell>
          <cell r="D377" t="str">
            <v>N</v>
          </cell>
          <cell r="E377" t="str">
            <v>C</v>
          </cell>
          <cell r="F377" t="str">
            <v>09/20/2000</v>
          </cell>
        </row>
        <row r="378">
          <cell r="B378" t="str">
            <v>11644</v>
          </cell>
          <cell r="C378" t="str">
            <v>UEC</v>
          </cell>
          <cell r="D378" t="str">
            <v>N</v>
          </cell>
          <cell r="E378" t="str">
            <v>C</v>
          </cell>
          <cell r="F378" t="str">
            <v>11/28/2001</v>
          </cell>
        </row>
        <row r="379">
          <cell r="B379" t="str">
            <v>11645</v>
          </cell>
          <cell r="C379" t="str">
            <v>UEC</v>
          </cell>
          <cell r="D379" t="str">
            <v>N</v>
          </cell>
          <cell r="E379" t="str">
            <v>A</v>
          </cell>
          <cell r="F379" t="str">
            <v>08/01/2002</v>
          </cell>
        </row>
        <row r="380">
          <cell r="B380" t="str">
            <v>11647</v>
          </cell>
          <cell r="C380" t="str">
            <v>UEC</v>
          </cell>
          <cell r="D380" t="str">
            <v>N</v>
          </cell>
          <cell r="E380" t="str">
            <v>A</v>
          </cell>
          <cell r="F380" t="str">
            <v>05/12/2003</v>
          </cell>
        </row>
        <row r="381">
          <cell r="B381" t="str">
            <v>11650</v>
          </cell>
          <cell r="C381" t="str">
            <v>UEC</v>
          </cell>
          <cell r="D381" t="str">
            <v>N</v>
          </cell>
          <cell r="E381" t="str">
            <v>A</v>
          </cell>
          <cell r="F381" t="str">
            <v>10/12/2001</v>
          </cell>
        </row>
        <row r="382">
          <cell r="B382" t="str">
            <v>11652</v>
          </cell>
          <cell r="C382" t="str">
            <v>UEC</v>
          </cell>
          <cell r="D382" t="str">
            <v>N</v>
          </cell>
          <cell r="E382" t="str">
            <v>C</v>
          </cell>
          <cell r="F382" t="str">
            <v>01/11/2001</v>
          </cell>
        </row>
        <row r="383">
          <cell r="B383" t="str">
            <v>11663</v>
          </cell>
          <cell r="C383" t="str">
            <v>UEC</v>
          </cell>
          <cell r="D383" t="str">
            <v>N</v>
          </cell>
          <cell r="E383" t="str">
            <v>C</v>
          </cell>
          <cell r="F383" t="str">
            <v>12/13/2000</v>
          </cell>
        </row>
        <row r="384">
          <cell r="B384" t="str">
            <v>11665</v>
          </cell>
          <cell r="C384" t="str">
            <v>UEC</v>
          </cell>
          <cell r="D384" t="str">
            <v>N</v>
          </cell>
          <cell r="E384" t="str">
            <v>A</v>
          </cell>
          <cell r="F384" t="str">
            <v>07/15/2002</v>
          </cell>
        </row>
        <row r="385">
          <cell r="B385" t="str">
            <v>11674</v>
          </cell>
          <cell r="C385" t="str">
            <v>UEC</v>
          </cell>
          <cell r="D385" t="str">
            <v>N</v>
          </cell>
          <cell r="E385" t="str">
            <v>A</v>
          </cell>
          <cell r="F385" t="str">
            <v>04/17/2002</v>
          </cell>
        </row>
        <row r="386">
          <cell r="B386" t="str">
            <v>11675</v>
          </cell>
          <cell r="C386" t="str">
            <v>UEC</v>
          </cell>
          <cell r="D386" t="str">
            <v>N</v>
          </cell>
          <cell r="E386" t="str">
            <v>A</v>
          </cell>
          <cell r="F386" t="str">
            <v>06/12/2002</v>
          </cell>
        </row>
        <row r="387">
          <cell r="B387" t="str">
            <v>11682</v>
          </cell>
          <cell r="C387" t="str">
            <v>UEC</v>
          </cell>
          <cell r="D387" t="str">
            <v>N</v>
          </cell>
          <cell r="E387" t="str">
            <v>C</v>
          </cell>
          <cell r="F387" t="str">
            <v>01/11/2001</v>
          </cell>
        </row>
        <row r="388">
          <cell r="B388" t="str">
            <v>11685</v>
          </cell>
          <cell r="C388" t="str">
            <v>UEC</v>
          </cell>
          <cell r="D388" t="str">
            <v>N</v>
          </cell>
          <cell r="E388" t="str">
            <v>A</v>
          </cell>
          <cell r="F388" t="str">
            <v>03/29/2001</v>
          </cell>
        </row>
        <row r="389">
          <cell r="B389" t="str">
            <v>11747</v>
          </cell>
          <cell r="C389" t="str">
            <v>UEC</v>
          </cell>
          <cell r="D389" t="str">
            <v>N</v>
          </cell>
          <cell r="E389" t="str">
            <v>A</v>
          </cell>
          <cell r="F389" t="str">
            <v>11/25/2003</v>
          </cell>
        </row>
        <row r="390">
          <cell r="B390" t="str">
            <v>11753</v>
          </cell>
          <cell r="C390" t="str">
            <v>UEC</v>
          </cell>
          <cell r="D390" t="str">
            <v>N</v>
          </cell>
          <cell r="E390" t="str">
            <v>A</v>
          </cell>
          <cell r="F390" t="str">
            <v>09/05/2003</v>
          </cell>
        </row>
        <row r="391">
          <cell r="B391" t="str">
            <v>11754</v>
          </cell>
          <cell r="C391" t="str">
            <v>UEC</v>
          </cell>
          <cell r="D391" t="str">
            <v>N</v>
          </cell>
          <cell r="E391" t="str">
            <v>C</v>
          </cell>
          <cell r="F391" t="str">
            <v>11/01/2002</v>
          </cell>
        </row>
        <row r="392">
          <cell r="B392" t="str">
            <v>11756</v>
          </cell>
          <cell r="C392" t="str">
            <v>UEC</v>
          </cell>
          <cell r="D392" t="str">
            <v>N</v>
          </cell>
          <cell r="E392" t="str">
            <v>C</v>
          </cell>
          <cell r="F392" t="str">
            <v>05/07/2001</v>
          </cell>
        </row>
        <row r="393">
          <cell r="B393" t="str">
            <v>11757</v>
          </cell>
          <cell r="C393" t="str">
            <v>UEC</v>
          </cell>
          <cell r="D393" t="str">
            <v>N</v>
          </cell>
          <cell r="E393" t="str">
            <v>A</v>
          </cell>
          <cell r="F393" t="str">
            <v>05/09/2002</v>
          </cell>
        </row>
        <row r="394">
          <cell r="B394" t="str">
            <v>11758</v>
          </cell>
          <cell r="C394" t="str">
            <v>UEC</v>
          </cell>
          <cell r="D394" t="str">
            <v>N</v>
          </cell>
          <cell r="E394" t="str">
            <v>A</v>
          </cell>
          <cell r="F394" t="str">
            <v>05/09/2003</v>
          </cell>
        </row>
        <row r="395">
          <cell r="B395" t="str">
            <v>11760</v>
          </cell>
          <cell r="C395" t="str">
            <v>UEC</v>
          </cell>
          <cell r="D395" t="str">
            <v>N</v>
          </cell>
          <cell r="E395" t="str">
            <v>A</v>
          </cell>
          <cell r="F395" t="str">
            <v>10/02/2002</v>
          </cell>
        </row>
        <row r="396">
          <cell r="B396" t="str">
            <v>11761</v>
          </cell>
          <cell r="C396" t="str">
            <v>UEC</v>
          </cell>
          <cell r="D396" t="str">
            <v>N</v>
          </cell>
          <cell r="E396" t="str">
            <v>A</v>
          </cell>
          <cell r="F396" t="str">
            <v>09/05/2003</v>
          </cell>
        </row>
        <row r="397">
          <cell r="B397" t="str">
            <v>11768</v>
          </cell>
          <cell r="C397" t="str">
            <v>CIP</v>
          </cell>
          <cell r="D397" t="str">
            <v>N</v>
          </cell>
          <cell r="E397" t="str">
            <v>C</v>
          </cell>
          <cell r="F397" t="str">
            <v>01/19/2001</v>
          </cell>
        </row>
        <row r="398">
          <cell r="B398" t="str">
            <v>11777</v>
          </cell>
          <cell r="C398" t="str">
            <v>UEC</v>
          </cell>
          <cell r="D398" t="str">
            <v>N</v>
          </cell>
          <cell r="E398" t="str">
            <v>C</v>
          </cell>
          <cell r="F398" t="str">
            <v>09/19/2000</v>
          </cell>
        </row>
        <row r="399">
          <cell r="B399" t="str">
            <v>11781</v>
          </cell>
          <cell r="C399" t="str">
            <v>UEC</v>
          </cell>
          <cell r="D399" t="str">
            <v>N</v>
          </cell>
          <cell r="E399" t="str">
            <v>A</v>
          </cell>
          <cell r="F399" t="str">
            <v>01/16/2003</v>
          </cell>
        </row>
        <row r="400">
          <cell r="B400" t="str">
            <v>11783</v>
          </cell>
          <cell r="C400" t="str">
            <v>UEC</v>
          </cell>
          <cell r="D400" t="str">
            <v>N</v>
          </cell>
          <cell r="E400" t="str">
            <v>C</v>
          </cell>
          <cell r="F400" t="str">
            <v>07/23/2001</v>
          </cell>
        </row>
        <row r="401">
          <cell r="B401" t="str">
            <v>11785</v>
          </cell>
          <cell r="C401" t="str">
            <v>UEC</v>
          </cell>
          <cell r="D401" t="str">
            <v>N</v>
          </cell>
          <cell r="E401" t="str">
            <v>A</v>
          </cell>
          <cell r="F401" t="str">
            <v>10/01/2001</v>
          </cell>
        </row>
        <row r="402">
          <cell r="B402" t="str">
            <v>11786</v>
          </cell>
          <cell r="C402" t="str">
            <v>UEC</v>
          </cell>
          <cell r="D402" t="str">
            <v>N</v>
          </cell>
          <cell r="E402" t="str">
            <v>A</v>
          </cell>
          <cell r="F402" t="str">
            <v>03/22/2002</v>
          </cell>
        </row>
        <row r="403">
          <cell r="B403" t="str">
            <v>11788</v>
          </cell>
          <cell r="C403" t="str">
            <v>UEC</v>
          </cell>
          <cell r="D403" t="str">
            <v>N</v>
          </cell>
          <cell r="E403" t="str">
            <v>A</v>
          </cell>
          <cell r="F403" t="str">
            <v>05/31/2001</v>
          </cell>
        </row>
        <row r="404">
          <cell r="B404" t="str">
            <v>11789</v>
          </cell>
          <cell r="C404" t="str">
            <v>UEC</v>
          </cell>
          <cell r="D404" t="str">
            <v>N</v>
          </cell>
          <cell r="E404" t="str">
            <v>A</v>
          </cell>
          <cell r="F404" t="str">
            <v>10/28/2003</v>
          </cell>
        </row>
        <row r="405">
          <cell r="B405" t="str">
            <v>11794</v>
          </cell>
          <cell r="C405" t="str">
            <v>CIP</v>
          </cell>
          <cell r="D405" t="str">
            <v>N</v>
          </cell>
          <cell r="E405" t="str">
            <v>C</v>
          </cell>
          <cell r="F405" t="str">
            <v>01/19/2001</v>
          </cell>
        </row>
        <row r="406">
          <cell r="B406" t="str">
            <v>11799</v>
          </cell>
          <cell r="C406" t="str">
            <v>UEC</v>
          </cell>
          <cell r="D406" t="str">
            <v>N</v>
          </cell>
          <cell r="E406" t="str">
            <v>C</v>
          </cell>
          <cell r="F406" t="str">
            <v>09/19/2000</v>
          </cell>
        </row>
        <row r="407">
          <cell r="B407" t="str">
            <v>11800</v>
          </cell>
          <cell r="C407" t="str">
            <v>UEC</v>
          </cell>
          <cell r="D407" t="str">
            <v>N</v>
          </cell>
          <cell r="E407" t="str">
            <v>A</v>
          </cell>
          <cell r="F407" t="str">
            <v>01/19/2001</v>
          </cell>
        </row>
        <row r="408">
          <cell r="B408" t="str">
            <v>11801</v>
          </cell>
          <cell r="C408" t="str">
            <v>UEC</v>
          </cell>
          <cell r="D408" t="str">
            <v>N</v>
          </cell>
          <cell r="E408" t="str">
            <v>A</v>
          </cell>
          <cell r="F408" t="str">
            <v>01/30/2001</v>
          </cell>
        </row>
        <row r="409">
          <cell r="B409" t="str">
            <v>11803</v>
          </cell>
          <cell r="C409" t="str">
            <v>UEC</v>
          </cell>
          <cell r="D409" t="str">
            <v>N</v>
          </cell>
          <cell r="E409" t="str">
            <v>C</v>
          </cell>
          <cell r="F409" t="str">
            <v>09/19/2000</v>
          </cell>
        </row>
        <row r="410">
          <cell r="B410" t="str">
            <v>11805</v>
          </cell>
          <cell r="C410" t="str">
            <v>UEC</v>
          </cell>
          <cell r="D410" t="str">
            <v>N</v>
          </cell>
          <cell r="E410" t="str">
            <v>C</v>
          </cell>
          <cell r="F410" t="str">
            <v>01/30/2001</v>
          </cell>
        </row>
        <row r="411">
          <cell r="B411" t="str">
            <v>11815</v>
          </cell>
          <cell r="C411" t="str">
            <v>UEC</v>
          </cell>
          <cell r="D411" t="str">
            <v>N</v>
          </cell>
          <cell r="E411" t="str">
            <v>C</v>
          </cell>
          <cell r="F411" t="str">
            <v>06/01/2001</v>
          </cell>
        </row>
        <row r="412">
          <cell r="B412" t="str">
            <v>11818</v>
          </cell>
          <cell r="C412" t="str">
            <v>UEC</v>
          </cell>
          <cell r="D412" t="str">
            <v>N</v>
          </cell>
          <cell r="E412" t="str">
            <v>C</v>
          </cell>
          <cell r="F412" t="str">
            <v>07/31/2001</v>
          </cell>
        </row>
        <row r="413">
          <cell r="B413" t="str">
            <v>11819</v>
          </cell>
          <cell r="C413" t="str">
            <v>UEC</v>
          </cell>
          <cell r="D413" t="str">
            <v>N</v>
          </cell>
          <cell r="E413" t="str">
            <v>A</v>
          </cell>
          <cell r="F413" t="str">
            <v>01/09/2002</v>
          </cell>
        </row>
        <row r="414">
          <cell r="B414" t="str">
            <v>11822</v>
          </cell>
          <cell r="C414" t="str">
            <v>UEC</v>
          </cell>
          <cell r="D414" t="str">
            <v>N</v>
          </cell>
          <cell r="E414" t="str">
            <v>C</v>
          </cell>
          <cell r="F414" t="str">
            <v>05/09/2002</v>
          </cell>
        </row>
        <row r="415">
          <cell r="B415" t="str">
            <v>11825</v>
          </cell>
          <cell r="C415" t="str">
            <v>UEC</v>
          </cell>
          <cell r="D415" t="str">
            <v>N</v>
          </cell>
          <cell r="E415" t="str">
            <v>C</v>
          </cell>
          <cell r="F415" t="str">
            <v>08/01/2001</v>
          </cell>
        </row>
        <row r="416">
          <cell r="B416" t="str">
            <v>11826</v>
          </cell>
          <cell r="C416" t="str">
            <v>UEC</v>
          </cell>
          <cell r="D416" t="str">
            <v>N</v>
          </cell>
          <cell r="E416" t="str">
            <v>C</v>
          </cell>
          <cell r="F416" t="str">
            <v>07/15/2002</v>
          </cell>
        </row>
        <row r="417">
          <cell r="B417" t="str">
            <v>11847</v>
          </cell>
          <cell r="C417" t="str">
            <v>UEC</v>
          </cell>
          <cell r="D417" t="str">
            <v>N</v>
          </cell>
          <cell r="E417" t="str">
            <v>C</v>
          </cell>
          <cell r="F417" t="str">
            <v>01/02/2002</v>
          </cell>
        </row>
        <row r="418">
          <cell r="B418" t="str">
            <v>11848</v>
          </cell>
          <cell r="C418" t="str">
            <v>UEC</v>
          </cell>
          <cell r="D418" t="str">
            <v>N</v>
          </cell>
          <cell r="E418" t="str">
            <v>C</v>
          </cell>
          <cell r="F418" t="str">
            <v>09/25/2000</v>
          </cell>
        </row>
        <row r="419">
          <cell r="B419" t="str">
            <v>11853</v>
          </cell>
          <cell r="C419" t="str">
            <v>UEC</v>
          </cell>
          <cell r="D419" t="str">
            <v>N</v>
          </cell>
          <cell r="E419" t="str">
            <v>C</v>
          </cell>
          <cell r="F419" t="str">
            <v>09/21/2000</v>
          </cell>
        </row>
        <row r="420">
          <cell r="B420" t="str">
            <v>11855</v>
          </cell>
          <cell r="C420" t="str">
            <v>UEC</v>
          </cell>
          <cell r="D420" t="str">
            <v>N</v>
          </cell>
          <cell r="E420" t="str">
            <v>C</v>
          </cell>
          <cell r="F420" t="str">
            <v>08/26/2002</v>
          </cell>
        </row>
        <row r="421">
          <cell r="B421" t="str">
            <v>11865</v>
          </cell>
          <cell r="C421" t="str">
            <v>UEC</v>
          </cell>
          <cell r="D421" t="str">
            <v>N</v>
          </cell>
          <cell r="E421" t="str">
            <v>C</v>
          </cell>
          <cell r="F421" t="str">
            <v>03/22/2001</v>
          </cell>
        </row>
        <row r="422">
          <cell r="B422" t="str">
            <v>11876</v>
          </cell>
          <cell r="C422" t="str">
            <v>UEC</v>
          </cell>
          <cell r="D422" t="str">
            <v>N</v>
          </cell>
          <cell r="E422" t="str">
            <v>C</v>
          </cell>
          <cell r="F422" t="str">
            <v>12/09/2002</v>
          </cell>
        </row>
        <row r="423">
          <cell r="B423" t="str">
            <v>11880</v>
          </cell>
          <cell r="C423" t="str">
            <v>UEC</v>
          </cell>
          <cell r="D423" t="str">
            <v>N</v>
          </cell>
          <cell r="E423" t="str">
            <v>C</v>
          </cell>
          <cell r="F423" t="str">
            <v>08/23/2001</v>
          </cell>
        </row>
        <row r="424">
          <cell r="B424" t="str">
            <v>11884</v>
          </cell>
          <cell r="C424" t="str">
            <v>UEC</v>
          </cell>
          <cell r="D424" t="str">
            <v>N</v>
          </cell>
          <cell r="E424" t="str">
            <v>C</v>
          </cell>
          <cell r="F424" t="str">
            <v>08/23/2001</v>
          </cell>
        </row>
        <row r="425">
          <cell r="B425" t="str">
            <v>11887</v>
          </cell>
          <cell r="C425" t="str">
            <v>UEC</v>
          </cell>
          <cell r="D425" t="str">
            <v>N</v>
          </cell>
          <cell r="E425" t="str">
            <v>C</v>
          </cell>
          <cell r="F425" t="str">
            <v>05/09/2002</v>
          </cell>
        </row>
        <row r="426">
          <cell r="B426" t="str">
            <v>11888</v>
          </cell>
          <cell r="C426" t="str">
            <v>UEC</v>
          </cell>
          <cell r="D426" t="str">
            <v>N</v>
          </cell>
          <cell r="E426" t="str">
            <v>C</v>
          </cell>
          <cell r="F426" t="str">
            <v>08/23/2001</v>
          </cell>
        </row>
        <row r="427">
          <cell r="B427" t="str">
            <v>11889</v>
          </cell>
          <cell r="C427" t="str">
            <v>UEC</v>
          </cell>
          <cell r="D427" t="str">
            <v>N</v>
          </cell>
          <cell r="E427" t="str">
            <v>C</v>
          </cell>
          <cell r="F427" t="str">
            <v>04/09/2002</v>
          </cell>
        </row>
        <row r="428">
          <cell r="B428" t="str">
            <v>11891</v>
          </cell>
          <cell r="C428" t="str">
            <v>UEC</v>
          </cell>
          <cell r="D428" t="str">
            <v>N</v>
          </cell>
          <cell r="E428" t="str">
            <v>C</v>
          </cell>
          <cell r="F428" t="str">
            <v>09/20/2000</v>
          </cell>
        </row>
        <row r="429">
          <cell r="B429" t="str">
            <v>11892</v>
          </cell>
          <cell r="C429" t="str">
            <v>UEC</v>
          </cell>
          <cell r="D429" t="str">
            <v>N</v>
          </cell>
          <cell r="E429" t="str">
            <v>C</v>
          </cell>
          <cell r="F429" t="str">
            <v>04/09/2001</v>
          </cell>
        </row>
        <row r="430">
          <cell r="B430" t="str">
            <v>11906</v>
          </cell>
          <cell r="C430" t="str">
            <v>CIP</v>
          </cell>
          <cell r="D430" t="str">
            <v>N</v>
          </cell>
          <cell r="E430" t="str">
            <v>C</v>
          </cell>
          <cell r="F430" t="str">
            <v>05/21/2002</v>
          </cell>
        </row>
        <row r="431">
          <cell r="B431" t="str">
            <v>11911</v>
          </cell>
          <cell r="C431" t="str">
            <v>CIP</v>
          </cell>
          <cell r="D431" t="str">
            <v>N</v>
          </cell>
          <cell r="E431" t="str">
            <v>C</v>
          </cell>
          <cell r="F431" t="str">
            <v>05/21/2002</v>
          </cell>
        </row>
        <row r="432">
          <cell r="B432" t="str">
            <v>11915</v>
          </cell>
          <cell r="C432" t="str">
            <v>UEC</v>
          </cell>
          <cell r="D432" t="str">
            <v>N</v>
          </cell>
          <cell r="E432" t="str">
            <v>C</v>
          </cell>
          <cell r="F432" t="str">
            <v>09/25/2000</v>
          </cell>
        </row>
        <row r="433">
          <cell r="B433" t="str">
            <v>11916</v>
          </cell>
          <cell r="C433" t="str">
            <v>UEC</v>
          </cell>
          <cell r="D433" t="str">
            <v>N</v>
          </cell>
          <cell r="E433" t="str">
            <v>C</v>
          </cell>
          <cell r="F433" t="str">
            <v>09/06/2001</v>
          </cell>
        </row>
        <row r="434">
          <cell r="B434" t="str">
            <v>11917</v>
          </cell>
          <cell r="C434" t="str">
            <v>UEC</v>
          </cell>
          <cell r="D434" t="str">
            <v>N</v>
          </cell>
          <cell r="E434" t="str">
            <v>A</v>
          </cell>
          <cell r="F434" t="str">
            <v>04/04/2002</v>
          </cell>
        </row>
        <row r="435">
          <cell r="B435" t="str">
            <v>11918</v>
          </cell>
          <cell r="C435" t="str">
            <v>UEC</v>
          </cell>
          <cell r="D435" t="str">
            <v>N</v>
          </cell>
          <cell r="E435" t="str">
            <v>C</v>
          </cell>
          <cell r="F435" t="str">
            <v>06/25/2001</v>
          </cell>
        </row>
        <row r="436">
          <cell r="B436" t="str">
            <v>11919</v>
          </cell>
          <cell r="C436" t="str">
            <v>UEC</v>
          </cell>
          <cell r="D436" t="str">
            <v>N</v>
          </cell>
          <cell r="E436" t="str">
            <v>A</v>
          </cell>
          <cell r="F436" t="str">
            <v>02/27/2002</v>
          </cell>
        </row>
        <row r="437">
          <cell r="B437" t="str">
            <v>11922</v>
          </cell>
          <cell r="C437" t="str">
            <v>UEC</v>
          </cell>
          <cell r="D437" t="str">
            <v>N</v>
          </cell>
          <cell r="E437" t="str">
            <v>C</v>
          </cell>
          <cell r="F437" t="str">
            <v>10/02/2001</v>
          </cell>
        </row>
        <row r="438">
          <cell r="B438" t="str">
            <v>11927</v>
          </cell>
          <cell r="C438" t="str">
            <v>UEC</v>
          </cell>
          <cell r="D438" t="str">
            <v>Y</v>
          </cell>
          <cell r="E438" t="str">
            <v>C</v>
          </cell>
          <cell r="F438" t="str">
            <v>07/13/2001</v>
          </cell>
        </row>
        <row r="439">
          <cell r="B439" t="str">
            <v>11928</v>
          </cell>
          <cell r="C439" t="str">
            <v>UEC</v>
          </cell>
          <cell r="D439" t="str">
            <v>N</v>
          </cell>
          <cell r="E439" t="str">
            <v>C</v>
          </cell>
          <cell r="F439" t="str">
            <v>01/30/2001</v>
          </cell>
        </row>
        <row r="440">
          <cell r="B440" t="str">
            <v>11931</v>
          </cell>
          <cell r="C440" t="str">
            <v>UEC</v>
          </cell>
          <cell r="D440" t="str">
            <v>N</v>
          </cell>
          <cell r="E440" t="str">
            <v>C</v>
          </cell>
          <cell r="F440" t="str">
            <v>02/01/2001</v>
          </cell>
        </row>
        <row r="441">
          <cell r="B441" t="str">
            <v>11948</v>
          </cell>
          <cell r="C441" t="str">
            <v>UEC</v>
          </cell>
          <cell r="D441" t="str">
            <v>N</v>
          </cell>
          <cell r="E441" t="str">
            <v>C</v>
          </cell>
          <cell r="F441" t="str">
            <v>10/05/2001</v>
          </cell>
        </row>
        <row r="442">
          <cell r="B442" t="str">
            <v>11958</v>
          </cell>
          <cell r="C442" t="str">
            <v>UEC</v>
          </cell>
          <cell r="D442" t="str">
            <v>N</v>
          </cell>
          <cell r="E442" t="str">
            <v>C</v>
          </cell>
          <cell r="F442" t="str">
            <v>07/20/2001</v>
          </cell>
        </row>
        <row r="443">
          <cell r="B443" t="str">
            <v>11966</v>
          </cell>
          <cell r="C443" t="str">
            <v>UEC</v>
          </cell>
          <cell r="D443" t="str">
            <v>N</v>
          </cell>
          <cell r="E443" t="str">
            <v>C</v>
          </cell>
          <cell r="F443" t="str">
            <v>11/05/2001</v>
          </cell>
        </row>
        <row r="444">
          <cell r="B444" t="str">
            <v>11968</v>
          </cell>
          <cell r="C444" t="str">
            <v>UEC</v>
          </cell>
          <cell r="D444" t="str">
            <v>N</v>
          </cell>
          <cell r="E444" t="str">
            <v>C</v>
          </cell>
          <cell r="F444" t="str">
            <v>04/10/2001</v>
          </cell>
        </row>
        <row r="445">
          <cell r="B445" t="str">
            <v>11986</v>
          </cell>
          <cell r="C445" t="str">
            <v>CIP</v>
          </cell>
          <cell r="D445" t="str">
            <v>N</v>
          </cell>
          <cell r="E445" t="str">
            <v>C</v>
          </cell>
          <cell r="F445" t="str">
            <v>10/20/2000</v>
          </cell>
        </row>
        <row r="446">
          <cell r="B446" t="str">
            <v>11987</v>
          </cell>
          <cell r="C446" t="str">
            <v>UEC</v>
          </cell>
          <cell r="D446" t="str">
            <v>N</v>
          </cell>
          <cell r="E446" t="str">
            <v>C</v>
          </cell>
          <cell r="F446" t="str">
            <v>09/19/2001</v>
          </cell>
        </row>
        <row r="447">
          <cell r="B447" t="str">
            <v>11989</v>
          </cell>
          <cell r="C447" t="str">
            <v>UEC</v>
          </cell>
          <cell r="D447" t="str">
            <v>N</v>
          </cell>
          <cell r="E447" t="str">
            <v>C</v>
          </cell>
          <cell r="F447" t="str">
            <v>04/24/2001</v>
          </cell>
        </row>
        <row r="448">
          <cell r="B448" t="str">
            <v>11990</v>
          </cell>
          <cell r="C448" t="str">
            <v>UEC</v>
          </cell>
          <cell r="D448" t="str">
            <v>N</v>
          </cell>
          <cell r="E448" t="str">
            <v>A</v>
          </cell>
          <cell r="F448" t="str">
            <v>03/07/2002</v>
          </cell>
        </row>
        <row r="449">
          <cell r="B449" t="str">
            <v>11994</v>
          </cell>
          <cell r="C449" t="str">
            <v>UEC</v>
          </cell>
          <cell r="D449" t="str">
            <v>N</v>
          </cell>
          <cell r="E449" t="str">
            <v>C</v>
          </cell>
          <cell r="F449" t="str">
            <v>05/13/2002</v>
          </cell>
        </row>
        <row r="450">
          <cell r="B450" t="str">
            <v>11995</v>
          </cell>
          <cell r="C450" t="str">
            <v>UEC</v>
          </cell>
          <cell r="D450" t="str">
            <v>N</v>
          </cell>
          <cell r="E450" t="str">
            <v>I</v>
          </cell>
          <cell r="F450" t="str">
            <v>12/19/2003</v>
          </cell>
        </row>
        <row r="451">
          <cell r="B451" t="str">
            <v>11995</v>
          </cell>
          <cell r="C451" t="str">
            <v>UEC</v>
          </cell>
          <cell r="D451" t="str">
            <v>N</v>
          </cell>
          <cell r="E451" t="str">
            <v>I</v>
          </cell>
          <cell r="F451" t="str">
            <v>12/19/2003</v>
          </cell>
        </row>
        <row r="452">
          <cell r="B452" t="str">
            <v>12000</v>
          </cell>
          <cell r="C452" t="str">
            <v>UEC</v>
          </cell>
          <cell r="D452" t="str">
            <v>N</v>
          </cell>
          <cell r="E452" t="str">
            <v>C</v>
          </cell>
          <cell r="F452" t="str">
            <v>08/15/2002</v>
          </cell>
        </row>
        <row r="453">
          <cell r="B453" t="str">
            <v>12001</v>
          </cell>
          <cell r="C453" t="str">
            <v>UEC</v>
          </cell>
          <cell r="D453" t="str">
            <v>N</v>
          </cell>
          <cell r="E453" t="str">
            <v>A</v>
          </cell>
          <cell r="F453" t="str">
            <v>09/05/2003</v>
          </cell>
        </row>
        <row r="454">
          <cell r="B454" t="str">
            <v>12006</v>
          </cell>
          <cell r="C454" t="str">
            <v>UEC</v>
          </cell>
          <cell r="D454" t="str">
            <v>N</v>
          </cell>
          <cell r="E454" t="str">
            <v>C</v>
          </cell>
          <cell r="F454" t="str">
            <v>04/30/2002</v>
          </cell>
        </row>
        <row r="455">
          <cell r="B455" t="str">
            <v>12008</v>
          </cell>
          <cell r="C455" t="str">
            <v>UEC</v>
          </cell>
          <cell r="D455" t="str">
            <v>N</v>
          </cell>
          <cell r="E455" t="str">
            <v>C</v>
          </cell>
          <cell r="F455" t="str">
            <v>04/30/2002</v>
          </cell>
        </row>
        <row r="456">
          <cell r="B456" t="str">
            <v>12015</v>
          </cell>
          <cell r="C456" t="str">
            <v>UEC</v>
          </cell>
          <cell r="D456" t="str">
            <v>N</v>
          </cell>
          <cell r="E456" t="str">
            <v>A</v>
          </cell>
          <cell r="F456" t="str">
            <v>11/16/2000</v>
          </cell>
        </row>
        <row r="457">
          <cell r="B457" t="str">
            <v>12016</v>
          </cell>
          <cell r="C457" t="str">
            <v>UEC</v>
          </cell>
          <cell r="D457" t="str">
            <v>N</v>
          </cell>
          <cell r="E457" t="str">
            <v>A</v>
          </cell>
          <cell r="F457" t="str">
            <v>08/04/2003</v>
          </cell>
        </row>
        <row r="458">
          <cell r="B458" t="str">
            <v>12038</v>
          </cell>
          <cell r="C458" t="str">
            <v>UEC</v>
          </cell>
          <cell r="D458" t="str">
            <v>N</v>
          </cell>
          <cell r="E458" t="str">
            <v>C</v>
          </cell>
          <cell r="F458" t="str">
            <v>05/17/2001</v>
          </cell>
        </row>
        <row r="459">
          <cell r="B459" t="str">
            <v>12040</v>
          </cell>
          <cell r="C459" t="str">
            <v>UEC</v>
          </cell>
          <cell r="D459" t="str">
            <v>N</v>
          </cell>
          <cell r="E459" t="str">
            <v>C</v>
          </cell>
          <cell r="F459" t="str">
            <v>08/30/2001</v>
          </cell>
        </row>
        <row r="460">
          <cell r="B460" t="str">
            <v>12041</v>
          </cell>
          <cell r="C460" t="str">
            <v>CIP</v>
          </cell>
          <cell r="D460" t="str">
            <v>N</v>
          </cell>
          <cell r="E460" t="str">
            <v>A</v>
          </cell>
          <cell r="F460" t="str">
            <v>02/02/2001</v>
          </cell>
        </row>
        <row r="461">
          <cell r="B461" t="str">
            <v>12046</v>
          </cell>
          <cell r="C461" t="str">
            <v>CIP</v>
          </cell>
          <cell r="D461" t="str">
            <v>N</v>
          </cell>
          <cell r="E461" t="str">
            <v>C</v>
          </cell>
          <cell r="F461" t="str">
            <v>10/03/2000</v>
          </cell>
        </row>
        <row r="462">
          <cell r="B462" t="str">
            <v>12059</v>
          </cell>
          <cell r="C462" t="str">
            <v>UEC</v>
          </cell>
          <cell r="D462" t="str">
            <v>N</v>
          </cell>
          <cell r="E462" t="str">
            <v>A</v>
          </cell>
          <cell r="F462" t="str">
            <v>03/28/2001</v>
          </cell>
        </row>
        <row r="463">
          <cell r="B463" t="str">
            <v>12063</v>
          </cell>
          <cell r="C463" t="str">
            <v>UEC</v>
          </cell>
          <cell r="D463" t="str">
            <v>N</v>
          </cell>
          <cell r="E463" t="str">
            <v>A</v>
          </cell>
          <cell r="F463" t="str">
            <v>10/17/2002</v>
          </cell>
        </row>
        <row r="464">
          <cell r="B464" t="str">
            <v>12066</v>
          </cell>
          <cell r="C464" t="str">
            <v>UEC</v>
          </cell>
          <cell r="D464" t="str">
            <v>N</v>
          </cell>
          <cell r="E464" t="str">
            <v>C</v>
          </cell>
          <cell r="F464" t="str">
            <v>09/28/2000</v>
          </cell>
        </row>
        <row r="465">
          <cell r="B465" t="str">
            <v>12067</v>
          </cell>
          <cell r="C465" t="str">
            <v>CIP</v>
          </cell>
          <cell r="D465" t="str">
            <v>N</v>
          </cell>
          <cell r="E465" t="str">
            <v>C</v>
          </cell>
          <cell r="F465" t="str">
            <v>09/28/2000</v>
          </cell>
        </row>
        <row r="466">
          <cell r="B466" t="str">
            <v>12068</v>
          </cell>
          <cell r="C466" t="str">
            <v>UEC</v>
          </cell>
          <cell r="D466" t="str">
            <v>N</v>
          </cell>
          <cell r="E466" t="str">
            <v>C</v>
          </cell>
          <cell r="F466" t="str">
            <v>02/22/2001</v>
          </cell>
        </row>
        <row r="467">
          <cell r="B467" t="str">
            <v>12071</v>
          </cell>
          <cell r="C467" t="str">
            <v>CIP</v>
          </cell>
          <cell r="D467" t="str">
            <v>N</v>
          </cell>
          <cell r="E467" t="str">
            <v>C</v>
          </cell>
          <cell r="F467" t="str">
            <v>10/31/2001</v>
          </cell>
        </row>
        <row r="468">
          <cell r="B468" t="str">
            <v>12073</v>
          </cell>
          <cell r="C468" t="str">
            <v>CIP</v>
          </cell>
          <cell r="D468" t="str">
            <v>N</v>
          </cell>
          <cell r="E468" t="str">
            <v>C</v>
          </cell>
          <cell r="F468" t="str">
            <v>01/10/2003</v>
          </cell>
        </row>
        <row r="469">
          <cell r="B469" t="str">
            <v>12162</v>
          </cell>
          <cell r="C469" t="str">
            <v>UEC</v>
          </cell>
          <cell r="D469" t="str">
            <v>N</v>
          </cell>
          <cell r="E469" t="str">
            <v>C</v>
          </cell>
          <cell r="F469" t="str">
            <v>04/09/2001</v>
          </cell>
        </row>
        <row r="470">
          <cell r="B470" t="str">
            <v>12170</v>
          </cell>
          <cell r="C470" t="str">
            <v>UEC</v>
          </cell>
          <cell r="D470" t="str">
            <v>N</v>
          </cell>
          <cell r="E470" t="str">
            <v>A</v>
          </cell>
          <cell r="F470" t="str">
            <v>02/13/2001</v>
          </cell>
        </row>
        <row r="471">
          <cell r="B471" t="str">
            <v>12171</v>
          </cell>
          <cell r="C471" t="str">
            <v>UEC</v>
          </cell>
          <cell r="D471" t="str">
            <v>N</v>
          </cell>
          <cell r="E471" t="str">
            <v>A</v>
          </cell>
          <cell r="F471" t="str">
            <v>02/20/2001</v>
          </cell>
        </row>
        <row r="472">
          <cell r="B472" t="str">
            <v>12183</v>
          </cell>
          <cell r="C472" t="str">
            <v>UEC</v>
          </cell>
          <cell r="D472" t="str">
            <v>N</v>
          </cell>
          <cell r="E472" t="str">
            <v>C</v>
          </cell>
          <cell r="F472" t="str">
            <v>05/22/2001</v>
          </cell>
        </row>
        <row r="473">
          <cell r="B473" t="str">
            <v>12207</v>
          </cell>
          <cell r="C473" t="str">
            <v>CIP</v>
          </cell>
          <cell r="D473" t="str">
            <v>N</v>
          </cell>
          <cell r="E473" t="str">
            <v>A</v>
          </cell>
          <cell r="F473" t="str">
            <v>01/30/2001</v>
          </cell>
        </row>
        <row r="474">
          <cell r="B474" t="str">
            <v>12208</v>
          </cell>
          <cell r="C474" t="str">
            <v>CIP</v>
          </cell>
          <cell r="D474" t="str">
            <v>N</v>
          </cell>
          <cell r="E474" t="str">
            <v>C</v>
          </cell>
          <cell r="F474" t="str">
            <v>10/26/2000</v>
          </cell>
        </row>
        <row r="475">
          <cell r="B475" t="str">
            <v>12211</v>
          </cell>
          <cell r="C475" t="str">
            <v>UEC</v>
          </cell>
          <cell r="D475" t="str">
            <v>N</v>
          </cell>
          <cell r="E475" t="str">
            <v>A</v>
          </cell>
          <cell r="F475" t="str">
            <v>01/30/2001</v>
          </cell>
        </row>
        <row r="476">
          <cell r="B476" t="str">
            <v>12212</v>
          </cell>
          <cell r="C476" t="str">
            <v>UEC</v>
          </cell>
          <cell r="D476" t="str">
            <v>N</v>
          </cell>
          <cell r="E476" t="str">
            <v>C</v>
          </cell>
          <cell r="F476" t="str">
            <v>03/05/2001</v>
          </cell>
        </row>
        <row r="477">
          <cell r="B477" t="str">
            <v>12218</v>
          </cell>
          <cell r="C477" t="str">
            <v>UEC</v>
          </cell>
          <cell r="D477" t="str">
            <v>N</v>
          </cell>
          <cell r="E477" t="str">
            <v>A</v>
          </cell>
          <cell r="F477" t="str">
            <v>04/15/2002</v>
          </cell>
        </row>
        <row r="478">
          <cell r="B478" t="str">
            <v>12224</v>
          </cell>
          <cell r="C478" t="str">
            <v>UEC</v>
          </cell>
          <cell r="D478" t="str">
            <v>N</v>
          </cell>
          <cell r="E478" t="str">
            <v>A</v>
          </cell>
          <cell r="F478" t="str">
            <v>05/22/2001</v>
          </cell>
        </row>
        <row r="479">
          <cell r="B479" t="str">
            <v>12226</v>
          </cell>
          <cell r="C479" t="str">
            <v>UEC</v>
          </cell>
          <cell r="D479" t="str">
            <v>N</v>
          </cell>
          <cell r="E479" t="str">
            <v>C</v>
          </cell>
          <cell r="F479" t="str">
            <v>02/20/2001</v>
          </cell>
        </row>
        <row r="480">
          <cell r="B480" t="str">
            <v>12238</v>
          </cell>
          <cell r="C480" t="str">
            <v>UEC</v>
          </cell>
          <cell r="D480" t="str">
            <v>N</v>
          </cell>
          <cell r="E480" t="str">
            <v>I</v>
          </cell>
          <cell r="F480" t="str">
            <v>04/26/2001</v>
          </cell>
        </row>
        <row r="481">
          <cell r="B481" t="str">
            <v>12250</v>
          </cell>
          <cell r="C481" t="str">
            <v>UEC</v>
          </cell>
          <cell r="D481" t="str">
            <v>N</v>
          </cell>
          <cell r="E481" t="str">
            <v>I</v>
          </cell>
          <cell r="F481" t="str">
            <v>02/27/2001</v>
          </cell>
        </row>
        <row r="482">
          <cell r="B482" t="str">
            <v>12298</v>
          </cell>
          <cell r="C482" t="str">
            <v>CIP</v>
          </cell>
          <cell r="D482" t="str">
            <v>N</v>
          </cell>
          <cell r="E482" t="str">
            <v>A</v>
          </cell>
          <cell r="F482" t="str">
            <v>04/18/2001</v>
          </cell>
        </row>
        <row r="483">
          <cell r="B483" t="str">
            <v>12299</v>
          </cell>
          <cell r="C483" t="str">
            <v>UEC</v>
          </cell>
          <cell r="D483" t="str">
            <v>N</v>
          </cell>
          <cell r="E483" t="str">
            <v>A</v>
          </cell>
          <cell r="F483" t="str">
            <v>03/01/2001</v>
          </cell>
        </row>
        <row r="484">
          <cell r="B484" t="str">
            <v>12300</v>
          </cell>
          <cell r="C484" t="str">
            <v>UEC</v>
          </cell>
          <cell r="D484" t="str">
            <v>N</v>
          </cell>
          <cell r="E484" t="str">
            <v>A</v>
          </cell>
          <cell r="F484" t="str">
            <v>03/01/2001</v>
          </cell>
        </row>
        <row r="485">
          <cell r="B485" t="str">
            <v>12308</v>
          </cell>
          <cell r="C485" t="str">
            <v>CIP</v>
          </cell>
          <cell r="D485" t="str">
            <v>N</v>
          </cell>
          <cell r="E485" t="str">
            <v>C</v>
          </cell>
          <cell r="F485" t="str">
            <v>10/10/2000</v>
          </cell>
        </row>
        <row r="486">
          <cell r="B486" t="str">
            <v>12330</v>
          </cell>
          <cell r="C486" t="str">
            <v>UEC</v>
          </cell>
          <cell r="D486" t="str">
            <v>N</v>
          </cell>
          <cell r="E486" t="str">
            <v>C</v>
          </cell>
          <cell r="F486" t="str">
            <v>10/26/2000</v>
          </cell>
        </row>
        <row r="487">
          <cell r="B487" t="str">
            <v>12338</v>
          </cell>
          <cell r="C487" t="str">
            <v>AED</v>
          </cell>
          <cell r="D487" t="str">
            <v>N</v>
          </cell>
          <cell r="E487" t="str">
            <v>A</v>
          </cell>
          <cell r="F487" t="str">
            <v>11/01/2000</v>
          </cell>
        </row>
        <row r="488">
          <cell r="B488" t="str">
            <v>12344</v>
          </cell>
          <cell r="C488" t="str">
            <v>UEC</v>
          </cell>
          <cell r="D488" t="str">
            <v>N</v>
          </cell>
          <cell r="E488" t="str">
            <v>C</v>
          </cell>
          <cell r="F488" t="str">
            <v>05/09/2001</v>
          </cell>
        </row>
        <row r="489">
          <cell r="B489" t="str">
            <v>12345</v>
          </cell>
          <cell r="C489" t="str">
            <v>UEC</v>
          </cell>
          <cell r="D489" t="str">
            <v>N</v>
          </cell>
          <cell r="E489" t="str">
            <v>C</v>
          </cell>
          <cell r="F489" t="str">
            <v>05/09/2001</v>
          </cell>
        </row>
        <row r="490">
          <cell r="B490" t="str">
            <v>12358</v>
          </cell>
          <cell r="C490" t="str">
            <v>CIP</v>
          </cell>
          <cell r="D490" t="str">
            <v>N</v>
          </cell>
          <cell r="E490" t="str">
            <v>C</v>
          </cell>
          <cell r="F490" t="str">
            <v>04/30/2001</v>
          </cell>
        </row>
        <row r="491">
          <cell r="B491" t="str">
            <v>12359</v>
          </cell>
          <cell r="C491" t="str">
            <v>CIP</v>
          </cell>
          <cell r="D491" t="str">
            <v>N</v>
          </cell>
          <cell r="E491" t="str">
            <v>A</v>
          </cell>
          <cell r="F491" t="str">
            <v>04/30/2001</v>
          </cell>
        </row>
        <row r="492">
          <cell r="B492" t="str">
            <v>12363</v>
          </cell>
          <cell r="C492" t="str">
            <v>UEC</v>
          </cell>
          <cell r="D492" t="str">
            <v>N</v>
          </cell>
          <cell r="E492" t="str">
            <v>C</v>
          </cell>
          <cell r="F492" t="str">
            <v>02/22/2002</v>
          </cell>
        </row>
        <row r="493">
          <cell r="B493" t="str">
            <v>12365</v>
          </cell>
          <cell r="C493" t="str">
            <v>UEC</v>
          </cell>
          <cell r="D493" t="str">
            <v>N</v>
          </cell>
          <cell r="E493" t="str">
            <v>C</v>
          </cell>
          <cell r="F493" t="str">
            <v>05/02/2001</v>
          </cell>
        </row>
        <row r="494">
          <cell r="B494" t="str">
            <v>12366</v>
          </cell>
          <cell r="C494" t="str">
            <v>UEC</v>
          </cell>
          <cell r="D494" t="str">
            <v>N</v>
          </cell>
          <cell r="E494" t="str">
            <v>C</v>
          </cell>
          <cell r="F494" t="str">
            <v>05/04/2001</v>
          </cell>
        </row>
        <row r="495">
          <cell r="B495" t="str">
            <v>12370</v>
          </cell>
          <cell r="C495" t="str">
            <v>UEC</v>
          </cell>
          <cell r="D495" t="str">
            <v>N</v>
          </cell>
          <cell r="E495" t="str">
            <v>A</v>
          </cell>
          <cell r="F495" t="str">
            <v>05/07/2001</v>
          </cell>
        </row>
        <row r="496">
          <cell r="B496" t="str">
            <v>12371</v>
          </cell>
          <cell r="C496" t="str">
            <v>UEC</v>
          </cell>
          <cell r="D496" t="str">
            <v>N</v>
          </cell>
          <cell r="E496" t="str">
            <v>C</v>
          </cell>
          <cell r="F496" t="str">
            <v>05/08/2001</v>
          </cell>
        </row>
        <row r="497">
          <cell r="B497" t="str">
            <v>12372</v>
          </cell>
          <cell r="C497" t="str">
            <v>UEC</v>
          </cell>
          <cell r="D497" t="str">
            <v>N</v>
          </cell>
          <cell r="E497" t="str">
            <v>C</v>
          </cell>
          <cell r="F497" t="str">
            <v>05/08/2001</v>
          </cell>
        </row>
        <row r="498">
          <cell r="B498" t="str">
            <v>12373</v>
          </cell>
          <cell r="C498" t="str">
            <v>UEC</v>
          </cell>
          <cell r="D498" t="str">
            <v>N</v>
          </cell>
          <cell r="E498" t="str">
            <v>C</v>
          </cell>
          <cell r="F498" t="str">
            <v>05/08/2001</v>
          </cell>
        </row>
        <row r="499">
          <cell r="B499" t="str">
            <v>12383</v>
          </cell>
          <cell r="C499" t="str">
            <v>UEC</v>
          </cell>
          <cell r="D499" t="str">
            <v>N</v>
          </cell>
          <cell r="E499" t="str">
            <v>C</v>
          </cell>
          <cell r="F499" t="str">
            <v>05/08/2001</v>
          </cell>
        </row>
        <row r="500">
          <cell r="B500" t="str">
            <v>12384</v>
          </cell>
          <cell r="C500" t="str">
            <v>UEC</v>
          </cell>
          <cell r="D500" t="str">
            <v>N</v>
          </cell>
          <cell r="E500" t="str">
            <v>I</v>
          </cell>
          <cell r="F500" t="str">
            <v>05/08/2001</v>
          </cell>
        </row>
        <row r="501">
          <cell r="B501" t="str">
            <v>12385</v>
          </cell>
          <cell r="C501" t="str">
            <v>UEC</v>
          </cell>
          <cell r="D501" t="str">
            <v>N</v>
          </cell>
          <cell r="E501" t="str">
            <v>I</v>
          </cell>
          <cell r="F501" t="str">
            <v>05/08/2001</v>
          </cell>
        </row>
        <row r="502">
          <cell r="B502" t="str">
            <v>12386</v>
          </cell>
          <cell r="C502" t="str">
            <v>UEC</v>
          </cell>
          <cell r="D502" t="str">
            <v>N</v>
          </cell>
          <cell r="E502" t="str">
            <v>I</v>
          </cell>
          <cell r="F502" t="str">
            <v>05/08/2001</v>
          </cell>
        </row>
        <row r="503">
          <cell r="B503" t="str">
            <v>12387</v>
          </cell>
          <cell r="C503" t="str">
            <v>UEC</v>
          </cell>
          <cell r="D503" t="str">
            <v>N</v>
          </cell>
          <cell r="E503" t="str">
            <v>I</v>
          </cell>
          <cell r="F503" t="str">
            <v>05/08/2001</v>
          </cell>
        </row>
        <row r="504">
          <cell r="B504" t="str">
            <v>12390</v>
          </cell>
          <cell r="C504" t="str">
            <v>UEC</v>
          </cell>
          <cell r="D504" t="str">
            <v>N</v>
          </cell>
          <cell r="E504" t="str">
            <v>I</v>
          </cell>
          <cell r="F504" t="str">
            <v>05/08/2001</v>
          </cell>
        </row>
        <row r="505">
          <cell r="B505" t="str">
            <v>12391</v>
          </cell>
          <cell r="C505" t="str">
            <v>UEC</v>
          </cell>
          <cell r="D505" t="str">
            <v>N</v>
          </cell>
          <cell r="E505" t="str">
            <v>C</v>
          </cell>
          <cell r="F505" t="str">
            <v>05/09/2001</v>
          </cell>
        </row>
        <row r="506">
          <cell r="B506" t="str">
            <v>12404</v>
          </cell>
          <cell r="C506" t="str">
            <v>UEC</v>
          </cell>
          <cell r="D506" t="str">
            <v>N</v>
          </cell>
          <cell r="E506" t="str">
            <v>C</v>
          </cell>
          <cell r="F506" t="str">
            <v>07/20/2001</v>
          </cell>
        </row>
        <row r="507">
          <cell r="B507" t="str">
            <v>12408</v>
          </cell>
          <cell r="C507" t="str">
            <v>UEC</v>
          </cell>
          <cell r="D507" t="str">
            <v>N</v>
          </cell>
          <cell r="E507" t="str">
            <v>C</v>
          </cell>
          <cell r="F507" t="str">
            <v>07/20/2001</v>
          </cell>
        </row>
        <row r="508">
          <cell r="B508" t="str">
            <v>12412</v>
          </cell>
          <cell r="C508" t="str">
            <v>CIP</v>
          </cell>
          <cell r="D508" t="str">
            <v>N</v>
          </cell>
          <cell r="E508" t="str">
            <v>C</v>
          </cell>
          <cell r="F508" t="str">
            <v>07/27/2001</v>
          </cell>
        </row>
        <row r="509">
          <cell r="B509" t="str">
            <v>12428</v>
          </cell>
          <cell r="C509" t="str">
            <v>UEC</v>
          </cell>
          <cell r="D509" t="str">
            <v>N</v>
          </cell>
          <cell r="E509" t="str">
            <v>A</v>
          </cell>
          <cell r="F509" t="str">
            <v>05/23/2001</v>
          </cell>
        </row>
        <row r="510">
          <cell r="B510" t="str">
            <v>12432</v>
          </cell>
          <cell r="C510" t="str">
            <v>CIP</v>
          </cell>
          <cell r="D510" t="str">
            <v>N</v>
          </cell>
          <cell r="E510" t="str">
            <v>C</v>
          </cell>
          <cell r="F510" t="str">
            <v>10/12/2001</v>
          </cell>
        </row>
        <row r="511">
          <cell r="B511" t="str">
            <v>12440</v>
          </cell>
          <cell r="C511" t="str">
            <v>CIP</v>
          </cell>
          <cell r="D511" t="str">
            <v>N</v>
          </cell>
          <cell r="E511" t="str">
            <v>C</v>
          </cell>
          <cell r="F511" t="str">
            <v>02/04/2002</v>
          </cell>
        </row>
        <row r="512">
          <cell r="B512" t="str">
            <v>12443</v>
          </cell>
          <cell r="C512" t="str">
            <v>UEC</v>
          </cell>
          <cell r="D512" t="str">
            <v>N</v>
          </cell>
          <cell r="E512" t="str">
            <v>A</v>
          </cell>
          <cell r="F512" t="str">
            <v>05/17/2001</v>
          </cell>
        </row>
        <row r="513">
          <cell r="B513" t="str">
            <v>12444</v>
          </cell>
          <cell r="C513" t="str">
            <v>UEC</v>
          </cell>
          <cell r="D513" t="str">
            <v>N</v>
          </cell>
          <cell r="E513" t="str">
            <v>A</v>
          </cell>
          <cell r="F513" t="str">
            <v>05/24/2001</v>
          </cell>
        </row>
        <row r="514">
          <cell r="B514" t="str">
            <v>12449</v>
          </cell>
          <cell r="C514" t="str">
            <v>UEC</v>
          </cell>
          <cell r="D514" t="str">
            <v>N</v>
          </cell>
          <cell r="E514" t="str">
            <v>A</v>
          </cell>
          <cell r="F514" t="str">
            <v>07/13/2001</v>
          </cell>
        </row>
        <row r="515">
          <cell r="B515" t="str">
            <v>12455</v>
          </cell>
          <cell r="C515" t="str">
            <v>CIP</v>
          </cell>
          <cell r="D515" t="str">
            <v>N</v>
          </cell>
          <cell r="E515" t="str">
            <v>C</v>
          </cell>
          <cell r="F515" t="str">
            <v>07/20/2001</v>
          </cell>
        </row>
        <row r="516">
          <cell r="B516" t="str">
            <v>12477</v>
          </cell>
          <cell r="C516" t="str">
            <v>UEC</v>
          </cell>
          <cell r="D516" t="str">
            <v>N</v>
          </cell>
          <cell r="E516" t="str">
            <v>C</v>
          </cell>
          <cell r="F516" t="str">
            <v>02/26/2003</v>
          </cell>
        </row>
        <row r="517">
          <cell r="B517" t="str">
            <v>12483</v>
          </cell>
          <cell r="C517" t="str">
            <v>UEC</v>
          </cell>
          <cell r="D517" t="str">
            <v>N</v>
          </cell>
          <cell r="E517" t="str">
            <v>A</v>
          </cell>
          <cell r="F517" t="str">
            <v>06/13/2001</v>
          </cell>
        </row>
        <row r="518">
          <cell r="B518" t="str">
            <v>12484</v>
          </cell>
          <cell r="C518" t="str">
            <v>UEC</v>
          </cell>
          <cell r="D518" t="str">
            <v>N</v>
          </cell>
          <cell r="E518" t="str">
            <v>A</v>
          </cell>
          <cell r="F518" t="str">
            <v>06/13/2001</v>
          </cell>
        </row>
        <row r="519">
          <cell r="B519" t="str">
            <v>12485</v>
          </cell>
          <cell r="C519" t="str">
            <v>UEC</v>
          </cell>
          <cell r="D519" t="str">
            <v>N</v>
          </cell>
          <cell r="E519" t="str">
            <v>A</v>
          </cell>
          <cell r="F519" t="str">
            <v>06/13/2001</v>
          </cell>
        </row>
        <row r="520">
          <cell r="B520" t="str">
            <v>12486</v>
          </cell>
          <cell r="C520" t="str">
            <v>UEC</v>
          </cell>
          <cell r="D520" t="str">
            <v>N</v>
          </cell>
          <cell r="E520" t="str">
            <v>A</v>
          </cell>
          <cell r="F520" t="str">
            <v>06/13/2001</v>
          </cell>
        </row>
        <row r="521">
          <cell r="B521" t="str">
            <v>12488</v>
          </cell>
          <cell r="C521" t="str">
            <v>UEC</v>
          </cell>
          <cell r="D521" t="str">
            <v>N</v>
          </cell>
          <cell r="E521" t="str">
            <v>C</v>
          </cell>
          <cell r="F521" t="str">
            <v>05/01/2002</v>
          </cell>
        </row>
        <row r="522">
          <cell r="B522" t="str">
            <v>12490</v>
          </cell>
          <cell r="C522" t="str">
            <v>UEC</v>
          </cell>
          <cell r="D522" t="str">
            <v>N</v>
          </cell>
          <cell r="E522" t="str">
            <v>C</v>
          </cell>
          <cell r="F522" t="str">
            <v>11/25/2002</v>
          </cell>
        </row>
        <row r="523">
          <cell r="B523" t="str">
            <v>12494</v>
          </cell>
          <cell r="C523" t="str">
            <v>UEC</v>
          </cell>
          <cell r="D523" t="str">
            <v>N</v>
          </cell>
          <cell r="E523" t="str">
            <v>A</v>
          </cell>
          <cell r="F523" t="str">
            <v>05/29/2001</v>
          </cell>
        </row>
        <row r="524">
          <cell r="B524" t="str">
            <v>12495</v>
          </cell>
          <cell r="C524" t="str">
            <v>AEC</v>
          </cell>
          <cell r="D524" t="str">
            <v>N</v>
          </cell>
          <cell r="E524" t="str">
            <v>C</v>
          </cell>
          <cell r="F524" t="str">
            <v>06/01/2001</v>
          </cell>
        </row>
        <row r="525">
          <cell r="B525" t="str">
            <v>12522</v>
          </cell>
          <cell r="C525" t="str">
            <v>UEC</v>
          </cell>
          <cell r="D525" t="str">
            <v>N</v>
          </cell>
          <cell r="E525" t="str">
            <v>A</v>
          </cell>
          <cell r="F525" t="str">
            <v>10/31/2002</v>
          </cell>
        </row>
        <row r="526">
          <cell r="B526" t="str">
            <v>12523</v>
          </cell>
          <cell r="C526" t="str">
            <v>UEC</v>
          </cell>
          <cell r="D526" t="str">
            <v>N</v>
          </cell>
          <cell r="E526" t="str">
            <v>A</v>
          </cell>
          <cell r="F526" t="str">
            <v>10/31/2002</v>
          </cell>
        </row>
        <row r="527">
          <cell r="B527" t="str">
            <v>12524</v>
          </cell>
          <cell r="C527" t="str">
            <v>UEC</v>
          </cell>
          <cell r="D527" t="str">
            <v>N</v>
          </cell>
          <cell r="E527" t="str">
            <v>C</v>
          </cell>
          <cell r="F527" t="str">
            <v>12/03/2001</v>
          </cell>
        </row>
        <row r="528">
          <cell r="B528" t="str">
            <v>12525</v>
          </cell>
          <cell r="C528" t="str">
            <v>UEC</v>
          </cell>
          <cell r="D528" t="str">
            <v>N</v>
          </cell>
          <cell r="E528" t="str">
            <v>A</v>
          </cell>
          <cell r="F528" t="str">
            <v>06/01/2001</v>
          </cell>
        </row>
        <row r="529">
          <cell r="B529" t="str">
            <v>12526</v>
          </cell>
          <cell r="C529" t="str">
            <v>GEN</v>
          </cell>
          <cell r="D529" t="str">
            <v>N</v>
          </cell>
          <cell r="E529" t="str">
            <v>A</v>
          </cell>
          <cell r="F529" t="str">
            <v>06/18/2001</v>
          </cell>
        </row>
        <row r="530">
          <cell r="B530" t="str">
            <v>12527</v>
          </cell>
          <cell r="C530" t="str">
            <v>UEC</v>
          </cell>
          <cell r="D530" t="str">
            <v>N</v>
          </cell>
          <cell r="E530" t="str">
            <v>C</v>
          </cell>
          <cell r="F530" t="str">
            <v>07/16/2001</v>
          </cell>
        </row>
        <row r="531">
          <cell r="B531" t="str">
            <v>12528</v>
          </cell>
          <cell r="C531" t="str">
            <v>UEC</v>
          </cell>
          <cell r="D531" t="str">
            <v>N</v>
          </cell>
          <cell r="E531" t="str">
            <v>C</v>
          </cell>
          <cell r="F531" t="str">
            <v>02/07/2002</v>
          </cell>
        </row>
        <row r="532">
          <cell r="B532" t="str">
            <v>12529</v>
          </cell>
          <cell r="C532" t="str">
            <v>UEC</v>
          </cell>
          <cell r="D532" t="str">
            <v>N</v>
          </cell>
          <cell r="E532" t="str">
            <v>C</v>
          </cell>
          <cell r="F532" t="str">
            <v>07/10/2002</v>
          </cell>
        </row>
        <row r="533">
          <cell r="B533" t="str">
            <v>12532</v>
          </cell>
          <cell r="C533" t="str">
            <v>UEC</v>
          </cell>
          <cell r="D533" t="str">
            <v>N</v>
          </cell>
          <cell r="E533" t="str">
            <v>C</v>
          </cell>
          <cell r="F533" t="str">
            <v>06/13/2001</v>
          </cell>
        </row>
        <row r="534">
          <cell r="B534" t="str">
            <v>12540</v>
          </cell>
          <cell r="C534" t="str">
            <v>UEC</v>
          </cell>
          <cell r="D534" t="str">
            <v>N</v>
          </cell>
          <cell r="E534" t="str">
            <v>C</v>
          </cell>
          <cell r="F534" t="str">
            <v>06/14/2001</v>
          </cell>
        </row>
        <row r="535">
          <cell r="B535" t="str">
            <v>12546</v>
          </cell>
          <cell r="C535" t="str">
            <v>CIP</v>
          </cell>
          <cell r="D535" t="str">
            <v>N</v>
          </cell>
          <cell r="E535" t="str">
            <v>A</v>
          </cell>
          <cell r="F535" t="str">
            <v>06/19/2001</v>
          </cell>
        </row>
        <row r="536">
          <cell r="B536" t="str">
            <v>12548</v>
          </cell>
          <cell r="C536" t="str">
            <v>UEC</v>
          </cell>
          <cell r="D536" t="str">
            <v>N</v>
          </cell>
          <cell r="E536" t="str">
            <v>A</v>
          </cell>
          <cell r="F536" t="str">
            <v>06/19/2001</v>
          </cell>
        </row>
        <row r="537">
          <cell r="B537" t="str">
            <v>12562</v>
          </cell>
          <cell r="C537" t="str">
            <v>UEC</v>
          </cell>
          <cell r="D537" t="str">
            <v>N</v>
          </cell>
          <cell r="E537" t="str">
            <v>A</v>
          </cell>
          <cell r="F537" t="str">
            <v>02/20/2003</v>
          </cell>
        </row>
        <row r="538">
          <cell r="B538" t="str">
            <v>12565</v>
          </cell>
          <cell r="C538" t="str">
            <v>UEC</v>
          </cell>
          <cell r="D538" t="str">
            <v>N</v>
          </cell>
          <cell r="E538" t="str">
            <v>A</v>
          </cell>
          <cell r="F538" t="str">
            <v>03/26/2002</v>
          </cell>
        </row>
        <row r="539">
          <cell r="B539" t="str">
            <v>12571</v>
          </cell>
          <cell r="C539" t="str">
            <v>CIP</v>
          </cell>
          <cell r="D539" t="str">
            <v>N</v>
          </cell>
          <cell r="E539" t="str">
            <v>C</v>
          </cell>
          <cell r="F539" t="str">
            <v>06/27/2001</v>
          </cell>
        </row>
        <row r="540">
          <cell r="B540" t="str">
            <v>12582</v>
          </cell>
          <cell r="C540" t="str">
            <v>UEC</v>
          </cell>
          <cell r="D540" t="str">
            <v>N</v>
          </cell>
          <cell r="E540" t="str">
            <v>A</v>
          </cell>
          <cell r="F540" t="str">
            <v>07/02/2001</v>
          </cell>
        </row>
        <row r="541">
          <cell r="B541" t="str">
            <v>12592</v>
          </cell>
          <cell r="C541" t="str">
            <v>UEC</v>
          </cell>
          <cell r="D541" t="str">
            <v>N</v>
          </cell>
          <cell r="E541" t="str">
            <v>C</v>
          </cell>
          <cell r="F541" t="str">
            <v>10/08/2001</v>
          </cell>
        </row>
        <row r="542">
          <cell r="B542" t="str">
            <v>12610</v>
          </cell>
          <cell r="C542" t="str">
            <v>UEC</v>
          </cell>
          <cell r="D542" t="str">
            <v>N</v>
          </cell>
          <cell r="E542" t="str">
            <v>A</v>
          </cell>
          <cell r="F542" t="str">
            <v>09/17/2001</v>
          </cell>
        </row>
        <row r="543">
          <cell r="B543" t="str">
            <v>12611</v>
          </cell>
          <cell r="C543" t="str">
            <v>UEC</v>
          </cell>
          <cell r="D543" t="str">
            <v>N</v>
          </cell>
          <cell r="E543" t="str">
            <v>C</v>
          </cell>
          <cell r="F543" t="str">
            <v>09/17/2001</v>
          </cell>
        </row>
        <row r="544">
          <cell r="B544" t="str">
            <v>12612</v>
          </cell>
          <cell r="C544" t="str">
            <v>UEC</v>
          </cell>
          <cell r="D544" t="str">
            <v>N</v>
          </cell>
          <cell r="E544" t="str">
            <v>C</v>
          </cell>
          <cell r="F544" t="str">
            <v>09/17/2001</v>
          </cell>
        </row>
        <row r="545">
          <cell r="B545" t="str">
            <v>12618</v>
          </cell>
          <cell r="C545" t="str">
            <v>UEC</v>
          </cell>
          <cell r="D545" t="str">
            <v>N</v>
          </cell>
          <cell r="E545" t="str">
            <v>A</v>
          </cell>
          <cell r="F545" t="str">
            <v>07/27/2001</v>
          </cell>
        </row>
        <row r="546">
          <cell r="B546" t="str">
            <v>12627</v>
          </cell>
          <cell r="C546" t="str">
            <v>UEC</v>
          </cell>
          <cell r="D546" t="str">
            <v>N</v>
          </cell>
          <cell r="E546" t="str">
            <v>C</v>
          </cell>
          <cell r="F546" t="str">
            <v>07/15/2002</v>
          </cell>
        </row>
        <row r="547">
          <cell r="B547" t="str">
            <v>12635</v>
          </cell>
          <cell r="C547" t="str">
            <v>UEC</v>
          </cell>
          <cell r="D547" t="str">
            <v>N</v>
          </cell>
          <cell r="E547" t="str">
            <v>A</v>
          </cell>
          <cell r="F547" t="str">
            <v>08/03/2001</v>
          </cell>
        </row>
        <row r="548">
          <cell r="B548" t="str">
            <v>12637</v>
          </cell>
          <cell r="C548" t="str">
            <v>UEC</v>
          </cell>
          <cell r="D548" t="str">
            <v>N</v>
          </cell>
          <cell r="E548" t="str">
            <v>A</v>
          </cell>
          <cell r="F548" t="str">
            <v>08/09/2001</v>
          </cell>
        </row>
        <row r="549">
          <cell r="B549" t="str">
            <v>12640</v>
          </cell>
          <cell r="C549" t="str">
            <v>UEC</v>
          </cell>
          <cell r="D549" t="str">
            <v>N</v>
          </cell>
          <cell r="E549" t="str">
            <v>C</v>
          </cell>
          <cell r="F549" t="str">
            <v>12/04/2001</v>
          </cell>
        </row>
        <row r="550">
          <cell r="B550" t="str">
            <v>12643</v>
          </cell>
          <cell r="C550" t="str">
            <v>UEC</v>
          </cell>
          <cell r="D550" t="str">
            <v>N</v>
          </cell>
          <cell r="E550" t="str">
            <v>A</v>
          </cell>
          <cell r="F550" t="str">
            <v>11/29/2001</v>
          </cell>
        </row>
        <row r="551">
          <cell r="B551" t="str">
            <v>12645</v>
          </cell>
          <cell r="C551" t="str">
            <v>UEC</v>
          </cell>
          <cell r="D551" t="str">
            <v>N</v>
          </cell>
          <cell r="E551" t="str">
            <v>A</v>
          </cell>
          <cell r="F551" t="str">
            <v>03/27/2003</v>
          </cell>
        </row>
        <row r="552">
          <cell r="B552" t="str">
            <v>12676</v>
          </cell>
          <cell r="C552" t="str">
            <v>CIP</v>
          </cell>
          <cell r="D552" t="str">
            <v>N</v>
          </cell>
          <cell r="E552" t="str">
            <v>A</v>
          </cell>
          <cell r="F552" t="str">
            <v>09/18/2001</v>
          </cell>
        </row>
        <row r="553">
          <cell r="B553" t="str">
            <v>12680</v>
          </cell>
          <cell r="C553" t="str">
            <v>CIP</v>
          </cell>
          <cell r="D553" t="str">
            <v>N</v>
          </cell>
          <cell r="E553" t="str">
            <v>A</v>
          </cell>
          <cell r="F553" t="str">
            <v>10/02/2001</v>
          </cell>
        </row>
        <row r="554">
          <cell r="B554" t="str">
            <v>12682</v>
          </cell>
          <cell r="C554" t="str">
            <v>UEC</v>
          </cell>
          <cell r="D554" t="str">
            <v>N</v>
          </cell>
          <cell r="E554" t="str">
            <v>C</v>
          </cell>
          <cell r="F554" t="str">
            <v>02/05/2002</v>
          </cell>
        </row>
        <row r="555">
          <cell r="B555" t="str">
            <v>12683</v>
          </cell>
          <cell r="C555" t="str">
            <v>UEC</v>
          </cell>
          <cell r="D555" t="str">
            <v>N</v>
          </cell>
          <cell r="E555" t="str">
            <v>A</v>
          </cell>
          <cell r="F555" t="str">
            <v>08/30/2001</v>
          </cell>
        </row>
        <row r="556">
          <cell r="B556" t="str">
            <v>12684</v>
          </cell>
          <cell r="C556" t="str">
            <v>UEC</v>
          </cell>
          <cell r="D556" t="str">
            <v>N</v>
          </cell>
          <cell r="E556" t="str">
            <v>A</v>
          </cell>
          <cell r="F556" t="str">
            <v>12/20/2001</v>
          </cell>
        </row>
        <row r="557">
          <cell r="B557" t="str">
            <v>12687</v>
          </cell>
          <cell r="C557" t="str">
            <v>UEC</v>
          </cell>
          <cell r="D557" t="str">
            <v>N</v>
          </cell>
          <cell r="E557" t="str">
            <v>C</v>
          </cell>
          <cell r="F557" t="str">
            <v>08/28/2003</v>
          </cell>
        </row>
        <row r="558">
          <cell r="B558" t="str">
            <v>12689</v>
          </cell>
          <cell r="C558" t="str">
            <v>UEC</v>
          </cell>
          <cell r="D558" t="str">
            <v>N</v>
          </cell>
          <cell r="E558" t="str">
            <v>A</v>
          </cell>
          <cell r="F558" t="str">
            <v>11/14/2001</v>
          </cell>
        </row>
        <row r="559">
          <cell r="B559" t="str">
            <v>12692</v>
          </cell>
          <cell r="C559" t="str">
            <v>UEC</v>
          </cell>
          <cell r="D559" t="str">
            <v>N</v>
          </cell>
          <cell r="E559" t="str">
            <v>C</v>
          </cell>
          <cell r="F559" t="str">
            <v>07/30/2002</v>
          </cell>
        </row>
        <row r="560">
          <cell r="B560" t="str">
            <v>12701</v>
          </cell>
          <cell r="C560" t="str">
            <v>UEC</v>
          </cell>
          <cell r="D560" t="str">
            <v>N</v>
          </cell>
          <cell r="E560" t="str">
            <v>A</v>
          </cell>
          <cell r="F560" t="str">
            <v>07/16/2003</v>
          </cell>
        </row>
        <row r="561">
          <cell r="B561" t="str">
            <v>12705</v>
          </cell>
          <cell r="C561" t="str">
            <v>UEC</v>
          </cell>
          <cell r="D561" t="str">
            <v>N</v>
          </cell>
          <cell r="E561" t="str">
            <v>A</v>
          </cell>
          <cell r="F561" t="str">
            <v>04/21/2003</v>
          </cell>
        </row>
        <row r="562">
          <cell r="B562" t="str">
            <v>12707</v>
          </cell>
          <cell r="C562" t="str">
            <v>UEC</v>
          </cell>
          <cell r="D562" t="str">
            <v>N</v>
          </cell>
          <cell r="E562" t="str">
            <v>A</v>
          </cell>
          <cell r="F562" t="str">
            <v>04/03/2003</v>
          </cell>
        </row>
        <row r="563">
          <cell r="B563" t="str">
            <v>12711</v>
          </cell>
          <cell r="C563" t="str">
            <v>UEC</v>
          </cell>
          <cell r="D563" t="str">
            <v>N</v>
          </cell>
          <cell r="E563" t="str">
            <v>A</v>
          </cell>
          <cell r="F563" t="str">
            <v>12/19/2001</v>
          </cell>
        </row>
        <row r="564">
          <cell r="B564" t="str">
            <v>12712</v>
          </cell>
          <cell r="C564" t="str">
            <v>UEC</v>
          </cell>
          <cell r="D564" t="str">
            <v>N</v>
          </cell>
          <cell r="E564" t="str">
            <v>C</v>
          </cell>
          <cell r="F564" t="str">
            <v>03/13/2003</v>
          </cell>
        </row>
        <row r="565">
          <cell r="B565" t="str">
            <v>12714</v>
          </cell>
          <cell r="C565" t="str">
            <v>UEC</v>
          </cell>
          <cell r="D565" t="str">
            <v>N</v>
          </cell>
          <cell r="E565" t="str">
            <v>A</v>
          </cell>
          <cell r="F565" t="str">
            <v>09/04/2001</v>
          </cell>
        </row>
        <row r="566">
          <cell r="B566" t="str">
            <v>12720</v>
          </cell>
          <cell r="C566" t="str">
            <v>UEC</v>
          </cell>
          <cell r="D566" t="str">
            <v>N</v>
          </cell>
          <cell r="E566" t="str">
            <v>C</v>
          </cell>
          <cell r="F566" t="str">
            <v>08/23/2001</v>
          </cell>
        </row>
        <row r="567">
          <cell r="B567" t="str">
            <v>12726</v>
          </cell>
          <cell r="C567" t="str">
            <v>UEC</v>
          </cell>
          <cell r="D567" t="str">
            <v>N</v>
          </cell>
          <cell r="E567" t="str">
            <v>C</v>
          </cell>
          <cell r="F567" t="str">
            <v>04/01/2002</v>
          </cell>
        </row>
        <row r="568">
          <cell r="B568" t="str">
            <v>12729</v>
          </cell>
          <cell r="C568" t="str">
            <v>UEC</v>
          </cell>
          <cell r="D568" t="str">
            <v>N</v>
          </cell>
          <cell r="E568" t="str">
            <v>A</v>
          </cell>
          <cell r="F568" t="str">
            <v>03/17/2003</v>
          </cell>
        </row>
        <row r="569">
          <cell r="B569" t="str">
            <v>12739</v>
          </cell>
          <cell r="C569" t="str">
            <v>UEC</v>
          </cell>
          <cell r="D569" t="str">
            <v>N</v>
          </cell>
          <cell r="E569" t="str">
            <v>C</v>
          </cell>
          <cell r="F569" t="str">
            <v>09/30/2002</v>
          </cell>
        </row>
        <row r="570">
          <cell r="B570" t="str">
            <v>12743</v>
          </cell>
          <cell r="C570" t="str">
            <v>UEC</v>
          </cell>
          <cell r="D570" t="str">
            <v>N</v>
          </cell>
          <cell r="E570" t="str">
            <v>C</v>
          </cell>
          <cell r="F570" t="str">
            <v>05/02/2002</v>
          </cell>
        </row>
        <row r="571">
          <cell r="B571" t="str">
            <v>12744</v>
          </cell>
          <cell r="C571" t="str">
            <v>UEC</v>
          </cell>
          <cell r="D571" t="str">
            <v>N</v>
          </cell>
          <cell r="E571" t="str">
            <v>A</v>
          </cell>
          <cell r="F571" t="str">
            <v>02/11/2002</v>
          </cell>
        </row>
        <row r="572">
          <cell r="B572" t="str">
            <v>12746</v>
          </cell>
          <cell r="C572" t="str">
            <v>CIP</v>
          </cell>
          <cell r="D572" t="str">
            <v>N</v>
          </cell>
          <cell r="E572" t="str">
            <v>A</v>
          </cell>
          <cell r="F572" t="str">
            <v>10/29/2001</v>
          </cell>
        </row>
        <row r="573">
          <cell r="B573" t="str">
            <v>12755</v>
          </cell>
          <cell r="C573" t="str">
            <v>CIP</v>
          </cell>
          <cell r="D573" t="str">
            <v>N</v>
          </cell>
          <cell r="E573" t="str">
            <v>C</v>
          </cell>
          <cell r="F573" t="str">
            <v>01/11/2002</v>
          </cell>
        </row>
        <row r="574">
          <cell r="B574" t="str">
            <v>12758</v>
          </cell>
          <cell r="C574" t="str">
            <v>UEC</v>
          </cell>
          <cell r="D574" t="str">
            <v>N</v>
          </cell>
          <cell r="E574" t="str">
            <v>C</v>
          </cell>
          <cell r="F574" t="str">
            <v>11/14/2001</v>
          </cell>
        </row>
        <row r="575">
          <cell r="B575" t="str">
            <v>12767</v>
          </cell>
          <cell r="C575" t="str">
            <v>UEC</v>
          </cell>
          <cell r="D575" t="str">
            <v>N</v>
          </cell>
          <cell r="E575" t="str">
            <v>C</v>
          </cell>
          <cell r="F575" t="str">
            <v>08/15/2002</v>
          </cell>
        </row>
        <row r="576">
          <cell r="B576" t="str">
            <v>12768</v>
          </cell>
          <cell r="C576" t="str">
            <v>UEC</v>
          </cell>
          <cell r="D576" t="str">
            <v>N</v>
          </cell>
          <cell r="E576" t="str">
            <v>A</v>
          </cell>
          <cell r="F576" t="str">
            <v>06/10/2002</v>
          </cell>
        </row>
        <row r="577">
          <cell r="B577" t="str">
            <v>12770</v>
          </cell>
          <cell r="C577" t="str">
            <v>UEC</v>
          </cell>
          <cell r="D577" t="str">
            <v>N</v>
          </cell>
          <cell r="E577" t="str">
            <v>C</v>
          </cell>
          <cell r="F577" t="str">
            <v>09/10/2002</v>
          </cell>
        </row>
        <row r="578">
          <cell r="B578" t="str">
            <v>12771</v>
          </cell>
          <cell r="C578" t="str">
            <v>UEC</v>
          </cell>
          <cell r="D578" t="str">
            <v>N</v>
          </cell>
          <cell r="E578" t="str">
            <v>A</v>
          </cell>
          <cell r="F578" t="str">
            <v>04/15/2003</v>
          </cell>
        </row>
        <row r="579">
          <cell r="B579" t="str">
            <v>12775</v>
          </cell>
          <cell r="C579" t="str">
            <v>UEC</v>
          </cell>
          <cell r="D579" t="str">
            <v>N</v>
          </cell>
          <cell r="E579" t="str">
            <v>A</v>
          </cell>
          <cell r="F579" t="str">
            <v>09/30/2002</v>
          </cell>
        </row>
        <row r="580">
          <cell r="B580" t="str">
            <v>12787</v>
          </cell>
          <cell r="C580" t="str">
            <v>UEC</v>
          </cell>
          <cell r="D580" t="str">
            <v>N</v>
          </cell>
          <cell r="E580" t="str">
            <v>A</v>
          </cell>
          <cell r="F580" t="str">
            <v>08/14/2003</v>
          </cell>
        </row>
        <row r="581">
          <cell r="B581" t="str">
            <v>12788</v>
          </cell>
          <cell r="C581" t="str">
            <v>UEC</v>
          </cell>
          <cell r="D581" t="str">
            <v>N</v>
          </cell>
          <cell r="E581" t="str">
            <v>C</v>
          </cell>
          <cell r="F581" t="str">
            <v>12/28/2001</v>
          </cell>
        </row>
        <row r="582">
          <cell r="B582" t="str">
            <v>12791</v>
          </cell>
          <cell r="C582" t="str">
            <v>UEC</v>
          </cell>
          <cell r="D582" t="str">
            <v>N</v>
          </cell>
          <cell r="E582" t="str">
            <v>C</v>
          </cell>
          <cell r="F582" t="str">
            <v>02/28/2002</v>
          </cell>
        </row>
        <row r="583">
          <cell r="B583" t="str">
            <v>12792</v>
          </cell>
          <cell r="C583" t="str">
            <v>UEC</v>
          </cell>
          <cell r="D583" t="str">
            <v>N</v>
          </cell>
          <cell r="E583" t="str">
            <v>C</v>
          </cell>
          <cell r="F583" t="str">
            <v>07/26/2002</v>
          </cell>
        </row>
        <row r="584">
          <cell r="B584" t="str">
            <v>12794</v>
          </cell>
          <cell r="C584" t="str">
            <v>UEC</v>
          </cell>
          <cell r="D584" t="str">
            <v>N</v>
          </cell>
          <cell r="E584" t="str">
            <v>C</v>
          </cell>
          <cell r="F584" t="str">
            <v>10/26/2001</v>
          </cell>
        </row>
        <row r="585">
          <cell r="B585" t="str">
            <v>12795</v>
          </cell>
          <cell r="C585" t="str">
            <v>UEC</v>
          </cell>
          <cell r="D585" t="str">
            <v>N</v>
          </cell>
          <cell r="E585" t="str">
            <v>A</v>
          </cell>
          <cell r="F585" t="str">
            <v>05/10/2002</v>
          </cell>
        </row>
        <row r="586">
          <cell r="B586" t="str">
            <v>12798</v>
          </cell>
          <cell r="C586" t="str">
            <v>UEC</v>
          </cell>
          <cell r="D586" t="str">
            <v>N</v>
          </cell>
          <cell r="E586" t="str">
            <v>C</v>
          </cell>
          <cell r="F586" t="str">
            <v>09/04/2001</v>
          </cell>
        </row>
        <row r="587">
          <cell r="B587" t="str">
            <v>12803</v>
          </cell>
          <cell r="C587" t="str">
            <v>CIP</v>
          </cell>
          <cell r="D587" t="str">
            <v>N</v>
          </cell>
          <cell r="E587" t="str">
            <v>A</v>
          </cell>
          <cell r="F587" t="str">
            <v>07/19/2002</v>
          </cell>
        </row>
        <row r="588">
          <cell r="B588" t="str">
            <v>12810</v>
          </cell>
          <cell r="C588" t="str">
            <v>UEC</v>
          </cell>
          <cell r="D588" t="str">
            <v>N</v>
          </cell>
          <cell r="E588" t="str">
            <v>A</v>
          </cell>
          <cell r="F588" t="str">
            <v>09/10/2001</v>
          </cell>
        </row>
        <row r="589">
          <cell r="B589" t="str">
            <v>12813</v>
          </cell>
          <cell r="C589" t="str">
            <v>UEC</v>
          </cell>
          <cell r="D589" t="str">
            <v>N</v>
          </cell>
          <cell r="E589" t="str">
            <v>A</v>
          </cell>
          <cell r="F589" t="str">
            <v>09/24/2001</v>
          </cell>
        </row>
        <row r="590">
          <cell r="B590" t="str">
            <v>12816</v>
          </cell>
          <cell r="C590" t="str">
            <v>UEC</v>
          </cell>
          <cell r="D590" t="str">
            <v>N</v>
          </cell>
          <cell r="E590" t="str">
            <v>A</v>
          </cell>
          <cell r="F590" t="str">
            <v>06/14/2002</v>
          </cell>
        </row>
        <row r="591">
          <cell r="B591" t="str">
            <v>12819</v>
          </cell>
          <cell r="C591" t="str">
            <v>UEC</v>
          </cell>
          <cell r="D591" t="str">
            <v>N</v>
          </cell>
          <cell r="E591" t="str">
            <v>A</v>
          </cell>
          <cell r="F591" t="str">
            <v>11/13/2001</v>
          </cell>
        </row>
        <row r="592">
          <cell r="B592" t="str">
            <v>12822</v>
          </cell>
          <cell r="C592" t="str">
            <v>UEC</v>
          </cell>
          <cell r="D592" t="str">
            <v>N</v>
          </cell>
          <cell r="E592" t="str">
            <v>C</v>
          </cell>
          <cell r="F592" t="str">
            <v>12/05/2001</v>
          </cell>
        </row>
        <row r="593">
          <cell r="B593" t="str">
            <v>12824</v>
          </cell>
          <cell r="C593" t="str">
            <v>UEC</v>
          </cell>
          <cell r="D593" t="str">
            <v>N</v>
          </cell>
          <cell r="E593" t="str">
            <v>C</v>
          </cell>
          <cell r="F593" t="str">
            <v>04/19/2002</v>
          </cell>
        </row>
        <row r="594">
          <cell r="B594" t="str">
            <v>12826</v>
          </cell>
          <cell r="C594" t="str">
            <v>UEC</v>
          </cell>
          <cell r="D594" t="str">
            <v>N</v>
          </cell>
          <cell r="E594" t="str">
            <v>C</v>
          </cell>
          <cell r="F594" t="str">
            <v>08/15/2002</v>
          </cell>
        </row>
        <row r="595">
          <cell r="B595" t="str">
            <v>12831</v>
          </cell>
          <cell r="C595" t="str">
            <v>UEC</v>
          </cell>
          <cell r="D595" t="str">
            <v>N</v>
          </cell>
          <cell r="E595" t="str">
            <v>C</v>
          </cell>
          <cell r="F595" t="str">
            <v>03/27/2002</v>
          </cell>
        </row>
        <row r="596">
          <cell r="B596" t="str">
            <v>12839</v>
          </cell>
          <cell r="C596" t="str">
            <v>UEC</v>
          </cell>
          <cell r="D596" t="str">
            <v>N</v>
          </cell>
          <cell r="E596" t="str">
            <v>A</v>
          </cell>
          <cell r="F596" t="str">
            <v>12/31/2001</v>
          </cell>
        </row>
        <row r="597">
          <cell r="B597" t="str">
            <v>12846</v>
          </cell>
          <cell r="C597" t="str">
            <v>UEC</v>
          </cell>
          <cell r="D597" t="str">
            <v>N</v>
          </cell>
          <cell r="E597" t="str">
            <v>C</v>
          </cell>
          <cell r="F597" t="str">
            <v>08/07/2002</v>
          </cell>
        </row>
        <row r="598">
          <cell r="B598" t="str">
            <v>12848</v>
          </cell>
          <cell r="C598" t="str">
            <v>UEC</v>
          </cell>
          <cell r="D598" t="str">
            <v>N</v>
          </cell>
          <cell r="E598" t="str">
            <v>A</v>
          </cell>
          <cell r="F598" t="str">
            <v>08/20/2001</v>
          </cell>
        </row>
        <row r="599">
          <cell r="B599" t="str">
            <v>12849</v>
          </cell>
          <cell r="C599" t="str">
            <v>UEC</v>
          </cell>
          <cell r="D599" t="str">
            <v>N</v>
          </cell>
          <cell r="E599" t="str">
            <v>A</v>
          </cell>
          <cell r="F599" t="str">
            <v>08/20/2001</v>
          </cell>
        </row>
        <row r="600">
          <cell r="B600" t="str">
            <v>12853</v>
          </cell>
          <cell r="C600" t="str">
            <v>UEC</v>
          </cell>
          <cell r="D600" t="str">
            <v>N</v>
          </cell>
          <cell r="E600" t="str">
            <v>A</v>
          </cell>
          <cell r="F600" t="str">
            <v>12/07/2001</v>
          </cell>
        </row>
        <row r="601">
          <cell r="B601" t="str">
            <v>12855</v>
          </cell>
          <cell r="C601" t="str">
            <v>UEC</v>
          </cell>
          <cell r="D601" t="str">
            <v>N</v>
          </cell>
          <cell r="E601" t="str">
            <v>C</v>
          </cell>
          <cell r="F601" t="str">
            <v>04/10/2002</v>
          </cell>
        </row>
        <row r="602">
          <cell r="B602" t="str">
            <v>12856</v>
          </cell>
          <cell r="C602" t="str">
            <v>UEC</v>
          </cell>
          <cell r="D602" t="str">
            <v>N</v>
          </cell>
          <cell r="E602" t="str">
            <v>C</v>
          </cell>
          <cell r="F602" t="str">
            <v>10/23/2001</v>
          </cell>
        </row>
        <row r="603">
          <cell r="B603" t="str">
            <v>12857</v>
          </cell>
          <cell r="C603" t="str">
            <v>UEC</v>
          </cell>
          <cell r="D603" t="str">
            <v>N</v>
          </cell>
          <cell r="E603" t="str">
            <v>C</v>
          </cell>
          <cell r="F603" t="str">
            <v>07/23/2002</v>
          </cell>
        </row>
        <row r="604">
          <cell r="B604" t="str">
            <v>12858</v>
          </cell>
          <cell r="C604" t="str">
            <v>UEC</v>
          </cell>
          <cell r="D604" t="str">
            <v>N</v>
          </cell>
          <cell r="E604" t="str">
            <v>C</v>
          </cell>
          <cell r="F604" t="str">
            <v>01/18/2002</v>
          </cell>
        </row>
        <row r="605">
          <cell r="B605" t="str">
            <v>12859</v>
          </cell>
          <cell r="C605" t="str">
            <v>UEC</v>
          </cell>
          <cell r="D605" t="str">
            <v>N</v>
          </cell>
          <cell r="E605" t="str">
            <v>C</v>
          </cell>
          <cell r="F605" t="str">
            <v>07/26/2002</v>
          </cell>
        </row>
        <row r="606">
          <cell r="B606" t="str">
            <v>12860</v>
          </cell>
          <cell r="C606" t="str">
            <v>UEC</v>
          </cell>
          <cell r="D606" t="str">
            <v>N</v>
          </cell>
          <cell r="E606" t="str">
            <v>A</v>
          </cell>
          <cell r="F606" t="str">
            <v>01/24/2002</v>
          </cell>
        </row>
        <row r="607">
          <cell r="B607" t="str">
            <v>12861</v>
          </cell>
          <cell r="C607" t="str">
            <v>UEC</v>
          </cell>
          <cell r="D607" t="str">
            <v>N</v>
          </cell>
          <cell r="E607" t="str">
            <v>A</v>
          </cell>
          <cell r="F607" t="str">
            <v>09/10/2002</v>
          </cell>
        </row>
        <row r="608">
          <cell r="B608" t="str">
            <v>12862</v>
          </cell>
          <cell r="C608" t="str">
            <v>UEC</v>
          </cell>
          <cell r="D608" t="str">
            <v>N</v>
          </cell>
          <cell r="E608" t="str">
            <v>A</v>
          </cell>
          <cell r="F608" t="str">
            <v>09/11/2002</v>
          </cell>
        </row>
        <row r="609">
          <cell r="B609" t="str">
            <v>12863</v>
          </cell>
          <cell r="C609" t="str">
            <v>UEC</v>
          </cell>
          <cell r="D609" t="str">
            <v>N</v>
          </cell>
          <cell r="E609" t="str">
            <v>C</v>
          </cell>
          <cell r="F609" t="str">
            <v>01/24/2002</v>
          </cell>
        </row>
        <row r="610">
          <cell r="B610" t="str">
            <v>12864</v>
          </cell>
          <cell r="C610" t="str">
            <v>UEC</v>
          </cell>
          <cell r="D610" t="str">
            <v>N</v>
          </cell>
          <cell r="E610" t="str">
            <v>A</v>
          </cell>
          <cell r="F610" t="str">
            <v>02/19/2003</v>
          </cell>
        </row>
        <row r="611">
          <cell r="B611" t="str">
            <v>12865</v>
          </cell>
          <cell r="C611" t="str">
            <v>UEC</v>
          </cell>
          <cell r="D611" t="str">
            <v>N</v>
          </cell>
          <cell r="E611" t="str">
            <v>A</v>
          </cell>
          <cell r="F611" t="str">
            <v>06/05/2003</v>
          </cell>
        </row>
        <row r="612">
          <cell r="B612" t="str">
            <v>12871</v>
          </cell>
          <cell r="C612" t="str">
            <v>UEC</v>
          </cell>
          <cell r="D612" t="str">
            <v>N</v>
          </cell>
          <cell r="E612" t="str">
            <v>C</v>
          </cell>
          <cell r="F612" t="str">
            <v>04/16/2002</v>
          </cell>
        </row>
        <row r="613">
          <cell r="B613" t="str">
            <v>12878</v>
          </cell>
          <cell r="C613" t="str">
            <v>CIP</v>
          </cell>
          <cell r="D613" t="str">
            <v>N</v>
          </cell>
          <cell r="E613" t="str">
            <v>A</v>
          </cell>
          <cell r="F613" t="str">
            <v>09/11/2003</v>
          </cell>
        </row>
        <row r="614">
          <cell r="B614" t="str">
            <v>12881</v>
          </cell>
          <cell r="C614" t="str">
            <v>UEC</v>
          </cell>
          <cell r="D614" t="str">
            <v>N</v>
          </cell>
          <cell r="E614" t="str">
            <v>C</v>
          </cell>
          <cell r="F614" t="str">
            <v>08/24/2001</v>
          </cell>
        </row>
        <row r="615">
          <cell r="B615" t="str">
            <v>12884</v>
          </cell>
          <cell r="C615" t="str">
            <v>UEC</v>
          </cell>
          <cell r="D615" t="str">
            <v>N</v>
          </cell>
          <cell r="E615" t="str">
            <v>C</v>
          </cell>
          <cell r="F615" t="str">
            <v>02/05/2002</v>
          </cell>
        </row>
        <row r="616">
          <cell r="B616" t="str">
            <v>12891</v>
          </cell>
          <cell r="C616" t="str">
            <v>UEC</v>
          </cell>
          <cell r="D616" t="str">
            <v>N</v>
          </cell>
          <cell r="E616" t="str">
            <v>A</v>
          </cell>
          <cell r="F616" t="str">
            <v>06/06/2002</v>
          </cell>
        </row>
        <row r="617">
          <cell r="B617" t="str">
            <v>12892</v>
          </cell>
          <cell r="C617" t="str">
            <v>UEC</v>
          </cell>
          <cell r="D617" t="str">
            <v>N</v>
          </cell>
          <cell r="E617" t="str">
            <v>C</v>
          </cell>
          <cell r="F617" t="str">
            <v>01/02/2002</v>
          </cell>
        </row>
        <row r="618">
          <cell r="B618" t="str">
            <v>12893</v>
          </cell>
          <cell r="C618" t="str">
            <v>UEC</v>
          </cell>
          <cell r="D618" t="str">
            <v>N</v>
          </cell>
          <cell r="E618" t="str">
            <v>A</v>
          </cell>
          <cell r="F618" t="str">
            <v>06/13/2002</v>
          </cell>
        </row>
        <row r="619">
          <cell r="B619" t="str">
            <v>12895</v>
          </cell>
          <cell r="C619" t="str">
            <v>UEC</v>
          </cell>
          <cell r="D619" t="str">
            <v>N</v>
          </cell>
          <cell r="E619" t="str">
            <v>A</v>
          </cell>
          <cell r="F619" t="str">
            <v>06/13/2002</v>
          </cell>
        </row>
        <row r="620">
          <cell r="B620" t="str">
            <v>12896</v>
          </cell>
          <cell r="C620" t="str">
            <v>UEC</v>
          </cell>
          <cell r="D620" t="str">
            <v>N</v>
          </cell>
          <cell r="E620" t="str">
            <v>A</v>
          </cell>
          <cell r="F620" t="str">
            <v>06/13/2002</v>
          </cell>
        </row>
        <row r="621">
          <cell r="B621" t="str">
            <v>12900</v>
          </cell>
          <cell r="C621" t="str">
            <v>UEC</v>
          </cell>
          <cell r="D621" t="str">
            <v>N</v>
          </cell>
          <cell r="E621" t="str">
            <v>A</v>
          </cell>
          <cell r="F621" t="str">
            <v>01/31/2002</v>
          </cell>
        </row>
        <row r="622">
          <cell r="B622" t="str">
            <v>12905</v>
          </cell>
          <cell r="C622" t="str">
            <v>UEC</v>
          </cell>
          <cell r="D622" t="str">
            <v>N</v>
          </cell>
          <cell r="E622" t="str">
            <v>A</v>
          </cell>
          <cell r="F622" t="str">
            <v>09/22/2003</v>
          </cell>
        </row>
        <row r="623">
          <cell r="B623" t="str">
            <v>12909</v>
          </cell>
          <cell r="C623" t="str">
            <v>UEC</v>
          </cell>
          <cell r="D623" t="str">
            <v>N</v>
          </cell>
          <cell r="E623" t="str">
            <v>C</v>
          </cell>
          <cell r="F623" t="str">
            <v>02/21/2002</v>
          </cell>
        </row>
        <row r="624">
          <cell r="B624" t="str">
            <v>12917</v>
          </cell>
          <cell r="C624" t="str">
            <v>UEC</v>
          </cell>
          <cell r="D624" t="str">
            <v>N</v>
          </cell>
          <cell r="E624" t="str">
            <v>A</v>
          </cell>
          <cell r="F624" t="str">
            <v>03/31/2003</v>
          </cell>
        </row>
        <row r="625">
          <cell r="B625" t="str">
            <v>12932</v>
          </cell>
          <cell r="C625" t="str">
            <v>UEC</v>
          </cell>
          <cell r="D625" t="str">
            <v>N</v>
          </cell>
          <cell r="E625" t="str">
            <v>A</v>
          </cell>
          <cell r="F625" t="str">
            <v>05/29/2003</v>
          </cell>
        </row>
        <row r="626">
          <cell r="B626" t="str">
            <v>12942</v>
          </cell>
          <cell r="C626" t="str">
            <v>UEC</v>
          </cell>
          <cell r="D626" t="str">
            <v>N</v>
          </cell>
          <cell r="E626" t="str">
            <v>A</v>
          </cell>
          <cell r="F626" t="str">
            <v>05/01/2002</v>
          </cell>
        </row>
        <row r="627">
          <cell r="B627" t="str">
            <v>12947</v>
          </cell>
          <cell r="C627" t="str">
            <v>UEC</v>
          </cell>
          <cell r="D627" t="str">
            <v>N</v>
          </cell>
          <cell r="E627" t="str">
            <v>A</v>
          </cell>
          <cell r="F627" t="str">
            <v>09/16/2002</v>
          </cell>
        </row>
        <row r="628">
          <cell r="B628" t="str">
            <v>12948</v>
          </cell>
          <cell r="C628" t="str">
            <v>UEC</v>
          </cell>
          <cell r="D628" t="str">
            <v>N</v>
          </cell>
          <cell r="E628" t="str">
            <v>A</v>
          </cell>
          <cell r="F628" t="str">
            <v>12/20/2001</v>
          </cell>
        </row>
        <row r="629">
          <cell r="B629" t="str">
            <v>12949</v>
          </cell>
          <cell r="C629" t="str">
            <v>UEC</v>
          </cell>
          <cell r="D629" t="str">
            <v>N</v>
          </cell>
          <cell r="E629" t="str">
            <v>C</v>
          </cell>
          <cell r="F629" t="str">
            <v>09/16/2002</v>
          </cell>
        </row>
        <row r="630">
          <cell r="B630" t="str">
            <v>12950</v>
          </cell>
          <cell r="C630" t="str">
            <v>UEC</v>
          </cell>
          <cell r="D630" t="str">
            <v>N</v>
          </cell>
          <cell r="E630" t="str">
            <v>A</v>
          </cell>
          <cell r="F630" t="str">
            <v>04/09/2002</v>
          </cell>
        </row>
        <row r="631">
          <cell r="B631" t="str">
            <v>12952</v>
          </cell>
          <cell r="C631" t="str">
            <v>UEC</v>
          </cell>
          <cell r="D631" t="str">
            <v>N</v>
          </cell>
          <cell r="E631" t="str">
            <v>A</v>
          </cell>
          <cell r="F631" t="str">
            <v>08/13/2002</v>
          </cell>
        </row>
        <row r="632">
          <cell r="B632" t="str">
            <v>12954</v>
          </cell>
          <cell r="C632" t="str">
            <v>UEC</v>
          </cell>
          <cell r="D632" t="str">
            <v>N</v>
          </cell>
          <cell r="E632" t="str">
            <v>A</v>
          </cell>
          <cell r="F632" t="str">
            <v>02/26/2002</v>
          </cell>
        </row>
        <row r="633">
          <cell r="B633" t="str">
            <v>12955</v>
          </cell>
          <cell r="C633" t="str">
            <v>UEC</v>
          </cell>
          <cell r="D633" t="str">
            <v>N</v>
          </cell>
          <cell r="E633" t="str">
            <v>A</v>
          </cell>
          <cell r="F633" t="str">
            <v>09/30/2003</v>
          </cell>
        </row>
        <row r="634">
          <cell r="B634" t="str">
            <v>12964</v>
          </cell>
          <cell r="C634" t="str">
            <v>UEC</v>
          </cell>
          <cell r="D634" t="str">
            <v>N</v>
          </cell>
          <cell r="E634" t="str">
            <v>A</v>
          </cell>
          <cell r="F634" t="str">
            <v>12/27/2001</v>
          </cell>
        </row>
        <row r="635">
          <cell r="B635" t="str">
            <v>12973</v>
          </cell>
          <cell r="C635" t="str">
            <v>UEC</v>
          </cell>
          <cell r="D635" t="str">
            <v>N</v>
          </cell>
          <cell r="E635" t="str">
            <v>A</v>
          </cell>
          <cell r="F635" t="str">
            <v>01/15/2004</v>
          </cell>
        </row>
        <row r="636">
          <cell r="B636" t="str">
            <v>12976</v>
          </cell>
          <cell r="C636" t="str">
            <v>UEC</v>
          </cell>
          <cell r="D636" t="str">
            <v>N</v>
          </cell>
          <cell r="E636" t="str">
            <v>A</v>
          </cell>
          <cell r="F636" t="str">
            <v>02/06/2003</v>
          </cell>
        </row>
        <row r="637">
          <cell r="B637" t="str">
            <v>12977</v>
          </cell>
          <cell r="C637" t="str">
            <v>UEC</v>
          </cell>
          <cell r="D637" t="str">
            <v>N</v>
          </cell>
          <cell r="E637" t="str">
            <v>A</v>
          </cell>
          <cell r="F637" t="str">
            <v>01/23/2003</v>
          </cell>
        </row>
        <row r="638">
          <cell r="B638" t="str">
            <v>12988</v>
          </cell>
          <cell r="C638" t="str">
            <v>UEC</v>
          </cell>
          <cell r="D638" t="str">
            <v>N</v>
          </cell>
          <cell r="E638" t="str">
            <v>A</v>
          </cell>
          <cell r="F638" t="str">
            <v>06/13/2002</v>
          </cell>
        </row>
        <row r="639">
          <cell r="B639" t="str">
            <v>12989</v>
          </cell>
          <cell r="C639" t="str">
            <v>UEC</v>
          </cell>
          <cell r="D639" t="str">
            <v>N</v>
          </cell>
          <cell r="E639" t="str">
            <v>A</v>
          </cell>
          <cell r="F639" t="str">
            <v>11/26/2001</v>
          </cell>
        </row>
        <row r="640">
          <cell r="B640" t="str">
            <v>12990</v>
          </cell>
          <cell r="C640" t="str">
            <v>UEC</v>
          </cell>
          <cell r="D640" t="str">
            <v>N</v>
          </cell>
          <cell r="E640" t="str">
            <v>A</v>
          </cell>
          <cell r="F640" t="str">
            <v>05/09/2003</v>
          </cell>
        </row>
        <row r="641">
          <cell r="B641" t="str">
            <v>13040</v>
          </cell>
          <cell r="C641" t="str">
            <v>UEC</v>
          </cell>
          <cell r="D641" t="str">
            <v>N</v>
          </cell>
          <cell r="E641" t="str">
            <v>A</v>
          </cell>
          <cell r="F641" t="str">
            <v>01/14/2002</v>
          </cell>
        </row>
        <row r="642">
          <cell r="B642" t="str">
            <v>13041</v>
          </cell>
          <cell r="C642" t="str">
            <v>UEC</v>
          </cell>
          <cell r="D642" t="str">
            <v>N</v>
          </cell>
          <cell r="E642" t="str">
            <v>A</v>
          </cell>
          <cell r="F642" t="str">
            <v>12/27/2001</v>
          </cell>
        </row>
        <row r="643">
          <cell r="B643" t="str">
            <v>13100</v>
          </cell>
          <cell r="C643" t="str">
            <v>ADC</v>
          </cell>
          <cell r="D643" t="str">
            <v>N</v>
          </cell>
          <cell r="E643" t="str">
            <v>A</v>
          </cell>
          <cell r="F643" t="str">
            <v>11/23/2001</v>
          </cell>
        </row>
        <row r="644">
          <cell r="B644" t="str">
            <v>13101</v>
          </cell>
          <cell r="C644" t="str">
            <v>UEC</v>
          </cell>
          <cell r="D644" t="str">
            <v>N</v>
          </cell>
          <cell r="E644" t="str">
            <v>A</v>
          </cell>
          <cell r="F644" t="str">
            <v>09/21/2001</v>
          </cell>
        </row>
        <row r="645">
          <cell r="B645" t="str">
            <v>13102</v>
          </cell>
          <cell r="C645" t="str">
            <v>UEC</v>
          </cell>
          <cell r="D645" t="str">
            <v>N</v>
          </cell>
          <cell r="E645" t="str">
            <v>A</v>
          </cell>
          <cell r="F645" t="str">
            <v>09/21/2001</v>
          </cell>
        </row>
        <row r="646">
          <cell r="B646" t="str">
            <v>13106</v>
          </cell>
          <cell r="C646" t="str">
            <v>CIP</v>
          </cell>
          <cell r="D646" t="str">
            <v>N</v>
          </cell>
          <cell r="E646" t="str">
            <v>C</v>
          </cell>
          <cell r="F646" t="str">
            <v>09/26/2001</v>
          </cell>
        </row>
        <row r="647">
          <cell r="B647" t="str">
            <v>13107</v>
          </cell>
          <cell r="C647" t="str">
            <v>UEC</v>
          </cell>
          <cell r="D647" t="str">
            <v>N</v>
          </cell>
          <cell r="E647" t="str">
            <v>C</v>
          </cell>
          <cell r="F647" t="str">
            <v>09/27/2001</v>
          </cell>
        </row>
        <row r="648">
          <cell r="B648" t="str">
            <v>13108</v>
          </cell>
          <cell r="C648" t="str">
            <v>UEC</v>
          </cell>
          <cell r="D648" t="str">
            <v>N</v>
          </cell>
          <cell r="E648" t="str">
            <v>C</v>
          </cell>
          <cell r="F648" t="str">
            <v>09/28/2001</v>
          </cell>
        </row>
        <row r="649">
          <cell r="B649" t="str">
            <v>13119</v>
          </cell>
          <cell r="C649" t="str">
            <v>UEC</v>
          </cell>
          <cell r="D649" t="str">
            <v>N</v>
          </cell>
          <cell r="E649" t="str">
            <v>C</v>
          </cell>
          <cell r="F649" t="str">
            <v>06/24/2002</v>
          </cell>
        </row>
        <row r="650">
          <cell r="B650" t="str">
            <v>13125</v>
          </cell>
          <cell r="C650" t="str">
            <v>UEC</v>
          </cell>
          <cell r="D650" t="str">
            <v>N</v>
          </cell>
          <cell r="E650" t="str">
            <v>A</v>
          </cell>
          <cell r="F650" t="str">
            <v>10/17/2001</v>
          </cell>
        </row>
        <row r="651">
          <cell r="B651" t="str">
            <v>13139</v>
          </cell>
          <cell r="C651" t="str">
            <v>CIP</v>
          </cell>
          <cell r="D651" t="str">
            <v>N</v>
          </cell>
          <cell r="E651" t="str">
            <v>A</v>
          </cell>
          <cell r="F651" t="str">
            <v>10/30/2001</v>
          </cell>
        </row>
        <row r="652">
          <cell r="B652" t="str">
            <v>13142</v>
          </cell>
          <cell r="C652" t="str">
            <v>UEC</v>
          </cell>
          <cell r="D652" t="str">
            <v>N</v>
          </cell>
          <cell r="E652" t="str">
            <v>C</v>
          </cell>
          <cell r="F652" t="str">
            <v>12/12/2001</v>
          </cell>
        </row>
        <row r="653">
          <cell r="B653" t="str">
            <v>13154</v>
          </cell>
          <cell r="C653" t="str">
            <v>UEC</v>
          </cell>
          <cell r="D653" t="str">
            <v>N</v>
          </cell>
          <cell r="E653" t="str">
            <v>A</v>
          </cell>
          <cell r="F653" t="str">
            <v>11/16/2001</v>
          </cell>
        </row>
        <row r="654">
          <cell r="B654" t="str">
            <v>13155</v>
          </cell>
          <cell r="C654" t="str">
            <v>UEC</v>
          </cell>
          <cell r="D654" t="str">
            <v>N</v>
          </cell>
          <cell r="E654" t="str">
            <v>A</v>
          </cell>
          <cell r="F654" t="str">
            <v>11/16/2001</v>
          </cell>
        </row>
        <row r="655">
          <cell r="B655" t="str">
            <v>13158</v>
          </cell>
          <cell r="C655" t="str">
            <v>UEC</v>
          </cell>
          <cell r="D655" t="str">
            <v>N</v>
          </cell>
          <cell r="E655" t="str">
            <v>C</v>
          </cell>
          <cell r="F655" t="str">
            <v>01/25/2002</v>
          </cell>
        </row>
        <row r="656">
          <cell r="B656" t="str">
            <v>13174</v>
          </cell>
          <cell r="C656" t="str">
            <v>UEC</v>
          </cell>
          <cell r="D656" t="str">
            <v>N</v>
          </cell>
          <cell r="E656" t="str">
            <v>A</v>
          </cell>
          <cell r="F656" t="str">
            <v>04/01/2003</v>
          </cell>
        </row>
        <row r="657">
          <cell r="B657" t="str">
            <v>13180</v>
          </cell>
          <cell r="C657" t="str">
            <v>UEC</v>
          </cell>
          <cell r="D657" t="str">
            <v>N</v>
          </cell>
          <cell r="E657" t="str">
            <v>A</v>
          </cell>
          <cell r="F657" t="str">
            <v>12/04/2001</v>
          </cell>
        </row>
        <row r="658">
          <cell r="B658" t="str">
            <v>13188</v>
          </cell>
          <cell r="C658" t="str">
            <v>UEC</v>
          </cell>
          <cell r="D658" t="str">
            <v>N</v>
          </cell>
          <cell r="E658" t="str">
            <v>C</v>
          </cell>
          <cell r="F658" t="str">
            <v>01/17/2002</v>
          </cell>
        </row>
        <row r="659">
          <cell r="B659" t="str">
            <v>13196</v>
          </cell>
          <cell r="C659" t="str">
            <v>CIP</v>
          </cell>
          <cell r="D659" t="str">
            <v>N</v>
          </cell>
          <cell r="E659" t="str">
            <v>A</v>
          </cell>
          <cell r="F659" t="str">
            <v>12/20/2001</v>
          </cell>
        </row>
        <row r="660">
          <cell r="B660" t="str">
            <v>13199</v>
          </cell>
          <cell r="C660" t="str">
            <v>AMC</v>
          </cell>
          <cell r="D660" t="str">
            <v>N</v>
          </cell>
          <cell r="E660" t="str">
            <v>C</v>
          </cell>
          <cell r="F660" t="str">
            <v>02/12/2002</v>
          </cell>
        </row>
        <row r="661">
          <cell r="B661" t="str">
            <v>13200</v>
          </cell>
          <cell r="C661" t="str">
            <v>AMC</v>
          </cell>
          <cell r="D661" t="str">
            <v>N</v>
          </cell>
          <cell r="E661" t="str">
            <v>C</v>
          </cell>
          <cell r="F661" t="str">
            <v>02/12/2002</v>
          </cell>
        </row>
        <row r="662">
          <cell r="B662" t="str">
            <v>13205</v>
          </cell>
          <cell r="C662" t="str">
            <v>UEC</v>
          </cell>
          <cell r="D662" t="str">
            <v>N</v>
          </cell>
          <cell r="E662" t="str">
            <v>C</v>
          </cell>
          <cell r="F662" t="str">
            <v>04/18/2002</v>
          </cell>
        </row>
        <row r="663">
          <cell r="B663" t="str">
            <v>13206</v>
          </cell>
          <cell r="C663" t="str">
            <v>UEC</v>
          </cell>
          <cell r="D663" t="str">
            <v>N</v>
          </cell>
          <cell r="E663" t="str">
            <v>C</v>
          </cell>
          <cell r="F663" t="str">
            <v>04/18/2002</v>
          </cell>
        </row>
        <row r="664">
          <cell r="B664" t="str">
            <v>13207</v>
          </cell>
          <cell r="C664" t="str">
            <v>UEC</v>
          </cell>
          <cell r="D664" t="str">
            <v>N</v>
          </cell>
          <cell r="E664" t="str">
            <v>C</v>
          </cell>
          <cell r="F664" t="str">
            <v>03/06/2003</v>
          </cell>
        </row>
        <row r="665">
          <cell r="B665" t="str">
            <v>13208</v>
          </cell>
          <cell r="C665" t="str">
            <v>UEC</v>
          </cell>
          <cell r="D665" t="str">
            <v>N</v>
          </cell>
          <cell r="E665" t="str">
            <v>C</v>
          </cell>
          <cell r="F665" t="str">
            <v>03/06/2003</v>
          </cell>
        </row>
        <row r="666">
          <cell r="B666" t="str">
            <v>13213</v>
          </cell>
          <cell r="C666" t="str">
            <v>UEC</v>
          </cell>
          <cell r="D666" t="str">
            <v>N</v>
          </cell>
          <cell r="E666" t="str">
            <v>C</v>
          </cell>
          <cell r="F666" t="str">
            <v>01/14/2002</v>
          </cell>
        </row>
        <row r="667">
          <cell r="B667" t="str">
            <v>13217</v>
          </cell>
          <cell r="C667" t="str">
            <v>UEC</v>
          </cell>
          <cell r="D667" t="str">
            <v>N</v>
          </cell>
          <cell r="E667" t="str">
            <v>C</v>
          </cell>
          <cell r="F667" t="str">
            <v>01/16/2002</v>
          </cell>
        </row>
        <row r="668">
          <cell r="B668" t="str">
            <v>13218</v>
          </cell>
          <cell r="C668" t="str">
            <v>UEC</v>
          </cell>
          <cell r="D668" t="str">
            <v>N</v>
          </cell>
          <cell r="E668" t="str">
            <v>C</v>
          </cell>
          <cell r="F668" t="str">
            <v>01/16/2002</v>
          </cell>
        </row>
        <row r="669">
          <cell r="B669" t="str">
            <v>13219</v>
          </cell>
          <cell r="C669" t="str">
            <v>UEC</v>
          </cell>
          <cell r="D669" t="str">
            <v>N</v>
          </cell>
          <cell r="E669" t="str">
            <v>C</v>
          </cell>
          <cell r="F669" t="str">
            <v>01/16/2002</v>
          </cell>
        </row>
        <row r="670">
          <cell r="B670" t="str">
            <v>13225</v>
          </cell>
          <cell r="C670" t="str">
            <v>UEC</v>
          </cell>
          <cell r="D670" t="str">
            <v>N</v>
          </cell>
          <cell r="E670" t="str">
            <v>C</v>
          </cell>
          <cell r="F670" t="str">
            <v>01/08/2003</v>
          </cell>
        </row>
        <row r="671">
          <cell r="B671" t="str">
            <v>13227</v>
          </cell>
          <cell r="C671" t="str">
            <v>UEC</v>
          </cell>
          <cell r="D671" t="str">
            <v>N</v>
          </cell>
          <cell r="E671" t="str">
            <v>C</v>
          </cell>
          <cell r="F671" t="str">
            <v>01/30/2002</v>
          </cell>
        </row>
        <row r="672">
          <cell r="B672" t="str">
            <v>13228</v>
          </cell>
          <cell r="C672" t="str">
            <v>UEC</v>
          </cell>
          <cell r="D672" t="str">
            <v>N</v>
          </cell>
          <cell r="E672" t="str">
            <v>C</v>
          </cell>
          <cell r="F672" t="str">
            <v>02/01/2002</v>
          </cell>
        </row>
        <row r="673">
          <cell r="B673" t="str">
            <v>13232</v>
          </cell>
          <cell r="C673" t="str">
            <v>CIP</v>
          </cell>
          <cell r="D673" t="str">
            <v>N</v>
          </cell>
          <cell r="E673" t="str">
            <v>C</v>
          </cell>
          <cell r="F673" t="str">
            <v>02/05/2002</v>
          </cell>
        </row>
        <row r="674">
          <cell r="B674" t="str">
            <v>13238</v>
          </cell>
          <cell r="C674" t="str">
            <v>UEC</v>
          </cell>
          <cell r="D674" t="str">
            <v>N</v>
          </cell>
          <cell r="E674" t="str">
            <v>A</v>
          </cell>
          <cell r="F674" t="str">
            <v>02/15/2002</v>
          </cell>
        </row>
        <row r="675">
          <cell r="B675" t="str">
            <v>13239</v>
          </cell>
          <cell r="C675" t="str">
            <v>UEC</v>
          </cell>
          <cell r="D675" t="str">
            <v>N</v>
          </cell>
          <cell r="E675" t="str">
            <v>C</v>
          </cell>
          <cell r="F675" t="str">
            <v>02/15/2002</v>
          </cell>
        </row>
        <row r="676">
          <cell r="B676" t="str">
            <v>13241</v>
          </cell>
          <cell r="C676" t="str">
            <v>UEC</v>
          </cell>
          <cell r="D676" t="str">
            <v>N</v>
          </cell>
          <cell r="E676" t="str">
            <v>A</v>
          </cell>
          <cell r="F676" t="str">
            <v>02/14/2002</v>
          </cell>
        </row>
        <row r="677">
          <cell r="B677" t="str">
            <v>13242</v>
          </cell>
          <cell r="C677" t="str">
            <v>UEC</v>
          </cell>
          <cell r="D677" t="str">
            <v>N</v>
          </cell>
          <cell r="E677" t="str">
            <v>A</v>
          </cell>
          <cell r="F677" t="str">
            <v>02/14/2002</v>
          </cell>
        </row>
        <row r="678">
          <cell r="B678" t="str">
            <v>13243</v>
          </cell>
          <cell r="C678" t="str">
            <v>UEC</v>
          </cell>
          <cell r="D678" t="str">
            <v>N</v>
          </cell>
          <cell r="E678" t="str">
            <v>I</v>
          </cell>
          <cell r="F678" t="str">
            <v>02/14/2002</v>
          </cell>
        </row>
        <row r="679">
          <cell r="B679" t="str">
            <v>13243</v>
          </cell>
          <cell r="C679" t="str">
            <v>UEC</v>
          </cell>
          <cell r="D679" t="str">
            <v>N</v>
          </cell>
          <cell r="E679" t="str">
            <v>I</v>
          </cell>
          <cell r="F679" t="str">
            <v>02/14/2002</v>
          </cell>
        </row>
        <row r="680">
          <cell r="B680" t="str">
            <v>13246</v>
          </cell>
          <cell r="C680" t="str">
            <v>UEC</v>
          </cell>
          <cell r="D680" t="str">
            <v>N</v>
          </cell>
          <cell r="E680" t="str">
            <v>C</v>
          </cell>
          <cell r="F680" t="str">
            <v>02/25/2002</v>
          </cell>
        </row>
        <row r="681">
          <cell r="B681" t="str">
            <v>13249</v>
          </cell>
          <cell r="C681" t="str">
            <v>UEC</v>
          </cell>
          <cell r="D681" t="str">
            <v>N</v>
          </cell>
          <cell r="E681" t="str">
            <v>A</v>
          </cell>
          <cell r="F681" t="str">
            <v>02/26/2002</v>
          </cell>
        </row>
        <row r="682">
          <cell r="B682" t="str">
            <v>13251</v>
          </cell>
          <cell r="C682" t="str">
            <v>GEN</v>
          </cell>
          <cell r="D682" t="str">
            <v>N</v>
          </cell>
          <cell r="E682" t="str">
            <v>I</v>
          </cell>
          <cell r="F682" t="str">
            <v>02/27/2002</v>
          </cell>
        </row>
        <row r="683">
          <cell r="B683" t="str">
            <v>13259</v>
          </cell>
          <cell r="C683" t="str">
            <v>UEC</v>
          </cell>
          <cell r="D683" t="str">
            <v>N</v>
          </cell>
          <cell r="E683" t="str">
            <v>C</v>
          </cell>
          <cell r="F683" t="str">
            <v>03/06/2002</v>
          </cell>
        </row>
        <row r="684">
          <cell r="B684" t="str">
            <v>13262</v>
          </cell>
          <cell r="C684" t="str">
            <v>UEC</v>
          </cell>
          <cell r="D684" t="str">
            <v>N</v>
          </cell>
          <cell r="E684" t="str">
            <v>A</v>
          </cell>
          <cell r="F684" t="str">
            <v>03/08/2002</v>
          </cell>
        </row>
        <row r="685">
          <cell r="B685" t="str">
            <v>13264</v>
          </cell>
          <cell r="C685" t="str">
            <v>UEC</v>
          </cell>
          <cell r="D685" t="str">
            <v>N</v>
          </cell>
          <cell r="E685" t="str">
            <v>C</v>
          </cell>
          <cell r="F685" t="str">
            <v>06/12/2002</v>
          </cell>
        </row>
        <row r="686">
          <cell r="B686" t="str">
            <v>13265</v>
          </cell>
          <cell r="C686" t="str">
            <v>UEC</v>
          </cell>
          <cell r="D686" t="str">
            <v>N</v>
          </cell>
          <cell r="E686" t="str">
            <v>C</v>
          </cell>
          <cell r="F686" t="str">
            <v>03/14/2002</v>
          </cell>
        </row>
        <row r="687">
          <cell r="B687" t="str">
            <v>13267</v>
          </cell>
          <cell r="C687" t="str">
            <v>UEC</v>
          </cell>
          <cell r="D687" t="str">
            <v>N</v>
          </cell>
          <cell r="E687" t="str">
            <v>C</v>
          </cell>
          <cell r="F687" t="str">
            <v>03/19/2002</v>
          </cell>
        </row>
        <row r="688">
          <cell r="B688" t="str">
            <v>13268</v>
          </cell>
          <cell r="C688" t="str">
            <v>UEC</v>
          </cell>
          <cell r="D688" t="str">
            <v>N</v>
          </cell>
          <cell r="E688" t="str">
            <v>C</v>
          </cell>
          <cell r="F688" t="str">
            <v>03/20/2002</v>
          </cell>
        </row>
        <row r="689">
          <cell r="B689" t="str">
            <v>13269</v>
          </cell>
          <cell r="C689" t="str">
            <v>UEC</v>
          </cell>
          <cell r="D689" t="str">
            <v>N</v>
          </cell>
          <cell r="E689" t="str">
            <v>C</v>
          </cell>
          <cell r="F689" t="str">
            <v>03/21/2002</v>
          </cell>
        </row>
        <row r="690">
          <cell r="B690" t="str">
            <v>13270</v>
          </cell>
          <cell r="C690" t="str">
            <v>UEC</v>
          </cell>
          <cell r="D690" t="str">
            <v>N</v>
          </cell>
          <cell r="E690" t="str">
            <v>A</v>
          </cell>
          <cell r="F690" t="str">
            <v>03/21/2002</v>
          </cell>
        </row>
        <row r="691">
          <cell r="B691" t="str">
            <v>13271</v>
          </cell>
          <cell r="C691" t="str">
            <v>UEC</v>
          </cell>
          <cell r="D691" t="str">
            <v>N</v>
          </cell>
          <cell r="E691" t="str">
            <v>C</v>
          </cell>
          <cell r="F691" t="str">
            <v>03/20/2002</v>
          </cell>
        </row>
        <row r="692">
          <cell r="B692" t="str">
            <v>13274</v>
          </cell>
          <cell r="C692" t="str">
            <v>UEC</v>
          </cell>
          <cell r="D692" t="str">
            <v>N</v>
          </cell>
          <cell r="E692" t="str">
            <v>I</v>
          </cell>
          <cell r="F692" t="str">
            <v>03/22/2002</v>
          </cell>
        </row>
        <row r="693">
          <cell r="B693" t="str">
            <v>13281</v>
          </cell>
          <cell r="C693" t="str">
            <v>GEN</v>
          </cell>
          <cell r="D693" t="str">
            <v>N</v>
          </cell>
          <cell r="E693" t="str">
            <v>C</v>
          </cell>
          <cell r="F693" t="str">
            <v>04/01/2002</v>
          </cell>
        </row>
        <row r="694">
          <cell r="B694" t="str">
            <v>13285</v>
          </cell>
          <cell r="C694" t="str">
            <v>UEC</v>
          </cell>
          <cell r="D694" t="str">
            <v>N</v>
          </cell>
          <cell r="E694" t="str">
            <v>C</v>
          </cell>
          <cell r="F694" t="str">
            <v>07/29/2002</v>
          </cell>
        </row>
        <row r="695">
          <cell r="B695" t="str">
            <v>13287</v>
          </cell>
          <cell r="C695" t="str">
            <v>UEC</v>
          </cell>
          <cell r="D695" t="str">
            <v>N</v>
          </cell>
          <cell r="E695" t="str">
            <v>C</v>
          </cell>
          <cell r="F695" t="str">
            <v>04/05/2002</v>
          </cell>
        </row>
        <row r="696">
          <cell r="B696" t="str">
            <v>13294</v>
          </cell>
          <cell r="C696" t="str">
            <v>UEC</v>
          </cell>
          <cell r="D696" t="str">
            <v>N</v>
          </cell>
          <cell r="E696" t="str">
            <v>C</v>
          </cell>
          <cell r="F696" t="str">
            <v>06/12/2002</v>
          </cell>
        </row>
        <row r="697">
          <cell r="B697" t="str">
            <v>13295</v>
          </cell>
          <cell r="C697" t="str">
            <v>UEC</v>
          </cell>
          <cell r="D697" t="str">
            <v>N</v>
          </cell>
          <cell r="E697" t="str">
            <v>C</v>
          </cell>
          <cell r="F697" t="str">
            <v>04/18/2002</v>
          </cell>
        </row>
        <row r="698">
          <cell r="B698" t="str">
            <v>13296</v>
          </cell>
          <cell r="C698" t="str">
            <v>UEC</v>
          </cell>
          <cell r="D698" t="str">
            <v>N</v>
          </cell>
          <cell r="E698" t="str">
            <v>C</v>
          </cell>
          <cell r="F698" t="str">
            <v>04/18/2002</v>
          </cell>
        </row>
        <row r="699">
          <cell r="B699" t="str">
            <v>13301</v>
          </cell>
          <cell r="C699" t="str">
            <v>UEC</v>
          </cell>
          <cell r="D699" t="str">
            <v>N</v>
          </cell>
          <cell r="E699" t="str">
            <v>I</v>
          </cell>
          <cell r="F699" t="str">
            <v>04/24/2002</v>
          </cell>
        </row>
        <row r="700">
          <cell r="B700" t="str">
            <v>13302</v>
          </cell>
          <cell r="C700" t="str">
            <v>UEC</v>
          </cell>
          <cell r="D700" t="str">
            <v>N</v>
          </cell>
          <cell r="E700" t="str">
            <v>C</v>
          </cell>
          <cell r="F700" t="str">
            <v>04/19/2002</v>
          </cell>
        </row>
        <row r="701">
          <cell r="B701" t="str">
            <v>13303</v>
          </cell>
          <cell r="C701" t="str">
            <v>UEC</v>
          </cell>
          <cell r="D701" t="str">
            <v>N</v>
          </cell>
          <cell r="E701" t="str">
            <v>C</v>
          </cell>
          <cell r="F701" t="str">
            <v>04/19/2002</v>
          </cell>
        </row>
        <row r="702">
          <cell r="B702" t="str">
            <v>13304</v>
          </cell>
          <cell r="C702" t="str">
            <v>UEC</v>
          </cell>
          <cell r="D702" t="str">
            <v>N</v>
          </cell>
          <cell r="E702" t="str">
            <v>C</v>
          </cell>
          <cell r="F702" t="str">
            <v>04/19/2002</v>
          </cell>
        </row>
        <row r="703">
          <cell r="B703" t="str">
            <v>13310</v>
          </cell>
          <cell r="C703" t="str">
            <v>UEC</v>
          </cell>
          <cell r="D703" t="str">
            <v>N</v>
          </cell>
          <cell r="E703" t="str">
            <v>A</v>
          </cell>
          <cell r="F703" t="str">
            <v>09/10/2002</v>
          </cell>
        </row>
        <row r="704">
          <cell r="B704" t="str">
            <v>13312</v>
          </cell>
          <cell r="C704" t="str">
            <v>UEC</v>
          </cell>
          <cell r="D704" t="str">
            <v>N</v>
          </cell>
          <cell r="E704" t="str">
            <v>C</v>
          </cell>
          <cell r="F704" t="str">
            <v>05/02/2002</v>
          </cell>
        </row>
        <row r="705">
          <cell r="B705" t="str">
            <v>13316</v>
          </cell>
          <cell r="C705" t="str">
            <v>UEC</v>
          </cell>
          <cell r="D705" t="str">
            <v>N</v>
          </cell>
          <cell r="E705" t="str">
            <v>A</v>
          </cell>
          <cell r="F705" t="str">
            <v>05/08/2002</v>
          </cell>
        </row>
        <row r="706">
          <cell r="B706" t="str">
            <v>13317</v>
          </cell>
          <cell r="C706" t="str">
            <v>UEC</v>
          </cell>
          <cell r="D706" t="str">
            <v>N</v>
          </cell>
          <cell r="E706" t="str">
            <v>C</v>
          </cell>
          <cell r="F706" t="str">
            <v>01/08/2003</v>
          </cell>
        </row>
        <row r="707">
          <cell r="B707" t="str">
            <v>13326</v>
          </cell>
          <cell r="C707" t="str">
            <v>AMC</v>
          </cell>
          <cell r="D707" t="str">
            <v>N</v>
          </cell>
          <cell r="E707" t="str">
            <v>A</v>
          </cell>
          <cell r="F707" t="str">
            <v>05/24/2002</v>
          </cell>
        </row>
        <row r="708">
          <cell r="B708" t="str">
            <v>13330</v>
          </cell>
          <cell r="C708" t="str">
            <v>CIP</v>
          </cell>
          <cell r="D708" t="str">
            <v>N</v>
          </cell>
          <cell r="E708" t="str">
            <v>C</v>
          </cell>
          <cell r="F708" t="str">
            <v>06/19/2002</v>
          </cell>
        </row>
        <row r="709">
          <cell r="B709" t="str">
            <v>13336</v>
          </cell>
          <cell r="C709" t="str">
            <v>CIP</v>
          </cell>
          <cell r="D709" t="str">
            <v>N</v>
          </cell>
          <cell r="E709" t="str">
            <v>C</v>
          </cell>
          <cell r="F709" t="str">
            <v>08/14/2002</v>
          </cell>
        </row>
        <row r="710">
          <cell r="B710" t="str">
            <v>13337</v>
          </cell>
          <cell r="C710" t="str">
            <v>UDC</v>
          </cell>
          <cell r="D710" t="str">
            <v>N</v>
          </cell>
          <cell r="E710" t="str">
            <v>C</v>
          </cell>
          <cell r="F710" t="str">
            <v>05/24/2002</v>
          </cell>
        </row>
        <row r="711">
          <cell r="B711" t="str">
            <v>13338</v>
          </cell>
          <cell r="C711" t="str">
            <v>UDC</v>
          </cell>
          <cell r="D711" t="str">
            <v>N</v>
          </cell>
          <cell r="E711" t="str">
            <v>C</v>
          </cell>
          <cell r="F711" t="str">
            <v>05/24/2002</v>
          </cell>
        </row>
        <row r="712">
          <cell r="B712" t="str">
            <v>13339</v>
          </cell>
          <cell r="C712" t="str">
            <v>UDC</v>
          </cell>
          <cell r="D712" t="str">
            <v>N</v>
          </cell>
          <cell r="E712" t="str">
            <v>A</v>
          </cell>
          <cell r="F712" t="str">
            <v>05/24/2002</v>
          </cell>
        </row>
        <row r="713">
          <cell r="B713" t="str">
            <v>13341</v>
          </cell>
          <cell r="C713" t="str">
            <v>UDC</v>
          </cell>
          <cell r="D713" t="str">
            <v>N</v>
          </cell>
          <cell r="E713" t="str">
            <v>C</v>
          </cell>
          <cell r="F713" t="str">
            <v>05/24/2002</v>
          </cell>
        </row>
        <row r="714">
          <cell r="B714" t="str">
            <v>13347</v>
          </cell>
          <cell r="C714" t="str">
            <v>UEC</v>
          </cell>
          <cell r="D714" t="str">
            <v>N</v>
          </cell>
          <cell r="E714" t="str">
            <v>C</v>
          </cell>
          <cell r="F714" t="str">
            <v>05/24/2002</v>
          </cell>
        </row>
        <row r="715">
          <cell r="B715" t="str">
            <v>13348</v>
          </cell>
          <cell r="C715" t="str">
            <v>UEC</v>
          </cell>
          <cell r="D715" t="str">
            <v>N</v>
          </cell>
          <cell r="E715" t="str">
            <v>C</v>
          </cell>
          <cell r="F715" t="str">
            <v>09/03/2002</v>
          </cell>
        </row>
        <row r="716">
          <cell r="B716" t="str">
            <v>13353</v>
          </cell>
          <cell r="C716" t="str">
            <v>CIP</v>
          </cell>
          <cell r="D716" t="str">
            <v>N</v>
          </cell>
          <cell r="E716" t="str">
            <v>A</v>
          </cell>
          <cell r="F716" t="str">
            <v>10/24/2003</v>
          </cell>
        </row>
        <row r="717">
          <cell r="B717" t="str">
            <v>13358</v>
          </cell>
          <cell r="C717" t="str">
            <v>UEC</v>
          </cell>
          <cell r="D717" t="str">
            <v>N</v>
          </cell>
          <cell r="E717" t="str">
            <v>C</v>
          </cell>
          <cell r="F717" t="str">
            <v>09/08/2003</v>
          </cell>
        </row>
        <row r="718">
          <cell r="B718" t="str">
            <v>13363</v>
          </cell>
          <cell r="C718" t="str">
            <v>UEC</v>
          </cell>
          <cell r="D718" t="str">
            <v>N</v>
          </cell>
          <cell r="E718" t="str">
            <v>A</v>
          </cell>
          <cell r="F718" t="str">
            <v>05/30/2002</v>
          </cell>
        </row>
        <row r="719">
          <cell r="B719" t="str">
            <v>13364</v>
          </cell>
          <cell r="C719" t="str">
            <v>UEC</v>
          </cell>
          <cell r="D719" t="str">
            <v>N</v>
          </cell>
          <cell r="E719" t="str">
            <v>A</v>
          </cell>
          <cell r="F719" t="str">
            <v>05/30/2002</v>
          </cell>
        </row>
        <row r="720">
          <cell r="B720" t="str">
            <v>13365</v>
          </cell>
          <cell r="C720" t="str">
            <v>UEC</v>
          </cell>
          <cell r="D720" t="str">
            <v>N</v>
          </cell>
          <cell r="E720" t="str">
            <v>A</v>
          </cell>
          <cell r="F720" t="str">
            <v>05/30/2002</v>
          </cell>
        </row>
        <row r="721">
          <cell r="B721" t="str">
            <v>13366</v>
          </cell>
          <cell r="C721" t="str">
            <v>UEC</v>
          </cell>
          <cell r="D721" t="str">
            <v>N</v>
          </cell>
          <cell r="E721" t="str">
            <v>I</v>
          </cell>
          <cell r="F721" t="str">
            <v>05/30/2002</v>
          </cell>
        </row>
        <row r="722">
          <cell r="B722" t="str">
            <v>13367</v>
          </cell>
          <cell r="C722" t="str">
            <v>UEC</v>
          </cell>
          <cell r="D722" t="str">
            <v>N</v>
          </cell>
          <cell r="E722" t="str">
            <v>I</v>
          </cell>
          <cell r="F722" t="str">
            <v>05/30/2002</v>
          </cell>
        </row>
        <row r="723">
          <cell r="B723" t="str">
            <v>13370</v>
          </cell>
          <cell r="C723" t="str">
            <v>UEC</v>
          </cell>
          <cell r="D723" t="str">
            <v>N</v>
          </cell>
          <cell r="E723" t="str">
            <v>A</v>
          </cell>
          <cell r="F723" t="str">
            <v>11/24/2003</v>
          </cell>
        </row>
        <row r="724">
          <cell r="B724" t="str">
            <v>13371</v>
          </cell>
          <cell r="C724" t="str">
            <v>UEC</v>
          </cell>
          <cell r="D724" t="str">
            <v>N</v>
          </cell>
          <cell r="E724" t="str">
            <v>I</v>
          </cell>
          <cell r="F724" t="str">
            <v>09/19/2003</v>
          </cell>
        </row>
        <row r="725">
          <cell r="B725" t="str">
            <v>13372</v>
          </cell>
          <cell r="C725" t="str">
            <v>UEC</v>
          </cell>
          <cell r="D725" t="str">
            <v>N</v>
          </cell>
          <cell r="E725" t="str">
            <v>A</v>
          </cell>
          <cell r="F725" t="str">
            <v>07/25/2002</v>
          </cell>
        </row>
        <row r="726">
          <cell r="B726" t="str">
            <v>13373</v>
          </cell>
          <cell r="C726" t="str">
            <v>UEC</v>
          </cell>
          <cell r="D726" t="str">
            <v>N</v>
          </cell>
          <cell r="E726" t="str">
            <v>C</v>
          </cell>
          <cell r="F726" t="str">
            <v>10/23/2002</v>
          </cell>
        </row>
        <row r="727">
          <cell r="B727" t="str">
            <v>13374</v>
          </cell>
          <cell r="C727" t="str">
            <v>UEC</v>
          </cell>
          <cell r="D727" t="str">
            <v>N</v>
          </cell>
          <cell r="E727" t="str">
            <v>A</v>
          </cell>
          <cell r="F727" t="str">
            <v>07/25/2002</v>
          </cell>
        </row>
        <row r="728">
          <cell r="B728" t="str">
            <v>13376</v>
          </cell>
          <cell r="C728" t="str">
            <v>UEC</v>
          </cell>
          <cell r="D728" t="str">
            <v>N</v>
          </cell>
          <cell r="E728" t="str">
            <v>A</v>
          </cell>
          <cell r="F728" t="str">
            <v>04/14/2003</v>
          </cell>
        </row>
        <row r="729">
          <cell r="B729" t="str">
            <v>13377</v>
          </cell>
          <cell r="C729" t="str">
            <v>UEC</v>
          </cell>
          <cell r="D729" t="str">
            <v>N</v>
          </cell>
          <cell r="E729" t="str">
            <v>A</v>
          </cell>
          <cell r="F729" t="str">
            <v>05/23/2003</v>
          </cell>
        </row>
        <row r="730">
          <cell r="B730" t="str">
            <v>13378</v>
          </cell>
          <cell r="C730" t="str">
            <v>UEC</v>
          </cell>
          <cell r="D730" t="str">
            <v>N</v>
          </cell>
          <cell r="E730" t="str">
            <v>A</v>
          </cell>
          <cell r="F730" t="str">
            <v>05/23/2003</v>
          </cell>
        </row>
        <row r="731">
          <cell r="B731" t="str">
            <v>13389</v>
          </cell>
          <cell r="C731" t="str">
            <v>UEC</v>
          </cell>
          <cell r="D731" t="str">
            <v>N</v>
          </cell>
          <cell r="E731" t="str">
            <v>A</v>
          </cell>
          <cell r="F731" t="str">
            <v>07/21/2003</v>
          </cell>
        </row>
        <row r="732">
          <cell r="B732" t="str">
            <v>13391</v>
          </cell>
          <cell r="C732" t="str">
            <v>UEC</v>
          </cell>
          <cell r="D732" t="str">
            <v>N</v>
          </cell>
          <cell r="E732" t="str">
            <v>A</v>
          </cell>
          <cell r="F732" t="str">
            <v>04/15/2003</v>
          </cell>
        </row>
        <row r="733">
          <cell r="B733" t="str">
            <v>13395</v>
          </cell>
          <cell r="C733" t="str">
            <v>UEC</v>
          </cell>
          <cell r="D733" t="str">
            <v>N</v>
          </cell>
          <cell r="E733" t="str">
            <v>A</v>
          </cell>
          <cell r="F733" t="str">
            <v>09/22/2003</v>
          </cell>
        </row>
        <row r="734">
          <cell r="B734" t="str">
            <v>13403</v>
          </cell>
          <cell r="C734" t="str">
            <v>UEC</v>
          </cell>
          <cell r="D734" t="str">
            <v>N</v>
          </cell>
          <cell r="E734" t="str">
            <v>A</v>
          </cell>
          <cell r="F734" t="str">
            <v>06/17/2002</v>
          </cell>
        </row>
        <row r="735">
          <cell r="B735" t="str">
            <v>13404</v>
          </cell>
          <cell r="C735" t="str">
            <v>UEC</v>
          </cell>
          <cell r="D735" t="str">
            <v>N</v>
          </cell>
          <cell r="E735" t="str">
            <v>A</v>
          </cell>
          <cell r="F735" t="str">
            <v>07/18/2003</v>
          </cell>
        </row>
        <row r="736">
          <cell r="B736" t="str">
            <v>13406</v>
          </cell>
          <cell r="C736" t="str">
            <v>UEC</v>
          </cell>
          <cell r="D736" t="str">
            <v>N</v>
          </cell>
          <cell r="E736" t="str">
            <v>A</v>
          </cell>
          <cell r="F736" t="str">
            <v>09/27/2002</v>
          </cell>
        </row>
        <row r="737">
          <cell r="B737" t="str">
            <v>13407</v>
          </cell>
          <cell r="C737" t="str">
            <v>UEC</v>
          </cell>
          <cell r="D737" t="str">
            <v>N</v>
          </cell>
          <cell r="E737" t="str">
            <v>C</v>
          </cell>
          <cell r="F737" t="str">
            <v>10/01/2002</v>
          </cell>
        </row>
        <row r="738">
          <cell r="B738" t="str">
            <v>13410</v>
          </cell>
          <cell r="C738" t="str">
            <v>UEC</v>
          </cell>
          <cell r="D738" t="str">
            <v>N</v>
          </cell>
          <cell r="E738" t="str">
            <v>A</v>
          </cell>
          <cell r="F738" t="str">
            <v>09/25/2003</v>
          </cell>
        </row>
        <row r="739">
          <cell r="B739" t="str">
            <v>13414</v>
          </cell>
          <cell r="C739" t="str">
            <v>UEC</v>
          </cell>
          <cell r="D739" t="str">
            <v>N</v>
          </cell>
          <cell r="E739" t="str">
            <v>A</v>
          </cell>
          <cell r="F739" t="str">
            <v>06/18/2002</v>
          </cell>
        </row>
        <row r="740">
          <cell r="B740" t="str">
            <v>13421</v>
          </cell>
          <cell r="C740" t="str">
            <v>UEC</v>
          </cell>
          <cell r="D740" t="str">
            <v>N</v>
          </cell>
          <cell r="E740" t="str">
            <v>I</v>
          </cell>
          <cell r="F740" t="str">
            <v>08/11/2003</v>
          </cell>
        </row>
        <row r="741">
          <cell r="B741" t="str">
            <v>13428</v>
          </cell>
          <cell r="C741" t="str">
            <v>UEC</v>
          </cell>
          <cell r="D741" t="str">
            <v>N</v>
          </cell>
          <cell r="E741" t="str">
            <v>A</v>
          </cell>
          <cell r="F741" t="str">
            <v>04/01/2003</v>
          </cell>
        </row>
        <row r="742">
          <cell r="B742" t="str">
            <v>13437</v>
          </cell>
          <cell r="C742" t="str">
            <v>UEC</v>
          </cell>
          <cell r="D742" t="str">
            <v>N</v>
          </cell>
          <cell r="E742" t="str">
            <v>C</v>
          </cell>
          <cell r="F742" t="str">
            <v>09/03/2002</v>
          </cell>
        </row>
        <row r="743">
          <cell r="B743" t="str">
            <v>13443</v>
          </cell>
          <cell r="C743" t="str">
            <v>UEC</v>
          </cell>
          <cell r="D743" t="str">
            <v>N</v>
          </cell>
          <cell r="E743" t="str">
            <v>A</v>
          </cell>
          <cell r="F743" t="str">
            <v>01/17/2003</v>
          </cell>
        </row>
        <row r="744">
          <cell r="B744" t="str">
            <v>13448</v>
          </cell>
          <cell r="C744" t="str">
            <v>UEC</v>
          </cell>
          <cell r="D744" t="str">
            <v>N</v>
          </cell>
          <cell r="E744" t="str">
            <v>C</v>
          </cell>
          <cell r="F744" t="str">
            <v>07/27/2002</v>
          </cell>
        </row>
        <row r="745">
          <cell r="B745" t="str">
            <v>13469</v>
          </cell>
          <cell r="C745" t="str">
            <v>CIP</v>
          </cell>
          <cell r="D745" t="str">
            <v>N</v>
          </cell>
          <cell r="E745" t="str">
            <v>A</v>
          </cell>
          <cell r="F745" t="str">
            <v>07/31/2002</v>
          </cell>
        </row>
        <row r="746">
          <cell r="B746" t="str">
            <v>13477</v>
          </cell>
          <cell r="C746" t="str">
            <v>UEC</v>
          </cell>
          <cell r="D746" t="str">
            <v>N</v>
          </cell>
          <cell r="E746" t="str">
            <v>A</v>
          </cell>
          <cell r="F746" t="str">
            <v>07/29/2002</v>
          </cell>
        </row>
        <row r="747">
          <cell r="B747" t="str">
            <v>13479</v>
          </cell>
          <cell r="C747" t="str">
            <v>UEC</v>
          </cell>
          <cell r="D747" t="str">
            <v>N</v>
          </cell>
          <cell r="E747" t="str">
            <v>A</v>
          </cell>
          <cell r="F747" t="str">
            <v>07/24/2002</v>
          </cell>
        </row>
        <row r="748">
          <cell r="B748" t="str">
            <v>13488</v>
          </cell>
          <cell r="C748" t="str">
            <v>UEC</v>
          </cell>
          <cell r="D748" t="str">
            <v>N</v>
          </cell>
          <cell r="E748" t="str">
            <v>A</v>
          </cell>
          <cell r="F748" t="str">
            <v>04/16/2003</v>
          </cell>
        </row>
        <row r="749">
          <cell r="B749" t="str">
            <v>13492</v>
          </cell>
          <cell r="C749" t="str">
            <v>UEC</v>
          </cell>
          <cell r="D749" t="str">
            <v>N</v>
          </cell>
          <cell r="E749" t="str">
            <v>C</v>
          </cell>
          <cell r="F749" t="str">
            <v>03/06/2003</v>
          </cell>
        </row>
        <row r="750">
          <cell r="B750" t="str">
            <v>13493</v>
          </cell>
          <cell r="C750" t="str">
            <v>UEC</v>
          </cell>
          <cell r="D750" t="str">
            <v>N</v>
          </cell>
          <cell r="E750" t="str">
            <v>A</v>
          </cell>
          <cell r="F750" t="str">
            <v>03/06/2003</v>
          </cell>
        </row>
        <row r="751">
          <cell r="B751" t="str">
            <v>13497</v>
          </cell>
          <cell r="C751" t="str">
            <v>UEC</v>
          </cell>
          <cell r="D751" t="str">
            <v>N</v>
          </cell>
          <cell r="E751" t="str">
            <v>A</v>
          </cell>
          <cell r="F751" t="str">
            <v>01/17/2003</v>
          </cell>
        </row>
        <row r="752">
          <cell r="B752" t="str">
            <v>13502</v>
          </cell>
          <cell r="C752" t="str">
            <v>CIP</v>
          </cell>
          <cell r="D752" t="str">
            <v>N</v>
          </cell>
          <cell r="E752" t="str">
            <v>A</v>
          </cell>
          <cell r="F752" t="str">
            <v>07/29/2002</v>
          </cell>
        </row>
        <row r="753">
          <cell r="B753" t="str">
            <v>13503</v>
          </cell>
          <cell r="C753" t="str">
            <v>CIP</v>
          </cell>
          <cell r="D753" t="str">
            <v>N</v>
          </cell>
          <cell r="E753" t="str">
            <v>A</v>
          </cell>
          <cell r="F753" t="str">
            <v>07/30/2002</v>
          </cell>
        </row>
        <row r="754">
          <cell r="B754" t="str">
            <v>13504</v>
          </cell>
          <cell r="C754" t="str">
            <v>CIP</v>
          </cell>
          <cell r="D754" t="str">
            <v>N</v>
          </cell>
          <cell r="E754" t="str">
            <v>A</v>
          </cell>
          <cell r="F754" t="str">
            <v>01/16/2003</v>
          </cell>
        </row>
        <row r="755">
          <cell r="B755" t="str">
            <v>13505</v>
          </cell>
          <cell r="C755" t="str">
            <v>CIP</v>
          </cell>
          <cell r="D755" t="str">
            <v>N</v>
          </cell>
          <cell r="E755" t="str">
            <v>C</v>
          </cell>
          <cell r="F755" t="str">
            <v>01/14/2003</v>
          </cell>
        </row>
        <row r="756">
          <cell r="B756" t="str">
            <v>13508</v>
          </cell>
          <cell r="C756" t="str">
            <v>CIP</v>
          </cell>
          <cell r="D756" t="str">
            <v>N</v>
          </cell>
          <cell r="E756" t="str">
            <v>A</v>
          </cell>
          <cell r="F756" t="str">
            <v>01/16/2003</v>
          </cell>
        </row>
        <row r="757">
          <cell r="B757" t="str">
            <v>13517</v>
          </cell>
          <cell r="C757" t="str">
            <v>CIP</v>
          </cell>
          <cell r="D757" t="str">
            <v>N</v>
          </cell>
          <cell r="E757" t="str">
            <v>C</v>
          </cell>
          <cell r="F757" t="str">
            <v>03/21/2003</v>
          </cell>
        </row>
        <row r="758">
          <cell r="B758" t="str">
            <v>13522</v>
          </cell>
          <cell r="C758" t="str">
            <v>UEC</v>
          </cell>
          <cell r="D758" t="str">
            <v>N</v>
          </cell>
          <cell r="E758" t="str">
            <v>I</v>
          </cell>
          <cell r="F758" t="str">
            <v>12/09/2002</v>
          </cell>
        </row>
        <row r="759">
          <cell r="B759" t="str">
            <v>13522</v>
          </cell>
          <cell r="C759" t="str">
            <v>UEC</v>
          </cell>
          <cell r="D759" t="str">
            <v>N</v>
          </cell>
          <cell r="E759" t="str">
            <v>I</v>
          </cell>
          <cell r="F759" t="str">
            <v>12/09/2002</v>
          </cell>
        </row>
        <row r="760">
          <cell r="B760" t="str">
            <v>13537</v>
          </cell>
          <cell r="C760" t="str">
            <v>UEC</v>
          </cell>
          <cell r="D760" t="str">
            <v>N</v>
          </cell>
          <cell r="E760" t="str">
            <v>C</v>
          </cell>
          <cell r="F760" t="str">
            <v>09/10/2002</v>
          </cell>
        </row>
        <row r="761">
          <cell r="B761" t="str">
            <v>13544</v>
          </cell>
          <cell r="C761" t="str">
            <v>UEC</v>
          </cell>
          <cell r="D761" t="str">
            <v>N</v>
          </cell>
          <cell r="E761" t="str">
            <v>A</v>
          </cell>
          <cell r="F761" t="str">
            <v>03/20/2003</v>
          </cell>
        </row>
        <row r="762">
          <cell r="B762" t="str">
            <v>13551</v>
          </cell>
          <cell r="C762" t="str">
            <v>UEC</v>
          </cell>
          <cell r="D762" t="str">
            <v>N</v>
          </cell>
          <cell r="E762" t="str">
            <v>C</v>
          </cell>
          <cell r="F762" t="str">
            <v>11/18/2002</v>
          </cell>
        </row>
        <row r="763">
          <cell r="B763" t="str">
            <v>13553</v>
          </cell>
          <cell r="C763" t="str">
            <v>UEC</v>
          </cell>
          <cell r="D763" t="str">
            <v>N</v>
          </cell>
          <cell r="E763" t="str">
            <v>C</v>
          </cell>
          <cell r="F763" t="str">
            <v>09/24/2002</v>
          </cell>
        </row>
        <row r="764">
          <cell r="B764" t="str">
            <v>13558</v>
          </cell>
          <cell r="C764" t="str">
            <v>UEC</v>
          </cell>
          <cell r="D764" t="str">
            <v>N</v>
          </cell>
          <cell r="E764" t="str">
            <v>C</v>
          </cell>
          <cell r="F764" t="str">
            <v>06/06/2003</v>
          </cell>
        </row>
        <row r="765">
          <cell r="B765" t="str">
            <v>13562</v>
          </cell>
          <cell r="C765" t="str">
            <v>UEC</v>
          </cell>
          <cell r="D765" t="str">
            <v>N</v>
          </cell>
          <cell r="E765" t="str">
            <v>A</v>
          </cell>
          <cell r="F765" t="str">
            <v>07/16/2003</v>
          </cell>
        </row>
        <row r="766">
          <cell r="B766" t="str">
            <v>13564</v>
          </cell>
          <cell r="C766" t="str">
            <v>UEC</v>
          </cell>
          <cell r="D766" t="str">
            <v>N</v>
          </cell>
          <cell r="E766" t="str">
            <v>I</v>
          </cell>
          <cell r="F766" t="str">
            <v>12/03/2003</v>
          </cell>
        </row>
        <row r="767">
          <cell r="B767" t="str">
            <v>13564</v>
          </cell>
          <cell r="C767" t="str">
            <v>UEC</v>
          </cell>
          <cell r="D767" t="str">
            <v>N</v>
          </cell>
          <cell r="E767" t="str">
            <v>I</v>
          </cell>
          <cell r="F767" t="str">
            <v>12/03/2003</v>
          </cell>
        </row>
        <row r="768">
          <cell r="B768" t="str">
            <v>13568</v>
          </cell>
          <cell r="C768" t="str">
            <v>UEC</v>
          </cell>
          <cell r="D768" t="str">
            <v>N</v>
          </cell>
          <cell r="E768" t="str">
            <v>A</v>
          </cell>
          <cell r="F768" t="str">
            <v>08/07/2002</v>
          </cell>
        </row>
        <row r="769">
          <cell r="B769" t="str">
            <v>13573</v>
          </cell>
          <cell r="C769" t="str">
            <v>UEC</v>
          </cell>
          <cell r="D769" t="str">
            <v>N</v>
          </cell>
          <cell r="E769" t="str">
            <v>I</v>
          </cell>
          <cell r="F769" t="str">
            <v>01/08/2004</v>
          </cell>
        </row>
        <row r="770">
          <cell r="B770" t="str">
            <v>13575</v>
          </cell>
          <cell r="C770" t="str">
            <v>UEC</v>
          </cell>
          <cell r="D770" t="str">
            <v>N</v>
          </cell>
          <cell r="E770" t="str">
            <v>A</v>
          </cell>
          <cell r="F770" t="str">
            <v>07/31/2003</v>
          </cell>
        </row>
        <row r="771">
          <cell r="B771" t="str">
            <v>13576</v>
          </cell>
          <cell r="C771" t="str">
            <v>UEC</v>
          </cell>
          <cell r="D771" t="str">
            <v>N</v>
          </cell>
          <cell r="E771" t="str">
            <v>A</v>
          </cell>
          <cell r="F771" t="str">
            <v>02/27/2003</v>
          </cell>
        </row>
        <row r="772">
          <cell r="B772" t="str">
            <v>13607</v>
          </cell>
          <cell r="C772" t="str">
            <v>UEC</v>
          </cell>
          <cell r="D772" t="str">
            <v>N</v>
          </cell>
          <cell r="E772" t="str">
            <v>A</v>
          </cell>
          <cell r="F772" t="str">
            <v>10/15/2002</v>
          </cell>
        </row>
        <row r="773">
          <cell r="B773" t="str">
            <v>13608</v>
          </cell>
          <cell r="C773" t="str">
            <v>CIP</v>
          </cell>
          <cell r="D773" t="str">
            <v>N</v>
          </cell>
          <cell r="E773" t="str">
            <v>C</v>
          </cell>
          <cell r="F773" t="str">
            <v>01/22/2003</v>
          </cell>
        </row>
        <row r="774">
          <cell r="B774" t="str">
            <v>13622</v>
          </cell>
          <cell r="C774" t="str">
            <v>UEC</v>
          </cell>
          <cell r="D774" t="str">
            <v>N</v>
          </cell>
          <cell r="E774" t="str">
            <v>A</v>
          </cell>
          <cell r="F774" t="str">
            <v>04/10/2003</v>
          </cell>
        </row>
        <row r="775">
          <cell r="B775" t="str">
            <v>13625</v>
          </cell>
          <cell r="C775" t="str">
            <v>UEC</v>
          </cell>
          <cell r="D775" t="str">
            <v>N</v>
          </cell>
          <cell r="E775" t="str">
            <v>A</v>
          </cell>
          <cell r="F775" t="str">
            <v>12/13/2002</v>
          </cell>
        </row>
        <row r="776">
          <cell r="B776" t="str">
            <v>13629</v>
          </cell>
          <cell r="C776" t="str">
            <v>UEC</v>
          </cell>
          <cell r="D776" t="str">
            <v>N</v>
          </cell>
          <cell r="E776" t="str">
            <v>A</v>
          </cell>
          <cell r="F776" t="str">
            <v>07/03/2003</v>
          </cell>
        </row>
        <row r="777">
          <cell r="B777" t="str">
            <v>13636</v>
          </cell>
          <cell r="C777" t="str">
            <v>UEC</v>
          </cell>
          <cell r="D777" t="str">
            <v>N</v>
          </cell>
          <cell r="E777" t="str">
            <v>A</v>
          </cell>
          <cell r="F777" t="str">
            <v>04/23/2003</v>
          </cell>
        </row>
        <row r="778">
          <cell r="B778" t="str">
            <v>13646</v>
          </cell>
          <cell r="C778" t="str">
            <v>UEC</v>
          </cell>
          <cell r="D778" t="str">
            <v>N</v>
          </cell>
          <cell r="E778" t="str">
            <v>A</v>
          </cell>
          <cell r="F778" t="str">
            <v>08/14/2003</v>
          </cell>
        </row>
        <row r="779">
          <cell r="B779" t="str">
            <v>13649</v>
          </cell>
          <cell r="C779" t="str">
            <v>UEC</v>
          </cell>
          <cell r="D779" t="str">
            <v>N</v>
          </cell>
          <cell r="E779" t="str">
            <v>A</v>
          </cell>
          <cell r="F779" t="str">
            <v>04/17/2003</v>
          </cell>
        </row>
        <row r="780">
          <cell r="B780" t="str">
            <v>13650</v>
          </cell>
          <cell r="C780" t="str">
            <v>UEC</v>
          </cell>
          <cell r="D780" t="str">
            <v>N</v>
          </cell>
          <cell r="E780" t="str">
            <v>A</v>
          </cell>
          <cell r="F780" t="str">
            <v>03/18/2003</v>
          </cell>
        </row>
        <row r="781">
          <cell r="B781" t="str">
            <v>13657</v>
          </cell>
          <cell r="C781" t="str">
            <v>UEC</v>
          </cell>
          <cell r="D781" t="str">
            <v>N</v>
          </cell>
          <cell r="E781" t="str">
            <v>C</v>
          </cell>
          <cell r="F781" t="str">
            <v>10/28/2002</v>
          </cell>
        </row>
        <row r="782">
          <cell r="B782" t="str">
            <v>13658</v>
          </cell>
          <cell r="C782" t="str">
            <v>UEC</v>
          </cell>
          <cell r="D782" t="str">
            <v>N</v>
          </cell>
          <cell r="E782" t="str">
            <v>A</v>
          </cell>
          <cell r="F782" t="str">
            <v>05/08/2003</v>
          </cell>
        </row>
        <row r="783">
          <cell r="B783" t="str">
            <v>13682</v>
          </cell>
          <cell r="C783" t="str">
            <v>UEC</v>
          </cell>
          <cell r="D783" t="str">
            <v>N</v>
          </cell>
          <cell r="E783" t="str">
            <v>I</v>
          </cell>
          <cell r="F783" t="str">
            <v>10/23/2003</v>
          </cell>
        </row>
        <row r="784">
          <cell r="B784" t="str">
            <v>13711</v>
          </cell>
          <cell r="C784" t="str">
            <v>UEC</v>
          </cell>
          <cell r="D784" t="str">
            <v>N</v>
          </cell>
          <cell r="E784" t="str">
            <v>A</v>
          </cell>
          <cell r="F784" t="str">
            <v>04/23/2003</v>
          </cell>
        </row>
        <row r="785">
          <cell r="B785" t="str">
            <v>13714</v>
          </cell>
          <cell r="C785" t="str">
            <v>UEC</v>
          </cell>
          <cell r="D785" t="str">
            <v>N</v>
          </cell>
          <cell r="E785" t="str">
            <v>A</v>
          </cell>
          <cell r="F785" t="str">
            <v>04/25/2003</v>
          </cell>
        </row>
        <row r="786">
          <cell r="B786" t="str">
            <v>13732</v>
          </cell>
          <cell r="C786" t="str">
            <v>UEC</v>
          </cell>
          <cell r="D786" t="str">
            <v>N</v>
          </cell>
          <cell r="E786" t="str">
            <v>A</v>
          </cell>
          <cell r="F786" t="str">
            <v>01/06/2003</v>
          </cell>
        </row>
        <row r="787">
          <cell r="B787" t="str">
            <v>13745</v>
          </cell>
          <cell r="C787" t="str">
            <v>UEC</v>
          </cell>
          <cell r="D787" t="str">
            <v>N</v>
          </cell>
          <cell r="E787" t="str">
            <v>A</v>
          </cell>
          <cell r="F787" t="str">
            <v>09/26/2003</v>
          </cell>
        </row>
        <row r="788">
          <cell r="B788" t="str">
            <v>13764</v>
          </cell>
          <cell r="C788" t="str">
            <v>UEC</v>
          </cell>
          <cell r="D788" t="str">
            <v>N</v>
          </cell>
          <cell r="E788" t="str">
            <v>A</v>
          </cell>
          <cell r="F788" t="str">
            <v>09/04/2003</v>
          </cell>
        </row>
        <row r="789">
          <cell r="B789" t="str">
            <v>13771</v>
          </cell>
          <cell r="C789" t="str">
            <v>UEC</v>
          </cell>
          <cell r="D789" t="str">
            <v>N</v>
          </cell>
          <cell r="E789" t="str">
            <v>A</v>
          </cell>
          <cell r="F789" t="str">
            <v>02/05/2003</v>
          </cell>
        </row>
        <row r="790">
          <cell r="B790" t="str">
            <v>13777</v>
          </cell>
          <cell r="C790" t="str">
            <v>UEC</v>
          </cell>
          <cell r="D790" t="str">
            <v>N</v>
          </cell>
          <cell r="E790" t="str">
            <v>C</v>
          </cell>
          <cell r="F790" t="str">
            <v>12/13/2002</v>
          </cell>
        </row>
        <row r="791">
          <cell r="B791" t="str">
            <v>13780</v>
          </cell>
          <cell r="C791" t="str">
            <v>UEC</v>
          </cell>
          <cell r="D791" t="str">
            <v>N</v>
          </cell>
          <cell r="E791" t="str">
            <v>A</v>
          </cell>
          <cell r="F791" t="str">
            <v>02/07/2003</v>
          </cell>
        </row>
        <row r="792">
          <cell r="B792" t="str">
            <v>13781</v>
          </cell>
          <cell r="C792" t="str">
            <v>UEC</v>
          </cell>
          <cell r="D792" t="str">
            <v>N</v>
          </cell>
          <cell r="E792" t="str">
            <v>A</v>
          </cell>
          <cell r="F792" t="str">
            <v>12/18/2002</v>
          </cell>
        </row>
        <row r="793">
          <cell r="B793" t="str">
            <v>13795</v>
          </cell>
          <cell r="C793" t="str">
            <v>UEC</v>
          </cell>
          <cell r="D793" t="str">
            <v>N</v>
          </cell>
          <cell r="E793" t="str">
            <v>A</v>
          </cell>
          <cell r="F793" t="str">
            <v>11/05/2003</v>
          </cell>
        </row>
        <row r="794">
          <cell r="B794" t="str">
            <v>13807</v>
          </cell>
          <cell r="C794" t="str">
            <v>UEC</v>
          </cell>
          <cell r="D794" t="str">
            <v>N</v>
          </cell>
          <cell r="E794" t="str">
            <v>I</v>
          </cell>
          <cell r="F794" t="str">
            <v>12/19/2003</v>
          </cell>
        </row>
        <row r="795">
          <cell r="B795" t="str">
            <v>13830</v>
          </cell>
          <cell r="C795" t="str">
            <v>UEC</v>
          </cell>
          <cell r="D795" t="str">
            <v>N</v>
          </cell>
          <cell r="E795" t="str">
            <v>A</v>
          </cell>
          <cell r="F795" t="str">
            <v>09/08/2003</v>
          </cell>
        </row>
        <row r="796">
          <cell r="B796" t="str">
            <v>13834</v>
          </cell>
          <cell r="C796" t="str">
            <v>UEC</v>
          </cell>
          <cell r="D796" t="str">
            <v>N</v>
          </cell>
          <cell r="E796" t="str">
            <v>A</v>
          </cell>
          <cell r="F796" t="str">
            <v>04/30/2003</v>
          </cell>
        </row>
        <row r="797">
          <cell r="B797" t="str">
            <v>13837</v>
          </cell>
          <cell r="C797" t="str">
            <v>UEC</v>
          </cell>
          <cell r="D797" t="str">
            <v>N</v>
          </cell>
          <cell r="E797" t="str">
            <v>A</v>
          </cell>
          <cell r="F797" t="str">
            <v>09/25/2003</v>
          </cell>
        </row>
        <row r="798">
          <cell r="B798" t="str">
            <v>13839</v>
          </cell>
          <cell r="C798" t="str">
            <v>UEC</v>
          </cell>
          <cell r="D798" t="str">
            <v>N</v>
          </cell>
          <cell r="E798" t="str">
            <v>A</v>
          </cell>
          <cell r="F798" t="str">
            <v>05/09/2003</v>
          </cell>
        </row>
        <row r="799">
          <cell r="B799" t="str">
            <v>13843</v>
          </cell>
          <cell r="C799" t="str">
            <v>UEC</v>
          </cell>
          <cell r="D799" t="str">
            <v>N</v>
          </cell>
          <cell r="E799" t="str">
            <v>A</v>
          </cell>
          <cell r="F799" t="str">
            <v>02/12/2003</v>
          </cell>
        </row>
        <row r="800">
          <cell r="B800" t="str">
            <v>13846</v>
          </cell>
          <cell r="C800" t="str">
            <v>UEC</v>
          </cell>
          <cell r="D800" t="str">
            <v>N</v>
          </cell>
          <cell r="E800" t="str">
            <v>A</v>
          </cell>
          <cell r="F800" t="str">
            <v>05/09/2003</v>
          </cell>
        </row>
        <row r="801">
          <cell r="B801" t="str">
            <v>13847</v>
          </cell>
          <cell r="C801" t="str">
            <v>UEC</v>
          </cell>
          <cell r="D801" t="str">
            <v>N</v>
          </cell>
          <cell r="E801" t="str">
            <v>A</v>
          </cell>
          <cell r="F801" t="str">
            <v>03/31/2003</v>
          </cell>
        </row>
        <row r="802">
          <cell r="B802" t="str">
            <v>13851</v>
          </cell>
          <cell r="C802" t="str">
            <v>UEC</v>
          </cell>
          <cell r="D802" t="str">
            <v>N</v>
          </cell>
          <cell r="E802" t="str">
            <v>A</v>
          </cell>
          <cell r="F802" t="str">
            <v>09/25/2003</v>
          </cell>
        </row>
        <row r="803">
          <cell r="B803" t="str">
            <v>13853</v>
          </cell>
          <cell r="C803" t="str">
            <v>UEC</v>
          </cell>
          <cell r="D803" t="str">
            <v>N</v>
          </cell>
          <cell r="E803" t="str">
            <v>A</v>
          </cell>
          <cell r="F803" t="str">
            <v>09/25/2003</v>
          </cell>
        </row>
        <row r="804">
          <cell r="B804" t="str">
            <v>13854</v>
          </cell>
          <cell r="C804" t="str">
            <v>UEC</v>
          </cell>
          <cell r="D804" t="str">
            <v>N</v>
          </cell>
          <cell r="E804" t="str">
            <v>A</v>
          </cell>
          <cell r="F804" t="str">
            <v>04/02/2003</v>
          </cell>
        </row>
        <row r="805">
          <cell r="B805" t="str">
            <v>13878</v>
          </cell>
          <cell r="C805" t="str">
            <v>UEC</v>
          </cell>
          <cell r="D805" t="str">
            <v>N</v>
          </cell>
          <cell r="E805" t="str">
            <v>A</v>
          </cell>
          <cell r="F805" t="str">
            <v>12/02/2003</v>
          </cell>
        </row>
        <row r="806">
          <cell r="B806" t="str">
            <v>13879</v>
          </cell>
          <cell r="C806" t="str">
            <v>UEC</v>
          </cell>
          <cell r="D806" t="str">
            <v>N</v>
          </cell>
          <cell r="E806" t="str">
            <v>A</v>
          </cell>
          <cell r="F806" t="str">
            <v>04/25/2003</v>
          </cell>
        </row>
        <row r="807">
          <cell r="B807" t="str">
            <v>13894</v>
          </cell>
          <cell r="C807" t="str">
            <v>UEC</v>
          </cell>
          <cell r="D807" t="str">
            <v>N</v>
          </cell>
          <cell r="E807" t="str">
            <v>A</v>
          </cell>
          <cell r="F807" t="str">
            <v>08/15/2003</v>
          </cell>
        </row>
        <row r="808">
          <cell r="B808" t="str">
            <v>13913</v>
          </cell>
          <cell r="C808" t="str">
            <v>UEC</v>
          </cell>
          <cell r="D808" t="str">
            <v>N</v>
          </cell>
          <cell r="E808" t="str">
            <v>I</v>
          </cell>
          <cell r="F808" t="str">
            <v>11/15/2002</v>
          </cell>
        </row>
        <row r="809">
          <cell r="B809" t="str">
            <v>13921</v>
          </cell>
          <cell r="C809" t="str">
            <v>UEC</v>
          </cell>
          <cell r="D809" t="str">
            <v>N</v>
          </cell>
          <cell r="E809" t="str">
            <v>A</v>
          </cell>
          <cell r="F809" t="str">
            <v>08/20/2003</v>
          </cell>
        </row>
        <row r="810">
          <cell r="B810" t="str">
            <v>13930</v>
          </cell>
          <cell r="C810" t="str">
            <v>UEC</v>
          </cell>
          <cell r="D810" t="str">
            <v>N</v>
          </cell>
          <cell r="E810" t="str">
            <v>C</v>
          </cell>
          <cell r="F810" t="str">
            <v>12/09/2002</v>
          </cell>
        </row>
        <row r="811">
          <cell r="B811" t="str">
            <v>13942</v>
          </cell>
          <cell r="C811" t="str">
            <v>UEC</v>
          </cell>
          <cell r="D811" t="str">
            <v>N</v>
          </cell>
          <cell r="E811" t="str">
            <v>A</v>
          </cell>
          <cell r="F811" t="str">
            <v>02/10/2003</v>
          </cell>
        </row>
        <row r="812">
          <cell r="B812" t="str">
            <v>13955</v>
          </cell>
          <cell r="C812" t="str">
            <v>UEC</v>
          </cell>
          <cell r="D812" t="str">
            <v>N</v>
          </cell>
          <cell r="E812" t="str">
            <v>A</v>
          </cell>
          <cell r="F812" t="str">
            <v>05/12/2003</v>
          </cell>
        </row>
        <row r="813">
          <cell r="B813" t="str">
            <v>13963</v>
          </cell>
          <cell r="C813" t="str">
            <v>UEC</v>
          </cell>
          <cell r="D813" t="str">
            <v>N</v>
          </cell>
          <cell r="E813" t="str">
            <v>C</v>
          </cell>
          <cell r="F813" t="str">
            <v>12/13/2002</v>
          </cell>
        </row>
        <row r="814">
          <cell r="B814" t="str">
            <v>13980</v>
          </cell>
          <cell r="C814" t="str">
            <v>CIP</v>
          </cell>
          <cell r="D814" t="str">
            <v>N</v>
          </cell>
          <cell r="E814" t="str">
            <v>A</v>
          </cell>
          <cell r="F814" t="str">
            <v>02/13/2003</v>
          </cell>
        </row>
        <row r="815">
          <cell r="B815" t="str">
            <v>13987</v>
          </cell>
          <cell r="C815" t="str">
            <v>CIL</v>
          </cell>
          <cell r="D815" t="str">
            <v>N</v>
          </cell>
          <cell r="E815" t="str">
            <v>A</v>
          </cell>
          <cell r="F815" t="str">
            <v>10/21/2002</v>
          </cell>
        </row>
        <row r="816">
          <cell r="B816" t="str">
            <v>13988</v>
          </cell>
          <cell r="C816" t="str">
            <v>CIP</v>
          </cell>
          <cell r="D816" t="str">
            <v>N</v>
          </cell>
          <cell r="E816" t="str">
            <v>C</v>
          </cell>
          <cell r="F816" t="str">
            <v>09/10/2002</v>
          </cell>
        </row>
        <row r="817">
          <cell r="B817" t="str">
            <v>13989</v>
          </cell>
          <cell r="C817" t="str">
            <v>UEC</v>
          </cell>
          <cell r="D817" t="str">
            <v>N</v>
          </cell>
          <cell r="E817" t="str">
            <v>A</v>
          </cell>
          <cell r="F817" t="str">
            <v>10/02/2002</v>
          </cell>
        </row>
        <row r="818">
          <cell r="B818" t="str">
            <v>13992</v>
          </cell>
          <cell r="C818" t="str">
            <v>UEC</v>
          </cell>
          <cell r="D818" t="str">
            <v>N</v>
          </cell>
          <cell r="E818" t="str">
            <v>A</v>
          </cell>
          <cell r="F818" t="str">
            <v>09/11/2002</v>
          </cell>
        </row>
        <row r="819">
          <cell r="B819" t="str">
            <v>13993</v>
          </cell>
          <cell r="C819" t="str">
            <v>ADC</v>
          </cell>
          <cell r="D819" t="str">
            <v>N</v>
          </cell>
          <cell r="E819" t="str">
            <v>A</v>
          </cell>
          <cell r="F819" t="str">
            <v>08/30/2002</v>
          </cell>
        </row>
        <row r="820">
          <cell r="B820" t="str">
            <v>14009</v>
          </cell>
          <cell r="C820" t="str">
            <v>UEC</v>
          </cell>
          <cell r="D820" t="str">
            <v>N</v>
          </cell>
          <cell r="E820" t="str">
            <v>A</v>
          </cell>
          <cell r="F820" t="str">
            <v>02/18/2003</v>
          </cell>
        </row>
        <row r="821">
          <cell r="B821" t="str">
            <v>14010</v>
          </cell>
          <cell r="C821" t="str">
            <v>UEC</v>
          </cell>
          <cell r="D821" t="str">
            <v>N</v>
          </cell>
          <cell r="E821" t="str">
            <v>A</v>
          </cell>
          <cell r="F821" t="str">
            <v>07/24/2003</v>
          </cell>
        </row>
        <row r="822">
          <cell r="B822" t="str">
            <v>14013</v>
          </cell>
          <cell r="C822" t="str">
            <v>IHC</v>
          </cell>
          <cell r="D822" t="str">
            <v>N</v>
          </cell>
          <cell r="E822" t="str">
            <v>C</v>
          </cell>
          <cell r="F822" t="str">
            <v>09/17/2002</v>
          </cell>
        </row>
        <row r="823">
          <cell r="B823" t="str">
            <v>14024</v>
          </cell>
          <cell r="C823" t="str">
            <v>UEC</v>
          </cell>
          <cell r="D823" t="str">
            <v>N</v>
          </cell>
          <cell r="E823" t="str">
            <v>A</v>
          </cell>
          <cell r="F823" t="str">
            <v>08/07/2003</v>
          </cell>
        </row>
        <row r="824">
          <cell r="B824" t="str">
            <v>14028</v>
          </cell>
          <cell r="C824" t="str">
            <v>UDC</v>
          </cell>
          <cell r="D824" t="str">
            <v>N</v>
          </cell>
          <cell r="E824" t="str">
            <v>I</v>
          </cell>
          <cell r="F824" t="str">
            <v>09/05/2002</v>
          </cell>
        </row>
        <row r="825">
          <cell r="B825" t="str">
            <v>14039</v>
          </cell>
          <cell r="C825" t="str">
            <v>UEC</v>
          </cell>
          <cell r="D825" t="str">
            <v>N</v>
          </cell>
          <cell r="E825" t="str">
            <v>A</v>
          </cell>
          <cell r="F825" t="str">
            <v>06/30/2003</v>
          </cell>
        </row>
        <row r="826">
          <cell r="B826" t="str">
            <v>14055</v>
          </cell>
          <cell r="C826" t="str">
            <v>UEC</v>
          </cell>
          <cell r="D826" t="str">
            <v>N</v>
          </cell>
          <cell r="E826" t="str">
            <v>C</v>
          </cell>
          <cell r="F826" t="str">
            <v>09/12/2002</v>
          </cell>
        </row>
        <row r="827">
          <cell r="B827" t="str">
            <v>14057</v>
          </cell>
          <cell r="C827" t="str">
            <v>UEC</v>
          </cell>
          <cell r="D827" t="str">
            <v>N</v>
          </cell>
          <cell r="E827" t="str">
            <v>A</v>
          </cell>
          <cell r="F827" t="str">
            <v>09/16/2002</v>
          </cell>
        </row>
        <row r="828">
          <cell r="B828" t="str">
            <v>14058</v>
          </cell>
          <cell r="C828" t="str">
            <v>UEC</v>
          </cell>
          <cell r="D828" t="str">
            <v>N</v>
          </cell>
          <cell r="E828" t="str">
            <v>C</v>
          </cell>
          <cell r="F828" t="str">
            <v>10/25/2002</v>
          </cell>
        </row>
        <row r="829">
          <cell r="B829" t="str">
            <v>14068</v>
          </cell>
          <cell r="C829" t="str">
            <v>UEC</v>
          </cell>
          <cell r="D829" t="str">
            <v>N</v>
          </cell>
          <cell r="E829" t="str">
            <v>I</v>
          </cell>
          <cell r="F829" t="str">
            <v>10/14/2002</v>
          </cell>
        </row>
        <row r="830">
          <cell r="B830" t="str">
            <v>14109</v>
          </cell>
          <cell r="C830" t="str">
            <v>CIL</v>
          </cell>
          <cell r="D830" t="str">
            <v>N</v>
          </cell>
          <cell r="E830" t="str">
            <v>C</v>
          </cell>
          <cell r="F830" t="str">
            <v>11/25/2002</v>
          </cell>
        </row>
        <row r="831">
          <cell r="B831" t="str">
            <v>14114</v>
          </cell>
          <cell r="C831" t="str">
            <v>UEC</v>
          </cell>
          <cell r="D831" t="str">
            <v>N</v>
          </cell>
          <cell r="E831" t="str">
            <v>A</v>
          </cell>
          <cell r="F831" t="str">
            <v>02/13/2003</v>
          </cell>
        </row>
        <row r="832">
          <cell r="B832" t="str">
            <v>14115</v>
          </cell>
          <cell r="C832" t="str">
            <v>UEC</v>
          </cell>
          <cell r="D832" t="str">
            <v>N</v>
          </cell>
          <cell r="E832" t="str">
            <v>A</v>
          </cell>
          <cell r="F832" t="str">
            <v>12/11/2002</v>
          </cell>
        </row>
        <row r="833">
          <cell r="B833" t="str">
            <v>14117</v>
          </cell>
          <cell r="C833" t="str">
            <v>UEC</v>
          </cell>
          <cell r="D833" t="str">
            <v>N</v>
          </cell>
          <cell r="E833" t="str">
            <v>A</v>
          </cell>
          <cell r="F833" t="str">
            <v>02/13/2003</v>
          </cell>
        </row>
        <row r="834">
          <cell r="B834" t="str">
            <v>14119</v>
          </cell>
          <cell r="C834" t="str">
            <v>UEC</v>
          </cell>
          <cell r="D834" t="str">
            <v>N</v>
          </cell>
          <cell r="E834" t="str">
            <v>A</v>
          </cell>
          <cell r="F834" t="str">
            <v>02/13/2003</v>
          </cell>
        </row>
        <row r="835">
          <cell r="B835" t="str">
            <v>14120</v>
          </cell>
          <cell r="C835" t="str">
            <v>CIP</v>
          </cell>
          <cell r="D835" t="str">
            <v>N</v>
          </cell>
          <cell r="E835" t="str">
            <v>I</v>
          </cell>
          <cell r="F835" t="str">
            <v>11/26/2002</v>
          </cell>
        </row>
        <row r="836">
          <cell r="B836" t="str">
            <v>14121</v>
          </cell>
          <cell r="C836" t="str">
            <v>CIP</v>
          </cell>
          <cell r="D836" t="str">
            <v>N</v>
          </cell>
          <cell r="E836" t="str">
            <v>C</v>
          </cell>
          <cell r="F836" t="str">
            <v>11/29/2002</v>
          </cell>
        </row>
        <row r="837">
          <cell r="B837" t="str">
            <v>14128</v>
          </cell>
          <cell r="C837" t="str">
            <v>UEC</v>
          </cell>
          <cell r="D837" t="str">
            <v>N</v>
          </cell>
          <cell r="E837" t="str">
            <v>C</v>
          </cell>
          <cell r="F837" t="str">
            <v>12/13/2002</v>
          </cell>
        </row>
        <row r="838">
          <cell r="B838" t="str">
            <v>14130</v>
          </cell>
          <cell r="C838" t="str">
            <v>CIL</v>
          </cell>
          <cell r="D838" t="str">
            <v>N</v>
          </cell>
          <cell r="E838" t="str">
            <v>A</v>
          </cell>
          <cell r="F838" t="str">
            <v>01/16/2003</v>
          </cell>
        </row>
        <row r="839">
          <cell r="B839" t="str">
            <v>14142</v>
          </cell>
          <cell r="C839" t="str">
            <v>UEC</v>
          </cell>
          <cell r="D839" t="str">
            <v>N</v>
          </cell>
          <cell r="E839" t="str">
            <v>A</v>
          </cell>
          <cell r="F839" t="str">
            <v>12/12/2002</v>
          </cell>
        </row>
        <row r="840">
          <cell r="B840" t="str">
            <v>14149</v>
          </cell>
          <cell r="C840" t="str">
            <v>UEC</v>
          </cell>
          <cell r="D840" t="str">
            <v>N</v>
          </cell>
          <cell r="E840" t="str">
            <v>A</v>
          </cell>
          <cell r="F840" t="str">
            <v>12/19/2002</v>
          </cell>
        </row>
        <row r="841">
          <cell r="B841" t="str">
            <v>14154</v>
          </cell>
          <cell r="C841" t="str">
            <v>CIP</v>
          </cell>
          <cell r="D841" t="str">
            <v>N</v>
          </cell>
          <cell r="E841" t="str">
            <v>I</v>
          </cell>
          <cell r="F841" t="str">
            <v>01/09/2003</v>
          </cell>
        </row>
        <row r="842">
          <cell r="B842" t="str">
            <v>14154</v>
          </cell>
          <cell r="C842" t="str">
            <v>CIP</v>
          </cell>
          <cell r="D842" t="str">
            <v>N</v>
          </cell>
          <cell r="E842" t="str">
            <v>I</v>
          </cell>
          <cell r="F842" t="str">
            <v>01/09/2003</v>
          </cell>
        </row>
        <row r="843">
          <cell r="B843" t="str">
            <v>14160</v>
          </cell>
          <cell r="C843" t="str">
            <v>UEC</v>
          </cell>
          <cell r="D843" t="str">
            <v>N</v>
          </cell>
          <cell r="E843" t="str">
            <v>I</v>
          </cell>
          <cell r="F843" t="str">
            <v>01/17/2003</v>
          </cell>
        </row>
        <row r="844">
          <cell r="B844" t="str">
            <v>14170</v>
          </cell>
          <cell r="C844" t="str">
            <v>CIL</v>
          </cell>
          <cell r="D844" t="str">
            <v>N</v>
          </cell>
          <cell r="E844" t="str">
            <v>A</v>
          </cell>
          <cell r="F844" t="str">
            <v>02/14/2003</v>
          </cell>
        </row>
        <row r="845">
          <cell r="B845" t="str">
            <v>14174</v>
          </cell>
          <cell r="C845" t="str">
            <v>UEC</v>
          </cell>
          <cell r="D845" t="str">
            <v>N</v>
          </cell>
          <cell r="E845" t="str">
            <v>A</v>
          </cell>
          <cell r="F845" t="str">
            <v>02/14/2003</v>
          </cell>
        </row>
        <row r="846">
          <cell r="B846" t="str">
            <v>14175</v>
          </cell>
          <cell r="C846" t="str">
            <v>UEC</v>
          </cell>
          <cell r="D846" t="str">
            <v>N</v>
          </cell>
          <cell r="E846" t="str">
            <v>A</v>
          </cell>
          <cell r="F846" t="str">
            <v>02/14/2003</v>
          </cell>
        </row>
        <row r="847">
          <cell r="B847" t="str">
            <v>14179</v>
          </cell>
          <cell r="C847" t="str">
            <v>CIP</v>
          </cell>
          <cell r="D847" t="str">
            <v>N</v>
          </cell>
          <cell r="E847" t="str">
            <v>A</v>
          </cell>
          <cell r="F847" t="str">
            <v>10/02/2003</v>
          </cell>
        </row>
        <row r="848">
          <cell r="B848" t="str">
            <v>14181</v>
          </cell>
          <cell r="C848" t="str">
            <v>UEC</v>
          </cell>
          <cell r="D848" t="str">
            <v>N</v>
          </cell>
          <cell r="E848" t="str">
            <v>A</v>
          </cell>
          <cell r="F848" t="str">
            <v>02/11/2003</v>
          </cell>
        </row>
        <row r="849">
          <cell r="B849" t="str">
            <v>14185</v>
          </cell>
          <cell r="C849" t="str">
            <v>ARG</v>
          </cell>
          <cell r="D849" t="str">
            <v>N</v>
          </cell>
          <cell r="E849" t="str">
            <v>C</v>
          </cell>
          <cell r="F849" t="str">
            <v>09/03/2003</v>
          </cell>
        </row>
        <row r="850">
          <cell r="B850" t="str">
            <v>14186</v>
          </cell>
          <cell r="C850" t="str">
            <v>ARG</v>
          </cell>
          <cell r="D850" t="str">
            <v>N</v>
          </cell>
          <cell r="E850" t="str">
            <v>C</v>
          </cell>
          <cell r="F850" t="str">
            <v>09/03/2003</v>
          </cell>
        </row>
        <row r="851">
          <cell r="B851" t="str">
            <v>14192</v>
          </cell>
          <cell r="C851" t="str">
            <v>GEN</v>
          </cell>
          <cell r="D851" t="str">
            <v>N</v>
          </cell>
          <cell r="E851" t="str">
            <v>A</v>
          </cell>
          <cell r="F851" t="str">
            <v>03/04/2003</v>
          </cell>
        </row>
        <row r="852">
          <cell r="B852" t="str">
            <v>14202</v>
          </cell>
          <cell r="C852" t="str">
            <v>UEC</v>
          </cell>
          <cell r="D852" t="str">
            <v>N</v>
          </cell>
          <cell r="E852" t="str">
            <v>A</v>
          </cell>
          <cell r="F852" t="str">
            <v>03/06/2003</v>
          </cell>
        </row>
        <row r="853">
          <cell r="B853" t="str">
            <v>14206</v>
          </cell>
          <cell r="C853" t="str">
            <v>UEC</v>
          </cell>
          <cell r="D853" t="str">
            <v>N</v>
          </cell>
          <cell r="E853" t="str">
            <v>A</v>
          </cell>
          <cell r="F853" t="str">
            <v>05/29/2003</v>
          </cell>
        </row>
        <row r="854">
          <cell r="B854" t="str">
            <v>14212</v>
          </cell>
          <cell r="C854" t="str">
            <v>UEC</v>
          </cell>
          <cell r="D854" t="str">
            <v>N</v>
          </cell>
          <cell r="E854" t="str">
            <v>A</v>
          </cell>
          <cell r="F854" t="str">
            <v>03/20/2003</v>
          </cell>
        </row>
        <row r="855">
          <cell r="B855" t="str">
            <v>14216</v>
          </cell>
          <cell r="C855" t="str">
            <v>UEC</v>
          </cell>
          <cell r="D855" t="str">
            <v>N</v>
          </cell>
          <cell r="E855" t="str">
            <v>A</v>
          </cell>
          <cell r="F855" t="str">
            <v>03/27/2003</v>
          </cell>
        </row>
        <row r="856">
          <cell r="B856" t="str">
            <v>14218</v>
          </cell>
          <cell r="C856" t="str">
            <v>UEC</v>
          </cell>
          <cell r="D856" t="str">
            <v>N</v>
          </cell>
          <cell r="E856" t="str">
            <v>C</v>
          </cell>
          <cell r="F856" t="str">
            <v>04/01/2003</v>
          </cell>
        </row>
        <row r="857">
          <cell r="B857" t="str">
            <v>14224</v>
          </cell>
          <cell r="C857" t="str">
            <v>GEN</v>
          </cell>
          <cell r="D857" t="str">
            <v>N</v>
          </cell>
          <cell r="E857" t="str">
            <v>I</v>
          </cell>
          <cell r="F857" t="str">
            <v>03/27/2003</v>
          </cell>
        </row>
        <row r="858">
          <cell r="B858" t="str">
            <v>14224</v>
          </cell>
          <cell r="C858" t="str">
            <v>GEN</v>
          </cell>
          <cell r="D858" t="str">
            <v>N</v>
          </cell>
          <cell r="E858" t="str">
            <v>I</v>
          </cell>
          <cell r="F858" t="str">
            <v>03/27/2003</v>
          </cell>
        </row>
        <row r="859">
          <cell r="B859" t="str">
            <v>14227</v>
          </cell>
          <cell r="C859" t="str">
            <v>UEC</v>
          </cell>
          <cell r="D859" t="str">
            <v>N</v>
          </cell>
          <cell r="E859" t="str">
            <v>C</v>
          </cell>
          <cell r="F859" t="str">
            <v>03/28/2003</v>
          </cell>
        </row>
        <row r="860">
          <cell r="B860" t="str">
            <v>14229</v>
          </cell>
          <cell r="C860" t="str">
            <v>CIP</v>
          </cell>
          <cell r="D860" t="str">
            <v>N</v>
          </cell>
          <cell r="E860" t="str">
            <v>A</v>
          </cell>
          <cell r="F860" t="str">
            <v>04/01/2003</v>
          </cell>
        </row>
        <row r="861">
          <cell r="B861" t="str">
            <v>14252</v>
          </cell>
          <cell r="C861" t="str">
            <v>CIP</v>
          </cell>
          <cell r="D861" t="str">
            <v>N</v>
          </cell>
          <cell r="E861" t="str">
            <v>I</v>
          </cell>
          <cell r="F861" t="str">
            <v>04/11/2003</v>
          </cell>
        </row>
        <row r="862">
          <cell r="B862" t="str">
            <v>14253</v>
          </cell>
          <cell r="C862" t="str">
            <v>UEC</v>
          </cell>
          <cell r="D862" t="str">
            <v>N</v>
          </cell>
          <cell r="E862" t="str">
            <v>A</v>
          </cell>
          <cell r="F862" t="str">
            <v>07/23/2003</v>
          </cell>
        </row>
        <row r="863">
          <cell r="B863" t="str">
            <v>14264</v>
          </cell>
          <cell r="C863" t="str">
            <v>UEC</v>
          </cell>
          <cell r="D863" t="str">
            <v>N</v>
          </cell>
          <cell r="E863" t="str">
            <v>A</v>
          </cell>
          <cell r="F863" t="str">
            <v>01/20/2004</v>
          </cell>
        </row>
        <row r="864">
          <cell r="B864" t="str">
            <v>14266</v>
          </cell>
          <cell r="C864" t="str">
            <v>CIP</v>
          </cell>
          <cell r="D864" t="str">
            <v>N</v>
          </cell>
          <cell r="E864" t="str">
            <v>C</v>
          </cell>
          <cell r="F864" t="str">
            <v>04/25/2003</v>
          </cell>
        </row>
        <row r="865">
          <cell r="B865" t="str">
            <v>14278</v>
          </cell>
          <cell r="C865" t="str">
            <v>CIL</v>
          </cell>
          <cell r="D865" t="str">
            <v>N</v>
          </cell>
          <cell r="E865" t="str">
            <v>A</v>
          </cell>
          <cell r="F865" t="str">
            <v>01/09/2004</v>
          </cell>
        </row>
        <row r="866">
          <cell r="B866" t="str">
            <v>14279</v>
          </cell>
          <cell r="C866" t="str">
            <v>CIP</v>
          </cell>
          <cell r="D866" t="str">
            <v>N</v>
          </cell>
          <cell r="E866" t="str">
            <v>A</v>
          </cell>
          <cell r="F866" t="str">
            <v>05/01/2003</v>
          </cell>
        </row>
        <row r="867">
          <cell r="B867" t="str">
            <v>14281</v>
          </cell>
          <cell r="C867" t="str">
            <v>ARG</v>
          </cell>
          <cell r="D867" t="str">
            <v>N</v>
          </cell>
          <cell r="E867" t="str">
            <v>A</v>
          </cell>
          <cell r="F867" t="str">
            <v>09/03/2003</v>
          </cell>
        </row>
        <row r="868">
          <cell r="B868" t="str">
            <v>14283</v>
          </cell>
          <cell r="C868" t="str">
            <v>CIP</v>
          </cell>
          <cell r="D868" t="str">
            <v>N</v>
          </cell>
          <cell r="E868" t="str">
            <v>C</v>
          </cell>
          <cell r="F868" t="str">
            <v>05/12/2003</v>
          </cell>
        </row>
        <row r="869">
          <cell r="B869" t="str">
            <v>14289</v>
          </cell>
          <cell r="C869" t="str">
            <v>CIP</v>
          </cell>
          <cell r="D869" t="str">
            <v>N</v>
          </cell>
          <cell r="E869" t="str">
            <v>A</v>
          </cell>
          <cell r="F869" t="str">
            <v>05/28/2003</v>
          </cell>
        </row>
        <row r="870">
          <cell r="B870" t="str">
            <v>14291</v>
          </cell>
          <cell r="C870" t="str">
            <v>CIL</v>
          </cell>
          <cell r="D870" t="str">
            <v>N</v>
          </cell>
          <cell r="E870" t="str">
            <v>I</v>
          </cell>
          <cell r="F870" t="str">
            <v>09/17/2003</v>
          </cell>
        </row>
        <row r="871">
          <cell r="B871" t="str">
            <v>14291</v>
          </cell>
          <cell r="C871" t="str">
            <v>CIL</v>
          </cell>
          <cell r="D871" t="str">
            <v>N</v>
          </cell>
          <cell r="E871" t="str">
            <v>I</v>
          </cell>
          <cell r="F871" t="str">
            <v>09/17/2003</v>
          </cell>
        </row>
        <row r="872">
          <cell r="B872" t="str">
            <v>14292</v>
          </cell>
          <cell r="C872" t="str">
            <v>CIL</v>
          </cell>
          <cell r="D872" t="str">
            <v>N</v>
          </cell>
          <cell r="E872" t="str">
            <v>I</v>
          </cell>
          <cell r="F872" t="str">
            <v>09/16/2003</v>
          </cell>
        </row>
        <row r="873">
          <cell r="B873" t="str">
            <v>14292</v>
          </cell>
          <cell r="C873" t="str">
            <v>CIL</v>
          </cell>
          <cell r="D873" t="str">
            <v>N</v>
          </cell>
          <cell r="E873" t="str">
            <v>I</v>
          </cell>
          <cell r="F873" t="str">
            <v>09/16/2003</v>
          </cell>
        </row>
        <row r="874">
          <cell r="B874" t="str">
            <v>14294</v>
          </cell>
          <cell r="C874" t="str">
            <v>CIP</v>
          </cell>
          <cell r="D874" t="str">
            <v>N</v>
          </cell>
          <cell r="E874" t="str">
            <v>C</v>
          </cell>
          <cell r="F874" t="str">
            <v>05/12/2003</v>
          </cell>
        </row>
        <row r="875">
          <cell r="B875" t="str">
            <v>14295</v>
          </cell>
          <cell r="C875" t="str">
            <v>UEC</v>
          </cell>
          <cell r="D875" t="str">
            <v>N</v>
          </cell>
          <cell r="E875" t="str">
            <v>A</v>
          </cell>
          <cell r="F875" t="str">
            <v>05/14/2003</v>
          </cell>
        </row>
        <row r="876">
          <cell r="B876" t="str">
            <v>14304</v>
          </cell>
          <cell r="C876" t="str">
            <v>CIP</v>
          </cell>
          <cell r="D876" t="str">
            <v>N</v>
          </cell>
          <cell r="E876" t="str">
            <v>A</v>
          </cell>
          <cell r="F876" t="str">
            <v>05/19/2003</v>
          </cell>
        </row>
        <row r="877">
          <cell r="B877" t="str">
            <v>14308</v>
          </cell>
          <cell r="C877" t="str">
            <v>ARG</v>
          </cell>
          <cell r="D877" t="str">
            <v>N</v>
          </cell>
          <cell r="E877" t="str">
            <v>I</v>
          </cell>
          <cell r="F877" t="str">
            <v>09/12/2003</v>
          </cell>
        </row>
        <row r="878">
          <cell r="B878" t="str">
            <v>14314</v>
          </cell>
          <cell r="C878" t="str">
            <v>UEC</v>
          </cell>
          <cell r="D878" t="str">
            <v>N</v>
          </cell>
          <cell r="E878" t="str">
            <v>A</v>
          </cell>
          <cell r="F878" t="str">
            <v>05/28/2003</v>
          </cell>
        </row>
        <row r="879">
          <cell r="B879" t="str">
            <v>14318</v>
          </cell>
          <cell r="C879" t="str">
            <v>UEC</v>
          </cell>
          <cell r="D879" t="str">
            <v>N</v>
          </cell>
          <cell r="E879" t="str">
            <v>A</v>
          </cell>
          <cell r="F879" t="str">
            <v>06/09/2003</v>
          </cell>
        </row>
        <row r="880">
          <cell r="B880" t="str">
            <v>14319</v>
          </cell>
          <cell r="C880" t="str">
            <v>UEC</v>
          </cell>
          <cell r="D880" t="str">
            <v>N</v>
          </cell>
          <cell r="E880" t="str">
            <v>A</v>
          </cell>
          <cell r="F880" t="str">
            <v>05/28/2003</v>
          </cell>
        </row>
        <row r="881">
          <cell r="B881" t="str">
            <v>14320</v>
          </cell>
          <cell r="C881" t="str">
            <v>CIL</v>
          </cell>
          <cell r="D881" t="str">
            <v>N</v>
          </cell>
          <cell r="E881" t="str">
            <v>A</v>
          </cell>
          <cell r="F881" t="str">
            <v>06/02/2003</v>
          </cell>
        </row>
        <row r="882">
          <cell r="B882" t="str">
            <v>14326</v>
          </cell>
          <cell r="C882" t="str">
            <v>UEC</v>
          </cell>
          <cell r="D882" t="str">
            <v>N</v>
          </cell>
          <cell r="E882" t="str">
            <v>A</v>
          </cell>
          <cell r="F882" t="str">
            <v>06/05/2003</v>
          </cell>
        </row>
        <row r="883">
          <cell r="B883" t="str">
            <v>14332</v>
          </cell>
          <cell r="C883" t="str">
            <v>UEC</v>
          </cell>
          <cell r="D883" t="str">
            <v>N</v>
          </cell>
          <cell r="E883" t="str">
            <v>A</v>
          </cell>
          <cell r="F883" t="str">
            <v>06/12/2003</v>
          </cell>
        </row>
        <row r="884">
          <cell r="B884" t="str">
            <v>14334</v>
          </cell>
          <cell r="C884" t="str">
            <v>CIP</v>
          </cell>
          <cell r="D884" t="str">
            <v>N</v>
          </cell>
          <cell r="E884" t="str">
            <v>A</v>
          </cell>
          <cell r="F884" t="str">
            <v>06/17/2003</v>
          </cell>
        </row>
        <row r="885">
          <cell r="B885" t="str">
            <v>14345</v>
          </cell>
          <cell r="C885" t="str">
            <v>UEC</v>
          </cell>
          <cell r="D885" t="str">
            <v>N</v>
          </cell>
          <cell r="E885" t="str">
            <v>A</v>
          </cell>
          <cell r="F885" t="str">
            <v>07/25/2003</v>
          </cell>
        </row>
        <row r="886">
          <cell r="B886" t="str">
            <v>14351</v>
          </cell>
          <cell r="C886" t="str">
            <v>UEC</v>
          </cell>
          <cell r="D886" t="str">
            <v>N</v>
          </cell>
          <cell r="E886" t="str">
            <v>A</v>
          </cell>
          <cell r="F886" t="str">
            <v>11/25/2003</v>
          </cell>
        </row>
        <row r="887">
          <cell r="B887" t="str">
            <v>14363</v>
          </cell>
          <cell r="C887" t="str">
            <v>UEC</v>
          </cell>
          <cell r="D887" t="str">
            <v>N</v>
          </cell>
          <cell r="E887" t="str">
            <v>A</v>
          </cell>
          <cell r="F887" t="str">
            <v>11/06/2003</v>
          </cell>
        </row>
        <row r="888">
          <cell r="B888" t="str">
            <v>14380</v>
          </cell>
          <cell r="C888" t="str">
            <v>CIP</v>
          </cell>
          <cell r="D888" t="str">
            <v>N</v>
          </cell>
          <cell r="E888" t="str">
            <v>A</v>
          </cell>
          <cell r="F888" t="str">
            <v>06/25/2003</v>
          </cell>
        </row>
        <row r="889">
          <cell r="B889" t="str">
            <v>14381</v>
          </cell>
          <cell r="C889" t="str">
            <v>CIP</v>
          </cell>
          <cell r="D889" t="str">
            <v>N</v>
          </cell>
          <cell r="E889" t="str">
            <v>A</v>
          </cell>
          <cell r="F889" t="str">
            <v>06/26/2003</v>
          </cell>
        </row>
        <row r="890">
          <cell r="B890" t="str">
            <v>14384</v>
          </cell>
          <cell r="C890" t="str">
            <v>UEC</v>
          </cell>
          <cell r="D890" t="str">
            <v>N</v>
          </cell>
          <cell r="E890" t="str">
            <v>A</v>
          </cell>
          <cell r="F890" t="str">
            <v>06/30/2003</v>
          </cell>
        </row>
        <row r="891">
          <cell r="B891" t="str">
            <v>14390</v>
          </cell>
          <cell r="C891" t="str">
            <v>UEC</v>
          </cell>
          <cell r="D891" t="str">
            <v>N</v>
          </cell>
          <cell r="E891" t="str">
            <v>A</v>
          </cell>
          <cell r="F891" t="str">
            <v>06/26/2003</v>
          </cell>
        </row>
        <row r="892">
          <cell r="B892" t="str">
            <v>14396</v>
          </cell>
          <cell r="C892" t="str">
            <v>UEC</v>
          </cell>
          <cell r="D892" t="str">
            <v>N</v>
          </cell>
          <cell r="E892" t="str">
            <v>A</v>
          </cell>
          <cell r="F892" t="str">
            <v>07/02/2003</v>
          </cell>
        </row>
        <row r="893">
          <cell r="B893" t="str">
            <v>14421</v>
          </cell>
          <cell r="C893"/>
          <cell r="D893"/>
          <cell r="E893"/>
          <cell r="F893"/>
        </row>
        <row r="894">
          <cell r="B894" t="str">
            <v>14434</v>
          </cell>
          <cell r="C894" t="str">
            <v>UEC</v>
          </cell>
          <cell r="D894" t="str">
            <v>N</v>
          </cell>
          <cell r="E894" t="str">
            <v>A</v>
          </cell>
          <cell r="F894" t="str">
            <v>07/21/2003</v>
          </cell>
        </row>
        <row r="895">
          <cell r="B895" t="str">
            <v>14454</v>
          </cell>
          <cell r="C895" t="str">
            <v>UEC</v>
          </cell>
          <cell r="D895" t="str">
            <v>N</v>
          </cell>
          <cell r="E895" t="str">
            <v>A</v>
          </cell>
          <cell r="F895" t="str">
            <v>09/12/2003</v>
          </cell>
        </row>
        <row r="896">
          <cell r="B896" t="str">
            <v>14501</v>
          </cell>
          <cell r="C896" t="str">
            <v>CIP</v>
          </cell>
          <cell r="D896" t="str">
            <v>N</v>
          </cell>
          <cell r="E896" t="str">
            <v>A</v>
          </cell>
          <cell r="F896" t="str">
            <v>09/11/2003</v>
          </cell>
        </row>
        <row r="897">
          <cell r="B897" t="str">
            <v>14504</v>
          </cell>
          <cell r="C897" t="str">
            <v>CIL</v>
          </cell>
          <cell r="D897" t="str">
            <v>N</v>
          </cell>
          <cell r="E897" t="str">
            <v>A</v>
          </cell>
          <cell r="F897" t="str">
            <v>09/24/2003</v>
          </cell>
        </row>
        <row r="898">
          <cell r="B898" t="str">
            <v>14509</v>
          </cell>
          <cell r="C898" t="str">
            <v>UEC</v>
          </cell>
          <cell r="D898" t="str">
            <v>N</v>
          </cell>
          <cell r="E898" t="str">
            <v>A</v>
          </cell>
          <cell r="F898" t="str">
            <v>07/30/2003</v>
          </cell>
        </row>
        <row r="899">
          <cell r="B899" t="str">
            <v>14519</v>
          </cell>
          <cell r="C899" t="str">
            <v>UEC</v>
          </cell>
          <cell r="D899" t="str">
            <v>N</v>
          </cell>
          <cell r="E899" t="str">
            <v>A</v>
          </cell>
          <cell r="F899" t="str">
            <v>09/12/2003</v>
          </cell>
        </row>
        <row r="900">
          <cell r="B900" t="str">
            <v>14525</v>
          </cell>
          <cell r="C900" t="str">
            <v>UEC</v>
          </cell>
          <cell r="D900" t="str">
            <v>N</v>
          </cell>
          <cell r="E900" t="str">
            <v>A</v>
          </cell>
          <cell r="F900" t="str">
            <v>09/18/2003</v>
          </cell>
        </row>
        <row r="901">
          <cell r="B901" t="str">
            <v>14546</v>
          </cell>
          <cell r="C901" t="str">
            <v>UEC</v>
          </cell>
          <cell r="D901" t="str">
            <v>N</v>
          </cell>
          <cell r="E901" t="str">
            <v>A</v>
          </cell>
          <cell r="F901" t="str">
            <v>01/08/2004</v>
          </cell>
        </row>
        <row r="902">
          <cell r="B902" t="str">
            <v>14549</v>
          </cell>
          <cell r="C902" t="str">
            <v>CIL</v>
          </cell>
          <cell r="D902" t="str">
            <v>N</v>
          </cell>
          <cell r="E902" t="str">
            <v>A</v>
          </cell>
          <cell r="F902" t="str">
            <v>10/06/2003</v>
          </cell>
        </row>
        <row r="903">
          <cell r="B903" t="str">
            <v>14551</v>
          </cell>
          <cell r="C903" t="str">
            <v>CIL</v>
          </cell>
          <cell r="D903" t="str">
            <v>N</v>
          </cell>
          <cell r="E903" t="str">
            <v>A</v>
          </cell>
          <cell r="F903" t="str">
            <v>10/02/2003</v>
          </cell>
        </row>
        <row r="904">
          <cell r="B904" t="str">
            <v>14556</v>
          </cell>
          <cell r="C904" t="str">
            <v>CIL</v>
          </cell>
          <cell r="D904" t="str">
            <v>N</v>
          </cell>
          <cell r="E904" t="str">
            <v>A</v>
          </cell>
          <cell r="F904" t="str">
            <v>01/02/2004</v>
          </cell>
        </row>
        <row r="905">
          <cell r="B905" t="str">
            <v>14557</v>
          </cell>
          <cell r="C905" t="str">
            <v>CIL</v>
          </cell>
          <cell r="D905" t="str">
            <v>N</v>
          </cell>
          <cell r="E905" t="str">
            <v>A</v>
          </cell>
          <cell r="F905" t="str">
            <v>11/13/2003</v>
          </cell>
        </row>
        <row r="906">
          <cell r="B906" t="str">
            <v>14560</v>
          </cell>
          <cell r="C906" t="str">
            <v>UEC</v>
          </cell>
          <cell r="D906" t="str">
            <v>N</v>
          </cell>
          <cell r="E906" t="str">
            <v>A</v>
          </cell>
          <cell r="F906" t="str">
            <v>11/04/2003</v>
          </cell>
        </row>
        <row r="907">
          <cell r="B907" t="str">
            <v>14569</v>
          </cell>
          <cell r="C907" t="str">
            <v>AMC</v>
          </cell>
          <cell r="D907" t="str">
            <v>N</v>
          </cell>
          <cell r="E907" t="str">
            <v>A</v>
          </cell>
          <cell r="F907" t="str">
            <v>07/28/2003</v>
          </cell>
        </row>
        <row r="908">
          <cell r="B908" t="str">
            <v>14576</v>
          </cell>
          <cell r="C908" t="str">
            <v>UEC</v>
          </cell>
          <cell r="D908" t="str">
            <v>N</v>
          </cell>
          <cell r="E908" t="str">
            <v>A</v>
          </cell>
          <cell r="F908" t="str">
            <v>07/30/2003</v>
          </cell>
        </row>
        <row r="909">
          <cell r="B909" t="str">
            <v>14579</v>
          </cell>
          <cell r="C909" t="str">
            <v>UEC</v>
          </cell>
          <cell r="D909" t="str">
            <v>N</v>
          </cell>
          <cell r="E909" t="str">
            <v>A</v>
          </cell>
          <cell r="F909" t="str">
            <v>09/02/2003</v>
          </cell>
        </row>
        <row r="910">
          <cell r="B910" t="str">
            <v>14804</v>
          </cell>
          <cell r="C910" t="str">
            <v>ARG</v>
          </cell>
          <cell r="D910" t="str">
            <v>N</v>
          </cell>
          <cell r="E910" t="str">
            <v>C</v>
          </cell>
          <cell r="F910" t="str">
            <v>08/29/2003</v>
          </cell>
        </row>
        <row r="911">
          <cell r="B911" t="str">
            <v>14808</v>
          </cell>
          <cell r="C911" t="str">
            <v>UEC</v>
          </cell>
          <cell r="D911" t="str">
            <v>N</v>
          </cell>
          <cell r="E911" t="str">
            <v>A</v>
          </cell>
          <cell r="F911" t="str">
            <v>08/13/2003</v>
          </cell>
        </row>
        <row r="912">
          <cell r="B912" t="str">
            <v>14818</v>
          </cell>
          <cell r="C912" t="str">
            <v>UEC</v>
          </cell>
          <cell r="D912" t="str">
            <v>N</v>
          </cell>
          <cell r="E912" t="str">
            <v>A</v>
          </cell>
          <cell r="F912" t="str">
            <v>09/04/2003</v>
          </cell>
        </row>
        <row r="913">
          <cell r="B913" t="str">
            <v>14858</v>
          </cell>
          <cell r="C913" t="str">
            <v>UEC</v>
          </cell>
          <cell r="D913" t="str">
            <v>N</v>
          </cell>
          <cell r="E913" t="str">
            <v>A</v>
          </cell>
          <cell r="F913" t="str">
            <v>10/20/2003</v>
          </cell>
        </row>
        <row r="914">
          <cell r="B914" t="str">
            <v>14885</v>
          </cell>
          <cell r="C914" t="str">
            <v>UEC</v>
          </cell>
          <cell r="D914" t="str">
            <v>N</v>
          </cell>
          <cell r="E914" t="str">
            <v>A</v>
          </cell>
          <cell r="F914" t="str">
            <v>08/21/2003</v>
          </cell>
        </row>
        <row r="915">
          <cell r="B915" t="str">
            <v>14894</v>
          </cell>
          <cell r="C915" t="str">
            <v>UEC</v>
          </cell>
          <cell r="D915" t="str">
            <v>N</v>
          </cell>
          <cell r="E915" t="str">
            <v>A</v>
          </cell>
          <cell r="F915" t="str">
            <v>09/05/2003</v>
          </cell>
        </row>
        <row r="916">
          <cell r="B916" t="str">
            <v>14980</v>
          </cell>
          <cell r="C916" t="str">
            <v>CIP</v>
          </cell>
          <cell r="D916" t="str">
            <v>N</v>
          </cell>
          <cell r="E916" t="str">
            <v>A</v>
          </cell>
          <cell r="F916" t="str">
            <v>11/17/2003</v>
          </cell>
        </row>
        <row r="917">
          <cell r="B917" t="str">
            <v>14997</v>
          </cell>
          <cell r="C917" t="str">
            <v>CIL</v>
          </cell>
          <cell r="D917" t="str">
            <v>N</v>
          </cell>
          <cell r="E917" t="str">
            <v>A</v>
          </cell>
          <cell r="F917" t="str">
            <v>10/03/2003</v>
          </cell>
        </row>
        <row r="918">
          <cell r="B918" t="str">
            <v>15059</v>
          </cell>
          <cell r="C918" t="str">
            <v>CIP</v>
          </cell>
          <cell r="D918" t="str">
            <v>N</v>
          </cell>
          <cell r="E918" t="str">
            <v>I</v>
          </cell>
          <cell r="F918" t="str">
            <v>09/13/2003</v>
          </cell>
        </row>
        <row r="919">
          <cell r="B919" t="str">
            <v>15060</v>
          </cell>
          <cell r="C919" t="str">
            <v>UEC</v>
          </cell>
          <cell r="D919" t="str">
            <v>N</v>
          </cell>
          <cell r="E919" t="str">
            <v>A</v>
          </cell>
          <cell r="F919" t="str">
            <v>09/13/2003</v>
          </cell>
        </row>
        <row r="920">
          <cell r="B920" t="str">
            <v>15065</v>
          </cell>
          <cell r="C920" t="str">
            <v>CIC</v>
          </cell>
          <cell r="D920" t="str">
            <v>N</v>
          </cell>
          <cell r="E920" t="str">
            <v>I</v>
          </cell>
          <cell r="F920" t="str">
            <v>09/25/2003</v>
          </cell>
        </row>
        <row r="921">
          <cell r="B921" t="str">
            <v>15065</v>
          </cell>
          <cell r="C921" t="str">
            <v>CIC</v>
          </cell>
          <cell r="D921" t="str">
            <v>N</v>
          </cell>
          <cell r="E921" t="str">
            <v>I</v>
          </cell>
          <cell r="F921" t="str">
            <v>09/25/2003</v>
          </cell>
        </row>
        <row r="922">
          <cell r="B922" t="str">
            <v>15070</v>
          </cell>
          <cell r="C922" t="str">
            <v>ARG</v>
          </cell>
          <cell r="D922" t="str">
            <v>N</v>
          </cell>
          <cell r="E922" t="str">
            <v>A</v>
          </cell>
          <cell r="F922" t="str">
            <v>09/30/2003</v>
          </cell>
        </row>
        <row r="923">
          <cell r="B923" t="str">
            <v>15073</v>
          </cell>
          <cell r="C923" t="str">
            <v>UEC</v>
          </cell>
          <cell r="D923" t="str">
            <v>N</v>
          </cell>
          <cell r="E923" t="str">
            <v>A</v>
          </cell>
          <cell r="F923" t="str">
            <v>09/11/2003</v>
          </cell>
        </row>
        <row r="924">
          <cell r="B924" t="str">
            <v>15081</v>
          </cell>
          <cell r="C924" t="str">
            <v>CIL</v>
          </cell>
          <cell r="D924" t="str">
            <v>N</v>
          </cell>
          <cell r="E924" t="str">
            <v>A</v>
          </cell>
          <cell r="F924" t="str">
            <v>09/09/2003</v>
          </cell>
        </row>
        <row r="925">
          <cell r="B925" t="str">
            <v>15087</v>
          </cell>
          <cell r="C925" t="str">
            <v>UEC</v>
          </cell>
          <cell r="D925" t="str">
            <v>N</v>
          </cell>
          <cell r="E925" t="str">
            <v>A</v>
          </cell>
          <cell r="F925" t="str">
            <v>09/08/2003</v>
          </cell>
        </row>
        <row r="926">
          <cell r="B926" t="str">
            <v>15089</v>
          </cell>
          <cell r="C926" t="str">
            <v>UEC</v>
          </cell>
          <cell r="D926" t="str">
            <v>N</v>
          </cell>
          <cell r="E926" t="str">
            <v>A</v>
          </cell>
          <cell r="F926" t="str">
            <v>11/12/2003</v>
          </cell>
        </row>
        <row r="927">
          <cell r="B927" t="str">
            <v>15091</v>
          </cell>
          <cell r="C927" t="str">
            <v>UEC</v>
          </cell>
          <cell r="D927" t="str">
            <v>N</v>
          </cell>
          <cell r="E927" t="str">
            <v>A</v>
          </cell>
          <cell r="F927" t="str">
            <v>09/11/2003</v>
          </cell>
        </row>
        <row r="928">
          <cell r="B928" t="str">
            <v>15094</v>
          </cell>
          <cell r="C928" t="str">
            <v>CIL</v>
          </cell>
          <cell r="D928" t="str">
            <v>N</v>
          </cell>
          <cell r="E928" t="str">
            <v>I</v>
          </cell>
          <cell r="F928" t="str">
            <v>09/18/2003</v>
          </cell>
        </row>
        <row r="929">
          <cell r="B929" t="str">
            <v>15094</v>
          </cell>
          <cell r="C929" t="str">
            <v>CIL</v>
          </cell>
          <cell r="D929" t="str">
            <v>N</v>
          </cell>
          <cell r="E929" t="str">
            <v>I</v>
          </cell>
          <cell r="F929" t="str">
            <v>09/18/2003</v>
          </cell>
        </row>
        <row r="930">
          <cell r="B930" t="str">
            <v>15099</v>
          </cell>
          <cell r="C930" t="str">
            <v>UEC</v>
          </cell>
          <cell r="D930" t="str">
            <v>N</v>
          </cell>
          <cell r="E930" t="str">
            <v>A</v>
          </cell>
          <cell r="F930" t="str">
            <v>09/15/2003</v>
          </cell>
        </row>
        <row r="931">
          <cell r="B931" t="str">
            <v>15100</v>
          </cell>
          <cell r="C931" t="str">
            <v>CIL</v>
          </cell>
          <cell r="D931" t="str">
            <v>N</v>
          </cell>
          <cell r="E931" t="str">
            <v>A</v>
          </cell>
          <cell r="F931" t="str">
            <v>09/17/2003</v>
          </cell>
        </row>
        <row r="932">
          <cell r="B932" t="str">
            <v>15101</v>
          </cell>
          <cell r="C932" t="str">
            <v>CIL</v>
          </cell>
          <cell r="D932" t="str">
            <v>N</v>
          </cell>
          <cell r="E932" t="str">
            <v>A</v>
          </cell>
          <cell r="F932" t="str">
            <v>09/17/2003</v>
          </cell>
        </row>
        <row r="933">
          <cell r="B933" t="str">
            <v>15105</v>
          </cell>
          <cell r="C933" t="str">
            <v>CIL</v>
          </cell>
          <cell r="D933" t="str">
            <v>N</v>
          </cell>
          <cell r="E933" t="str">
            <v>A</v>
          </cell>
          <cell r="F933" t="str">
            <v>09/17/2003</v>
          </cell>
        </row>
        <row r="934">
          <cell r="B934" t="str">
            <v>15106</v>
          </cell>
          <cell r="C934" t="str">
            <v>ARG</v>
          </cell>
          <cell r="D934" t="str">
            <v>N</v>
          </cell>
          <cell r="E934" t="str">
            <v>A</v>
          </cell>
          <cell r="F934" t="str">
            <v>09/18/2003</v>
          </cell>
        </row>
        <row r="935">
          <cell r="B935" t="str">
            <v>15107</v>
          </cell>
          <cell r="C935" t="str">
            <v>ARG</v>
          </cell>
          <cell r="D935" t="str">
            <v>N</v>
          </cell>
          <cell r="E935" t="str">
            <v>A</v>
          </cell>
          <cell r="F935" t="str">
            <v>09/30/2003</v>
          </cell>
        </row>
        <row r="936">
          <cell r="B936" t="str">
            <v>15108</v>
          </cell>
          <cell r="C936" t="str">
            <v>ARG</v>
          </cell>
          <cell r="D936" t="str">
            <v>N</v>
          </cell>
          <cell r="E936" t="str">
            <v>A</v>
          </cell>
          <cell r="F936" t="str">
            <v>09/19/2003</v>
          </cell>
        </row>
        <row r="937">
          <cell r="B937" t="str">
            <v>15109</v>
          </cell>
          <cell r="C937" t="str">
            <v>ARG</v>
          </cell>
          <cell r="D937" t="str">
            <v>N</v>
          </cell>
          <cell r="E937" t="str">
            <v>A</v>
          </cell>
          <cell r="F937" t="str">
            <v>09/19/2003</v>
          </cell>
        </row>
        <row r="938">
          <cell r="B938" t="str">
            <v>15110</v>
          </cell>
          <cell r="C938" t="str">
            <v>CIP</v>
          </cell>
          <cell r="D938" t="str">
            <v>N</v>
          </cell>
          <cell r="E938" t="str">
            <v>A</v>
          </cell>
          <cell r="F938" t="str">
            <v>11/13/2003</v>
          </cell>
        </row>
        <row r="939">
          <cell r="B939" t="str">
            <v>15111</v>
          </cell>
          <cell r="C939" t="str">
            <v>ARG</v>
          </cell>
          <cell r="D939" t="str">
            <v>N</v>
          </cell>
          <cell r="E939" t="str">
            <v>A</v>
          </cell>
          <cell r="F939" t="str">
            <v>09/19/2003</v>
          </cell>
        </row>
        <row r="940">
          <cell r="B940" t="str">
            <v>15114</v>
          </cell>
          <cell r="C940" t="str">
            <v>CIL</v>
          </cell>
          <cell r="D940" t="str">
            <v>N</v>
          </cell>
          <cell r="E940" t="str">
            <v>I</v>
          </cell>
          <cell r="F940" t="str">
            <v>09/23/2003</v>
          </cell>
        </row>
        <row r="941">
          <cell r="B941" t="str">
            <v>15114</v>
          </cell>
          <cell r="C941" t="str">
            <v>CIL</v>
          </cell>
          <cell r="D941" t="str">
            <v>N</v>
          </cell>
          <cell r="E941" t="str">
            <v>I</v>
          </cell>
          <cell r="F941" t="str">
            <v>09/23/2003</v>
          </cell>
        </row>
        <row r="942">
          <cell r="B942" t="str">
            <v>15117</v>
          </cell>
          <cell r="C942" t="str">
            <v>CIP</v>
          </cell>
          <cell r="D942" t="str">
            <v>N</v>
          </cell>
          <cell r="E942" t="str">
            <v>A</v>
          </cell>
          <cell r="F942" t="str">
            <v>11/17/2003</v>
          </cell>
        </row>
        <row r="943">
          <cell r="B943" t="str">
            <v>15129</v>
          </cell>
          <cell r="C943" t="str">
            <v>UEC</v>
          </cell>
          <cell r="D943" t="str">
            <v>N</v>
          </cell>
          <cell r="E943" t="str">
            <v>A</v>
          </cell>
          <cell r="F943" t="str">
            <v>11/07/2003</v>
          </cell>
        </row>
        <row r="944">
          <cell r="B944" t="str">
            <v>15132</v>
          </cell>
          <cell r="C944" t="str">
            <v>UEC</v>
          </cell>
          <cell r="D944" t="str">
            <v>N</v>
          </cell>
          <cell r="E944" t="str">
            <v>A</v>
          </cell>
          <cell r="F944" t="str">
            <v>10/08/2003</v>
          </cell>
        </row>
        <row r="945">
          <cell r="B945" t="str">
            <v>15136</v>
          </cell>
          <cell r="C945" t="str">
            <v>CIL</v>
          </cell>
          <cell r="D945" t="str">
            <v>N</v>
          </cell>
          <cell r="E945" t="str">
            <v>I</v>
          </cell>
          <cell r="F945" t="str">
            <v>10/14/2003</v>
          </cell>
        </row>
        <row r="946">
          <cell r="B946" t="str">
            <v>15136</v>
          </cell>
          <cell r="C946" t="str">
            <v>CIL</v>
          </cell>
          <cell r="D946" t="str">
            <v>N</v>
          </cell>
          <cell r="E946" t="str">
            <v>I</v>
          </cell>
          <cell r="F946" t="str">
            <v>10/14/2003</v>
          </cell>
        </row>
        <row r="947">
          <cell r="B947" t="str">
            <v>15153</v>
          </cell>
          <cell r="C947" t="str">
            <v>CIL</v>
          </cell>
          <cell r="D947" t="str">
            <v>N</v>
          </cell>
          <cell r="E947" t="str">
            <v>I</v>
          </cell>
          <cell r="F947" t="str">
            <v>10/16/2003</v>
          </cell>
        </row>
        <row r="948">
          <cell r="B948" t="str">
            <v>15153</v>
          </cell>
          <cell r="C948" t="str">
            <v>CIL</v>
          </cell>
          <cell r="D948" t="str">
            <v>N</v>
          </cell>
          <cell r="E948" t="str">
            <v>I</v>
          </cell>
          <cell r="F948" t="str">
            <v>10/16/2003</v>
          </cell>
        </row>
        <row r="949">
          <cell r="B949" t="str">
            <v>15157</v>
          </cell>
          <cell r="C949" t="str">
            <v>UEC</v>
          </cell>
          <cell r="D949" t="str">
            <v>N</v>
          </cell>
          <cell r="E949" t="str">
            <v>A</v>
          </cell>
          <cell r="F949" t="str">
            <v>10/21/2003</v>
          </cell>
        </row>
        <row r="950">
          <cell r="B950" t="str">
            <v>15159</v>
          </cell>
          <cell r="C950" t="str">
            <v>CIL</v>
          </cell>
          <cell r="D950" t="str">
            <v>N</v>
          </cell>
          <cell r="E950" t="str">
            <v>I</v>
          </cell>
          <cell r="F950" t="str">
            <v>10/22/2003</v>
          </cell>
        </row>
        <row r="951">
          <cell r="B951" t="str">
            <v>15161</v>
          </cell>
          <cell r="C951" t="str">
            <v>CIL</v>
          </cell>
          <cell r="D951" t="str">
            <v>N</v>
          </cell>
          <cell r="E951" t="str">
            <v>I</v>
          </cell>
          <cell r="F951" t="str">
            <v>10/28/2003</v>
          </cell>
        </row>
        <row r="952">
          <cell r="B952" t="str">
            <v>15165</v>
          </cell>
          <cell r="C952" t="str">
            <v>CIL</v>
          </cell>
          <cell r="D952" t="str">
            <v>N</v>
          </cell>
          <cell r="E952" t="str">
            <v>I</v>
          </cell>
          <cell r="F952" t="str">
            <v>11/05/2003</v>
          </cell>
        </row>
        <row r="953">
          <cell r="B953" t="str">
            <v>15182</v>
          </cell>
          <cell r="C953" t="str">
            <v>CIL</v>
          </cell>
          <cell r="D953" t="str">
            <v>N</v>
          </cell>
          <cell r="E953" t="str">
            <v>I</v>
          </cell>
          <cell r="F953" t="str">
            <v>12/02/2003</v>
          </cell>
        </row>
        <row r="954">
          <cell r="B954" t="str">
            <v>15182</v>
          </cell>
          <cell r="C954" t="str">
            <v>CIL</v>
          </cell>
          <cell r="D954" t="str">
            <v>N</v>
          </cell>
          <cell r="E954" t="str">
            <v>I</v>
          </cell>
          <cell r="F954" t="str">
            <v>12/02/2003</v>
          </cell>
        </row>
        <row r="955">
          <cell r="B955" t="str">
            <v>15199</v>
          </cell>
          <cell r="C955" t="str">
            <v>UEC</v>
          </cell>
          <cell r="D955" t="str">
            <v>N</v>
          </cell>
          <cell r="E955" t="str">
            <v>A</v>
          </cell>
          <cell r="F955" t="str">
            <v>12/10/2003</v>
          </cell>
        </row>
        <row r="956">
          <cell r="B956" t="str">
            <v>15201</v>
          </cell>
          <cell r="C956" t="str">
            <v>CIL</v>
          </cell>
          <cell r="D956" t="str">
            <v>N</v>
          </cell>
          <cell r="E956" t="str">
            <v>A</v>
          </cell>
          <cell r="F956" t="str">
            <v>12/12/2003</v>
          </cell>
        </row>
        <row r="957">
          <cell r="B957" t="str">
            <v>15202</v>
          </cell>
          <cell r="C957" t="str">
            <v>ARG</v>
          </cell>
          <cell r="D957" t="str">
            <v>N</v>
          </cell>
          <cell r="E957" t="str">
            <v>I</v>
          </cell>
          <cell r="F957" t="str">
            <v>12/15/2003</v>
          </cell>
        </row>
        <row r="958">
          <cell r="B958" t="str">
            <v>15202</v>
          </cell>
          <cell r="C958" t="str">
            <v>ARG</v>
          </cell>
          <cell r="D958" t="str">
            <v>N</v>
          </cell>
          <cell r="E958" t="str">
            <v>I</v>
          </cell>
          <cell r="F958" t="str">
            <v>12/15/2003</v>
          </cell>
        </row>
        <row r="959">
          <cell r="B959" t="str">
            <v>15204</v>
          </cell>
          <cell r="C959" t="str">
            <v>UEC</v>
          </cell>
          <cell r="D959" t="str">
            <v>N</v>
          </cell>
          <cell r="E959" t="str">
            <v>A</v>
          </cell>
          <cell r="F959" t="str">
            <v>12/17/2003</v>
          </cell>
        </row>
        <row r="960">
          <cell r="B960" t="str">
            <v>15213</v>
          </cell>
          <cell r="C960" t="str">
            <v>UEC</v>
          </cell>
          <cell r="D960" t="str">
            <v>N</v>
          </cell>
          <cell r="E960" t="str">
            <v>A</v>
          </cell>
          <cell r="F960" t="str">
            <v>12/29/2003</v>
          </cell>
        </row>
        <row r="961">
          <cell r="B961" t="str">
            <v>15215</v>
          </cell>
          <cell r="C961" t="str">
            <v>UEC</v>
          </cell>
          <cell r="D961" t="str">
            <v>N</v>
          </cell>
          <cell r="E961" t="str">
            <v>A</v>
          </cell>
          <cell r="F961" t="str">
            <v>01/02/2004</v>
          </cell>
        </row>
        <row r="962">
          <cell r="B962" t="str">
            <v>15216</v>
          </cell>
          <cell r="C962" t="str">
            <v>UEC</v>
          </cell>
          <cell r="D962" t="str">
            <v>N</v>
          </cell>
          <cell r="E962" t="str">
            <v>A</v>
          </cell>
          <cell r="F962" t="str">
            <v>01/02/2004</v>
          </cell>
        </row>
        <row r="963">
          <cell r="B963" t="str">
            <v>15218</v>
          </cell>
          <cell r="C963" t="str">
            <v>UEC</v>
          </cell>
          <cell r="D963" t="str">
            <v>N</v>
          </cell>
          <cell r="E963" t="str">
            <v>A</v>
          </cell>
          <cell r="F963" t="str">
            <v>01/07/2004</v>
          </cell>
        </row>
        <row r="964">
          <cell r="B964" t="str">
            <v>15219</v>
          </cell>
          <cell r="C964" t="str">
            <v>UEC</v>
          </cell>
          <cell r="D964" t="str">
            <v>N</v>
          </cell>
          <cell r="E964" t="str">
            <v>A</v>
          </cell>
          <cell r="F964" t="str">
            <v>01/07/2004</v>
          </cell>
        </row>
        <row r="965">
          <cell r="B965" t="str">
            <v>15220</v>
          </cell>
          <cell r="C965" t="str">
            <v>CIP</v>
          </cell>
          <cell r="D965" t="str">
            <v>N</v>
          </cell>
          <cell r="E965" t="str">
            <v>I</v>
          </cell>
          <cell r="F965" t="str">
            <v>01/07/2004</v>
          </cell>
        </row>
        <row r="966">
          <cell r="B966" t="str">
            <v>15229</v>
          </cell>
          <cell r="C966" t="str">
            <v>UEC</v>
          </cell>
          <cell r="D966" t="str">
            <v>N</v>
          </cell>
          <cell r="E966" t="str">
            <v>I</v>
          </cell>
          <cell r="F966" t="str">
            <v>01/20/2004</v>
          </cell>
        </row>
        <row r="967">
          <cell r="B967" t="str">
            <v>15229</v>
          </cell>
          <cell r="C967" t="str">
            <v>UEC</v>
          </cell>
          <cell r="D967" t="str">
            <v>N</v>
          </cell>
          <cell r="E967" t="str">
            <v>I</v>
          </cell>
          <cell r="F967" t="str">
            <v>01/20/2004</v>
          </cell>
        </row>
        <row r="968">
          <cell r="B968" t="str">
            <v>15242</v>
          </cell>
          <cell r="C968" t="str">
            <v>UEC</v>
          </cell>
          <cell r="D968" t="str">
            <v>N</v>
          </cell>
          <cell r="E968" t="str">
            <v>I</v>
          </cell>
          <cell r="F968" t="str">
            <v>01/23/2004</v>
          </cell>
        </row>
        <row r="969">
          <cell r="B969" t="str">
            <v>15242</v>
          </cell>
          <cell r="C969" t="str">
            <v>UEC</v>
          </cell>
          <cell r="D969" t="str">
            <v>N</v>
          </cell>
          <cell r="E969" t="str">
            <v>I</v>
          </cell>
          <cell r="F969" t="str">
            <v>01/23/2004</v>
          </cell>
        </row>
        <row r="970">
          <cell r="B970" t="str">
            <v>15244</v>
          </cell>
          <cell r="C970" t="str">
            <v>UEC</v>
          </cell>
          <cell r="D970" t="str">
            <v>N</v>
          </cell>
          <cell r="E970" t="str">
            <v>I</v>
          </cell>
          <cell r="F970" t="str">
            <v>01/23/2004</v>
          </cell>
        </row>
        <row r="971">
          <cell r="B971" t="str">
            <v>15254</v>
          </cell>
          <cell r="C971" t="str">
            <v>CIP</v>
          </cell>
          <cell r="D971" t="str">
            <v>N</v>
          </cell>
          <cell r="E971" t="str">
            <v>C</v>
          </cell>
          <cell r="F971" t="str">
            <v>05/29/1998</v>
          </cell>
        </row>
        <row r="972">
          <cell r="B972" t="str">
            <v>15362</v>
          </cell>
          <cell r="C972" t="str">
            <v>CIP</v>
          </cell>
          <cell r="D972" t="str">
            <v>N</v>
          </cell>
          <cell r="E972" t="str">
            <v>C</v>
          </cell>
          <cell r="F972" t="str">
            <v>12/22/1997</v>
          </cell>
        </row>
        <row r="973">
          <cell r="B973" t="str">
            <v>38257</v>
          </cell>
          <cell r="C973" t="str">
            <v>CIP</v>
          </cell>
          <cell r="D973" t="str">
            <v>N</v>
          </cell>
          <cell r="E973" t="str">
            <v>C</v>
          </cell>
          <cell r="F973" t="str">
            <v>01/06/1998</v>
          </cell>
        </row>
        <row r="974">
          <cell r="B974" t="str">
            <v>0A001</v>
          </cell>
          <cell r="C974" t="str">
            <v>UEC</v>
          </cell>
          <cell r="D974" t="str">
            <v>N</v>
          </cell>
          <cell r="E974" t="str">
            <v>A</v>
          </cell>
          <cell r="F974" t="str">
            <v>12/06/1997</v>
          </cell>
        </row>
        <row r="975">
          <cell r="B975" t="str">
            <v>0A005</v>
          </cell>
          <cell r="C975" t="str">
            <v>UEC</v>
          </cell>
          <cell r="D975" t="str">
            <v>N</v>
          </cell>
          <cell r="E975" t="str">
            <v>A</v>
          </cell>
          <cell r="F975" t="str">
            <v>12/06/1997</v>
          </cell>
        </row>
        <row r="976">
          <cell r="B976" t="str">
            <v>0A006</v>
          </cell>
          <cell r="C976" t="str">
            <v>UEC</v>
          </cell>
          <cell r="D976" t="str">
            <v>N</v>
          </cell>
          <cell r="E976" t="str">
            <v>A</v>
          </cell>
          <cell r="F976" t="str">
            <v>12/06/1997</v>
          </cell>
        </row>
        <row r="977">
          <cell r="B977" t="str">
            <v>0A009</v>
          </cell>
          <cell r="C977" t="str">
            <v>UEC</v>
          </cell>
          <cell r="D977" t="str">
            <v>N</v>
          </cell>
          <cell r="E977" t="str">
            <v>A</v>
          </cell>
          <cell r="F977" t="str">
            <v>12/06/1997</v>
          </cell>
        </row>
        <row r="978">
          <cell r="B978" t="str">
            <v>0A010</v>
          </cell>
          <cell r="C978" t="str">
            <v>UEC</v>
          </cell>
          <cell r="D978" t="str">
            <v>N</v>
          </cell>
          <cell r="E978" t="str">
            <v>A</v>
          </cell>
          <cell r="F978" t="str">
            <v>02/14/2003</v>
          </cell>
        </row>
        <row r="979">
          <cell r="B979" t="str">
            <v>0A011</v>
          </cell>
          <cell r="C979" t="str">
            <v>UEC</v>
          </cell>
          <cell r="D979" t="str">
            <v>N</v>
          </cell>
          <cell r="E979" t="str">
            <v>A</v>
          </cell>
          <cell r="F979" t="str">
            <v>12/06/1997</v>
          </cell>
        </row>
        <row r="980">
          <cell r="B980" t="str">
            <v>0A012</v>
          </cell>
          <cell r="C980" t="str">
            <v>UEC</v>
          </cell>
          <cell r="D980" t="str">
            <v>N</v>
          </cell>
          <cell r="E980" t="str">
            <v>A</v>
          </cell>
          <cell r="F980" t="str">
            <v>12/06/1997</v>
          </cell>
        </row>
        <row r="981">
          <cell r="B981" t="str">
            <v>0A013</v>
          </cell>
          <cell r="C981" t="str">
            <v>UEC</v>
          </cell>
          <cell r="D981" t="str">
            <v>N</v>
          </cell>
          <cell r="E981" t="str">
            <v>A</v>
          </cell>
          <cell r="F981" t="str">
            <v>02/14/2003</v>
          </cell>
        </row>
        <row r="982">
          <cell r="B982" t="str">
            <v>0A014</v>
          </cell>
          <cell r="C982" t="str">
            <v>UEC</v>
          </cell>
          <cell r="D982" t="str">
            <v>N</v>
          </cell>
          <cell r="E982" t="str">
            <v>A</v>
          </cell>
          <cell r="F982" t="str">
            <v>02/14/2003</v>
          </cell>
        </row>
        <row r="983">
          <cell r="B983" t="str">
            <v>0A018</v>
          </cell>
          <cell r="C983" t="str">
            <v>UEC</v>
          </cell>
          <cell r="D983" t="str">
            <v>Y</v>
          </cell>
          <cell r="E983" t="str">
            <v>A</v>
          </cell>
          <cell r="F983" t="str">
            <v>07/06/2001</v>
          </cell>
        </row>
        <row r="984">
          <cell r="B984" t="str">
            <v>0A037</v>
          </cell>
          <cell r="C984" t="str">
            <v>UEC</v>
          </cell>
          <cell r="D984" t="str">
            <v>N</v>
          </cell>
          <cell r="E984" t="str">
            <v>A</v>
          </cell>
          <cell r="F984" t="str">
            <v>01/13/1998</v>
          </cell>
        </row>
        <row r="985">
          <cell r="B985" t="str">
            <v>0A039</v>
          </cell>
          <cell r="C985" t="str">
            <v>UEC</v>
          </cell>
          <cell r="D985" t="str">
            <v>N</v>
          </cell>
          <cell r="E985" t="str">
            <v>A</v>
          </cell>
          <cell r="F985" t="str">
            <v>01/12/1998</v>
          </cell>
        </row>
        <row r="986">
          <cell r="B986" t="str">
            <v>0A042</v>
          </cell>
          <cell r="C986" t="str">
            <v>UEC</v>
          </cell>
          <cell r="D986" t="str">
            <v>N</v>
          </cell>
          <cell r="E986" t="str">
            <v>C</v>
          </cell>
          <cell r="F986" t="str">
            <v>01/12/1998</v>
          </cell>
        </row>
        <row r="987">
          <cell r="B987" t="str">
            <v>0A043</v>
          </cell>
          <cell r="C987" t="str">
            <v>UEC</v>
          </cell>
          <cell r="D987" t="str">
            <v>N</v>
          </cell>
          <cell r="E987" t="str">
            <v>A</v>
          </cell>
          <cell r="F987" t="str">
            <v>01/12/1998</v>
          </cell>
        </row>
        <row r="988">
          <cell r="B988" t="str">
            <v>0A045</v>
          </cell>
          <cell r="C988" t="str">
            <v>UEC</v>
          </cell>
          <cell r="D988" t="str">
            <v>N</v>
          </cell>
          <cell r="E988" t="str">
            <v>A</v>
          </cell>
          <cell r="F988" t="str">
            <v>01/12/1998</v>
          </cell>
        </row>
        <row r="989">
          <cell r="B989" t="str">
            <v>0A046</v>
          </cell>
          <cell r="C989" t="str">
            <v>UEC</v>
          </cell>
          <cell r="D989" t="str">
            <v>N</v>
          </cell>
          <cell r="E989" t="str">
            <v>A</v>
          </cell>
          <cell r="F989" t="str">
            <v>01/12/1998</v>
          </cell>
        </row>
        <row r="990">
          <cell r="B990" t="str">
            <v>0A047</v>
          </cell>
          <cell r="C990" t="str">
            <v>UEC</v>
          </cell>
          <cell r="D990" t="str">
            <v>N</v>
          </cell>
          <cell r="E990" t="str">
            <v>A</v>
          </cell>
          <cell r="F990" t="str">
            <v>01/12/1998</v>
          </cell>
        </row>
        <row r="991">
          <cell r="B991" t="str">
            <v>0A048</v>
          </cell>
          <cell r="C991" t="str">
            <v>UEC</v>
          </cell>
          <cell r="D991" t="str">
            <v>N</v>
          </cell>
          <cell r="E991" t="str">
            <v>A</v>
          </cell>
          <cell r="F991" t="str">
            <v>01/12/1998</v>
          </cell>
        </row>
        <row r="992">
          <cell r="B992" t="str">
            <v>0A049</v>
          </cell>
          <cell r="C992" t="str">
            <v>UEC</v>
          </cell>
          <cell r="D992" t="str">
            <v>N</v>
          </cell>
          <cell r="E992" t="str">
            <v>A</v>
          </cell>
          <cell r="F992" t="str">
            <v>01/12/1998</v>
          </cell>
        </row>
        <row r="993">
          <cell r="B993" t="str">
            <v>0A076</v>
          </cell>
          <cell r="C993" t="str">
            <v>UEC</v>
          </cell>
          <cell r="D993" t="str">
            <v>N</v>
          </cell>
          <cell r="E993" t="str">
            <v>A</v>
          </cell>
          <cell r="F993" t="str">
            <v>06/08/1998</v>
          </cell>
        </row>
        <row r="994">
          <cell r="B994" t="str">
            <v>0A090</v>
          </cell>
          <cell r="C994" t="str">
            <v>UEC</v>
          </cell>
          <cell r="D994" t="str">
            <v>N</v>
          </cell>
          <cell r="E994" t="str">
            <v>A</v>
          </cell>
          <cell r="F994" t="str">
            <v>06/24/2003</v>
          </cell>
        </row>
        <row r="995">
          <cell r="B995" t="str">
            <v>0A091</v>
          </cell>
          <cell r="C995" t="str">
            <v>UEC</v>
          </cell>
          <cell r="D995" t="str">
            <v>N</v>
          </cell>
          <cell r="E995" t="str">
            <v>A</v>
          </cell>
          <cell r="F995" t="str">
            <v>11/13/1998</v>
          </cell>
        </row>
        <row r="996">
          <cell r="B996" t="str">
            <v>0A092</v>
          </cell>
          <cell r="C996" t="str">
            <v>UEC</v>
          </cell>
          <cell r="D996" t="str">
            <v>N</v>
          </cell>
          <cell r="E996" t="str">
            <v>A</v>
          </cell>
          <cell r="F996" t="str">
            <v>06/24/2003</v>
          </cell>
        </row>
        <row r="997">
          <cell r="B997" t="str">
            <v>0A093</v>
          </cell>
          <cell r="C997" t="str">
            <v>UEC</v>
          </cell>
          <cell r="D997" t="str">
            <v>N</v>
          </cell>
          <cell r="E997" t="str">
            <v>A</v>
          </cell>
          <cell r="F997" t="str">
            <v>06/24/2003</v>
          </cell>
        </row>
        <row r="998">
          <cell r="B998" t="str">
            <v>0A094</v>
          </cell>
          <cell r="C998" t="str">
            <v>UEC</v>
          </cell>
          <cell r="D998" t="str">
            <v>N</v>
          </cell>
          <cell r="E998" t="str">
            <v>A</v>
          </cell>
          <cell r="F998" t="str">
            <v>06/02/1998</v>
          </cell>
        </row>
        <row r="999">
          <cell r="B999" t="str">
            <v>0A095</v>
          </cell>
          <cell r="C999" t="str">
            <v>UEC</v>
          </cell>
          <cell r="D999" t="str">
            <v>N</v>
          </cell>
          <cell r="E999" t="str">
            <v>A</v>
          </cell>
          <cell r="F999" t="str">
            <v>06/24/2003</v>
          </cell>
        </row>
        <row r="1000">
          <cell r="B1000" t="str">
            <v>0A096</v>
          </cell>
          <cell r="C1000" t="str">
            <v>UEC</v>
          </cell>
          <cell r="D1000" t="str">
            <v>N</v>
          </cell>
          <cell r="E1000" t="str">
            <v>A</v>
          </cell>
          <cell r="F1000" t="str">
            <v>11/19/2001</v>
          </cell>
        </row>
        <row r="1001">
          <cell r="B1001" t="str">
            <v>0A100</v>
          </cell>
          <cell r="C1001" t="str">
            <v>UEC</v>
          </cell>
          <cell r="D1001" t="str">
            <v>N</v>
          </cell>
          <cell r="E1001" t="str">
            <v>A</v>
          </cell>
          <cell r="F1001" t="str">
            <v>02/14/2003</v>
          </cell>
        </row>
        <row r="1002">
          <cell r="B1002" t="str">
            <v>0A101</v>
          </cell>
          <cell r="C1002" t="str">
            <v>UEC</v>
          </cell>
          <cell r="D1002" t="str">
            <v>N</v>
          </cell>
          <cell r="E1002" t="str">
            <v>A</v>
          </cell>
          <cell r="F1002" t="str">
            <v>02/14/2003</v>
          </cell>
        </row>
        <row r="1003">
          <cell r="B1003" t="str">
            <v>0A113</v>
          </cell>
          <cell r="C1003" t="str">
            <v>UEC</v>
          </cell>
          <cell r="D1003" t="str">
            <v>N</v>
          </cell>
          <cell r="E1003" t="str">
            <v>I</v>
          </cell>
          <cell r="F1003" t="str">
            <v>04/14/1998</v>
          </cell>
        </row>
        <row r="1004">
          <cell r="B1004" t="str">
            <v>0A121</v>
          </cell>
          <cell r="C1004" t="str">
            <v>UEC</v>
          </cell>
          <cell r="D1004" t="str">
            <v>N</v>
          </cell>
          <cell r="E1004" t="str">
            <v>A</v>
          </cell>
          <cell r="F1004" t="str">
            <v>01/16/2003</v>
          </cell>
        </row>
        <row r="1005">
          <cell r="B1005" t="str">
            <v>0A125</v>
          </cell>
          <cell r="C1005" t="str">
            <v>UEC</v>
          </cell>
          <cell r="D1005" t="str">
            <v>N</v>
          </cell>
          <cell r="E1005" t="str">
            <v>A</v>
          </cell>
          <cell r="F1005" t="str">
            <v>12/06/1997</v>
          </cell>
        </row>
        <row r="1006">
          <cell r="B1006" t="str">
            <v>0A126</v>
          </cell>
          <cell r="C1006" t="str">
            <v>UEC</v>
          </cell>
          <cell r="D1006" t="str">
            <v>N</v>
          </cell>
          <cell r="E1006" t="str">
            <v>A</v>
          </cell>
          <cell r="F1006" t="str">
            <v>12/06/1997</v>
          </cell>
        </row>
        <row r="1007">
          <cell r="B1007" t="str">
            <v>0A127</v>
          </cell>
          <cell r="C1007" t="str">
            <v>UEC</v>
          </cell>
          <cell r="D1007" t="str">
            <v>N</v>
          </cell>
          <cell r="E1007" t="str">
            <v>A</v>
          </cell>
          <cell r="F1007" t="str">
            <v>12/07/2001</v>
          </cell>
        </row>
        <row r="1008">
          <cell r="B1008" t="str">
            <v>0A128</v>
          </cell>
          <cell r="C1008" t="str">
            <v>UEC</v>
          </cell>
          <cell r="D1008" t="str">
            <v>N</v>
          </cell>
          <cell r="E1008" t="str">
            <v>A</v>
          </cell>
          <cell r="F1008" t="str">
            <v>01/31/2002</v>
          </cell>
        </row>
        <row r="1009">
          <cell r="B1009" t="str">
            <v>0A190</v>
          </cell>
          <cell r="C1009" t="str">
            <v>UEC</v>
          </cell>
          <cell r="D1009" t="str">
            <v>N</v>
          </cell>
          <cell r="E1009" t="str">
            <v>A</v>
          </cell>
          <cell r="F1009" t="str">
            <v>06/27/2003</v>
          </cell>
        </row>
        <row r="1010">
          <cell r="B1010" t="str">
            <v>0A191</v>
          </cell>
          <cell r="C1010" t="str">
            <v>UEC</v>
          </cell>
          <cell r="D1010" t="str">
            <v>N</v>
          </cell>
          <cell r="E1010" t="str">
            <v>A</v>
          </cell>
          <cell r="F1010" t="str">
            <v>06/27/2003</v>
          </cell>
        </row>
        <row r="1011">
          <cell r="B1011" t="str">
            <v>0A192</v>
          </cell>
          <cell r="C1011" t="str">
            <v>UEC</v>
          </cell>
          <cell r="D1011" t="str">
            <v>N</v>
          </cell>
          <cell r="E1011" t="str">
            <v>A</v>
          </cell>
          <cell r="F1011" t="str">
            <v>06/27/2003</v>
          </cell>
        </row>
        <row r="1012">
          <cell r="B1012" t="str">
            <v>0A193</v>
          </cell>
          <cell r="C1012" t="str">
            <v>UEC</v>
          </cell>
          <cell r="D1012" t="str">
            <v>N</v>
          </cell>
          <cell r="E1012" t="str">
            <v>A</v>
          </cell>
          <cell r="F1012" t="str">
            <v>06/27/2003</v>
          </cell>
        </row>
        <row r="1013">
          <cell r="B1013" t="str">
            <v>0A194</v>
          </cell>
          <cell r="C1013" t="str">
            <v>UEC</v>
          </cell>
          <cell r="D1013" t="str">
            <v>N</v>
          </cell>
          <cell r="E1013" t="str">
            <v>A</v>
          </cell>
          <cell r="F1013" t="str">
            <v>06/13/2003</v>
          </cell>
        </row>
        <row r="1014">
          <cell r="B1014" t="str">
            <v>0A195</v>
          </cell>
          <cell r="C1014" t="str">
            <v>UEC</v>
          </cell>
          <cell r="D1014" t="str">
            <v>N</v>
          </cell>
          <cell r="E1014" t="str">
            <v>A</v>
          </cell>
          <cell r="F1014" t="str">
            <v>06/27/2003</v>
          </cell>
        </row>
        <row r="1015">
          <cell r="B1015" t="str">
            <v>0A197</v>
          </cell>
          <cell r="C1015" t="str">
            <v>UEC</v>
          </cell>
          <cell r="D1015" t="str">
            <v>N</v>
          </cell>
          <cell r="E1015" t="str">
            <v>A</v>
          </cell>
          <cell r="F1015" t="str">
            <v>02/13/2003</v>
          </cell>
        </row>
        <row r="1016">
          <cell r="B1016" t="str">
            <v>0A198</v>
          </cell>
          <cell r="C1016" t="str">
            <v>UEC</v>
          </cell>
          <cell r="D1016" t="str">
            <v>N</v>
          </cell>
          <cell r="E1016" t="str">
            <v>A</v>
          </cell>
          <cell r="F1016" t="str">
            <v>02/13/2003</v>
          </cell>
        </row>
        <row r="1017">
          <cell r="B1017" t="str">
            <v>0A198</v>
          </cell>
          <cell r="C1017" t="str">
            <v>UEC</v>
          </cell>
          <cell r="D1017" t="str">
            <v>N</v>
          </cell>
          <cell r="E1017" t="str">
            <v>A</v>
          </cell>
          <cell r="F1017" t="str">
            <v>02/13/2003</v>
          </cell>
        </row>
        <row r="1018">
          <cell r="B1018" t="str">
            <v>0A202</v>
          </cell>
          <cell r="C1018" t="str">
            <v>UEC</v>
          </cell>
          <cell r="D1018" t="str">
            <v>N</v>
          </cell>
          <cell r="E1018" t="str">
            <v>A</v>
          </cell>
          <cell r="F1018" t="str">
            <v>02/14/2003</v>
          </cell>
        </row>
        <row r="1019">
          <cell r="B1019" t="str">
            <v>0A203</v>
          </cell>
          <cell r="C1019" t="str">
            <v>UEC</v>
          </cell>
          <cell r="D1019" t="str">
            <v>N</v>
          </cell>
          <cell r="E1019" t="str">
            <v>A</v>
          </cell>
          <cell r="F1019" t="str">
            <v>02/03/2003</v>
          </cell>
        </row>
        <row r="1020">
          <cell r="B1020" t="str">
            <v>0A204</v>
          </cell>
          <cell r="C1020" t="str">
            <v>UEC</v>
          </cell>
          <cell r="D1020" t="str">
            <v>N</v>
          </cell>
          <cell r="E1020" t="str">
            <v>A</v>
          </cell>
          <cell r="F1020" t="str">
            <v>02/13/2003</v>
          </cell>
        </row>
        <row r="1021">
          <cell r="B1021" t="str">
            <v>0A205</v>
          </cell>
          <cell r="C1021" t="str">
            <v>UEC</v>
          </cell>
          <cell r="D1021" t="str">
            <v>N</v>
          </cell>
          <cell r="E1021" t="str">
            <v>A</v>
          </cell>
          <cell r="F1021" t="str">
            <v>02/13/2003</v>
          </cell>
        </row>
        <row r="1022">
          <cell r="B1022" t="str">
            <v>0A206</v>
          </cell>
          <cell r="C1022" t="str">
            <v>UEC</v>
          </cell>
          <cell r="D1022" t="str">
            <v>N</v>
          </cell>
          <cell r="E1022" t="str">
            <v>A</v>
          </cell>
          <cell r="F1022" t="str">
            <v>02/13/2003</v>
          </cell>
        </row>
        <row r="1023">
          <cell r="B1023" t="str">
            <v>0A207</v>
          </cell>
          <cell r="C1023" t="str">
            <v>UEC</v>
          </cell>
          <cell r="D1023" t="str">
            <v>N</v>
          </cell>
          <cell r="E1023" t="str">
            <v>A</v>
          </cell>
          <cell r="F1023" t="str">
            <v>02/13/2003</v>
          </cell>
        </row>
        <row r="1024">
          <cell r="B1024" t="str">
            <v>0A208</v>
          </cell>
          <cell r="C1024" t="str">
            <v>UEC</v>
          </cell>
          <cell r="D1024" t="str">
            <v>N</v>
          </cell>
          <cell r="E1024" t="str">
            <v>I</v>
          </cell>
          <cell r="F1024" t="str">
            <v>02/13/2003</v>
          </cell>
        </row>
        <row r="1025">
          <cell r="B1025" t="str">
            <v>0A209</v>
          </cell>
          <cell r="C1025" t="str">
            <v>UEC</v>
          </cell>
          <cell r="D1025" t="str">
            <v>N</v>
          </cell>
          <cell r="E1025" t="str">
            <v>A</v>
          </cell>
          <cell r="F1025" t="str">
            <v>02/13/2003</v>
          </cell>
        </row>
        <row r="1026">
          <cell r="B1026" t="str">
            <v>0A210</v>
          </cell>
          <cell r="C1026" t="str">
            <v>UEC</v>
          </cell>
          <cell r="D1026" t="str">
            <v>N</v>
          </cell>
          <cell r="E1026" t="str">
            <v>A</v>
          </cell>
          <cell r="F1026" t="str">
            <v>02/13/2003</v>
          </cell>
        </row>
        <row r="1027">
          <cell r="B1027" t="str">
            <v>0A211</v>
          </cell>
          <cell r="C1027" t="str">
            <v>UEC</v>
          </cell>
          <cell r="D1027" t="str">
            <v>N</v>
          </cell>
          <cell r="E1027" t="str">
            <v>A</v>
          </cell>
          <cell r="F1027" t="str">
            <v>02/13/2003</v>
          </cell>
        </row>
        <row r="1028">
          <cell r="B1028" t="str">
            <v>0A215</v>
          </cell>
          <cell r="C1028" t="str">
            <v>UEC</v>
          </cell>
          <cell r="D1028" t="str">
            <v>N</v>
          </cell>
          <cell r="E1028" t="str">
            <v>I</v>
          </cell>
          <cell r="F1028" t="str">
            <v>01/21/2004</v>
          </cell>
        </row>
        <row r="1029">
          <cell r="B1029" t="str">
            <v>0A215</v>
          </cell>
          <cell r="C1029" t="str">
            <v>UEC</v>
          </cell>
          <cell r="D1029" t="str">
            <v>N</v>
          </cell>
          <cell r="E1029" t="str">
            <v>I</v>
          </cell>
          <cell r="F1029" t="str">
            <v>01/21/2004</v>
          </cell>
        </row>
        <row r="1030">
          <cell r="B1030" t="str">
            <v>0A248</v>
          </cell>
          <cell r="C1030" t="str">
            <v>UEC</v>
          </cell>
          <cell r="D1030" t="str">
            <v>N</v>
          </cell>
          <cell r="E1030" t="str">
            <v>A</v>
          </cell>
          <cell r="F1030" t="str">
            <v>02/14/2003</v>
          </cell>
        </row>
        <row r="1031">
          <cell r="B1031" t="str">
            <v>0A290</v>
          </cell>
          <cell r="C1031" t="str">
            <v>UEC</v>
          </cell>
          <cell r="D1031" t="str">
            <v>N</v>
          </cell>
          <cell r="E1031" t="str">
            <v>A</v>
          </cell>
          <cell r="F1031" t="str">
            <v>06/27/2003</v>
          </cell>
        </row>
        <row r="1032">
          <cell r="B1032" t="str">
            <v>0A291</v>
          </cell>
          <cell r="C1032" t="str">
            <v>UEC</v>
          </cell>
          <cell r="D1032" t="str">
            <v>N</v>
          </cell>
          <cell r="E1032" t="str">
            <v>A</v>
          </cell>
          <cell r="F1032" t="str">
            <v>05/15/2003</v>
          </cell>
        </row>
        <row r="1033">
          <cell r="B1033" t="str">
            <v>0A292</v>
          </cell>
          <cell r="C1033" t="str">
            <v>UEC</v>
          </cell>
          <cell r="D1033" t="str">
            <v>N</v>
          </cell>
          <cell r="E1033" t="str">
            <v>I</v>
          </cell>
          <cell r="F1033" t="str">
            <v>06/27/2003</v>
          </cell>
        </row>
        <row r="1034">
          <cell r="B1034" t="str">
            <v>0A293</v>
          </cell>
          <cell r="C1034" t="str">
            <v>UEC</v>
          </cell>
          <cell r="D1034" t="str">
            <v>N</v>
          </cell>
          <cell r="E1034" t="str">
            <v>I</v>
          </cell>
          <cell r="F1034" t="str">
            <v>06/27/2003</v>
          </cell>
        </row>
        <row r="1035">
          <cell r="B1035" t="str">
            <v>0A294</v>
          </cell>
          <cell r="C1035" t="str">
            <v>UEC</v>
          </cell>
          <cell r="D1035" t="str">
            <v>N</v>
          </cell>
          <cell r="E1035" t="str">
            <v>A</v>
          </cell>
          <cell r="F1035" t="str">
            <v>06/16/1998</v>
          </cell>
        </row>
        <row r="1036">
          <cell r="B1036" t="str">
            <v>0A295</v>
          </cell>
          <cell r="C1036" t="str">
            <v>UEC</v>
          </cell>
          <cell r="D1036" t="str">
            <v>N</v>
          </cell>
          <cell r="E1036" t="str">
            <v>I</v>
          </cell>
          <cell r="F1036" t="str">
            <v>06/27/2003</v>
          </cell>
        </row>
        <row r="1037">
          <cell r="B1037" t="str">
            <v>0A392</v>
          </cell>
          <cell r="C1037" t="str">
            <v>UEC</v>
          </cell>
          <cell r="D1037" t="str">
            <v>N</v>
          </cell>
          <cell r="E1037" t="str">
            <v>A</v>
          </cell>
          <cell r="F1037" t="str">
            <v>05/14/2003</v>
          </cell>
        </row>
        <row r="1038">
          <cell r="B1038" t="str">
            <v>0A498</v>
          </cell>
          <cell r="C1038" t="str">
            <v>UEC</v>
          </cell>
          <cell r="D1038" t="str">
            <v>N</v>
          </cell>
          <cell r="E1038" t="str">
            <v>A</v>
          </cell>
          <cell r="F1038" t="str">
            <v>05/09/2003</v>
          </cell>
        </row>
        <row r="1039">
          <cell r="B1039" t="str">
            <v>0A499</v>
          </cell>
          <cell r="C1039" t="str">
            <v>UEC</v>
          </cell>
          <cell r="D1039" t="str">
            <v>N</v>
          </cell>
          <cell r="E1039" t="str">
            <v>A</v>
          </cell>
          <cell r="F1039" t="str">
            <v>08/27/2003</v>
          </cell>
        </row>
        <row r="1040">
          <cell r="B1040" t="str">
            <v>0A590</v>
          </cell>
          <cell r="C1040" t="str">
            <v>UEC</v>
          </cell>
          <cell r="D1040" t="str">
            <v>N</v>
          </cell>
          <cell r="E1040" t="str">
            <v>A</v>
          </cell>
          <cell r="F1040" t="str">
            <v>06/27/2003</v>
          </cell>
        </row>
        <row r="1041">
          <cell r="B1041" t="str">
            <v>0A591</v>
          </cell>
          <cell r="C1041" t="str">
            <v>UEC</v>
          </cell>
          <cell r="D1041" t="str">
            <v>N</v>
          </cell>
          <cell r="E1041" t="str">
            <v>A</v>
          </cell>
          <cell r="F1041" t="str">
            <v>06/27/2003</v>
          </cell>
        </row>
        <row r="1042">
          <cell r="B1042" t="str">
            <v>0A592</v>
          </cell>
          <cell r="C1042" t="str">
            <v>UEC</v>
          </cell>
          <cell r="D1042" t="str">
            <v>N</v>
          </cell>
          <cell r="E1042" t="str">
            <v>A</v>
          </cell>
          <cell r="F1042" t="str">
            <v>06/27/2003</v>
          </cell>
        </row>
        <row r="1043">
          <cell r="B1043" t="str">
            <v>0A593</v>
          </cell>
          <cell r="C1043" t="str">
            <v>UEC</v>
          </cell>
          <cell r="D1043" t="str">
            <v>N</v>
          </cell>
          <cell r="E1043" t="str">
            <v>A</v>
          </cell>
          <cell r="F1043" t="str">
            <v>06/27/2003</v>
          </cell>
        </row>
        <row r="1044">
          <cell r="B1044" t="str">
            <v>0A594</v>
          </cell>
          <cell r="C1044" t="str">
            <v>UEC</v>
          </cell>
          <cell r="D1044" t="str">
            <v>N</v>
          </cell>
          <cell r="E1044" t="str">
            <v>A</v>
          </cell>
          <cell r="F1044" t="str">
            <v>06/27/2003</v>
          </cell>
        </row>
        <row r="1045">
          <cell r="B1045" t="str">
            <v>0A595</v>
          </cell>
          <cell r="C1045" t="str">
            <v>UEC</v>
          </cell>
          <cell r="D1045" t="str">
            <v>N</v>
          </cell>
          <cell r="E1045" t="str">
            <v>A</v>
          </cell>
          <cell r="F1045" t="str">
            <v>06/27/2003</v>
          </cell>
        </row>
        <row r="1046">
          <cell r="B1046" t="str">
            <v>0A596</v>
          </cell>
          <cell r="C1046" t="str">
            <v>UEC</v>
          </cell>
          <cell r="D1046" t="str">
            <v>N</v>
          </cell>
          <cell r="E1046" t="str">
            <v>A</v>
          </cell>
          <cell r="F1046" t="str">
            <v>06/27/2003</v>
          </cell>
        </row>
        <row r="1047">
          <cell r="B1047" t="str">
            <v>0A597</v>
          </cell>
          <cell r="C1047" t="str">
            <v>UEC</v>
          </cell>
          <cell r="D1047" t="str">
            <v>N</v>
          </cell>
          <cell r="E1047" t="str">
            <v>A</v>
          </cell>
          <cell r="F1047" t="str">
            <v>06/27/2003</v>
          </cell>
        </row>
        <row r="1048">
          <cell r="B1048" t="str">
            <v>0A598</v>
          </cell>
          <cell r="C1048" t="str">
            <v>UEC</v>
          </cell>
          <cell r="D1048" t="str">
            <v>N</v>
          </cell>
          <cell r="E1048" t="str">
            <v>A</v>
          </cell>
          <cell r="F1048" t="str">
            <v>06/27/2003</v>
          </cell>
        </row>
        <row r="1049">
          <cell r="B1049" t="str">
            <v>0A599</v>
          </cell>
          <cell r="C1049" t="str">
            <v>UEC</v>
          </cell>
          <cell r="D1049" t="str">
            <v>N</v>
          </cell>
          <cell r="E1049" t="str">
            <v>A</v>
          </cell>
          <cell r="F1049" t="str">
            <v>06/27/2003</v>
          </cell>
        </row>
        <row r="1050">
          <cell r="B1050" t="str">
            <v>0A690</v>
          </cell>
          <cell r="C1050" t="str">
            <v>UEC</v>
          </cell>
          <cell r="D1050" t="str">
            <v>N</v>
          </cell>
          <cell r="E1050" t="str">
            <v>A</v>
          </cell>
          <cell r="F1050" t="str">
            <v>06/24/1998</v>
          </cell>
        </row>
        <row r="1051">
          <cell r="B1051" t="str">
            <v>0A691</v>
          </cell>
          <cell r="C1051" t="str">
            <v>UEC</v>
          </cell>
          <cell r="D1051" t="str">
            <v>N</v>
          </cell>
          <cell r="E1051" t="str">
            <v>A</v>
          </cell>
          <cell r="F1051" t="str">
            <v>06/27/2003</v>
          </cell>
        </row>
        <row r="1052">
          <cell r="B1052" t="str">
            <v>0A692</v>
          </cell>
          <cell r="C1052" t="str">
            <v>UEC</v>
          </cell>
          <cell r="D1052" t="str">
            <v>N</v>
          </cell>
          <cell r="E1052" t="str">
            <v>A</v>
          </cell>
          <cell r="F1052" t="str">
            <v>06/27/2003</v>
          </cell>
        </row>
        <row r="1053">
          <cell r="B1053" t="str">
            <v>0A693</v>
          </cell>
          <cell r="C1053" t="str">
            <v>UEC</v>
          </cell>
          <cell r="D1053" t="str">
            <v>N</v>
          </cell>
          <cell r="E1053" t="str">
            <v>A</v>
          </cell>
          <cell r="F1053" t="str">
            <v>06/27/2003</v>
          </cell>
        </row>
        <row r="1054">
          <cell r="B1054" t="str">
            <v>0A694</v>
          </cell>
          <cell r="C1054" t="str">
            <v>UEC</v>
          </cell>
          <cell r="D1054" t="str">
            <v>N</v>
          </cell>
          <cell r="E1054" t="str">
            <v>A</v>
          </cell>
          <cell r="F1054" t="str">
            <v>05/14/2003</v>
          </cell>
        </row>
        <row r="1055">
          <cell r="B1055" t="str">
            <v>0A695</v>
          </cell>
          <cell r="C1055" t="str">
            <v>UEC</v>
          </cell>
          <cell r="D1055" t="str">
            <v>N</v>
          </cell>
          <cell r="E1055" t="str">
            <v>A</v>
          </cell>
          <cell r="F1055" t="str">
            <v>06/13/2003</v>
          </cell>
        </row>
        <row r="1056">
          <cell r="B1056" t="str">
            <v>0A696</v>
          </cell>
          <cell r="C1056" t="str">
            <v>UEC</v>
          </cell>
          <cell r="D1056" t="str">
            <v>N</v>
          </cell>
          <cell r="E1056" t="str">
            <v>A</v>
          </cell>
          <cell r="F1056" t="str">
            <v>06/27/2003</v>
          </cell>
        </row>
        <row r="1057">
          <cell r="B1057" t="str">
            <v>0A697</v>
          </cell>
          <cell r="C1057" t="str">
            <v>UEC</v>
          </cell>
          <cell r="D1057" t="str">
            <v>N</v>
          </cell>
          <cell r="E1057" t="str">
            <v>A</v>
          </cell>
          <cell r="F1057" t="str">
            <v>06/27/2003</v>
          </cell>
        </row>
        <row r="1058">
          <cell r="B1058" t="str">
            <v>0A698</v>
          </cell>
          <cell r="C1058" t="str">
            <v>UEC</v>
          </cell>
          <cell r="D1058" t="str">
            <v>N</v>
          </cell>
          <cell r="E1058" t="str">
            <v>A</v>
          </cell>
          <cell r="F1058" t="str">
            <v>06/27/2003</v>
          </cell>
        </row>
        <row r="1059">
          <cell r="B1059" t="str">
            <v>0A699</v>
          </cell>
          <cell r="C1059" t="str">
            <v>UEC</v>
          </cell>
          <cell r="D1059" t="str">
            <v>N</v>
          </cell>
          <cell r="E1059" t="str">
            <v>A</v>
          </cell>
          <cell r="F1059" t="str">
            <v>06/27/2003</v>
          </cell>
        </row>
        <row r="1060">
          <cell r="B1060" t="str">
            <v>0A792</v>
          </cell>
          <cell r="C1060" t="str">
            <v>UEC</v>
          </cell>
          <cell r="D1060" t="str">
            <v>N</v>
          </cell>
          <cell r="E1060" t="str">
            <v>A</v>
          </cell>
          <cell r="F1060" t="str">
            <v>05/14/2003</v>
          </cell>
        </row>
        <row r="1061">
          <cell r="B1061" t="str">
            <v>0A793</v>
          </cell>
          <cell r="C1061" t="str">
            <v>UEC</v>
          </cell>
          <cell r="D1061" t="str">
            <v>N</v>
          </cell>
          <cell r="E1061" t="str">
            <v>A</v>
          </cell>
          <cell r="F1061" t="str">
            <v>06/13/2003</v>
          </cell>
        </row>
        <row r="1062">
          <cell r="B1062" t="str">
            <v>0A896</v>
          </cell>
          <cell r="C1062" t="str">
            <v>UEC</v>
          </cell>
          <cell r="D1062" t="str">
            <v>N</v>
          </cell>
          <cell r="E1062" t="str">
            <v>C</v>
          </cell>
          <cell r="F1062" t="str">
            <v>05/14/2003</v>
          </cell>
        </row>
        <row r="1063">
          <cell r="B1063" t="str">
            <v>0A990</v>
          </cell>
          <cell r="C1063" t="str">
            <v>UEC</v>
          </cell>
          <cell r="D1063" t="str">
            <v>N</v>
          </cell>
          <cell r="E1063" t="str">
            <v>A</v>
          </cell>
          <cell r="F1063" t="str">
            <v>06/24/2003</v>
          </cell>
        </row>
        <row r="1064">
          <cell r="B1064" t="str">
            <v>0A991</v>
          </cell>
          <cell r="C1064" t="str">
            <v>UEC</v>
          </cell>
          <cell r="D1064" t="str">
            <v>N</v>
          </cell>
          <cell r="E1064" t="str">
            <v>A</v>
          </cell>
          <cell r="F1064" t="str">
            <v>06/24/2003</v>
          </cell>
        </row>
        <row r="1065">
          <cell r="B1065" t="str">
            <v>0A992</v>
          </cell>
          <cell r="C1065" t="str">
            <v>UEC</v>
          </cell>
          <cell r="D1065" t="str">
            <v>N</v>
          </cell>
          <cell r="E1065" t="str">
            <v>A</v>
          </cell>
          <cell r="F1065" t="str">
            <v>06/24/2003</v>
          </cell>
        </row>
        <row r="1066">
          <cell r="B1066" t="str">
            <v>0A993</v>
          </cell>
          <cell r="C1066" t="str">
            <v>UEC</v>
          </cell>
          <cell r="D1066" t="str">
            <v>N</v>
          </cell>
          <cell r="E1066" t="str">
            <v>A</v>
          </cell>
          <cell r="F1066" t="str">
            <v>05/15/2003</v>
          </cell>
        </row>
        <row r="1067">
          <cell r="B1067" t="str">
            <v>0A994</v>
          </cell>
          <cell r="C1067" t="str">
            <v>UEC</v>
          </cell>
          <cell r="D1067" t="str">
            <v>N</v>
          </cell>
          <cell r="E1067" t="str">
            <v>A</v>
          </cell>
          <cell r="F1067" t="str">
            <v>06/13/2003</v>
          </cell>
        </row>
        <row r="1068">
          <cell r="B1068" t="str">
            <v>0A995</v>
          </cell>
          <cell r="C1068" t="str">
            <v>UEC</v>
          </cell>
          <cell r="D1068" t="str">
            <v>N</v>
          </cell>
          <cell r="E1068" t="str">
            <v>A</v>
          </cell>
          <cell r="F1068" t="str">
            <v>06/24/2003</v>
          </cell>
        </row>
        <row r="1069">
          <cell r="B1069" t="str">
            <v>0A996</v>
          </cell>
          <cell r="C1069" t="str">
            <v>UEC</v>
          </cell>
          <cell r="D1069" t="str">
            <v>N</v>
          </cell>
          <cell r="E1069" t="str">
            <v>A</v>
          </cell>
          <cell r="F1069" t="str">
            <v>06/16/1998</v>
          </cell>
        </row>
        <row r="1070">
          <cell r="B1070" t="str">
            <v>0A997</v>
          </cell>
          <cell r="C1070" t="str">
            <v>UEC</v>
          </cell>
          <cell r="D1070" t="str">
            <v>N</v>
          </cell>
          <cell r="E1070" t="str">
            <v>A</v>
          </cell>
          <cell r="F1070" t="str">
            <v>06/24/2003</v>
          </cell>
        </row>
        <row r="1071">
          <cell r="B1071" t="str">
            <v>0A998</v>
          </cell>
          <cell r="C1071" t="str">
            <v>UEC</v>
          </cell>
          <cell r="D1071" t="str">
            <v>N</v>
          </cell>
          <cell r="E1071" t="str">
            <v>A</v>
          </cell>
          <cell r="F1071" t="str">
            <v>07/06/1998</v>
          </cell>
        </row>
        <row r="1072">
          <cell r="B1072" t="str">
            <v>0A999</v>
          </cell>
          <cell r="C1072" t="str">
            <v>UEC</v>
          </cell>
          <cell r="D1072" t="str">
            <v>N</v>
          </cell>
          <cell r="E1072" t="str">
            <v>A</v>
          </cell>
          <cell r="F1072" t="str">
            <v>06/24/2003</v>
          </cell>
        </row>
        <row r="1073">
          <cell r="B1073" t="str">
            <v>0B001</v>
          </cell>
          <cell r="C1073" t="str">
            <v>UEC</v>
          </cell>
          <cell r="D1073" t="str">
            <v>N</v>
          </cell>
          <cell r="E1073" t="str">
            <v>A</v>
          </cell>
          <cell r="F1073" t="str">
            <v>02/12/1999</v>
          </cell>
        </row>
        <row r="1074">
          <cell r="B1074" t="str">
            <v>0B192</v>
          </cell>
          <cell r="C1074" t="str">
            <v>UEC</v>
          </cell>
          <cell r="D1074" t="str">
            <v>N</v>
          </cell>
          <cell r="E1074" t="str">
            <v>A</v>
          </cell>
          <cell r="F1074" t="str">
            <v>02/01/2002</v>
          </cell>
        </row>
        <row r="1075">
          <cell r="B1075" t="str">
            <v>0B292</v>
          </cell>
          <cell r="C1075" t="str">
            <v>UEC</v>
          </cell>
          <cell r="D1075" t="str">
            <v>N</v>
          </cell>
          <cell r="E1075" t="str">
            <v>A</v>
          </cell>
          <cell r="F1075" t="str">
            <v>02/01/2002</v>
          </cell>
        </row>
        <row r="1076">
          <cell r="B1076" t="str">
            <v>0B394</v>
          </cell>
          <cell r="C1076" t="str">
            <v>UEC</v>
          </cell>
          <cell r="D1076" t="str">
            <v>N</v>
          </cell>
          <cell r="E1076" t="str">
            <v>A</v>
          </cell>
          <cell r="F1076" t="str">
            <v>05/14/2003</v>
          </cell>
        </row>
        <row r="1077">
          <cell r="B1077" t="str">
            <v>0B395</v>
          </cell>
          <cell r="C1077" t="str">
            <v>UEC</v>
          </cell>
          <cell r="D1077" t="str">
            <v>N</v>
          </cell>
          <cell r="E1077" t="str">
            <v>A</v>
          </cell>
          <cell r="F1077" t="str">
            <v>06/13/2003</v>
          </cell>
        </row>
        <row r="1078">
          <cell r="B1078" t="str">
            <v>0B590</v>
          </cell>
          <cell r="C1078" t="str">
            <v>UEC</v>
          </cell>
          <cell r="D1078" t="str">
            <v>N</v>
          </cell>
          <cell r="E1078" t="str">
            <v>C</v>
          </cell>
          <cell r="F1078" t="str">
            <v>05/14/2003</v>
          </cell>
        </row>
        <row r="1079">
          <cell r="B1079" t="str">
            <v>0B592</v>
          </cell>
          <cell r="C1079" t="str">
            <v>UEC</v>
          </cell>
          <cell r="D1079" t="str">
            <v>N</v>
          </cell>
          <cell r="E1079" t="str">
            <v>A</v>
          </cell>
          <cell r="F1079" t="str">
            <v>12/19/2000</v>
          </cell>
        </row>
        <row r="1080">
          <cell r="B1080" t="str">
            <v>0K005</v>
          </cell>
          <cell r="C1080" t="str">
            <v>ERC</v>
          </cell>
          <cell r="D1080" t="str">
            <v>N</v>
          </cell>
          <cell r="E1080" t="str">
            <v>A</v>
          </cell>
          <cell r="F1080" t="str">
            <v>08/11/2000</v>
          </cell>
        </row>
        <row r="1081">
          <cell r="B1081" t="str">
            <v>0K009</v>
          </cell>
          <cell r="C1081" t="str">
            <v>UEC</v>
          </cell>
          <cell r="D1081" t="str">
            <v>N</v>
          </cell>
          <cell r="E1081" t="str">
            <v>A</v>
          </cell>
          <cell r="F1081" t="str">
            <v>08/18/2000</v>
          </cell>
        </row>
        <row r="1082">
          <cell r="B1082" t="str">
            <v>0K011</v>
          </cell>
          <cell r="C1082" t="str">
            <v>001D</v>
          </cell>
          <cell r="D1082" t="str">
            <v>Y</v>
          </cell>
          <cell r="E1082" t="str">
            <v>I</v>
          </cell>
          <cell r="F1082" t="str">
            <v>06/12/1998</v>
          </cell>
        </row>
        <row r="1083">
          <cell r="B1083" t="str">
            <v>0K012</v>
          </cell>
          <cell r="C1083" t="str">
            <v>001D</v>
          </cell>
          <cell r="D1083" t="str">
            <v>Y</v>
          </cell>
          <cell r="E1083" t="str">
            <v>I</v>
          </cell>
          <cell r="F1083" t="str">
            <v>08/09/1999</v>
          </cell>
        </row>
        <row r="1084">
          <cell r="B1084" t="str">
            <v>0K026</v>
          </cell>
          <cell r="C1084" t="str">
            <v>ERC</v>
          </cell>
          <cell r="D1084" t="str">
            <v>N</v>
          </cell>
          <cell r="E1084" t="str">
            <v>A</v>
          </cell>
          <cell r="F1084" t="str">
            <v>11/18/1999</v>
          </cell>
        </row>
        <row r="1085">
          <cell r="B1085" t="str">
            <v>0K028</v>
          </cell>
          <cell r="C1085" t="str">
            <v>UEC</v>
          </cell>
          <cell r="D1085" t="str">
            <v>N</v>
          </cell>
          <cell r="E1085" t="str">
            <v>A</v>
          </cell>
          <cell r="F1085" t="str">
            <v>01/06/1998</v>
          </cell>
        </row>
        <row r="1086">
          <cell r="B1086" t="str">
            <v>0K054</v>
          </cell>
          <cell r="C1086" t="str">
            <v>004F</v>
          </cell>
          <cell r="D1086" t="str">
            <v>N</v>
          </cell>
          <cell r="E1086" t="str">
            <v>A</v>
          </cell>
          <cell r="F1086" t="str">
            <v>07/01/1998</v>
          </cell>
        </row>
        <row r="1087">
          <cell r="B1087" t="str">
            <v>0K055</v>
          </cell>
          <cell r="C1087" t="str">
            <v>ERC</v>
          </cell>
          <cell r="D1087" t="str">
            <v>N</v>
          </cell>
          <cell r="E1087" t="str">
            <v>A</v>
          </cell>
          <cell r="F1087" t="str">
            <v>07/13/1998</v>
          </cell>
        </row>
        <row r="1088">
          <cell r="B1088" t="str">
            <v>0K056</v>
          </cell>
          <cell r="C1088" t="str">
            <v>AEC</v>
          </cell>
          <cell r="D1088" t="str">
            <v>N</v>
          </cell>
          <cell r="E1088" t="str">
            <v>A</v>
          </cell>
          <cell r="F1088" t="str">
            <v>07/17/1998</v>
          </cell>
        </row>
        <row r="1089">
          <cell r="B1089" t="str">
            <v>0K060</v>
          </cell>
          <cell r="C1089" t="str">
            <v>ERC</v>
          </cell>
          <cell r="D1089" t="str">
            <v>N</v>
          </cell>
          <cell r="E1089" t="str">
            <v>I</v>
          </cell>
          <cell r="F1089" t="str">
            <v>08/04/1998</v>
          </cell>
        </row>
        <row r="1090">
          <cell r="B1090" t="str">
            <v>0K063</v>
          </cell>
          <cell r="C1090" t="str">
            <v>ERC</v>
          </cell>
          <cell r="D1090" t="str">
            <v>N</v>
          </cell>
          <cell r="E1090" t="str">
            <v>A</v>
          </cell>
          <cell r="F1090" t="str">
            <v>10/05/1998</v>
          </cell>
        </row>
        <row r="1091">
          <cell r="B1091" t="str">
            <v>0K086</v>
          </cell>
          <cell r="C1091" t="str">
            <v>UEC</v>
          </cell>
          <cell r="D1091" t="str">
            <v>N</v>
          </cell>
          <cell r="E1091" t="str">
            <v>A</v>
          </cell>
          <cell r="F1091" t="str">
            <v>06/05/2000</v>
          </cell>
        </row>
        <row r="1092">
          <cell r="B1092" t="str">
            <v>0K091</v>
          </cell>
          <cell r="C1092" t="str">
            <v>UEC</v>
          </cell>
          <cell r="D1092" t="str">
            <v>N</v>
          </cell>
          <cell r="E1092" t="str">
            <v>A</v>
          </cell>
          <cell r="F1092" t="str">
            <v>08/31/2000</v>
          </cell>
        </row>
        <row r="1093">
          <cell r="B1093" t="str">
            <v>0K092</v>
          </cell>
          <cell r="C1093" t="str">
            <v>CIP</v>
          </cell>
          <cell r="D1093" t="str">
            <v>N</v>
          </cell>
          <cell r="E1093" t="str">
            <v>A</v>
          </cell>
          <cell r="F1093" t="str">
            <v>09/08/2000</v>
          </cell>
        </row>
        <row r="1094">
          <cell r="B1094" t="str">
            <v>0K115</v>
          </cell>
          <cell r="C1094" t="str">
            <v>AEC</v>
          </cell>
          <cell r="D1094" t="str">
            <v>N</v>
          </cell>
          <cell r="E1094" t="str">
            <v>I</v>
          </cell>
          <cell r="F1094" t="str">
            <v>09/15/2000</v>
          </cell>
        </row>
        <row r="1095">
          <cell r="B1095" t="str">
            <v>0K116</v>
          </cell>
          <cell r="C1095" t="str">
            <v>CIP</v>
          </cell>
          <cell r="D1095" t="str">
            <v>N</v>
          </cell>
          <cell r="E1095" t="str">
            <v>A</v>
          </cell>
          <cell r="F1095" t="str">
            <v>07/01/2002</v>
          </cell>
        </row>
        <row r="1096">
          <cell r="B1096" t="str">
            <v>0K151</v>
          </cell>
          <cell r="C1096" t="str">
            <v>ERC</v>
          </cell>
          <cell r="D1096" t="str">
            <v>N</v>
          </cell>
          <cell r="E1096" t="str">
            <v>A</v>
          </cell>
          <cell r="F1096" t="str">
            <v>12/13/2000</v>
          </cell>
        </row>
        <row r="1097">
          <cell r="B1097" t="str">
            <v>0K152</v>
          </cell>
          <cell r="C1097" t="str">
            <v>AEC</v>
          </cell>
          <cell r="D1097" t="str">
            <v>N</v>
          </cell>
          <cell r="E1097" t="str">
            <v>A</v>
          </cell>
          <cell r="F1097" t="str">
            <v>12/13/2000</v>
          </cell>
        </row>
        <row r="1098">
          <cell r="B1098" t="str">
            <v>0K185</v>
          </cell>
          <cell r="C1098" t="str">
            <v>ERC</v>
          </cell>
          <cell r="D1098" t="str">
            <v>N</v>
          </cell>
          <cell r="E1098" t="str">
            <v>A</v>
          </cell>
          <cell r="F1098" t="str">
            <v>05/03/2001</v>
          </cell>
        </row>
        <row r="1099">
          <cell r="B1099" t="str">
            <v>0K186</v>
          </cell>
          <cell r="C1099" t="str">
            <v>AEC</v>
          </cell>
          <cell r="D1099" t="str">
            <v>N</v>
          </cell>
          <cell r="E1099" t="str">
            <v>A</v>
          </cell>
          <cell r="F1099" t="str">
            <v>05/11/2001</v>
          </cell>
        </row>
        <row r="1100">
          <cell r="B1100" t="str">
            <v>0K188</v>
          </cell>
          <cell r="C1100" t="str">
            <v>CIP</v>
          </cell>
          <cell r="D1100" t="str">
            <v>N</v>
          </cell>
          <cell r="E1100" t="str">
            <v>A</v>
          </cell>
          <cell r="F1100" t="str">
            <v>07/31/2001</v>
          </cell>
        </row>
        <row r="1101">
          <cell r="B1101" t="str">
            <v>0K189</v>
          </cell>
          <cell r="C1101" t="str">
            <v>ERC</v>
          </cell>
          <cell r="D1101" t="str">
            <v>N</v>
          </cell>
          <cell r="E1101" t="str">
            <v>C</v>
          </cell>
          <cell r="F1101" t="str">
            <v>06/19/2001</v>
          </cell>
        </row>
        <row r="1102">
          <cell r="B1102" t="str">
            <v>0K190</v>
          </cell>
          <cell r="C1102" t="str">
            <v>AEC</v>
          </cell>
          <cell r="D1102" t="str">
            <v>N</v>
          </cell>
          <cell r="E1102" t="str">
            <v>A</v>
          </cell>
          <cell r="F1102" t="str">
            <v>07/12/2001</v>
          </cell>
        </row>
        <row r="1103">
          <cell r="B1103" t="str">
            <v>0K191</v>
          </cell>
          <cell r="C1103" t="str">
            <v>UEC</v>
          </cell>
          <cell r="D1103" t="str">
            <v>N</v>
          </cell>
          <cell r="E1103" t="str">
            <v>C</v>
          </cell>
          <cell r="F1103" t="str">
            <v>07/12/2001</v>
          </cell>
        </row>
        <row r="1104">
          <cell r="B1104" t="str">
            <v>0K201</v>
          </cell>
          <cell r="C1104" t="str">
            <v>AFS</v>
          </cell>
          <cell r="D1104" t="str">
            <v>N</v>
          </cell>
          <cell r="E1104" t="str">
            <v>A</v>
          </cell>
          <cell r="F1104" t="str">
            <v>12/14/2001</v>
          </cell>
        </row>
        <row r="1105">
          <cell r="B1105" t="str">
            <v>0K202</v>
          </cell>
          <cell r="C1105" t="str">
            <v>UEC</v>
          </cell>
          <cell r="D1105" t="str">
            <v>N</v>
          </cell>
          <cell r="E1105" t="str">
            <v>A</v>
          </cell>
          <cell r="F1105" t="str">
            <v>01/15/2002</v>
          </cell>
        </row>
        <row r="1106">
          <cell r="B1106" t="str">
            <v>0K204</v>
          </cell>
          <cell r="C1106" t="str">
            <v>ERC</v>
          </cell>
          <cell r="D1106" t="str">
            <v>N</v>
          </cell>
          <cell r="E1106" t="str">
            <v>A</v>
          </cell>
          <cell r="F1106" t="str">
            <v>03/25/2002</v>
          </cell>
        </row>
        <row r="1107">
          <cell r="B1107" t="str">
            <v>0K207</v>
          </cell>
          <cell r="C1107" t="str">
            <v>ERC</v>
          </cell>
          <cell r="D1107" t="str">
            <v>N</v>
          </cell>
          <cell r="E1107" t="str">
            <v>A</v>
          </cell>
          <cell r="F1107" t="str">
            <v>06/27/2002</v>
          </cell>
        </row>
        <row r="1108">
          <cell r="B1108" t="str">
            <v>0K213</v>
          </cell>
          <cell r="C1108" t="str">
            <v>CIP</v>
          </cell>
          <cell r="D1108" t="str">
            <v>N</v>
          </cell>
          <cell r="E1108" t="str">
            <v>A</v>
          </cell>
          <cell r="F1108" t="str">
            <v>08/23/2002</v>
          </cell>
        </row>
        <row r="1109">
          <cell r="B1109" t="str">
            <v>0K214</v>
          </cell>
          <cell r="C1109" t="str">
            <v>UEC</v>
          </cell>
          <cell r="D1109" t="str">
            <v>N</v>
          </cell>
          <cell r="E1109" t="str">
            <v>A</v>
          </cell>
          <cell r="F1109" t="str">
            <v>08/30/2002</v>
          </cell>
        </row>
        <row r="1110">
          <cell r="B1110" t="str">
            <v>0K215</v>
          </cell>
          <cell r="C1110" t="str">
            <v>AFS</v>
          </cell>
          <cell r="D1110" t="str">
            <v>N</v>
          </cell>
          <cell r="E1110" t="str">
            <v>A</v>
          </cell>
          <cell r="F1110" t="str">
            <v>08/29/2002</v>
          </cell>
        </row>
        <row r="1111">
          <cell r="B1111" t="str">
            <v>0K216</v>
          </cell>
          <cell r="C1111" t="str">
            <v>AFS</v>
          </cell>
          <cell r="D1111" t="str">
            <v>N</v>
          </cell>
          <cell r="E1111" t="str">
            <v>A</v>
          </cell>
          <cell r="F1111" t="str">
            <v>09/13/2002</v>
          </cell>
        </row>
        <row r="1112">
          <cell r="B1112" t="str">
            <v>0K225</v>
          </cell>
          <cell r="C1112" t="str">
            <v>AFS</v>
          </cell>
          <cell r="D1112" t="str">
            <v>N</v>
          </cell>
          <cell r="E1112" t="str">
            <v>I</v>
          </cell>
          <cell r="F1112" t="str">
            <v>04/10/2003</v>
          </cell>
        </row>
        <row r="1113">
          <cell r="B1113" t="str">
            <v>0K236</v>
          </cell>
          <cell r="C1113" t="str">
            <v>UEC</v>
          </cell>
          <cell r="D1113" t="str">
            <v>N</v>
          </cell>
          <cell r="E1113" t="str">
            <v>A</v>
          </cell>
          <cell r="F1113" t="str">
            <v>05/13/2003</v>
          </cell>
        </row>
        <row r="1114">
          <cell r="B1114" t="str">
            <v>0K237</v>
          </cell>
          <cell r="C1114" t="str">
            <v>CIL</v>
          </cell>
          <cell r="D1114" t="str">
            <v>N</v>
          </cell>
          <cell r="E1114" t="str">
            <v>A</v>
          </cell>
          <cell r="F1114" t="str">
            <v>09/09/2003</v>
          </cell>
        </row>
        <row r="1115">
          <cell r="B1115" t="str">
            <v>0K238</v>
          </cell>
          <cell r="C1115" t="str">
            <v>ARG</v>
          </cell>
          <cell r="D1115" t="str">
            <v>N</v>
          </cell>
          <cell r="E1115" t="str">
            <v>A</v>
          </cell>
          <cell r="F1115" t="str">
            <v>09/09/2003</v>
          </cell>
        </row>
        <row r="1116">
          <cell r="B1116" t="str">
            <v>0K239</v>
          </cell>
          <cell r="C1116" t="str">
            <v>CIL</v>
          </cell>
          <cell r="D1116" t="str">
            <v>N</v>
          </cell>
          <cell r="E1116" t="str">
            <v>A</v>
          </cell>
          <cell r="F1116" t="str">
            <v>09/11/2003</v>
          </cell>
        </row>
        <row r="1117">
          <cell r="B1117" t="str">
            <v>0K240</v>
          </cell>
          <cell r="C1117" t="str">
            <v>CIL</v>
          </cell>
          <cell r="D1117" t="str">
            <v>N</v>
          </cell>
          <cell r="E1117" t="str">
            <v>A</v>
          </cell>
          <cell r="F1117" t="str">
            <v>09/11/2003</v>
          </cell>
        </row>
        <row r="1118">
          <cell r="B1118" t="str">
            <v>0K243</v>
          </cell>
          <cell r="C1118" t="str">
            <v>ERC</v>
          </cell>
          <cell r="D1118" t="str">
            <v>N</v>
          </cell>
          <cell r="E1118" t="str">
            <v>A</v>
          </cell>
          <cell r="F1118" t="str">
            <v>07/29/2003</v>
          </cell>
        </row>
        <row r="1119">
          <cell r="B1119" t="str">
            <v>0K299</v>
          </cell>
          <cell r="C1119" t="str">
            <v>CIL</v>
          </cell>
          <cell r="D1119" t="str">
            <v>N</v>
          </cell>
          <cell r="E1119" t="str">
            <v>I</v>
          </cell>
          <cell r="F1119" t="str">
            <v>09/04/2003</v>
          </cell>
        </row>
        <row r="1120">
          <cell r="B1120" t="str">
            <v>0K300</v>
          </cell>
          <cell r="C1120" t="str">
            <v>UEC</v>
          </cell>
          <cell r="D1120" t="str">
            <v>N</v>
          </cell>
          <cell r="E1120" t="str">
            <v>A</v>
          </cell>
          <cell r="F1120" t="str">
            <v>09/11/2003</v>
          </cell>
        </row>
        <row r="1121">
          <cell r="B1121" t="str">
            <v>0K301</v>
          </cell>
          <cell r="C1121" t="str">
            <v>UEC</v>
          </cell>
          <cell r="D1121" t="str">
            <v>N</v>
          </cell>
          <cell r="E1121" t="str">
            <v>A</v>
          </cell>
          <cell r="F1121" t="str">
            <v>09/11/2003</v>
          </cell>
        </row>
        <row r="1122">
          <cell r="B1122" t="str">
            <v>0K302</v>
          </cell>
          <cell r="C1122" t="str">
            <v>UEC</v>
          </cell>
          <cell r="D1122" t="str">
            <v>N</v>
          </cell>
          <cell r="E1122" t="str">
            <v>A</v>
          </cell>
          <cell r="F1122" t="str">
            <v>09/11/2003</v>
          </cell>
        </row>
        <row r="1123">
          <cell r="B1123" t="str">
            <v>0K303</v>
          </cell>
          <cell r="C1123" t="str">
            <v>UEC</v>
          </cell>
          <cell r="D1123" t="str">
            <v>N</v>
          </cell>
          <cell r="E1123" t="str">
            <v>A</v>
          </cell>
          <cell r="F1123" t="str">
            <v>09/11/2003</v>
          </cell>
        </row>
        <row r="1124">
          <cell r="B1124" t="str">
            <v>0K306</v>
          </cell>
          <cell r="C1124" t="str">
            <v>CIL</v>
          </cell>
          <cell r="D1124" t="str">
            <v>N</v>
          </cell>
          <cell r="E1124" t="str">
            <v>A</v>
          </cell>
          <cell r="F1124" t="str">
            <v>10/10/2003</v>
          </cell>
        </row>
        <row r="1125">
          <cell r="B1125" t="str">
            <v>0K307</v>
          </cell>
          <cell r="C1125" t="str">
            <v>CIL</v>
          </cell>
          <cell r="D1125" t="str">
            <v>N</v>
          </cell>
          <cell r="E1125" t="str">
            <v>A</v>
          </cell>
          <cell r="F1125" t="str">
            <v>10/22/2003</v>
          </cell>
        </row>
        <row r="1126">
          <cell r="B1126" t="str">
            <v>0K308</v>
          </cell>
          <cell r="C1126" t="str">
            <v>CIL</v>
          </cell>
          <cell r="D1126" t="str">
            <v>N</v>
          </cell>
          <cell r="E1126" t="str">
            <v>A</v>
          </cell>
          <cell r="F1126" t="str">
            <v>10/22/2003</v>
          </cell>
        </row>
        <row r="1127">
          <cell r="B1127" t="str">
            <v>0K309</v>
          </cell>
          <cell r="C1127" t="str">
            <v>ERC</v>
          </cell>
          <cell r="D1127" t="str">
            <v>N</v>
          </cell>
          <cell r="E1127" t="str">
            <v>A</v>
          </cell>
          <cell r="F1127" t="str">
            <v>12/02/2003</v>
          </cell>
        </row>
        <row r="1128">
          <cell r="B1128" t="str">
            <v>0K311</v>
          </cell>
          <cell r="C1128" t="str">
            <v>UEC</v>
          </cell>
          <cell r="D1128" t="str">
            <v>N</v>
          </cell>
          <cell r="E1128" t="str">
            <v>A</v>
          </cell>
          <cell r="F1128" t="str">
            <v>01/15/2004</v>
          </cell>
        </row>
        <row r="1129">
          <cell r="B1129" t="str">
            <v>0K857</v>
          </cell>
          <cell r="C1129" t="str">
            <v>UEC</v>
          </cell>
          <cell r="D1129" t="str">
            <v>N</v>
          </cell>
          <cell r="E1129" t="str">
            <v>A</v>
          </cell>
          <cell r="F1129" t="str">
            <v>06/28/1999</v>
          </cell>
        </row>
        <row r="1130">
          <cell r="B1130" t="str">
            <v>0K858</v>
          </cell>
          <cell r="C1130" t="str">
            <v>CIP</v>
          </cell>
          <cell r="D1130" t="str">
            <v>N</v>
          </cell>
          <cell r="E1130" t="str">
            <v>A</v>
          </cell>
          <cell r="F1130" t="str">
            <v>06/28/1999</v>
          </cell>
        </row>
        <row r="1131">
          <cell r="B1131" t="str">
            <v>0K930</v>
          </cell>
          <cell r="C1131" t="str">
            <v>UEC</v>
          </cell>
          <cell r="D1131" t="str">
            <v>N</v>
          </cell>
          <cell r="E1131" t="str">
            <v>A</v>
          </cell>
          <cell r="F1131" t="str">
            <v>06/19/1998</v>
          </cell>
        </row>
        <row r="1132">
          <cell r="B1132" t="str">
            <v>0K931</v>
          </cell>
          <cell r="C1132" t="str">
            <v>UEC</v>
          </cell>
          <cell r="D1132" t="str">
            <v>N</v>
          </cell>
          <cell r="E1132" t="str">
            <v>A</v>
          </cell>
          <cell r="F1132" t="str">
            <v>09/02/1998</v>
          </cell>
        </row>
        <row r="1133">
          <cell r="B1133" t="str">
            <v>0K932</v>
          </cell>
          <cell r="C1133" t="str">
            <v>CIP</v>
          </cell>
          <cell r="D1133" t="str">
            <v>N</v>
          </cell>
          <cell r="E1133" t="str">
            <v>A</v>
          </cell>
          <cell r="F1133" t="str">
            <v>10/14/1998</v>
          </cell>
        </row>
        <row r="1134">
          <cell r="B1134" t="str">
            <v>0K934</v>
          </cell>
          <cell r="C1134" t="str">
            <v>GEN</v>
          </cell>
          <cell r="D1134" t="str">
            <v>N</v>
          </cell>
          <cell r="E1134" t="str">
            <v>A</v>
          </cell>
          <cell r="F1134" t="str">
            <v>10/26/1998</v>
          </cell>
        </row>
        <row r="1135">
          <cell r="B1135" t="str">
            <v>0K936</v>
          </cell>
          <cell r="C1135" t="str">
            <v>UEC</v>
          </cell>
          <cell r="D1135" t="str">
            <v>N</v>
          </cell>
          <cell r="E1135" t="str">
            <v>A</v>
          </cell>
          <cell r="F1135" t="str">
            <v>03/02/1999</v>
          </cell>
        </row>
        <row r="1136">
          <cell r="B1136" t="str">
            <v>0K937</v>
          </cell>
          <cell r="C1136" t="str">
            <v>CIP</v>
          </cell>
          <cell r="D1136" t="str">
            <v>N</v>
          </cell>
          <cell r="E1136" t="str">
            <v>A</v>
          </cell>
          <cell r="F1136" t="str">
            <v>06/18/1999</v>
          </cell>
        </row>
        <row r="1137">
          <cell r="B1137" t="str">
            <v>0K938</v>
          </cell>
          <cell r="C1137" t="str">
            <v>CIP</v>
          </cell>
          <cell r="D1137" t="str">
            <v>N</v>
          </cell>
          <cell r="E1137" t="str">
            <v>C</v>
          </cell>
          <cell r="F1137" t="str">
            <v>06/24/1999</v>
          </cell>
        </row>
        <row r="1138">
          <cell r="B1138" t="str">
            <v>0M234</v>
          </cell>
          <cell r="C1138" t="str">
            <v>UEC</v>
          </cell>
          <cell r="D1138" t="str">
            <v>N</v>
          </cell>
          <cell r="E1138" t="str">
            <v>A</v>
          </cell>
          <cell r="F1138" t="str">
            <v>02/01/2001</v>
          </cell>
        </row>
        <row r="1139">
          <cell r="B1139" t="str">
            <v>0P008</v>
          </cell>
          <cell r="C1139" t="str">
            <v>UEC</v>
          </cell>
          <cell r="D1139" t="str">
            <v>N</v>
          </cell>
          <cell r="E1139" t="str">
            <v>A</v>
          </cell>
          <cell r="F1139" t="str">
            <v>01/07/2000</v>
          </cell>
        </row>
        <row r="1140">
          <cell r="B1140" t="str">
            <v>0P038</v>
          </cell>
          <cell r="C1140" t="str">
            <v>UEC</v>
          </cell>
          <cell r="D1140" t="str">
            <v>N</v>
          </cell>
          <cell r="E1140" t="str">
            <v>A</v>
          </cell>
          <cell r="F1140" t="str">
            <v>01/12/1998</v>
          </cell>
        </row>
        <row r="1141">
          <cell r="B1141" t="str">
            <v>0P077</v>
          </cell>
          <cell r="C1141" t="str">
            <v>UEC</v>
          </cell>
          <cell r="D1141" t="str">
            <v>N</v>
          </cell>
          <cell r="E1141" t="str">
            <v>A</v>
          </cell>
          <cell r="F1141" t="str">
            <v>12/13/2000</v>
          </cell>
        </row>
        <row r="1142">
          <cell r="B1142" t="str">
            <v>0P094</v>
          </cell>
          <cell r="C1142" t="str">
            <v>UEC</v>
          </cell>
          <cell r="D1142" t="str">
            <v>N</v>
          </cell>
          <cell r="E1142" t="str">
            <v>A</v>
          </cell>
          <cell r="F1142" t="str">
            <v>10/02/2000</v>
          </cell>
        </row>
        <row r="1143">
          <cell r="B1143" t="str">
            <v>0P095</v>
          </cell>
          <cell r="C1143" t="str">
            <v>UEC</v>
          </cell>
          <cell r="D1143" t="str">
            <v>N</v>
          </cell>
          <cell r="E1143" t="str">
            <v>A</v>
          </cell>
          <cell r="F1143" t="str">
            <v>12/06/1999</v>
          </cell>
        </row>
        <row r="1144">
          <cell r="B1144" t="str">
            <v>0P135</v>
          </cell>
          <cell r="C1144" t="str">
            <v>UEC</v>
          </cell>
          <cell r="D1144" t="str">
            <v>N</v>
          </cell>
          <cell r="E1144" t="str">
            <v>A</v>
          </cell>
          <cell r="F1144" t="str">
            <v>09/23/1999</v>
          </cell>
        </row>
        <row r="1145">
          <cell r="B1145" t="str">
            <v>0P142</v>
          </cell>
          <cell r="C1145" t="str">
            <v>UEC</v>
          </cell>
          <cell r="D1145" t="str">
            <v>N</v>
          </cell>
          <cell r="E1145" t="str">
            <v>A</v>
          </cell>
          <cell r="F1145" t="str">
            <v>01/12/1998</v>
          </cell>
        </row>
        <row r="1146">
          <cell r="B1146" t="str">
            <v>0P151</v>
          </cell>
          <cell r="C1146" t="str">
            <v>UEC</v>
          </cell>
          <cell r="D1146" t="str">
            <v>Y</v>
          </cell>
          <cell r="E1146" t="str">
            <v>C</v>
          </cell>
          <cell r="F1146" t="str">
            <v>02/05/2002</v>
          </cell>
        </row>
        <row r="1147">
          <cell r="B1147" t="str">
            <v>0P175</v>
          </cell>
          <cell r="C1147" t="str">
            <v>UEC</v>
          </cell>
          <cell r="D1147" t="str">
            <v>N</v>
          </cell>
          <cell r="E1147" t="str">
            <v>A</v>
          </cell>
          <cell r="F1147" t="str">
            <v>01/12/1998</v>
          </cell>
        </row>
        <row r="1148">
          <cell r="B1148" t="str">
            <v>0P194</v>
          </cell>
          <cell r="C1148" t="str">
            <v>UEC</v>
          </cell>
          <cell r="D1148" t="str">
            <v>N</v>
          </cell>
          <cell r="E1148" t="str">
            <v>A</v>
          </cell>
          <cell r="F1148" t="str">
            <v>01/27/2000</v>
          </cell>
        </row>
        <row r="1149">
          <cell r="B1149" t="str">
            <v>0P237</v>
          </cell>
          <cell r="C1149" t="str">
            <v>UEC</v>
          </cell>
          <cell r="D1149" t="str">
            <v>N</v>
          </cell>
          <cell r="E1149" t="str">
            <v>A</v>
          </cell>
          <cell r="F1149" t="str">
            <v>11/17/1997</v>
          </cell>
        </row>
        <row r="1150">
          <cell r="B1150" t="str">
            <v>0P238</v>
          </cell>
          <cell r="C1150" t="str">
            <v>UEC</v>
          </cell>
          <cell r="D1150" t="str">
            <v>N</v>
          </cell>
          <cell r="E1150" t="str">
            <v>A</v>
          </cell>
          <cell r="F1150" t="str">
            <v>05/02/2000</v>
          </cell>
        </row>
        <row r="1151">
          <cell r="B1151" t="str">
            <v>0P267</v>
          </cell>
          <cell r="C1151" t="str">
            <v>UEC</v>
          </cell>
          <cell r="D1151" t="str">
            <v>N</v>
          </cell>
          <cell r="E1151" t="str">
            <v>A</v>
          </cell>
          <cell r="F1151" t="str">
            <v>01/12/1998</v>
          </cell>
        </row>
        <row r="1152">
          <cell r="B1152" t="str">
            <v>0P269</v>
          </cell>
          <cell r="C1152" t="str">
            <v>UEC</v>
          </cell>
          <cell r="D1152" t="str">
            <v>N</v>
          </cell>
          <cell r="E1152" t="str">
            <v>A</v>
          </cell>
          <cell r="F1152" t="str">
            <v>01/12/1998</v>
          </cell>
        </row>
        <row r="1153">
          <cell r="B1153" t="str">
            <v>0P272</v>
          </cell>
          <cell r="C1153" t="str">
            <v>UEC</v>
          </cell>
          <cell r="D1153" t="str">
            <v>N</v>
          </cell>
          <cell r="E1153" t="str">
            <v>A</v>
          </cell>
          <cell r="F1153" t="str">
            <v>01/12/1998</v>
          </cell>
        </row>
        <row r="1154">
          <cell r="B1154" t="str">
            <v>0P274</v>
          </cell>
          <cell r="C1154" t="str">
            <v>UEC</v>
          </cell>
          <cell r="D1154" t="str">
            <v>N</v>
          </cell>
          <cell r="E1154" t="str">
            <v>A</v>
          </cell>
          <cell r="F1154" t="str">
            <v>01/12/1998</v>
          </cell>
        </row>
        <row r="1155">
          <cell r="B1155" t="str">
            <v>0P287</v>
          </cell>
          <cell r="C1155" t="str">
            <v>UEC</v>
          </cell>
          <cell r="D1155" t="str">
            <v>N</v>
          </cell>
          <cell r="E1155" t="str">
            <v>A</v>
          </cell>
          <cell r="F1155" t="str">
            <v>01/12/1998</v>
          </cell>
        </row>
        <row r="1156">
          <cell r="B1156" t="str">
            <v>0P295</v>
          </cell>
          <cell r="C1156" t="str">
            <v>UEC</v>
          </cell>
          <cell r="D1156" t="str">
            <v>N</v>
          </cell>
          <cell r="E1156" t="str">
            <v>A</v>
          </cell>
          <cell r="F1156" t="str">
            <v>05/12/2003</v>
          </cell>
        </row>
        <row r="1157">
          <cell r="B1157" t="str">
            <v>0P300</v>
          </cell>
          <cell r="C1157" t="str">
            <v>UEC</v>
          </cell>
          <cell r="D1157" t="str">
            <v>N</v>
          </cell>
          <cell r="E1157" t="str">
            <v>A</v>
          </cell>
          <cell r="F1157" t="str">
            <v>01/14/1998</v>
          </cell>
        </row>
        <row r="1158">
          <cell r="B1158" t="str">
            <v>0P309</v>
          </cell>
          <cell r="C1158" t="str">
            <v>UEC</v>
          </cell>
          <cell r="D1158" t="str">
            <v>N</v>
          </cell>
          <cell r="E1158" t="str">
            <v>A</v>
          </cell>
          <cell r="F1158" t="str">
            <v>11/17/1997</v>
          </cell>
        </row>
        <row r="1159">
          <cell r="B1159" t="str">
            <v>0P410</v>
          </cell>
          <cell r="C1159" t="str">
            <v>UEC</v>
          </cell>
          <cell r="D1159" t="str">
            <v>N</v>
          </cell>
          <cell r="E1159" t="str">
            <v>A</v>
          </cell>
          <cell r="F1159" t="str">
            <v>07/30/2002</v>
          </cell>
        </row>
        <row r="1160">
          <cell r="B1160" t="str">
            <v>0P415</v>
          </cell>
          <cell r="C1160" t="str">
            <v>UEC</v>
          </cell>
          <cell r="D1160" t="str">
            <v>N</v>
          </cell>
          <cell r="E1160" t="str">
            <v>A</v>
          </cell>
          <cell r="F1160" t="str">
            <v>02/22/2001</v>
          </cell>
        </row>
        <row r="1161">
          <cell r="B1161" t="str">
            <v>0P432</v>
          </cell>
          <cell r="C1161" t="str">
            <v>UEC</v>
          </cell>
          <cell r="D1161" t="str">
            <v>N</v>
          </cell>
          <cell r="E1161" t="str">
            <v>A</v>
          </cell>
          <cell r="F1161" t="str">
            <v>01/12/1998</v>
          </cell>
        </row>
        <row r="1162">
          <cell r="B1162" t="str">
            <v>0P435</v>
          </cell>
          <cell r="C1162" t="str">
            <v>UEC</v>
          </cell>
          <cell r="D1162" t="str">
            <v>N</v>
          </cell>
          <cell r="E1162" t="str">
            <v>A</v>
          </cell>
          <cell r="F1162" t="str">
            <v>10/02/2000</v>
          </cell>
        </row>
        <row r="1163">
          <cell r="B1163" t="str">
            <v>0P436</v>
          </cell>
          <cell r="C1163" t="str">
            <v>UEC</v>
          </cell>
          <cell r="D1163" t="str">
            <v>N</v>
          </cell>
          <cell r="E1163" t="str">
            <v>A</v>
          </cell>
          <cell r="F1163" t="str">
            <v>01/16/1998</v>
          </cell>
        </row>
        <row r="1164">
          <cell r="B1164" t="str">
            <v>0P437</v>
          </cell>
          <cell r="C1164" t="str">
            <v>UEC</v>
          </cell>
          <cell r="D1164" t="str">
            <v>N</v>
          </cell>
          <cell r="E1164" t="str">
            <v>A</v>
          </cell>
          <cell r="F1164" t="str">
            <v>01/09/1998</v>
          </cell>
        </row>
        <row r="1165">
          <cell r="B1165" t="str">
            <v>0P438</v>
          </cell>
          <cell r="C1165" t="str">
            <v>UEC</v>
          </cell>
          <cell r="D1165" t="str">
            <v>N</v>
          </cell>
          <cell r="E1165" t="str">
            <v>A</v>
          </cell>
          <cell r="F1165" t="str">
            <v>12/06/1999</v>
          </cell>
        </row>
        <row r="1166">
          <cell r="B1166" t="str">
            <v>0P451</v>
          </cell>
          <cell r="C1166" t="str">
            <v>UEC</v>
          </cell>
          <cell r="D1166" t="str">
            <v>N</v>
          </cell>
          <cell r="E1166" t="str">
            <v>A</v>
          </cell>
          <cell r="F1166" t="str">
            <v>10/13/1999</v>
          </cell>
        </row>
        <row r="1167">
          <cell r="B1167" t="str">
            <v>0P454</v>
          </cell>
          <cell r="C1167" t="str">
            <v>UEC</v>
          </cell>
          <cell r="D1167" t="str">
            <v>N</v>
          </cell>
          <cell r="E1167" t="str">
            <v>A</v>
          </cell>
          <cell r="F1167" t="str">
            <v>01/22/1998</v>
          </cell>
        </row>
        <row r="1168">
          <cell r="B1168" t="str">
            <v>0P457</v>
          </cell>
          <cell r="C1168" t="str">
            <v>UEC</v>
          </cell>
          <cell r="D1168" t="str">
            <v>N</v>
          </cell>
          <cell r="E1168" t="str">
            <v>A</v>
          </cell>
          <cell r="F1168" t="str">
            <v>01/12/1998</v>
          </cell>
        </row>
        <row r="1169">
          <cell r="B1169" t="str">
            <v>0P516</v>
          </cell>
          <cell r="C1169" t="str">
            <v>UEC</v>
          </cell>
          <cell r="D1169" t="str">
            <v>N</v>
          </cell>
          <cell r="E1169" t="str">
            <v>A</v>
          </cell>
          <cell r="F1169" t="str">
            <v>08/07/2002</v>
          </cell>
        </row>
        <row r="1170">
          <cell r="B1170" t="str">
            <v>0P519</v>
          </cell>
          <cell r="C1170" t="str">
            <v>UEC</v>
          </cell>
          <cell r="D1170" t="str">
            <v>N</v>
          </cell>
          <cell r="E1170" t="str">
            <v>A</v>
          </cell>
          <cell r="F1170" t="str">
            <v>12/22/1997</v>
          </cell>
        </row>
        <row r="1171">
          <cell r="B1171" t="str">
            <v>0P561</v>
          </cell>
          <cell r="C1171" t="str">
            <v>UEC</v>
          </cell>
          <cell r="D1171" t="str">
            <v>N</v>
          </cell>
          <cell r="E1171" t="str">
            <v>A</v>
          </cell>
          <cell r="F1171" t="str">
            <v>04/14/1999</v>
          </cell>
        </row>
        <row r="1172">
          <cell r="B1172" t="str">
            <v>0P600</v>
          </cell>
          <cell r="C1172" t="str">
            <v>UEC</v>
          </cell>
          <cell r="D1172" t="str">
            <v>N</v>
          </cell>
          <cell r="E1172" t="str">
            <v>A</v>
          </cell>
          <cell r="F1172" t="str">
            <v>11/17/1997</v>
          </cell>
        </row>
        <row r="1173">
          <cell r="B1173" t="str">
            <v>0P602</v>
          </cell>
          <cell r="C1173" t="str">
            <v>UEC</v>
          </cell>
          <cell r="D1173" t="str">
            <v>N</v>
          </cell>
          <cell r="E1173" t="str">
            <v>A</v>
          </cell>
          <cell r="F1173" t="str">
            <v>11/17/1997</v>
          </cell>
        </row>
        <row r="1174">
          <cell r="B1174" t="str">
            <v>0P603</v>
          </cell>
          <cell r="C1174" t="str">
            <v>UEC</v>
          </cell>
          <cell r="D1174" t="str">
            <v>N</v>
          </cell>
          <cell r="E1174" t="str">
            <v>A</v>
          </cell>
          <cell r="F1174" t="str">
            <v>11/17/1997</v>
          </cell>
        </row>
        <row r="1175">
          <cell r="B1175" t="str">
            <v>0P605</v>
          </cell>
          <cell r="C1175" t="str">
            <v>UEC</v>
          </cell>
          <cell r="D1175" t="str">
            <v>N</v>
          </cell>
          <cell r="E1175" t="str">
            <v>A</v>
          </cell>
          <cell r="F1175" t="str">
            <v>01/05/1999</v>
          </cell>
        </row>
        <row r="1176">
          <cell r="B1176" t="str">
            <v>0P606</v>
          </cell>
          <cell r="C1176" t="str">
            <v>UEC</v>
          </cell>
          <cell r="D1176" t="str">
            <v>N</v>
          </cell>
          <cell r="E1176" t="str">
            <v>A</v>
          </cell>
          <cell r="F1176" t="str">
            <v>09/21/1999</v>
          </cell>
        </row>
        <row r="1177">
          <cell r="B1177" t="str">
            <v>0P607</v>
          </cell>
          <cell r="C1177" t="str">
            <v>UEC</v>
          </cell>
          <cell r="D1177" t="str">
            <v>N</v>
          </cell>
          <cell r="E1177" t="str">
            <v>A</v>
          </cell>
          <cell r="F1177" t="str">
            <v>04/14/1999</v>
          </cell>
        </row>
        <row r="1178">
          <cell r="B1178" t="str">
            <v>0P609</v>
          </cell>
          <cell r="C1178" t="str">
            <v>UEC</v>
          </cell>
          <cell r="D1178" t="str">
            <v>N</v>
          </cell>
          <cell r="E1178" t="str">
            <v>A</v>
          </cell>
          <cell r="F1178" t="str">
            <v>01/12/1998</v>
          </cell>
        </row>
        <row r="1179">
          <cell r="B1179" t="str">
            <v>0P610</v>
          </cell>
          <cell r="C1179" t="str">
            <v>UEC</v>
          </cell>
          <cell r="D1179" t="str">
            <v>N</v>
          </cell>
          <cell r="E1179" t="str">
            <v>A</v>
          </cell>
          <cell r="F1179" t="str">
            <v>11/12/1998</v>
          </cell>
        </row>
        <row r="1180">
          <cell r="B1180" t="str">
            <v>0P661</v>
          </cell>
          <cell r="C1180" t="str">
            <v>UEC</v>
          </cell>
          <cell r="D1180" t="str">
            <v>N</v>
          </cell>
          <cell r="E1180" t="str">
            <v>A</v>
          </cell>
          <cell r="F1180" t="str">
            <v>01/31/2003</v>
          </cell>
        </row>
        <row r="1181">
          <cell r="B1181" t="str">
            <v>0P672</v>
          </cell>
          <cell r="C1181" t="str">
            <v>UEC</v>
          </cell>
          <cell r="D1181" t="str">
            <v>N</v>
          </cell>
          <cell r="E1181" t="str">
            <v>A</v>
          </cell>
          <cell r="F1181" t="str">
            <v>01/15/1998</v>
          </cell>
        </row>
        <row r="1182">
          <cell r="B1182" t="str">
            <v>0P725</v>
          </cell>
          <cell r="C1182" t="str">
            <v>UEC</v>
          </cell>
          <cell r="D1182" t="str">
            <v>N</v>
          </cell>
          <cell r="E1182" t="str">
            <v>A</v>
          </cell>
          <cell r="F1182" t="str">
            <v>02/27/2003</v>
          </cell>
        </row>
        <row r="1183">
          <cell r="B1183" t="str">
            <v>0P740</v>
          </cell>
          <cell r="C1183" t="str">
            <v>UEC</v>
          </cell>
          <cell r="D1183" t="str">
            <v>N</v>
          </cell>
          <cell r="E1183" t="str">
            <v>A</v>
          </cell>
          <cell r="F1183" t="str">
            <v>11/17/1997</v>
          </cell>
        </row>
        <row r="1184">
          <cell r="B1184" t="str">
            <v>0P827</v>
          </cell>
          <cell r="C1184" t="str">
            <v>UEC</v>
          </cell>
          <cell r="D1184" t="str">
            <v>N</v>
          </cell>
          <cell r="E1184" t="str">
            <v>C</v>
          </cell>
          <cell r="F1184" t="str">
            <v>11/12/1998</v>
          </cell>
        </row>
        <row r="1185">
          <cell r="B1185" t="str">
            <v>0P868</v>
          </cell>
          <cell r="C1185" t="str">
            <v>UEC</v>
          </cell>
          <cell r="D1185" t="str">
            <v>N</v>
          </cell>
          <cell r="E1185" t="str">
            <v>A</v>
          </cell>
          <cell r="F1185" t="str">
            <v>10/01/2002</v>
          </cell>
        </row>
        <row r="1186">
          <cell r="B1186" t="str">
            <v>0P870</v>
          </cell>
          <cell r="C1186" t="str">
            <v>UEC</v>
          </cell>
          <cell r="D1186" t="str">
            <v>N</v>
          </cell>
          <cell r="E1186" t="str">
            <v>A</v>
          </cell>
          <cell r="F1186" t="str">
            <v>01/12/1998</v>
          </cell>
        </row>
        <row r="1187">
          <cell r="B1187" t="str">
            <v>0P871</v>
          </cell>
          <cell r="C1187" t="str">
            <v>UEC</v>
          </cell>
          <cell r="D1187" t="str">
            <v>N</v>
          </cell>
          <cell r="E1187" t="str">
            <v>A</v>
          </cell>
          <cell r="F1187" t="str">
            <v>10/01/2002</v>
          </cell>
        </row>
        <row r="1188">
          <cell r="B1188" t="str">
            <v>0P873</v>
          </cell>
          <cell r="C1188" t="str">
            <v>UEC</v>
          </cell>
          <cell r="D1188" t="str">
            <v>N</v>
          </cell>
          <cell r="E1188" t="str">
            <v>A</v>
          </cell>
          <cell r="F1188" t="str">
            <v>01/15/1998</v>
          </cell>
        </row>
        <row r="1189">
          <cell r="B1189" t="str">
            <v>0P879</v>
          </cell>
          <cell r="C1189" t="str">
            <v>UEC</v>
          </cell>
          <cell r="D1189" t="str">
            <v>N</v>
          </cell>
          <cell r="E1189" t="str">
            <v>A</v>
          </cell>
          <cell r="F1189" t="str">
            <v>01/15/1998</v>
          </cell>
        </row>
        <row r="1190">
          <cell r="B1190" t="str">
            <v>0P880</v>
          </cell>
          <cell r="C1190" t="str">
            <v>UEC</v>
          </cell>
          <cell r="D1190" t="str">
            <v>N</v>
          </cell>
          <cell r="E1190" t="str">
            <v>C</v>
          </cell>
          <cell r="F1190" t="str">
            <v>01/15/1998</v>
          </cell>
        </row>
        <row r="1191">
          <cell r="B1191" t="str">
            <v>0P881</v>
          </cell>
          <cell r="C1191" t="str">
            <v>UEC</v>
          </cell>
          <cell r="D1191" t="str">
            <v>N</v>
          </cell>
          <cell r="E1191" t="str">
            <v>A</v>
          </cell>
          <cell r="F1191" t="str">
            <v>01/15/1998</v>
          </cell>
        </row>
        <row r="1192">
          <cell r="B1192" t="str">
            <v>0P882</v>
          </cell>
          <cell r="C1192" t="str">
            <v>UEC</v>
          </cell>
          <cell r="D1192" t="str">
            <v>N</v>
          </cell>
          <cell r="E1192" t="str">
            <v>A</v>
          </cell>
          <cell r="F1192" t="str">
            <v>01/15/1998</v>
          </cell>
        </row>
        <row r="1193">
          <cell r="B1193" t="str">
            <v>0P883</v>
          </cell>
          <cell r="C1193" t="str">
            <v>UEC</v>
          </cell>
          <cell r="D1193" t="str">
            <v>N</v>
          </cell>
          <cell r="E1193" t="str">
            <v>A</v>
          </cell>
          <cell r="F1193" t="str">
            <v>01/15/1998</v>
          </cell>
        </row>
        <row r="1194">
          <cell r="B1194" t="str">
            <v>0P885</v>
          </cell>
          <cell r="C1194" t="str">
            <v>UEC</v>
          </cell>
          <cell r="D1194" t="str">
            <v>N</v>
          </cell>
          <cell r="E1194" t="str">
            <v>A</v>
          </cell>
          <cell r="F1194" t="str">
            <v>09/23/2002</v>
          </cell>
        </row>
        <row r="1195">
          <cell r="B1195" t="str">
            <v>0P887</v>
          </cell>
          <cell r="C1195" t="str">
            <v>UEC</v>
          </cell>
          <cell r="D1195" t="str">
            <v>N</v>
          </cell>
          <cell r="E1195" t="str">
            <v>A</v>
          </cell>
          <cell r="F1195" t="str">
            <v>02/24/1998</v>
          </cell>
        </row>
        <row r="1196">
          <cell r="B1196" t="str">
            <v>0P945</v>
          </cell>
          <cell r="C1196" t="str">
            <v>UEC</v>
          </cell>
          <cell r="D1196" t="str">
            <v>N</v>
          </cell>
          <cell r="E1196" t="str">
            <v>A</v>
          </cell>
          <cell r="F1196" t="str">
            <v>04/08/2003</v>
          </cell>
        </row>
        <row r="1197">
          <cell r="B1197" t="str">
            <v>0P975</v>
          </cell>
          <cell r="C1197" t="str">
            <v>UEC</v>
          </cell>
          <cell r="D1197" t="str">
            <v>N</v>
          </cell>
          <cell r="E1197" t="str">
            <v>A</v>
          </cell>
          <cell r="F1197" t="str">
            <v>08/19/2002</v>
          </cell>
        </row>
        <row r="1198">
          <cell r="B1198" t="str">
            <v>0PL1B</v>
          </cell>
          <cell r="C1198" t="str">
            <v>UEC</v>
          </cell>
          <cell r="D1198" t="str">
            <v>N</v>
          </cell>
          <cell r="E1198" t="str">
            <v>A</v>
          </cell>
          <cell r="F1198" t="str">
            <v>01/20/2000</v>
          </cell>
        </row>
        <row r="1199">
          <cell r="B1199" t="str">
            <v>0PM1B</v>
          </cell>
          <cell r="C1199" t="str">
            <v>UEC</v>
          </cell>
          <cell r="D1199" t="str">
            <v>N</v>
          </cell>
          <cell r="E1199" t="str">
            <v>A</v>
          </cell>
          <cell r="F1199" t="str">
            <v>12/26/2000</v>
          </cell>
        </row>
        <row r="1200">
          <cell r="B1200" t="str">
            <v>0PR2B</v>
          </cell>
          <cell r="C1200" t="str">
            <v>UEC</v>
          </cell>
          <cell r="D1200" t="str">
            <v>N</v>
          </cell>
          <cell r="E1200" t="str">
            <v>A</v>
          </cell>
          <cell r="F1200" t="str">
            <v>01/09/1998</v>
          </cell>
        </row>
        <row r="1201">
          <cell r="B1201" t="str">
            <v>0PS1B</v>
          </cell>
          <cell r="C1201" t="str">
            <v>UEC</v>
          </cell>
          <cell r="D1201" t="str">
            <v>N</v>
          </cell>
          <cell r="E1201" t="str">
            <v>A</v>
          </cell>
          <cell r="F1201" t="str">
            <v>01/15/1998</v>
          </cell>
        </row>
        <row r="1202">
          <cell r="B1202" t="str">
            <v>0PS2B</v>
          </cell>
          <cell r="C1202" t="str">
            <v>UEC</v>
          </cell>
          <cell r="D1202" t="str">
            <v>N</v>
          </cell>
          <cell r="E1202" t="str">
            <v>A</v>
          </cell>
          <cell r="F1202" t="str">
            <v>04/14/1999</v>
          </cell>
        </row>
        <row r="1203">
          <cell r="B1203" t="str">
            <v>0W563</v>
          </cell>
          <cell r="C1203" t="str">
            <v>GEN</v>
          </cell>
          <cell r="D1203" t="str">
            <v>N</v>
          </cell>
          <cell r="E1203" t="str">
            <v>I</v>
          </cell>
          <cell r="F1203" t="str">
            <v>05/25/1999</v>
          </cell>
        </row>
        <row r="1204">
          <cell r="B1204" t="str">
            <v>0W736</v>
          </cell>
          <cell r="C1204" t="str">
            <v>IHC</v>
          </cell>
          <cell r="D1204" t="str">
            <v>N</v>
          </cell>
          <cell r="E1204" t="str">
            <v>C</v>
          </cell>
          <cell r="F1204" t="str">
            <v>07/09/2002</v>
          </cell>
        </row>
        <row r="1205">
          <cell r="B1205" t="str">
            <v>0WN1B</v>
          </cell>
          <cell r="C1205" t="str">
            <v>GEN</v>
          </cell>
          <cell r="D1205" t="str">
            <v>N</v>
          </cell>
          <cell r="E1205" t="str">
            <v>I</v>
          </cell>
          <cell r="F1205" t="str">
            <v>04/17/1998</v>
          </cell>
        </row>
        <row r="1206">
          <cell r="B1206" t="str">
            <v>A0001</v>
          </cell>
          <cell r="C1206" t="str">
            <v>017A</v>
          </cell>
          <cell r="D1206" t="str">
            <v>Y</v>
          </cell>
          <cell r="E1206" t="str">
            <v>A</v>
          </cell>
          <cell r="F1206" t="str">
            <v>10/03/1997</v>
          </cell>
        </row>
        <row r="1207">
          <cell r="B1207" t="str">
            <v>A0002</v>
          </cell>
          <cell r="C1207" t="str">
            <v>017B</v>
          </cell>
          <cell r="D1207" t="str">
            <v>Y</v>
          </cell>
          <cell r="E1207" t="str">
            <v>A</v>
          </cell>
          <cell r="F1207" t="str">
            <v>10/03/1997</v>
          </cell>
        </row>
        <row r="1208">
          <cell r="B1208" t="str">
            <v>A0004</v>
          </cell>
          <cell r="C1208"/>
          <cell r="D1208" t="str">
            <v>Y</v>
          </cell>
          <cell r="E1208" t="str">
            <v>A</v>
          </cell>
          <cell r="F1208" t="str">
            <v>10/06/1997</v>
          </cell>
        </row>
        <row r="1209">
          <cell r="B1209" t="str">
            <v>A0005</v>
          </cell>
          <cell r="C1209" t="str">
            <v>UEC</v>
          </cell>
          <cell r="D1209" t="str">
            <v>Y</v>
          </cell>
          <cell r="E1209" t="str">
            <v>A</v>
          </cell>
          <cell r="F1209" t="str">
            <v>10/06/1997</v>
          </cell>
        </row>
        <row r="1210">
          <cell r="B1210" t="str">
            <v>A0006</v>
          </cell>
          <cell r="C1210" t="str">
            <v>CIP</v>
          </cell>
          <cell r="D1210" t="str">
            <v>Y</v>
          </cell>
          <cell r="E1210" t="str">
            <v>A</v>
          </cell>
          <cell r="F1210" t="str">
            <v>10/06/1997</v>
          </cell>
        </row>
        <row r="1211">
          <cell r="B1211" t="str">
            <v>A0007</v>
          </cell>
          <cell r="C1211" t="str">
            <v>CIC</v>
          </cell>
          <cell r="D1211" t="str">
            <v>Y</v>
          </cell>
          <cell r="E1211" t="str">
            <v>A</v>
          </cell>
          <cell r="F1211" t="str">
            <v>10/06/1997</v>
          </cell>
        </row>
        <row r="1212">
          <cell r="B1212" t="str">
            <v>A0008</v>
          </cell>
          <cell r="C1212" t="str">
            <v>UDC</v>
          </cell>
          <cell r="D1212" t="str">
            <v>Y</v>
          </cell>
          <cell r="E1212" t="str">
            <v>A</v>
          </cell>
          <cell r="F1212" t="str">
            <v>10/06/1997</v>
          </cell>
        </row>
        <row r="1213">
          <cell r="B1213" t="str">
            <v>A0009</v>
          </cell>
          <cell r="C1213" t="str">
            <v>AMC</v>
          </cell>
          <cell r="D1213" t="str">
            <v>Y</v>
          </cell>
          <cell r="E1213" t="str">
            <v>A</v>
          </cell>
          <cell r="F1213" t="str">
            <v>10/06/1997</v>
          </cell>
        </row>
        <row r="1214">
          <cell r="B1214" t="str">
            <v>A0012</v>
          </cell>
          <cell r="C1214" t="str">
            <v>AEC</v>
          </cell>
          <cell r="D1214" t="str">
            <v>Y</v>
          </cell>
          <cell r="E1214" t="str">
            <v>A</v>
          </cell>
          <cell r="F1214" t="str">
            <v>07/23/1998</v>
          </cell>
        </row>
        <row r="1215">
          <cell r="B1215" t="str">
            <v>A0016</v>
          </cell>
          <cell r="C1215" t="str">
            <v>ERC</v>
          </cell>
          <cell r="D1215" t="str">
            <v>Y</v>
          </cell>
          <cell r="E1215" t="str">
            <v>A</v>
          </cell>
          <cell r="F1215" t="str">
            <v>07/02/1998</v>
          </cell>
        </row>
        <row r="1216">
          <cell r="B1216" t="str">
            <v>A0018</v>
          </cell>
          <cell r="C1216" t="str">
            <v>AME</v>
          </cell>
          <cell r="D1216" t="str">
            <v>Y</v>
          </cell>
          <cell r="E1216" t="str">
            <v>A</v>
          </cell>
          <cell r="F1216" t="str">
            <v>07/23/1998</v>
          </cell>
        </row>
        <row r="1217">
          <cell r="B1217" t="str">
            <v>A0021</v>
          </cell>
          <cell r="C1217" t="str">
            <v>007A</v>
          </cell>
          <cell r="D1217" t="str">
            <v>Y</v>
          </cell>
          <cell r="E1217" t="str">
            <v>A</v>
          </cell>
          <cell r="F1217" t="str">
            <v>10/06/1997</v>
          </cell>
        </row>
        <row r="1218">
          <cell r="B1218" t="str">
            <v>A0022</v>
          </cell>
          <cell r="C1218" t="str">
            <v>004A</v>
          </cell>
          <cell r="D1218" t="str">
            <v>Y</v>
          </cell>
          <cell r="E1218" t="str">
            <v>A</v>
          </cell>
          <cell r="F1218" t="str">
            <v>03/15/1999</v>
          </cell>
        </row>
        <row r="1219">
          <cell r="B1219" t="str">
            <v>A0051</v>
          </cell>
          <cell r="C1219" t="str">
            <v>007A</v>
          </cell>
          <cell r="D1219" t="str">
            <v>Y</v>
          </cell>
          <cell r="E1219" t="str">
            <v>A</v>
          </cell>
          <cell r="F1219" t="str">
            <v>10/06/1997</v>
          </cell>
        </row>
        <row r="1220">
          <cell r="B1220" t="str">
            <v>A0071</v>
          </cell>
          <cell r="C1220" t="str">
            <v>UEC</v>
          </cell>
          <cell r="D1220" t="str">
            <v>Y</v>
          </cell>
          <cell r="E1220" t="str">
            <v>A</v>
          </cell>
          <cell r="F1220" t="str">
            <v>10/06/1997</v>
          </cell>
        </row>
        <row r="1221">
          <cell r="B1221" t="str">
            <v>A0072</v>
          </cell>
          <cell r="C1221" t="str">
            <v>CIP</v>
          </cell>
          <cell r="D1221" t="str">
            <v>Y</v>
          </cell>
          <cell r="E1221" t="str">
            <v>A</v>
          </cell>
          <cell r="F1221" t="str">
            <v>10/06/1997</v>
          </cell>
        </row>
        <row r="1222">
          <cell r="B1222" t="str">
            <v>A0075</v>
          </cell>
          <cell r="C1222" t="str">
            <v>017C</v>
          </cell>
          <cell r="D1222" t="str">
            <v>Y</v>
          </cell>
          <cell r="E1222" t="str">
            <v>A</v>
          </cell>
          <cell r="F1222" t="str">
            <v>10/06/1997</v>
          </cell>
        </row>
        <row r="1223">
          <cell r="B1223" t="str">
            <v>A0077</v>
          </cell>
          <cell r="C1223" t="str">
            <v>CIP</v>
          </cell>
          <cell r="D1223" t="str">
            <v>Y</v>
          </cell>
          <cell r="E1223" t="str">
            <v>A</v>
          </cell>
          <cell r="F1223" t="str">
            <v>10/06/1997</v>
          </cell>
        </row>
        <row r="1224">
          <cell r="B1224" t="str">
            <v>A0078</v>
          </cell>
          <cell r="C1224" t="str">
            <v>UEC</v>
          </cell>
          <cell r="D1224" t="str">
            <v>Y</v>
          </cell>
          <cell r="E1224" t="str">
            <v>A</v>
          </cell>
          <cell r="F1224" t="str">
            <v>10/06/1997</v>
          </cell>
        </row>
        <row r="1225">
          <cell r="B1225" t="str">
            <v>A0079</v>
          </cell>
          <cell r="C1225"/>
          <cell r="D1225" t="str">
            <v>Y</v>
          </cell>
          <cell r="E1225" t="str">
            <v>A</v>
          </cell>
          <cell r="F1225" t="str">
            <v>11/22/1997</v>
          </cell>
        </row>
        <row r="1226">
          <cell r="B1226" t="str">
            <v>A0080</v>
          </cell>
          <cell r="C1226" t="str">
            <v>CIP</v>
          </cell>
          <cell r="D1226" t="str">
            <v>Y</v>
          </cell>
          <cell r="E1226" t="str">
            <v>A</v>
          </cell>
          <cell r="F1226" t="str">
            <v>10/06/1997</v>
          </cell>
        </row>
        <row r="1227">
          <cell r="B1227" t="str">
            <v>A0081</v>
          </cell>
          <cell r="C1227" t="str">
            <v>UEC</v>
          </cell>
          <cell r="D1227" t="str">
            <v>Y</v>
          </cell>
          <cell r="E1227" t="str">
            <v>A</v>
          </cell>
          <cell r="F1227" t="str">
            <v>10/06/1997</v>
          </cell>
        </row>
        <row r="1228">
          <cell r="B1228" t="str">
            <v>A0083</v>
          </cell>
          <cell r="C1228" t="str">
            <v>017C</v>
          </cell>
          <cell r="D1228" t="str">
            <v>Y</v>
          </cell>
          <cell r="E1228" t="str">
            <v>A</v>
          </cell>
          <cell r="F1228" t="str">
            <v>10/06/1997</v>
          </cell>
        </row>
        <row r="1229">
          <cell r="B1229" t="str">
            <v>A0084</v>
          </cell>
          <cell r="C1229"/>
          <cell r="D1229" t="str">
            <v>N</v>
          </cell>
          <cell r="E1229" t="str">
            <v>A</v>
          </cell>
          <cell r="F1229" t="str">
            <v>12/19/1997</v>
          </cell>
        </row>
        <row r="1230">
          <cell r="B1230" t="str">
            <v>A0101</v>
          </cell>
          <cell r="C1230" t="str">
            <v>CIP</v>
          </cell>
          <cell r="D1230" t="str">
            <v>Y</v>
          </cell>
          <cell r="E1230" t="str">
            <v>A</v>
          </cell>
          <cell r="F1230" t="str">
            <v>11/19/1997</v>
          </cell>
        </row>
        <row r="1231">
          <cell r="B1231" t="str">
            <v>A0102</v>
          </cell>
          <cell r="C1231" t="str">
            <v>UEC</v>
          </cell>
          <cell r="D1231" t="str">
            <v>Y</v>
          </cell>
          <cell r="E1231" t="str">
            <v>A</v>
          </cell>
          <cell r="F1231" t="str">
            <v>10/29/1998</v>
          </cell>
        </row>
        <row r="1232">
          <cell r="B1232" t="str">
            <v>A0103</v>
          </cell>
          <cell r="C1232" t="str">
            <v>002L</v>
          </cell>
          <cell r="D1232" t="str">
            <v>Y</v>
          </cell>
          <cell r="E1232" t="str">
            <v>A</v>
          </cell>
          <cell r="F1232" t="str">
            <v>09/21/1998</v>
          </cell>
        </row>
        <row r="1233">
          <cell r="B1233" t="str">
            <v>A0104</v>
          </cell>
          <cell r="C1233" t="str">
            <v>UEC</v>
          </cell>
          <cell r="D1233" t="str">
            <v>Y</v>
          </cell>
          <cell r="E1233" t="str">
            <v>A</v>
          </cell>
          <cell r="F1233" t="str">
            <v>11/19/1997</v>
          </cell>
        </row>
        <row r="1234">
          <cell r="B1234" t="str">
            <v>A0105</v>
          </cell>
          <cell r="C1234" t="str">
            <v>011B</v>
          </cell>
          <cell r="D1234" t="str">
            <v>Y</v>
          </cell>
          <cell r="E1234" t="str">
            <v>A</v>
          </cell>
          <cell r="F1234" t="str">
            <v>10/13/1997</v>
          </cell>
        </row>
        <row r="1235">
          <cell r="B1235" t="str">
            <v>A0106</v>
          </cell>
          <cell r="C1235" t="str">
            <v>CIP</v>
          </cell>
          <cell r="D1235" t="str">
            <v>Y</v>
          </cell>
          <cell r="E1235" t="str">
            <v>A</v>
          </cell>
          <cell r="F1235" t="str">
            <v>10/13/1997</v>
          </cell>
        </row>
        <row r="1236">
          <cell r="B1236" t="str">
            <v>A0108</v>
          </cell>
          <cell r="C1236" t="str">
            <v>AME</v>
          </cell>
          <cell r="D1236" t="str">
            <v>Y</v>
          </cell>
          <cell r="E1236" t="str">
            <v>A</v>
          </cell>
          <cell r="F1236" t="str">
            <v>09/22/1998</v>
          </cell>
        </row>
        <row r="1237">
          <cell r="B1237" t="str">
            <v>A0109</v>
          </cell>
          <cell r="C1237" t="str">
            <v>GEN</v>
          </cell>
          <cell r="D1237" t="str">
            <v>Y</v>
          </cell>
          <cell r="E1237" t="str">
            <v>A</v>
          </cell>
          <cell r="F1237" t="str">
            <v>01/02/1998</v>
          </cell>
        </row>
        <row r="1238">
          <cell r="B1238" t="str">
            <v>A0110</v>
          </cell>
          <cell r="C1238" t="str">
            <v>012D</v>
          </cell>
          <cell r="D1238" t="str">
            <v>Y</v>
          </cell>
          <cell r="E1238" t="str">
            <v>A</v>
          </cell>
          <cell r="F1238" t="str">
            <v>11/19/1997</v>
          </cell>
        </row>
        <row r="1239">
          <cell r="B1239" t="str">
            <v>A0111</v>
          </cell>
          <cell r="C1239" t="str">
            <v>UEC</v>
          </cell>
          <cell r="D1239" t="str">
            <v>Y</v>
          </cell>
          <cell r="E1239" t="str">
            <v>A</v>
          </cell>
          <cell r="F1239" t="str">
            <v>11/19/1997</v>
          </cell>
        </row>
        <row r="1240">
          <cell r="B1240" t="str">
            <v>A0112</v>
          </cell>
          <cell r="C1240" t="str">
            <v>UEC</v>
          </cell>
          <cell r="D1240" t="str">
            <v>Y</v>
          </cell>
          <cell r="E1240" t="str">
            <v>A</v>
          </cell>
          <cell r="F1240" t="str">
            <v>09/24/1998</v>
          </cell>
        </row>
        <row r="1241">
          <cell r="B1241" t="str">
            <v>A0113</v>
          </cell>
          <cell r="C1241" t="str">
            <v>UEC</v>
          </cell>
          <cell r="D1241" t="str">
            <v>Y</v>
          </cell>
          <cell r="E1241" t="str">
            <v>A</v>
          </cell>
          <cell r="F1241" t="str">
            <v>09/24/1998</v>
          </cell>
        </row>
        <row r="1242">
          <cell r="B1242" t="str">
            <v>A0114</v>
          </cell>
          <cell r="C1242" t="str">
            <v>UEC</v>
          </cell>
          <cell r="D1242" t="str">
            <v>Y</v>
          </cell>
          <cell r="E1242" t="str">
            <v>A</v>
          </cell>
          <cell r="F1242" t="str">
            <v>11/19/1997</v>
          </cell>
        </row>
        <row r="1243">
          <cell r="B1243" t="str">
            <v>A0115</v>
          </cell>
          <cell r="C1243" t="str">
            <v>UEC</v>
          </cell>
          <cell r="D1243" t="str">
            <v>Y</v>
          </cell>
          <cell r="E1243" t="str">
            <v>A</v>
          </cell>
          <cell r="F1243" t="str">
            <v>02/23/1998</v>
          </cell>
        </row>
        <row r="1244">
          <cell r="B1244" t="str">
            <v>A0116</v>
          </cell>
          <cell r="C1244" t="str">
            <v>GEN</v>
          </cell>
          <cell r="D1244" t="str">
            <v>Y</v>
          </cell>
          <cell r="E1244" t="str">
            <v>A</v>
          </cell>
          <cell r="F1244" t="str">
            <v>11/19/1997</v>
          </cell>
        </row>
        <row r="1245">
          <cell r="B1245" t="str">
            <v>A0117</v>
          </cell>
          <cell r="C1245" t="str">
            <v>CIP</v>
          </cell>
          <cell r="D1245" t="str">
            <v>Y</v>
          </cell>
          <cell r="E1245" t="str">
            <v>A</v>
          </cell>
          <cell r="F1245" t="str">
            <v>11/19/1997</v>
          </cell>
        </row>
        <row r="1246">
          <cell r="B1246" t="str">
            <v>A0118</v>
          </cell>
          <cell r="C1246" t="str">
            <v>UEC</v>
          </cell>
          <cell r="D1246" t="str">
            <v>Y</v>
          </cell>
          <cell r="E1246" t="str">
            <v>A</v>
          </cell>
          <cell r="F1246" t="str">
            <v>11/19/1997</v>
          </cell>
        </row>
        <row r="1247">
          <cell r="B1247" t="str">
            <v>A0119</v>
          </cell>
          <cell r="C1247" t="str">
            <v>CIP</v>
          </cell>
          <cell r="D1247" t="str">
            <v>Y</v>
          </cell>
          <cell r="E1247" t="str">
            <v>A</v>
          </cell>
          <cell r="F1247" t="str">
            <v>11/19/1997</v>
          </cell>
        </row>
        <row r="1248">
          <cell r="B1248" t="str">
            <v>A0120</v>
          </cell>
          <cell r="C1248" t="str">
            <v>002K</v>
          </cell>
          <cell r="D1248" t="str">
            <v>Y</v>
          </cell>
          <cell r="E1248" t="str">
            <v>A</v>
          </cell>
          <cell r="F1248" t="str">
            <v>11/19/1997</v>
          </cell>
        </row>
        <row r="1249">
          <cell r="B1249" t="str">
            <v>A0121</v>
          </cell>
          <cell r="C1249" t="str">
            <v>002A</v>
          </cell>
          <cell r="D1249" t="str">
            <v>Y</v>
          </cell>
          <cell r="E1249" t="str">
            <v>A</v>
          </cell>
          <cell r="F1249" t="str">
            <v>11/19/1997</v>
          </cell>
        </row>
        <row r="1250">
          <cell r="B1250" t="str">
            <v>A0122</v>
          </cell>
          <cell r="C1250" t="str">
            <v>UEC</v>
          </cell>
          <cell r="D1250" t="str">
            <v>Y</v>
          </cell>
          <cell r="E1250" t="str">
            <v>A</v>
          </cell>
          <cell r="F1250" t="str">
            <v>11/19/1997</v>
          </cell>
        </row>
        <row r="1251">
          <cell r="B1251" t="str">
            <v>A0124</v>
          </cell>
          <cell r="C1251" t="str">
            <v>UEC</v>
          </cell>
          <cell r="D1251" t="str">
            <v>Y</v>
          </cell>
          <cell r="E1251" t="str">
            <v>A</v>
          </cell>
          <cell r="F1251" t="str">
            <v>03/02/1998</v>
          </cell>
        </row>
        <row r="1252">
          <cell r="B1252" t="str">
            <v>A0125</v>
          </cell>
          <cell r="C1252"/>
          <cell r="D1252" t="str">
            <v>Y</v>
          </cell>
          <cell r="E1252" t="str">
            <v>A</v>
          </cell>
          <cell r="F1252" t="str">
            <v>10/13/1997</v>
          </cell>
        </row>
        <row r="1253">
          <cell r="B1253" t="str">
            <v>A0126</v>
          </cell>
          <cell r="C1253" t="str">
            <v>UEC</v>
          </cell>
          <cell r="D1253" t="str">
            <v>Y</v>
          </cell>
          <cell r="E1253" t="str">
            <v>A</v>
          </cell>
          <cell r="F1253" t="str">
            <v>10/13/1997</v>
          </cell>
        </row>
        <row r="1254">
          <cell r="B1254" t="str">
            <v>A0127</v>
          </cell>
          <cell r="C1254" t="str">
            <v>018A</v>
          </cell>
          <cell r="D1254" t="str">
            <v>Y</v>
          </cell>
          <cell r="E1254" t="str">
            <v>A</v>
          </cell>
          <cell r="F1254" t="str">
            <v>10/13/1997</v>
          </cell>
        </row>
        <row r="1255">
          <cell r="B1255" t="str">
            <v>A0128</v>
          </cell>
          <cell r="C1255" t="str">
            <v>001A</v>
          </cell>
          <cell r="D1255" t="str">
            <v>Y</v>
          </cell>
          <cell r="E1255" t="str">
            <v>A</v>
          </cell>
          <cell r="F1255" t="str">
            <v>11/19/1997</v>
          </cell>
        </row>
        <row r="1256">
          <cell r="B1256" t="str">
            <v>A0129</v>
          </cell>
          <cell r="C1256" t="str">
            <v>UEC</v>
          </cell>
          <cell r="D1256" t="str">
            <v>Y</v>
          </cell>
          <cell r="E1256" t="str">
            <v>A</v>
          </cell>
          <cell r="F1256" t="str">
            <v>03/02/1998</v>
          </cell>
        </row>
        <row r="1257">
          <cell r="B1257" t="str">
            <v>A0130</v>
          </cell>
          <cell r="C1257" t="str">
            <v>UEC</v>
          </cell>
          <cell r="D1257" t="str">
            <v>Y</v>
          </cell>
          <cell r="E1257" t="str">
            <v>A</v>
          </cell>
          <cell r="F1257" t="str">
            <v>11/19/1997</v>
          </cell>
        </row>
        <row r="1258">
          <cell r="B1258" t="str">
            <v>A0131</v>
          </cell>
          <cell r="C1258" t="str">
            <v>UEC</v>
          </cell>
          <cell r="D1258" t="str">
            <v>Y</v>
          </cell>
          <cell r="E1258" t="str">
            <v>A</v>
          </cell>
          <cell r="F1258" t="str">
            <v>11/22/1997</v>
          </cell>
        </row>
        <row r="1259">
          <cell r="B1259" t="str">
            <v>A0132</v>
          </cell>
          <cell r="C1259" t="str">
            <v>001A</v>
          </cell>
          <cell r="D1259" t="str">
            <v>Y</v>
          </cell>
          <cell r="E1259" t="str">
            <v>A</v>
          </cell>
          <cell r="F1259" t="str">
            <v>10/14/1997</v>
          </cell>
        </row>
        <row r="1260">
          <cell r="B1260" t="str">
            <v>A0133</v>
          </cell>
          <cell r="C1260" t="str">
            <v>CIP</v>
          </cell>
          <cell r="D1260" t="str">
            <v>Y</v>
          </cell>
          <cell r="E1260" t="str">
            <v>A</v>
          </cell>
          <cell r="F1260" t="str">
            <v>11/22/1997</v>
          </cell>
        </row>
        <row r="1261">
          <cell r="B1261" t="str">
            <v>A0134</v>
          </cell>
          <cell r="C1261" t="str">
            <v>003A</v>
          </cell>
          <cell r="D1261" t="str">
            <v>Y</v>
          </cell>
          <cell r="E1261" t="str">
            <v>A</v>
          </cell>
          <cell r="F1261" t="str">
            <v>11/22/1997</v>
          </cell>
        </row>
        <row r="1262">
          <cell r="B1262" t="str">
            <v>A0138</v>
          </cell>
          <cell r="C1262" t="str">
            <v>UEC</v>
          </cell>
          <cell r="D1262" t="str">
            <v>Y</v>
          </cell>
          <cell r="E1262" t="str">
            <v>A</v>
          </cell>
          <cell r="F1262" t="str">
            <v>11/22/1997</v>
          </cell>
        </row>
        <row r="1263">
          <cell r="B1263" t="str">
            <v>A0139</v>
          </cell>
          <cell r="C1263" t="str">
            <v>CIP</v>
          </cell>
          <cell r="D1263" t="str">
            <v>Y</v>
          </cell>
          <cell r="E1263" t="str">
            <v>A</v>
          </cell>
          <cell r="F1263" t="str">
            <v>11/22/1997</v>
          </cell>
        </row>
        <row r="1264">
          <cell r="B1264" t="str">
            <v>A0140</v>
          </cell>
          <cell r="C1264" t="str">
            <v>003A</v>
          </cell>
          <cell r="D1264" t="str">
            <v>Y</v>
          </cell>
          <cell r="E1264" t="str">
            <v>A</v>
          </cell>
          <cell r="F1264" t="str">
            <v>11/22/1997</v>
          </cell>
        </row>
        <row r="1265">
          <cell r="B1265" t="str">
            <v>A0141</v>
          </cell>
          <cell r="C1265" t="str">
            <v>AMC</v>
          </cell>
          <cell r="D1265" t="str">
            <v>Y</v>
          </cell>
          <cell r="E1265" t="str">
            <v>A</v>
          </cell>
          <cell r="F1265" t="str">
            <v>11/24/1997</v>
          </cell>
        </row>
        <row r="1266">
          <cell r="B1266" t="str">
            <v>A0142</v>
          </cell>
          <cell r="C1266"/>
          <cell r="D1266" t="str">
            <v>Y</v>
          </cell>
          <cell r="E1266" t="str">
            <v>A</v>
          </cell>
          <cell r="F1266" t="str">
            <v>11/24/1997</v>
          </cell>
        </row>
        <row r="1267">
          <cell r="B1267" t="str">
            <v>A0143</v>
          </cell>
          <cell r="C1267" t="str">
            <v>UEC</v>
          </cell>
          <cell r="D1267" t="str">
            <v>Y</v>
          </cell>
          <cell r="E1267" t="str">
            <v>A</v>
          </cell>
          <cell r="F1267" t="str">
            <v>11/25/1997</v>
          </cell>
        </row>
        <row r="1268">
          <cell r="B1268" t="str">
            <v>A0144</v>
          </cell>
          <cell r="C1268" t="str">
            <v>CIP</v>
          </cell>
          <cell r="D1268" t="str">
            <v>Y</v>
          </cell>
          <cell r="E1268" t="str">
            <v>A</v>
          </cell>
          <cell r="F1268" t="str">
            <v>03/02/1998</v>
          </cell>
        </row>
        <row r="1269">
          <cell r="B1269" t="str">
            <v>A0145</v>
          </cell>
          <cell r="C1269" t="str">
            <v>CIP</v>
          </cell>
          <cell r="D1269" t="str">
            <v>Y</v>
          </cell>
          <cell r="E1269" t="str">
            <v>A</v>
          </cell>
          <cell r="F1269" t="str">
            <v>11/25/1997</v>
          </cell>
        </row>
        <row r="1270">
          <cell r="B1270" t="str">
            <v>A0146</v>
          </cell>
          <cell r="C1270" t="str">
            <v>002L</v>
          </cell>
          <cell r="D1270" t="str">
            <v>Y</v>
          </cell>
          <cell r="E1270" t="str">
            <v>A</v>
          </cell>
          <cell r="F1270" t="str">
            <v>11/25/1997</v>
          </cell>
        </row>
        <row r="1271">
          <cell r="B1271" t="str">
            <v>A0149</v>
          </cell>
          <cell r="C1271"/>
          <cell r="D1271" t="str">
            <v>Y</v>
          </cell>
          <cell r="E1271" t="str">
            <v>A</v>
          </cell>
          <cell r="F1271" t="str">
            <v>11/25/1997</v>
          </cell>
        </row>
        <row r="1272">
          <cell r="B1272" t="str">
            <v>A0151</v>
          </cell>
          <cell r="C1272"/>
          <cell r="D1272" t="str">
            <v>N</v>
          </cell>
          <cell r="E1272" t="str">
            <v>A</v>
          </cell>
          <cell r="F1272" t="str">
            <v>10/14/1997</v>
          </cell>
        </row>
        <row r="1273">
          <cell r="B1273" t="str">
            <v>A0152</v>
          </cell>
          <cell r="C1273" t="str">
            <v>UEC</v>
          </cell>
          <cell r="D1273" t="str">
            <v>Y</v>
          </cell>
          <cell r="E1273" t="str">
            <v>A</v>
          </cell>
          <cell r="F1273" t="str">
            <v>10/14/1997</v>
          </cell>
        </row>
        <row r="1274">
          <cell r="B1274" t="str">
            <v>A0153</v>
          </cell>
          <cell r="C1274" t="str">
            <v>UEC</v>
          </cell>
          <cell r="D1274" t="str">
            <v>Y</v>
          </cell>
          <cell r="E1274" t="str">
            <v>A</v>
          </cell>
          <cell r="F1274" t="str">
            <v>10/14/1997</v>
          </cell>
        </row>
        <row r="1275">
          <cell r="B1275" t="str">
            <v>A0154</v>
          </cell>
          <cell r="C1275" t="str">
            <v>UEC</v>
          </cell>
          <cell r="D1275" t="str">
            <v>Y</v>
          </cell>
          <cell r="E1275" t="str">
            <v>A</v>
          </cell>
          <cell r="F1275" t="str">
            <v>10/14/1997</v>
          </cell>
        </row>
        <row r="1276">
          <cell r="B1276" t="str">
            <v>A0155</v>
          </cell>
          <cell r="C1276" t="str">
            <v>CIP</v>
          </cell>
          <cell r="D1276" t="str">
            <v>Y</v>
          </cell>
          <cell r="E1276" t="str">
            <v>A</v>
          </cell>
          <cell r="F1276" t="str">
            <v>10/14/1997</v>
          </cell>
        </row>
        <row r="1277">
          <cell r="B1277" t="str">
            <v>A0156</v>
          </cell>
          <cell r="C1277" t="str">
            <v>CIP</v>
          </cell>
          <cell r="D1277" t="str">
            <v>Y</v>
          </cell>
          <cell r="E1277" t="str">
            <v>A</v>
          </cell>
          <cell r="F1277" t="str">
            <v>10/14/1997</v>
          </cell>
        </row>
        <row r="1278">
          <cell r="B1278" t="str">
            <v>A0157</v>
          </cell>
          <cell r="C1278" t="str">
            <v>CIP</v>
          </cell>
          <cell r="D1278" t="str">
            <v>Y</v>
          </cell>
          <cell r="E1278" t="str">
            <v>A</v>
          </cell>
          <cell r="F1278" t="str">
            <v>10/14/1997</v>
          </cell>
        </row>
        <row r="1279">
          <cell r="B1279" t="str">
            <v>A0158</v>
          </cell>
          <cell r="C1279" t="str">
            <v>004A</v>
          </cell>
          <cell r="D1279" t="str">
            <v>Y</v>
          </cell>
          <cell r="E1279" t="str">
            <v>A</v>
          </cell>
          <cell r="F1279" t="str">
            <v>10/14/1997</v>
          </cell>
        </row>
        <row r="1280">
          <cell r="B1280" t="str">
            <v>A0160</v>
          </cell>
          <cell r="C1280" t="str">
            <v>UEC</v>
          </cell>
          <cell r="D1280" t="str">
            <v>Y</v>
          </cell>
          <cell r="E1280" t="str">
            <v>A</v>
          </cell>
          <cell r="F1280" t="str">
            <v>10/14/1997</v>
          </cell>
        </row>
        <row r="1281">
          <cell r="B1281" t="str">
            <v>A0161</v>
          </cell>
          <cell r="C1281" t="str">
            <v>004A</v>
          </cell>
          <cell r="D1281" t="str">
            <v>Y</v>
          </cell>
          <cell r="E1281" t="str">
            <v>A</v>
          </cell>
          <cell r="F1281" t="str">
            <v>10/14/1997</v>
          </cell>
        </row>
        <row r="1282">
          <cell r="B1282" t="str">
            <v>A0162</v>
          </cell>
          <cell r="C1282" t="str">
            <v>004B</v>
          </cell>
          <cell r="D1282" t="str">
            <v>Y</v>
          </cell>
          <cell r="E1282" t="str">
            <v>A</v>
          </cell>
          <cell r="F1282" t="str">
            <v>10/14/1997</v>
          </cell>
        </row>
        <row r="1283">
          <cell r="B1283" t="str">
            <v>A0163</v>
          </cell>
          <cell r="C1283"/>
          <cell r="D1283" t="str">
            <v>Y</v>
          </cell>
          <cell r="E1283" t="str">
            <v>A</v>
          </cell>
          <cell r="F1283" t="str">
            <v>10/14/1997</v>
          </cell>
        </row>
        <row r="1284">
          <cell r="B1284" t="str">
            <v>A0164</v>
          </cell>
          <cell r="C1284" t="str">
            <v>CIP</v>
          </cell>
          <cell r="D1284" t="str">
            <v>Y</v>
          </cell>
          <cell r="E1284" t="str">
            <v>A</v>
          </cell>
          <cell r="F1284" t="str">
            <v>10/14/1997</v>
          </cell>
        </row>
        <row r="1285">
          <cell r="B1285" t="str">
            <v>A0166</v>
          </cell>
          <cell r="C1285"/>
          <cell r="D1285" t="str">
            <v>Y</v>
          </cell>
          <cell r="E1285" t="str">
            <v>A</v>
          </cell>
          <cell r="F1285" t="str">
            <v>10/14/1997</v>
          </cell>
        </row>
        <row r="1286">
          <cell r="B1286" t="str">
            <v>A0168</v>
          </cell>
          <cell r="C1286" t="str">
            <v>010B</v>
          </cell>
          <cell r="D1286" t="str">
            <v>Y</v>
          </cell>
          <cell r="E1286" t="str">
            <v>A</v>
          </cell>
          <cell r="F1286" t="str">
            <v>10/14/1997</v>
          </cell>
        </row>
        <row r="1287">
          <cell r="B1287" t="str">
            <v>A0169</v>
          </cell>
          <cell r="C1287" t="str">
            <v>011A</v>
          </cell>
          <cell r="D1287" t="str">
            <v>Y</v>
          </cell>
          <cell r="E1287" t="str">
            <v>A</v>
          </cell>
          <cell r="F1287" t="str">
            <v>10/14/1997</v>
          </cell>
        </row>
        <row r="1288">
          <cell r="B1288" t="str">
            <v>A0171</v>
          </cell>
          <cell r="C1288" t="str">
            <v>UEC</v>
          </cell>
          <cell r="D1288" t="str">
            <v>Y</v>
          </cell>
          <cell r="E1288" t="str">
            <v>A</v>
          </cell>
          <cell r="F1288" t="str">
            <v>10/14/1997</v>
          </cell>
        </row>
        <row r="1289">
          <cell r="B1289" t="str">
            <v>A0175</v>
          </cell>
          <cell r="C1289" t="str">
            <v>002L</v>
          </cell>
          <cell r="D1289" t="str">
            <v>Y</v>
          </cell>
          <cell r="E1289" t="str">
            <v>A</v>
          </cell>
          <cell r="F1289" t="str">
            <v>11/25/1997</v>
          </cell>
        </row>
        <row r="1290">
          <cell r="B1290" t="str">
            <v>A0176</v>
          </cell>
          <cell r="C1290" t="str">
            <v>UEC</v>
          </cell>
          <cell r="D1290" t="str">
            <v>Y</v>
          </cell>
          <cell r="E1290" t="str">
            <v>A</v>
          </cell>
          <cell r="F1290" t="str">
            <v>10/14/1997</v>
          </cell>
        </row>
        <row r="1291">
          <cell r="B1291" t="str">
            <v>A0177</v>
          </cell>
          <cell r="C1291" t="str">
            <v>004A</v>
          </cell>
          <cell r="D1291" t="str">
            <v>N</v>
          </cell>
          <cell r="E1291" t="str">
            <v>A</v>
          </cell>
          <cell r="F1291" t="str">
            <v>10/14/1997</v>
          </cell>
        </row>
        <row r="1292">
          <cell r="B1292" t="str">
            <v>A0178</v>
          </cell>
          <cell r="C1292" t="str">
            <v>UEC</v>
          </cell>
          <cell r="D1292" t="str">
            <v>Y</v>
          </cell>
          <cell r="E1292" t="str">
            <v>A</v>
          </cell>
          <cell r="F1292" t="str">
            <v>10/14/1997</v>
          </cell>
        </row>
        <row r="1293">
          <cell r="B1293" t="str">
            <v>A0179</v>
          </cell>
          <cell r="C1293" t="str">
            <v>CIP</v>
          </cell>
          <cell r="D1293" t="str">
            <v>Y</v>
          </cell>
          <cell r="E1293" t="str">
            <v>A</v>
          </cell>
          <cell r="F1293" t="str">
            <v>10/14/1997</v>
          </cell>
        </row>
        <row r="1294">
          <cell r="B1294" t="str">
            <v>A0180</v>
          </cell>
          <cell r="C1294" t="str">
            <v>004F</v>
          </cell>
          <cell r="D1294" t="str">
            <v>Y</v>
          </cell>
          <cell r="E1294" t="str">
            <v>A</v>
          </cell>
          <cell r="F1294" t="str">
            <v>10/14/1997</v>
          </cell>
        </row>
        <row r="1295">
          <cell r="B1295" t="str">
            <v>A0181</v>
          </cell>
          <cell r="C1295" t="str">
            <v>CIP</v>
          </cell>
          <cell r="D1295" t="str">
            <v>N</v>
          </cell>
          <cell r="E1295" t="str">
            <v>A</v>
          </cell>
          <cell r="F1295" t="str">
            <v>10/14/1997</v>
          </cell>
        </row>
        <row r="1296">
          <cell r="B1296" t="str">
            <v>A0182</v>
          </cell>
          <cell r="C1296" t="str">
            <v>UEC</v>
          </cell>
          <cell r="D1296" t="str">
            <v>Y</v>
          </cell>
          <cell r="E1296" t="str">
            <v>A</v>
          </cell>
          <cell r="F1296" t="str">
            <v>10/14/1997</v>
          </cell>
        </row>
        <row r="1297">
          <cell r="B1297" t="str">
            <v>A0183</v>
          </cell>
          <cell r="C1297" t="str">
            <v>CIP</v>
          </cell>
          <cell r="D1297" t="str">
            <v>Y</v>
          </cell>
          <cell r="E1297" t="str">
            <v>A</v>
          </cell>
          <cell r="F1297" t="str">
            <v>10/14/1997</v>
          </cell>
        </row>
        <row r="1298">
          <cell r="B1298" t="str">
            <v>A0184</v>
          </cell>
          <cell r="C1298" t="str">
            <v>CIC</v>
          </cell>
          <cell r="D1298" t="str">
            <v>Y</v>
          </cell>
          <cell r="E1298" t="str">
            <v>A</v>
          </cell>
          <cell r="F1298" t="str">
            <v>10/14/1997</v>
          </cell>
        </row>
        <row r="1299">
          <cell r="B1299" t="str">
            <v>A0185</v>
          </cell>
          <cell r="C1299" t="str">
            <v>UEC</v>
          </cell>
          <cell r="D1299" t="str">
            <v>N</v>
          </cell>
          <cell r="E1299" t="str">
            <v>A</v>
          </cell>
          <cell r="F1299" t="str">
            <v>10/14/1997</v>
          </cell>
        </row>
        <row r="1300">
          <cell r="B1300" t="str">
            <v>A0189</v>
          </cell>
          <cell r="C1300" t="str">
            <v>003B</v>
          </cell>
          <cell r="D1300" t="str">
            <v>N</v>
          </cell>
          <cell r="E1300" t="str">
            <v>A</v>
          </cell>
          <cell r="F1300" t="str">
            <v>10/14/1997</v>
          </cell>
        </row>
        <row r="1301">
          <cell r="B1301" t="str">
            <v>A0192</v>
          </cell>
          <cell r="C1301"/>
          <cell r="D1301" t="str">
            <v>Y</v>
          </cell>
          <cell r="E1301" t="str">
            <v>A</v>
          </cell>
          <cell r="F1301" t="str">
            <v>10/14/1997</v>
          </cell>
        </row>
        <row r="1302">
          <cell r="B1302" t="str">
            <v>A0193</v>
          </cell>
          <cell r="C1302"/>
          <cell r="D1302" t="str">
            <v>N</v>
          </cell>
          <cell r="E1302" t="str">
            <v>A</v>
          </cell>
          <cell r="F1302" t="str">
            <v>10/14/1997</v>
          </cell>
        </row>
        <row r="1303">
          <cell r="B1303" t="str">
            <v>A0194</v>
          </cell>
          <cell r="C1303" t="str">
            <v>CIP</v>
          </cell>
          <cell r="D1303" t="str">
            <v>N</v>
          </cell>
          <cell r="E1303" t="str">
            <v>A</v>
          </cell>
          <cell r="F1303" t="str">
            <v>10/14/1997</v>
          </cell>
        </row>
        <row r="1304">
          <cell r="B1304" t="str">
            <v>A0195</v>
          </cell>
          <cell r="C1304" t="str">
            <v>UEC</v>
          </cell>
          <cell r="D1304" t="str">
            <v>N</v>
          </cell>
          <cell r="E1304" t="str">
            <v>A</v>
          </cell>
          <cell r="F1304" t="str">
            <v>10/14/1997</v>
          </cell>
        </row>
        <row r="1305">
          <cell r="B1305" t="str">
            <v>A0196</v>
          </cell>
          <cell r="C1305" t="str">
            <v>UEC</v>
          </cell>
          <cell r="D1305" t="str">
            <v>N</v>
          </cell>
          <cell r="E1305" t="str">
            <v>A</v>
          </cell>
          <cell r="F1305" t="str">
            <v>10/14/1997</v>
          </cell>
        </row>
        <row r="1306">
          <cell r="B1306" t="str">
            <v>A0197</v>
          </cell>
          <cell r="C1306" t="str">
            <v>CIP</v>
          </cell>
          <cell r="D1306" t="str">
            <v>N</v>
          </cell>
          <cell r="E1306" t="str">
            <v>A</v>
          </cell>
          <cell r="F1306" t="str">
            <v>10/14/1997</v>
          </cell>
        </row>
        <row r="1307">
          <cell r="B1307" t="str">
            <v>A0199</v>
          </cell>
          <cell r="C1307" t="str">
            <v>002L</v>
          </cell>
          <cell r="D1307" t="str">
            <v>Y</v>
          </cell>
          <cell r="E1307" t="str">
            <v>A</v>
          </cell>
          <cell r="F1307" t="str">
            <v>03/02/1998</v>
          </cell>
        </row>
        <row r="1308">
          <cell r="B1308" t="str">
            <v>A0200</v>
          </cell>
          <cell r="C1308" t="str">
            <v>UEC</v>
          </cell>
          <cell r="D1308" t="str">
            <v>Y</v>
          </cell>
          <cell r="E1308" t="str">
            <v>A</v>
          </cell>
          <cell r="F1308" t="str">
            <v>10/15/1997</v>
          </cell>
        </row>
        <row r="1309">
          <cell r="B1309" t="str">
            <v>A0201</v>
          </cell>
          <cell r="C1309" t="str">
            <v>UEC</v>
          </cell>
          <cell r="D1309" t="str">
            <v>Y</v>
          </cell>
          <cell r="E1309" t="str">
            <v>A</v>
          </cell>
          <cell r="F1309" t="str">
            <v>10/15/1997</v>
          </cell>
        </row>
        <row r="1310">
          <cell r="B1310" t="str">
            <v>A0202</v>
          </cell>
          <cell r="C1310" t="str">
            <v>CIP</v>
          </cell>
          <cell r="D1310" t="str">
            <v>Y</v>
          </cell>
          <cell r="E1310" t="str">
            <v>A</v>
          </cell>
          <cell r="F1310" t="str">
            <v>10/15/1997</v>
          </cell>
        </row>
        <row r="1311">
          <cell r="B1311" t="str">
            <v>A0203</v>
          </cell>
          <cell r="C1311" t="str">
            <v>008B</v>
          </cell>
          <cell r="D1311" t="str">
            <v>Y</v>
          </cell>
          <cell r="E1311" t="str">
            <v>A</v>
          </cell>
          <cell r="F1311" t="str">
            <v>10/15/1997</v>
          </cell>
        </row>
        <row r="1312">
          <cell r="B1312" t="str">
            <v>A0208</v>
          </cell>
          <cell r="C1312" t="str">
            <v>012A</v>
          </cell>
          <cell r="D1312" t="str">
            <v>Y</v>
          </cell>
          <cell r="E1312" t="str">
            <v>A</v>
          </cell>
          <cell r="F1312" t="str">
            <v>11/26/1997</v>
          </cell>
        </row>
        <row r="1313">
          <cell r="B1313" t="str">
            <v>A0209</v>
          </cell>
          <cell r="C1313" t="str">
            <v>UEC</v>
          </cell>
          <cell r="D1313" t="str">
            <v>Y</v>
          </cell>
          <cell r="E1313" t="str">
            <v>A</v>
          </cell>
          <cell r="F1313" t="str">
            <v>11/26/1997</v>
          </cell>
        </row>
        <row r="1314">
          <cell r="B1314" t="str">
            <v>A0210</v>
          </cell>
          <cell r="C1314" t="str">
            <v>CIP</v>
          </cell>
          <cell r="D1314" t="str">
            <v>Y</v>
          </cell>
          <cell r="E1314" t="str">
            <v>A</v>
          </cell>
          <cell r="F1314" t="str">
            <v>11/26/1997</v>
          </cell>
        </row>
        <row r="1315">
          <cell r="B1315" t="str">
            <v>A0211</v>
          </cell>
          <cell r="C1315" t="str">
            <v>UEC</v>
          </cell>
          <cell r="D1315" t="str">
            <v>Y</v>
          </cell>
          <cell r="E1315" t="str">
            <v>A</v>
          </cell>
          <cell r="F1315" t="str">
            <v>11/26/1997</v>
          </cell>
        </row>
        <row r="1316">
          <cell r="B1316" t="str">
            <v>A0212</v>
          </cell>
          <cell r="C1316" t="str">
            <v>UEC</v>
          </cell>
          <cell r="D1316" t="str">
            <v>Y</v>
          </cell>
          <cell r="E1316" t="str">
            <v>A</v>
          </cell>
          <cell r="F1316" t="str">
            <v>10/15/1997</v>
          </cell>
        </row>
        <row r="1317">
          <cell r="B1317" t="str">
            <v>A0213</v>
          </cell>
          <cell r="C1317" t="str">
            <v>CIP</v>
          </cell>
          <cell r="D1317" t="str">
            <v>Y</v>
          </cell>
          <cell r="E1317" t="str">
            <v>A</v>
          </cell>
          <cell r="F1317" t="str">
            <v>10/16/1997</v>
          </cell>
        </row>
        <row r="1318">
          <cell r="B1318" t="str">
            <v>A0214</v>
          </cell>
          <cell r="C1318" t="str">
            <v>CIP</v>
          </cell>
          <cell r="D1318" t="str">
            <v>Y</v>
          </cell>
          <cell r="E1318" t="str">
            <v>A</v>
          </cell>
          <cell r="F1318" t="str">
            <v>10/16/1997</v>
          </cell>
        </row>
        <row r="1319">
          <cell r="B1319" t="str">
            <v>A0215</v>
          </cell>
          <cell r="C1319"/>
          <cell r="D1319" t="str">
            <v>Y</v>
          </cell>
          <cell r="E1319" t="str">
            <v>A</v>
          </cell>
          <cell r="F1319" t="str">
            <v>03/06/1998</v>
          </cell>
        </row>
        <row r="1320">
          <cell r="B1320" t="str">
            <v>A0217</v>
          </cell>
          <cell r="C1320" t="str">
            <v>UEC</v>
          </cell>
          <cell r="D1320" t="str">
            <v>Y</v>
          </cell>
          <cell r="E1320" t="str">
            <v>A</v>
          </cell>
          <cell r="F1320" t="str">
            <v>11/26/1997</v>
          </cell>
        </row>
        <row r="1321">
          <cell r="B1321" t="str">
            <v>A0218</v>
          </cell>
          <cell r="C1321" t="str">
            <v>CIC</v>
          </cell>
          <cell r="D1321" t="str">
            <v>Y</v>
          </cell>
          <cell r="E1321" t="str">
            <v>A</v>
          </cell>
          <cell r="F1321" t="str">
            <v>11/26/1997</v>
          </cell>
        </row>
        <row r="1322">
          <cell r="B1322" t="str">
            <v>A0219</v>
          </cell>
          <cell r="C1322" t="str">
            <v>UDC</v>
          </cell>
          <cell r="D1322" t="str">
            <v>Y</v>
          </cell>
          <cell r="E1322" t="str">
            <v>A</v>
          </cell>
          <cell r="F1322" t="str">
            <v>11/26/1997</v>
          </cell>
        </row>
        <row r="1323">
          <cell r="B1323" t="str">
            <v>A0220</v>
          </cell>
          <cell r="C1323" t="str">
            <v>UEC</v>
          </cell>
          <cell r="D1323" t="str">
            <v>Y</v>
          </cell>
          <cell r="E1323" t="str">
            <v>A</v>
          </cell>
          <cell r="F1323" t="str">
            <v>11/26/1997</v>
          </cell>
        </row>
        <row r="1324">
          <cell r="B1324" t="str">
            <v>A0222</v>
          </cell>
          <cell r="C1324" t="str">
            <v>017A</v>
          </cell>
          <cell r="D1324" t="str">
            <v>Y</v>
          </cell>
          <cell r="E1324" t="str">
            <v>A</v>
          </cell>
          <cell r="F1324" t="str">
            <v>10/17/1997</v>
          </cell>
        </row>
        <row r="1325">
          <cell r="B1325" t="str">
            <v>A0223</v>
          </cell>
          <cell r="C1325" t="str">
            <v>002L</v>
          </cell>
          <cell r="D1325" t="str">
            <v>Y</v>
          </cell>
          <cell r="E1325" t="str">
            <v>A</v>
          </cell>
          <cell r="F1325" t="str">
            <v>10/17/1997</v>
          </cell>
        </row>
        <row r="1326">
          <cell r="B1326" t="str">
            <v>A0224</v>
          </cell>
          <cell r="C1326" t="str">
            <v>004A</v>
          </cell>
          <cell r="D1326" t="str">
            <v>Y</v>
          </cell>
          <cell r="E1326" t="str">
            <v>A</v>
          </cell>
          <cell r="F1326" t="str">
            <v>10/17/1997</v>
          </cell>
        </row>
        <row r="1327">
          <cell r="B1327" t="str">
            <v>A0228</v>
          </cell>
          <cell r="C1327" t="str">
            <v>011A</v>
          </cell>
          <cell r="D1327" t="str">
            <v>Y</v>
          </cell>
          <cell r="E1327" t="str">
            <v>A</v>
          </cell>
          <cell r="F1327" t="str">
            <v>10/17/1997</v>
          </cell>
        </row>
        <row r="1328">
          <cell r="B1328" t="str">
            <v>A0230</v>
          </cell>
          <cell r="C1328" t="str">
            <v>UEC</v>
          </cell>
          <cell r="D1328" t="str">
            <v>Y</v>
          </cell>
          <cell r="E1328" t="str">
            <v>A</v>
          </cell>
          <cell r="F1328" t="str">
            <v>10/17/1997</v>
          </cell>
        </row>
        <row r="1329">
          <cell r="B1329" t="str">
            <v>A0231</v>
          </cell>
          <cell r="C1329" t="str">
            <v>CIP</v>
          </cell>
          <cell r="D1329" t="str">
            <v>Y</v>
          </cell>
          <cell r="E1329" t="str">
            <v>A</v>
          </cell>
          <cell r="F1329" t="str">
            <v>10/17/1997</v>
          </cell>
        </row>
        <row r="1330">
          <cell r="B1330" t="str">
            <v>A0233</v>
          </cell>
          <cell r="C1330"/>
          <cell r="D1330" t="str">
            <v>Y</v>
          </cell>
          <cell r="E1330" t="str">
            <v>A</v>
          </cell>
          <cell r="F1330" t="str">
            <v>10/17/1997</v>
          </cell>
        </row>
        <row r="1331">
          <cell r="B1331" t="str">
            <v>A0234</v>
          </cell>
          <cell r="C1331" t="str">
            <v>001A</v>
          </cell>
          <cell r="D1331" t="str">
            <v>Y</v>
          </cell>
          <cell r="E1331" t="str">
            <v>A</v>
          </cell>
          <cell r="F1331" t="str">
            <v>10/17/1997</v>
          </cell>
        </row>
        <row r="1332">
          <cell r="B1332" t="str">
            <v>A0235</v>
          </cell>
          <cell r="C1332" t="str">
            <v>004A</v>
          </cell>
          <cell r="D1332" t="str">
            <v>Y</v>
          </cell>
          <cell r="E1332" t="str">
            <v>A</v>
          </cell>
          <cell r="F1332" t="str">
            <v>10/17/1997</v>
          </cell>
        </row>
        <row r="1333">
          <cell r="B1333" t="str">
            <v>A0236</v>
          </cell>
          <cell r="C1333" t="str">
            <v>CIP</v>
          </cell>
          <cell r="D1333" t="str">
            <v>Y</v>
          </cell>
          <cell r="E1333" t="str">
            <v>A</v>
          </cell>
          <cell r="F1333" t="str">
            <v>09/24/1998</v>
          </cell>
        </row>
        <row r="1334">
          <cell r="B1334" t="str">
            <v>A0237</v>
          </cell>
          <cell r="C1334"/>
          <cell r="D1334" t="str">
            <v>Y</v>
          </cell>
          <cell r="E1334" t="str">
            <v>A</v>
          </cell>
          <cell r="F1334" t="str">
            <v>10/17/1997</v>
          </cell>
        </row>
        <row r="1335">
          <cell r="B1335" t="str">
            <v>A0238</v>
          </cell>
          <cell r="C1335" t="str">
            <v>UEC</v>
          </cell>
          <cell r="D1335" t="str">
            <v>N</v>
          </cell>
          <cell r="E1335" t="str">
            <v>A</v>
          </cell>
          <cell r="F1335" t="str">
            <v>10/20/1997</v>
          </cell>
        </row>
        <row r="1336">
          <cell r="B1336" t="str">
            <v>A0239</v>
          </cell>
          <cell r="C1336" t="str">
            <v>CIP</v>
          </cell>
          <cell r="D1336" t="str">
            <v>N</v>
          </cell>
          <cell r="E1336" t="str">
            <v>A</v>
          </cell>
          <cell r="F1336" t="str">
            <v>10/20/1997</v>
          </cell>
        </row>
        <row r="1337">
          <cell r="B1337" t="str">
            <v>A0240</v>
          </cell>
          <cell r="C1337" t="str">
            <v>UEC</v>
          </cell>
          <cell r="D1337" t="str">
            <v>Y</v>
          </cell>
          <cell r="E1337" t="str">
            <v>A</v>
          </cell>
          <cell r="F1337" t="str">
            <v>03/25/1998</v>
          </cell>
        </row>
        <row r="1338">
          <cell r="B1338" t="str">
            <v>A0241</v>
          </cell>
          <cell r="C1338" t="str">
            <v>002L</v>
          </cell>
          <cell r="D1338" t="str">
            <v>N</v>
          </cell>
          <cell r="E1338" t="str">
            <v>A</v>
          </cell>
          <cell r="F1338" t="str">
            <v>10/20/1997</v>
          </cell>
        </row>
        <row r="1339">
          <cell r="B1339" t="str">
            <v>A0242</v>
          </cell>
          <cell r="C1339" t="str">
            <v>UEC</v>
          </cell>
          <cell r="D1339" t="str">
            <v>Y</v>
          </cell>
          <cell r="E1339" t="str">
            <v>A</v>
          </cell>
          <cell r="F1339" t="str">
            <v>03/25/1998</v>
          </cell>
        </row>
        <row r="1340">
          <cell r="B1340" t="str">
            <v>A0243</v>
          </cell>
          <cell r="C1340"/>
          <cell r="D1340" t="str">
            <v>Y</v>
          </cell>
          <cell r="E1340" t="str">
            <v>A</v>
          </cell>
          <cell r="F1340" t="str">
            <v>10/20/1997</v>
          </cell>
        </row>
        <row r="1341">
          <cell r="B1341" t="str">
            <v>A0245</v>
          </cell>
          <cell r="C1341" t="str">
            <v>CIP</v>
          </cell>
          <cell r="D1341" t="str">
            <v>Y</v>
          </cell>
          <cell r="E1341" t="str">
            <v>A</v>
          </cell>
          <cell r="F1341" t="str">
            <v>10/21/1997</v>
          </cell>
        </row>
        <row r="1342">
          <cell r="B1342" t="str">
            <v>A0246</v>
          </cell>
          <cell r="C1342" t="str">
            <v>CIP</v>
          </cell>
          <cell r="D1342" t="str">
            <v>Y</v>
          </cell>
          <cell r="E1342" t="str">
            <v>A</v>
          </cell>
          <cell r="F1342" t="str">
            <v>03/25/1998</v>
          </cell>
        </row>
        <row r="1343">
          <cell r="B1343" t="str">
            <v>A0247</v>
          </cell>
          <cell r="C1343" t="str">
            <v>004F</v>
          </cell>
          <cell r="D1343" t="str">
            <v>Y</v>
          </cell>
          <cell r="E1343" t="str">
            <v>A</v>
          </cell>
          <cell r="F1343" t="str">
            <v>10/21/1997</v>
          </cell>
        </row>
        <row r="1344">
          <cell r="B1344" t="str">
            <v>A0248</v>
          </cell>
          <cell r="C1344" t="str">
            <v>002K</v>
          </cell>
          <cell r="D1344" t="str">
            <v>Y</v>
          </cell>
          <cell r="E1344" t="str">
            <v>A</v>
          </cell>
          <cell r="F1344" t="str">
            <v>09/24/1998</v>
          </cell>
        </row>
        <row r="1345">
          <cell r="B1345" t="str">
            <v>A0249</v>
          </cell>
          <cell r="C1345" t="str">
            <v>002L</v>
          </cell>
          <cell r="D1345" t="str">
            <v>Y</v>
          </cell>
          <cell r="E1345" t="str">
            <v>A</v>
          </cell>
          <cell r="F1345" t="str">
            <v>09/24/1998</v>
          </cell>
        </row>
        <row r="1346">
          <cell r="B1346" t="str">
            <v>A0250</v>
          </cell>
          <cell r="C1346" t="str">
            <v>001A</v>
          </cell>
          <cell r="D1346" t="str">
            <v>Y</v>
          </cell>
          <cell r="E1346" t="str">
            <v>A</v>
          </cell>
          <cell r="F1346" t="str">
            <v>12/01/1997</v>
          </cell>
        </row>
        <row r="1347">
          <cell r="B1347" t="str">
            <v>A0251</v>
          </cell>
          <cell r="C1347" t="str">
            <v>CIP</v>
          </cell>
          <cell r="D1347" t="str">
            <v>Y</v>
          </cell>
          <cell r="E1347" t="str">
            <v>A</v>
          </cell>
          <cell r="F1347" t="str">
            <v>12/01/1997</v>
          </cell>
        </row>
        <row r="1348">
          <cell r="B1348" t="str">
            <v>A0252</v>
          </cell>
          <cell r="C1348" t="str">
            <v>004C</v>
          </cell>
          <cell r="D1348" t="str">
            <v>Y</v>
          </cell>
          <cell r="E1348" t="str">
            <v>A</v>
          </cell>
          <cell r="F1348" t="str">
            <v>12/02/1997</v>
          </cell>
        </row>
        <row r="1349">
          <cell r="B1349" t="str">
            <v>A0253</v>
          </cell>
          <cell r="C1349" t="str">
            <v>004A</v>
          </cell>
          <cell r="D1349" t="str">
            <v>Y</v>
          </cell>
          <cell r="E1349" t="str">
            <v>A</v>
          </cell>
          <cell r="F1349" t="str">
            <v>10/23/1997</v>
          </cell>
        </row>
        <row r="1350">
          <cell r="B1350" t="str">
            <v>A0254</v>
          </cell>
          <cell r="C1350"/>
          <cell r="D1350" t="str">
            <v>Y</v>
          </cell>
          <cell r="E1350" t="str">
            <v>A</v>
          </cell>
          <cell r="F1350" t="str">
            <v>10/23/1997</v>
          </cell>
        </row>
        <row r="1351">
          <cell r="B1351" t="str">
            <v>A0255</v>
          </cell>
          <cell r="C1351"/>
          <cell r="D1351" t="str">
            <v>Y</v>
          </cell>
          <cell r="E1351" t="str">
            <v>A</v>
          </cell>
          <cell r="F1351" t="str">
            <v>10/24/1997</v>
          </cell>
        </row>
        <row r="1352">
          <cell r="B1352" t="str">
            <v>A0256</v>
          </cell>
          <cell r="C1352" t="str">
            <v>004A</v>
          </cell>
          <cell r="D1352" t="str">
            <v>N</v>
          </cell>
          <cell r="E1352" t="str">
            <v>A</v>
          </cell>
          <cell r="F1352" t="str">
            <v>10/24/1997</v>
          </cell>
        </row>
        <row r="1353">
          <cell r="B1353" t="str">
            <v>A0259</v>
          </cell>
          <cell r="C1353"/>
          <cell r="D1353" t="str">
            <v>Y</v>
          </cell>
          <cell r="E1353" t="str">
            <v>A</v>
          </cell>
          <cell r="F1353" t="str">
            <v>10/24/1997</v>
          </cell>
        </row>
        <row r="1354">
          <cell r="B1354" t="str">
            <v>A0262</v>
          </cell>
          <cell r="C1354" t="str">
            <v>007A</v>
          </cell>
          <cell r="D1354" t="str">
            <v>Y</v>
          </cell>
          <cell r="E1354" t="str">
            <v>A</v>
          </cell>
          <cell r="F1354" t="str">
            <v>12/02/1997</v>
          </cell>
        </row>
        <row r="1355">
          <cell r="B1355" t="str">
            <v>A0266</v>
          </cell>
          <cell r="C1355" t="str">
            <v>UEC</v>
          </cell>
          <cell r="D1355" t="str">
            <v>Y</v>
          </cell>
          <cell r="E1355" t="str">
            <v>A</v>
          </cell>
          <cell r="F1355" t="str">
            <v>10/24/1997</v>
          </cell>
        </row>
        <row r="1356">
          <cell r="B1356" t="str">
            <v>A0273</v>
          </cell>
          <cell r="C1356" t="str">
            <v>UEC</v>
          </cell>
          <cell r="D1356" t="str">
            <v>Y</v>
          </cell>
          <cell r="E1356" t="str">
            <v>A</v>
          </cell>
          <cell r="F1356" t="str">
            <v>10/24/1997</v>
          </cell>
        </row>
        <row r="1357">
          <cell r="B1357" t="str">
            <v>A0274</v>
          </cell>
          <cell r="C1357" t="str">
            <v>CIP</v>
          </cell>
          <cell r="D1357" t="str">
            <v>Y</v>
          </cell>
          <cell r="E1357" t="str">
            <v>A</v>
          </cell>
          <cell r="F1357" t="str">
            <v>10/24/1997</v>
          </cell>
        </row>
        <row r="1358">
          <cell r="B1358" t="str">
            <v>A0275</v>
          </cell>
          <cell r="C1358" t="str">
            <v>AMC</v>
          </cell>
          <cell r="D1358" t="str">
            <v>Y</v>
          </cell>
          <cell r="E1358" t="str">
            <v>A</v>
          </cell>
          <cell r="F1358" t="str">
            <v>10/24/1997</v>
          </cell>
        </row>
        <row r="1359">
          <cell r="B1359" t="str">
            <v>A0276</v>
          </cell>
          <cell r="C1359" t="str">
            <v>CIC</v>
          </cell>
          <cell r="D1359" t="str">
            <v>Y</v>
          </cell>
          <cell r="E1359" t="str">
            <v>A</v>
          </cell>
          <cell r="F1359" t="str">
            <v>10/24/1997</v>
          </cell>
        </row>
        <row r="1360">
          <cell r="B1360" t="str">
            <v>A0277</v>
          </cell>
          <cell r="C1360" t="str">
            <v>UDC</v>
          </cell>
          <cell r="D1360" t="str">
            <v>Y</v>
          </cell>
          <cell r="E1360" t="str">
            <v>A</v>
          </cell>
          <cell r="F1360" t="str">
            <v>10/24/1997</v>
          </cell>
        </row>
        <row r="1361">
          <cell r="B1361" t="str">
            <v>A0278</v>
          </cell>
          <cell r="C1361" t="str">
            <v>UDC</v>
          </cell>
          <cell r="D1361" t="str">
            <v>Y</v>
          </cell>
          <cell r="E1361" t="str">
            <v>A</v>
          </cell>
          <cell r="F1361" t="str">
            <v>10/24/1997</v>
          </cell>
        </row>
        <row r="1362">
          <cell r="B1362" t="str">
            <v>A0279</v>
          </cell>
          <cell r="C1362" t="str">
            <v>UEC</v>
          </cell>
          <cell r="D1362" t="str">
            <v>N</v>
          </cell>
          <cell r="E1362" t="str">
            <v>A</v>
          </cell>
          <cell r="F1362" t="str">
            <v>10/25/1997</v>
          </cell>
        </row>
        <row r="1363">
          <cell r="B1363" t="str">
            <v>A0280</v>
          </cell>
          <cell r="C1363" t="str">
            <v>CIP</v>
          </cell>
          <cell r="D1363" t="str">
            <v>N</v>
          </cell>
          <cell r="E1363" t="str">
            <v>A</v>
          </cell>
          <cell r="F1363" t="str">
            <v>10/25/1997</v>
          </cell>
        </row>
        <row r="1364">
          <cell r="B1364" t="str">
            <v>A0281</v>
          </cell>
          <cell r="C1364" t="str">
            <v>UEC</v>
          </cell>
          <cell r="D1364" t="str">
            <v>N</v>
          </cell>
          <cell r="E1364" t="str">
            <v>A</v>
          </cell>
          <cell r="F1364" t="str">
            <v>10/25/1997</v>
          </cell>
        </row>
        <row r="1365">
          <cell r="B1365" t="str">
            <v>A0282</v>
          </cell>
          <cell r="C1365" t="str">
            <v>CIP</v>
          </cell>
          <cell r="D1365" t="str">
            <v>N</v>
          </cell>
          <cell r="E1365" t="str">
            <v>A</v>
          </cell>
          <cell r="F1365" t="str">
            <v>10/25/1997</v>
          </cell>
        </row>
        <row r="1366">
          <cell r="B1366" t="str">
            <v>A0283</v>
          </cell>
          <cell r="C1366" t="str">
            <v>UEC</v>
          </cell>
          <cell r="D1366" t="str">
            <v>N</v>
          </cell>
          <cell r="E1366" t="str">
            <v>A</v>
          </cell>
          <cell r="F1366" t="str">
            <v>10/25/1997</v>
          </cell>
        </row>
        <row r="1367">
          <cell r="B1367" t="str">
            <v>A0284</v>
          </cell>
          <cell r="C1367" t="str">
            <v>CIP</v>
          </cell>
          <cell r="D1367" t="str">
            <v>N</v>
          </cell>
          <cell r="E1367" t="str">
            <v>A</v>
          </cell>
          <cell r="F1367" t="str">
            <v>10/25/1997</v>
          </cell>
        </row>
        <row r="1368">
          <cell r="B1368" t="str">
            <v>A0285</v>
          </cell>
          <cell r="C1368" t="str">
            <v>008C</v>
          </cell>
          <cell r="D1368" t="str">
            <v>Y</v>
          </cell>
          <cell r="E1368" t="str">
            <v>A</v>
          </cell>
          <cell r="F1368" t="str">
            <v>10/25/1997</v>
          </cell>
        </row>
        <row r="1369">
          <cell r="B1369" t="str">
            <v>A0286</v>
          </cell>
          <cell r="C1369" t="str">
            <v>008C</v>
          </cell>
          <cell r="D1369" t="str">
            <v>Y</v>
          </cell>
          <cell r="E1369" t="str">
            <v>A</v>
          </cell>
          <cell r="F1369" t="str">
            <v>10/25/1997</v>
          </cell>
        </row>
        <row r="1370">
          <cell r="B1370" t="str">
            <v>A0287</v>
          </cell>
          <cell r="C1370" t="str">
            <v>008C</v>
          </cell>
          <cell r="D1370" t="str">
            <v>Y</v>
          </cell>
          <cell r="E1370" t="str">
            <v>A</v>
          </cell>
          <cell r="F1370" t="str">
            <v>10/25/1997</v>
          </cell>
        </row>
        <row r="1371">
          <cell r="B1371" t="str">
            <v>A0288</v>
          </cell>
          <cell r="C1371" t="str">
            <v>001A</v>
          </cell>
          <cell r="D1371" t="str">
            <v>N</v>
          </cell>
          <cell r="E1371" t="str">
            <v>A</v>
          </cell>
          <cell r="F1371" t="str">
            <v>10/27/1997</v>
          </cell>
        </row>
        <row r="1372">
          <cell r="B1372" t="str">
            <v>A0290</v>
          </cell>
          <cell r="C1372" t="str">
            <v>UEC</v>
          </cell>
          <cell r="D1372" t="str">
            <v>Y</v>
          </cell>
          <cell r="E1372" t="str">
            <v>A</v>
          </cell>
          <cell r="F1372" t="str">
            <v>12/02/1997</v>
          </cell>
        </row>
        <row r="1373">
          <cell r="B1373" t="str">
            <v>A0291</v>
          </cell>
          <cell r="C1373" t="str">
            <v>UEC</v>
          </cell>
          <cell r="D1373" t="str">
            <v>Y</v>
          </cell>
          <cell r="E1373" t="str">
            <v>A</v>
          </cell>
          <cell r="F1373" t="str">
            <v>10/27/1997</v>
          </cell>
        </row>
        <row r="1374">
          <cell r="B1374" t="str">
            <v>A0292</v>
          </cell>
          <cell r="C1374" t="str">
            <v>002D</v>
          </cell>
          <cell r="D1374" t="str">
            <v>Y</v>
          </cell>
          <cell r="E1374" t="str">
            <v>A</v>
          </cell>
          <cell r="F1374" t="str">
            <v>10/27/1997</v>
          </cell>
        </row>
        <row r="1375">
          <cell r="B1375" t="str">
            <v>A0293</v>
          </cell>
          <cell r="C1375" t="str">
            <v>012A</v>
          </cell>
          <cell r="D1375" t="str">
            <v>Y</v>
          </cell>
          <cell r="E1375" t="str">
            <v>A</v>
          </cell>
          <cell r="F1375" t="str">
            <v>10/27/1997</v>
          </cell>
        </row>
        <row r="1376">
          <cell r="B1376" t="str">
            <v>A0294</v>
          </cell>
          <cell r="C1376" t="str">
            <v>CIP</v>
          </cell>
          <cell r="D1376" t="str">
            <v>Y</v>
          </cell>
          <cell r="E1376" t="str">
            <v>A</v>
          </cell>
          <cell r="F1376" t="str">
            <v>10/27/1997</v>
          </cell>
        </row>
        <row r="1377">
          <cell r="B1377" t="str">
            <v>A0295</v>
          </cell>
          <cell r="C1377" t="str">
            <v>UEC</v>
          </cell>
          <cell r="D1377" t="str">
            <v>Y</v>
          </cell>
          <cell r="E1377" t="str">
            <v>I</v>
          </cell>
          <cell r="F1377" t="str">
            <v>10/27/1997</v>
          </cell>
        </row>
        <row r="1378">
          <cell r="B1378" t="str">
            <v>A0296</v>
          </cell>
          <cell r="C1378" t="str">
            <v>CIP</v>
          </cell>
          <cell r="D1378" t="str">
            <v>Y</v>
          </cell>
          <cell r="E1378" t="str">
            <v>A</v>
          </cell>
          <cell r="F1378" t="str">
            <v>12/02/1997</v>
          </cell>
        </row>
        <row r="1379">
          <cell r="B1379" t="str">
            <v>A0297</v>
          </cell>
          <cell r="C1379" t="str">
            <v>CIP</v>
          </cell>
          <cell r="D1379" t="str">
            <v>Y</v>
          </cell>
          <cell r="E1379" t="str">
            <v>A</v>
          </cell>
          <cell r="F1379" t="str">
            <v>10/27/1997</v>
          </cell>
        </row>
        <row r="1380">
          <cell r="B1380" t="str">
            <v>A0298</v>
          </cell>
          <cell r="C1380" t="str">
            <v>002B</v>
          </cell>
          <cell r="D1380" t="str">
            <v>Y</v>
          </cell>
          <cell r="E1380" t="str">
            <v>I</v>
          </cell>
          <cell r="F1380" t="str">
            <v>10/27/1997</v>
          </cell>
        </row>
        <row r="1381">
          <cell r="B1381" t="str">
            <v>A0299</v>
          </cell>
          <cell r="C1381" t="str">
            <v>002D</v>
          </cell>
          <cell r="D1381" t="str">
            <v>Y</v>
          </cell>
          <cell r="E1381" t="str">
            <v>A</v>
          </cell>
          <cell r="F1381" t="str">
            <v>10/27/1997</v>
          </cell>
        </row>
        <row r="1382">
          <cell r="B1382" t="str">
            <v>A0300</v>
          </cell>
          <cell r="C1382" t="str">
            <v>UEC</v>
          </cell>
          <cell r="D1382" t="str">
            <v>Y</v>
          </cell>
          <cell r="E1382" t="str">
            <v>A</v>
          </cell>
          <cell r="F1382" t="str">
            <v>10/27/1997</v>
          </cell>
        </row>
        <row r="1383">
          <cell r="B1383" t="str">
            <v>A0302</v>
          </cell>
          <cell r="C1383" t="str">
            <v>CIP</v>
          </cell>
          <cell r="D1383" t="str">
            <v>Y</v>
          </cell>
          <cell r="E1383" t="str">
            <v>A</v>
          </cell>
          <cell r="F1383" t="str">
            <v>10/27/1997</v>
          </cell>
        </row>
        <row r="1384">
          <cell r="B1384" t="str">
            <v>A0305</v>
          </cell>
          <cell r="C1384" t="str">
            <v>UEC</v>
          </cell>
          <cell r="D1384" t="str">
            <v>Y</v>
          </cell>
          <cell r="E1384" t="str">
            <v>A</v>
          </cell>
          <cell r="F1384" t="str">
            <v>10/28/1997</v>
          </cell>
        </row>
        <row r="1385">
          <cell r="B1385" t="str">
            <v>A0306</v>
          </cell>
          <cell r="C1385" t="str">
            <v>CIP</v>
          </cell>
          <cell r="D1385" t="str">
            <v>Y</v>
          </cell>
          <cell r="E1385" t="str">
            <v>A</v>
          </cell>
          <cell r="F1385" t="str">
            <v>10/28/1997</v>
          </cell>
        </row>
        <row r="1386">
          <cell r="B1386" t="str">
            <v>A0307</v>
          </cell>
          <cell r="C1386" t="str">
            <v>002A</v>
          </cell>
          <cell r="D1386" t="str">
            <v>Y</v>
          </cell>
          <cell r="E1386" t="str">
            <v>A</v>
          </cell>
          <cell r="F1386" t="str">
            <v>10/28/1997</v>
          </cell>
        </row>
        <row r="1387">
          <cell r="B1387" t="str">
            <v>A0308</v>
          </cell>
          <cell r="C1387" t="str">
            <v>UEC</v>
          </cell>
          <cell r="D1387" t="str">
            <v>Y</v>
          </cell>
          <cell r="E1387" t="str">
            <v>A</v>
          </cell>
          <cell r="F1387" t="str">
            <v>10/28/1997</v>
          </cell>
        </row>
        <row r="1388">
          <cell r="B1388" t="str">
            <v>A0309</v>
          </cell>
          <cell r="C1388" t="str">
            <v>CIP</v>
          </cell>
          <cell r="D1388" t="str">
            <v>Y</v>
          </cell>
          <cell r="E1388" t="str">
            <v>A</v>
          </cell>
          <cell r="F1388" t="str">
            <v>10/28/1997</v>
          </cell>
        </row>
        <row r="1389">
          <cell r="B1389" t="str">
            <v>A0310</v>
          </cell>
          <cell r="C1389" t="str">
            <v>002K</v>
          </cell>
          <cell r="D1389" t="str">
            <v>Y</v>
          </cell>
          <cell r="E1389" t="str">
            <v>A</v>
          </cell>
          <cell r="F1389" t="str">
            <v>10/28/1997</v>
          </cell>
        </row>
        <row r="1390">
          <cell r="B1390" t="str">
            <v>A0311</v>
          </cell>
          <cell r="C1390" t="str">
            <v>001A</v>
          </cell>
          <cell r="D1390" t="str">
            <v>Y</v>
          </cell>
          <cell r="E1390" t="str">
            <v>A</v>
          </cell>
          <cell r="F1390" t="str">
            <v>10/29/1997</v>
          </cell>
        </row>
        <row r="1391">
          <cell r="B1391" t="str">
            <v>A0312</v>
          </cell>
          <cell r="C1391" t="str">
            <v>UEC</v>
          </cell>
          <cell r="D1391" t="str">
            <v>Y</v>
          </cell>
          <cell r="E1391" t="str">
            <v>A</v>
          </cell>
          <cell r="F1391" t="str">
            <v>10/29/1997</v>
          </cell>
        </row>
        <row r="1392">
          <cell r="B1392" t="str">
            <v>A0314</v>
          </cell>
          <cell r="C1392" t="str">
            <v>CIP</v>
          </cell>
          <cell r="D1392" t="str">
            <v>Y</v>
          </cell>
          <cell r="E1392" t="str">
            <v>A</v>
          </cell>
          <cell r="F1392" t="str">
            <v>10/29/1997</v>
          </cell>
        </row>
        <row r="1393">
          <cell r="B1393" t="str">
            <v>A0315</v>
          </cell>
          <cell r="C1393" t="str">
            <v>002L</v>
          </cell>
          <cell r="D1393" t="str">
            <v>Y</v>
          </cell>
          <cell r="E1393" t="str">
            <v>A</v>
          </cell>
          <cell r="F1393" t="str">
            <v>10/29/1997</v>
          </cell>
        </row>
        <row r="1394">
          <cell r="B1394" t="str">
            <v>A0316</v>
          </cell>
          <cell r="C1394"/>
          <cell r="D1394" t="str">
            <v>N</v>
          </cell>
          <cell r="E1394" t="str">
            <v>A</v>
          </cell>
          <cell r="F1394" t="str">
            <v>10/29/1997</v>
          </cell>
        </row>
        <row r="1395">
          <cell r="B1395" t="str">
            <v>A0317</v>
          </cell>
          <cell r="C1395" t="str">
            <v>001G</v>
          </cell>
          <cell r="D1395" t="str">
            <v>Y</v>
          </cell>
          <cell r="E1395" t="str">
            <v>A</v>
          </cell>
          <cell r="F1395" t="str">
            <v>10/29/1997</v>
          </cell>
        </row>
        <row r="1396">
          <cell r="B1396" t="str">
            <v>A0318</v>
          </cell>
          <cell r="C1396" t="str">
            <v>UEC</v>
          </cell>
          <cell r="D1396" t="str">
            <v>Y</v>
          </cell>
          <cell r="E1396" t="str">
            <v>A</v>
          </cell>
          <cell r="F1396" t="str">
            <v>10/29/1997</v>
          </cell>
        </row>
        <row r="1397">
          <cell r="B1397" t="str">
            <v>A0319</v>
          </cell>
          <cell r="C1397" t="str">
            <v>017B</v>
          </cell>
          <cell r="D1397" t="str">
            <v>Y</v>
          </cell>
          <cell r="E1397" t="str">
            <v>A</v>
          </cell>
          <cell r="F1397" t="str">
            <v>10/29/1997</v>
          </cell>
        </row>
        <row r="1398">
          <cell r="B1398" t="str">
            <v>A0320</v>
          </cell>
          <cell r="C1398" t="str">
            <v>CIP</v>
          </cell>
          <cell r="D1398" t="str">
            <v>Y</v>
          </cell>
          <cell r="E1398" t="str">
            <v>A</v>
          </cell>
          <cell r="F1398" t="str">
            <v>10/29/1997</v>
          </cell>
        </row>
        <row r="1399">
          <cell r="B1399" t="str">
            <v>A0321</v>
          </cell>
          <cell r="C1399" t="str">
            <v>016A</v>
          </cell>
          <cell r="D1399" t="str">
            <v>Y</v>
          </cell>
          <cell r="E1399" t="str">
            <v>A</v>
          </cell>
          <cell r="F1399" t="str">
            <v>10/29/1997</v>
          </cell>
        </row>
        <row r="1400">
          <cell r="B1400" t="str">
            <v>A0322</v>
          </cell>
          <cell r="C1400"/>
          <cell r="D1400" t="str">
            <v>N</v>
          </cell>
          <cell r="E1400" t="str">
            <v>A</v>
          </cell>
          <cell r="F1400" t="str">
            <v>10/29/1997</v>
          </cell>
        </row>
        <row r="1401">
          <cell r="B1401" t="str">
            <v>A0323</v>
          </cell>
          <cell r="C1401" t="str">
            <v>UEC</v>
          </cell>
          <cell r="D1401" t="str">
            <v>Y</v>
          </cell>
          <cell r="E1401" t="str">
            <v>A</v>
          </cell>
          <cell r="F1401" t="str">
            <v>10/29/1997</v>
          </cell>
        </row>
        <row r="1402">
          <cell r="B1402" t="str">
            <v>A0324</v>
          </cell>
          <cell r="C1402" t="str">
            <v>CIP</v>
          </cell>
          <cell r="D1402" t="str">
            <v>Y</v>
          </cell>
          <cell r="E1402" t="str">
            <v>A</v>
          </cell>
          <cell r="F1402" t="str">
            <v>10/29/1997</v>
          </cell>
        </row>
        <row r="1403">
          <cell r="B1403" t="str">
            <v>A0325</v>
          </cell>
          <cell r="C1403" t="str">
            <v>016A</v>
          </cell>
          <cell r="D1403" t="str">
            <v>Y</v>
          </cell>
          <cell r="E1403" t="str">
            <v>A</v>
          </cell>
          <cell r="F1403" t="str">
            <v>10/29/1997</v>
          </cell>
        </row>
        <row r="1404">
          <cell r="B1404" t="str">
            <v>A0326</v>
          </cell>
          <cell r="C1404"/>
          <cell r="D1404" t="str">
            <v>Y</v>
          </cell>
          <cell r="E1404" t="str">
            <v>A</v>
          </cell>
          <cell r="F1404" t="str">
            <v>12/02/1997</v>
          </cell>
        </row>
        <row r="1405">
          <cell r="B1405" t="str">
            <v>A0333</v>
          </cell>
          <cell r="C1405" t="str">
            <v>004A</v>
          </cell>
          <cell r="D1405" t="str">
            <v>Y</v>
          </cell>
          <cell r="E1405" t="str">
            <v>A</v>
          </cell>
          <cell r="F1405" t="str">
            <v>10/31/1997</v>
          </cell>
        </row>
        <row r="1406">
          <cell r="B1406" t="str">
            <v>A0335</v>
          </cell>
          <cell r="C1406" t="str">
            <v>007A</v>
          </cell>
          <cell r="D1406" t="str">
            <v>Y</v>
          </cell>
          <cell r="E1406" t="str">
            <v>I</v>
          </cell>
          <cell r="F1406" t="str">
            <v>10/31/1997</v>
          </cell>
        </row>
        <row r="1407">
          <cell r="B1407" t="str">
            <v>A0337</v>
          </cell>
          <cell r="C1407" t="str">
            <v>011A</v>
          </cell>
          <cell r="D1407" t="str">
            <v>Y</v>
          </cell>
          <cell r="E1407" t="str">
            <v>A</v>
          </cell>
          <cell r="F1407" t="str">
            <v>10/31/1997</v>
          </cell>
        </row>
        <row r="1408">
          <cell r="B1408" t="str">
            <v>A0338</v>
          </cell>
          <cell r="C1408" t="str">
            <v>004A</v>
          </cell>
          <cell r="D1408" t="str">
            <v>Y</v>
          </cell>
          <cell r="E1408" t="str">
            <v>A</v>
          </cell>
          <cell r="F1408" t="str">
            <v>10/31/1997</v>
          </cell>
        </row>
        <row r="1409">
          <cell r="B1409" t="str">
            <v>A0339</v>
          </cell>
          <cell r="C1409" t="str">
            <v>001A</v>
          </cell>
          <cell r="D1409" t="str">
            <v>Y</v>
          </cell>
          <cell r="E1409" t="str">
            <v>A</v>
          </cell>
          <cell r="F1409" t="str">
            <v>10/31/1997</v>
          </cell>
        </row>
        <row r="1410">
          <cell r="B1410" t="str">
            <v>A0340</v>
          </cell>
          <cell r="C1410" t="str">
            <v>001A</v>
          </cell>
          <cell r="D1410" t="str">
            <v>Y</v>
          </cell>
          <cell r="E1410" t="str">
            <v>A</v>
          </cell>
          <cell r="F1410" t="str">
            <v>10/31/1997</v>
          </cell>
        </row>
        <row r="1411">
          <cell r="B1411" t="str">
            <v>A0341</v>
          </cell>
          <cell r="C1411" t="str">
            <v>UEC</v>
          </cell>
          <cell r="D1411" t="str">
            <v>Y</v>
          </cell>
          <cell r="E1411" t="str">
            <v>A</v>
          </cell>
          <cell r="F1411" t="str">
            <v>11/03/1997</v>
          </cell>
        </row>
        <row r="1412">
          <cell r="B1412" t="str">
            <v>A0342</v>
          </cell>
          <cell r="C1412" t="str">
            <v>001A</v>
          </cell>
          <cell r="D1412" t="str">
            <v>Y</v>
          </cell>
          <cell r="E1412" t="str">
            <v>A</v>
          </cell>
          <cell r="F1412" t="str">
            <v>11/03/1997</v>
          </cell>
        </row>
        <row r="1413">
          <cell r="B1413" t="str">
            <v>A0343</v>
          </cell>
          <cell r="C1413" t="str">
            <v>002L</v>
          </cell>
          <cell r="D1413" t="str">
            <v>Y</v>
          </cell>
          <cell r="E1413" t="str">
            <v>A</v>
          </cell>
          <cell r="F1413" t="str">
            <v>11/03/1997</v>
          </cell>
        </row>
        <row r="1414">
          <cell r="B1414" t="str">
            <v>A0344</v>
          </cell>
          <cell r="C1414" t="str">
            <v>002L</v>
          </cell>
          <cell r="D1414" t="str">
            <v>Y</v>
          </cell>
          <cell r="E1414" t="str">
            <v>A</v>
          </cell>
          <cell r="F1414" t="str">
            <v>11/03/1997</v>
          </cell>
        </row>
        <row r="1415">
          <cell r="B1415" t="str">
            <v>A0345</v>
          </cell>
          <cell r="C1415" t="str">
            <v>002L</v>
          </cell>
          <cell r="D1415" t="str">
            <v>Y</v>
          </cell>
          <cell r="E1415" t="str">
            <v>A</v>
          </cell>
          <cell r="F1415" t="str">
            <v>11/03/1997</v>
          </cell>
        </row>
        <row r="1416">
          <cell r="B1416" t="str">
            <v>A0346</v>
          </cell>
          <cell r="C1416" t="str">
            <v>UEC</v>
          </cell>
          <cell r="D1416" t="str">
            <v>Y</v>
          </cell>
          <cell r="E1416" t="str">
            <v>A</v>
          </cell>
          <cell r="F1416" t="str">
            <v>11/03/1997</v>
          </cell>
        </row>
        <row r="1417">
          <cell r="B1417" t="str">
            <v>A0348</v>
          </cell>
          <cell r="C1417" t="str">
            <v>004A</v>
          </cell>
          <cell r="D1417" t="str">
            <v>Y</v>
          </cell>
          <cell r="E1417" t="str">
            <v>A</v>
          </cell>
          <cell r="F1417" t="str">
            <v>11/03/1997</v>
          </cell>
        </row>
        <row r="1418">
          <cell r="B1418" t="str">
            <v>A0349</v>
          </cell>
          <cell r="C1418" t="str">
            <v>004A</v>
          </cell>
          <cell r="D1418" t="str">
            <v>Y</v>
          </cell>
          <cell r="E1418" t="str">
            <v>A</v>
          </cell>
          <cell r="F1418" t="str">
            <v>11/03/1997</v>
          </cell>
        </row>
        <row r="1419">
          <cell r="B1419" t="str">
            <v>A0350</v>
          </cell>
          <cell r="C1419"/>
          <cell r="D1419" t="str">
            <v>Y</v>
          </cell>
          <cell r="E1419" t="str">
            <v>A</v>
          </cell>
          <cell r="F1419" t="str">
            <v>11/03/1997</v>
          </cell>
        </row>
        <row r="1420">
          <cell r="B1420" t="str">
            <v>A0351</v>
          </cell>
          <cell r="C1420"/>
          <cell r="D1420" t="str">
            <v>Y</v>
          </cell>
          <cell r="E1420" t="str">
            <v>A</v>
          </cell>
          <cell r="F1420" t="str">
            <v>11/03/1997</v>
          </cell>
        </row>
        <row r="1421">
          <cell r="B1421" t="str">
            <v>A0352</v>
          </cell>
          <cell r="C1421" t="str">
            <v>UEC</v>
          </cell>
          <cell r="D1421" t="str">
            <v>Y</v>
          </cell>
          <cell r="E1421" t="str">
            <v>A</v>
          </cell>
          <cell r="F1421" t="str">
            <v>11/03/1997</v>
          </cell>
        </row>
        <row r="1422">
          <cell r="B1422" t="str">
            <v>A0353</v>
          </cell>
          <cell r="C1422" t="str">
            <v>002A</v>
          </cell>
          <cell r="D1422" t="str">
            <v>Y</v>
          </cell>
          <cell r="E1422" t="str">
            <v>A</v>
          </cell>
          <cell r="F1422" t="str">
            <v>11/03/1997</v>
          </cell>
        </row>
        <row r="1423">
          <cell r="B1423" t="str">
            <v>A0354</v>
          </cell>
          <cell r="C1423" t="str">
            <v>CIP</v>
          </cell>
          <cell r="D1423" t="str">
            <v>Y</v>
          </cell>
          <cell r="E1423" t="str">
            <v>A</v>
          </cell>
          <cell r="F1423" t="str">
            <v>10/29/1998</v>
          </cell>
        </row>
        <row r="1424">
          <cell r="B1424" t="str">
            <v>A0355</v>
          </cell>
          <cell r="C1424" t="str">
            <v>008B</v>
          </cell>
          <cell r="D1424" t="str">
            <v>Y</v>
          </cell>
          <cell r="E1424" t="str">
            <v>A</v>
          </cell>
          <cell r="F1424" t="str">
            <v>11/04/1997</v>
          </cell>
        </row>
        <row r="1425">
          <cell r="B1425" t="str">
            <v>A0356</v>
          </cell>
          <cell r="C1425" t="str">
            <v>ERC</v>
          </cell>
          <cell r="D1425" t="str">
            <v>Y</v>
          </cell>
          <cell r="E1425" t="str">
            <v>A</v>
          </cell>
          <cell r="F1425" t="str">
            <v>04/28/1998</v>
          </cell>
        </row>
        <row r="1426">
          <cell r="B1426" t="str">
            <v>A0359</v>
          </cell>
          <cell r="C1426" t="str">
            <v>007A</v>
          </cell>
          <cell r="D1426" t="str">
            <v>Y</v>
          </cell>
          <cell r="E1426" t="str">
            <v>A</v>
          </cell>
          <cell r="F1426" t="str">
            <v>04/28/1998</v>
          </cell>
        </row>
        <row r="1427">
          <cell r="B1427" t="str">
            <v>A0361</v>
          </cell>
          <cell r="C1427" t="str">
            <v>002K</v>
          </cell>
          <cell r="D1427" t="str">
            <v>Y</v>
          </cell>
          <cell r="E1427" t="str">
            <v>A</v>
          </cell>
          <cell r="F1427" t="str">
            <v>12/03/1997</v>
          </cell>
        </row>
        <row r="1428">
          <cell r="B1428" t="str">
            <v>A0364</v>
          </cell>
          <cell r="C1428" t="str">
            <v>AME</v>
          </cell>
          <cell r="D1428" t="str">
            <v>Y</v>
          </cell>
          <cell r="E1428" t="str">
            <v>A</v>
          </cell>
          <cell r="F1428" t="str">
            <v>10/29/1998</v>
          </cell>
        </row>
        <row r="1429">
          <cell r="B1429" t="str">
            <v>A0366</v>
          </cell>
          <cell r="C1429" t="str">
            <v>011A</v>
          </cell>
          <cell r="D1429" t="str">
            <v>Y</v>
          </cell>
          <cell r="E1429" t="str">
            <v>A</v>
          </cell>
          <cell r="F1429" t="str">
            <v>11/07/1997</v>
          </cell>
        </row>
        <row r="1430">
          <cell r="B1430" t="str">
            <v>A0367</v>
          </cell>
          <cell r="C1430" t="str">
            <v>UEC</v>
          </cell>
          <cell r="D1430" t="str">
            <v>Y</v>
          </cell>
          <cell r="E1430" t="str">
            <v>A</v>
          </cell>
          <cell r="F1430" t="str">
            <v>11/07/1997</v>
          </cell>
        </row>
        <row r="1431">
          <cell r="B1431" t="str">
            <v>A0368</v>
          </cell>
          <cell r="C1431" t="str">
            <v>GEN</v>
          </cell>
          <cell r="D1431" t="str">
            <v>Y</v>
          </cell>
          <cell r="E1431" t="str">
            <v>A</v>
          </cell>
          <cell r="F1431" t="str">
            <v>11/07/1997</v>
          </cell>
        </row>
        <row r="1432">
          <cell r="B1432" t="str">
            <v>A0369</v>
          </cell>
          <cell r="C1432" t="str">
            <v>UEC</v>
          </cell>
          <cell r="D1432" t="str">
            <v>Y</v>
          </cell>
          <cell r="E1432" t="str">
            <v>A</v>
          </cell>
          <cell r="F1432" t="str">
            <v>11/07/1997</v>
          </cell>
        </row>
        <row r="1433">
          <cell r="B1433" t="str">
            <v>A0370</v>
          </cell>
          <cell r="C1433" t="str">
            <v>CIP</v>
          </cell>
          <cell r="D1433" t="str">
            <v>Y</v>
          </cell>
          <cell r="E1433" t="str">
            <v>A</v>
          </cell>
          <cell r="F1433" t="str">
            <v>11/07/1997</v>
          </cell>
        </row>
        <row r="1434">
          <cell r="B1434" t="str">
            <v>A0371</v>
          </cell>
          <cell r="C1434"/>
          <cell r="D1434" t="str">
            <v>Y</v>
          </cell>
          <cell r="E1434" t="str">
            <v>A</v>
          </cell>
          <cell r="F1434" t="str">
            <v>11/07/1997</v>
          </cell>
        </row>
        <row r="1435">
          <cell r="B1435" t="str">
            <v>A0372</v>
          </cell>
          <cell r="C1435" t="str">
            <v>010A</v>
          </cell>
          <cell r="D1435" t="str">
            <v>Y</v>
          </cell>
          <cell r="E1435" t="str">
            <v>A</v>
          </cell>
          <cell r="F1435" t="str">
            <v>11/07/1997</v>
          </cell>
        </row>
        <row r="1436">
          <cell r="B1436" t="str">
            <v>A0373</v>
          </cell>
          <cell r="C1436" t="str">
            <v>CIP</v>
          </cell>
          <cell r="D1436" t="str">
            <v>Y</v>
          </cell>
          <cell r="E1436" t="str">
            <v>A</v>
          </cell>
          <cell r="F1436" t="str">
            <v>11/07/1997</v>
          </cell>
        </row>
        <row r="1437">
          <cell r="B1437" t="str">
            <v>A0374</v>
          </cell>
          <cell r="C1437" t="str">
            <v>UEC</v>
          </cell>
          <cell r="D1437" t="str">
            <v>Y</v>
          </cell>
          <cell r="E1437" t="str">
            <v>A</v>
          </cell>
          <cell r="F1437" t="str">
            <v>11/07/1997</v>
          </cell>
        </row>
        <row r="1438">
          <cell r="B1438" t="str">
            <v>A0375</v>
          </cell>
          <cell r="C1438" t="str">
            <v>002K</v>
          </cell>
          <cell r="D1438" t="str">
            <v>Y</v>
          </cell>
          <cell r="E1438" t="str">
            <v>A</v>
          </cell>
          <cell r="F1438" t="str">
            <v>11/07/1997</v>
          </cell>
        </row>
        <row r="1439">
          <cell r="B1439" t="str">
            <v>A0376</v>
          </cell>
          <cell r="C1439" t="str">
            <v>CIP</v>
          </cell>
          <cell r="D1439" t="str">
            <v>N</v>
          </cell>
          <cell r="E1439" t="str">
            <v>A</v>
          </cell>
          <cell r="F1439" t="str">
            <v>11/07/1997</v>
          </cell>
        </row>
        <row r="1440">
          <cell r="B1440" t="str">
            <v>A0377</v>
          </cell>
          <cell r="C1440" t="str">
            <v>UEC</v>
          </cell>
          <cell r="D1440" t="str">
            <v>N</v>
          </cell>
          <cell r="E1440" t="str">
            <v>A</v>
          </cell>
          <cell r="F1440" t="str">
            <v>11/07/1997</v>
          </cell>
        </row>
        <row r="1441">
          <cell r="B1441" t="str">
            <v>A0378</v>
          </cell>
          <cell r="C1441" t="str">
            <v>011B</v>
          </cell>
          <cell r="D1441" t="str">
            <v>N</v>
          </cell>
          <cell r="E1441" t="str">
            <v>A</v>
          </cell>
          <cell r="F1441" t="str">
            <v>11/07/1997</v>
          </cell>
        </row>
        <row r="1442">
          <cell r="B1442" t="str">
            <v>A0379</v>
          </cell>
          <cell r="C1442"/>
          <cell r="D1442" t="str">
            <v>Y</v>
          </cell>
          <cell r="E1442" t="str">
            <v>A</v>
          </cell>
          <cell r="F1442" t="str">
            <v>11/07/1997</v>
          </cell>
        </row>
        <row r="1443">
          <cell r="B1443" t="str">
            <v>A0380</v>
          </cell>
          <cell r="C1443" t="str">
            <v>004A</v>
          </cell>
          <cell r="D1443" t="str">
            <v>Y</v>
          </cell>
          <cell r="E1443" t="str">
            <v>A</v>
          </cell>
          <cell r="F1443" t="str">
            <v>11/07/1997</v>
          </cell>
        </row>
        <row r="1444">
          <cell r="B1444" t="str">
            <v>A0381</v>
          </cell>
          <cell r="C1444" t="str">
            <v>004A</v>
          </cell>
          <cell r="D1444" t="str">
            <v>Y</v>
          </cell>
          <cell r="E1444" t="str">
            <v>A</v>
          </cell>
          <cell r="F1444" t="str">
            <v>11/07/1997</v>
          </cell>
        </row>
        <row r="1445">
          <cell r="B1445" t="str">
            <v>A0382</v>
          </cell>
          <cell r="C1445" t="str">
            <v>004A</v>
          </cell>
          <cell r="D1445" t="str">
            <v>Y</v>
          </cell>
          <cell r="E1445" t="str">
            <v>A</v>
          </cell>
          <cell r="F1445" t="str">
            <v>11/07/1997</v>
          </cell>
        </row>
        <row r="1446">
          <cell r="B1446" t="str">
            <v>A0383</v>
          </cell>
          <cell r="C1446" t="str">
            <v>004A</v>
          </cell>
          <cell r="D1446" t="str">
            <v>Y</v>
          </cell>
          <cell r="E1446" t="str">
            <v>A</v>
          </cell>
          <cell r="F1446" t="str">
            <v>11/07/1997</v>
          </cell>
        </row>
        <row r="1447">
          <cell r="B1447" t="str">
            <v>A0384</v>
          </cell>
          <cell r="C1447" t="str">
            <v>CIP</v>
          </cell>
          <cell r="D1447" t="str">
            <v>Y</v>
          </cell>
          <cell r="E1447" t="str">
            <v>A</v>
          </cell>
          <cell r="F1447" t="str">
            <v>11/07/1997</v>
          </cell>
        </row>
        <row r="1448">
          <cell r="B1448" t="str">
            <v>A0386</v>
          </cell>
          <cell r="C1448" t="str">
            <v>UEC</v>
          </cell>
          <cell r="D1448" t="str">
            <v>Y</v>
          </cell>
          <cell r="E1448" t="str">
            <v>A</v>
          </cell>
          <cell r="F1448" t="str">
            <v>11/07/1997</v>
          </cell>
        </row>
        <row r="1449">
          <cell r="B1449" t="str">
            <v>A0387</v>
          </cell>
          <cell r="C1449" t="str">
            <v>UEC</v>
          </cell>
          <cell r="D1449" t="str">
            <v>Y</v>
          </cell>
          <cell r="E1449" t="str">
            <v>A</v>
          </cell>
          <cell r="F1449" t="str">
            <v>11/07/1997</v>
          </cell>
        </row>
        <row r="1450">
          <cell r="B1450" t="str">
            <v>A0388</v>
          </cell>
          <cell r="C1450" t="str">
            <v>CIP</v>
          </cell>
          <cell r="D1450" t="str">
            <v>Y</v>
          </cell>
          <cell r="E1450" t="str">
            <v>A</v>
          </cell>
          <cell r="F1450" t="str">
            <v>11/07/1997</v>
          </cell>
        </row>
        <row r="1451">
          <cell r="B1451" t="str">
            <v>A0389</v>
          </cell>
          <cell r="C1451" t="str">
            <v>UDC</v>
          </cell>
          <cell r="D1451" t="str">
            <v>Y</v>
          </cell>
          <cell r="E1451" t="str">
            <v>A</v>
          </cell>
          <cell r="F1451" t="str">
            <v>11/07/1997</v>
          </cell>
        </row>
        <row r="1452">
          <cell r="B1452" t="str">
            <v>A0390</v>
          </cell>
          <cell r="C1452" t="str">
            <v>CIC</v>
          </cell>
          <cell r="D1452" t="str">
            <v>Y</v>
          </cell>
          <cell r="E1452" t="str">
            <v>A</v>
          </cell>
          <cell r="F1452" t="str">
            <v>11/07/1997</v>
          </cell>
        </row>
        <row r="1453">
          <cell r="B1453" t="str">
            <v>A0391</v>
          </cell>
          <cell r="C1453" t="str">
            <v>001A</v>
          </cell>
          <cell r="D1453" t="str">
            <v>Y</v>
          </cell>
          <cell r="E1453" t="str">
            <v>A</v>
          </cell>
          <cell r="F1453" t="str">
            <v>11/10/1997</v>
          </cell>
        </row>
        <row r="1454">
          <cell r="B1454" t="str">
            <v>A0392</v>
          </cell>
          <cell r="C1454" t="str">
            <v>003A</v>
          </cell>
          <cell r="D1454" t="str">
            <v>Y</v>
          </cell>
          <cell r="E1454" t="str">
            <v>A</v>
          </cell>
          <cell r="F1454" t="str">
            <v>11/10/1997</v>
          </cell>
        </row>
        <row r="1455">
          <cell r="B1455" t="str">
            <v>A0393</v>
          </cell>
          <cell r="C1455" t="str">
            <v>001A</v>
          </cell>
          <cell r="D1455" t="str">
            <v>Y</v>
          </cell>
          <cell r="E1455" t="str">
            <v>A</v>
          </cell>
          <cell r="F1455" t="str">
            <v>11/10/1997</v>
          </cell>
        </row>
        <row r="1456">
          <cell r="B1456" t="str">
            <v>A0394</v>
          </cell>
          <cell r="C1456" t="str">
            <v>AMC</v>
          </cell>
          <cell r="D1456" t="str">
            <v>Y</v>
          </cell>
          <cell r="E1456" t="str">
            <v>A</v>
          </cell>
          <cell r="F1456" t="str">
            <v>11/10/1997</v>
          </cell>
        </row>
        <row r="1457">
          <cell r="B1457" t="str">
            <v>A0396</v>
          </cell>
          <cell r="C1457" t="str">
            <v>UEC</v>
          </cell>
          <cell r="D1457" t="str">
            <v>Y</v>
          </cell>
          <cell r="E1457" t="str">
            <v>A</v>
          </cell>
          <cell r="F1457" t="str">
            <v>11/10/1997</v>
          </cell>
        </row>
        <row r="1458">
          <cell r="B1458" t="str">
            <v>A0397</v>
          </cell>
          <cell r="C1458" t="str">
            <v>UEC</v>
          </cell>
          <cell r="D1458" t="str">
            <v>Y</v>
          </cell>
          <cell r="E1458" t="str">
            <v>A</v>
          </cell>
          <cell r="F1458" t="str">
            <v>11/10/1997</v>
          </cell>
        </row>
        <row r="1459">
          <cell r="B1459" t="str">
            <v>A0398</v>
          </cell>
          <cell r="C1459" t="str">
            <v>CIP</v>
          </cell>
          <cell r="D1459" t="str">
            <v>Y</v>
          </cell>
          <cell r="E1459" t="str">
            <v>A</v>
          </cell>
          <cell r="F1459" t="str">
            <v>11/10/1997</v>
          </cell>
        </row>
        <row r="1460">
          <cell r="B1460" t="str">
            <v>A0399</v>
          </cell>
          <cell r="C1460"/>
          <cell r="D1460" t="str">
            <v>Y</v>
          </cell>
          <cell r="E1460" t="str">
            <v>A</v>
          </cell>
          <cell r="F1460" t="str">
            <v>11/10/1997</v>
          </cell>
        </row>
        <row r="1461">
          <cell r="B1461" t="str">
            <v>A0400</v>
          </cell>
          <cell r="C1461" t="str">
            <v>UEC</v>
          </cell>
          <cell r="D1461" t="str">
            <v>Y</v>
          </cell>
          <cell r="E1461" t="str">
            <v>A</v>
          </cell>
          <cell r="F1461" t="str">
            <v>12/03/1997</v>
          </cell>
        </row>
        <row r="1462">
          <cell r="B1462" t="str">
            <v>A0401</v>
          </cell>
          <cell r="C1462"/>
          <cell r="D1462" t="str">
            <v>Y</v>
          </cell>
          <cell r="E1462" t="str">
            <v>A</v>
          </cell>
          <cell r="F1462" t="str">
            <v>11/10/1997</v>
          </cell>
        </row>
        <row r="1463">
          <cell r="B1463" t="str">
            <v>A0402</v>
          </cell>
          <cell r="C1463" t="str">
            <v>001A</v>
          </cell>
          <cell r="D1463" t="str">
            <v>Y</v>
          </cell>
          <cell r="E1463" t="str">
            <v>A</v>
          </cell>
          <cell r="F1463" t="str">
            <v>11/10/1997</v>
          </cell>
        </row>
        <row r="1464">
          <cell r="B1464" t="str">
            <v>A0403</v>
          </cell>
          <cell r="C1464" t="str">
            <v>004A</v>
          </cell>
          <cell r="D1464" t="str">
            <v>Y</v>
          </cell>
          <cell r="E1464" t="str">
            <v>A</v>
          </cell>
          <cell r="F1464" t="str">
            <v>11/10/1997</v>
          </cell>
        </row>
        <row r="1465">
          <cell r="B1465" t="str">
            <v>A0406</v>
          </cell>
          <cell r="C1465"/>
          <cell r="D1465" t="str">
            <v>Y</v>
          </cell>
          <cell r="E1465" t="str">
            <v>A</v>
          </cell>
          <cell r="F1465" t="str">
            <v>11/10/1997</v>
          </cell>
        </row>
        <row r="1466">
          <cell r="B1466" t="str">
            <v>A0407</v>
          </cell>
          <cell r="C1466" t="str">
            <v>CIP</v>
          </cell>
          <cell r="D1466" t="str">
            <v>Y</v>
          </cell>
          <cell r="E1466" t="str">
            <v>A</v>
          </cell>
          <cell r="F1466" t="str">
            <v>12/03/1997</v>
          </cell>
        </row>
        <row r="1467">
          <cell r="B1467" t="str">
            <v>A0409</v>
          </cell>
          <cell r="C1467" t="str">
            <v>016A</v>
          </cell>
          <cell r="D1467" t="str">
            <v>Y</v>
          </cell>
          <cell r="E1467" t="str">
            <v>A</v>
          </cell>
          <cell r="F1467" t="str">
            <v>11/13/1997</v>
          </cell>
        </row>
        <row r="1468">
          <cell r="B1468" t="str">
            <v>A0410</v>
          </cell>
          <cell r="C1468" t="str">
            <v>004A</v>
          </cell>
          <cell r="D1468" t="str">
            <v>Y</v>
          </cell>
          <cell r="E1468" t="str">
            <v>A</v>
          </cell>
          <cell r="F1468" t="str">
            <v>11/13/1997</v>
          </cell>
        </row>
        <row r="1469">
          <cell r="B1469" t="str">
            <v>A0411</v>
          </cell>
          <cell r="C1469" t="str">
            <v>004A</v>
          </cell>
          <cell r="D1469" t="str">
            <v>Y</v>
          </cell>
          <cell r="E1469" t="str">
            <v>A</v>
          </cell>
          <cell r="F1469" t="str">
            <v>11/13/1997</v>
          </cell>
        </row>
        <row r="1470">
          <cell r="B1470" t="str">
            <v>A0412</v>
          </cell>
          <cell r="C1470" t="str">
            <v>004A</v>
          </cell>
          <cell r="D1470" t="str">
            <v>Y</v>
          </cell>
          <cell r="E1470" t="str">
            <v>A</v>
          </cell>
          <cell r="F1470" t="str">
            <v>11/13/1997</v>
          </cell>
        </row>
        <row r="1471">
          <cell r="B1471" t="str">
            <v>A0413</v>
          </cell>
          <cell r="C1471" t="str">
            <v>UEC</v>
          </cell>
          <cell r="D1471" t="str">
            <v>Y</v>
          </cell>
          <cell r="E1471" t="str">
            <v>A</v>
          </cell>
          <cell r="F1471" t="str">
            <v>11/14/1997</v>
          </cell>
        </row>
        <row r="1472">
          <cell r="B1472" t="str">
            <v>A0415</v>
          </cell>
          <cell r="C1472" t="str">
            <v>004A</v>
          </cell>
          <cell r="D1472" t="str">
            <v>Y</v>
          </cell>
          <cell r="E1472" t="str">
            <v>A</v>
          </cell>
          <cell r="F1472" t="str">
            <v>11/14/1997</v>
          </cell>
        </row>
        <row r="1473">
          <cell r="B1473" t="str">
            <v>A0416</v>
          </cell>
          <cell r="C1473" t="str">
            <v>004A</v>
          </cell>
          <cell r="D1473" t="str">
            <v>Y</v>
          </cell>
          <cell r="E1473" t="str">
            <v>A</v>
          </cell>
          <cell r="F1473" t="str">
            <v>11/14/1997</v>
          </cell>
        </row>
        <row r="1474">
          <cell r="B1474" t="str">
            <v>A0417</v>
          </cell>
          <cell r="C1474" t="str">
            <v>AFS</v>
          </cell>
          <cell r="D1474" t="str">
            <v>Y</v>
          </cell>
          <cell r="E1474" t="str">
            <v>A</v>
          </cell>
          <cell r="F1474" t="str">
            <v>11/14/1997</v>
          </cell>
        </row>
        <row r="1475">
          <cell r="B1475" t="str">
            <v>A0418</v>
          </cell>
          <cell r="C1475" t="str">
            <v>UEC</v>
          </cell>
          <cell r="D1475" t="str">
            <v>Y</v>
          </cell>
          <cell r="E1475" t="str">
            <v>A</v>
          </cell>
          <cell r="F1475" t="str">
            <v>11/14/1997</v>
          </cell>
        </row>
        <row r="1476">
          <cell r="B1476" t="str">
            <v>A0419</v>
          </cell>
          <cell r="C1476"/>
          <cell r="D1476" t="str">
            <v>Y</v>
          </cell>
          <cell r="E1476" t="str">
            <v>A</v>
          </cell>
          <cell r="F1476" t="str">
            <v>11/14/1997</v>
          </cell>
        </row>
        <row r="1477">
          <cell r="B1477" t="str">
            <v>A0420</v>
          </cell>
          <cell r="C1477" t="str">
            <v>CIP</v>
          </cell>
          <cell r="D1477" t="str">
            <v>Y</v>
          </cell>
          <cell r="E1477" t="str">
            <v>A</v>
          </cell>
          <cell r="F1477" t="str">
            <v>11/14/1997</v>
          </cell>
        </row>
        <row r="1478">
          <cell r="B1478" t="str">
            <v>A0421</v>
          </cell>
          <cell r="C1478" t="str">
            <v>UEC</v>
          </cell>
          <cell r="D1478" t="str">
            <v>Y</v>
          </cell>
          <cell r="E1478" t="str">
            <v>A</v>
          </cell>
          <cell r="F1478" t="str">
            <v>11/14/1997</v>
          </cell>
        </row>
        <row r="1479">
          <cell r="B1479" t="str">
            <v>A0423</v>
          </cell>
          <cell r="C1479" t="str">
            <v>CIP</v>
          </cell>
          <cell r="D1479" t="str">
            <v>Y</v>
          </cell>
          <cell r="E1479" t="str">
            <v>A</v>
          </cell>
          <cell r="F1479" t="str">
            <v>11/14/1997</v>
          </cell>
        </row>
        <row r="1480">
          <cell r="B1480" t="str">
            <v>A0424</v>
          </cell>
          <cell r="C1480" t="str">
            <v>CIP</v>
          </cell>
          <cell r="D1480" t="str">
            <v>Y</v>
          </cell>
          <cell r="E1480" t="str">
            <v>A</v>
          </cell>
          <cell r="F1480" t="str">
            <v>11/15/1997</v>
          </cell>
        </row>
        <row r="1481">
          <cell r="B1481" t="str">
            <v>A0425</v>
          </cell>
          <cell r="C1481"/>
          <cell r="D1481" t="str">
            <v>Y</v>
          </cell>
          <cell r="E1481" t="str">
            <v>A</v>
          </cell>
          <cell r="F1481" t="str">
            <v>11/15/1997</v>
          </cell>
        </row>
        <row r="1482">
          <cell r="B1482" t="str">
            <v>A0427</v>
          </cell>
          <cell r="C1482" t="str">
            <v>UEC</v>
          </cell>
          <cell r="D1482" t="str">
            <v>Y</v>
          </cell>
          <cell r="E1482" t="str">
            <v>A</v>
          </cell>
          <cell r="F1482" t="str">
            <v>05/14/1998</v>
          </cell>
        </row>
        <row r="1483">
          <cell r="B1483" t="str">
            <v>A0428</v>
          </cell>
          <cell r="C1483" t="str">
            <v>004A</v>
          </cell>
          <cell r="D1483" t="str">
            <v>Y</v>
          </cell>
          <cell r="E1483" t="str">
            <v>A</v>
          </cell>
          <cell r="F1483" t="str">
            <v>11/17/1997</v>
          </cell>
        </row>
        <row r="1484">
          <cell r="B1484" t="str">
            <v>A0429</v>
          </cell>
          <cell r="C1484" t="str">
            <v>UEC</v>
          </cell>
          <cell r="D1484" t="str">
            <v>Y</v>
          </cell>
          <cell r="E1484" t="str">
            <v>A</v>
          </cell>
          <cell r="F1484" t="str">
            <v>11/17/1997</v>
          </cell>
        </row>
        <row r="1485">
          <cell r="B1485" t="str">
            <v>A0430</v>
          </cell>
          <cell r="C1485" t="str">
            <v>012B</v>
          </cell>
          <cell r="D1485" t="str">
            <v>Y</v>
          </cell>
          <cell r="E1485" t="str">
            <v>A</v>
          </cell>
          <cell r="F1485" t="str">
            <v>11/18/1997</v>
          </cell>
        </row>
        <row r="1486">
          <cell r="B1486" t="str">
            <v>A0431</v>
          </cell>
          <cell r="C1486" t="str">
            <v>UEC</v>
          </cell>
          <cell r="D1486" t="str">
            <v>Y</v>
          </cell>
          <cell r="E1486" t="str">
            <v>A</v>
          </cell>
          <cell r="F1486" t="str">
            <v>11/18/1997</v>
          </cell>
        </row>
        <row r="1487">
          <cell r="B1487" t="str">
            <v>A0432</v>
          </cell>
          <cell r="C1487" t="str">
            <v>GEN</v>
          </cell>
          <cell r="D1487" t="str">
            <v>Y</v>
          </cell>
          <cell r="E1487" t="str">
            <v>A</v>
          </cell>
          <cell r="F1487" t="str">
            <v>11/18/1997</v>
          </cell>
        </row>
        <row r="1488">
          <cell r="B1488" t="str">
            <v>A0433</v>
          </cell>
          <cell r="C1488" t="str">
            <v>012D</v>
          </cell>
          <cell r="D1488" t="str">
            <v>Y</v>
          </cell>
          <cell r="E1488" t="str">
            <v>A</v>
          </cell>
          <cell r="F1488" t="str">
            <v>11/18/1997</v>
          </cell>
        </row>
        <row r="1489">
          <cell r="B1489" t="str">
            <v>A0434</v>
          </cell>
          <cell r="C1489" t="str">
            <v>UEC</v>
          </cell>
          <cell r="D1489" t="str">
            <v>Y</v>
          </cell>
          <cell r="E1489" t="str">
            <v>A</v>
          </cell>
          <cell r="F1489" t="str">
            <v>11/18/1997</v>
          </cell>
        </row>
        <row r="1490">
          <cell r="B1490" t="str">
            <v>A0435</v>
          </cell>
          <cell r="C1490" t="str">
            <v>GEN</v>
          </cell>
          <cell r="D1490" t="str">
            <v>Y</v>
          </cell>
          <cell r="E1490" t="str">
            <v>A</v>
          </cell>
          <cell r="F1490" t="str">
            <v>11/18/1997</v>
          </cell>
        </row>
        <row r="1491">
          <cell r="B1491" t="str">
            <v>A0436</v>
          </cell>
          <cell r="C1491" t="str">
            <v>012D</v>
          </cell>
          <cell r="D1491" t="str">
            <v>Y</v>
          </cell>
          <cell r="E1491" t="str">
            <v>A</v>
          </cell>
          <cell r="F1491" t="str">
            <v>11/18/1997</v>
          </cell>
        </row>
        <row r="1492">
          <cell r="B1492" t="str">
            <v>A0437</v>
          </cell>
          <cell r="C1492" t="str">
            <v>UEC</v>
          </cell>
          <cell r="D1492" t="str">
            <v>Y</v>
          </cell>
          <cell r="E1492" t="str">
            <v>A</v>
          </cell>
          <cell r="F1492" t="str">
            <v>11/18/1997</v>
          </cell>
        </row>
        <row r="1493">
          <cell r="B1493" t="str">
            <v>A0438</v>
          </cell>
          <cell r="C1493" t="str">
            <v>CIP</v>
          </cell>
          <cell r="D1493" t="str">
            <v>Y</v>
          </cell>
          <cell r="E1493" t="str">
            <v>A</v>
          </cell>
          <cell r="F1493" t="str">
            <v>11/18/1997</v>
          </cell>
        </row>
        <row r="1494">
          <cell r="B1494" t="str">
            <v>A0439</v>
          </cell>
          <cell r="C1494" t="str">
            <v>010A</v>
          </cell>
          <cell r="D1494" t="str">
            <v>Y</v>
          </cell>
          <cell r="E1494" t="str">
            <v>A</v>
          </cell>
          <cell r="F1494" t="str">
            <v>11/18/1997</v>
          </cell>
        </row>
        <row r="1495">
          <cell r="B1495" t="str">
            <v>A0440</v>
          </cell>
          <cell r="C1495" t="str">
            <v>UEC</v>
          </cell>
          <cell r="D1495" t="str">
            <v>Y</v>
          </cell>
          <cell r="E1495" t="str">
            <v>A</v>
          </cell>
          <cell r="F1495" t="str">
            <v>11/18/1997</v>
          </cell>
        </row>
        <row r="1496">
          <cell r="B1496" t="str">
            <v>A0441</v>
          </cell>
          <cell r="C1496" t="str">
            <v>CIP</v>
          </cell>
          <cell r="D1496" t="str">
            <v>Y</v>
          </cell>
          <cell r="E1496" t="str">
            <v>A</v>
          </cell>
          <cell r="F1496" t="str">
            <v>11/18/1997</v>
          </cell>
        </row>
        <row r="1497">
          <cell r="B1497" t="str">
            <v>A0442</v>
          </cell>
          <cell r="C1497" t="str">
            <v>010A</v>
          </cell>
          <cell r="D1497" t="str">
            <v>Y</v>
          </cell>
          <cell r="E1497" t="str">
            <v>A</v>
          </cell>
          <cell r="F1497" t="str">
            <v>11/18/1997</v>
          </cell>
        </row>
        <row r="1498">
          <cell r="B1498" t="str">
            <v>A0443</v>
          </cell>
          <cell r="C1498" t="str">
            <v>UEC</v>
          </cell>
          <cell r="D1498" t="str">
            <v>Y</v>
          </cell>
          <cell r="E1498" t="str">
            <v>A</v>
          </cell>
          <cell r="F1498" t="str">
            <v>11/18/1997</v>
          </cell>
        </row>
        <row r="1499">
          <cell r="B1499" t="str">
            <v>A0444</v>
          </cell>
          <cell r="C1499" t="str">
            <v>CIP</v>
          </cell>
          <cell r="D1499" t="str">
            <v>Y</v>
          </cell>
          <cell r="E1499" t="str">
            <v>A</v>
          </cell>
          <cell r="F1499" t="str">
            <v>11/18/1997</v>
          </cell>
        </row>
        <row r="1500">
          <cell r="B1500" t="str">
            <v>A0445</v>
          </cell>
          <cell r="C1500" t="str">
            <v>012D</v>
          </cell>
          <cell r="D1500" t="str">
            <v>Y</v>
          </cell>
          <cell r="E1500" t="str">
            <v>A</v>
          </cell>
          <cell r="F1500" t="str">
            <v>11/18/1997</v>
          </cell>
        </row>
        <row r="1501">
          <cell r="B1501" t="str">
            <v>A0446</v>
          </cell>
          <cell r="C1501" t="str">
            <v>UEC</v>
          </cell>
          <cell r="D1501" t="str">
            <v>Y</v>
          </cell>
          <cell r="E1501" t="str">
            <v>A</v>
          </cell>
          <cell r="F1501" t="str">
            <v>11/18/1997</v>
          </cell>
        </row>
        <row r="1502">
          <cell r="B1502" t="str">
            <v>A0447</v>
          </cell>
          <cell r="C1502" t="str">
            <v>008C</v>
          </cell>
          <cell r="D1502" t="str">
            <v>Y</v>
          </cell>
          <cell r="E1502" t="str">
            <v>A</v>
          </cell>
          <cell r="F1502" t="str">
            <v>11/18/1997</v>
          </cell>
        </row>
        <row r="1503">
          <cell r="B1503" t="str">
            <v>A0448</v>
          </cell>
          <cell r="C1503"/>
          <cell r="D1503" t="str">
            <v>Y</v>
          </cell>
          <cell r="E1503" t="str">
            <v>A</v>
          </cell>
          <cell r="F1503" t="str">
            <v>11/19/1997</v>
          </cell>
        </row>
        <row r="1504">
          <cell r="B1504" t="str">
            <v>A0449</v>
          </cell>
          <cell r="C1504" t="str">
            <v>CIP</v>
          </cell>
          <cell r="D1504" t="str">
            <v>Y</v>
          </cell>
          <cell r="E1504" t="str">
            <v>A</v>
          </cell>
          <cell r="F1504" t="str">
            <v>11/18/1997</v>
          </cell>
        </row>
        <row r="1505">
          <cell r="B1505" t="str">
            <v>A0450</v>
          </cell>
          <cell r="C1505" t="str">
            <v>017C</v>
          </cell>
          <cell r="D1505" t="str">
            <v>Y</v>
          </cell>
          <cell r="E1505" t="str">
            <v>A</v>
          </cell>
          <cell r="F1505" t="str">
            <v>11/18/1997</v>
          </cell>
        </row>
        <row r="1506">
          <cell r="B1506" t="str">
            <v>A0451</v>
          </cell>
          <cell r="C1506" t="str">
            <v>010A</v>
          </cell>
          <cell r="D1506" t="str">
            <v>Y</v>
          </cell>
          <cell r="E1506" t="str">
            <v>A</v>
          </cell>
          <cell r="F1506" t="str">
            <v>11/18/1997</v>
          </cell>
        </row>
        <row r="1507">
          <cell r="B1507" t="str">
            <v>A0452</v>
          </cell>
          <cell r="C1507" t="str">
            <v>AFS</v>
          </cell>
          <cell r="D1507" t="str">
            <v>Y</v>
          </cell>
          <cell r="E1507" t="str">
            <v>A</v>
          </cell>
          <cell r="F1507" t="str">
            <v>11/18/1997</v>
          </cell>
        </row>
        <row r="1508">
          <cell r="B1508" t="str">
            <v>A0454</v>
          </cell>
          <cell r="C1508" t="str">
            <v>UEC</v>
          </cell>
          <cell r="D1508" t="str">
            <v>Y</v>
          </cell>
          <cell r="E1508" t="str">
            <v>A</v>
          </cell>
          <cell r="F1508" t="str">
            <v>11/18/1997</v>
          </cell>
        </row>
        <row r="1509">
          <cell r="B1509" t="str">
            <v>A0455</v>
          </cell>
          <cell r="C1509" t="str">
            <v>015A</v>
          </cell>
          <cell r="D1509" t="str">
            <v>Y</v>
          </cell>
          <cell r="E1509" t="str">
            <v>A</v>
          </cell>
          <cell r="F1509" t="str">
            <v>11/19/1997</v>
          </cell>
        </row>
        <row r="1510">
          <cell r="B1510" t="str">
            <v>A0456</v>
          </cell>
          <cell r="C1510" t="str">
            <v>007A</v>
          </cell>
          <cell r="D1510" t="str">
            <v>Y</v>
          </cell>
          <cell r="E1510" t="str">
            <v>A</v>
          </cell>
          <cell r="F1510" t="str">
            <v>11/19/1997</v>
          </cell>
        </row>
        <row r="1511">
          <cell r="B1511" t="str">
            <v>A0457</v>
          </cell>
          <cell r="C1511" t="str">
            <v>AMC</v>
          </cell>
          <cell r="D1511" t="str">
            <v>Y</v>
          </cell>
          <cell r="E1511" t="str">
            <v>A</v>
          </cell>
          <cell r="F1511" t="str">
            <v>11/19/1997</v>
          </cell>
        </row>
        <row r="1512">
          <cell r="B1512" t="str">
            <v>A0458</v>
          </cell>
          <cell r="C1512" t="str">
            <v>UEC</v>
          </cell>
          <cell r="D1512" t="str">
            <v>Y</v>
          </cell>
          <cell r="E1512" t="str">
            <v>A</v>
          </cell>
          <cell r="F1512" t="str">
            <v>11/19/1997</v>
          </cell>
        </row>
        <row r="1513">
          <cell r="B1513" t="str">
            <v>A0459</v>
          </cell>
          <cell r="C1513" t="str">
            <v>UEC</v>
          </cell>
          <cell r="D1513" t="str">
            <v>Y</v>
          </cell>
          <cell r="E1513" t="str">
            <v>A</v>
          </cell>
          <cell r="F1513" t="str">
            <v>11/19/1997</v>
          </cell>
        </row>
        <row r="1514">
          <cell r="B1514" t="str">
            <v>A0460</v>
          </cell>
          <cell r="C1514" t="str">
            <v>UEC</v>
          </cell>
          <cell r="D1514" t="str">
            <v>Y</v>
          </cell>
          <cell r="E1514" t="str">
            <v>A</v>
          </cell>
          <cell r="F1514" t="str">
            <v>12/05/1997</v>
          </cell>
        </row>
        <row r="1515">
          <cell r="B1515" t="str">
            <v>A0461</v>
          </cell>
          <cell r="C1515" t="str">
            <v>UEC</v>
          </cell>
          <cell r="D1515" t="str">
            <v>Y</v>
          </cell>
          <cell r="E1515" t="str">
            <v>A</v>
          </cell>
          <cell r="F1515" t="str">
            <v>12/05/1997</v>
          </cell>
        </row>
        <row r="1516">
          <cell r="B1516" t="str">
            <v>A0462</v>
          </cell>
          <cell r="C1516" t="str">
            <v>UEC</v>
          </cell>
          <cell r="D1516" t="str">
            <v>Y</v>
          </cell>
          <cell r="E1516" t="str">
            <v>A</v>
          </cell>
          <cell r="F1516" t="str">
            <v>12/05/1997</v>
          </cell>
        </row>
        <row r="1517">
          <cell r="B1517" t="str">
            <v>A0463</v>
          </cell>
          <cell r="C1517" t="str">
            <v>UEC</v>
          </cell>
          <cell r="D1517" t="str">
            <v>Y</v>
          </cell>
          <cell r="E1517" t="str">
            <v>A</v>
          </cell>
          <cell r="F1517" t="str">
            <v>12/05/1997</v>
          </cell>
        </row>
        <row r="1518">
          <cell r="B1518" t="str">
            <v>A0464</v>
          </cell>
          <cell r="C1518" t="str">
            <v>CIP</v>
          </cell>
          <cell r="D1518" t="str">
            <v>Y</v>
          </cell>
          <cell r="E1518" t="str">
            <v>A</v>
          </cell>
          <cell r="F1518" t="str">
            <v>05/15/1998</v>
          </cell>
        </row>
        <row r="1519">
          <cell r="B1519" t="str">
            <v>A0465</v>
          </cell>
          <cell r="C1519"/>
          <cell r="D1519" t="str">
            <v>Y</v>
          </cell>
          <cell r="E1519" t="str">
            <v>A</v>
          </cell>
          <cell r="F1519" t="str">
            <v>05/15/1998</v>
          </cell>
        </row>
        <row r="1520">
          <cell r="B1520" t="str">
            <v>A0466</v>
          </cell>
          <cell r="C1520" t="str">
            <v>AED</v>
          </cell>
          <cell r="D1520" t="str">
            <v>Y</v>
          </cell>
          <cell r="E1520" t="str">
            <v>A</v>
          </cell>
          <cell r="F1520" t="str">
            <v>12/08/1997</v>
          </cell>
        </row>
        <row r="1521">
          <cell r="B1521" t="str">
            <v>A0467</v>
          </cell>
          <cell r="C1521" t="str">
            <v>007A</v>
          </cell>
          <cell r="D1521" t="str">
            <v>Y</v>
          </cell>
          <cell r="E1521" t="str">
            <v>A</v>
          </cell>
          <cell r="F1521" t="str">
            <v>10/29/1998</v>
          </cell>
        </row>
        <row r="1522">
          <cell r="B1522" t="str">
            <v>A0468</v>
          </cell>
          <cell r="C1522"/>
          <cell r="D1522" t="str">
            <v>Y</v>
          </cell>
          <cell r="E1522" t="str">
            <v>A</v>
          </cell>
          <cell r="F1522" t="str">
            <v>12/08/1997</v>
          </cell>
        </row>
        <row r="1523">
          <cell r="B1523" t="str">
            <v>A0471</v>
          </cell>
          <cell r="C1523"/>
          <cell r="D1523" t="str">
            <v>Y</v>
          </cell>
          <cell r="E1523" t="str">
            <v>A</v>
          </cell>
          <cell r="F1523" t="str">
            <v>12/10/1997</v>
          </cell>
        </row>
        <row r="1524">
          <cell r="B1524" t="str">
            <v>A0479</v>
          </cell>
          <cell r="C1524" t="str">
            <v>010A</v>
          </cell>
          <cell r="D1524" t="str">
            <v>Y</v>
          </cell>
          <cell r="E1524" t="str">
            <v>A</v>
          </cell>
          <cell r="F1524" t="str">
            <v>05/15/1998</v>
          </cell>
        </row>
        <row r="1525">
          <cell r="B1525" t="str">
            <v>A0480</v>
          </cell>
          <cell r="C1525" t="str">
            <v>AME</v>
          </cell>
          <cell r="D1525" t="str">
            <v>Y</v>
          </cell>
          <cell r="E1525" t="str">
            <v>A</v>
          </cell>
          <cell r="F1525" t="str">
            <v>09/29/1998</v>
          </cell>
        </row>
        <row r="1526">
          <cell r="B1526" t="str">
            <v>A0481</v>
          </cell>
          <cell r="C1526" t="str">
            <v>UEC</v>
          </cell>
          <cell r="D1526" t="str">
            <v>Y</v>
          </cell>
          <cell r="E1526" t="str">
            <v>A</v>
          </cell>
          <cell r="F1526" t="str">
            <v>12/12/1997</v>
          </cell>
        </row>
        <row r="1527">
          <cell r="B1527" t="str">
            <v>A0482</v>
          </cell>
          <cell r="C1527" t="str">
            <v>007A</v>
          </cell>
          <cell r="D1527" t="str">
            <v>Y</v>
          </cell>
          <cell r="E1527" t="str">
            <v>A</v>
          </cell>
          <cell r="F1527" t="str">
            <v>01/08/1999</v>
          </cell>
        </row>
        <row r="1528">
          <cell r="B1528" t="str">
            <v>A0483</v>
          </cell>
          <cell r="C1528" t="str">
            <v>004O</v>
          </cell>
          <cell r="D1528" t="str">
            <v>Y</v>
          </cell>
          <cell r="E1528" t="str">
            <v>A</v>
          </cell>
          <cell r="F1528" t="str">
            <v>01/08/1999</v>
          </cell>
        </row>
        <row r="1529">
          <cell r="B1529" t="str">
            <v>A0484</v>
          </cell>
          <cell r="C1529" t="str">
            <v>AEC</v>
          </cell>
          <cell r="D1529" t="str">
            <v>Y</v>
          </cell>
          <cell r="E1529" t="str">
            <v>A</v>
          </cell>
          <cell r="F1529" t="str">
            <v>09/29/1998</v>
          </cell>
        </row>
        <row r="1530">
          <cell r="B1530" t="str">
            <v>A0486</v>
          </cell>
          <cell r="C1530" t="str">
            <v>002M</v>
          </cell>
          <cell r="D1530" t="str">
            <v>Y</v>
          </cell>
          <cell r="E1530" t="str">
            <v>A</v>
          </cell>
          <cell r="F1530" t="str">
            <v>01/11/1999</v>
          </cell>
        </row>
        <row r="1531">
          <cell r="B1531" t="str">
            <v>A0487</v>
          </cell>
          <cell r="C1531" t="str">
            <v>CIP</v>
          </cell>
          <cell r="D1531" t="str">
            <v>Y</v>
          </cell>
          <cell r="E1531" t="str">
            <v>A</v>
          </cell>
          <cell r="F1531" t="str">
            <v>07/23/1998</v>
          </cell>
        </row>
        <row r="1532">
          <cell r="B1532" t="str">
            <v>A0488</v>
          </cell>
          <cell r="C1532" t="str">
            <v>AME</v>
          </cell>
          <cell r="D1532" t="str">
            <v>Y</v>
          </cell>
          <cell r="E1532" t="str">
            <v>A</v>
          </cell>
          <cell r="F1532" t="str">
            <v>10/14/1998</v>
          </cell>
        </row>
        <row r="1533">
          <cell r="B1533" t="str">
            <v>A0489</v>
          </cell>
          <cell r="C1533" t="str">
            <v>AME</v>
          </cell>
          <cell r="D1533" t="str">
            <v>Y</v>
          </cell>
          <cell r="E1533" t="str">
            <v>A</v>
          </cell>
          <cell r="F1533" t="str">
            <v>07/29/1998</v>
          </cell>
        </row>
        <row r="1534">
          <cell r="B1534" t="str">
            <v>A0490</v>
          </cell>
          <cell r="C1534" t="str">
            <v>AEC</v>
          </cell>
          <cell r="D1534" t="str">
            <v>Y</v>
          </cell>
          <cell r="E1534" t="str">
            <v>A</v>
          </cell>
          <cell r="F1534" t="str">
            <v>08/09/1998</v>
          </cell>
        </row>
        <row r="1535">
          <cell r="B1535" t="str">
            <v>A0494</v>
          </cell>
          <cell r="C1535" t="str">
            <v>ERC</v>
          </cell>
          <cell r="D1535" t="str">
            <v>Y</v>
          </cell>
          <cell r="E1535" t="str">
            <v>A</v>
          </cell>
          <cell r="F1535" t="str">
            <v>08/13/1998</v>
          </cell>
        </row>
        <row r="1536">
          <cell r="B1536" t="str">
            <v>A0496</v>
          </cell>
          <cell r="C1536"/>
          <cell r="D1536" t="str">
            <v>Y</v>
          </cell>
          <cell r="E1536" t="str">
            <v>A</v>
          </cell>
          <cell r="F1536" t="str">
            <v>10/14/1998</v>
          </cell>
        </row>
        <row r="1537">
          <cell r="B1537" t="str">
            <v>A0497</v>
          </cell>
          <cell r="C1537" t="str">
            <v>UEC</v>
          </cell>
          <cell r="D1537" t="str">
            <v>N</v>
          </cell>
          <cell r="E1537" t="str">
            <v>A</v>
          </cell>
          <cell r="F1537" t="str">
            <v>07/13/1998</v>
          </cell>
        </row>
        <row r="1538">
          <cell r="B1538" t="str">
            <v>A0499</v>
          </cell>
          <cell r="C1538" t="str">
            <v>UEC</v>
          </cell>
          <cell r="D1538" t="str">
            <v>Y</v>
          </cell>
          <cell r="E1538" t="str">
            <v>A</v>
          </cell>
          <cell r="F1538" t="str">
            <v>07/13/1998</v>
          </cell>
        </row>
        <row r="1539">
          <cell r="B1539" t="str">
            <v>A0500</v>
          </cell>
          <cell r="C1539" t="str">
            <v>012D</v>
          </cell>
          <cell r="D1539" t="str">
            <v>Y</v>
          </cell>
          <cell r="E1539" t="str">
            <v>A</v>
          </cell>
          <cell r="F1539" t="str">
            <v>12/15/1997</v>
          </cell>
        </row>
        <row r="1540">
          <cell r="B1540" t="str">
            <v>A0501</v>
          </cell>
          <cell r="C1540" t="str">
            <v>UEC</v>
          </cell>
          <cell r="D1540" t="str">
            <v>Y</v>
          </cell>
          <cell r="E1540" t="str">
            <v>A</v>
          </cell>
          <cell r="F1540" t="str">
            <v>12/15/1997</v>
          </cell>
        </row>
        <row r="1541">
          <cell r="B1541" t="str">
            <v>A0502</v>
          </cell>
          <cell r="C1541" t="str">
            <v>CIP</v>
          </cell>
          <cell r="D1541" t="str">
            <v>Y</v>
          </cell>
          <cell r="E1541" t="str">
            <v>A</v>
          </cell>
          <cell r="F1541" t="str">
            <v>12/15/1997</v>
          </cell>
        </row>
        <row r="1542">
          <cell r="B1542" t="str">
            <v>A0503</v>
          </cell>
          <cell r="C1542" t="str">
            <v>UEC</v>
          </cell>
          <cell r="D1542" t="str">
            <v>Y</v>
          </cell>
          <cell r="E1542" t="str">
            <v>A</v>
          </cell>
          <cell r="F1542" t="str">
            <v>07/13/1998</v>
          </cell>
        </row>
        <row r="1543">
          <cell r="B1543" t="str">
            <v>A0504</v>
          </cell>
          <cell r="C1543" t="str">
            <v>002K</v>
          </cell>
          <cell r="D1543" t="str">
            <v>Y</v>
          </cell>
          <cell r="E1543" t="str">
            <v>A</v>
          </cell>
          <cell r="F1543" t="str">
            <v>12/15/1997</v>
          </cell>
        </row>
        <row r="1544">
          <cell r="B1544" t="str">
            <v>A0505</v>
          </cell>
          <cell r="C1544" t="str">
            <v>GEN</v>
          </cell>
          <cell r="D1544" t="str">
            <v>Y</v>
          </cell>
          <cell r="E1544" t="str">
            <v>A</v>
          </cell>
          <cell r="F1544" t="str">
            <v>07/13/1998</v>
          </cell>
        </row>
        <row r="1545">
          <cell r="B1545" t="str">
            <v>A0506</v>
          </cell>
          <cell r="C1545" t="str">
            <v>UEC</v>
          </cell>
          <cell r="D1545" t="str">
            <v>Y</v>
          </cell>
          <cell r="E1545" t="str">
            <v>A</v>
          </cell>
          <cell r="F1545" t="str">
            <v>12/16/1997</v>
          </cell>
        </row>
        <row r="1546">
          <cell r="B1546" t="str">
            <v>A0507</v>
          </cell>
          <cell r="C1546" t="str">
            <v>CIP</v>
          </cell>
          <cell r="D1546" t="str">
            <v>Y</v>
          </cell>
          <cell r="E1546" t="str">
            <v>A</v>
          </cell>
          <cell r="F1546" t="str">
            <v>07/13/1998</v>
          </cell>
        </row>
        <row r="1547">
          <cell r="B1547" t="str">
            <v>A0508</v>
          </cell>
          <cell r="C1547" t="str">
            <v>UEC</v>
          </cell>
          <cell r="D1547" t="str">
            <v>Y</v>
          </cell>
          <cell r="E1547" t="str">
            <v>A</v>
          </cell>
          <cell r="F1547" t="str">
            <v>12/16/1997</v>
          </cell>
        </row>
        <row r="1548">
          <cell r="B1548" t="str">
            <v>A0509</v>
          </cell>
          <cell r="C1548" t="str">
            <v>001G</v>
          </cell>
          <cell r="D1548" t="str">
            <v>Y</v>
          </cell>
          <cell r="E1548" t="str">
            <v>A</v>
          </cell>
          <cell r="F1548" t="str">
            <v>12/16/1997</v>
          </cell>
        </row>
        <row r="1549">
          <cell r="B1549" t="str">
            <v>A0510</v>
          </cell>
          <cell r="C1549" t="str">
            <v>UEC</v>
          </cell>
          <cell r="D1549" t="str">
            <v>Y</v>
          </cell>
          <cell r="E1549" t="str">
            <v>A</v>
          </cell>
          <cell r="F1549" t="str">
            <v>12/16/1997</v>
          </cell>
        </row>
        <row r="1550">
          <cell r="B1550" t="str">
            <v>A0511</v>
          </cell>
          <cell r="C1550" t="str">
            <v>CIP</v>
          </cell>
          <cell r="D1550" t="str">
            <v>Y</v>
          </cell>
          <cell r="E1550" t="str">
            <v>A</v>
          </cell>
          <cell r="F1550" t="str">
            <v>12/16/1997</v>
          </cell>
        </row>
        <row r="1551">
          <cell r="B1551" t="str">
            <v>A0512</v>
          </cell>
          <cell r="C1551" t="str">
            <v>CIP</v>
          </cell>
          <cell r="D1551" t="str">
            <v>Y</v>
          </cell>
          <cell r="E1551" t="str">
            <v>A</v>
          </cell>
          <cell r="F1551" t="str">
            <v>12/16/1997</v>
          </cell>
        </row>
        <row r="1552">
          <cell r="B1552" t="str">
            <v>A0513</v>
          </cell>
          <cell r="C1552" t="str">
            <v>UDC</v>
          </cell>
          <cell r="D1552" t="str">
            <v>Y</v>
          </cell>
          <cell r="E1552" t="str">
            <v>A</v>
          </cell>
          <cell r="F1552" t="str">
            <v>12/16/1997</v>
          </cell>
        </row>
        <row r="1553">
          <cell r="B1553" t="str">
            <v>A0515</v>
          </cell>
          <cell r="C1553" t="str">
            <v>010A</v>
          </cell>
          <cell r="D1553" t="str">
            <v>Y</v>
          </cell>
          <cell r="E1553" t="str">
            <v>A</v>
          </cell>
          <cell r="F1553" t="str">
            <v>12/16/1997</v>
          </cell>
        </row>
        <row r="1554">
          <cell r="B1554" t="str">
            <v>A0517</v>
          </cell>
          <cell r="C1554" t="str">
            <v>UEC</v>
          </cell>
          <cell r="D1554" t="str">
            <v>Y</v>
          </cell>
          <cell r="E1554" t="str">
            <v>A</v>
          </cell>
          <cell r="F1554" t="str">
            <v>12/16/1997</v>
          </cell>
        </row>
        <row r="1555">
          <cell r="B1555" t="str">
            <v>A0518</v>
          </cell>
          <cell r="C1555" t="str">
            <v>CIP</v>
          </cell>
          <cell r="D1555" t="str">
            <v>Y</v>
          </cell>
          <cell r="E1555" t="str">
            <v>A</v>
          </cell>
          <cell r="F1555" t="str">
            <v>12/16/1997</v>
          </cell>
        </row>
        <row r="1556">
          <cell r="B1556" t="str">
            <v>A0519</v>
          </cell>
          <cell r="C1556" t="str">
            <v>010A</v>
          </cell>
          <cell r="D1556" t="str">
            <v>Y</v>
          </cell>
          <cell r="E1556" t="str">
            <v>A</v>
          </cell>
          <cell r="F1556" t="str">
            <v>12/16/1997</v>
          </cell>
        </row>
        <row r="1557">
          <cell r="B1557" t="str">
            <v>A0520</v>
          </cell>
          <cell r="C1557" t="str">
            <v>010A</v>
          </cell>
          <cell r="D1557" t="str">
            <v>Y</v>
          </cell>
          <cell r="E1557" t="str">
            <v>A</v>
          </cell>
          <cell r="F1557" t="str">
            <v>12/16/1997</v>
          </cell>
        </row>
        <row r="1558">
          <cell r="B1558" t="str">
            <v>A0521</v>
          </cell>
          <cell r="C1558" t="str">
            <v>UEC</v>
          </cell>
          <cell r="D1558" t="str">
            <v>Y</v>
          </cell>
          <cell r="E1558" t="str">
            <v>A</v>
          </cell>
          <cell r="F1558" t="str">
            <v>12/16/1997</v>
          </cell>
        </row>
        <row r="1559">
          <cell r="B1559" t="str">
            <v>A0522</v>
          </cell>
          <cell r="C1559" t="str">
            <v>CIP</v>
          </cell>
          <cell r="D1559" t="str">
            <v>Y</v>
          </cell>
          <cell r="E1559" t="str">
            <v>A</v>
          </cell>
          <cell r="F1559" t="str">
            <v>12/16/1997</v>
          </cell>
        </row>
        <row r="1560">
          <cell r="B1560" t="str">
            <v>A0523</v>
          </cell>
          <cell r="C1560" t="str">
            <v>010A</v>
          </cell>
          <cell r="D1560" t="str">
            <v>Y</v>
          </cell>
          <cell r="E1560" t="str">
            <v>A</v>
          </cell>
          <cell r="F1560" t="str">
            <v>12/16/1997</v>
          </cell>
        </row>
        <row r="1561">
          <cell r="B1561" t="str">
            <v>A0524</v>
          </cell>
          <cell r="C1561" t="str">
            <v>UEC</v>
          </cell>
          <cell r="D1561" t="str">
            <v>Y</v>
          </cell>
          <cell r="E1561" t="str">
            <v>A</v>
          </cell>
          <cell r="F1561" t="str">
            <v>12/16/1997</v>
          </cell>
        </row>
        <row r="1562">
          <cell r="B1562" t="str">
            <v>A0525</v>
          </cell>
          <cell r="C1562" t="str">
            <v>CIP</v>
          </cell>
          <cell r="D1562" t="str">
            <v>Y</v>
          </cell>
          <cell r="E1562" t="str">
            <v>A</v>
          </cell>
          <cell r="F1562" t="str">
            <v>12/16/1997</v>
          </cell>
        </row>
        <row r="1563">
          <cell r="B1563" t="str">
            <v>A0526</v>
          </cell>
          <cell r="C1563" t="str">
            <v>010A</v>
          </cell>
          <cell r="D1563" t="str">
            <v>Y</v>
          </cell>
          <cell r="E1563" t="str">
            <v>A</v>
          </cell>
          <cell r="F1563" t="str">
            <v>12/16/1997</v>
          </cell>
        </row>
        <row r="1564">
          <cell r="B1564" t="str">
            <v>A0527</v>
          </cell>
          <cell r="C1564" t="str">
            <v>010A</v>
          </cell>
          <cell r="D1564" t="str">
            <v>Y</v>
          </cell>
          <cell r="E1564" t="str">
            <v>A</v>
          </cell>
          <cell r="F1564" t="str">
            <v>07/14/1998</v>
          </cell>
        </row>
        <row r="1565">
          <cell r="B1565" t="str">
            <v>A0528</v>
          </cell>
          <cell r="C1565" t="str">
            <v>010A</v>
          </cell>
          <cell r="D1565" t="str">
            <v>Y</v>
          </cell>
          <cell r="E1565" t="str">
            <v>A</v>
          </cell>
          <cell r="F1565" t="str">
            <v>07/14/1998</v>
          </cell>
        </row>
        <row r="1566">
          <cell r="B1566" t="str">
            <v>A0530</v>
          </cell>
          <cell r="C1566" t="str">
            <v>010A</v>
          </cell>
          <cell r="D1566" t="str">
            <v>Y</v>
          </cell>
          <cell r="E1566" t="str">
            <v>A</v>
          </cell>
          <cell r="F1566" t="str">
            <v>07/14/1998</v>
          </cell>
        </row>
        <row r="1567">
          <cell r="B1567" t="str">
            <v>A0531</v>
          </cell>
          <cell r="C1567" t="str">
            <v>004A</v>
          </cell>
          <cell r="D1567" t="str">
            <v>Y</v>
          </cell>
          <cell r="E1567" t="str">
            <v>A</v>
          </cell>
          <cell r="F1567" t="str">
            <v>12/17/1997</v>
          </cell>
        </row>
        <row r="1568">
          <cell r="B1568" t="str">
            <v>A0532</v>
          </cell>
          <cell r="C1568" t="str">
            <v>UEC</v>
          </cell>
          <cell r="D1568" t="str">
            <v>Y</v>
          </cell>
          <cell r="E1568" t="str">
            <v>A</v>
          </cell>
          <cell r="F1568" t="str">
            <v>12/17/1997</v>
          </cell>
        </row>
        <row r="1569">
          <cell r="B1569" t="str">
            <v>A0533</v>
          </cell>
          <cell r="C1569" t="str">
            <v>CIP</v>
          </cell>
          <cell r="D1569" t="str">
            <v>Y</v>
          </cell>
          <cell r="E1569" t="str">
            <v>A</v>
          </cell>
          <cell r="F1569" t="str">
            <v>12/17/1997</v>
          </cell>
        </row>
        <row r="1570">
          <cell r="B1570" t="str">
            <v>A0534</v>
          </cell>
          <cell r="C1570" t="str">
            <v>AME</v>
          </cell>
          <cell r="D1570" t="str">
            <v>Y</v>
          </cell>
          <cell r="E1570" t="str">
            <v>A</v>
          </cell>
          <cell r="F1570" t="str">
            <v>07/17/1998</v>
          </cell>
        </row>
        <row r="1571">
          <cell r="B1571" t="str">
            <v>A0535</v>
          </cell>
          <cell r="C1571" t="str">
            <v>AMC</v>
          </cell>
          <cell r="D1571" t="str">
            <v>Y</v>
          </cell>
          <cell r="E1571" t="str">
            <v>A</v>
          </cell>
          <cell r="F1571" t="str">
            <v>12/17/1997</v>
          </cell>
        </row>
        <row r="1572">
          <cell r="B1572" t="str">
            <v>A0536</v>
          </cell>
          <cell r="C1572"/>
          <cell r="D1572" t="str">
            <v>Y</v>
          </cell>
          <cell r="E1572" t="str">
            <v>A</v>
          </cell>
          <cell r="F1572" t="str">
            <v>12/17/1997</v>
          </cell>
        </row>
        <row r="1573">
          <cell r="B1573" t="str">
            <v>A0537</v>
          </cell>
          <cell r="C1573" t="str">
            <v>UDC</v>
          </cell>
          <cell r="D1573" t="str">
            <v>Y</v>
          </cell>
          <cell r="E1573" t="str">
            <v>A</v>
          </cell>
          <cell r="F1573" t="str">
            <v>12/17/1997</v>
          </cell>
        </row>
        <row r="1574">
          <cell r="B1574" t="str">
            <v>A0543</v>
          </cell>
          <cell r="C1574" t="str">
            <v>003A</v>
          </cell>
          <cell r="D1574" t="str">
            <v>Y</v>
          </cell>
          <cell r="E1574" t="str">
            <v>A</v>
          </cell>
          <cell r="F1574" t="str">
            <v>12/17/1997</v>
          </cell>
        </row>
        <row r="1575">
          <cell r="B1575" t="str">
            <v>A0544</v>
          </cell>
          <cell r="C1575" t="str">
            <v>CIP</v>
          </cell>
          <cell r="D1575" t="str">
            <v>Y</v>
          </cell>
          <cell r="E1575" t="str">
            <v>A</v>
          </cell>
          <cell r="F1575" t="str">
            <v>12/17/1997</v>
          </cell>
        </row>
        <row r="1576">
          <cell r="B1576" t="str">
            <v>A0545</v>
          </cell>
          <cell r="C1576" t="str">
            <v>UEC</v>
          </cell>
          <cell r="D1576" t="str">
            <v>Y</v>
          </cell>
          <cell r="E1576" t="str">
            <v>A</v>
          </cell>
          <cell r="F1576" t="str">
            <v>12/17/1997</v>
          </cell>
        </row>
        <row r="1577">
          <cell r="B1577" t="str">
            <v>A0547</v>
          </cell>
          <cell r="C1577" t="str">
            <v>003A</v>
          </cell>
          <cell r="D1577" t="str">
            <v>Y</v>
          </cell>
          <cell r="E1577" t="str">
            <v>A</v>
          </cell>
          <cell r="F1577" t="str">
            <v>12/17/1997</v>
          </cell>
        </row>
        <row r="1578">
          <cell r="B1578" t="str">
            <v>A0548</v>
          </cell>
          <cell r="C1578"/>
          <cell r="D1578" t="str">
            <v>Y</v>
          </cell>
          <cell r="E1578" t="str">
            <v>A</v>
          </cell>
          <cell r="F1578" t="str">
            <v>10/14/1998</v>
          </cell>
        </row>
        <row r="1579">
          <cell r="B1579" t="str">
            <v>A0551</v>
          </cell>
          <cell r="C1579" t="str">
            <v>UEC</v>
          </cell>
          <cell r="D1579" t="str">
            <v>Y</v>
          </cell>
          <cell r="E1579" t="str">
            <v>A</v>
          </cell>
          <cell r="F1579" t="str">
            <v>12/17/1997</v>
          </cell>
        </row>
        <row r="1580">
          <cell r="B1580" t="str">
            <v>A0552</v>
          </cell>
          <cell r="C1580" t="str">
            <v>CIP</v>
          </cell>
          <cell r="D1580" t="str">
            <v>Y</v>
          </cell>
          <cell r="E1580" t="str">
            <v>A</v>
          </cell>
          <cell r="F1580" t="str">
            <v>12/17/1997</v>
          </cell>
        </row>
        <row r="1581">
          <cell r="B1581" t="str">
            <v>A0555</v>
          </cell>
          <cell r="C1581"/>
          <cell r="D1581" t="str">
            <v>Y</v>
          </cell>
          <cell r="E1581" t="str">
            <v>A</v>
          </cell>
          <cell r="F1581" t="str">
            <v>12/18/1997</v>
          </cell>
        </row>
        <row r="1582">
          <cell r="B1582" t="str">
            <v>A0556</v>
          </cell>
          <cell r="C1582" t="str">
            <v>UEC</v>
          </cell>
          <cell r="D1582" t="str">
            <v>Y</v>
          </cell>
          <cell r="E1582" t="str">
            <v>A</v>
          </cell>
          <cell r="F1582" t="str">
            <v>12/18/1997</v>
          </cell>
        </row>
        <row r="1583">
          <cell r="B1583" t="str">
            <v>A0557</v>
          </cell>
          <cell r="C1583" t="str">
            <v>CIP</v>
          </cell>
          <cell r="D1583" t="str">
            <v>Y</v>
          </cell>
          <cell r="E1583" t="str">
            <v>A</v>
          </cell>
          <cell r="F1583" t="str">
            <v>12/18/1997</v>
          </cell>
        </row>
        <row r="1584">
          <cell r="B1584" t="str">
            <v>A0558</v>
          </cell>
          <cell r="C1584" t="str">
            <v>004A</v>
          </cell>
          <cell r="D1584" t="str">
            <v>Y</v>
          </cell>
          <cell r="E1584" t="str">
            <v>A</v>
          </cell>
          <cell r="F1584" t="str">
            <v>12/18/1997</v>
          </cell>
        </row>
        <row r="1585">
          <cell r="B1585" t="str">
            <v>A0559</v>
          </cell>
          <cell r="C1585"/>
          <cell r="D1585" t="str">
            <v>Y</v>
          </cell>
          <cell r="E1585" t="str">
            <v>A</v>
          </cell>
          <cell r="F1585" t="str">
            <v>12/18/1997</v>
          </cell>
        </row>
        <row r="1586">
          <cell r="B1586" t="str">
            <v>A0560</v>
          </cell>
          <cell r="C1586" t="str">
            <v>UDC</v>
          </cell>
          <cell r="D1586" t="str">
            <v>Y</v>
          </cell>
          <cell r="E1586" t="str">
            <v>A</v>
          </cell>
          <cell r="F1586" t="str">
            <v>12/18/1997</v>
          </cell>
        </row>
        <row r="1587">
          <cell r="B1587" t="str">
            <v>A0561</v>
          </cell>
          <cell r="C1587" t="str">
            <v>AMC</v>
          </cell>
          <cell r="D1587" t="str">
            <v>Y</v>
          </cell>
          <cell r="E1587" t="str">
            <v>A</v>
          </cell>
          <cell r="F1587" t="str">
            <v>12/18/1997</v>
          </cell>
        </row>
        <row r="1588">
          <cell r="B1588" t="str">
            <v>A0562</v>
          </cell>
          <cell r="C1588" t="str">
            <v>AEC</v>
          </cell>
          <cell r="D1588" t="str">
            <v>Y</v>
          </cell>
          <cell r="E1588" t="str">
            <v>A</v>
          </cell>
          <cell r="F1588" t="str">
            <v>08/13/1998</v>
          </cell>
        </row>
        <row r="1589">
          <cell r="B1589" t="str">
            <v>A0564</v>
          </cell>
          <cell r="C1589" t="str">
            <v>AME</v>
          </cell>
          <cell r="D1589" t="str">
            <v>Y</v>
          </cell>
          <cell r="E1589" t="str">
            <v>A</v>
          </cell>
          <cell r="F1589" t="str">
            <v>08/13/1998</v>
          </cell>
        </row>
        <row r="1590">
          <cell r="B1590" t="str">
            <v>A0567</v>
          </cell>
          <cell r="C1590"/>
          <cell r="D1590" t="str">
            <v>Y</v>
          </cell>
          <cell r="E1590" t="str">
            <v>A</v>
          </cell>
          <cell r="F1590" t="str">
            <v>12/19/1997</v>
          </cell>
        </row>
        <row r="1591">
          <cell r="B1591" t="str">
            <v>A0570</v>
          </cell>
          <cell r="C1591" t="str">
            <v>UEC</v>
          </cell>
          <cell r="D1591" t="str">
            <v>Y</v>
          </cell>
          <cell r="E1591" t="str">
            <v>A</v>
          </cell>
          <cell r="F1591" t="str">
            <v>12/19/1997</v>
          </cell>
        </row>
        <row r="1592">
          <cell r="B1592" t="str">
            <v>A0571</v>
          </cell>
          <cell r="C1592" t="str">
            <v>CIP</v>
          </cell>
          <cell r="D1592" t="str">
            <v>Y</v>
          </cell>
          <cell r="E1592" t="str">
            <v>A</v>
          </cell>
          <cell r="F1592" t="str">
            <v>12/19/1997</v>
          </cell>
        </row>
        <row r="1593">
          <cell r="B1593" t="str">
            <v>A0573</v>
          </cell>
          <cell r="C1593" t="str">
            <v>UEC</v>
          </cell>
          <cell r="D1593" t="str">
            <v>Y</v>
          </cell>
          <cell r="E1593" t="str">
            <v>A</v>
          </cell>
          <cell r="F1593" t="str">
            <v>12/19/1997</v>
          </cell>
        </row>
        <row r="1594">
          <cell r="B1594" t="str">
            <v>A0574</v>
          </cell>
          <cell r="C1594" t="str">
            <v>CIP</v>
          </cell>
          <cell r="D1594" t="str">
            <v>Y</v>
          </cell>
          <cell r="E1594" t="str">
            <v>A</v>
          </cell>
          <cell r="F1594" t="str">
            <v>12/19/1997</v>
          </cell>
        </row>
        <row r="1595">
          <cell r="B1595" t="str">
            <v>A0580</v>
          </cell>
          <cell r="C1595" t="str">
            <v>CIP</v>
          </cell>
          <cell r="D1595" t="str">
            <v>Y</v>
          </cell>
          <cell r="E1595" t="str">
            <v>A</v>
          </cell>
          <cell r="F1595" t="str">
            <v>12/19/1997</v>
          </cell>
        </row>
        <row r="1596">
          <cell r="B1596" t="str">
            <v>A0593</v>
          </cell>
          <cell r="C1596" t="str">
            <v>003A</v>
          </cell>
          <cell r="D1596" t="str">
            <v>Y</v>
          </cell>
          <cell r="E1596" t="str">
            <v>A</v>
          </cell>
          <cell r="F1596" t="str">
            <v>12/22/1997</v>
          </cell>
        </row>
        <row r="1597">
          <cell r="B1597" t="str">
            <v>A0594</v>
          </cell>
          <cell r="C1597" t="str">
            <v>003A</v>
          </cell>
          <cell r="D1597" t="str">
            <v>Y</v>
          </cell>
          <cell r="E1597" t="str">
            <v>A</v>
          </cell>
          <cell r="F1597" t="str">
            <v>12/22/1997</v>
          </cell>
        </row>
        <row r="1598">
          <cell r="B1598" t="str">
            <v>A0596</v>
          </cell>
          <cell r="C1598"/>
          <cell r="D1598" t="str">
            <v>Y</v>
          </cell>
          <cell r="E1598" t="str">
            <v>A</v>
          </cell>
          <cell r="F1598" t="str">
            <v>12/23/1997</v>
          </cell>
        </row>
        <row r="1599">
          <cell r="B1599" t="str">
            <v>A0600</v>
          </cell>
          <cell r="C1599"/>
          <cell r="D1599" t="str">
            <v>Y</v>
          </cell>
          <cell r="E1599" t="str">
            <v>A</v>
          </cell>
          <cell r="F1599" t="str">
            <v>12/23/1997</v>
          </cell>
        </row>
        <row r="1600">
          <cell r="B1600" t="str">
            <v>A0613</v>
          </cell>
          <cell r="C1600" t="str">
            <v>UEC</v>
          </cell>
          <cell r="D1600" t="str">
            <v>Y</v>
          </cell>
          <cell r="E1600" t="str">
            <v>A</v>
          </cell>
          <cell r="F1600" t="str">
            <v>12/29/1997</v>
          </cell>
        </row>
        <row r="1601">
          <cell r="B1601" t="str">
            <v>A0622</v>
          </cell>
          <cell r="C1601"/>
          <cell r="D1601" t="str">
            <v>Y</v>
          </cell>
          <cell r="E1601" t="str">
            <v>A</v>
          </cell>
          <cell r="F1601" t="str">
            <v>08/22/1998</v>
          </cell>
        </row>
        <row r="1602">
          <cell r="B1602" t="str">
            <v>A0623</v>
          </cell>
          <cell r="C1602"/>
          <cell r="D1602" t="str">
            <v>Y</v>
          </cell>
          <cell r="E1602" t="str">
            <v>A</v>
          </cell>
          <cell r="F1602" t="str">
            <v>08/22/1998</v>
          </cell>
        </row>
        <row r="1603">
          <cell r="B1603" t="str">
            <v>A0624</v>
          </cell>
          <cell r="C1603"/>
          <cell r="D1603" t="str">
            <v>Y</v>
          </cell>
          <cell r="E1603" t="str">
            <v>A</v>
          </cell>
          <cell r="F1603" t="str">
            <v>08/22/1998</v>
          </cell>
        </row>
        <row r="1604">
          <cell r="B1604" t="str">
            <v>A0625</v>
          </cell>
          <cell r="C1604" t="str">
            <v>016A</v>
          </cell>
          <cell r="D1604" t="str">
            <v>Y</v>
          </cell>
          <cell r="E1604" t="str">
            <v>A</v>
          </cell>
          <cell r="F1604" t="str">
            <v>08/25/1998</v>
          </cell>
        </row>
        <row r="1605">
          <cell r="B1605" t="str">
            <v>A0629</v>
          </cell>
          <cell r="C1605"/>
          <cell r="D1605" t="str">
            <v>Y</v>
          </cell>
          <cell r="E1605" t="str">
            <v>A</v>
          </cell>
          <cell r="F1605" t="str">
            <v>12/29/1997</v>
          </cell>
        </row>
        <row r="1606">
          <cell r="B1606" t="str">
            <v>A0631</v>
          </cell>
          <cell r="C1606"/>
          <cell r="D1606" t="str">
            <v>Y</v>
          </cell>
          <cell r="E1606" t="str">
            <v>A</v>
          </cell>
          <cell r="F1606" t="str">
            <v>12/29/1997</v>
          </cell>
        </row>
        <row r="1607">
          <cell r="B1607" t="str">
            <v>A0633</v>
          </cell>
          <cell r="C1607" t="str">
            <v>UEC</v>
          </cell>
          <cell r="D1607" t="str">
            <v>Y</v>
          </cell>
          <cell r="E1607" t="str">
            <v>A</v>
          </cell>
          <cell r="F1607" t="str">
            <v>12/29/1997</v>
          </cell>
        </row>
        <row r="1608">
          <cell r="B1608" t="str">
            <v>A0647</v>
          </cell>
          <cell r="C1608" t="str">
            <v>CIP</v>
          </cell>
          <cell r="D1608" t="str">
            <v>Y</v>
          </cell>
          <cell r="E1608" t="str">
            <v>A</v>
          </cell>
          <cell r="F1608" t="str">
            <v>12/30/1997</v>
          </cell>
        </row>
        <row r="1609">
          <cell r="B1609" t="str">
            <v>A0648</v>
          </cell>
          <cell r="C1609" t="str">
            <v>UEC</v>
          </cell>
          <cell r="D1609" t="str">
            <v>Y</v>
          </cell>
          <cell r="E1609" t="str">
            <v>A</v>
          </cell>
          <cell r="F1609" t="str">
            <v>12/30/1997</v>
          </cell>
        </row>
        <row r="1610">
          <cell r="B1610" t="str">
            <v>A0654</v>
          </cell>
          <cell r="C1610" t="str">
            <v>UEC</v>
          </cell>
          <cell r="D1610" t="str">
            <v>Y</v>
          </cell>
          <cell r="E1610" t="str">
            <v>A</v>
          </cell>
          <cell r="F1610" t="str">
            <v>12/30/1997</v>
          </cell>
        </row>
        <row r="1611">
          <cell r="B1611" t="str">
            <v>A0657</v>
          </cell>
          <cell r="C1611" t="str">
            <v>CIP</v>
          </cell>
          <cell r="D1611" t="str">
            <v>Y</v>
          </cell>
          <cell r="E1611" t="str">
            <v>A</v>
          </cell>
          <cell r="F1611" t="str">
            <v>12/30/1997</v>
          </cell>
        </row>
        <row r="1612">
          <cell r="B1612" t="str">
            <v>A0662</v>
          </cell>
          <cell r="C1612" t="str">
            <v>UDC</v>
          </cell>
          <cell r="D1612" t="str">
            <v>Y</v>
          </cell>
          <cell r="E1612" t="str">
            <v>A</v>
          </cell>
          <cell r="F1612" t="str">
            <v>12/30/1997</v>
          </cell>
        </row>
        <row r="1613">
          <cell r="B1613" t="str">
            <v>A0664</v>
          </cell>
          <cell r="C1613" t="str">
            <v>002F</v>
          </cell>
          <cell r="D1613" t="str">
            <v>Y</v>
          </cell>
          <cell r="E1613" t="str">
            <v>A</v>
          </cell>
          <cell r="F1613" t="str">
            <v>01/11/1999</v>
          </cell>
        </row>
        <row r="1614">
          <cell r="B1614" t="str">
            <v>A0669</v>
          </cell>
          <cell r="C1614" t="str">
            <v>UEC</v>
          </cell>
          <cell r="D1614" t="str">
            <v>Y</v>
          </cell>
          <cell r="E1614" t="str">
            <v>A</v>
          </cell>
          <cell r="F1614" t="str">
            <v>12/30/1997</v>
          </cell>
        </row>
        <row r="1615">
          <cell r="B1615" t="str">
            <v>A0671</v>
          </cell>
          <cell r="C1615" t="str">
            <v>CIP</v>
          </cell>
          <cell r="D1615" t="str">
            <v>Y</v>
          </cell>
          <cell r="E1615" t="str">
            <v>A</v>
          </cell>
          <cell r="F1615" t="str">
            <v>12/30/1997</v>
          </cell>
        </row>
        <row r="1616">
          <cell r="B1616" t="str">
            <v>A0673</v>
          </cell>
          <cell r="C1616" t="str">
            <v>UEC</v>
          </cell>
          <cell r="D1616" t="str">
            <v>Y</v>
          </cell>
          <cell r="E1616" t="str">
            <v>A</v>
          </cell>
          <cell r="F1616" t="str">
            <v>12/31/1997</v>
          </cell>
        </row>
        <row r="1617">
          <cell r="B1617" t="str">
            <v>A0674</v>
          </cell>
          <cell r="C1617" t="str">
            <v>UEC</v>
          </cell>
          <cell r="D1617" t="str">
            <v>Y</v>
          </cell>
          <cell r="E1617" t="str">
            <v>A</v>
          </cell>
          <cell r="F1617" t="str">
            <v>12/31/1997</v>
          </cell>
        </row>
        <row r="1618">
          <cell r="B1618" t="str">
            <v>A0675</v>
          </cell>
          <cell r="C1618" t="str">
            <v>CIP</v>
          </cell>
          <cell r="D1618" t="str">
            <v>Y</v>
          </cell>
          <cell r="E1618" t="str">
            <v>A</v>
          </cell>
          <cell r="F1618" t="str">
            <v>12/31/1997</v>
          </cell>
        </row>
        <row r="1619">
          <cell r="B1619" t="str">
            <v>A0676</v>
          </cell>
          <cell r="C1619" t="str">
            <v>UEC</v>
          </cell>
          <cell r="D1619" t="str">
            <v>Y</v>
          </cell>
          <cell r="E1619" t="str">
            <v>A</v>
          </cell>
          <cell r="F1619" t="str">
            <v>12/31/1997</v>
          </cell>
        </row>
        <row r="1620">
          <cell r="B1620" t="str">
            <v>A0677</v>
          </cell>
          <cell r="C1620" t="str">
            <v>CIP</v>
          </cell>
          <cell r="D1620" t="str">
            <v>Y</v>
          </cell>
          <cell r="E1620" t="str">
            <v>A</v>
          </cell>
          <cell r="F1620" t="str">
            <v>12/31/1997</v>
          </cell>
        </row>
        <row r="1621">
          <cell r="B1621" t="str">
            <v>A0678</v>
          </cell>
          <cell r="C1621" t="str">
            <v>002L</v>
          </cell>
          <cell r="D1621" t="str">
            <v>Y</v>
          </cell>
          <cell r="E1621" t="str">
            <v>A</v>
          </cell>
          <cell r="F1621" t="str">
            <v>12/31/1997</v>
          </cell>
        </row>
        <row r="1622">
          <cell r="B1622" t="str">
            <v>A0679</v>
          </cell>
          <cell r="C1622" t="str">
            <v>UEC</v>
          </cell>
          <cell r="D1622" t="str">
            <v>Y</v>
          </cell>
          <cell r="E1622" t="str">
            <v>A</v>
          </cell>
          <cell r="F1622" t="str">
            <v>12/31/1997</v>
          </cell>
        </row>
        <row r="1623">
          <cell r="B1623" t="str">
            <v>A0680</v>
          </cell>
          <cell r="C1623" t="str">
            <v>UEC</v>
          </cell>
          <cell r="D1623" t="str">
            <v>Y</v>
          </cell>
          <cell r="E1623" t="str">
            <v>A</v>
          </cell>
          <cell r="F1623" t="str">
            <v>12/31/1997</v>
          </cell>
        </row>
        <row r="1624">
          <cell r="B1624" t="str">
            <v>A0681</v>
          </cell>
          <cell r="C1624" t="str">
            <v>CIP</v>
          </cell>
          <cell r="D1624" t="str">
            <v>Y</v>
          </cell>
          <cell r="E1624" t="str">
            <v>A</v>
          </cell>
          <cell r="F1624" t="str">
            <v>12/31/1997</v>
          </cell>
        </row>
        <row r="1625">
          <cell r="B1625" t="str">
            <v>A0682</v>
          </cell>
          <cell r="C1625" t="str">
            <v>UEC</v>
          </cell>
          <cell r="D1625" t="str">
            <v>Y</v>
          </cell>
          <cell r="E1625" t="str">
            <v>A</v>
          </cell>
          <cell r="F1625" t="str">
            <v>12/31/1997</v>
          </cell>
        </row>
        <row r="1626">
          <cell r="B1626" t="str">
            <v>A0683</v>
          </cell>
          <cell r="C1626" t="str">
            <v>UEC</v>
          </cell>
          <cell r="D1626" t="str">
            <v>Y</v>
          </cell>
          <cell r="E1626" t="str">
            <v>A</v>
          </cell>
          <cell r="F1626" t="str">
            <v>12/31/1997</v>
          </cell>
        </row>
        <row r="1627">
          <cell r="B1627" t="str">
            <v>A0684</v>
          </cell>
          <cell r="C1627" t="str">
            <v>CIP</v>
          </cell>
          <cell r="D1627" t="str">
            <v>Y</v>
          </cell>
          <cell r="E1627" t="str">
            <v>A</v>
          </cell>
          <cell r="F1627" t="str">
            <v>12/31/1997</v>
          </cell>
        </row>
        <row r="1628">
          <cell r="B1628" t="str">
            <v>A0685</v>
          </cell>
          <cell r="C1628" t="str">
            <v>UEC</v>
          </cell>
          <cell r="D1628" t="str">
            <v>N</v>
          </cell>
          <cell r="E1628" t="str">
            <v>A</v>
          </cell>
          <cell r="F1628" t="str">
            <v>12/31/1997</v>
          </cell>
        </row>
        <row r="1629">
          <cell r="B1629" t="str">
            <v>A0686</v>
          </cell>
          <cell r="C1629" t="str">
            <v>UEC</v>
          </cell>
          <cell r="D1629" t="str">
            <v>N</v>
          </cell>
          <cell r="E1629" t="str">
            <v>A</v>
          </cell>
          <cell r="F1629" t="str">
            <v>12/31/1997</v>
          </cell>
        </row>
        <row r="1630">
          <cell r="B1630" t="str">
            <v>A0687</v>
          </cell>
          <cell r="C1630" t="str">
            <v>UEC</v>
          </cell>
          <cell r="D1630" t="str">
            <v>N</v>
          </cell>
          <cell r="E1630" t="str">
            <v>A</v>
          </cell>
          <cell r="F1630" t="str">
            <v>12/31/1997</v>
          </cell>
        </row>
        <row r="1631">
          <cell r="B1631" t="str">
            <v>A0688</v>
          </cell>
          <cell r="C1631" t="str">
            <v>UEC</v>
          </cell>
          <cell r="D1631" t="str">
            <v>N</v>
          </cell>
          <cell r="E1631" t="str">
            <v>A</v>
          </cell>
          <cell r="F1631" t="str">
            <v>12/31/1997</v>
          </cell>
        </row>
        <row r="1632">
          <cell r="B1632" t="str">
            <v>A0689</v>
          </cell>
          <cell r="C1632" t="str">
            <v>UEC</v>
          </cell>
          <cell r="D1632" t="str">
            <v>N</v>
          </cell>
          <cell r="E1632" t="str">
            <v>A</v>
          </cell>
          <cell r="F1632" t="str">
            <v>12/31/1997</v>
          </cell>
        </row>
        <row r="1633">
          <cell r="B1633" t="str">
            <v>A0690</v>
          </cell>
          <cell r="C1633" t="str">
            <v>UEC</v>
          </cell>
          <cell r="D1633" t="str">
            <v>N</v>
          </cell>
          <cell r="E1633" t="str">
            <v>A</v>
          </cell>
          <cell r="F1633" t="str">
            <v>12/31/1997</v>
          </cell>
        </row>
        <row r="1634">
          <cell r="B1634" t="str">
            <v>A0691</v>
          </cell>
          <cell r="C1634" t="str">
            <v>GEN</v>
          </cell>
          <cell r="D1634" t="str">
            <v>N</v>
          </cell>
          <cell r="E1634" t="str">
            <v>A</v>
          </cell>
          <cell r="F1634" t="str">
            <v>01/02/1998</v>
          </cell>
        </row>
        <row r="1635">
          <cell r="B1635" t="str">
            <v>A0692</v>
          </cell>
          <cell r="C1635" t="str">
            <v>GEN</v>
          </cell>
          <cell r="D1635" t="str">
            <v>N</v>
          </cell>
          <cell r="E1635" t="str">
            <v>A</v>
          </cell>
          <cell r="F1635" t="str">
            <v>01/02/1998</v>
          </cell>
        </row>
        <row r="1636">
          <cell r="B1636" t="str">
            <v>A0693</v>
          </cell>
          <cell r="C1636" t="str">
            <v>GEN</v>
          </cell>
          <cell r="D1636" t="str">
            <v>N</v>
          </cell>
          <cell r="E1636" t="str">
            <v>A</v>
          </cell>
          <cell r="F1636" t="str">
            <v>01/02/1998</v>
          </cell>
        </row>
        <row r="1637">
          <cell r="B1637" t="str">
            <v>A0694</v>
          </cell>
          <cell r="C1637" t="str">
            <v>GEN</v>
          </cell>
          <cell r="D1637" t="str">
            <v>N</v>
          </cell>
          <cell r="E1637" t="str">
            <v>A</v>
          </cell>
          <cell r="F1637" t="str">
            <v>01/02/1998</v>
          </cell>
        </row>
        <row r="1638">
          <cell r="B1638" t="str">
            <v>A0695</v>
          </cell>
          <cell r="C1638" t="str">
            <v>GEN</v>
          </cell>
          <cell r="D1638" t="str">
            <v>N</v>
          </cell>
          <cell r="E1638" t="str">
            <v>A</v>
          </cell>
          <cell r="F1638" t="str">
            <v>01/02/1998</v>
          </cell>
        </row>
        <row r="1639">
          <cell r="B1639" t="str">
            <v>A0696</v>
          </cell>
          <cell r="C1639" t="str">
            <v>UEC</v>
          </cell>
          <cell r="D1639" t="str">
            <v>Y</v>
          </cell>
          <cell r="E1639" t="str">
            <v>A</v>
          </cell>
          <cell r="F1639" t="str">
            <v>01/02/1998</v>
          </cell>
        </row>
        <row r="1640">
          <cell r="B1640" t="str">
            <v>A0697</v>
          </cell>
          <cell r="C1640" t="str">
            <v>CIP</v>
          </cell>
          <cell r="D1640" t="str">
            <v>Y</v>
          </cell>
          <cell r="E1640" t="str">
            <v>A</v>
          </cell>
          <cell r="F1640" t="str">
            <v>01/02/1998</v>
          </cell>
        </row>
        <row r="1641">
          <cell r="B1641" t="str">
            <v>A0698</v>
          </cell>
          <cell r="C1641" t="str">
            <v>001G</v>
          </cell>
          <cell r="D1641" t="str">
            <v>Y</v>
          </cell>
          <cell r="E1641" t="str">
            <v>A</v>
          </cell>
          <cell r="F1641" t="str">
            <v>02/05/2001</v>
          </cell>
        </row>
        <row r="1642">
          <cell r="B1642" t="str">
            <v>A0699</v>
          </cell>
          <cell r="C1642" t="str">
            <v>017C</v>
          </cell>
          <cell r="D1642" t="str">
            <v>Y</v>
          </cell>
          <cell r="E1642" t="str">
            <v>A</v>
          </cell>
          <cell r="F1642" t="str">
            <v>01/02/1998</v>
          </cell>
        </row>
        <row r="1643">
          <cell r="B1643" t="str">
            <v>A0700</v>
          </cell>
          <cell r="C1643" t="str">
            <v>CIC</v>
          </cell>
          <cell r="D1643" t="str">
            <v>Y</v>
          </cell>
          <cell r="E1643" t="str">
            <v>A</v>
          </cell>
          <cell r="F1643" t="str">
            <v>01/02/1998</v>
          </cell>
        </row>
        <row r="1644">
          <cell r="B1644" t="str">
            <v>A0701</v>
          </cell>
          <cell r="C1644" t="str">
            <v>UEC</v>
          </cell>
          <cell r="D1644" t="str">
            <v>Y</v>
          </cell>
          <cell r="E1644" t="str">
            <v>A</v>
          </cell>
          <cell r="F1644" t="str">
            <v>01/02/1998</v>
          </cell>
        </row>
        <row r="1645">
          <cell r="B1645" t="str">
            <v>A0702</v>
          </cell>
          <cell r="C1645" t="str">
            <v>CIP</v>
          </cell>
          <cell r="D1645" t="str">
            <v>Y</v>
          </cell>
          <cell r="E1645" t="str">
            <v>A</v>
          </cell>
          <cell r="F1645" t="str">
            <v>01/02/1998</v>
          </cell>
        </row>
        <row r="1646">
          <cell r="B1646" t="str">
            <v>A0703</v>
          </cell>
          <cell r="C1646" t="str">
            <v>UDC</v>
          </cell>
          <cell r="D1646" t="str">
            <v>Y</v>
          </cell>
          <cell r="E1646" t="str">
            <v>A</v>
          </cell>
          <cell r="F1646" t="str">
            <v>01/02/1998</v>
          </cell>
        </row>
        <row r="1647">
          <cell r="B1647" t="str">
            <v>A0705</v>
          </cell>
          <cell r="C1647" t="str">
            <v>007A</v>
          </cell>
          <cell r="D1647" t="str">
            <v>Y</v>
          </cell>
          <cell r="E1647" t="str">
            <v>A</v>
          </cell>
          <cell r="F1647" t="str">
            <v>01/02/1998</v>
          </cell>
        </row>
        <row r="1648">
          <cell r="B1648" t="str">
            <v>A0706</v>
          </cell>
          <cell r="C1648" t="str">
            <v>UEC</v>
          </cell>
          <cell r="D1648" t="str">
            <v>Y</v>
          </cell>
          <cell r="E1648" t="str">
            <v>A</v>
          </cell>
          <cell r="F1648" t="str">
            <v>01/02/1998</v>
          </cell>
        </row>
        <row r="1649">
          <cell r="B1649" t="str">
            <v>A0707</v>
          </cell>
          <cell r="C1649" t="str">
            <v>CIP</v>
          </cell>
          <cell r="D1649" t="str">
            <v>Y</v>
          </cell>
          <cell r="E1649" t="str">
            <v>A</v>
          </cell>
          <cell r="F1649" t="str">
            <v>01/02/1998</v>
          </cell>
        </row>
        <row r="1650">
          <cell r="B1650" t="str">
            <v>A0708</v>
          </cell>
          <cell r="C1650" t="str">
            <v>AEC</v>
          </cell>
          <cell r="D1650" t="str">
            <v>Y</v>
          </cell>
          <cell r="E1650" t="str">
            <v>A</v>
          </cell>
          <cell r="F1650" t="str">
            <v>09/18/1998</v>
          </cell>
        </row>
        <row r="1651">
          <cell r="B1651" t="str">
            <v>A0709</v>
          </cell>
          <cell r="C1651" t="str">
            <v>CIC</v>
          </cell>
          <cell r="D1651" t="str">
            <v>Y</v>
          </cell>
          <cell r="E1651" t="str">
            <v>A</v>
          </cell>
          <cell r="F1651" t="str">
            <v>01/02/1998</v>
          </cell>
        </row>
        <row r="1652">
          <cell r="B1652" t="str">
            <v>A0710</v>
          </cell>
          <cell r="C1652" t="str">
            <v>004A</v>
          </cell>
          <cell r="D1652" t="str">
            <v>Y</v>
          </cell>
          <cell r="E1652" t="str">
            <v>A</v>
          </cell>
          <cell r="F1652" t="str">
            <v>01/02/1998</v>
          </cell>
        </row>
        <row r="1653">
          <cell r="B1653" t="str">
            <v>A0711</v>
          </cell>
          <cell r="C1653" t="str">
            <v>UEC</v>
          </cell>
          <cell r="D1653" t="str">
            <v>Y</v>
          </cell>
          <cell r="E1653" t="str">
            <v>A</v>
          </cell>
          <cell r="F1653" t="str">
            <v>01/02/1998</v>
          </cell>
        </row>
        <row r="1654">
          <cell r="B1654" t="str">
            <v>A0712</v>
          </cell>
          <cell r="C1654" t="str">
            <v>CIP</v>
          </cell>
          <cell r="D1654" t="str">
            <v>Y</v>
          </cell>
          <cell r="E1654" t="str">
            <v>A</v>
          </cell>
          <cell r="F1654" t="str">
            <v>01/02/1998</v>
          </cell>
        </row>
        <row r="1655">
          <cell r="B1655" t="str">
            <v>A0713</v>
          </cell>
          <cell r="C1655" t="str">
            <v>ERC</v>
          </cell>
          <cell r="D1655" t="str">
            <v>Y</v>
          </cell>
          <cell r="E1655" t="str">
            <v>A</v>
          </cell>
          <cell r="F1655" t="str">
            <v>09/18/1998</v>
          </cell>
        </row>
        <row r="1656">
          <cell r="B1656" t="str">
            <v>A0714</v>
          </cell>
          <cell r="C1656" t="str">
            <v>CIC</v>
          </cell>
          <cell r="D1656" t="str">
            <v>Y</v>
          </cell>
          <cell r="E1656" t="str">
            <v>A</v>
          </cell>
          <cell r="F1656" t="str">
            <v>01/02/1998</v>
          </cell>
        </row>
        <row r="1657">
          <cell r="B1657" t="str">
            <v>A0715</v>
          </cell>
          <cell r="C1657" t="str">
            <v>UEC</v>
          </cell>
          <cell r="D1657" t="str">
            <v>Y</v>
          </cell>
          <cell r="E1657" t="str">
            <v>A</v>
          </cell>
          <cell r="F1657" t="str">
            <v>01/02/1998</v>
          </cell>
        </row>
        <row r="1658">
          <cell r="B1658" t="str">
            <v>A0720</v>
          </cell>
          <cell r="C1658" t="str">
            <v>UEC</v>
          </cell>
          <cell r="D1658" t="str">
            <v>Y</v>
          </cell>
          <cell r="E1658" t="str">
            <v>A</v>
          </cell>
          <cell r="F1658" t="str">
            <v>01/02/1998</v>
          </cell>
        </row>
        <row r="1659">
          <cell r="B1659" t="str">
            <v>A0721</v>
          </cell>
          <cell r="C1659" t="str">
            <v>CIP</v>
          </cell>
          <cell r="D1659" t="str">
            <v>Y</v>
          </cell>
          <cell r="E1659" t="str">
            <v>I</v>
          </cell>
          <cell r="F1659" t="str">
            <v>01/05/1998</v>
          </cell>
        </row>
        <row r="1660">
          <cell r="B1660" t="str">
            <v>A0722</v>
          </cell>
          <cell r="C1660" t="str">
            <v>002D</v>
          </cell>
          <cell r="D1660" t="str">
            <v>Y</v>
          </cell>
          <cell r="E1660" t="str">
            <v>A</v>
          </cell>
          <cell r="F1660" t="str">
            <v>01/05/1998</v>
          </cell>
        </row>
        <row r="1661">
          <cell r="B1661" t="str">
            <v>A0723</v>
          </cell>
          <cell r="C1661"/>
          <cell r="D1661" t="str">
            <v>Y</v>
          </cell>
          <cell r="E1661" t="str">
            <v>I</v>
          </cell>
          <cell r="F1661" t="str">
            <v>01/05/1998</v>
          </cell>
        </row>
        <row r="1662">
          <cell r="B1662" t="str">
            <v>A0726</v>
          </cell>
          <cell r="C1662" t="str">
            <v>011B</v>
          </cell>
          <cell r="D1662" t="str">
            <v>N</v>
          </cell>
          <cell r="E1662" t="str">
            <v>A</v>
          </cell>
          <cell r="F1662" t="str">
            <v>01/06/1998</v>
          </cell>
        </row>
        <row r="1663">
          <cell r="B1663" t="str">
            <v>A0727</v>
          </cell>
          <cell r="C1663" t="str">
            <v>CIP</v>
          </cell>
          <cell r="D1663" t="str">
            <v>Y</v>
          </cell>
          <cell r="E1663" t="str">
            <v>A</v>
          </cell>
          <cell r="F1663" t="str">
            <v>01/06/1998</v>
          </cell>
        </row>
        <row r="1664">
          <cell r="B1664" t="str">
            <v>A0728</v>
          </cell>
          <cell r="C1664" t="str">
            <v>012D</v>
          </cell>
          <cell r="D1664" t="str">
            <v>Y</v>
          </cell>
          <cell r="E1664" t="str">
            <v>A</v>
          </cell>
          <cell r="F1664" t="str">
            <v>01/07/1998</v>
          </cell>
        </row>
        <row r="1665">
          <cell r="B1665" t="str">
            <v>A0729</v>
          </cell>
          <cell r="C1665" t="str">
            <v>UEC</v>
          </cell>
          <cell r="D1665" t="str">
            <v>Y</v>
          </cell>
          <cell r="E1665" t="str">
            <v>A</v>
          </cell>
          <cell r="F1665" t="str">
            <v>01/07/1998</v>
          </cell>
        </row>
        <row r="1666">
          <cell r="B1666" t="str">
            <v>A0730</v>
          </cell>
          <cell r="C1666" t="str">
            <v>UEC</v>
          </cell>
          <cell r="D1666" t="str">
            <v>N</v>
          </cell>
          <cell r="E1666" t="str">
            <v>A</v>
          </cell>
          <cell r="F1666" t="str">
            <v>01/08/1998</v>
          </cell>
        </row>
        <row r="1667">
          <cell r="B1667" t="str">
            <v>A0731</v>
          </cell>
          <cell r="C1667" t="str">
            <v>AME</v>
          </cell>
          <cell r="D1667" t="str">
            <v>Y</v>
          </cell>
          <cell r="E1667" t="str">
            <v>A</v>
          </cell>
          <cell r="F1667" t="str">
            <v>09/18/1998</v>
          </cell>
        </row>
        <row r="1668">
          <cell r="B1668" t="str">
            <v>A0732</v>
          </cell>
          <cell r="C1668" t="str">
            <v>002A</v>
          </cell>
          <cell r="D1668" t="str">
            <v>Y</v>
          </cell>
          <cell r="E1668" t="str">
            <v>A</v>
          </cell>
          <cell r="F1668" t="str">
            <v>01/08/1998</v>
          </cell>
        </row>
        <row r="1669">
          <cell r="B1669" t="str">
            <v>A0733</v>
          </cell>
          <cell r="C1669" t="str">
            <v>002A</v>
          </cell>
          <cell r="D1669" t="str">
            <v>Y</v>
          </cell>
          <cell r="E1669" t="str">
            <v>A</v>
          </cell>
          <cell r="F1669" t="str">
            <v>10/14/1998</v>
          </cell>
        </row>
        <row r="1670">
          <cell r="B1670" t="str">
            <v>A0734</v>
          </cell>
          <cell r="C1670" t="str">
            <v>UEC</v>
          </cell>
          <cell r="D1670" t="str">
            <v>Y</v>
          </cell>
          <cell r="E1670" t="str">
            <v>A</v>
          </cell>
          <cell r="F1670" t="str">
            <v>01/08/1998</v>
          </cell>
        </row>
        <row r="1671">
          <cell r="B1671" t="str">
            <v>A0736</v>
          </cell>
          <cell r="C1671"/>
          <cell r="D1671" t="str">
            <v>Y</v>
          </cell>
          <cell r="E1671" t="str">
            <v>A</v>
          </cell>
          <cell r="F1671" t="str">
            <v>10/15/1998</v>
          </cell>
        </row>
        <row r="1672">
          <cell r="B1672" t="str">
            <v>A0737</v>
          </cell>
          <cell r="C1672" t="str">
            <v>CIP</v>
          </cell>
          <cell r="D1672" t="str">
            <v>Y</v>
          </cell>
          <cell r="E1672" t="str">
            <v>A</v>
          </cell>
          <cell r="F1672" t="str">
            <v>01/08/1998</v>
          </cell>
        </row>
        <row r="1673">
          <cell r="B1673" t="str">
            <v>A0738</v>
          </cell>
          <cell r="C1673" t="str">
            <v>AME</v>
          </cell>
          <cell r="D1673" t="str">
            <v>Y</v>
          </cell>
          <cell r="E1673" t="str">
            <v>A</v>
          </cell>
          <cell r="F1673" t="str">
            <v>10/16/1998</v>
          </cell>
        </row>
        <row r="1674">
          <cell r="B1674" t="str">
            <v>A0740</v>
          </cell>
          <cell r="C1674" t="str">
            <v>AMC</v>
          </cell>
          <cell r="D1674" t="str">
            <v>Y</v>
          </cell>
          <cell r="E1674" t="str">
            <v>A</v>
          </cell>
          <cell r="F1674" t="str">
            <v>01/08/1998</v>
          </cell>
        </row>
        <row r="1675">
          <cell r="B1675" t="str">
            <v>A0741</v>
          </cell>
          <cell r="C1675" t="str">
            <v>UEC</v>
          </cell>
          <cell r="D1675" t="str">
            <v>Y</v>
          </cell>
          <cell r="E1675" t="str">
            <v>A</v>
          </cell>
          <cell r="F1675" t="str">
            <v>01/08/1998</v>
          </cell>
        </row>
        <row r="1676">
          <cell r="B1676" t="str">
            <v>A0742</v>
          </cell>
          <cell r="C1676"/>
          <cell r="D1676" t="str">
            <v>Y</v>
          </cell>
          <cell r="E1676" t="str">
            <v>A</v>
          </cell>
          <cell r="F1676" t="str">
            <v>10/22/1998</v>
          </cell>
        </row>
        <row r="1677">
          <cell r="B1677" t="str">
            <v>A0743</v>
          </cell>
          <cell r="C1677" t="str">
            <v>CIP</v>
          </cell>
          <cell r="D1677" t="str">
            <v>Y</v>
          </cell>
          <cell r="E1677" t="str">
            <v>A</v>
          </cell>
          <cell r="F1677" t="str">
            <v>01/08/1998</v>
          </cell>
        </row>
        <row r="1678">
          <cell r="B1678" t="str">
            <v>A0744</v>
          </cell>
          <cell r="C1678" t="str">
            <v>004A</v>
          </cell>
          <cell r="D1678" t="str">
            <v>Y</v>
          </cell>
          <cell r="E1678" t="str">
            <v>A</v>
          </cell>
          <cell r="F1678" t="str">
            <v>01/08/1998</v>
          </cell>
        </row>
        <row r="1679">
          <cell r="B1679" t="str">
            <v>A0745</v>
          </cell>
          <cell r="C1679" t="str">
            <v>GEN</v>
          </cell>
          <cell r="D1679" t="str">
            <v>Y</v>
          </cell>
          <cell r="E1679" t="str">
            <v>A</v>
          </cell>
          <cell r="F1679" t="str">
            <v>10/26/1998</v>
          </cell>
        </row>
        <row r="1680">
          <cell r="B1680" t="str">
            <v>A0746</v>
          </cell>
          <cell r="C1680" t="str">
            <v>UEC</v>
          </cell>
          <cell r="D1680" t="str">
            <v>Y</v>
          </cell>
          <cell r="E1680" t="str">
            <v>A</v>
          </cell>
          <cell r="F1680" t="str">
            <v>01/08/1998</v>
          </cell>
        </row>
        <row r="1681">
          <cell r="B1681" t="str">
            <v>A0748</v>
          </cell>
          <cell r="C1681" t="str">
            <v>CIP</v>
          </cell>
          <cell r="D1681" t="str">
            <v>Y</v>
          </cell>
          <cell r="E1681" t="str">
            <v>A</v>
          </cell>
          <cell r="F1681" t="str">
            <v>01/08/1998</v>
          </cell>
        </row>
        <row r="1682">
          <cell r="B1682" t="str">
            <v>A0749</v>
          </cell>
          <cell r="C1682" t="str">
            <v>002A</v>
          </cell>
          <cell r="D1682" t="str">
            <v>Y</v>
          </cell>
          <cell r="E1682" t="str">
            <v>A</v>
          </cell>
          <cell r="F1682" t="str">
            <v>01/08/1998</v>
          </cell>
        </row>
        <row r="1683">
          <cell r="B1683" t="str">
            <v>A0750</v>
          </cell>
          <cell r="C1683"/>
          <cell r="D1683" t="str">
            <v>Y</v>
          </cell>
          <cell r="E1683" t="str">
            <v>A</v>
          </cell>
          <cell r="F1683" t="str">
            <v>01/08/1998</v>
          </cell>
        </row>
        <row r="1684">
          <cell r="B1684" t="str">
            <v>A0751</v>
          </cell>
          <cell r="C1684" t="str">
            <v>UEC</v>
          </cell>
          <cell r="D1684" t="str">
            <v>Y</v>
          </cell>
          <cell r="E1684" t="str">
            <v>A</v>
          </cell>
          <cell r="F1684" t="str">
            <v>01/09/1998</v>
          </cell>
        </row>
        <row r="1685">
          <cell r="B1685" t="str">
            <v>A0752</v>
          </cell>
          <cell r="C1685" t="str">
            <v>CIP</v>
          </cell>
          <cell r="D1685" t="str">
            <v>N</v>
          </cell>
          <cell r="E1685" t="str">
            <v>A</v>
          </cell>
          <cell r="F1685" t="str">
            <v>01/09/1998</v>
          </cell>
        </row>
        <row r="1686">
          <cell r="B1686" t="str">
            <v>A0753</v>
          </cell>
          <cell r="C1686" t="str">
            <v>UEC</v>
          </cell>
          <cell r="D1686" t="str">
            <v>Y</v>
          </cell>
          <cell r="E1686" t="str">
            <v>A</v>
          </cell>
          <cell r="F1686" t="str">
            <v>10/30/1998</v>
          </cell>
        </row>
        <row r="1687">
          <cell r="B1687" t="str">
            <v>A0754</v>
          </cell>
          <cell r="C1687" t="str">
            <v>001A</v>
          </cell>
          <cell r="D1687" t="str">
            <v>N</v>
          </cell>
          <cell r="E1687" t="str">
            <v>A</v>
          </cell>
          <cell r="F1687" t="str">
            <v>01/09/1998</v>
          </cell>
        </row>
        <row r="1688">
          <cell r="B1688" t="str">
            <v>A0755</v>
          </cell>
          <cell r="C1688" t="str">
            <v>UEC</v>
          </cell>
          <cell r="D1688" t="str">
            <v>N</v>
          </cell>
          <cell r="E1688" t="str">
            <v>A</v>
          </cell>
          <cell r="F1688" t="str">
            <v>01/09/1998</v>
          </cell>
        </row>
        <row r="1689">
          <cell r="B1689" t="str">
            <v>A0756</v>
          </cell>
          <cell r="C1689" t="str">
            <v>UEC</v>
          </cell>
          <cell r="D1689" t="str">
            <v>Y</v>
          </cell>
          <cell r="E1689" t="str">
            <v>A</v>
          </cell>
          <cell r="F1689" t="str">
            <v>01/09/1998</v>
          </cell>
        </row>
        <row r="1690">
          <cell r="B1690" t="str">
            <v>A0757</v>
          </cell>
          <cell r="C1690" t="str">
            <v>CIP</v>
          </cell>
          <cell r="D1690" t="str">
            <v>Y</v>
          </cell>
          <cell r="E1690" t="str">
            <v>A</v>
          </cell>
          <cell r="F1690" t="str">
            <v>10/30/1998</v>
          </cell>
        </row>
        <row r="1691">
          <cell r="B1691" t="str">
            <v>A0758</v>
          </cell>
          <cell r="C1691" t="str">
            <v>CIP</v>
          </cell>
          <cell r="D1691" t="str">
            <v>N</v>
          </cell>
          <cell r="E1691" t="str">
            <v>A</v>
          </cell>
          <cell r="F1691" t="str">
            <v>01/09/1998</v>
          </cell>
        </row>
        <row r="1692">
          <cell r="B1692" t="str">
            <v>A0759</v>
          </cell>
          <cell r="C1692" t="str">
            <v>002F</v>
          </cell>
          <cell r="D1692" t="str">
            <v>Y</v>
          </cell>
          <cell r="E1692" t="str">
            <v>A</v>
          </cell>
          <cell r="F1692" t="str">
            <v>01/11/1999</v>
          </cell>
        </row>
        <row r="1693">
          <cell r="B1693" t="str">
            <v>A0760</v>
          </cell>
          <cell r="C1693" t="str">
            <v>ERC</v>
          </cell>
          <cell r="D1693" t="str">
            <v>Y</v>
          </cell>
          <cell r="E1693" t="str">
            <v>A</v>
          </cell>
          <cell r="F1693" t="str">
            <v>11/02/1998</v>
          </cell>
        </row>
        <row r="1694">
          <cell r="B1694" t="str">
            <v>A0762</v>
          </cell>
          <cell r="C1694" t="str">
            <v>AME</v>
          </cell>
          <cell r="D1694" t="str">
            <v>Y</v>
          </cell>
          <cell r="E1694" t="str">
            <v>A</v>
          </cell>
          <cell r="F1694" t="str">
            <v>11/03/1998</v>
          </cell>
        </row>
        <row r="1695">
          <cell r="B1695" t="str">
            <v>A0763</v>
          </cell>
          <cell r="C1695" t="str">
            <v>CIP</v>
          </cell>
          <cell r="D1695" t="str">
            <v>Y</v>
          </cell>
          <cell r="E1695" t="str">
            <v>A</v>
          </cell>
          <cell r="F1695" t="str">
            <v>01/09/1998</v>
          </cell>
        </row>
        <row r="1696">
          <cell r="B1696" t="str">
            <v>A0764</v>
          </cell>
          <cell r="C1696" t="str">
            <v>002K</v>
          </cell>
          <cell r="D1696" t="str">
            <v>Y</v>
          </cell>
          <cell r="E1696" t="str">
            <v>A</v>
          </cell>
          <cell r="F1696" t="str">
            <v>01/09/1998</v>
          </cell>
        </row>
        <row r="1697">
          <cell r="B1697" t="str">
            <v>A0767</v>
          </cell>
          <cell r="C1697" t="str">
            <v>UEC</v>
          </cell>
          <cell r="D1697" t="str">
            <v>Y</v>
          </cell>
          <cell r="E1697" t="str">
            <v>A</v>
          </cell>
          <cell r="F1697" t="str">
            <v>01/10/1998</v>
          </cell>
        </row>
        <row r="1698">
          <cell r="B1698" t="str">
            <v>A0768</v>
          </cell>
          <cell r="C1698" t="str">
            <v>CIP</v>
          </cell>
          <cell r="D1698" t="str">
            <v>Y</v>
          </cell>
          <cell r="E1698" t="str">
            <v>A</v>
          </cell>
          <cell r="F1698" t="str">
            <v>01/10/1998</v>
          </cell>
        </row>
        <row r="1699">
          <cell r="B1699" t="str">
            <v>A0769</v>
          </cell>
          <cell r="C1699" t="str">
            <v>002L</v>
          </cell>
          <cell r="D1699" t="str">
            <v>Y</v>
          </cell>
          <cell r="E1699" t="str">
            <v>A</v>
          </cell>
          <cell r="F1699" t="str">
            <v>01/10/1998</v>
          </cell>
        </row>
        <row r="1700">
          <cell r="B1700" t="str">
            <v>A0770</v>
          </cell>
          <cell r="C1700" t="str">
            <v>UEC</v>
          </cell>
          <cell r="D1700" t="str">
            <v>Y</v>
          </cell>
          <cell r="E1700" t="str">
            <v>A</v>
          </cell>
          <cell r="F1700" t="str">
            <v>01/10/1998</v>
          </cell>
        </row>
        <row r="1701">
          <cell r="B1701" t="str">
            <v>A0771</v>
          </cell>
          <cell r="C1701" t="str">
            <v>CIP</v>
          </cell>
          <cell r="D1701" t="str">
            <v>Y</v>
          </cell>
          <cell r="E1701" t="str">
            <v>A</v>
          </cell>
          <cell r="F1701" t="str">
            <v>01/10/1998</v>
          </cell>
        </row>
        <row r="1702">
          <cell r="B1702" t="str">
            <v>A0772</v>
          </cell>
          <cell r="C1702" t="str">
            <v>002A</v>
          </cell>
          <cell r="D1702" t="str">
            <v>Y</v>
          </cell>
          <cell r="E1702" t="str">
            <v>A</v>
          </cell>
          <cell r="F1702" t="str">
            <v>01/10/1998</v>
          </cell>
        </row>
        <row r="1703">
          <cell r="B1703" t="str">
            <v>A0773</v>
          </cell>
          <cell r="C1703" t="str">
            <v>UEC</v>
          </cell>
          <cell r="D1703" t="str">
            <v>Y</v>
          </cell>
          <cell r="E1703" t="str">
            <v>A</v>
          </cell>
          <cell r="F1703" t="str">
            <v>01/10/1998</v>
          </cell>
        </row>
        <row r="1704">
          <cell r="B1704" t="str">
            <v>A0774</v>
          </cell>
          <cell r="C1704" t="str">
            <v>CIP</v>
          </cell>
          <cell r="D1704" t="str">
            <v>Y</v>
          </cell>
          <cell r="E1704" t="str">
            <v>A</v>
          </cell>
          <cell r="F1704" t="str">
            <v>01/10/1998</v>
          </cell>
        </row>
        <row r="1705">
          <cell r="B1705" t="str">
            <v>A0776</v>
          </cell>
          <cell r="C1705" t="str">
            <v>UEC</v>
          </cell>
          <cell r="D1705" t="str">
            <v>Y</v>
          </cell>
          <cell r="E1705" t="str">
            <v>A</v>
          </cell>
          <cell r="F1705" t="str">
            <v>01/10/1998</v>
          </cell>
        </row>
        <row r="1706">
          <cell r="B1706" t="str">
            <v>A0777</v>
          </cell>
          <cell r="C1706" t="str">
            <v>CIP</v>
          </cell>
          <cell r="D1706" t="str">
            <v>Y</v>
          </cell>
          <cell r="E1706" t="str">
            <v>A</v>
          </cell>
          <cell r="F1706" t="str">
            <v>01/10/1998</v>
          </cell>
        </row>
        <row r="1707">
          <cell r="B1707" t="str">
            <v>A0778</v>
          </cell>
          <cell r="C1707" t="str">
            <v>004F</v>
          </cell>
          <cell r="D1707" t="str">
            <v>Y</v>
          </cell>
          <cell r="E1707" t="str">
            <v>A</v>
          </cell>
          <cell r="F1707" t="str">
            <v>01/10/1998</v>
          </cell>
        </row>
        <row r="1708">
          <cell r="B1708" t="str">
            <v>A0779</v>
          </cell>
          <cell r="C1708" t="str">
            <v>AME</v>
          </cell>
          <cell r="D1708" t="str">
            <v>Y</v>
          </cell>
          <cell r="E1708" t="str">
            <v>A</v>
          </cell>
          <cell r="F1708" t="str">
            <v>11/03/1998</v>
          </cell>
        </row>
        <row r="1709">
          <cell r="B1709" t="str">
            <v>A0780</v>
          </cell>
          <cell r="C1709" t="str">
            <v>UEC</v>
          </cell>
          <cell r="D1709" t="str">
            <v>Y</v>
          </cell>
          <cell r="E1709" t="str">
            <v>I</v>
          </cell>
          <cell r="F1709" t="str">
            <v>11/04/1998</v>
          </cell>
        </row>
        <row r="1710">
          <cell r="B1710" t="str">
            <v>A0781</v>
          </cell>
          <cell r="C1710" t="str">
            <v>CIP</v>
          </cell>
          <cell r="D1710" t="str">
            <v>Y</v>
          </cell>
          <cell r="E1710" t="str">
            <v>A</v>
          </cell>
          <cell r="F1710" t="str">
            <v>11/04/1998</v>
          </cell>
        </row>
        <row r="1711">
          <cell r="B1711" t="str">
            <v>A0782</v>
          </cell>
          <cell r="C1711" t="str">
            <v>UEC</v>
          </cell>
          <cell r="D1711" t="str">
            <v>Y</v>
          </cell>
          <cell r="E1711" t="str">
            <v>A</v>
          </cell>
          <cell r="F1711" t="str">
            <v>01/12/1998</v>
          </cell>
        </row>
        <row r="1712">
          <cell r="B1712" t="str">
            <v>A0787</v>
          </cell>
          <cell r="C1712" t="str">
            <v>CIP</v>
          </cell>
          <cell r="D1712" t="str">
            <v>Y</v>
          </cell>
          <cell r="E1712" t="str">
            <v>A</v>
          </cell>
          <cell r="F1712" t="str">
            <v>01/12/1998</v>
          </cell>
        </row>
        <row r="1713">
          <cell r="B1713" t="str">
            <v>A0788</v>
          </cell>
          <cell r="C1713" t="str">
            <v>UEC</v>
          </cell>
          <cell r="D1713" t="str">
            <v>Y</v>
          </cell>
          <cell r="E1713" t="str">
            <v>A</v>
          </cell>
          <cell r="F1713" t="str">
            <v>01/12/1998</v>
          </cell>
        </row>
        <row r="1714">
          <cell r="B1714" t="str">
            <v>A0789</v>
          </cell>
          <cell r="C1714" t="str">
            <v>CIP</v>
          </cell>
          <cell r="D1714" t="str">
            <v>Y</v>
          </cell>
          <cell r="E1714" t="str">
            <v>A</v>
          </cell>
          <cell r="F1714" t="str">
            <v>01/12/1998</v>
          </cell>
        </row>
        <row r="1715">
          <cell r="B1715" t="str">
            <v>A0790</v>
          </cell>
          <cell r="C1715" t="str">
            <v>UDC</v>
          </cell>
          <cell r="D1715" t="str">
            <v>N</v>
          </cell>
          <cell r="E1715" t="str">
            <v>A</v>
          </cell>
          <cell r="F1715" t="str">
            <v>01/12/1998</v>
          </cell>
        </row>
        <row r="1716">
          <cell r="B1716" t="str">
            <v>A0791</v>
          </cell>
          <cell r="C1716" t="str">
            <v>001A</v>
          </cell>
          <cell r="D1716" t="str">
            <v>Y</v>
          </cell>
          <cell r="E1716" t="str">
            <v>A</v>
          </cell>
          <cell r="F1716" t="str">
            <v>01/14/1998</v>
          </cell>
        </row>
        <row r="1717">
          <cell r="B1717" t="str">
            <v>A0792</v>
          </cell>
          <cell r="C1717" t="str">
            <v>017A</v>
          </cell>
          <cell r="D1717" t="str">
            <v>Y</v>
          </cell>
          <cell r="E1717" t="str">
            <v>A</v>
          </cell>
          <cell r="F1717" t="str">
            <v>01/14/1998</v>
          </cell>
        </row>
        <row r="1718">
          <cell r="B1718" t="str">
            <v>A0794</v>
          </cell>
          <cell r="C1718" t="str">
            <v>UEC</v>
          </cell>
          <cell r="D1718" t="str">
            <v>Y</v>
          </cell>
          <cell r="E1718" t="str">
            <v>A</v>
          </cell>
          <cell r="F1718" t="str">
            <v>01/15/1998</v>
          </cell>
        </row>
        <row r="1719">
          <cell r="B1719" t="str">
            <v>A0796</v>
          </cell>
          <cell r="C1719" t="str">
            <v>GEN</v>
          </cell>
          <cell r="D1719" t="str">
            <v>Y</v>
          </cell>
          <cell r="E1719" t="str">
            <v>A</v>
          </cell>
          <cell r="F1719" t="str">
            <v>01/16/1998</v>
          </cell>
        </row>
        <row r="1720">
          <cell r="B1720" t="str">
            <v>A0797</v>
          </cell>
          <cell r="C1720" t="str">
            <v>UEC</v>
          </cell>
          <cell r="D1720" t="str">
            <v>N</v>
          </cell>
          <cell r="E1720" t="str">
            <v>A</v>
          </cell>
          <cell r="F1720" t="str">
            <v>01/20/1998</v>
          </cell>
        </row>
        <row r="1721">
          <cell r="B1721" t="str">
            <v>A0798</v>
          </cell>
          <cell r="C1721" t="str">
            <v>UEC</v>
          </cell>
          <cell r="D1721" t="str">
            <v>Y</v>
          </cell>
          <cell r="E1721" t="str">
            <v>A</v>
          </cell>
          <cell r="F1721" t="str">
            <v>01/20/1998</v>
          </cell>
        </row>
        <row r="1722">
          <cell r="B1722" t="str">
            <v>A0800</v>
          </cell>
          <cell r="C1722" t="str">
            <v>AME</v>
          </cell>
          <cell r="D1722" t="str">
            <v>Y</v>
          </cell>
          <cell r="E1722" t="str">
            <v>A</v>
          </cell>
          <cell r="F1722" t="str">
            <v>11/04/1998</v>
          </cell>
        </row>
        <row r="1723">
          <cell r="B1723" t="str">
            <v>A0802</v>
          </cell>
          <cell r="C1723" t="str">
            <v>AME</v>
          </cell>
          <cell r="D1723" t="str">
            <v>Y</v>
          </cell>
          <cell r="E1723" t="str">
            <v>A</v>
          </cell>
          <cell r="F1723" t="str">
            <v>11/04/1998</v>
          </cell>
        </row>
        <row r="1724">
          <cell r="B1724" t="str">
            <v>A0803</v>
          </cell>
          <cell r="C1724"/>
          <cell r="D1724" t="str">
            <v>Y</v>
          </cell>
          <cell r="E1724" t="str">
            <v>A</v>
          </cell>
          <cell r="F1724" t="str">
            <v>01/22/1998</v>
          </cell>
        </row>
        <row r="1725">
          <cell r="B1725" t="str">
            <v>A0804</v>
          </cell>
          <cell r="C1725" t="str">
            <v>AEC</v>
          </cell>
          <cell r="D1725" t="str">
            <v>Y</v>
          </cell>
          <cell r="E1725" t="str">
            <v>A</v>
          </cell>
          <cell r="F1725" t="str">
            <v>11/04/1998</v>
          </cell>
        </row>
        <row r="1726">
          <cell r="B1726" t="str">
            <v>A0805</v>
          </cell>
          <cell r="C1726" t="str">
            <v>004O</v>
          </cell>
          <cell r="D1726" t="str">
            <v>Y</v>
          </cell>
          <cell r="E1726" t="str">
            <v>A</v>
          </cell>
          <cell r="F1726" t="str">
            <v>01/11/1999</v>
          </cell>
        </row>
        <row r="1727">
          <cell r="B1727" t="str">
            <v>A0807</v>
          </cell>
          <cell r="C1727" t="str">
            <v>001A</v>
          </cell>
          <cell r="D1727" t="str">
            <v>Y</v>
          </cell>
          <cell r="E1727" t="str">
            <v>A</v>
          </cell>
          <cell r="F1727" t="str">
            <v>01/12/1999</v>
          </cell>
        </row>
        <row r="1728">
          <cell r="B1728" t="str">
            <v>A0809</v>
          </cell>
          <cell r="C1728" t="str">
            <v>002L</v>
          </cell>
          <cell r="D1728" t="str">
            <v>Y</v>
          </cell>
          <cell r="E1728" t="str">
            <v>A</v>
          </cell>
          <cell r="F1728" t="str">
            <v>11/05/1998</v>
          </cell>
        </row>
        <row r="1729">
          <cell r="B1729" t="str">
            <v>A0812</v>
          </cell>
          <cell r="C1729" t="str">
            <v>UEC</v>
          </cell>
          <cell r="D1729" t="str">
            <v>Y</v>
          </cell>
          <cell r="E1729" t="str">
            <v>I</v>
          </cell>
          <cell r="F1729" t="str">
            <v>01/23/1998</v>
          </cell>
        </row>
        <row r="1730">
          <cell r="B1730" t="str">
            <v>A0813</v>
          </cell>
          <cell r="C1730" t="str">
            <v>UEC</v>
          </cell>
          <cell r="D1730" t="str">
            <v>Y</v>
          </cell>
          <cell r="E1730" t="str">
            <v>A</v>
          </cell>
          <cell r="F1730" t="str">
            <v>01/23/1998</v>
          </cell>
        </row>
        <row r="1731">
          <cell r="B1731" t="str">
            <v>A0814</v>
          </cell>
          <cell r="C1731" t="str">
            <v>UEC</v>
          </cell>
          <cell r="D1731" t="str">
            <v>Y</v>
          </cell>
          <cell r="E1731" t="str">
            <v>A</v>
          </cell>
          <cell r="F1731" t="str">
            <v>01/23/1998</v>
          </cell>
        </row>
        <row r="1732">
          <cell r="B1732" t="str">
            <v>A0815</v>
          </cell>
          <cell r="C1732" t="str">
            <v>002A</v>
          </cell>
          <cell r="D1732" t="str">
            <v>Y</v>
          </cell>
          <cell r="E1732" t="str">
            <v>A</v>
          </cell>
          <cell r="F1732" t="str">
            <v>11/05/1998</v>
          </cell>
        </row>
        <row r="1733">
          <cell r="B1733" t="str">
            <v>A0816</v>
          </cell>
          <cell r="C1733" t="str">
            <v>UEC</v>
          </cell>
          <cell r="D1733" t="str">
            <v>Y</v>
          </cell>
          <cell r="E1733" t="str">
            <v>A</v>
          </cell>
          <cell r="F1733" t="str">
            <v>11/06/1998</v>
          </cell>
        </row>
        <row r="1734">
          <cell r="B1734" t="str">
            <v>A0817</v>
          </cell>
          <cell r="C1734" t="str">
            <v>002D</v>
          </cell>
          <cell r="D1734" t="str">
            <v>Y</v>
          </cell>
          <cell r="E1734" t="str">
            <v>A</v>
          </cell>
          <cell r="F1734" t="str">
            <v>01/23/1998</v>
          </cell>
        </row>
        <row r="1735">
          <cell r="B1735" t="str">
            <v>A0818</v>
          </cell>
          <cell r="C1735" t="str">
            <v>UEC</v>
          </cell>
          <cell r="D1735" t="str">
            <v>Y</v>
          </cell>
          <cell r="E1735" t="str">
            <v>I</v>
          </cell>
          <cell r="F1735" t="str">
            <v>01/27/1998</v>
          </cell>
        </row>
        <row r="1736">
          <cell r="B1736" t="str">
            <v>A0819</v>
          </cell>
          <cell r="C1736"/>
          <cell r="D1736" t="str">
            <v>N</v>
          </cell>
          <cell r="E1736" t="str">
            <v>A</v>
          </cell>
          <cell r="F1736" t="str">
            <v>01/23/1998</v>
          </cell>
        </row>
        <row r="1737">
          <cell r="B1737" t="str">
            <v>A0820</v>
          </cell>
          <cell r="C1737" t="str">
            <v>CIP</v>
          </cell>
          <cell r="D1737" t="str">
            <v>Y</v>
          </cell>
          <cell r="E1737" t="str">
            <v>A</v>
          </cell>
          <cell r="F1737" t="str">
            <v>11/06/1998</v>
          </cell>
        </row>
        <row r="1738">
          <cell r="B1738" t="str">
            <v>A0825</v>
          </cell>
          <cell r="C1738" t="str">
            <v>004A</v>
          </cell>
          <cell r="D1738" t="str">
            <v>Y</v>
          </cell>
          <cell r="E1738" t="str">
            <v>A</v>
          </cell>
          <cell r="F1738" t="str">
            <v>01/12/1999</v>
          </cell>
        </row>
        <row r="1739">
          <cell r="B1739" t="str">
            <v>A0826</v>
          </cell>
          <cell r="C1739" t="str">
            <v>UEC</v>
          </cell>
          <cell r="D1739" t="str">
            <v>Y</v>
          </cell>
          <cell r="E1739" t="str">
            <v>A</v>
          </cell>
          <cell r="F1739" t="str">
            <v>01/31/1998</v>
          </cell>
        </row>
        <row r="1740">
          <cell r="B1740" t="str">
            <v>A0828</v>
          </cell>
          <cell r="C1740" t="str">
            <v>004B</v>
          </cell>
          <cell r="D1740" t="str">
            <v>Y</v>
          </cell>
          <cell r="E1740" t="str">
            <v>A</v>
          </cell>
          <cell r="F1740" t="str">
            <v>01/12/1999</v>
          </cell>
        </row>
        <row r="1741">
          <cell r="B1741" t="str">
            <v>A0832</v>
          </cell>
          <cell r="C1741" t="str">
            <v>UEC</v>
          </cell>
          <cell r="D1741" t="str">
            <v>Y</v>
          </cell>
          <cell r="E1741" t="str">
            <v>I</v>
          </cell>
          <cell r="F1741" t="str">
            <v>01/28/1998</v>
          </cell>
        </row>
        <row r="1742">
          <cell r="B1742" t="str">
            <v>A0833</v>
          </cell>
          <cell r="C1742" t="str">
            <v>CIP</v>
          </cell>
          <cell r="D1742" t="str">
            <v>Y</v>
          </cell>
          <cell r="E1742" t="str">
            <v>A</v>
          </cell>
          <cell r="F1742" t="str">
            <v>01/30/1998</v>
          </cell>
        </row>
        <row r="1743">
          <cell r="B1743" t="str">
            <v>A0834</v>
          </cell>
          <cell r="C1743" t="str">
            <v>CIP</v>
          </cell>
          <cell r="D1743" t="str">
            <v>Y</v>
          </cell>
          <cell r="E1743" t="str">
            <v>A</v>
          </cell>
          <cell r="F1743" t="str">
            <v>02/02/1998</v>
          </cell>
        </row>
        <row r="1744">
          <cell r="B1744" t="str">
            <v>A0835</v>
          </cell>
          <cell r="C1744" t="str">
            <v>UEC</v>
          </cell>
          <cell r="D1744" t="str">
            <v>Y</v>
          </cell>
          <cell r="E1744" t="str">
            <v>A</v>
          </cell>
          <cell r="F1744" t="str">
            <v>02/02/1998</v>
          </cell>
        </row>
        <row r="1745">
          <cell r="B1745" t="str">
            <v>A0837</v>
          </cell>
          <cell r="C1745" t="str">
            <v>001D</v>
          </cell>
          <cell r="D1745" t="str">
            <v>Y</v>
          </cell>
          <cell r="E1745" t="str">
            <v>A</v>
          </cell>
          <cell r="F1745" t="str">
            <v>02/02/1998</v>
          </cell>
        </row>
        <row r="1746">
          <cell r="B1746" t="str">
            <v>A0838</v>
          </cell>
          <cell r="C1746" t="str">
            <v>002D</v>
          </cell>
          <cell r="D1746" t="str">
            <v>Y</v>
          </cell>
          <cell r="E1746" t="str">
            <v>A</v>
          </cell>
          <cell r="F1746" t="str">
            <v>02/02/1998</v>
          </cell>
        </row>
        <row r="1747">
          <cell r="B1747" t="str">
            <v>A0839</v>
          </cell>
          <cell r="C1747" t="str">
            <v>UEC</v>
          </cell>
          <cell r="D1747" t="str">
            <v>Y</v>
          </cell>
          <cell r="E1747" t="str">
            <v>A</v>
          </cell>
          <cell r="F1747" t="str">
            <v>02/02/1998</v>
          </cell>
        </row>
        <row r="1748">
          <cell r="B1748" t="str">
            <v>A0841</v>
          </cell>
          <cell r="C1748" t="str">
            <v>CIP</v>
          </cell>
          <cell r="D1748" t="str">
            <v>Y</v>
          </cell>
          <cell r="E1748" t="str">
            <v>A</v>
          </cell>
          <cell r="F1748" t="str">
            <v>02/02/1998</v>
          </cell>
        </row>
        <row r="1749">
          <cell r="B1749" t="str">
            <v>A0850</v>
          </cell>
          <cell r="C1749"/>
          <cell r="D1749" t="str">
            <v>Y</v>
          </cell>
          <cell r="E1749" t="str">
            <v>A</v>
          </cell>
          <cell r="F1749" t="str">
            <v>02/03/1998</v>
          </cell>
        </row>
        <row r="1750">
          <cell r="B1750" t="str">
            <v>A0852</v>
          </cell>
          <cell r="C1750" t="str">
            <v>004A</v>
          </cell>
          <cell r="D1750" t="str">
            <v>Y</v>
          </cell>
          <cell r="E1750" t="str">
            <v>A</v>
          </cell>
          <cell r="F1750" t="str">
            <v>11/10/1998</v>
          </cell>
        </row>
        <row r="1751">
          <cell r="B1751" t="str">
            <v>A0859</v>
          </cell>
          <cell r="C1751" t="str">
            <v>UEC</v>
          </cell>
          <cell r="D1751" t="str">
            <v>Y</v>
          </cell>
          <cell r="E1751" t="str">
            <v>A</v>
          </cell>
          <cell r="F1751" t="str">
            <v>02/03/1998</v>
          </cell>
        </row>
        <row r="1752">
          <cell r="B1752" t="str">
            <v>A0861</v>
          </cell>
          <cell r="C1752" t="str">
            <v>UEC</v>
          </cell>
          <cell r="D1752" t="str">
            <v>Y</v>
          </cell>
          <cell r="E1752" t="str">
            <v>A</v>
          </cell>
          <cell r="F1752" t="str">
            <v>02/05/1998</v>
          </cell>
        </row>
        <row r="1753">
          <cell r="B1753" t="str">
            <v>A0862</v>
          </cell>
          <cell r="C1753" t="str">
            <v>CIP</v>
          </cell>
          <cell r="D1753" t="str">
            <v>Y</v>
          </cell>
          <cell r="E1753" t="str">
            <v>A</v>
          </cell>
          <cell r="F1753" t="str">
            <v>02/05/1998</v>
          </cell>
        </row>
        <row r="1754">
          <cell r="B1754" t="str">
            <v>A0864</v>
          </cell>
          <cell r="C1754" t="str">
            <v>CIP</v>
          </cell>
          <cell r="D1754" t="str">
            <v>Y</v>
          </cell>
          <cell r="E1754" t="str">
            <v>A</v>
          </cell>
          <cell r="F1754" t="str">
            <v>11/10/1998</v>
          </cell>
        </row>
        <row r="1755">
          <cell r="B1755" t="str">
            <v>A0865</v>
          </cell>
          <cell r="C1755" t="str">
            <v>UEC</v>
          </cell>
          <cell r="D1755" t="str">
            <v>Y</v>
          </cell>
          <cell r="E1755" t="str">
            <v>A</v>
          </cell>
          <cell r="F1755" t="str">
            <v>11/10/1998</v>
          </cell>
        </row>
        <row r="1756">
          <cell r="B1756" t="str">
            <v>A0866</v>
          </cell>
          <cell r="C1756"/>
          <cell r="D1756" t="str">
            <v>N</v>
          </cell>
          <cell r="E1756" t="str">
            <v>A</v>
          </cell>
          <cell r="F1756" t="str">
            <v>02/09/1998</v>
          </cell>
        </row>
        <row r="1757">
          <cell r="B1757" t="str">
            <v>A0868</v>
          </cell>
          <cell r="C1757" t="str">
            <v>UEC</v>
          </cell>
          <cell r="D1757" t="str">
            <v>Y</v>
          </cell>
          <cell r="E1757" t="str">
            <v>A</v>
          </cell>
          <cell r="F1757" t="str">
            <v>02/11/1998</v>
          </cell>
        </row>
        <row r="1758">
          <cell r="B1758" t="str">
            <v>A0869</v>
          </cell>
          <cell r="C1758" t="str">
            <v>004A</v>
          </cell>
          <cell r="D1758" t="str">
            <v>Y</v>
          </cell>
          <cell r="E1758" t="str">
            <v>A</v>
          </cell>
          <cell r="F1758" t="str">
            <v>11/10/1998</v>
          </cell>
        </row>
        <row r="1759">
          <cell r="B1759" t="str">
            <v>A0871</v>
          </cell>
          <cell r="C1759" t="str">
            <v>004F</v>
          </cell>
          <cell r="D1759" t="str">
            <v>Y</v>
          </cell>
          <cell r="E1759" t="str">
            <v>A</v>
          </cell>
          <cell r="F1759" t="str">
            <v>01/22/1999</v>
          </cell>
        </row>
        <row r="1760">
          <cell r="B1760" t="str">
            <v>A0877</v>
          </cell>
          <cell r="C1760" t="str">
            <v>AME</v>
          </cell>
          <cell r="D1760" t="str">
            <v>Y</v>
          </cell>
          <cell r="E1760" t="str">
            <v>A</v>
          </cell>
          <cell r="F1760" t="str">
            <v>12/22/1998</v>
          </cell>
        </row>
        <row r="1761">
          <cell r="B1761" t="str">
            <v>A0878</v>
          </cell>
          <cell r="C1761" t="str">
            <v>004B</v>
          </cell>
          <cell r="D1761" t="str">
            <v>Y</v>
          </cell>
          <cell r="E1761" t="str">
            <v>A</v>
          </cell>
          <cell r="F1761" t="str">
            <v>12/22/1998</v>
          </cell>
        </row>
        <row r="1762">
          <cell r="B1762" t="str">
            <v>A0880</v>
          </cell>
          <cell r="C1762" t="str">
            <v>010A</v>
          </cell>
          <cell r="D1762" t="str">
            <v>N</v>
          </cell>
          <cell r="E1762" t="str">
            <v>A</v>
          </cell>
          <cell r="F1762" t="str">
            <v>02/23/1999</v>
          </cell>
        </row>
        <row r="1763">
          <cell r="B1763" t="str">
            <v>A0881</v>
          </cell>
          <cell r="C1763" t="str">
            <v>AME</v>
          </cell>
          <cell r="D1763" t="str">
            <v>Y</v>
          </cell>
          <cell r="E1763" t="str">
            <v>A</v>
          </cell>
          <cell r="F1763" t="str">
            <v>02/23/1999</v>
          </cell>
        </row>
        <row r="1764">
          <cell r="B1764" t="str">
            <v>A0882</v>
          </cell>
          <cell r="C1764" t="str">
            <v>AMC</v>
          </cell>
          <cell r="D1764" t="str">
            <v>Y</v>
          </cell>
          <cell r="E1764" t="str">
            <v>A</v>
          </cell>
          <cell r="F1764" t="str">
            <v>03/02/1999</v>
          </cell>
        </row>
        <row r="1765">
          <cell r="B1765" t="str">
            <v>A0886</v>
          </cell>
          <cell r="C1765" t="str">
            <v>AME</v>
          </cell>
          <cell r="D1765" t="str">
            <v>Y</v>
          </cell>
          <cell r="E1765" t="str">
            <v>A</v>
          </cell>
          <cell r="F1765" t="str">
            <v>03/19/1999</v>
          </cell>
        </row>
        <row r="1766">
          <cell r="B1766" t="str">
            <v>A0887</v>
          </cell>
          <cell r="C1766" t="str">
            <v>AME</v>
          </cell>
          <cell r="D1766" t="str">
            <v>Y</v>
          </cell>
          <cell r="E1766" t="str">
            <v>A</v>
          </cell>
          <cell r="F1766" t="str">
            <v>03/19/1999</v>
          </cell>
        </row>
        <row r="1767">
          <cell r="B1767" t="str">
            <v>A0889</v>
          </cell>
          <cell r="C1767" t="str">
            <v>ERC</v>
          </cell>
          <cell r="D1767" t="str">
            <v>Y</v>
          </cell>
          <cell r="E1767" t="str">
            <v>A</v>
          </cell>
          <cell r="F1767" t="str">
            <v>04/13/1999</v>
          </cell>
        </row>
        <row r="1768">
          <cell r="B1768" t="str">
            <v>A0894</v>
          </cell>
          <cell r="C1768"/>
          <cell r="D1768" t="str">
            <v>Y</v>
          </cell>
          <cell r="E1768" t="str">
            <v>A</v>
          </cell>
          <cell r="F1768" t="str">
            <v>06/04/1999</v>
          </cell>
        </row>
        <row r="1769">
          <cell r="B1769" t="str">
            <v>A0896</v>
          </cell>
          <cell r="C1769" t="str">
            <v>UEC</v>
          </cell>
          <cell r="D1769" t="str">
            <v>Y</v>
          </cell>
          <cell r="E1769" t="str">
            <v>A</v>
          </cell>
          <cell r="F1769" t="str">
            <v>07/02/1999</v>
          </cell>
        </row>
        <row r="1770">
          <cell r="B1770" t="str">
            <v>A0897</v>
          </cell>
          <cell r="C1770" t="str">
            <v>CIP</v>
          </cell>
          <cell r="D1770" t="str">
            <v>Y</v>
          </cell>
          <cell r="E1770" t="str">
            <v>A</v>
          </cell>
          <cell r="F1770" t="str">
            <v>07/06/1999</v>
          </cell>
        </row>
        <row r="1771">
          <cell r="B1771" t="str">
            <v>A0898</v>
          </cell>
          <cell r="C1771" t="str">
            <v>001A</v>
          </cell>
          <cell r="D1771" t="str">
            <v>Y</v>
          </cell>
          <cell r="E1771" t="str">
            <v>A</v>
          </cell>
          <cell r="F1771" t="str">
            <v>07/06/1999</v>
          </cell>
        </row>
        <row r="1772">
          <cell r="B1772" t="str">
            <v>A0902</v>
          </cell>
          <cell r="C1772" t="str">
            <v>AME</v>
          </cell>
          <cell r="D1772" t="str">
            <v>Y</v>
          </cell>
          <cell r="E1772" t="str">
            <v>A</v>
          </cell>
          <cell r="F1772" t="str">
            <v>07/27/1999</v>
          </cell>
        </row>
        <row r="1773">
          <cell r="B1773" t="str">
            <v>A0904</v>
          </cell>
          <cell r="C1773" t="str">
            <v>AFS</v>
          </cell>
          <cell r="D1773" t="str">
            <v>Y</v>
          </cell>
          <cell r="E1773" t="str">
            <v>A</v>
          </cell>
          <cell r="F1773" t="str">
            <v>07/28/1999</v>
          </cell>
        </row>
        <row r="1774">
          <cell r="B1774" t="str">
            <v>A0906</v>
          </cell>
          <cell r="C1774" t="str">
            <v>AEC</v>
          </cell>
          <cell r="D1774" t="str">
            <v>Y</v>
          </cell>
          <cell r="E1774" t="str">
            <v>A</v>
          </cell>
          <cell r="F1774" t="str">
            <v>07/28/1999</v>
          </cell>
        </row>
        <row r="1775">
          <cell r="B1775" t="str">
            <v>A0910</v>
          </cell>
          <cell r="C1775" t="str">
            <v>AEC</v>
          </cell>
          <cell r="D1775" t="str">
            <v>Y</v>
          </cell>
          <cell r="E1775" t="str">
            <v>A</v>
          </cell>
          <cell r="F1775" t="str">
            <v>08/18/1999</v>
          </cell>
        </row>
        <row r="1776">
          <cell r="B1776" t="str">
            <v>A0912</v>
          </cell>
          <cell r="C1776" t="str">
            <v>AEC</v>
          </cell>
          <cell r="D1776" t="str">
            <v>Y</v>
          </cell>
          <cell r="E1776" t="str">
            <v>A</v>
          </cell>
          <cell r="F1776" t="str">
            <v>09/02/1999</v>
          </cell>
        </row>
        <row r="1777">
          <cell r="B1777" t="str">
            <v>A0926</v>
          </cell>
          <cell r="C1777" t="str">
            <v>010A</v>
          </cell>
          <cell r="D1777" t="str">
            <v>Y</v>
          </cell>
          <cell r="E1777" t="str">
            <v>A</v>
          </cell>
          <cell r="F1777" t="str">
            <v>09/27/1999</v>
          </cell>
        </row>
        <row r="1778">
          <cell r="B1778" t="str">
            <v>A0936</v>
          </cell>
          <cell r="C1778" t="str">
            <v>CIP</v>
          </cell>
          <cell r="D1778" t="str">
            <v>N</v>
          </cell>
          <cell r="E1778" t="str">
            <v>A</v>
          </cell>
          <cell r="F1778" t="str">
            <v>10/22/1999</v>
          </cell>
        </row>
        <row r="1779">
          <cell r="B1779" t="str">
            <v>A0940</v>
          </cell>
          <cell r="C1779" t="str">
            <v>002M</v>
          </cell>
          <cell r="D1779" t="str">
            <v>Y</v>
          </cell>
          <cell r="E1779" t="str">
            <v>A</v>
          </cell>
          <cell r="F1779" t="str">
            <v>10/22/1999</v>
          </cell>
        </row>
        <row r="1780">
          <cell r="B1780" t="str">
            <v>A0948</v>
          </cell>
          <cell r="C1780" t="str">
            <v>UEC</v>
          </cell>
          <cell r="D1780" t="str">
            <v>Y</v>
          </cell>
          <cell r="E1780" t="str">
            <v>A</v>
          </cell>
          <cell r="F1780" t="str">
            <v>11/08/1999</v>
          </cell>
        </row>
        <row r="1781">
          <cell r="B1781" t="str">
            <v>A0950</v>
          </cell>
          <cell r="C1781" t="str">
            <v>IHC</v>
          </cell>
          <cell r="D1781" t="str">
            <v>Y</v>
          </cell>
          <cell r="E1781" t="str">
            <v>A</v>
          </cell>
          <cell r="F1781" t="str">
            <v>11/12/1999</v>
          </cell>
        </row>
        <row r="1782">
          <cell r="B1782" t="str">
            <v>A0953</v>
          </cell>
          <cell r="C1782" t="str">
            <v>002F</v>
          </cell>
          <cell r="D1782" t="str">
            <v>Y</v>
          </cell>
          <cell r="E1782" t="str">
            <v>A</v>
          </cell>
          <cell r="F1782" t="str">
            <v>11/15/1999</v>
          </cell>
        </row>
        <row r="1783">
          <cell r="B1783" t="str">
            <v>A0954</v>
          </cell>
          <cell r="C1783" t="str">
            <v>017B</v>
          </cell>
          <cell r="D1783" t="str">
            <v>Y</v>
          </cell>
          <cell r="E1783" t="str">
            <v>A</v>
          </cell>
          <cell r="F1783" t="str">
            <v>11/19/1999</v>
          </cell>
        </row>
        <row r="1784">
          <cell r="B1784" t="str">
            <v>A0955</v>
          </cell>
          <cell r="C1784" t="str">
            <v>008C</v>
          </cell>
          <cell r="D1784" t="str">
            <v>Y</v>
          </cell>
          <cell r="E1784" t="str">
            <v>A</v>
          </cell>
          <cell r="F1784" t="str">
            <v>11/19/1999</v>
          </cell>
        </row>
        <row r="1785">
          <cell r="B1785" t="str">
            <v>A0957</v>
          </cell>
          <cell r="C1785" t="str">
            <v>007A</v>
          </cell>
          <cell r="D1785" t="str">
            <v>Y</v>
          </cell>
          <cell r="E1785" t="str">
            <v>A</v>
          </cell>
          <cell r="F1785" t="str">
            <v>11/19/1999</v>
          </cell>
        </row>
        <row r="1786">
          <cell r="B1786" t="str">
            <v>A0958</v>
          </cell>
          <cell r="C1786" t="str">
            <v>017A</v>
          </cell>
          <cell r="D1786" t="str">
            <v>Y</v>
          </cell>
          <cell r="E1786" t="str">
            <v>A</v>
          </cell>
          <cell r="F1786" t="str">
            <v>11/19/1999</v>
          </cell>
        </row>
        <row r="1787">
          <cell r="B1787" t="str">
            <v>A0959</v>
          </cell>
          <cell r="C1787" t="str">
            <v>001A</v>
          </cell>
          <cell r="D1787" t="str">
            <v>Y</v>
          </cell>
          <cell r="E1787" t="str">
            <v>A</v>
          </cell>
          <cell r="F1787" t="str">
            <v>11/22/1999</v>
          </cell>
        </row>
        <row r="1788">
          <cell r="B1788" t="str">
            <v>A0960</v>
          </cell>
          <cell r="C1788" t="str">
            <v>017C</v>
          </cell>
          <cell r="D1788" t="str">
            <v>Y</v>
          </cell>
          <cell r="E1788" t="str">
            <v>A</v>
          </cell>
          <cell r="F1788" t="str">
            <v>11/22/1999</v>
          </cell>
        </row>
        <row r="1789">
          <cell r="B1789" t="str">
            <v>A0961</v>
          </cell>
          <cell r="C1789" t="str">
            <v>007A</v>
          </cell>
          <cell r="D1789" t="str">
            <v>Y</v>
          </cell>
          <cell r="E1789" t="str">
            <v>A</v>
          </cell>
          <cell r="F1789" t="str">
            <v>11/22/1999</v>
          </cell>
        </row>
        <row r="1790">
          <cell r="B1790" t="str">
            <v>A0962</v>
          </cell>
          <cell r="C1790" t="str">
            <v>008C</v>
          </cell>
          <cell r="D1790" t="str">
            <v>Y</v>
          </cell>
          <cell r="E1790" t="str">
            <v>A</v>
          </cell>
          <cell r="F1790" t="str">
            <v>11/22/1999</v>
          </cell>
        </row>
        <row r="1791">
          <cell r="B1791" t="str">
            <v>A0963</v>
          </cell>
          <cell r="C1791" t="str">
            <v>015A</v>
          </cell>
          <cell r="D1791" t="str">
            <v>Y</v>
          </cell>
          <cell r="E1791" t="str">
            <v>A</v>
          </cell>
          <cell r="F1791" t="str">
            <v>11/22/1999</v>
          </cell>
        </row>
        <row r="1792">
          <cell r="B1792" t="str">
            <v>A0964</v>
          </cell>
          <cell r="C1792" t="str">
            <v>017C</v>
          </cell>
          <cell r="D1792" t="str">
            <v>Y</v>
          </cell>
          <cell r="E1792" t="str">
            <v>A</v>
          </cell>
          <cell r="F1792" t="str">
            <v>11/22/1999</v>
          </cell>
        </row>
        <row r="1793">
          <cell r="B1793" t="str">
            <v>A0966</v>
          </cell>
          <cell r="C1793" t="str">
            <v>011C</v>
          </cell>
          <cell r="D1793" t="str">
            <v>Y</v>
          </cell>
          <cell r="E1793" t="str">
            <v>A</v>
          </cell>
          <cell r="F1793" t="str">
            <v>11/22/1999</v>
          </cell>
        </row>
        <row r="1794">
          <cell r="B1794" t="str">
            <v>A0967</v>
          </cell>
          <cell r="C1794" t="str">
            <v>004A</v>
          </cell>
          <cell r="D1794" t="str">
            <v>Y</v>
          </cell>
          <cell r="E1794" t="str">
            <v>A</v>
          </cell>
          <cell r="F1794" t="str">
            <v>11/22/1999</v>
          </cell>
        </row>
        <row r="1795">
          <cell r="B1795" t="str">
            <v>A0968</v>
          </cell>
          <cell r="C1795" t="str">
            <v>002L</v>
          </cell>
          <cell r="D1795" t="str">
            <v>Y</v>
          </cell>
          <cell r="E1795" t="str">
            <v>A</v>
          </cell>
          <cell r="F1795" t="str">
            <v>11/22/1999</v>
          </cell>
        </row>
        <row r="1796">
          <cell r="B1796" t="str">
            <v>A0974</v>
          </cell>
          <cell r="C1796"/>
          <cell r="D1796" t="str">
            <v>Y</v>
          </cell>
          <cell r="E1796" t="str">
            <v>A</v>
          </cell>
          <cell r="F1796" t="str">
            <v>11/24/1999</v>
          </cell>
        </row>
        <row r="1797">
          <cell r="B1797" t="str">
            <v>A0975</v>
          </cell>
          <cell r="C1797" t="str">
            <v>003A</v>
          </cell>
          <cell r="D1797" t="str">
            <v>Y</v>
          </cell>
          <cell r="E1797" t="str">
            <v>A</v>
          </cell>
          <cell r="F1797" t="str">
            <v>11/24/1999</v>
          </cell>
        </row>
        <row r="1798">
          <cell r="B1798" t="str">
            <v>A0980</v>
          </cell>
          <cell r="C1798" t="str">
            <v>001A</v>
          </cell>
          <cell r="D1798" t="str">
            <v>N</v>
          </cell>
          <cell r="E1798" t="str">
            <v>A</v>
          </cell>
          <cell r="F1798" t="str">
            <v>11/24/1999</v>
          </cell>
        </row>
        <row r="1799">
          <cell r="B1799" t="str">
            <v>A0981</v>
          </cell>
          <cell r="C1799" t="str">
            <v>001A</v>
          </cell>
          <cell r="D1799" t="str">
            <v>Y</v>
          </cell>
          <cell r="E1799" t="str">
            <v>A</v>
          </cell>
          <cell r="F1799" t="str">
            <v>11/24/1999</v>
          </cell>
        </row>
        <row r="1800">
          <cell r="B1800" t="str">
            <v>A0983</v>
          </cell>
          <cell r="C1800" t="str">
            <v>002L</v>
          </cell>
          <cell r="D1800" t="str">
            <v>Y</v>
          </cell>
          <cell r="E1800" t="str">
            <v>A</v>
          </cell>
          <cell r="F1800" t="str">
            <v>11/26/1999</v>
          </cell>
        </row>
        <row r="1801">
          <cell r="B1801" t="str">
            <v>A0985</v>
          </cell>
          <cell r="C1801" t="str">
            <v>007A</v>
          </cell>
          <cell r="D1801" t="str">
            <v>Y</v>
          </cell>
          <cell r="E1801" t="str">
            <v>A</v>
          </cell>
          <cell r="F1801" t="str">
            <v>11/26/1999</v>
          </cell>
        </row>
        <row r="1802">
          <cell r="B1802" t="str">
            <v>A0986</v>
          </cell>
          <cell r="C1802"/>
          <cell r="D1802" t="str">
            <v>Y</v>
          </cell>
          <cell r="E1802" t="str">
            <v>A</v>
          </cell>
          <cell r="F1802" t="str">
            <v>11/26/1999</v>
          </cell>
        </row>
        <row r="1803">
          <cell r="B1803" t="str">
            <v>A0987</v>
          </cell>
          <cell r="C1803" t="str">
            <v>004A</v>
          </cell>
          <cell r="D1803" t="str">
            <v>Y</v>
          </cell>
          <cell r="E1803" t="str">
            <v>A</v>
          </cell>
          <cell r="F1803" t="str">
            <v>11/26/1999</v>
          </cell>
        </row>
        <row r="1804">
          <cell r="B1804" t="str">
            <v>A0988</v>
          </cell>
          <cell r="C1804" t="str">
            <v>018A</v>
          </cell>
          <cell r="D1804" t="str">
            <v>Y</v>
          </cell>
          <cell r="E1804" t="str">
            <v>A</v>
          </cell>
          <cell r="F1804" t="str">
            <v>11/26/1999</v>
          </cell>
        </row>
        <row r="1805">
          <cell r="B1805" t="str">
            <v>A0992</v>
          </cell>
          <cell r="C1805" t="str">
            <v>004A</v>
          </cell>
          <cell r="D1805" t="str">
            <v>Y</v>
          </cell>
          <cell r="E1805" t="str">
            <v>A</v>
          </cell>
          <cell r="F1805" t="str">
            <v>12/15/1999</v>
          </cell>
        </row>
        <row r="1806">
          <cell r="B1806" t="str">
            <v>A0993</v>
          </cell>
          <cell r="C1806" t="str">
            <v>004A</v>
          </cell>
          <cell r="D1806" t="str">
            <v>Y</v>
          </cell>
          <cell r="E1806" t="str">
            <v>A</v>
          </cell>
          <cell r="F1806" t="str">
            <v>12/15/1999</v>
          </cell>
        </row>
        <row r="1807">
          <cell r="B1807" t="str">
            <v>A0994</v>
          </cell>
          <cell r="C1807" t="str">
            <v>004A</v>
          </cell>
          <cell r="D1807" t="str">
            <v>Y</v>
          </cell>
          <cell r="E1807" t="str">
            <v>A</v>
          </cell>
          <cell r="F1807" t="str">
            <v>12/15/1999</v>
          </cell>
        </row>
        <row r="1808">
          <cell r="B1808" t="str">
            <v>A0999</v>
          </cell>
          <cell r="C1808" t="str">
            <v>004B</v>
          </cell>
          <cell r="D1808" t="str">
            <v>Y</v>
          </cell>
          <cell r="E1808" t="str">
            <v>A</v>
          </cell>
          <cell r="F1808" t="str">
            <v>12/21/1999</v>
          </cell>
        </row>
        <row r="1809">
          <cell r="B1809" t="str">
            <v>A1000</v>
          </cell>
          <cell r="C1809" t="str">
            <v>002A</v>
          </cell>
          <cell r="D1809" t="str">
            <v>Y</v>
          </cell>
          <cell r="E1809" t="str">
            <v>A</v>
          </cell>
          <cell r="F1809" t="str">
            <v>12/21/1999</v>
          </cell>
        </row>
        <row r="1810">
          <cell r="B1810" t="str">
            <v>A1001</v>
          </cell>
          <cell r="C1810" t="str">
            <v>GEN</v>
          </cell>
          <cell r="D1810" t="str">
            <v>Y</v>
          </cell>
          <cell r="E1810" t="str">
            <v>A</v>
          </cell>
          <cell r="F1810" t="str">
            <v>12/21/1999</v>
          </cell>
        </row>
        <row r="1811">
          <cell r="B1811" t="str">
            <v>A1002</v>
          </cell>
          <cell r="C1811" t="str">
            <v>002L</v>
          </cell>
          <cell r="D1811" t="str">
            <v>Y</v>
          </cell>
          <cell r="E1811" t="str">
            <v>A</v>
          </cell>
          <cell r="F1811" t="str">
            <v>12/22/1999</v>
          </cell>
        </row>
        <row r="1812">
          <cell r="B1812" t="str">
            <v>A1005</v>
          </cell>
          <cell r="C1812" t="str">
            <v>UEC</v>
          </cell>
          <cell r="D1812" t="str">
            <v>Y</v>
          </cell>
          <cell r="E1812" t="str">
            <v>A</v>
          </cell>
          <cell r="F1812" t="str">
            <v>12/22/1999</v>
          </cell>
        </row>
        <row r="1813">
          <cell r="B1813" t="str">
            <v>A1006</v>
          </cell>
          <cell r="C1813" t="str">
            <v>CIP</v>
          </cell>
          <cell r="D1813" t="str">
            <v>Y</v>
          </cell>
          <cell r="E1813" t="str">
            <v>A</v>
          </cell>
          <cell r="F1813" t="str">
            <v>12/22/1999</v>
          </cell>
        </row>
        <row r="1814">
          <cell r="B1814" t="str">
            <v>A1007</v>
          </cell>
          <cell r="C1814" t="str">
            <v>UEC</v>
          </cell>
          <cell r="D1814" t="str">
            <v>Y</v>
          </cell>
          <cell r="E1814" t="str">
            <v>A</v>
          </cell>
          <cell r="F1814" t="str">
            <v>12/22/1999</v>
          </cell>
        </row>
        <row r="1815">
          <cell r="B1815" t="str">
            <v>A1008</v>
          </cell>
          <cell r="C1815" t="str">
            <v>002K</v>
          </cell>
          <cell r="D1815" t="str">
            <v>Y</v>
          </cell>
          <cell r="E1815" t="str">
            <v>A</v>
          </cell>
          <cell r="F1815" t="str">
            <v>12/22/1999</v>
          </cell>
        </row>
        <row r="1816">
          <cell r="B1816" t="str">
            <v>A1009</v>
          </cell>
          <cell r="C1816" t="str">
            <v>002L</v>
          </cell>
          <cell r="D1816" t="str">
            <v>Y</v>
          </cell>
          <cell r="E1816" t="str">
            <v>A</v>
          </cell>
          <cell r="F1816" t="str">
            <v>12/22/1999</v>
          </cell>
        </row>
        <row r="1817">
          <cell r="B1817" t="str">
            <v>A1010</v>
          </cell>
          <cell r="C1817" t="str">
            <v>UEC</v>
          </cell>
          <cell r="D1817" t="str">
            <v>Y</v>
          </cell>
          <cell r="E1817" t="str">
            <v>A</v>
          </cell>
          <cell r="F1817" t="str">
            <v>12/22/1999</v>
          </cell>
        </row>
        <row r="1818">
          <cell r="B1818" t="str">
            <v>A1011</v>
          </cell>
          <cell r="C1818" t="str">
            <v>CIP</v>
          </cell>
          <cell r="D1818" t="str">
            <v>Y</v>
          </cell>
          <cell r="E1818" t="str">
            <v>A</v>
          </cell>
          <cell r="F1818" t="str">
            <v>12/22/1999</v>
          </cell>
        </row>
        <row r="1819">
          <cell r="B1819" t="str">
            <v>A1012</v>
          </cell>
          <cell r="C1819" t="str">
            <v>CIP</v>
          </cell>
          <cell r="D1819" t="str">
            <v>Y</v>
          </cell>
          <cell r="E1819" t="str">
            <v>A</v>
          </cell>
          <cell r="F1819" t="str">
            <v>12/22/1999</v>
          </cell>
        </row>
        <row r="1820">
          <cell r="B1820" t="str">
            <v>A1013</v>
          </cell>
          <cell r="C1820" t="str">
            <v>002M</v>
          </cell>
          <cell r="D1820" t="str">
            <v>Y</v>
          </cell>
          <cell r="E1820" t="str">
            <v>A</v>
          </cell>
          <cell r="F1820" t="str">
            <v>12/22/1999</v>
          </cell>
        </row>
        <row r="1821">
          <cell r="B1821" t="str">
            <v>A1014</v>
          </cell>
          <cell r="C1821" t="str">
            <v>002L</v>
          </cell>
          <cell r="D1821" t="str">
            <v>Y</v>
          </cell>
          <cell r="E1821" t="str">
            <v>A</v>
          </cell>
          <cell r="F1821" t="str">
            <v>12/22/1999</v>
          </cell>
        </row>
        <row r="1822">
          <cell r="B1822" t="str">
            <v>A1015</v>
          </cell>
          <cell r="C1822" t="str">
            <v>002F</v>
          </cell>
          <cell r="D1822" t="str">
            <v>Y</v>
          </cell>
          <cell r="E1822" t="str">
            <v>A</v>
          </cell>
          <cell r="F1822" t="str">
            <v>12/22/1999</v>
          </cell>
        </row>
        <row r="1823">
          <cell r="B1823" t="str">
            <v>A1017</v>
          </cell>
          <cell r="C1823" t="str">
            <v>002K</v>
          </cell>
          <cell r="D1823" t="str">
            <v>Y</v>
          </cell>
          <cell r="E1823" t="str">
            <v>A</v>
          </cell>
          <cell r="F1823" t="str">
            <v>01/04/2000</v>
          </cell>
        </row>
        <row r="1824">
          <cell r="B1824" t="str">
            <v>A1019</v>
          </cell>
          <cell r="C1824" t="str">
            <v>001A</v>
          </cell>
          <cell r="D1824" t="str">
            <v>Y</v>
          </cell>
          <cell r="E1824" t="str">
            <v>A</v>
          </cell>
          <cell r="F1824" t="str">
            <v>01/05/2000</v>
          </cell>
        </row>
        <row r="1825">
          <cell r="B1825" t="str">
            <v>A1020</v>
          </cell>
          <cell r="C1825" t="str">
            <v>001A</v>
          </cell>
          <cell r="D1825" t="str">
            <v>Y</v>
          </cell>
          <cell r="E1825" t="str">
            <v>I</v>
          </cell>
          <cell r="F1825" t="str">
            <v>01/05/2000</v>
          </cell>
        </row>
        <row r="1826">
          <cell r="B1826" t="str">
            <v>A1021</v>
          </cell>
          <cell r="C1826" t="str">
            <v>001A</v>
          </cell>
          <cell r="D1826" t="str">
            <v>Y</v>
          </cell>
          <cell r="E1826" t="str">
            <v>I</v>
          </cell>
          <cell r="F1826" t="str">
            <v>01/05/2000</v>
          </cell>
        </row>
        <row r="1827">
          <cell r="B1827" t="str">
            <v>A1022</v>
          </cell>
          <cell r="C1827" t="str">
            <v>001A</v>
          </cell>
          <cell r="D1827" t="str">
            <v>Y</v>
          </cell>
          <cell r="E1827" t="str">
            <v>I</v>
          </cell>
          <cell r="F1827" t="str">
            <v>01/05/2000</v>
          </cell>
        </row>
        <row r="1828">
          <cell r="B1828" t="str">
            <v>A1023</v>
          </cell>
          <cell r="C1828" t="str">
            <v>001A</v>
          </cell>
          <cell r="D1828" t="str">
            <v>Y</v>
          </cell>
          <cell r="E1828" t="str">
            <v>A</v>
          </cell>
          <cell r="F1828" t="str">
            <v>01/05/2000</v>
          </cell>
        </row>
        <row r="1829">
          <cell r="B1829" t="str">
            <v>A1024</v>
          </cell>
          <cell r="C1829" t="str">
            <v>008C</v>
          </cell>
          <cell r="D1829" t="str">
            <v>Y</v>
          </cell>
          <cell r="E1829" t="str">
            <v>A</v>
          </cell>
          <cell r="F1829" t="str">
            <v>01/05/2000</v>
          </cell>
        </row>
        <row r="1830">
          <cell r="B1830" t="str">
            <v>A1025</v>
          </cell>
          <cell r="C1830" t="str">
            <v>018A</v>
          </cell>
          <cell r="D1830" t="str">
            <v>Y</v>
          </cell>
          <cell r="E1830" t="str">
            <v>A</v>
          </cell>
          <cell r="F1830" t="str">
            <v>01/05/2000</v>
          </cell>
        </row>
        <row r="1831">
          <cell r="B1831" t="str">
            <v>A1026</v>
          </cell>
          <cell r="C1831" t="str">
            <v>CIP</v>
          </cell>
          <cell r="D1831" t="str">
            <v>N</v>
          </cell>
          <cell r="E1831" t="str">
            <v>A</v>
          </cell>
          <cell r="F1831" t="str">
            <v>01/05/2000</v>
          </cell>
        </row>
        <row r="1832">
          <cell r="B1832" t="str">
            <v>A1027</v>
          </cell>
          <cell r="C1832" t="str">
            <v>UEC</v>
          </cell>
          <cell r="D1832" t="str">
            <v>N</v>
          </cell>
          <cell r="E1832" t="str">
            <v>A</v>
          </cell>
          <cell r="F1832" t="str">
            <v>01/05/2000</v>
          </cell>
        </row>
        <row r="1833">
          <cell r="B1833" t="str">
            <v>A1028</v>
          </cell>
          <cell r="C1833" t="str">
            <v>UDC</v>
          </cell>
          <cell r="D1833" t="str">
            <v>N</v>
          </cell>
          <cell r="E1833" t="str">
            <v>A</v>
          </cell>
          <cell r="F1833" t="str">
            <v>01/06/2000</v>
          </cell>
        </row>
        <row r="1834">
          <cell r="B1834" t="str">
            <v>A1029</v>
          </cell>
          <cell r="C1834" t="str">
            <v>001A</v>
          </cell>
          <cell r="D1834" t="str">
            <v>N</v>
          </cell>
          <cell r="E1834" t="str">
            <v>A</v>
          </cell>
          <cell r="F1834" t="str">
            <v>01/06/2000</v>
          </cell>
        </row>
        <row r="1835">
          <cell r="B1835" t="str">
            <v>A1030</v>
          </cell>
          <cell r="C1835" t="str">
            <v>CIP</v>
          </cell>
          <cell r="D1835" t="str">
            <v>N</v>
          </cell>
          <cell r="E1835" t="str">
            <v>A</v>
          </cell>
          <cell r="F1835" t="str">
            <v>01/06/2000</v>
          </cell>
        </row>
        <row r="1836">
          <cell r="B1836" t="str">
            <v>A1031</v>
          </cell>
          <cell r="C1836" t="str">
            <v>UEC</v>
          </cell>
          <cell r="D1836" t="str">
            <v>N</v>
          </cell>
          <cell r="E1836" t="str">
            <v>A</v>
          </cell>
          <cell r="F1836" t="str">
            <v>01/06/2000</v>
          </cell>
        </row>
        <row r="1837">
          <cell r="B1837" t="str">
            <v>A1032</v>
          </cell>
          <cell r="C1837" t="str">
            <v>GEN</v>
          </cell>
          <cell r="D1837" t="str">
            <v>N</v>
          </cell>
          <cell r="E1837" t="str">
            <v>A</v>
          </cell>
          <cell r="F1837" t="str">
            <v>01/06/2000</v>
          </cell>
        </row>
        <row r="1838">
          <cell r="B1838" t="str">
            <v>A1033</v>
          </cell>
          <cell r="C1838" t="str">
            <v>UEC</v>
          </cell>
          <cell r="D1838" t="str">
            <v>N</v>
          </cell>
          <cell r="E1838" t="str">
            <v>A</v>
          </cell>
          <cell r="F1838" t="str">
            <v>01/06/2000</v>
          </cell>
        </row>
        <row r="1839">
          <cell r="B1839" t="str">
            <v>A1034</v>
          </cell>
          <cell r="C1839" t="str">
            <v>CIP</v>
          </cell>
          <cell r="D1839" t="str">
            <v>N</v>
          </cell>
          <cell r="E1839" t="str">
            <v>A</v>
          </cell>
          <cell r="F1839" t="str">
            <v>01/06/2000</v>
          </cell>
        </row>
        <row r="1840">
          <cell r="B1840" t="str">
            <v>A1035</v>
          </cell>
          <cell r="C1840" t="str">
            <v>UEC</v>
          </cell>
          <cell r="D1840" t="str">
            <v>N</v>
          </cell>
          <cell r="E1840" t="str">
            <v>A</v>
          </cell>
          <cell r="F1840" t="str">
            <v>01/06/2000</v>
          </cell>
        </row>
        <row r="1841">
          <cell r="B1841" t="str">
            <v>A1036</v>
          </cell>
          <cell r="C1841" t="str">
            <v>001A</v>
          </cell>
          <cell r="D1841" t="str">
            <v>N</v>
          </cell>
          <cell r="E1841" t="str">
            <v>A</v>
          </cell>
          <cell r="F1841" t="str">
            <v>01/06/2000</v>
          </cell>
        </row>
        <row r="1842">
          <cell r="B1842" t="str">
            <v>A1037</v>
          </cell>
          <cell r="C1842" t="str">
            <v>CIP</v>
          </cell>
          <cell r="D1842" t="str">
            <v>N</v>
          </cell>
          <cell r="E1842" t="str">
            <v>A</v>
          </cell>
          <cell r="F1842" t="str">
            <v>01/06/2000</v>
          </cell>
        </row>
        <row r="1843">
          <cell r="B1843" t="str">
            <v>A1038</v>
          </cell>
          <cell r="C1843" t="str">
            <v>UEC</v>
          </cell>
          <cell r="D1843" t="str">
            <v>N</v>
          </cell>
          <cell r="E1843" t="str">
            <v>A</v>
          </cell>
          <cell r="F1843" t="str">
            <v>01/06/2000</v>
          </cell>
        </row>
        <row r="1844">
          <cell r="B1844" t="str">
            <v>A1039</v>
          </cell>
          <cell r="C1844" t="str">
            <v>001A</v>
          </cell>
          <cell r="D1844" t="str">
            <v>N</v>
          </cell>
          <cell r="E1844" t="str">
            <v>A</v>
          </cell>
          <cell r="F1844" t="str">
            <v>01/06/2000</v>
          </cell>
        </row>
        <row r="1845">
          <cell r="B1845" t="str">
            <v>A1040</v>
          </cell>
          <cell r="C1845" t="str">
            <v>CIP</v>
          </cell>
          <cell r="D1845" t="str">
            <v>N</v>
          </cell>
          <cell r="E1845" t="str">
            <v>A</v>
          </cell>
          <cell r="F1845" t="str">
            <v>01/06/2000</v>
          </cell>
        </row>
        <row r="1846">
          <cell r="B1846" t="str">
            <v>A1041</v>
          </cell>
          <cell r="C1846" t="str">
            <v>UEC</v>
          </cell>
          <cell r="D1846" t="str">
            <v>N</v>
          </cell>
          <cell r="E1846" t="str">
            <v>A</v>
          </cell>
          <cell r="F1846" t="str">
            <v>01/06/2000</v>
          </cell>
        </row>
        <row r="1847">
          <cell r="B1847" t="str">
            <v>A1042</v>
          </cell>
          <cell r="C1847" t="str">
            <v>CIP</v>
          </cell>
          <cell r="D1847" t="str">
            <v>N</v>
          </cell>
          <cell r="E1847" t="str">
            <v>A</v>
          </cell>
          <cell r="F1847" t="str">
            <v>01/06/2000</v>
          </cell>
        </row>
        <row r="1848">
          <cell r="B1848" t="str">
            <v>A1043</v>
          </cell>
          <cell r="C1848" t="str">
            <v>UEC</v>
          </cell>
          <cell r="D1848" t="str">
            <v>N</v>
          </cell>
          <cell r="E1848" t="str">
            <v>A</v>
          </cell>
          <cell r="F1848" t="str">
            <v>01/06/2000</v>
          </cell>
        </row>
        <row r="1849">
          <cell r="B1849" t="str">
            <v>A1044</v>
          </cell>
          <cell r="C1849" t="str">
            <v>UEC</v>
          </cell>
          <cell r="D1849" t="str">
            <v>N</v>
          </cell>
          <cell r="E1849" t="str">
            <v>A</v>
          </cell>
          <cell r="F1849" t="str">
            <v>01/06/2000</v>
          </cell>
        </row>
        <row r="1850">
          <cell r="B1850" t="str">
            <v>A1045</v>
          </cell>
          <cell r="C1850" t="str">
            <v>012D</v>
          </cell>
          <cell r="D1850" t="str">
            <v>N</v>
          </cell>
          <cell r="E1850" t="str">
            <v>A</v>
          </cell>
          <cell r="F1850" t="str">
            <v>01/06/2000</v>
          </cell>
        </row>
        <row r="1851">
          <cell r="B1851" t="str">
            <v>A1046</v>
          </cell>
          <cell r="C1851" t="str">
            <v>003A</v>
          </cell>
          <cell r="D1851" t="str">
            <v>N</v>
          </cell>
          <cell r="E1851" t="str">
            <v>A</v>
          </cell>
          <cell r="F1851" t="str">
            <v>01/06/2000</v>
          </cell>
        </row>
        <row r="1852">
          <cell r="B1852" t="str">
            <v>A1047</v>
          </cell>
          <cell r="C1852"/>
          <cell r="D1852" t="str">
            <v>N</v>
          </cell>
          <cell r="E1852" t="str">
            <v>A</v>
          </cell>
          <cell r="F1852" t="str">
            <v>01/06/2000</v>
          </cell>
        </row>
        <row r="1853">
          <cell r="B1853" t="str">
            <v>A1048</v>
          </cell>
          <cell r="C1853" t="str">
            <v>001A</v>
          </cell>
          <cell r="D1853" t="str">
            <v>N</v>
          </cell>
          <cell r="E1853" t="str">
            <v>A</v>
          </cell>
          <cell r="F1853" t="str">
            <v>01/06/2000</v>
          </cell>
        </row>
        <row r="1854">
          <cell r="B1854" t="str">
            <v>A1049</v>
          </cell>
          <cell r="C1854" t="str">
            <v>001A</v>
          </cell>
          <cell r="D1854" t="str">
            <v>Y</v>
          </cell>
          <cell r="E1854" t="str">
            <v>A</v>
          </cell>
          <cell r="F1854" t="str">
            <v>01/06/2000</v>
          </cell>
        </row>
        <row r="1855">
          <cell r="B1855" t="str">
            <v>A1050</v>
          </cell>
          <cell r="C1855" t="str">
            <v>CIP</v>
          </cell>
          <cell r="D1855" t="str">
            <v>Y</v>
          </cell>
          <cell r="E1855" t="str">
            <v>A</v>
          </cell>
          <cell r="F1855" t="str">
            <v>01/06/2000</v>
          </cell>
        </row>
        <row r="1856">
          <cell r="B1856" t="str">
            <v>A1051</v>
          </cell>
          <cell r="C1856" t="str">
            <v>UEC</v>
          </cell>
          <cell r="D1856" t="str">
            <v>Y</v>
          </cell>
          <cell r="E1856" t="str">
            <v>A</v>
          </cell>
          <cell r="F1856" t="str">
            <v>01/06/2000</v>
          </cell>
        </row>
        <row r="1857">
          <cell r="B1857" t="str">
            <v>A1052</v>
          </cell>
          <cell r="C1857" t="str">
            <v>001A</v>
          </cell>
          <cell r="D1857" t="str">
            <v>Y</v>
          </cell>
          <cell r="E1857" t="str">
            <v>A</v>
          </cell>
          <cell r="F1857" t="str">
            <v>01/06/2000</v>
          </cell>
        </row>
        <row r="1858">
          <cell r="B1858" t="str">
            <v>A1054</v>
          </cell>
          <cell r="C1858" t="str">
            <v>IHC</v>
          </cell>
          <cell r="D1858" t="str">
            <v>Y</v>
          </cell>
          <cell r="E1858" t="str">
            <v>A</v>
          </cell>
          <cell r="F1858" t="str">
            <v>01/07/2000</v>
          </cell>
        </row>
        <row r="1859">
          <cell r="B1859" t="str">
            <v>A1055</v>
          </cell>
          <cell r="C1859"/>
          <cell r="D1859" t="str">
            <v>Y</v>
          </cell>
          <cell r="E1859" t="str">
            <v>A</v>
          </cell>
          <cell r="F1859" t="str">
            <v>01/09/2000</v>
          </cell>
        </row>
        <row r="1860">
          <cell r="B1860" t="str">
            <v>A1056</v>
          </cell>
          <cell r="C1860"/>
          <cell r="D1860" t="str">
            <v>Y</v>
          </cell>
          <cell r="E1860" t="str">
            <v>A</v>
          </cell>
          <cell r="F1860" t="str">
            <v>01/09/2000</v>
          </cell>
        </row>
        <row r="1861">
          <cell r="B1861" t="str">
            <v>A1057</v>
          </cell>
          <cell r="C1861"/>
          <cell r="D1861" t="str">
            <v>Y</v>
          </cell>
          <cell r="E1861" t="str">
            <v>A</v>
          </cell>
          <cell r="F1861" t="str">
            <v>01/09/2000</v>
          </cell>
        </row>
        <row r="1862">
          <cell r="B1862" t="str">
            <v>A1059</v>
          </cell>
          <cell r="C1862"/>
          <cell r="D1862" t="str">
            <v>Y</v>
          </cell>
          <cell r="E1862" t="str">
            <v>A</v>
          </cell>
          <cell r="F1862" t="str">
            <v>01/09/2000</v>
          </cell>
        </row>
        <row r="1863">
          <cell r="B1863" t="str">
            <v>A1063</v>
          </cell>
          <cell r="C1863" t="str">
            <v>002L</v>
          </cell>
          <cell r="D1863" t="str">
            <v>Y</v>
          </cell>
          <cell r="E1863" t="str">
            <v>A</v>
          </cell>
          <cell r="F1863" t="str">
            <v>01/12/2000</v>
          </cell>
        </row>
        <row r="1864">
          <cell r="B1864" t="str">
            <v>A1064</v>
          </cell>
          <cell r="C1864" t="str">
            <v>UEC</v>
          </cell>
          <cell r="D1864" t="str">
            <v>Y</v>
          </cell>
          <cell r="E1864" t="str">
            <v>A</v>
          </cell>
          <cell r="F1864" t="str">
            <v>01/12/2000</v>
          </cell>
        </row>
        <row r="1865">
          <cell r="B1865" t="str">
            <v>A1065</v>
          </cell>
          <cell r="C1865" t="str">
            <v>CIP</v>
          </cell>
          <cell r="D1865" t="str">
            <v>N</v>
          </cell>
          <cell r="E1865" t="str">
            <v>A</v>
          </cell>
          <cell r="F1865" t="str">
            <v>01/12/2000</v>
          </cell>
        </row>
        <row r="1866">
          <cell r="B1866" t="str">
            <v>A1066</v>
          </cell>
          <cell r="C1866" t="str">
            <v>017A</v>
          </cell>
          <cell r="D1866" t="str">
            <v>Y</v>
          </cell>
          <cell r="E1866" t="str">
            <v>A</v>
          </cell>
          <cell r="F1866" t="str">
            <v>01/14/2000</v>
          </cell>
        </row>
        <row r="1867">
          <cell r="B1867" t="str">
            <v>A1067</v>
          </cell>
          <cell r="C1867" t="str">
            <v>011C</v>
          </cell>
          <cell r="D1867" t="str">
            <v>Y</v>
          </cell>
          <cell r="E1867" t="str">
            <v>A</v>
          </cell>
          <cell r="F1867" t="str">
            <v>01/14/2000</v>
          </cell>
        </row>
        <row r="1868">
          <cell r="B1868" t="str">
            <v>A1068</v>
          </cell>
          <cell r="C1868" t="str">
            <v>004A</v>
          </cell>
          <cell r="D1868" t="str">
            <v>Y</v>
          </cell>
          <cell r="E1868" t="str">
            <v>A</v>
          </cell>
          <cell r="F1868" t="str">
            <v>01/14/2000</v>
          </cell>
        </row>
        <row r="1869">
          <cell r="B1869" t="str">
            <v>A1069</v>
          </cell>
          <cell r="C1869" t="str">
            <v>002L</v>
          </cell>
          <cell r="D1869" t="str">
            <v>Y</v>
          </cell>
          <cell r="E1869" t="str">
            <v>A</v>
          </cell>
          <cell r="F1869" t="str">
            <v>01/14/2000</v>
          </cell>
        </row>
        <row r="1870">
          <cell r="B1870" t="str">
            <v>A1078</v>
          </cell>
          <cell r="C1870" t="str">
            <v>002L</v>
          </cell>
          <cell r="D1870" t="str">
            <v>Y</v>
          </cell>
          <cell r="E1870" t="str">
            <v>A</v>
          </cell>
          <cell r="F1870" t="str">
            <v>01/20/2000</v>
          </cell>
        </row>
        <row r="1871">
          <cell r="B1871" t="str">
            <v>A1080</v>
          </cell>
          <cell r="C1871" t="str">
            <v>AED</v>
          </cell>
          <cell r="D1871" t="str">
            <v>Y</v>
          </cell>
          <cell r="E1871" t="str">
            <v>A</v>
          </cell>
          <cell r="F1871" t="str">
            <v>01/21/2000</v>
          </cell>
        </row>
        <row r="1872">
          <cell r="B1872" t="str">
            <v>A1081</v>
          </cell>
          <cell r="C1872" t="str">
            <v>UEC</v>
          </cell>
          <cell r="D1872" t="str">
            <v>Y</v>
          </cell>
          <cell r="E1872" t="str">
            <v>A</v>
          </cell>
          <cell r="F1872" t="str">
            <v>01/21/2000</v>
          </cell>
        </row>
        <row r="1873">
          <cell r="B1873" t="str">
            <v>A1084</v>
          </cell>
          <cell r="C1873" t="str">
            <v>GEN</v>
          </cell>
          <cell r="D1873" t="str">
            <v>Y</v>
          </cell>
          <cell r="E1873" t="str">
            <v>A</v>
          </cell>
          <cell r="F1873" t="str">
            <v>01/24/2000</v>
          </cell>
        </row>
        <row r="1874">
          <cell r="B1874" t="str">
            <v>A1085</v>
          </cell>
          <cell r="C1874" t="str">
            <v>011A</v>
          </cell>
          <cell r="D1874" t="str">
            <v>Y</v>
          </cell>
          <cell r="E1874" t="str">
            <v>A</v>
          </cell>
          <cell r="F1874" t="str">
            <v>01/24/2000</v>
          </cell>
        </row>
        <row r="1875">
          <cell r="B1875" t="str">
            <v>A1086</v>
          </cell>
          <cell r="C1875" t="str">
            <v>UEC</v>
          </cell>
          <cell r="D1875" t="str">
            <v>Y</v>
          </cell>
          <cell r="E1875" t="str">
            <v>A</v>
          </cell>
          <cell r="F1875" t="str">
            <v>01/24/2000</v>
          </cell>
        </row>
        <row r="1876">
          <cell r="B1876" t="str">
            <v>A1087</v>
          </cell>
          <cell r="C1876" t="str">
            <v>UEC</v>
          </cell>
          <cell r="D1876" t="str">
            <v>Y</v>
          </cell>
          <cell r="E1876" t="str">
            <v>A</v>
          </cell>
          <cell r="F1876" t="str">
            <v>01/26/2000</v>
          </cell>
        </row>
        <row r="1877">
          <cell r="B1877" t="str">
            <v>A1088</v>
          </cell>
          <cell r="C1877" t="str">
            <v>CIP</v>
          </cell>
          <cell r="D1877" t="str">
            <v>Y</v>
          </cell>
          <cell r="E1877" t="str">
            <v>A</v>
          </cell>
          <cell r="F1877" t="str">
            <v>01/26/2000</v>
          </cell>
        </row>
        <row r="1878">
          <cell r="B1878" t="str">
            <v>A1089</v>
          </cell>
          <cell r="C1878" t="str">
            <v>002L</v>
          </cell>
          <cell r="D1878" t="str">
            <v>Y</v>
          </cell>
          <cell r="E1878" t="str">
            <v>A</v>
          </cell>
          <cell r="F1878" t="str">
            <v>01/26/2000</v>
          </cell>
        </row>
        <row r="1879">
          <cell r="B1879" t="str">
            <v>A1100</v>
          </cell>
          <cell r="C1879" t="str">
            <v>UEC</v>
          </cell>
          <cell r="D1879" t="str">
            <v>Y</v>
          </cell>
          <cell r="E1879" t="str">
            <v>A</v>
          </cell>
          <cell r="F1879" t="str">
            <v>02/02/2000</v>
          </cell>
        </row>
        <row r="1880">
          <cell r="B1880" t="str">
            <v>A1103</v>
          </cell>
          <cell r="C1880" t="str">
            <v>CIP</v>
          </cell>
          <cell r="D1880" t="str">
            <v>Y</v>
          </cell>
          <cell r="E1880" t="str">
            <v>A</v>
          </cell>
          <cell r="F1880" t="str">
            <v>02/03/2000</v>
          </cell>
        </row>
        <row r="1881">
          <cell r="B1881" t="str">
            <v>A1107</v>
          </cell>
          <cell r="C1881" t="str">
            <v>IMS</v>
          </cell>
          <cell r="D1881" t="str">
            <v>Y</v>
          </cell>
          <cell r="E1881" t="str">
            <v>A</v>
          </cell>
          <cell r="F1881" t="str">
            <v>02/17/2000</v>
          </cell>
        </row>
        <row r="1882">
          <cell r="B1882" t="str">
            <v>A1111</v>
          </cell>
          <cell r="C1882" t="str">
            <v>ERC</v>
          </cell>
          <cell r="D1882" t="str">
            <v>Y</v>
          </cell>
          <cell r="E1882" t="str">
            <v>A</v>
          </cell>
          <cell r="F1882" t="str">
            <v>02/22/2000</v>
          </cell>
        </row>
        <row r="1883">
          <cell r="B1883" t="str">
            <v>A1112</v>
          </cell>
          <cell r="C1883" t="str">
            <v>011A</v>
          </cell>
          <cell r="D1883" t="str">
            <v>Y</v>
          </cell>
          <cell r="E1883" t="str">
            <v>A</v>
          </cell>
          <cell r="F1883" t="str">
            <v>02/23/2000</v>
          </cell>
        </row>
        <row r="1884">
          <cell r="B1884" t="str">
            <v>A1113</v>
          </cell>
          <cell r="C1884" t="str">
            <v>003A</v>
          </cell>
          <cell r="D1884" t="str">
            <v>Y</v>
          </cell>
          <cell r="E1884" t="str">
            <v>A</v>
          </cell>
          <cell r="F1884" t="str">
            <v>02/23/2000</v>
          </cell>
        </row>
        <row r="1885">
          <cell r="B1885" t="str">
            <v>A1114</v>
          </cell>
          <cell r="C1885" t="str">
            <v>003A</v>
          </cell>
          <cell r="D1885" t="str">
            <v>Y</v>
          </cell>
          <cell r="E1885" t="str">
            <v>A</v>
          </cell>
          <cell r="F1885" t="str">
            <v>02/23/2000</v>
          </cell>
        </row>
        <row r="1886">
          <cell r="B1886" t="str">
            <v>A1115</v>
          </cell>
          <cell r="C1886" t="str">
            <v>GEN</v>
          </cell>
          <cell r="D1886" t="str">
            <v>Y</v>
          </cell>
          <cell r="E1886" t="str">
            <v>A</v>
          </cell>
          <cell r="F1886" t="str">
            <v>02/23/2000</v>
          </cell>
        </row>
        <row r="1887">
          <cell r="B1887" t="str">
            <v>A1116</v>
          </cell>
          <cell r="C1887" t="str">
            <v>UEC</v>
          </cell>
          <cell r="D1887" t="str">
            <v>Y</v>
          </cell>
          <cell r="E1887" t="str">
            <v>A</v>
          </cell>
          <cell r="F1887" t="str">
            <v>02/24/2000</v>
          </cell>
        </row>
        <row r="1888">
          <cell r="B1888" t="str">
            <v>A1117</v>
          </cell>
          <cell r="C1888" t="str">
            <v>UEC</v>
          </cell>
          <cell r="D1888" t="str">
            <v>Y</v>
          </cell>
          <cell r="E1888" t="str">
            <v>A</v>
          </cell>
          <cell r="F1888" t="str">
            <v>02/24/2000</v>
          </cell>
        </row>
        <row r="1889">
          <cell r="B1889" t="str">
            <v>A1118</v>
          </cell>
          <cell r="C1889" t="str">
            <v>UEC</v>
          </cell>
          <cell r="D1889" t="str">
            <v>Y</v>
          </cell>
          <cell r="E1889" t="str">
            <v>A</v>
          </cell>
          <cell r="F1889" t="str">
            <v>02/24/2000</v>
          </cell>
        </row>
        <row r="1890">
          <cell r="B1890" t="str">
            <v>A1119</v>
          </cell>
          <cell r="C1890" t="str">
            <v>CIP</v>
          </cell>
          <cell r="D1890" t="str">
            <v>Y</v>
          </cell>
          <cell r="E1890" t="str">
            <v>A</v>
          </cell>
          <cell r="F1890" t="str">
            <v>02/24/2000</v>
          </cell>
        </row>
        <row r="1891">
          <cell r="B1891" t="str">
            <v>A1120</v>
          </cell>
          <cell r="C1891" t="str">
            <v>UEC</v>
          </cell>
          <cell r="D1891" t="str">
            <v>Y</v>
          </cell>
          <cell r="E1891" t="str">
            <v>A</v>
          </cell>
          <cell r="F1891" t="str">
            <v>02/24/2000</v>
          </cell>
        </row>
        <row r="1892">
          <cell r="B1892" t="str">
            <v>A1121</v>
          </cell>
          <cell r="C1892" t="str">
            <v>GEN</v>
          </cell>
          <cell r="D1892" t="str">
            <v>Y</v>
          </cell>
          <cell r="E1892" t="str">
            <v>A</v>
          </cell>
          <cell r="F1892" t="str">
            <v>02/24/2000</v>
          </cell>
        </row>
        <row r="1893">
          <cell r="B1893" t="str">
            <v>A1122</v>
          </cell>
          <cell r="C1893" t="str">
            <v>UEC</v>
          </cell>
          <cell r="D1893" t="str">
            <v>Y</v>
          </cell>
          <cell r="E1893" t="str">
            <v>A</v>
          </cell>
          <cell r="F1893" t="str">
            <v>02/24/2000</v>
          </cell>
        </row>
        <row r="1894">
          <cell r="B1894" t="str">
            <v>A1123</v>
          </cell>
          <cell r="C1894" t="str">
            <v>UEC</v>
          </cell>
          <cell r="D1894" t="str">
            <v>Y</v>
          </cell>
          <cell r="E1894" t="str">
            <v>A</v>
          </cell>
          <cell r="F1894" t="str">
            <v>02/24/2000</v>
          </cell>
        </row>
        <row r="1895">
          <cell r="B1895" t="str">
            <v>A1124</v>
          </cell>
          <cell r="C1895" t="str">
            <v>CIP</v>
          </cell>
          <cell r="D1895" t="str">
            <v>Y</v>
          </cell>
          <cell r="E1895" t="str">
            <v>A</v>
          </cell>
          <cell r="F1895" t="str">
            <v>02/24/2000</v>
          </cell>
        </row>
        <row r="1896">
          <cell r="B1896" t="str">
            <v>A1129</v>
          </cell>
          <cell r="C1896" t="str">
            <v>004F</v>
          </cell>
          <cell r="D1896" t="str">
            <v>Y</v>
          </cell>
          <cell r="E1896" t="str">
            <v>A</v>
          </cell>
          <cell r="F1896" t="str">
            <v>03/01/2000</v>
          </cell>
        </row>
        <row r="1897">
          <cell r="B1897" t="str">
            <v>A1134</v>
          </cell>
          <cell r="C1897" t="str">
            <v>002M</v>
          </cell>
          <cell r="D1897" t="str">
            <v>Y</v>
          </cell>
          <cell r="E1897" t="str">
            <v>C</v>
          </cell>
          <cell r="F1897" t="str">
            <v>03/10/2000</v>
          </cell>
        </row>
        <row r="1898">
          <cell r="B1898" t="str">
            <v>A1135</v>
          </cell>
          <cell r="C1898" t="str">
            <v>002M</v>
          </cell>
          <cell r="D1898" t="str">
            <v>Y</v>
          </cell>
          <cell r="E1898" t="str">
            <v>C</v>
          </cell>
          <cell r="F1898" t="str">
            <v>03/10/2000</v>
          </cell>
        </row>
        <row r="1899">
          <cell r="B1899" t="str">
            <v>A1136</v>
          </cell>
          <cell r="C1899" t="str">
            <v>001A</v>
          </cell>
          <cell r="D1899" t="str">
            <v>Y</v>
          </cell>
          <cell r="E1899" t="str">
            <v>A</v>
          </cell>
          <cell r="F1899" t="str">
            <v>03/23/2000</v>
          </cell>
        </row>
        <row r="1900">
          <cell r="B1900" t="str">
            <v>A1138</v>
          </cell>
          <cell r="C1900" t="str">
            <v>ADC</v>
          </cell>
          <cell r="D1900" t="str">
            <v>Y</v>
          </cell>
          <cell r="E1900" t="str">
            <v>A</v>
          </cell>
          <cell r="F1900" t="str">
            <v>04/06/2000</v>
          </cell>
        </row>
        <row r="1901">
          <cell r="B1901" t="str">
            <v>A1147</v>
          </cell>
          <cell r="C1901" t="str">
            <v>AED</v>
          </cell>
          <cell r="D1901" t="str">
            <v>Y</v>
          </cell>
          <cell r="E1901" t="str">
            <v>A</v>
          </cell>
          <cell r="F1901" t="str">
            <v>04/07/2000</v>
          </cell>
        </row>
        <row r="1902">
          <cell r="B1902" t="str">
            <v>A1155</v>
          </cell>
          <cell r="C1902" t="str">
            <v>GEN</v>
          </cell>
          <cell r="D1902" t="str">
            <v>Y</v>
          </cell>
          <cell r="E1902" t="str">
            <v>A</v>
          </cell>
          <cell r="F1902" t="str">
            <v>04/24/2000</v>
          </cell>
        </row>
        <row r="1903">
          <cell r="B1903" t="str">
            <v>A1163</v>
          </cell>
          <cell r="C1903" t="str">
            <v>GMC</v>
          </cell>
          <cell r="D1903" t="str">
            <v>Y</v>
          </cell>
          <cell r="E1903" t="str">
            <v>A</v>
          </cell>
          <cell r="F1903" t="str">
            <v>04/24/2000</v>
          </cell>
        </row>
        <row r="1904">
          <cell r="B1904" t="str">
            <v>A1171</v>
          </cell>
          <cell r="C1904" t="str">
            <v>001A</v>
          </cell>
          <cell r="D1904" t="str">
            <v>Y</v>
          </cell>
          <cell r="E1904" t="str">
            <v>A</v>
          </cell>
          <cell r="F1904" t="str">
            <v>04/26/2000</v>
          </cell>
        </row>
        <row r="1905">
          <cell r="B1905" t="str">
            <v>A1175</v>
          </cell>
          <cell r="C1905" t="str">
            <v>GEN</v>
          </cell>
          <cell r="D1905" t="str">
            <v>Y</v>
          </cell>
          <cell r="E1905" t="str">
            <v>A</v>
          </cell>
          <cell r="F1905" t="str">
            <v>04/27/2000</v>
          </cell>
        </row>
        <row r="1906">
          <cell r="B1906" t="str">
            <v>A1176</v>
          </cell>
          <cell r="C1906" t="str">
            <v>GEN</v>
          </cell>
          <cell r="D1906" t="str">
            <v>Y</v>
          </cell>
          <cell r="E1906" t="str">
            <v>A</v>
          </cell>
          <cell r="F1906" t="str">
            <v>04/27/2000</v>
          </cell>
        </row>
        <row r="1907">
          <cell r="B1907" t="str">
            <v>A1181</v>
          </cell>
          <cell r="C1907" t="str">
            <v>GEN</v>
          </cell>
          <cell r="D1907" t="str">
            <v>N</v>
          </cell>
          <cell r="E1907" t="str">
            <v>A</v>
          </cell>
          <cell r="F1907" t="str">
            <v>04/27/2000</v>
          </cell>
        </row>
        <row r="1908">
          <cell r="B1908" t="str">
            <v>A1182</v>
          </cell>
          <cell r="C1908" t="str">
            <v>GEN</v>
          </cell>
          <cell r="D1908" t="str">
            <v>N</v>
          </cell>
          <cell r="E1908" t="str">
            <v>A</v>
          </cell>
          <cell r="F1908" t="str">
            <v>04/27/2000</v>
          </cell>
        </row>
        <row r="1909">
          <cell r="B1909" t="str">
            <v>A1187</v>
          </cell>
          <cell r="C1909" t="str">
            <v>GMC</v>
          </cell>
          <cell r="D1909" t="str">
            <v>Y</v>
          </cell>
          <cell r="E1909" t="str">
            <v>A</v>
          </cell>
          <cell r="F1909" t="str">
            <v>04/28/2000</v>
          </cell>
        </row>
        <row r="1910">
          <cell r="B1910" t="str">
            <v>A1188</v>
          </cell>
          <cell r="C1910" t="str">
            <v>GEN</v>
          </cell>
          <cell r="D1910" t="str">
            <v>Y</v>
          </cell>
          <cell r="E1910" t="str">
            <v>A</v>
          </cell>
          <cell r="F1910" t="str">
            <v>04/28/2000</v>
          </cell>
        </row>
        <row r="1911">
          <cell r="B1911" t="str">
            <v>A1191</v>
          </cell>
          <cell r="C1911" t="str">
            <v>UEC</v>
          </cell>
          <cell r="D1911" t="str">
            <v>Y</v>
          </cell>
          <cell r="E1911" t="str">
            <v>A</v>
          </cell>
          <cell r="F1911" t="str">
            <v>05/01/2000</v>
          </cell>
        </row>
        <row r="1912">
          <cell r="B1912" t="str">
            <v>A1193</v>
          </cell>
          <cell r="C1912" t="str">
            <v>UEC</v>
          </cell>
          <cell r="D1912" t="str">
            <v>Y</v>
          </cell>
          <cell r="E1912" t="str">
            <v>A</v>
          </cell>
          <cell r="F1912" t="str">
            <v>05/01/2000</v>
          </cell>
        </row>
        <row r="1913">
          <cell r="B1913" t="str">
            <v>A1195</v>
          </cell>
          <cell r="C1913" t="str">
            <v>UEC</v>
          </cell>
          <cell r="D1913" t="str">
            <v>Y</v>
          </cell>
          <cell r="E1913" t="str">
            <v>A</v>
          </cell>
          <cell r="F1913" t="str">
            <v>05/01/2000</v>
          </cell>
        </row>
        <row r="1914">
          <cell r="B1914" t="str">
            <v>A1197</v>
          </cell>
          <cell r="C1914" t="str">
            <v>UEC</v>
          </cell>
          <cell r="D1914" t="str">
            <v>Y</v>
          </cell>
          <cell r="E1914" t="str">
            <v>A</v>
          </cell>
          <cell r="F1914" t="str">
            <v>05/01/2000</v>
          </cell>
        </row>
        <row r="1915">
          <cell r="B1915" t="str">
            <v>A1198</v>
          </cell>
          <cell r="C1915" t="str">
            <v>UEC</v>
          </cell>
          <cell r="D1915" t="str">
            <v>Y</v>
          </cell>
          <cell r="E1915" t="str">
            <v>A</v>
          </cell>
          <cell r="F1915" t="str">
            <v>05/01/2000</v>
          </cell>
        </row>
        <row r="1916">
          <cell r="B1916" t="str">
            <v>A1200</v>
          </cell>
          <cell r="C1916" t="str">
            <v>UEC</v>
          </cell>
          <cell r="D1916" t="str">
            <v>Y</v>
          </cell>
          <cell r="E1916" t="str">
            <v>A</v>
          </cell>
          <cell r="F1916" t="str">
            <v>05/01/2000</v>
          </cell>
        </row>
        <row r="1917">
          <cell r="B1917" t="str">
            <v>A1202</v>
          </cell>
          <cell r="C1917" t="str">
            <v>UEC</v>
          </cell>
          <cell r="D1917" t="str">
            <v>Y</v>
          </cell>
          <cell r="E1917" t="str">
            <v>A</v>
          </cell>
          <cell r="F1917" t="str">
            <v>05/02/2000</v>
          </cell>
        </row>
        <row r="1918">
          <cell r="B1918" t="str">
            <v>A1203</v>
          </cell>
          <cell r="C1918" t="str">
            <v>UEC</v>
          </cell>
          <cell r="D1918" t="str">
            <v>Y</v>
          </cell>
          <cell r="E1918" t="str">
            <v>A</v>
          </cell>
          <cell r="F1918" t="str">
            <v>05/02/2000</v>
          </cell>
        </row>
        <row r="1919">
          <cell r="B1919" t="str">
            <v>A1204</v>
          </cell>
          <cell r="C1919" t="str">
            <v>UEC</v>
          </cell>
          <cell r="D1919" t="str">
            <v>Y</v>
          </cell>
          <cell r="E1919" t="str">
            <v>A</v>
          </cell>
          <cell r="F1919" t="str">
            <v>05/02/2000</v>
          </cell>
        </row>
        <row r="1920">
          <cell r="B1920" t="str">
            <v>A1206</v>
          </cell>
          <cell r="C1920" t="str">
            <v>GEN</v>
          </cell>
          <cell r="D1920" t="str">
            <v>Y</v>
          </cell>
          <cell r="E1920" t="str">
            <v>A</v>
          </cell>
          <cell r="F1920" t="str">
            <v>05/03/2000</v>
          </cell>
        </row>
        <row r="1921">
          <cell r="B1921" t="str">
            <v>A1207</v>
          </cell>
          <cell r="C1921" t="str">
            <v>AED</v>
          </cell>
          <cell r="D1921" t="str">
            <v>Y</v>
          </cell>
          <cell r="E1921" t="str">
            <v>A</v>
          </cell>
          <cell r="F1921" t="str">
            <v>05/03/2000</v>
          </cell>
        </row>
        <row r="1922">
          <cell r="B1922" t="str">
            <v>A1208</v>
          </cell>
          <cell r="C1922" t="str">
            <v>GMC</v>
          </cell>
          <cell r="D1922" t="str">
            <v>Y</v>
          </cell>
          <cell r="E1922" t="str">
            <v>A</v>
          </cell>
          <cell r="F1922" t="str">
            <v>05/03/2000</v>
          </cell>
        </row>
        <row r="1923">
          <cell r="B1923" t="str">
            <v>A1209</v>
          </cell>
          <cell r="C1923" t="str">
            <v>IMS</v>
          </cell>
          <cell r="D1923" t="str">
            <v>Y</v>
          </cell>
          <cell r="E1923" t="str">
            <v>A</v>
          </cell>
          <cell r="F1923" t="str">
            <v>05/04/2000</v>
          </cell>
        </row>
        <row r="1924">
          <cell r="B1924" t="str">
            <v>A1210</v>
          </cell>
          <cell r="C1924" t="str">
            <v>GMC</v>
          </cell>
          <cell r="D1924" t="str">
            <v>Y</v>
          </cell>
          <cell r="E1924" t="str">
            <v>A</v>
          </cell>
          <cell r="F1924" t="str">
            <v>05/04/2000</v>
          </cell>
        </row>
        <row r="1925">
          <cell r="B1925" t="str">
            <v>A1214</v>
          </cell>
          <cell r="C1925" t="str">
            <v>IHC</v>
          </cell>
          <cell r="D1925" t="str">
            <v>Y</v>
          </cell>
          <cell r="E1925" t="str">
            <v>A</v>
          </cell>
          <cell r="F1925" t="str">
            <v>05/08/2000</v>
          </cell>
        </row>
        <row r="1926">
          <cell r="B1926" t="str">
            <v>A1216</v>
          </cell>
          <cell r="C1926" t="str">
            <v>GEN</v>
          </cell>
          <cell r="D1926" t="str">
            <v>Y</v>
          </cell>
          <cell r="E1926" t="str">
            <v>A</v>
          </cell>
          <cell r="F1926" t="str">
            <v>05/08/2000</v>
          </cell>
        </row>
        <row r="1927">
          <cell r="B1927" t="str">
            <v>A1217</v>
          </cell>
          <cell r="C1927" t="str">
            <v>GEN</v>
          </cell>
          <cell r="D1927" t="str">
            <v>Y</v>
          </cell>
          <cell r="E1927" t="str">
            <v>A</v>
          </cell>
          <cell r="F1927" t="str">
            <v>05/08/2000</v>
          </cell>
        </row>
        <row r="1928">
          <cell r="B1928" t="str">
            <v>A1218</v>
          </cell>
          <cell r="C1928" t="str">
            <v>GEN</v>
          </cell>
          <cell r="D1928" t="str">
            <v>Y</v>
          </cell>
          <cell r="E1928" t="str">
            <v>A</v>
          </cell>
          <cell r="F1928" t="str">
            <v>05/08/2000</v>
          </cell>
        </row>
        <row r="1929">
          <cell r="B1929" t="str">
            <v>A1219</v>
          </cell>
          <cell r="C1929" t="str">
            <v>GEN</v>
          </cell>
          <cell r="D1929" t="str">
            <v>Y</v>
          </cell>
          <cell r="E1929" t="str">
            <v>A</v>
          </cell>
          <cell r="F1929" t="str">
            <v>05/08/2000</v>
          </cell>
        </row>
        <row r="1930">
          <cell r="B1930" t="str">
            <v>A1220</v>
          </cell>
          <cell r="C1930" t="str">
            <v>GEN</v>
          </cell>
          <cell r="D1930" t="str">
            <v>Y</v>
          </cell>
          <cell r="E1930" t="str">
            <v>A</v>
          </cell>
          <cell r="F1930" t="str">
            <v>05/08/2000</v>
          </cell>
        </row>
        <row r="1931">
          <cell r="B1931" t="str">
            <v>A1221</v>
          </cell>
          <cell r="C1931" t="str">
            <v>IHC</v>
          </cell>
          <cell r="D1931" t="str">
            <v>Y</v>
          </cell>
          <cell r="E1931" t="str">
            <v>A</v>
          </cell>
          <cell r="F1931" t="str">
            <v>05/08/2000</v>
          </cell>
        </row>
        <row r="1932">
          <cell r="B1932" t="str">
            <v>A1222</v>
          </cell>
          <cell r="C1932" t="str">
            <v>GEN</v>
          </cell>
          <cell r="D1932" t="str">
            <v>N</v>
          </cell>
          <cell r="E1932" t="str">
            <v>A</v>
          </cell>
          <cell r="F1932" t="str">
            <v>05/08/2000</v>
          </cell>
        </row>
        <row r="1933">
          <cell r="B1933" t="str">
            <v>A1223</v>
          </cell>
          <cell r="C1933" t="str">
            <v>GMC</v>
          </cell>
          <cell r="D1933" t="str">
            <v>Y</v>
          </cell>
          <cell r="E1933" t="str">
            <v>A</v>
          </cell>
          <cell r="F1933" t="str">
            <v>05/08/2000</v>
          </cell>
        </row>
        <row r="1934">
          <cell r="B1934" t="str">
            <v>A1224</v>
          </cell>
          <cell r="C1934" t="str">
            <v>GEN</v>
          </cell>
          <cell r="D1934" t="str">
            <v>Y</v>
          </cell>
          <cell r="E1934" t="str">
            <v>A</v>
          </cell>
          <cell r="F1934" t="str">
            <v>05/08/2000</v>
          </cell>
        </row>
        <row r="1935">
          <cell r="B1935" t="str">
            <v>A1225</v>
          </cell>
          <cell r="C1935" t="str">
            <v>IHC</v>
          </cell>
          <cell r="D1935" t="str">
            <v>Y</v>
          </cell>
          <cell r="E1935" t="str">
            <v>A</v>
          </cell>
          <cell r="F1935" t="str">
            <v>05/08/2000</v>
          </cell>
        </row>
        <row r="1936">
          <cell r="B1936" t="str">
            <v>A1226</v>
          </cell>
          <cell r="C1936" t="str">
            <v>AED</v>
          </cell>
          <cell r="D1936" t="str">
            <v>Y</v>
          </cell>
          <cell r="E1936" t="str">
            <v>A</v>
          </cell>
          <cell r="F1936" t="str">
            <v>05/08/2000</v>
          </cell>
        </row>
        <row r="1937">
          <cell r="B1937" t="str">
            <v>A1227</v>
          </cell>
          <cell r="C1937" t="str">
            <v>IMS</v>
          </cell>
          <cell r="D1937" t="str">
            <v>Y</v>
          </cell>
          <cell r="E1937" t="str">
            <v>A</v>
          </cell>
          <cell r="F1937" t="str">
            <v>05/09/2000</v>
          </cell>
        </row>
        <row r="1938">
          <cell r="B1938" t="str">
            <v>A1228</v>
          </cell>
          <cell r="C1938" t="str">
            <v>IHC</v>
          </cell>
          <cell r="D1938" t="str">
            <v>Y</v>
          </cell>
          <cell r="E1938" t="str">
            <v>A</v>
          </cell>
          <cell r="F1938" t="str">
            <v>05/09/2000</v>
          </cell>
        </row>
        <row r="1939">
          <cell r="B1939" t="str">
            <v>A1229</v>
          </cell>
          <cell r="C1939" t="str">
            <v>IHC</v>
          </cell>
          <cell r="D1939" t="str">
            <v>Y</v>
          </cell>
          <cell r="E1939" t="str">
            <v>I</v>
          </cell>
          <cell r="F1939" t="str">
            <v>05/09/2000</v>
          </cell>
        </row>
        <row r="1940">
          <cell r="B1940" t="str">
            <v>A1231</v>
          </cell>
          <cell r="C1940" t="str">
            <v>GEN</v>
          </cell>
          <cell r="D1940" t="str">
            <v>Y</v>
          </cell>
          <cell r="E1940" t="str">
            <v>A</v>
          </cell>
          <cell r="F1940" t="str">
            <v>05/11/2000</v>
          </cell>
        </row>
        <row r="1941">
          <cell r="B1941" t="str">
            <v>A1233</v>
          </cell>
          <cell r="C1941" t="str">
            <v>GEN</v>
          </cell>
          <cell r="D1941" t="str">
            <v>Y</v>
          </cell>
          <cell r="E1941" t="str">
            <v>A</v>
          </cell>
          <cell r="F1941" t="str">
            <v>05/12/2000</v>
          </cell>
        </row>
        <row r="1942">
          <cell r="B1942" t="str">
            <v>A1235</v>
          </cell>
          <cell r="C1942" t="str">
            <v>IHC</v>
          </cell>
          <cell r="D1942" t="str">
            <v>Y</v>
          </cell>
          <cell r="E1942" t="str">
            <v>A</v>
          </cell>
          <cell r="F1942" t="str">
            <v>05/16/2000</v>
          </cell>
        </row>
        <row r="1943">
          <cell r="B1943" t="str">
            <v>A1237</v>
          </cell>
          <cell r="C1943" t="str">
            <v>GEN</v>
          </cell>
          <cell r="D1943" t="str">
            <v>Y</v>
          </cell>
          <cell r="E1943" t="str">
            <v>A</v>
          </cell>
          <cell r="F1943" t="str">
            <v>05/17/2000</v>
          </cell>
        </row>
        <row r="1944">
          <cell r="B1944" t="str">
            <v>A1238</v>
          </cell>
          <cell r="C1944" t="str">
            <v>GMC</v>
          </cell>
          <cell r="D1944" t="str">
            <v>Y</v>
          </cell>
          <cell r="E1944" t="str">
            <v>A</v>
          </cell>
          <cell r="F1944" t="str">
            <v>05/17/2000</v>
          </cell>
        </row>
        <row r="1945">
          <cell r="B1945" t="str">
            <v>A1239</v>
          </cell>
          <cell r="C1945" t="str">
            <v>004C</v>
          </cell>
          <cell r="D1945" t="str">
            <v>N</v>
          </cell>
          <cell r="E1945" t="str">
            <v>A</v>
          </cell>
          <cell r="F1945" t="str">
            <v>05/18/2000</v>
          </cell>
        </row>
        <row r="1946">
          <cell r="B1946" t="str">
            <v>A1247</v>
          </cell>
          <cell r="C1946" t="str">
            <v>004B</v>
          </cell>
          <cell r="D1946" t="str">
            <v>N</v>
          </cell>
          <cell r="E1946" t="str">
            <v>A</v>
          </cell>
          <cell r="F1946" t="str">
            <v>05/18/2000</v>
          </cell>
        </row>
        <row r="1947">
          <cell r="B1947" t="str">
            <v>A1248</v>
          </cell>
          <cell r="C1947" t="str">
            <v>GEN</v>
          </cell>
          <cell r="D1947" t="str">
            <v>Y</v>
          </cell>
          <cell r="E1947" t="str">
            <v>A</v>
          </cell>
          <cell r="F1947" t="str">
            <v>05/22/2000</v>
          </cell>
        </row>
        <row r="1948">
          <cell r="B1948" t="str">
            <v>A1251</v>
          </cell>
          <cell r="C1948" t="str">
            <v>CIP</v>
          </cell>
          <cell r="D1948" t="str">
            <v>Y</v>
          </cell>
          <cell r="E1948" t="str">
            <v>A</v>
          </cell>
          <cell r="F1948" t="str">
            <v>05/25/2000</v>
          </cell>
        </row>
        <row r="1949">
          <cell r="B1949" t="str">
            <v>A1252</v>
          </cell>
          <cell r="C1949" t="str">
            <v>CIP</v>
          </cell>
          <cell r="D1949" t="str">
            <v>Y</v>
          </cell>
          <cell r="E1949" t="str">
            <v>A</v>
          </cell>
          <cell r="F1949" t="str">
            <v>05/25/2000</v>
          </cell>
        </row>
        <row r="1950">
          <cell r="B1950" t="str">
            <v>A1253</v>
          </cell>
          <cell r="C1950" t="str">
            <v>CIP</v>
          </cell>
          <cell r="D1950" t="str">
            <v>Y</v>
          </cell>
          <cell r="E1950" t="str">
            <v>A</v>
          </cell>
          <cell r="F1950" t="str">
            <v>05/25/2000</v>
          </cell>
        </row>
        <row r="1951">
          <cell r="B1951" t="str">
            <v>A1257</v>
          </cell>
          <cell r="C1951" t="str">
            <v>GEN</v>
          </cell>
          <cell r="D1951" t="str">
            <v>Y</v>
          </cell>
          <cell r="E1951" t="str">
            <v>A</v>
          </cell>
          <cell r="F1951" t="str">
            <v>05/25/2000</v>
          </cell>
        </row>
        <row r="1952">
          <cell r="B1952" t="str">
            <v>A1258</v>
          </cell>
          <cell r="C1952" t="str">
            <v>IHC</v>
          </cell>
          <cell r="D1952" t="str">
            <v>Y</v>
          </cell>
          <cell r="E1952" t="str">
            <v>A</v>
          </cell>
          <cell r="F1952" t="str">
            <v>05/25/2000</v>
          </cell>
        </row>
        <row r="1953">
          <cell r="B1953" t="str">
            <v>A1259</v>
          </cell>
          <cell r="C1953" t="str">
            <v>GMC</v>
          </cell>
          <cell r="D1953" t="str">
            <v>Y</v>
          </cell>
          <cell r="E1953" t="str">
            <v>A</v>
          </cell>
          <cell r="F1953" t="str">
            <v>05/25/2000</v>
          </cell>
        </row>
        <row r="1954">
          <cell r="B1954" t="str">
            <v>A1261</v>
          </cell>
          <cell r="C1954" t="str">
            <v>GEN</v>
          </cell>
          <cell r="D1954" t="str">
            <v>Y</v>
          </cell>
          <cell r="E1954" t="str">
            <v>A</v>
          </cell>
          <cell r="F1954" t="str">
            <v>05/25/2000</v>
          </cell>
        </row>
        <row r="1955">
          <cell r="B1955" t="str">
            <v>A1262</v>
          </cell>
          <cell r="C1955" t="str">
            <v>IHC</v>
          </cell>
          <cell r="D1955" t="str">
            <v>Y</v>
          </cell>
          <cell r="E1955" t="str">
            <v>A</v>
          </cell>
          <cell r="F1955" t="str">
            <v>05/25/2000</v>
          </cell>
        </row>
        <row r="1956">
          <cell r="B1956" t="str">
            <v>A1263</v>
          </cell>
          <cell r="C1956" t="str">
            <v>CIP</v>
          </cell>
          <cell r="D1956" t="str">
            <v>Y</v>
          </cell>
          <cell r="E1956" t="str">
            <v>A</v>
          </cell>
          <cell r="F1956" t="str">
            <v>05/30/2000</v>
          </cell>
        </row>
        <row r="1957">
          <cell r="B1957" t="str">
            <v>A1264</v>
          </cell>
          <cell r="C1957" t="str">
            <v>UEC</v>
          </cell>
          <cell r="D1957" t="str">
            <v>Y</v>
          </cell>
          <cell r="E1957" t="str">
            <v>A</v>
          </cell>
          <cell r="F1957" t="str">
            <v>06/07/2000</v>
          </cell>
        </row>
        <row r="1958">
          <cell r="B1958" t="str">
            <v>A1265</v>
          </cell>
          <cell r="C1958" t="str">
            <v>GEN</v>
          </cell>
          <cell r="D1958" t="str">
            <v>Y</v>
          </cell>
          <cell r="E1958" t="str">
            <v>A</v>
          </cell>
          <cell r="F1958" t="str">
            <v>05/30/2000</v>
          </cell>
        </row>
        <row r="1959">
          <cell r="B1959" t="str">
            <v>A1266</v>
          </cell>
          <cell r="C1959" t="str">
            <v>GMC</v>
          </cell>
          <cell r="D1959" t="str">
            <v>Y</v>
          </cell>
          <cell r="E1959" t="str">
            <v>A</v>
          </cell>
          <cell r="F1959" t="str">
            <v>05/30/2000</v>
          </cell>
        </row>
        <row r="1960">
          <cell r="B1960" t="str">
            <v>A1267</v>
          </cell>
          <cell r="C1960" t="str">
            <v>GEN</v>
          </cell>
          <cell r="D1960" t="str">
            <v>Y</v>
          </cell>
          <cell r="E1960" t="str">
            <v>A</v>
          </cell>
          <cell r="F1960" t="str">
            <v>05/30/2000</v>
          </cell>
        </row>
        <row r="1961">
          <cell r="B1961" t="str">
            <v>A1268</v>
          </cell>
          <cell r="C1961" t="str">
            <v>GMC</v>
          </cell>
          <cell r="D1961" t="str">
            <v>Y</v>
          </cell>
          <cell r="E1961" t="str">
            <v>A</v>
          </cell>
          <cell r="F1961" t="str">
            <v>05/30/2000</v>
          </cell>
        </row>
        <row r="1962">
          <cell r="B1962" t="str">
            <v>A1269</v>
          </cell>
          <cell r="C1962" t="str">
            <v>CIP</v>
          </cell>
          <cell r="D1962" t="str">
            <v>Y</v>
          </cell>
          <cell r="E1962" t="str">
            <v>A</v>
          </cell>
          <cell r="F1962" t="str">
            <v>05/30/2000</v>
          </cell>
        </row>
        <row r="1963">
          <cell r="B1963" t="str">
            <v>A1272</v>
          </cell>
          <cell r="C1963" t="str">
            <v>IHC</v>
          </cell>
          <cell r="D1963" t="str">
            <v>Y</v>
          </cell>
          <cell r="E1963" t="str">
            <v>A</v>
          </cell>
          <cell r="F1963" t="str">
            <v>05/31/2000</v>
          </cell>
        </row>
        <row r="1964">
          <cell r="B1964" t="str">
            <v>A1276</v>
          </cell>
          <cell r="C1964" t="str">
            <v>GMC</v>
          </cell>
          <cell r="D1964" t="str">
            <v>Y</v>
          </cell>
          <cell r="E1964" t="str">
            <v>A</v>
          </cell>
          <cell r="F1964" t="str">
            <v>05/31/2000</v>
          </cell>
        </row>
        <row r="1965">
          <cell r="B1965" t="str">
            <v>A1278</v>
          </cell>
          <cell r="C1965" t="str">
            <v>GEN</v>
          </cell>
          <cell r="D1965" t="str">
            <v>Y</v>
          </cell>
          <cell r="E1965" t="str">
            <v>A</v>
          </cell>
          <cell r="F1965" t="str">
            <v>05/31/2000</v>
          </cell>
        </row>
        <row r="1966">
          <cell r="B1966" t="str">
            <v>A1282</v>
          </cell>
          <cell r="C1966" t="str">
            <v>UEC</v>
          </cell>
          <cell r="D1966" t="str">
            <v>Y</v>
          </cell>
          <cell r="E1966" t="str">
            <v>A</v>
          </cell>
          <cell r="F1966" t="str">
            <v>06/07/2000</v>
          </cell>
        </row>
        <row r="1967">
          <cell r="B1967" t="str">
            <v>A1283</v>
          </cell>
          <cell r="C1967" t="str">
            <v>CIP</v>
          </cell>
          <cell r="D1967" t="str">
            <v>Y</v>
          </cell>
          <cell r="E1967" t="str">
            <v>A</v>
          </cell>
          <cell r="F1967" t="str">
            <v>06/07/2000</v>
          </cell>
        </row>
        <row r="1968">
          <cell r="B1968" t="str">
            <v>A1284</v>
          </cell>
          <cell r="C1968" t="str">
            <v>GEN</v>
          </cell>
          <cell r="D1968" t="str">
            <v>Y</v>
          </cell>
          <cell r="E1968" t="str">
            <v>A</v>
          </cell>
          <cell r="F1968" t="str">
            <v>06/07/2000</v>
          </cell>
        </row>
        <row r="1969">
          <cell r="B1969" t="str">
            <v>A1296</v>
          </cell>
          <cell r="C1969" t="str">
            <v>CIP</v>
          </cell>
          <cell r="D1969" t="str">
            <v>Y</v>
          </cell>
          <cell r="E1969" t="str">
            <v>A</v>
          </cell>
          <cell r="F1969" t="str">
            <v>06/15/2000</v>
          </cell>
        </row>
        <row r="1970">
          <cell r="B1970" t="str">
            <v>A1297</v>
          </cell>
          <cell r="C1970" t="str">
            <v>UEC</v>
          </cell>
          <cell r="D1970" t="str">
            <v>Y</v>
          </cell>
          <cell r="E1970" t="str">
            <v>A</v>
          </cell>
          <cell r="F1970" t="str">
            <v>06/15/2000</v>
          </cell>
        </row>
        <row r="1971">
          <cell r="B1971" t="str">
            <v>A1298</v>
          </cell>
          <cell r="C1971" t="str">
            <v>GEN</v>
          </cell>
          <cell r="D1971" t="str">
            <v>Y</v>
          </cell>
          <cell r="E1971" t="str">
            <v>A</v>
          </cell>
          <cell r="F1971" t="str">
            <v>06/15/2000</v>
          </cell>
        </row>
        <row r="1972">
          <cell r="B1972" t="str">
            <v>A1299</v>
          </cell>
          <cell r="C1972" t="str">
            <v>GMC</v>
          </cell>
          <cell r="D1972" t="str">
            <v>Y</v>
          </cell>
          <cell r="E1972" t="str">
            <v>A</v>
          </cell>
          <cell r="F1972" t="str">
            <v>06/15/2000</v>
          </cell>
        </row>
        <row r="1973">
          <cell r="B1973" t="str">
            <v>A1303</v>
          </cell>
          <cell r="C1973" t="str">
            <v>001G</v>
          </cell>
          <cell r="D1973" t="str">
            <v>Y</v>
          </cell>
          <cell r="E1973" t="str">
            <v>A</v>
          </cell>
          <cell r="F1973" t="str">
            <v>06/16/2000</v>
          </cell>
        </row>
        <row r="1974">
          <cell r="B1974" t="str">
            <v>A1307</v>
          </cell>
          <cell r="C1974" t="str">
            <v>GEN</v>
          </cell>
          <cell r="D1974" t="str">
            <v>Y</v>
          </cell>
          <cell r="E1974" t="str">
            <v>A</v>
          </cell>
          <cell r="F1974" t="str">
            <v>06/21/2000</v>
          </cell>
        </row>
        <row r="1975">
          <cell r="B1975" t="str">
            <v>A1308</v>
          </cell>
          <cell r="C1975" t="str">
            <v>IHC</v>
          </cell>
          <cell r="D1975" t="str">
            <v>Y</v>
          </cell>
          <cell r="E1975" t="str">
            <v>A</v>
          </cell>
          <cell r="F1975" t="str">
            <v>06/21/2000</v>
          </cell>
        </row>
        <row r="1976">
          <cell r="B1976" t="str">
            <v>A1309</v>
          </cell>
          <cell r="C1976" t="str">
            <v>IHC</v>
          </cell>
          <cell r="D1976" t="str">
            <v>Y</v>
          </cell>
          <cell r="E1976" t="str">
            <v>A</v>
          </cell>
          <cell r="F1976" t="str">
            <v>06/21/2000</v>
          </cell>
        </row>
        <row r="1977">
          <cell r="B1977" t="str">
            <v>A1310</v>
          </cell>
          <cell r="C1977" t="str">
            <v>GEN</v>
          </cell>
          <cell r="D1977" t="str">
            <v>Y</v>
          </cell>
          <cell r="E1977" t="str">
            <v>A</v>
          </cell>
          <cell r="F1977" t="str">
            <v>06/21/2000</v>
          </cell>
        </row>
        <row r="1978">
          <cell r="B1978" t="str">
            <v>A1316</v>
          </cell>
          <cell r="C1978" t="str">
            <v>UEC</v>
          </cell>
          <cell r="D1978" t="str">
            <v>N</v>
          </cell>
          <cell r="E1978" t="str">
            <v>A</v>
          </cell>
          <cell r="F1978" t="str">
            <v>06/28/2000</v>
          </cell>
        </row>
        <row r="1979">
          <cell r="B1979" t="str">
            <v>A1317</v>
          </cell>
          <cell r="C1979" t="str">
            <v>UEC</v>
          </cell>
          <cell r="D1979" t="str">
            <v>N</v>
          </cell>
          <cell r="E1979" t="str">
            <v>A</v>
          </cell>
          <cell r="F1979" t="str">
            <v>06/28/2000</v>
          </cell>
        </row>
        <row r="1980">
          <cell r="B1980" t="str">
            <v>A2003</v>
          </cell>
          <cell r="C1980" t="str">
            <v>UEC</v>
          </cell>
          <cell r="D1980" t="str">
            <v>Y</v>
          </cell>
          <cell r="E1980" t="str">
            <v>A</v>
          </cell>
          <cell r="F1980" t="str">
            <v>08/15/2000</v>
          </cell>
        </row>
        <row r="1981">
          <cell r="B1981" t="str">
            <v>A2005</v>
          </cell>
          <cell r="C1981" t="str">
            <v>CIP</v>
          </cell>
          <cell r="D1981" t="str">
            <v>Y</v>
          </cell>
          <cell r="E1981" t="str">
            <v>A</v>
          </cell>
          <cell r="F1981" t="str">
            <v>08/15/2000</v>
          </cell>
        </row>
        <row r="1982">
          <cell r="B1982" t="str">
            <v>A2006</v>
          </cell>
          <cell r="C1982" t="str">
            <v>004A</v>
          </cell>
          <cell r="D1982" t="str">
            <v>Y</v>
          </cell>
          <cell r="E1982" t="str">
            <v>A</v>
          </cell>
          <cell r="F1982" t="str">
            <v>08/17/2000</v>
          </cell>
        </row>
        <row r="1983">
          <cell r="B1983" t="str">
            <v>A2009</v>
          </cell>
          <cell r="C1983" t="str">
            <v>UEC</v>
          </cell>
          <cell r="D1983" t="str">
            <v>Y</v>
          </cell>
          <cell r="E1983" t="str">
            <v>I</v>
          </cell>
          <cell r="F1983" t="str">
            <v>08/18/2000</v>
          </cell>
        </row>
        <row r="1984">
          <cell r="B1984" t="str">
            <v>A2010</v>
          </cell>
          <cell r="C1984" t="str">
            <v>002L</v>
          </cell>
          <cell r="D1984" t="str">
            <v>Y</v>
          </cell>
          <cell r="E1984" t="str">
            <v>A</v>
          </cell>
          <cell r="F1984" t="str">
            <v>08/11/2000</v>
          </cell>
        </row>
        <row r="1985">
          <cell r="B1985" t="str">
            <v>A2011</v>
          </cell>
          <cell r="C1985" t="str">
            <v>001A</v>
          </cell>
          <cell r="D1985" t="str">
            <v>Y</v>
          </cell>
          <cell r="E1985" t="str">
            <v>A</v>
          </cell>
          <cell r="F1985" t="str">
            <v>08/11/2000</v>
          </cell>
        </row>
        <row r="1986">
          <cell r="B1986" t="str">
            <v>A2012</v>
          </cell>
          <cell r="C1986" t="str">
            <v>AME</v>
          </cell>
          <cell r="D1986" t="str">
            <v>Y</v>
          </cell>
          <cell r="E1986" t="str">
            <v>A</v>
          </cell>
          <cell r="F1986" t="str">
            <v>08/11/2000</v>
          </cell>
        </row>
        <row r="1987">
          <cell r="B1987" t="str">
            <v>A2013</v>
          </cell>
          <cell r="C1987" t="str">
            <v>GEN</v>
          </cell>
          <cell r="D1987" t="str">
            <v>Y</v>
          </cell>
          <cell r="E1987" t="str">
            <v>I</v>
          </cell>
          <cell r="F1987" t="str">
            <v>08/11/2000</v>
          </cell>
        </row>
        <row r="1988">
          <cell r="B1988" t="str">
            <v>A2014</v>
          </cell>
          <cell r="C1988" t="str">
            <v>GMC</v>
          </cell>
          <cell r="D1988" t="str">
            <v>Y</v>
          </cell>
          <cell r="E1988" t="str">
            <v>A</v>
          </cell>
          <cell r="F1988" t="str">
            <v>08/11/2000</v>
          </cell>
        </row>
        <row r="1989">
          <cell r="B1989" t="str">
            <v>A2015</v>
          </cell>
          <cell r="C1989" t="str">
            <v>UEC</v>
          </cell>
          <cell r="D1989" t="str">
            <v>Y</v>
          </cell>
          <cell r="E1989" t="str">
            <v>I</v>
          </cell>
          <cell r="F1989" t="str">
            <v>08/11/2000</v>
          </cell>
        </row>
        <row r="1990">
          <cell r="B1990" t="str">
            <v>A2016</v>
          </cell>
          <cell r="C1990" t="str">
            <v>CIP</v>
          </cell>
          <cell r="D1990" t="str">
            <v>Y</v>
          </cell>
          <cell r="E1990" t="str">
            <v>I</v>
          </cell>
          <cell r="F1990" t="str">
            <v>08/11/2000</v>
          </cell>
        </row>
        <row r="1991">
          <cell r="B1991" t="str">
            <v>A2017</v>
          </cell>
          <cell r="C1991" t="str">
            <v>002A</v>
          </cell>
          <cell r="D1991" t="str">
            <v>Y</v>
          </cell>
          <cell r="E1991" t="str">
            <v>A</v>
          </cell>
          <cell r="F1991" t="str">
            <v>08/11/2000</v>
          </cell>
        </row>
        <row r="1992">
          <cell r="B1992" t="str">
            <v>A2018</v>
          </cell>
          <cell r="C1992" t="str">
            <v>004A</v>
          </cell>
          <cell r="D1992" t="str">
            <v>Y</v>
          </cell>
          <cell r="E1992" t="str">
            <v>I</v>
          </cell>
          <cell r="F1992" t="str">
            <v>08/11/2000</v>
          </cell>
        </row>
        <row r="1993">
          <cell r="B1993" t="str">
            <v>A2019</v>
          </cell>
          <cell r="C1993" t="str">
            <v>011A</v>
          </cell>
          <cell r="D1993" t="str">
            <v>Y</v>
          </cell>
          <cell r="E1993" t="str">
            <v>A</v>
          </cell>
          <cell r="F1993" t="str">
            <v>08/11/2000</v>
          </cell>
        </row>
        <row r="1994">
          <cell r="B1994" t="str">
            <v>A2020</v>
          </cell>
          <cell r="C1994"/>
          <cell r="D1994" t="str">
            <v>Y</v>
          </cell>
          <cell r="E1994" t="str">
            <v>I</v>
          </cell>
          <cell r="F1994" t="str">
            <v>08/11/2000</v>
          </cell>
        </row>
        <row r="1995">
          <cell r="B1995" t="str">
            <v>A2022</v>
          </cell>
          <cell r="C1995" t="str">
            <v>CIP</v>
          </cell>
          <cell r="D1995" t="str">
            <v>Y</v>
          </cell>
          <cell r="E1995" t="str">
            <v>A</v>
          </cell>
          <cell r="F1995" t="str">
            <v>08/18/2000</v>
          </cell>
        </row>
        <row r="1996">
          <cell r="B1996" t="str">
            <v>A2023</v>
          </cell>
          <cell r="C1996" t="str">
            <v>UEC</v>
          </cell>
          <cell r="D1996" t="str">
            <v>Y</v>
          </cell>
          <cell r="E1996" t="str">
            <v>A</v>
          </cell>
          <cell r="F1996" t="str">
            <v>08/17/2000</v>
          </cell>
        </row>
        <row r="1997">
          <cell r="B1997" t="str">
            <v>A2024</v>
          </cell>
          <cell r="C1997" t="str">
            <v>GEN</v>
          </cell>
          <cell r="D1997" t="str">
            <v>Y</v>
          </cell>
          <cell r="E1997" t="str">
            <v>A</v>
          </cell>
          <cell r="F1997" t="str">
            <v>08/18/2000</v>
          </cell>
        </row>
        <row r="1998">
          <cell r="B1998" t="str">
            <v>A2025</v>
          </cell>
          <cell r="C1998" t="str">
            <v>GEN</v>
          </cell>
          <cell r="D1998" t="str">
            <v>Y</v>
          </cell>
          <cell r="E1998" t="str">
            <v>A</v>
          </cell>
          <cell r="F1998" t="str">
            <v>08/18/2000</v>
          </cell>
        </row>
        <row r="1999">
          <cell r="B1999" t="str">
            <v>A2026</v>
          </cell>
          <cell r="C1999" t="str">
            <v>GEN</v>
          </cell>
          <cell r="D1999" t="str">
            <v>Y</v>
          </cell>
          <cell r="E1999" t="str">
            <v>A</v>
          </cell>
          <cell r="F1999" t="str">
            <v>08/18/2000</v>
          </cell>
        </row>
        <row r="2000">
          <cell r="B2000" t="str">
            <v>A2027</v>
          </cell>
          <cell r="C2000" t="str">
            <v>GEN</v>
          </cell>
          <cell r="D2000" t="str">
            <v>Y</v>
          </cell>
          <cell r="E2000" t="str">
            <v>A</v>
          </cell>
          <cell r="F2000" t="str">
            <v>08/18/2000</v>
          </cell>
        </row>
        <row r="2001">
          <cell r="B2001" t="str">
            <v>A2029</v>
          </cell>
          <cell r="C2001" t="str">
            <v>002L</v>
          </cell>
          <cell r="D2001" t="str">
            <v>Y</v>
          </cell>
          <cell r="E2001" t="str">
            <v>A</v>
          </cell>
          <cell r="F2001" t="str">
            <v>08/16/2000</v>
          </cell>
        </row>
        <row r="2002">
          <cell r="B2002" t="str">
            <v>A2031</v>
          </cell>
          <cell r="C2002" t="str">
            <v>GEN</v>
          </cell>
          <cell r="D2002" t="str">
            <v>Y</v>
          </cell>
          <cell r="E2002" t="str">
            <v>A</v>
          </cell>
          <cell r="F2002" t="str">
            <v>08/18/2000</v>
          </cell>
        </row>
        <row r="2003">
          <cell r="B2003" t="str">
            <v>A2032</v>
          </cell>
          <cell r="C2003" t="str">
            <v>002A</v>
          </cell>
          <cell r="D2003" t="str">
            <v>Y</v>
          </cell>
          <cell r="E2003" t="str">
            <v>A</v>
          </cell>
          <cell r="F2003" t="str">
            <v>08/18/2000</v>
          </cell>
        </row>
        <row r="2004">
          <cell r="B2004" t="str">
            <v>A2033</v>
          </cell>
          <cell r="C2004" t="str">
            <v>011B</v>
          </cell>
          <cell r="D2004" t="str">
            <v>N</v>
          </cell>
          <cell r="E2004" t="str">
            <v>A</v>
          </cell>
          <cell r="F2004" t="str">
            <v>08/21/2000</v>
          </cell>
        </row>
        <row r="2005">
          <cell r="B2005" t="str">
            <v>A2034</v>
          </cell>
          <cell r="C2005" t="str">
            <v>UEC</v>
          </cell>
          <cell r="D2005" t="str">
            <v>N</v>
          </cell>
          <cell r="E2005" t="str">
            <v>A</v>
          </cell>
          <cell r="F2005" t="str">
            <v>08/20/2000</v>
          </cell>
        </row>
        <row r="2006">
          <cell r="B2006" t="str">
            <v>A2035</v>
          </cell>
          <cell r="C2006" t="str">
            <v>UEC</v>
          </cell>
          <cell r="D2006" t="str">
            <v>N</v>
          </cell>
          <cell r="E2006" t="str">
            <v>A</v>
          </cell>
          <cell r="F2006" t="str">
            <v>08/18/2000</v>
          </cell>
        </row>
        <row r="2007">
          <cell r="B2007" t="str">
            <v>A2036</v>
          </cell>
          <cell r="C2007" t="str">
            <v>UEC</v>
          </cell>
          <cell r="D2007" t="str">
            <v>N</v>
          </cell>
          <cell r="E2007" t="str">
            <v>A</v>
          </cell>
          <cell r="F2007" t="str">
            <v>08/20/2000</v>
          </cell>
        </row>
        <row r="2008">
          <cell r="B2008" t="str">
            <v>A2037</v>
          </cell>
          <cell r="C2008" t="str">
            <v>UEC</v>
          </cell>
          <cell r="D2008" t="str">
            <v>N</v>
          </cell>
          <cell r="E2008" t="str">
            <v>A</v>
          </cell>
          <cell r="F2008" t="str">
            <v>08/20/2000</v>
          </cell>
        </row>
        <row r="2009">
          <cell r="B2009" t="str">
            <v>A2038</v>
          </cell>
          <cell r="C2009" t="str">
            <v>UEC</v>
          </cell>
          <cell r="D2009" t="str">
            <v>N</v>
          </cell>
          <cell r="E2009" t="str">
            <v>A</v>
          </cell>
          <cell r="F2009" t="str">
            <v>08/20/2000</v>
          </cell>
        </row>
        <row r="2010">
          <cell r="B2010" t="str">
            <v>A2039</v>
          </cell>
          <cell r="C2010" t="str">
            <v>UEC</v>
          </cell>
          <cell r="D2010" t="str">
            <v>N</v>
          </cell>
          <cell r="E2010" t="str">
            <v>A</v>
          </cell>
          <cell r="F2010" t="str">
            <v>08/20/2000</v>
          </cell>
        </row>
        <row r="2011">
          <cell r="B2011" t="str">
            <v>A2040</v>
          </cell>
          <cell r="C2011" t="str">
            <v>UEC</v>
          </cell>
          <cell r="D2011" t="str">
            <v>N</v>
          </cell>
          <cell r="E2011" t="str">
            <v>A</v>
          </cell>
          <cell r="F2011" t="str">
            <v>08/20/2000</v>
          </cell>
        </row>
        <row r="2012">
          <cell r="B2012" t="str">
            <v>A2041</v>
          </cell>
          <cell r="C2012" t="str">
            <v>UEC</v>
          </cell>
          <cell r="D2012" t="str">
            <v>N</v>
          </cell>
          <cell r="E2012" t="str">
            <v>A</v>
          </cell>
          <cell r="F2012" t="str">
            <v>08/20/2000</v>
          </cell>
        </row>
        <row r="2013">
          <cell r="B2013" t="str">
            <v>A2042</v>
          </cell>
          <cell r="C2013" t="str">
            <v>UEC</v>
          </cell>
          <cell r="D2013" t="str">
            <v>N</v>
          </cell>
          <cell r="E2013" t="str">
            <v>A</v>
          </cell>
          <cell r="F2013" t="str">
            <v>08/20/2000</v>
          </cell>
        </row>
        <row r="2014">
          <cell r="B2014" t="str">
            <v>A2043</v>
          </cell>
          <cell r="C2014" t="str">
            <v>UEC</v>
          </cell>
          <cell r="D2014" t="str">
            <v>N</v>
          </cell>
          <cell r="E2014" t="str">
            <v>A</v>
          </cell>
          <cell r="F2014" t="str">
            <v>08/20/2000</v>
          </cell>
        </row>
        <row r="2015">
          <cell r="B2015" t="str">
            <v>A2044</v>
          </cell>
          <cell r="C2015" t="str">
            <v>GEN</v>
          </cell>
          <cell r="D2015" t="str">
            <v>N</v>
          </cell>
          <cell r="E2015" t="str">
            <v>A</v>
          </cell>
          <cell r="F2015" t="str">
            <v>08/20/2000</v>
          </cell>
        </row>
        <row r="2016">
          <cell r="B2016" t="str">
            <v>A2045</v>
          </cell>
          <cell r="C2016" t="str">
            <v>GEN</v>
          </cell>
          <cell r="D2016" t="str">
            <v>N</v>
          </cell>
          <cell r="E2016" t="str">
            <v>A</v>
          </cell>
          <cell r="F2016" t="str">
            <v>08/20/2000</v>
          </cell>
        </row>
        <row r="2017">
          <cell r="B2017" t="str">
            <v>A2046</v>
          </cell>
          <cell r="C2017" t="str">
            <v>GEN</v>
          </cell>
          <cell r="D2017" t="str">
            <v>N</v>
          </cell>
          <cell r="E2017" t="str">
            <v>A</v>
          </cell>
          <cell r="F2017" t="str">
            <v>08/20/2000</v>
          </cell>
        </row>
        <row r="2018">
          <cell r="B2018" t="str">
            <v>A2047</v>
          </cell>
          <cell r="C2018" t="str">
            <v>GEN</v>
          </cell>
          <cell r="D2018" t="str">
            <v>N</v>
          </cell>
          <cell r="E2018" t="str">
            <v>A</v>
          </cell>
          <cell r="F2018" t="str">
            <v>08/20/2000</v>
          </cell>
        </row>
        <row r="2019">
          <cell r="B2019" t="str">
            <v>A2048</v>
          </cell>
          <cell r="C2019" t="str">
            <v>GEN</v>
          </cell>
          <cell r="D2019" t="str">
            <v>N</v>
          </cell>
          <cell r="E2019" t="str">
            <v>A</v>
          </cell>
          <cell r="F2019" t="str">
            <v>08/20/2000</v>
          </cell>
        </row>
        <row r="2020">
          <cell r="B2020" t="str">
            <v>A2049</v>
          </cell>
          <cell r="C2020" t="str">
            <v>GEN</v>
          </cell>
          <cell r="D2020" t="str">
            <v>N</v>
          </cell>
          <cell r="E2020" t="str">
            <v>A</v>
          </cell>
          <cell r="F2020" t="str">
            <v>08/20/2000</v>
          </cell>
        </row>
        <row r="2021">
          <cell r="B2021" t="str">
            <v>A2050</v>
          </cell>
          <cell r="C2021" t="str">
            <v>GEN</v>
          </cell>
          <cell r="D2021" t="str">
            <v>N</v>
          </cell>
          <cell r="E2021" t="str">
            <v>A</v>
          </cell>
          <cell r="F2021" t="str">
            <v>08/20/2000</v>
          </cell>
        </row>
        <row r="2022">
          <cell r="B2022" t="str">
            <v>A2051</v>
          </cell>
          <cell r="C2022" t="str">
            <v>GEN</v>
          </cell>
          <cell r="D2022" t="str">
            <v>N</v>
          </cell>
          <cell r="E2022" t="str">
            <v>A</v>
          </cell>
          <cell r="F2022" t="str">
            <v>08/20/2000</v>
          </cell>
        </row>
        <row r="2023">
          <cell r="B2023" t="str">
            <v>A2067</v>
          </cell>
          <cell r="C2023" t="str">
            <v>011A</v>
          </cell>
          <cell r="D2023" t="str">
            <v>Y</v>
          </cell>
          <cell r="E2023" t="str">
            <v>A</v>
          </cell>
          <cell r="F2023" t="str">
            <v>08/22/2000</v>
          </cell>
        </row>
        <row r="2024">
          <cell r="B2024" t="str">
            <v>A2074</v>
          </cell>
          <cell r="C2024" t="str">
            <v>AEC</v>
          </cell>
          <cell r="D2024" t="str">
            <v>Y</v>
          </cell>
          <cell r="E2024" t="str">
            <v>A</v>
          </cell>
          <cell r="F2024" t="str">
            <v>09/01/2000</v>
          </cell>
        </row>
        <row r="2025">
          <cell r="B2025" t="str">
            <v>A2078</v>
          </cell>
          <cell r="C2025"/>
          <cell r="D2025" t="str">
            <v>Y</v>
          </cell>
          <cell r="E2025" t="str">
            <v>A</v>
          </cell>
          <cell r="F2025" t="str">
            <v>09/05/2000</v>
          </cell>
        </row>
        <row r="2026">
          <cell r="B2026" t="str">
            <v>A2079</v>
          </cell>
          <cell r="C2026" t="str">
            <v>002A</v>
          </cell>
          <cell r="D2026" t="str">
            <v>Y</v>
          </cell>
          <cell r="E2026" t="str">
            <v>A</v>
          </cell>
          <cell r="F2026" t="str">
            <v>09/07/2000</v>
          </cell>
        </row>
        <row r="2027">
          <cell r="B2027" t="str">
            <v>A2080</v>
          </cell>
          <cell r="C2027" t="str">
            <v>004A</v>
          </cell>
          <cell r="D2027" t="str">
            <v>Y</v>
          </cell>
          <cell r="E2027" t="str">
            <v>A</v>
          </cell>
          <cell r="F2027" t="str">
            <v>09/05/2000</v>
          </cell>
        </row>
        <row r="2028">
          <cell r="B2028" t="str">
            <v>A2081</v>
          </cell>
          <cell r="C2028" t="str">
            <v>GEN</v>
          </cell>
          <cell r="D2028" t="str">
            <v>Y</v>
          </cell>
          <cell r="E2028" t="str">
            <v>A</v>
          </cell>
          <cell r="F2028" t="str">
            <v>09/06/2000</v>
          </cell>
        </row>
        <row r="2029">
          <cell r="B2029" t="str">
            <v>A2084</v>
          </cell>
          <cell r="C2029" t="str">
            <v>001A</v>
          </cell>
          <cell r="D2029" t="str">
            <v>Y</v>
          </cell>
          <cell r="E2029" t="str">
            <v>A</v>
          </cell>
          <cell r="F2029" t="str">
            <v>09/14/2000</v>
          </cell>
        </row>
        <row r="2030">
          <cell r="B2030" t="str">
            <v>A2085</v>
          </cell>
          <cell r="C2030" t="str">
            <v>001A</v>
          </cell>
          <cell r="D2030" t="str">
            <v>Y</v>
          </cell>
          <cell r="E2030" t="str">
            <v>A</v>
          </cell>
          <cell r="F2030" t="str">
            <v>09/12/2000</v>
          </cell>
        </row>
        <row r="2031">
          <cell r="B2031" t="str">
            <v>A2091</v>
          </cell>
          <cell r="C2031" t="str">
            <v>001A</v>
          </cell>
          <cell r="D2031" t="str">
            <v>N</v>
          </cell>
          <cell r="E2031" t="str">
            <v>I</v>
          </cell>
          <cell r="F2031" t="str">
            <v>09/14/2000</v>
          </cell>
        </row>
        <row r="2032">
          <cell r="B2032" t="str">
            <v>A2092</v>
          </cell>
          <cell r="C2032" t="str">
            <v>001A</v>
          </cell>
          <cell r="D2032" t="str">
            <v>Y</v>
          </cell>
          <cell r="E2032" t="str">
            <v>A</v>
          </cell>
          <cell r="F2032" t="str">
            <v>09/14/2000</v>
          </cell>
        </row>
        <row r="2033">
          <cell r="B2033" t="str">
            <v>A2093</v>
          </cell>
          <cell r="C2033" t="str">
            <v>001G</v>
          </cell>
          <cell r="D2033" t="str">
            <v>Y</v>
          </cell>
          <cell r="E2033" t="str">
            <v>I</v>
          </cell>
          <cell r="F2033" t="str">
            <v>09/19/2000</v>
          </cell>
        </row>
        <row r="2034">
          <cell r="B2034" t="str">
            <v>A2094</v>
          </cell>
          <cell r="C2034" t="str">
            <v>AFS</v>
          </cell>
          <cell r="D2034" t="str">
            <v>N</v>
          </cell>
          <cell r="E2034" t="str">
            <v>I</v>
          </cell>
          <cell r="F2034" t="str">
            <v>01/12/2004</v>
          </cell>
        </row>
        <row r="2035">
          <cell r="B2035" t="str">
            <v>A2096</v>
          </cell>
          <cell r="C2035" t="str">
            <v>AFS</v>
          </cell>
          <cell r="D2035" t="str">
            <v>Y</v>
          </cell>
          <cell r="E2035" t="str">
            <v>A</v>
          </cell>
          <cell r="F2035" t="str">
            <v>09/21/2000</v>
          </cell>
        </row>
        <row r="2036">
          <cell r="B2036" t="str">
            <v>A2104</v>
          </cell>
          <cell r="C2036" t="str">
            <v>004A</v>
          </cell>
          <cell r="D2036" t="str">
            <v>Y</v>
          </cell>
          <cell r="E2036" t="str">
            <v>A</v>
          </cell>
          <cell r="F2036" t="str">
            <v>09/22/2000</v>
          </cell>
        </row>
        <row r="2037">
          <cell r="B2037" t="str">
            <v>A2105</v>
          </cell>
          <cell r="C2037" t="str">
            <v>UEC</v>
          </cell>
          <cell r="D2037" t="str">
            <v>Y</v>
          </cell>
          <cell r="E2037" t="str">
            <v>A</v>
          </cell>
          <cell r="F2037" t="str">
            <v>09/22/2000</v>
          </cell>
        </row>
        <row r="2038">
          <cell r="B2038" t="str">
            <v>A2106</v>
          </cell>
          <cell r="C2038" t="str">
            <v>017C</v>
          </cell>
          <cell r="D2038" t="str">
            <v>Y</v>
          </cell>
          <cell r="E2038" t="str">
            <v>A</v>
          </cell>
          <cell r="F2038" t="str">
            <v>09/22/2000</v>
          </cell>
        </row>
        <row r="2039">
          <cell r="B2039" t="str">
            <v>A2107</v>
          </cell>
          <cell r="C2039" t="str">
            <v>001G</v>
          </cell>
          <cell r="D2039" t="str">
            <v>Y</v>
          </cell>
          <cell r="E2039" t="str">
            <v>A</v>
          </cell>
          <cell r="F2039" t="str">
            <v>09/22/2000</v>
          </cell>
        </row>
        <row r="2040">
          <cell r="B2040" t="str">
            <v>A2108</v>
          </cell>
          <cell r="C2040" t="str">
            <v>GEN</v>
          </cell>
          <cell r="D2040" t="str">
            <v>Y</v>
          </cell>
          <cell r="E2040" t="str">
            <v>A</v>
          </cell>
          <cell r="F2040" t="str">
            <v>09/22/2000</v>
          </cell>
        </row>
        <row r="2041">
          <cell r="B2041" t="str">
            <v>A2109</v>
          </cell>
          <cell r="C2041" t="str">
            <v>UEC</v>
          </cell>
          <cell r="D2041" t="str">
            <v>Y</v>
          </cell>
          <cell r="E2041" t="str">
            <v>A</v>
          </cell>
          <cell r="F2041" t="str">
            <v>09/22/2000</v>
          </cell>
        </row>
        <row r="2042">
          <cell r="B2042" t="str">
            <v>A2111</v>
          </cell>
          <cell r="C2042" t="str">
            <v>002K</v>
          </cell>
          <cell r="D2042" t="str">
            <v>Y</v>
          </cell>
          <cell r="E2042" t="str">
            <v>A</v>
          </cell>
          <cell r="F2042" t="str">
            <v>10/09/2000</v>
          </cell>
        </row>
        <row r="2043">
          <cell r="B2043" t="str">
            <v>A2112</v>
          </cell>
          <cell r="C2043" t="str">
            <v>004C</v>
          </cell>
          <cell r="D2043" t="str">
            <v>Y</v>
          </cell>
          <cell r="E2043" t="str">
            <v>A</v>
          </cell>
          <cell r="F2043" t="str">
            <v>10/06/2000</v>
          </cell>
        </row>
        <row r="2044">
          <cell r="B2044" t="str">
            <v>A2113</v>
          </cell>
          <cell r="C2044" t="str">
            <v>004A</v>
          </cell>
          <cell r="D2044" t="str">
            <v>Y</v>
          </cell>
          <cell r="E2044" t="str">
            <v>A</v>
          </cell>
          <cell r="F2044" t="str">
            <v>10/06/2000</v>
          </cell>
        </row>
        <row r="2045">
          <cell r="B2045" t="str">
            <v>A2114</v>
          </cell>
          <cell r="C2045" t="str">
            <v>004A</v>
          </cell>
          <cell r="D2045" t="str">
            <v>Y</v>
          </cell>
          <cell r="E2045" t="str">
            <v>A</v>
          </cell>
          <cell r="F2045" t="str">
            <v>10/06/2000</v>
          </cell>
        </row>
        <row r="2046">
          <cell r="B2046" t="str">
            <v>A2115</v>
          </cell>
          <cell r="C2046" t="str">
            <v>AFS</v>
          </cell>
          <cell r="D2046" t="str">
            <v>Y</v>
          </cell>
          <cell r="E2046" t="str">
            <v>A</v>
          </cell>
          <cell r="F2046" t="str">
            <v>10/03/2000</v>
          </cell>
        </row>
        <row r="2047">
          <cell r="B2047" t="str">
            <v>A2116</v>
          </cell>
          <cell r="C2047" t="str">
            <v>007A</v>
          </cell>
          <cell r="D2047" t="str">
            <v>Y</v>
          </cell>
          <cell r="E2047" t="str">
            <v>A</v>
          </cell>
          <cell r="F2047" t="str">
            <v>01/17/2001</v>
          </cell>
        </row>
        <row r="2048">
          <cell r="B2048" t="str">
            <v>A2122</v>
          </cell>
          <cell r="C2048"/>
          <cell r="D2048" t="str">
            <v>Y</v>
          </cell>
          <cell r="E2048" t="str">
            <v>A</v>
          </cell>
          <cell r="F2048" t="str">
            <v>10/17/2000</v>
          </cell>
        </row>
        <row r="2049">
          <cell r="B2049" t="str">
            <v>A2124</v>
          </cell>
          <cell r="C2049" t="str">
            <v>007A</v>
          </cell>
          <cell r="D2049" t="str">
            <v>Y</v>
          </cell>
          <cell r="E2049" t="str">
            <v>A</v>
          </cell>
          <cell r="F2049" t="str">
            <v>11/08/2000</v>
          </cell>
        </row>
        <row r="2050">
          <cell r="B2050" t="str">
            <v>A2126</v>
          </cell>
          <cell r="C2050" t="str">
            <v>001G</v>
          </cell>
          <cell r="D2050" t="str">
            <v>Y</v>
          </cell>
          <cell r="E2050" t="str">
            <v>A</v>
          </cell>
          <cell r="F2050" t="str">
            <v>11/30/2000</v>
          </cell>
        </row>
        <row r="2051">
          <cell r="B2051" t="str">
            <v>A2127</v>
          </cell>
          <cell r="C2051" t="str">
            <v>UEC</v>
          </cell>
          <cell r="D2051" t="str">
            <v>N</v>
          </cell>
          <cell r="E2051" t="str">
            <v>A</v>
          </cell>
          <cell r="F2051" t="str">
            <v>12/11/2000</v>
          </cell>
        </row>
        <row r="2052">
          <cell r="B2052" t="str">
            <v>A2128</v>
          </cell>
          <cell r="C2052" t="str">
            <v>UEC</v>
          </cell>
          <cell r="D2052" t="str">
            <v>N</v>
          </cell>
          <cell r="E2052" t="str">
            <v>A</v>
          </cell>
          <cell r="F2052" t="str">
            <v>12/11/2000</v>
          </cell>
        </row>
        <row r="2053">
          <cell r="B2053" t="str">
            <v>A2129</v>
          </cell>
          <cell r="C2053" t="str">
            <v>001G</v>
          </cell>
          <cell r="D2053" t="str">
            <v>N</v>
          </cell>
          <cell r="E2053" t="str">
            <v>I</v>
          </cell>
          <cell r="F2053" t="str">
            <v>12/13/2000</v>
          </cell>
        </row>
        <row r="2054">
          <cell r="B2054" t="str">
            <v>A2130</v>
          </cell>
          <cell r="C2054" t="str">
            <v>AFS</v>
          </cell>
          <cell r="D2054" t="str">
            <v>Y</v>
          </cell>
          <cell r="E2054" t="str">
            <v>A</v>
          </cell>
          <cell r="F2054" t="str">
            <v>12/13/2000</v>
          </cell>
        </row>
        <row r="2055">
          <cell r="B2055" t="str">
            <v>A2132</v>
          </cell>
          <cell r="C2055" t="str">
            <v>AFS</v>
          </cell>
          <cell r="D2055" t="str">
            <v>Y</v>
          </cell>
          <cell r="E2055" t="str">
            <v>A</v>
          </cell>
          <cell r="F2055" t="str">
            <v>01/16/2001</v>
          </cell>
        </row>
        <row r="2056">
          <cell r="B2056" t="str">
            <v>A2133</v>
          </cell>
          <cell r="C2056" t="str">
            <v>GEN</v>
          </cell>
          <cell r="D2056" t="str">
            <v>Y</v>
          </cell>
          <cell r="E2056" t="str">
            <v>A</v>
          </cell>
          <cell r="F2056" t="str">
            <v>01/16/2001</v>
          </cell>
        </row>
        <row r="2057">
          <cell r="B2057" t="str">
            <v>A2134</v>
          </cell>
          <cell r="C2057" t="str">
            <v>IMS</v>
          </cell>
          <cell r="D2057" t="str">
            <v>Y</v>
          </cell>
          <cell r="E2057" t="str">
            <v>A</v>
          </cell>
          <cell r="F2057" t="str">
            <v>02/05/2001</v>
          </cell>
        </row>
        <row r="2058">
          <cell r="B2058" t="str">
            <v>A2135</v>
          </cell>
          <cell r="C2058" t="str">
            <v>001G</v>
          </cell>
          <cell r="D2058" t="str">
            <v>Y</v>
          </cell>
          <cell r="E2058" t="str">
            <v>A</v>
          </cell>
          <cell r="F2058" t="str">
            <v>02/06/2001</v>
          </cell>
        </row>
        <row r="2059">
          <cell r="B2059" t="str">
            <v>A2136</v>
          </cell>
          <cell r="C2059" t="str">
            <v>UEC</v>
          </cell>
          <cell r="D2059" t="str">
            <v>N</v>
          </cell>
          <cell r="E2059" t="str">
            <v>A</v>
          </cell>
          <cell r="F2059" t="str">
            <v>02/07/2001</v>
          </cell>
        </row>
        <row r="2060">
          <cell r="B2060" t="str">
            <v>A2139</v>
          </cell>
          <cell r="C2060" t="str">
            <v>001A</v>
          </cell>
          <cell r="D2060" t="str">
            <v>Y</v>
          </cell>
          <cell r="E2060" t="str">
            <v>A</v>
          </cell>
          <cell r="F2060" t="str">
            <v>02/15/2001</v>
          </cell>
        </row>
        <row r="2061">
          <cell r="B2061" t="str">
            <v>A2140</v>
          </cell>
          <cell r="C2061" t="str">
            <v>004A</v>
          </cell>
          <cell r="D2061" t="str">
            <v>Y</v>
          </cell>
          <cell r="E2061" t="str">
            <v>A</v>
          </cell>
          <cell r="F2061" t="str">
            <v>03/07/2001</v>
          </cell>
        </row>
        <row r="2062">
          <cell r="B2062" t="str">
            <v>A2142</v>
          </cell>
          <cell r="C2062" t="str">
            <v>GEN</v>
          </cell>
          <cell r="D2062" t="str">
            <v>Y</v>
          </cell>
          <cell r="E2062" t="str">
            <v>A</v>
          </cell>
          <cell r="F2062" t="str">
            <v>03/14/2001</v>
          </cell>
        </row>
        <row r="2063">
          <cell r="B2063" t="str">
            <v>A2145</v>
          </cell>
          <cell r="C2063" t="str">
            <v>001A</v>
          </cell>
          <cell r="D2063" t="str">
            <v>Y</v>
          </cell>
          <cell r="E2063" t="str">
            <v>A</v>
          </cell>
          <cell r="F2063" t="str">
            <v>04/11/2001</v>
          </cell>
        </row>
        <row r="2064">
          <cell r="B2064" t="str">
            <v>A2148</v>
          </cell>
          <cell r="C2064" t="str">
            <v>007A</v>
          </cell>
          <cell r="D2064" t="str">
            <v>Y</v>
          </cell>
          <cell r="E2064" t="str">
            <v>A</v>
          </cell>
          <cell r="F2064" t="str">
            <v>05/08/2001</v>
          </cell>
        </row>
        <row r="2065">
          <cell r="B2065" t="str">
            <v>A2149</v>
          </cell>
          <cell r="C2065" t="str">
            <v>GMC</v>
          </cell>
          <cell r="D2065" t="str">
            <v>Y</v>
          </cell>
          <cell r="E2065" t="str">
            <v>A</v>
          </cell>
          <cell r="F2065" t="str">
            <v>05/09/2001</v>
          </cell>
        </row>
        <row r="2066">
          <cell r="B2066" t="str">
            <v>A2150</v>
          </cell>
          <cell r="C2066" t="str">
            <v>GEN</v>
          </cell>
          <cell r="D2066" t="str">
            <v>Y</v>
          </cell>
          <cell r="E2066" t="str">
            <v>A</v>
          </cell>
          <cell r="F2066" t="str">
            <v>06/04/2001</v>
          </cell>
        </row>
        <row r="2067">
          <cell r="B2067" t="str">
            <v>A2151</v>
          </cell>
          <cell r="C2067" t="str">
            <v>UEC</v>
          </cell>
          <cell r="D2067" t="str">
            <v>Y</v>
          </cell>
          <cell r="E2067" t="str">
            <v>A</v>
          </cell>
          <cell r="F2067" t="str">
            <v>06/13/2001</v>
          </cell>
        </row>
        <row r="2068">
          <cell r="B2068" t="str">
            <v>A2152</v>
          </cell>
          <cell r="C2068" t="str">
            <v>002K</v>
          </cell>
          <cell r="D2068" t="str">
            <v>Y</v>
          </cell>
          <cell r="E2068" t="str">
            <v>A</v>
          </cell>
          <cell r="F2068" t="str">
            <v>06/13/2001</v>
          </cell>
        </row>
        <row r="2069">
          <cell r="B2069" t="str">
            <v>A2153</v>
          </cell>
          <cell r="C2069" t="str">
            <v>CIP</v>
          </cell>
          <cell r="D2069" t="str">
            <v>Y</v>
          </cell>
          <cell r="E2069" t="str">
            <v>A</v>
          </cell>
          <cell r="F2069" t="str">
            <v>06/13/2001</v>
          </cell>
        </row>
        <row r="2070">
          <cell r="B2070" t="str">
            <v>A2154</v>
          </cell>
          <cell r="C2070" t="str">
            <v>GEN</v>
          </cell>
          <cell r="D2070" t="str">
            <v>N</v>
          </cell>
          <cell r="E2070" t="str">
            <v>A</v>
          </cell>
          <cell r="F2070" t="str">
            <v>06/13/2001</v>
          </cell>
        </row>
        <row r="2071">
          <cell r="B2071" t="str">
            <v>A2155</v>
          </cell>
          <cell r="C2071" t="str">
            <v>UEC</v>
          </cell>
          <cell r="D2071" t="str">
            <v>N</v>
          </cell>
          <cell r="E2071" t="str">
            <v>A</v>
          </cell>
          <cell r="F2071" t="str">
            <v>06/13/2001</v>
          </cell>
        </row>
        <row r="2072">
          <cell r="B2072" t="str">
            <v>A2156</v>
          </cell>
          <cell r="C2072" t="str">
            <v>AED</v>
          </cell>
          <cell r="D2072" t="str">
            <v>N</v>
          </cell>
          <cell r="E2072" t="str">
            <v>A</v>
          </cell>
          <cell r="F2072" t="str">
            <v>06/13/2001</v>
          </cell>
        </row>
        <row r="2073">
          <cell r="B2073" t="str">
            <v>A2158</v>
          </cell>
          <cell r="C2073" t="str">
            <v>001A</v>
          </cell>
          <cell r="D2073" t="str">
            <v>N</v>
          </cell>
          <cell r="E2073" t="str">
            <v>A</v>
          </cell>
          <cell r="F2073" t="str">
            <v>07/10/2001</v>
          </cell>
        </row>
        <row r="2074">
          <cell r="B2074" t="str">
            <v>A2161</v>
          </cell>
          <cell r="C2074" t="str">
            <v>UEC</v>
          </cell>
          <cell r="D2074" t="str">
            <v>Y</v>
          </cell>
          <cell r="E2074" t="str">
            <v>A</v>
          </cell>
          <cell r="F2074" t="str">
            <v>07/17/2001</v>
          </cell>
        </row>
        <row r="2075">
          <cell r="B2075" t="str">
            <v>A2162</v>
          </cell>
          <cell r="C2075" t="str">
            <v>CIP</v>
          </cell>
          <cell r="D2075" t="str">
            <v>Y</v>
          </cell>
          <cell r="E2075" t="str">
            <v>A</v>
          </cell>
          <cell r="F2075" t="str">
            <v>07/17/2001</v>
          </cell>
        </row>
        <row r="2076">
          <cell r="B2076" t="str">
            <v>A2163</v>
          </cell>
          <cell r="C2076" t="str">
            <v>002K</v>
          </cell>
          <cell r="D2076" t="str">
            <v>Y</v>
          </cell>
          <cell r="E2076" t="str">
            <v>A</v>
          </cell>
          <cell r="F2076" t="str">
            <v>07/17/2001</v>
          </cell>
        </row>
        <row r="2077">
          <cell r="B2077" t="str">
            <v>A2164</v>
          </cell>
          <cell r="C2077" t="str">
            <v>UEC</v>
          </cell>
          <cell r="D2077" t="str">
            <v>Y</v>
          </cell>
          <cell r="E2077" t="str">
            <v>A</v>
          </cell>
          <cell r="F2077" t="str">
            <v>07/18/2001</v>
          </cell>
        </row>
        <row r="2078">
          <cell r="B2078" t="str">
            <v>A2165</v>
          </cell>
          <cell r="C2078" t="str">
            <v>CIP</v>
          </cell>
          <cell r="D2078" t="str">
            <v>Y</v>
          </cell>
          <cell r="E2078" t="str">
            <v>A</v>
          </cell>
          <cell r="F2078" t="str">
            <v>07/18/2001</v>
          </cell>
        </row>
        <row r="2079">
          <cell r="B2079" t="str">
            <v>A2166</v>
          </cell>
          <cell r="C2079" t="str">
            <v>002K</v>
          </cell>
          <cell r="D2079" t="str">
            <v>Y</v>
          </cell>
          <cell r="E2079" t="str">
            <v>A</v>
          </cell>
          <cell r="F2079" t="str">
            <v>07/18/2001</v>
          </cell>
        </row>
        <row r="2080">
          <cell r="B2080" t="str">
            <v>A2167</v>
          </cell>
          <cell r="C2080"/>
          <cell r="D2080" t="str">
            <v>Y</v>
          </cell>
          <cell r="E2080" t="str">
            <v>A</v>
          </cell>
          <cell r="F2080" t="str">
            <v>07/17/2001</v>
          </cell>
        </row>
        <row r="2081">
          <cell r="B2081" t="str">
            <v>A2168</v>
          </cell>
          <cell r="C2081" t="str">
            <v>017B</v>
          </cell>
          <cell r="D2081" t="str">
            <v>Y</v>
          </cell>
          <cell r="E2081" t="str">
            <v>A</v>
          </cell>
          <cell r="F2081" t="str">
            <v>07/18/2001</v>
          </cell>
        </row>
        <row r="2082">
          <cell r="B2082" t="str">
            <v>A2173</v>
          </cell>
          <cell r="C2082" t="str">
            <v>007A</v>
          </cell>
          <cell r="D2082" t="str">
            <v>Y</v>
          </cell>
          <cell r="E2082" t="str">
            <v>I</v>
          </cell>
          <cell r="F2082" t="str">
            <v>07/18/2001</v>
          </cell>
        </row>
        <row r="2083">
          <cell r="B2083" t="str">
            <v>A2174</v>
          </cell>
          <cell r="C2083" t="str">
            <v>UEC</v>
          </cell>
          <cell r="D2083" t="str">
            <v>Y</v>
          </cell>
          <cell r="E2083" t="str">
            <v>A</v>
          </cell>
          <cell r="F2083" t="str">
            <v>07/25/2001</v>
          </cell>
        </row>
        <row r="2084">
          <cell r="B2084" t="str">
            <v>A2175</v>
          </cell>
          <cell r="C2084" t="str">
            <v>CIP</v>
          </cell>
          <cell r="D2084" t="str">
            <v>Y</v>
          </cell>
          <cell r="E2084" t="str">
            <v>A</v>
          </cell>
          <cell r="F2084" t="str">
            <v>07/25/2001</v>
          </cell>
        </row>
        <row r="2085">
          <cell r="B2085" t="str">
            <v>A2176</v>
          </cell>
          <cell r="C2085" t="str">
            <v>002K</v>
          </cell>
          <cell r="D2085" t="str">
            <v>Y</v>
          </cell>
          <cell r="E2085" t="str">
            <v>A</v>
          </cell>
          <cell r="F2085" t="str">
            <v>07/25/2001</v>
          </cell>
        </row>
        <row r="2086">
          <cell r="B2086" t="str">
            <v>A2177</v>
          </cell>
          <cell r="C2086" t="str">
            <v>UEC</v>
          </cell>
          <cell r="D2086" t="str">
            <v>Y</v>
          </cell>
          <cell r="E2086" t="str">
            <v>A</v>
          </cell>
          <cell r="F2086" t="str">
            <v>07/17/2001</v>
          </cell>
        </row>
        <row r="2087">
          <cell r="B2087" t="str">
            <v>A2178</v>
          </cell>
          <cell r="C2087" t="str">
            <v>CIP</v>
          </cell>
          <cell r="D2087" t="str">
            <v>Y</v>
          </cell>
          <cell r="E2087" t="str">
            <v>A</v>
          </cell>
          <cell r="F2087" t="str">
            <v>07/17/2001</v>
          </cell>
        </row>
        <row r="2088">
          <cell r="B2088" t="str">
            <v>A2179</v>
          </cell>
          <cell r="C2088" t="str">
            <v>002K</v>
          </cell>
          <cell r="D2088" t="str">
            <v>Y</v>
          </cell>
          <cell r="E2088" t="str">
            <v>A</v>
          </cell>
          <cell r="F2088" t="str">
            <v>07/17/2001</v>
          </cell>
        </row>
        <row r="2089">
          <cell r="B2089" t="str">
            <v>A2181</v>
          </cell>
          <cell r="C2089" t="str">
            <v>002A</v>
          </cell>
          <cell r="D2089" t="str">
            <v>Y</v>
          </cell>
          <cell r="E2089" t="str">
            <v>A</v>
          </cell>
          <cell r="F2089" t="str">
            <v>07/18/2001</v>
          </cell>
        </row>
        <row r="2090">
          <cell r="B2090" t="str">
            <v>A2184</v>
          </cell>
          <cell r="C2090" t="str">
            <v>004A</v>
          </cell>
          <cell r="D2090" t="str">
            <v>Y</v>
          </cell>
          <cell r="E2090" t="str">
            <v>A</v>
          </cell>
          <cell r="F2090" t="str">
            <v>08/17/2001</v>
          </cell>
        </row>
        <row r="2091">
          <cell r="B2091" t="str">
            <v>A2186</v>
          </cell>
          <cell r="C2091" t="str">
            <v>004H</v>
          </cell>
          <cell r="D2091" t="str">
            <v>N</v>
          </cell>
          <cell r="E2091" t="str">
            <v>A</v>
          </cell>
          <cell r="F2091" t="str">
            <v>08/10/2001</v>
          </cell>
        </row>
        <row r="2092">
          <cell r="B2092" t="str">
            <v>A2187</v>
          </cell>
          <cell r="C2092" t="str">
            <v>004I</v>
          </cell>
          <cell r="D2092" t="str">
            <v>N</v>
          </cell>
          <cell r="E2092" t="str">
            <v>A</v>
          </cell>
          <cell r="F2092" t="str">
            <v>08/10/2001</v>
          </cell>
        </row>
        <row r="2093">
          <cell r="B2093" t="str">
            <v>A2188</v>
          </cell>
          <cell r="C2093" t="str">
            <v>004J</v>
          </cell>
          <cell r="D2093" t="str">
            <v>N</v>
          </cell>
          <cell r="E2093" t="str">
            <v>A</v>
          </cell>
          <cell r="F2093" t="str">
            <v>08/10/2001</v>
          </cell>
        </row>
        <row r="2094">
          <cell r="B2094" t="str">
            <v>A2189</v>
          </cell>
          <cell r="C2094" t="str">
            <v>004M</v>
          </cell>
          <cell r="D2094" t="str">
            <v>N</v>
          </cell>
          <cell r="E2094" t="str">
            <v>A</v>
          </cell>
          <cell r="F2094" t="str">
            <v>08/10/2001</v>
          </cell>
        </row>
        <row r="2095">
          <cell r="B2095" t="str">
            <v>A2190</v>
          </cell>
          <cell r="C2095" t="str">
            <v>UEC</v>
          </cell>
          <cell r="D2095" t="str">
            <v>N</v>
          </cell>
          <cell r="E2095" t="str">
            <v>A</v>
          </cell>
          <cell r="F2095" t="str">
            <v>08/10/2001</v>
          </cell>
        </row>
        <row r="2096">
          <cell r="B2096" t="str">
            <v>A2191</v>
          </cell>
          <cell r="C2096" t="str">
            <v>004K</v>
          </cell>
          <cell r="D2096" t="str">
            <v>N</v>
          </cell>
          <cell r="E2096" t="str">
            <v>A</v>
          </cell>
          <cell r="F2096" t="str">
            <v>08/10/2001</v>
          </cell>
        </row>
        <row r="2097">
          <cell r="B2097" t="str">
            <v>A2192</v>
          </cell>
          <cell r="C2097" t="str">
            <v>004L</v>
          </cell>
          <cell r="D2097" t="str">
            <v>N</v>
          </cell>
          <cell r="E2097" t="str">
            <v>A</v>
          </cell>
          <cell r="F2097" t="str">
            <v>08/10/2001</v>
          </cell>
        </row>
        <row r="2098">
          <cell r="B2098" t="str">
            <v>A2193</v>
          </cell>
          <cell r="C2098" t="str">
            <v>002I</v>
          </cell>
          <cell r="D2098" t="str">
            <v>Y</v>
          </cell>
          <cell r="E2098" t="str">
            <v>A</v>
          </cell>
          <cell r="F2098" t="str">
            <v>08/09/2001</v>
          </cell>
        </row>
        <row r="2099">
          <cell r="B2099" t="str">
            <v>A2194</v>
          </cell>
          <cell r="C2099" t="str">
            <v>002F</v>
          </cell>
          <cell r="D2099" t="str">
            <v>Y</v>
          </cell>
          <cell r="E2099" t="str">
            <v>A</v>
          </cell>
          <cell r="F2099" t="str">
            <v>08/09/2001</v>
          </cell>
        </row>
        <row r="2100">
          <cell r="B2100" t="str">
            <v>A2195</v>
          </cell>
          <cell r="C2100" t="str">
            <v>002G</v>
          </cell>
          <cell r="D2100" t="str">
            <v>Y</v>
          </cell>
          <cell r="E2100" t="str">
            <v>A</v>
          </cell>
          <cell r="F2100" t="str">
            <v>08/09/2001</v>
          </cell>
        </row>
        <row r="2101">
          <cell r="B2101" t="str">
            <v>A2196</v>
          </cell>
          <cell r="C2101" t="str">
            <v>UEC</v>
          </cell>
          <cell r="D2101" t="str">
            <v>Y</v>
          </cell>
          <cell r="E2101" t="str">
            <v>A</v>
          </cell>
          <cell r="F2101" t="str">
            <v>08/09/2001</v>
          </cell>
        </row>
        <row r="2102">
          <cell r="B2102" t="str">
            <v>A2197</v>
          </cell>
          <cell r="C2102" t="str">
            <v>UEC</v>
          </cell>
          <cell r="D2102" t="str">
            <v>Y</v>
          </cell>
          <cell r="E2102" t="str">
            <v>A</v>
          </cell>
          <cell r="F2102" t="str">
            <v>08/09/2001</v>
          </cell>
        </row>
        <row r="2103">
          <cell r="B2103" t="str">
            <v>A2198</v>
          </cell>
          <cell r="C2103" t="str">
            <v>CIP</v>
          </cell>
          <cell r="D2103" t="str">
            <v>Y</v>
          </cell>
          <cell r="E2103" t="str">
            <v>A</v>
          </cell>
          <cell r="F2103" t="str">
            <v>08/09/2001</v>
          </cell>
        </row>
        <row r="2104">
          <cell r="B2104" t="str">
            <v>A2199</v>
          </cell>
          <cell r="C2104" t="str">
            <v>CIP</v>
          </cell>
          <cell r="D2104" t="str">
            <v>Y</v>
          </cell>
          <cell r="E2104" t="str">
            <v>A</v>
          </cell>
          <cell r="F2104" t="str">
            <v>08/09/2001</v>
          </cell>
        </row>
        <row r="2105">
          <cell r="B2105" t="str">
            <v>A2201</v>
          </cell>
          <cell r="C2105" t="str">
            <v>UEC</v>
          </cell>
          <cell r="D2105" t="str">
            <v>N</v>
          </cell>
          <cell r="E2105" t="str">
            <v>A</v>
          </cell>
          <cell r="F2105" t="str">
            <v>08/20/2001</v>
          </cell>
        </row>
        <row r="2106">
          <cell r="B2106" t="str">
            <v>A2202</v>
          </cell>
          <cell r="C2106" t="str">
            <v>CIP</v>
          </cell>
          <cell r="D2106" t="str">
            <v>N</v>
          </cell>
          <cell r="E2106" t="str">
            <v>A</v>
          </cell>
          <cell r="F2106" t="str">
            <v>08/21/2001</v>
          </cell>
        </row>
        <row r="2107">
          <cell r="B2107" t="str">
            <v>A2203</v>
          </cell>
          <cell r="C2107" t="str">
            <v>UEC</v>
          </cell>
          <cell r="D2107" t="str">
            <v>N</v>
          </cell>
          <cell r="E2107" t="str">
            <v>A</v>
          </cell>
          <cell r="F2107" t="str">
            <v>08/21/2001</v>
          </cell>
        </row>
        <row r="2108">
          <cell r="B2108" t="str">
            <v>A2206</v>
          </cell>
          <cell r="C2108" t="str">
            <v>GEN</v>
          </cell>
          <cell r="D2108" t="str">
            <v>N</v>
          </cell>
          <cell r="E2108" t="str">
            <v>A</v>
          </cell>
          <cell r="F2108" t="str">
            <v>08/24/2001</v>
          </cell>
        </row>
        <row r="2109">
          <cell r="B2109" t="str">
            <v>A2209</v>
          </cell>
          <cell r="C2109"/>
          <cell r="D2109" t="str">
            <v>Y</v>
          </cell>
          <cell r="E2109" t="str">
            <v>A</v>
          </cell>
          <cell r="F2109" t="str">
            <v>08/30/2001</v>
          </cell>
        </row>
        <row r="2110">
          <cell r="B2110" t="str">
            <v>A2216</v>
          </cell>
          <cell r="C2110" t="str">
            <v>UEC</v>
          </cell>
          <cell r="D2110" t="str">
            <v>Y</v>
          </cell>
          <cell r="E2110" t="str">
            <v>A</v>
          </cell>
          <cell r="F2110" t="str">
            <v>10/23/2001</v>
          </cell>
        </row>
        <row r="2111">
          <cell r="B2111" t="str">
            <v>A2217</v>
          </cell>
          <cell r="C2111" t="str">
            <v>CIP</v>
          </cell>
          <cell r="D2111" t="str">
            <v>Y</v>
          </cell>
          <cell r="E2111" t="str">
            <v>A</v>
          </cell>
          <cell r="F2111" t="str">
            <v>10/23/2001</v>
          </cell>
        </row>
        <row r="2112">
          <cell r="B2112" t="str">
            <v>A2220</v>
          </cell>
          <cell r="C2112" t="str">
            <v>UEC</v>
          </cell>
          <cell r="D2112" t="str">
            <v>Y</v>
          </cell>
          <cell r="E2112" t="str">
            <v>A</v>
          </cell>
          <cell r="F2112" t="str">
            <v>12/04/2001</v>
          </cell>
        </row>
        <row r="2113">
          <cell r="B2113" t="str">
            <v>A2223</v>
          </cell>
          <cell r="C2113" t="str">
            <v>CIC</v>
          </cell>
          <cell r="D2113" t="str">
            <v>N</v>
          </cell>
          <cell r="E2113" t="str">
            <v>A</v>
          </cell>
          <cell r="F2113" t="str">
            <v>01/06/2002</v>
          </cell>
        </row>
        <row r="2114">
          <cell r="B2114" t="str">
            <v>A2224</v>
          </cell>
          <cell r="C2114" t="str">
            <v>001A</v>
          </cell>
          <cell r="D2114" t="str">
            <v>Y</v>
          </cell>
          <cell r="E2114" t="str">
            <v>A</v>
          </cell>
          <cell r="F2114" t="str">
            <v>12/13/2001</v>
          </cell>
        </row>
        <row r="2115">
          <cell r="B2115" t="str">
            <v>A2225</v>
          </cell>
          <cell r="C2115" t="str">
            <v>UEC</v>
          </cell>
          <cell r="D2115" t="str">
            <v>Y</v>
          </cell>
          <cell r="E2115" t="str">
            <v>A</v>
          </cell>
          <cell r="F2115" t="str">
            <v>01/14/2002</v>
          </cell>
        </row>
        <row r="2116">
          <cell r="B2116" t="str">
            <v>A2226</v>
          </cell>
          <cell r="C2116" t="str">
            <v>CIP</v>
          </cell>
          <cell r="D2116" t="str">
            <v>Y</v>
          </cell>
          <cell r="E2116" t="str">
            <v>A</v>
          </cell>
          <cell r="F2116" t="str">
            <v>01/24/2002</v>
          </cell>
        </row>
        <row r="2117">
          <cell r="B2117" t="str">
            <v>A2227</v>
          </cell>
          <cell r="C2117" t="str">
            <v>AMC</v>
          </cell>
          <cell r="D2117" t="str">
            <v>Y</v>
          </cell>
          <cell r="E2117" t="str">
            <v>A</v>
          </cell>
          <cell r="F2117" t="str">
            <v>01/24/2002</v>
          </cell>
        </row>
        <row r="2118">
          <cell r="B2118" t="str">
            <v>A2228</v>
          </cell>
          <cell r="C2118" t="str">
            <v>IMS</v>
          </cell>
          <cell r="D2118" t="str">
            <v>Y</v>
          </cell>
          <cell r="E2118" t="str">
            <v>A</v>
          </cell>
          <cell r="F2118" t="str">
            <v>12/18/2001</v>
          </cell>
        </row>
        <row r="2119">
          <cell r="B2119" t="str">
            <v>A2230</v>
          </cell>
          <cell r="C2119" t="str">
            <v>GMC</v>
          </cell>
          <cell r="D2119" t="str">
            <v>Y</v>
          </cell>
          <cell r="E2119" t="str">
            <v>A</v>
          </cell>
          <cell r="F2119" t="str">
            <v>12/27/2001</v>
          </cell>
        </row>
        <row r="2120">
          <cell r="B2120" t="str">
            <v>A2231</v>
          </cell>
          <cell r="C2120" t="str">
            <v>GMC</v>
          </cell>
          <cell r="D2120" t="str">
            <v>Y</v>
          </cell>
          <cell r="E2120" t="str">
            <v>A</v>
          </cell>
          <cell r="F2120" t="str">
            <v>01/02/2002</v>
          </cell>
        </row>
        <row r="2121">
          <cell r="B2121" t="str">
            <v>A2232</v>
          </cell>
          <cell r="C2121" t="str">
            <v>GMC</v>
          </cell>
          <cell r="D2121" t="str">
            <v>Y</v>
          </cell>
          <cell r="E2121" t="str">
            <v>A</v>
          </cell>
          <cell r="F2121" t="str">
            <v>01/02/2002</v>
          </cell>
        </row>
        <row r="2122">
          <cell r="B2122" t="str">
            <v>A2233</v>
          </cell>
          <cell r="C2122" t="str">
            <v>GMC</v>
          </cell>
          <cell r="D2122" t="str">
            <v>Y</v>
          </cell>
          <cell r="E2122" t="str">
            <v>A</v>
          </cell>
          <cell r="F2122" t="str">
            <v>01/02/2002</v>
          </cell>
        </row>
        <row r="2123">
          <cell r="B2123" t="str">
            <v>A2234</v>
          </cell>
          <cell r="C2123" t="str">
            <v>GMC</v>
          </cell>
          <cell r="D2123" t="str">
            <v>Y</v>
          </cell>
          <cell r="E2123" t="str">
            <v>A</v>
          </cell>
          <cell r="F2123" t="str">
            <v>01/02/2002</v>
          </cell>
        </row>
        <row r="2124">
          <cell r="B2124" t="str">
            <v>A2235</v>
          </cell>
          <cell r="C2124" t="str">
            <v>GMC</v>
          </cell>
          <cell r="D2124" t="str">
            <v>Y</v>
          </cell>
          <cell r="E2124" t="str">
            <v>A</v>
          </cell>
          <cell r="F2124" t="str">
            <v>01/02/2002</v>
          </cell>
        </row>
        <row r="2125">
          <cell r="B2125" t="str">
            <v>A2236</v>
          </cell>
          <cell r="C2125" t="str">
            <v>GMC</v>
          </cell>
          <cell r="D2125" t="str">
            <v>Y</v>
          </cell>
          <cell r="E2125" t="str">
            <v>A</v>
          </cell>
          <cell r="F2125" t="str">
            <v>01/02/2002</v>
          </cell>
        </row>
        <row r="2126">
          <cell r="B2126" t="str">
            <v>A2237</v>
          </cell>
          <cell r="C2126" t="str">
            <v>GMC</v>
          </cell>
          <cell r="D2126" t="str">
            <v>Y</v>
          </cell>
          <cell r="E2126" t="str">
            <v>A</v>
          </cell>
          <cell r="F2126" t="str">
            <v>01/02/2002</v>
          </cell>
        </row>
        <row r="2127">
          <cell r="B2127" t="str">
            <v>A2238</v>
          </cell>
          <cell r="C2127" t="str">
            <v>GMC</v>
          </cell>
          <cell r="D2127" t="str">
            <v>Y</v>
          </cell>
          <cell r="E2127" t="str">
            <v>A</v>
          </cell>
          <cell r="F2127" t="str">
            <v>01/02/2002</v>
          </cell>
        </row>
        <row r="2128">
          <cell r="B2128" t="str">
            <v>A2239</v>
          </cell>
          <cell r="C2128" t="str">
            <v>IHC</v>
          </cell>
          <cell r="D2128" t="str">
            <v>Y</v>
          </cell>
          <cell r="E2128" t="str">
            <v>A</v>
          </cell>
          <cell r="F2128" t="str">
            <v>01/02/2002</v>
          </cell>
        </row>
        <row r="2129">
          <cell r="B2129" t="str">
            <v>A2240</v>
          </cell>
          <cell r="C2129" t="str">
            <v>IHC</v>
          </cell>
          <cell r="D2129" t="str">
            <v>Y</v>
          </cell>
          <cell r="E2129" t="str">
            <v>A</v>
          </cell>
          <cell r="F2129" t="str">
            <v>01/02/2002</v>
          </cell>
        </row>
        <row r="2130">
          <cell r="B2130" t="str">
            <v>A2241</v>
          </cell>
          <cell r="C2130" t="str">
            <v>IHC</v>
          </cell>
          <cell r="D2130" t="str">
            <v>Y</v>
          </cell>
          <cell r="E2130" t="str">
            <v>A</v>
          </cell>
          <cell r="F2130" t="str">
            <v>01/02/2002</v>
          </cell>
        </row>
        <row r="2131">
          <cell r="B2131" t="str">
            <v>A2242</v>
          </cell>
          <cell r="C2131" t="str">
            <v>AED</v>
          </cell>
          <cell r="D2131" t="str">
            <v>Y</v>
          </cell>
          <cell r="E2131" t="str">
            <v>A</v>
          </cell>
          <cell r="F2131" t="str">
            <v>01/02/2002</v>
          </cell>
        </row>
        <row r="2132">
          <cell r="B2132" t="str">
            <v>A2243</v>
          </cell>
          <cell r="C2132" t="str">
            <v>GMC</v>
          </cell>
          <cell r="D2132" t="str">
            <v>Y</v>
          </cell>
          <cell r="E2132" t="str">
            <v>A</v>
          </cell>
          <cell r="F2132" t="str">
            <v>01/02/2002</v>
          </cell>
        </row>
        <row r="2133">
          <cell r="B2133" t="str">
            <v>A2244</v>
          </cell>
          <cell r="C2133" t="str">
            <v>GMC</v>
          </cell>
          <cell r="D2133" t="str">
            <v>Y</v>
          </cell>
          <cell r="E2133" t="str">
            <v>A</v>
          </cell>
          <cell r="F2133" t="str">
            <v>01/02/2002</v>
          </cell>
        </row>
        <row r="2134">
          <cell r="B2134" t="str">
            <v>A2245</v>
          </cell>
          <cell r="C2134" t="str">
            <v>GMC</v>
          </cell>
          <cell r="D2134" t="str">
            <v>Y</v>
          </cell>
          <cell r="E2134" t="str">
            <v>A</v>
          </cell>
          <cell r="F2134" t="str">
            <v>01/02/2002</v>
          </cell>
        </row>
        <row r="2135">
          <cell r="B2135" t="str">
            <v>A2246</v>
          </cell>
          <cell r="C2135" t="str">
            <v>AME</v>
          </cell>
          <cell r="D2135" t="str">
            <v>Y</v>
          </cell>
          <cell r="E2135" t="str">
            <v>A</v>
          </cell>
          <cell r="F2135" t="str">
            <v>01/02/2002</v>
          </cell>
        </row>
        <row r="2136">
          <cell r="B2136" t="str">
            <v>A2247</v>
          </cell>
          <cell r="C2136" t="str">
            <v>AME</v>
          </cell>
          <cell r="D2136" t="str">
            <v>Y</v>
          </cell>
          <cell r="E2136" t="str">
            <v>A</v>
          </cell>
          <cell r="F2136" t="str">
            <v>01/02/2002</v>
          </cell>
        </row>
        <row r="2137">
          <cell r="B2137" t="str">
            <v>A2248</v>
          </cell>
          <cell r="C2137" t="str">
            <v>AME</v>
          </cell>
          <cell r="D2137" t="str">
            <v>Y</v>
          </cell>
          <cell r="E2137" t="str">
            <v>A</v>
          </cell>
          <cell r="F2137" t="str">
            <v>01/02/2002</v>
          </cell>
        </row>
        <row r="2138">
          <cell r="B2138" t="str">
            <v>A2249</v>
          </cell>
          <cell r="C2138" t="str">
            <v>AME</v>
          </cell>
          <cell r="D2138" t="str">
            <v>Y</v>
          </cell>
          <cell r="E2138" t="str">
            <v>A</v>
          </cell>
          <cell r="F2138" t="str">
            <v>01/02/2002</v>
          </cell>
        </row>
        <row r="2139">
          <cell r="B2139" t="str">
            <v>A2250</v>
          </cell>
          <cell r="C2139" t="str">
            <v>AME</v>
          </cell>
          <cell r="D2139" t="str">
            <v>Y</v>
          </cell>
          <cell r="E2139" t="str">
            <v>A</v>
          </cell>
          <cell r="F2139" t="str">
            <v>01/02/2002</v>
          </cell>
        </row>
        <row r="2140">
          <cell r="B2140" t="str">
            <v>A2251</v>
          </cell>
          <cell r="C2140" t="str">
            <v>AFS</v>
          </cell>
          <cell r="D2140" t="str">
            <v>Y</v>
          </cell>
          <cell r="E2140" t="str">
            <v>A</v>
          </cell>
          <cell r="F2140" t="str">
            <v>01/02/2002</v>
          </cell>
        </row>
        <row r="2141">
          <cell r="B2141" t="str">
            <v>A2257</v>
          </cell>
          <cell r="C2141" t="str">
            <v>004A</v>
          </cell>
          <cell r="D2141" t="str">
            <v>Y</v>
          </cell>
          <cell r="E2141" t="str">
            <v>A</v>
          </cell>
          <cell r="F2141" t="str">
            <v>01/18/2002</v>
          </cell>
        </row>
        <row r="2142">
          <cell r="B2142" t="str">
            <v>A2258</v>
          </cell>
          <cell r="C2142" t="str">
            <v>AME</v>
          </cell>
          <cell r="D2142" t="str">
            <v>Y</v>
          </cell>
          <cell r="E2142" t="str">
            <v>A</v>
          </cell>
          <cell r="F2142" t="str">
            <v>01/24/2002</v>
          </cell>
        </row>
        <row r="2143">
          <cell r="B2143" t="str">
            <v>A2263</v>
          </cell>
          <cell r="C2143" t="str">
            <v>GEN</v>
          </cell>
          <cell r="D2143" t="str">
            <v>Y</v>
          </cell>
          <cell r="E2143" t="str">
            <v>A</v>
          </cell>
          <cell r="F2143" t="str">
            <v>02/06/2002</v>
          </cell>
        </row>
        <row r="2144">
          <cell r="B2144" t="str">
            <v>A2264</v>
          </cell>
          <cell r="C2144" t="str">
            <v>UEC</v>
          </cell>
          <cell r="D2144" t="str">
            <v>N</v>
          </cell>
          <cell r="E2144" t="str">
            <v>A</v>
          </cell>
          <cell r="F2144" t="str">
            <v>02/05/2002</v>
          </cell>
        </row>
        <row r="2145">
          <cell r="B2145" t="str">
            <v>A2265</v>
          </cell>
          <cell r="C2145" t="str">
            <v>002L</v>
          </cell>
          <cell r="D2145" t="str">
            <v>N</v>
          </cell>
          <cell r="E2145" t="str">
            <v>A</v>
          </cell>
          <cell r="F2145" t="str">
            <v>02/05/2002</v>
          </cell>
        </row>
        <row r="2146">
          <cell r="B2146" t="str">
            <v>A2266</v>
          </cell>
          <cell r="C2146" t="str">
            <v>GEN</v>
          </cell>
          <cell r="D2146" t="str">
            <v>Y</v>
          </cell>
          <cell r="E2146" t="str">
            <v>A</v>
          </cell>
          <cell r="F2146" t="str">
            <v>02/12/2002</v>
          </cell>
        </row>
        <row r="2147">
          <cell r="B2147" t="str">
            <v>A2268</v>
          </cell>
          <cell r="C2147" t="str">
            <v>GMC</v>
          </cell>
          <cell r="D2147" t="str">
            <v>Y</v>
          </cell>
          <cell r="E2147" t="str">
            <v>A</v>
          </cell>
          <cell r="F2147" t="str">
            <v>02/13/2002</v>
          </cell>
        </row>
        <row r="2148">
          <cell r="B2148" t="str">
            <v>A2269</v>
          </cell>
          <cell r="C2148" t="str">
            <v>AFS</v>
          </cell>
          <cell r="D2148" t="str">
            <v>Y</v>
          </cell>
          <cell r="E2148" t="str">
            <v>A</v>
          </cell>
          <cell r="F2148" t="str">
            <v>02/13/2002</v>
          </cell>
        </row>
        <row r="2149">
          <cell r="B2149" t="str">
            <v>A2271</v>
          </cell>
          <cell r="C2149" t="str">
            <v>010A</v>
          </cell>
          <cell r="D2149" t="str">
            <v>Y</v>
          </cell>
          <cell r="E2149" t="str">
            <v>A</v>
          </cell>
          <cell r="F2149" t="str">
            <v>02/20/2002</v>
          </cell>
        </row>
        <row r="2150">
          <cell r="B2150" t="str">
            <v>A2272</v>
          </cell>
          <cell r="C2150" t="str">
            <v>001A</v>
          </cell>
          <cell r="D2150" t="str">
            <v>Y</v>
          </cell>
          <cell r="E2150" t="str">
            <v>I</v>
          </cell>
          <cell r="F2150" t="str">
            <v>03/08/2002</v>
          </cell>
        </row>
        <row r="2151">
          <cell r="B2151" t="str">
            <v>A2274</v>
          </cell>
          <cell r="C2151" t="str">
            <v>001A</v>
          </cell>
          <cell r="D2151" t="str">
            <v>Y</v>
          </cell>
          <cell r="E2151" t="str">
            <v>A</v>
          </cell>
          <cell r="F2151" t="str">
            <v>03/20/2002</v>
          </cell>
        </row>
        <row r="2152">
          <cell r="B2152" t="str">
            <v>A2275</v>
          </cell>
          <cell r="C2152" t="str">
            <v>002A</v>
          </cell>
          <cell r="D2152" t="str">
            <v>Y</v>
          </cell>
          <cell r="E2152" t="str">
            <v>A</v>
          </cell>
          <cell r="F2152" t="str">
            <v>03/20/2002</v>
          </cell>
        </row>
        <row r="2153">
          <cell r="B2153" t="str">
            <v>A2276</v>
          </cell>
          <cell r="C2153" t="str">
            <v>001A</v>
          </cell>
          <cell r="D2153" t="str">
            <v>Y</v>
          </cell>
          <cell r="E2153" t="str">
            <v>A</v>
          </cell>
          <cell r="F2153" t="str">
            <v>03/20/2002</v>
          </cell>
        </row>
        <row r="2154">
          <cell r="B2154" t="str">
            <v>A2278</v>
          </cell>
          <cell r="C2154" t="str">
            <v>AFS</v>
          </cell>
          <cell r="D2154" t="str">
            <v>Y</v>
          </cell>
          <cell r="E2154" t="str">
            <v>A</v>
          </cell>
          <cell r="F2154" t="str">
            <v>05/07/2002</v>
          </cell>
        </row>
        <row r="2155">
          <cell r="B2155" t="str">
            <v>A2280</v>
          </cell>
          <cell r="C2155" t="str">
            <v>AMC</v>
          </cell>
          <cell r="D2155" t="str">
            <v>Y</v>
          </cell>
          <cell r="E2155" t="str">
            <v>A</v>
          </cell>
          <cell r="F2155" t="str">
            <v>05/07/2002</v>
          </cell>
        </row>
        <row r="2156">
          <cell r="B2156" t="str">
            <v>A2282</v>
          </cell>
          <cell r="C2156" t="str">
            <v>IMS</v>
          </cell>
          <cell r="D2156" t="str">
            <v>Y</v>
          </cell>
          <cell r="E2156" t="str">
            <v>A</v>
          </cell>
          <cell r="F2156" t="str">
            <v>05/10/2002</v>
          </cell>
        </row>
        <row r="2157">
          <cell r="B2157" t="str">
            <v>A2284</v>
          </cell>
          <cell r="C2157" t="str">
            <v>GEN</v>
          </cell>
          <cell r="D2157" t="str">
            <v>Y</v>
          </cell>
          <cell r="E2157" t="str">
            <v>A</v>
          </cell>
          <cell r="F2157" t="str">
            <v>05/09/2002</v>
          </cell>
        </row>
        <row r="2158">
          <cell r="B2158" t="str">
            <v>A2285</v>
          </cell>
          <cell r="C2158" t="str">
            <v>GEN</v>
          </cell>
          <cell r="D2158" t="str">
            <v>Y</v>
          </cell>
          <cell r="E2158" t="str">
            <v>A</v>
          </cell>
          <cell r="F2158" t="str">
            <v>05/14/2002</v>
          </cell>
        </row>
        <row r="2159">
          <cell r="B2159" t="str">
            <v>A2286</v>
          </cell>
          <cell r="C2159" t="str">
            <v>AFS</v>
          </cell>
          <cell r="D2159" t="str">
            <v>Y</v>
          </cell>
          <cell r="E2159" t="str">
            <v>A</v>
          </cell>
          <cell r="F2159" t="str">
            <v>05/14/2002</v>
          </cell>
        </row>
        <row r="2160">
          <cell r="B2160" t="str">
            <v>A2287</v>
          </cell>
          <cell r="C2160" t="str">
            <v>GMC</v>
          </cell>
          <cell r="D2160" t="str">
            <v>Y</v>
          </cell>
          <cell r="E2160" t="str">
            <v>A</v>
          </cell>
          <cell r="F2160" t="str">
            <v>05/17/2002</v>
          </cell>
        </row>
        <row r="2161">
          <cell r="B2161" t="str">
            <v>A2288</v>
          </cell>
          <cell r="C2161" t="str">
            <v>GEN</v>
          </cell>
          <cell r="D2161" t="str">
            <v>Y</v>
          </cell>
          <cell r="E2161" t="str">
            <v>A</v>
          </cell>
          <cell r="F2161" t="str">
            <v>05/24/2002</v>
          </cell>
        </row>
        <row r="2162">
          <cell r="B2162" t="str">
            <v>A2289</v>
          </cell>
          <cell r="C2162" t="str">
            <v>CIP</v>
          </cell>
          <cell r="D2162" t="str">
            <v>Y</v>
          </cell>
          <cell r="E2162" t="str">
            <v>A</v>
          </cell>
          <cell r="F2162" t="str">
            <v>05/24/2002</v>
          </cell>
        </row>
        <row r="2163">
          <cell r="B2163" t="str">
            <v>A2290</v>
          </cell>
          <cell r="C2163" t="str">
            <v>CIP</v>
          </cell>
          <cell r="D2163" t="str">
            <v>Y</v>
          </cell>
          <cell r="E2163" t="str">
            <v>A</v>
          </cell>
          <cell r="F2163" t="str">
            <v>05/31/2002</v>
          </cell>
        </row>
        <row r="2164">
          <cell r="B2164" t="str">
            <v>A2291</v>
          </cell>
          <cell r="C2164" t="str">
            <v>UEC</v>
          </cell>
          <cell r="D2164" t="str">
            <v>Y</v>
          </cell>
          <cell r="E2164" t="str">
            <v>A</v>
          </cell>
          <cell r="F2164" t="str">
            <v>05/31/2002</v>
          </cell>
        </row>
        <row r="2165">
          <cell r="B2165" t="str">
            <v>A2292</v>
          </cell>
          <cell r="C2165" t="str">
            <v>001D</v>
          </cell>
          <cell r="D2165" t="str">
            <v>Y</v>
          </cell>
          <cell r="E2165" t="str">
            <v>A</v>
          </cell>
          <cell r="F2165" t="str">
            <v>05/31/2002</v>
          </cell>
        </row>
        <row r="2166">
          <cell r="B2166" t="str">
            <v>A2293</v>
          </cell>
          <cell r="C2166" t="str">
            <v>UEC</v>
          </cell>
          <cell r="D2166" t="str">
            <v>Y</v>
          </cell>
          <cell r="E2166" t="str">
            <v>A</v>
          </cell>
          <cell r="F2166" t="str">
            <v>06/10/2002</v>
          </cell>
        </row>
        <row r="2167">
          <cell r="B2167" t="str">
            <v>A2294</v>
          </cell>
          <cell r="C2167" t="str">
            <v>UEC</v>
          </cell>
          <cell r="D2167" t="str">
            <v>Y</v>
          </cell>
          <cell r="E2167" t="str">
            <v>A</v>
          </cell>
          <cell r="F2167" t="str">
            <v>06/11/2002</v>
          </cell>
        </row>
        <row r="2168">
          <cell r="B2168" t="str">
            <v>A2295</v>
          </cell>
          <cell r="C2168" t="str">
            <v>AFS</v>
          </cell>
          <cell r="D2168" t="str">
            <v>N</v>
          </cell>
          <cell r="E2168" t="str">
            <v>A</v>
          </cell>
          <cell r="F2168" t="str">
            <v>06/17/2002</v>
          </cell>
        </row>
        <row r="2169">
          <cell r="B2169" t="str">
            <v>A2296</v>
          </cell>
          <cell r="C2169" t="str">
            <v>002L</v>
          </cell>
          <cell r="D2169" t="str">
            <v>Y</v>
          </cell>
          <cell r="E2169" t="str">
            <v>A</v>
          </cell>
          <cell r="F2169" t="str">
            <v>06/26/2002</v>
          </cell>
        </row>
        <row r="2170">
          <cell r="B2170" t="str">
            <v>A2297</v>
          </cell>
          <cell r="C2170" t="str">
            <v>010A</v>
          </cell>
          <cell r="D2170" t="str">
            <v>Y</v>
          </cell>
          <cell r="E2170" t="str">
            <v>A</v>
          </cell>
          <cell r="F2170" t="str">
            <v>06/26/2002</v>
          </cell>
        </row>
        <row r="2171">
          <cell r="B2171" t="str">
            <v>A2298</v>
          </cell>
          <cell r="C2171" t="str">
            <v>AFS</v>
          </cell>
          <cell r="D2171" t="str">
            <v>Y</v>
          </cell>
          <cell r="E2171" t="str">
            <v>A</v>
          </cell>
          <cell r="F2171" t="str">
            <v>06/27/2002</v>
          </cell>
        </row>
        <row r="2172">
          <cell r="B2172" t="str">
            <v>A2299</v>
          </cell>
          <cell r="C2172" t="str">
            <v>AMC</v>
          </cell>
          <cell r="D2172" t="str">
            <v>Y</v>
          </cell>
          <cell r="E2172" t="str">
            <v>A</v>
          </cell>
          <cell r="F2172" t="str">
            <v>06/27/2002</v>
          </cell>
        </row>
        <row r="2173">
          <cell r="B2173" t="str">
            <v>A2300</v>
          </cell>
          <cell r="C2173" t="str">
            <v>002L</v>
          </cell>
          <cell r="D2173" t="str">
            <v>Y</v>
          </cell>
          <cell r="E2173" t="str">
            <v>A</v>
          </cell>
          <cell r="F2173" t="str">
            <v>07/01/2002</v>
          </cell>
        </row>
        <row r="2174">
          <cell r="B2174" t="str">
            <v>A2301</v>
          </cell>
          <cell r="C2174"/>
          <cell r="D2174" t="str">
            <v>Y</v>
          </cell>
          <cell r="E2174" t="str">
            <v>A</v>
          </cell>
          <cell r="F2174" t="str">
            <v>07/09/2002</v>
          </cell>
        </row>
        <row r="2175">
          <cell r="B2175" t="str">
            <v>A2302</v>
          </cell>
          <cell r="C2175"/>
          <cell r="D2175" t="str">
            <v>Y</v>
          </cell>
          <cell r="E2175" t="str">
            <v>A</v>
          </cell>
          <cell r="F2175" t="str">
            <v>07/11/2002</v>
          </cell>
        </row>
        <row r="2176">
          <cell r="B2176" t="str">
            <v>A2303</v>
          </cell>
          <cell r="C2176" t="str">
            <v>CIP</v>
          </cell>
          <cell r="D2176" t="str">
            <v>Y</v>
          </cell>
          <cell r="E2176" t="str">
            <v>A</v>
          </cell>
          <cell r="F2176" t="str">
            <v>07/11/2002</v>
          </cell>
        </row>
        <row r="2177">
          <cell r="B2177" t="str">
            <v>A2304</v>
          </cell>
          <cell r="C2177" t="str">
            <v>001A</v>
          </cell>
          <cell r="D2177" t="str">
            <v>Y</v>
          </cell>
          <cell r="E2177" t="str">
            <v>A</v>
          </cell>
          <cell r="F2177" t="str">
            <v>07/19/2002</v>
          </cell>
        </row>
        <row r="2178">
          <cell r="B2178" t="str">
            <v>A2305</v>
          </cell>
          <cell r="C2178" t="str">
            <v>GEN</v>
          </cell>
          <cell r="D2178" t="str">
            <v>N</v>
          </cell>
          <cell r="E2178" t="str">
            <v>A</v>
          </cell>
          <cell r="F2178" t="str">
            <v>07/30/2002</v>
          </cell>
        </row>
        <row r="2179">
          <cell r="B2179" t="str">
            <v>A2306</v>
          </cell>
          <cell r="C2179" t="str">
            <v>UEC</v>
          </cell>
          <cell r="D2179" t="str">
            <v>N</v>
          </cell>
          <cell r="E2179" t="str">
            <v>A</v>
          </cell>
          <cell r="F2179" t="str">
            <v>07/30/2002</v>
          </cell>
        </row>
        <row r="2180">
          <cell r="B2180" t="str">
            <v>A2307</v>
          </cell>
          <cell r="C2180" t="str">
            <v>002L</v>
          </cell>
          <cell r="D2180" t="str">
            <v>Y</v>
          </cell>
          <cell r="E2180" t="str">
            <v>A</v>
          </cell>
          <cell r="F2180" t="str">
            <v>08/06/2002</v>
          </cell>
        </row>
        <row r="2181">
          <cell r="B2181" t="str">
            <v>A2308</v>
          </cell>
          <cell r="C2181" t="str">
            <v>001A</v>
          </cell>
          <cell r="D2181" t="str">
            <v>Y</v>
          </cell>
          <cell r="E2181" t="str">
            <v>A</v>
          </cell>
          <cell r="F2181" t="str">
            <v>08/09/2002</v>
          </cell>
        </row>
        <row r="2182">
          <cell r="B2182" t="str">
            <v>A2309</v>
          </cell>
          <cell r="C2182" t="str">
            <v>004A</v>
          </cell>
          <cell r="D2182" t="str">
            <v>Y</v>
          </cell>
          <cell r="E2182" t="str">
            <v>A</v>
          </cell>
          <cell r="F2182" t="str">
            <v>08/13/2002</v>
          </cell>
        </row>
        <row r="2183">
          <cell r="B2183" t="str">
            <v>A2310</v>
          </cell>
          <cell r="C2183" t="str">
            <v>CIC</v>
          </cell>
          <cell r="D2183" t="str">
            <v>N</v>
          </cell>
          <cell r="E2183" t="str">
            <v>I</v>
          </cell>
          <cell r="F2183" t="str">
            <v>08/16/2002</v>
          </cell>
        </row>
        <row r="2184">
          <cell r="B2184" t="str">
            <v>A2312</v>
          </cell>
          <cell r="C2184" t="str">
            <v>010A</v>
          </cell>
          <cell r="D2184" t="str">
            <v>Y</v>
          </cell>
          <cell r="E2184" t="str">
            <v>A</v>
          </cell>
          <cell r="F2184" t="str">
            <v>08/16/2002</v>
          </cell>
        </row>
        <row r="2185">
          <cell r="B2185" t="str">
            <v>A2316</v>
          </cell>
          <cell r="C2185" t="str">
            <v>IHC</v>
          </cell>
          <cell r="D2185" t="str">
            <v>Y</v>
          </cell>
          <cell r="E2185" t="str">
            <v>A</v>
          </cell>
          <cell r="F2185" t="str">
            <v>08/27/2002</v>
          </cell>
        </row>
        <row r="2186">
          <cell r="B2186" t="str">
            <v>A2317</v>
          </cell>
          <cell r="C2186" t="str">
            <v>IHC</v>
          </cell>
          <cell r="D2186" t="str">
            <v>Y</v>
          </cell>
          <cell r="E2186" t="str">
            <v>A</v>
          </cell>
          <cell r="F2186" t="str">
            <v>08/30/2002</v>
          </cell>
        </row>
        <row r="2187">
          <cell r="B2187" t="str">
            <v>A2321</v>
          </cell>
          <cell r="C2187"/>
          <cell r="D2187" t="str">
            <v>Y</v>
          </cell>
          <cell r="E2187" t="str">
            <v>A</v>
          </cell>
          <cell r="F2187" t="str">
            <v>10/07/2002</v>
          </cell>
        </row>
        <row r="2188">
          <cell r="B2188" t="str">
            <v>A2322</v>
          </cell>
          <cell r="C2188" t="str">
            <v>003A</v>
          </cell>
          <cell r="D2188" t="str">
            <v>Y</v>
          </cell>
          <cell r="E2188" t="str">
            <v>I</v>
          </cell>
          <cell r="F2188" t="str">
            <v>09/18/2002</v>
          </cell>
        </row>
        <row r="2189">
          <cell r="B2189" t="str">
            <v>A2323</v>
          </cell>
          <cell r="C2189" t="str">
            <v>IHC</v>
          </cell>
          <cell r="D2189" t="str">
            <v>Y</v>
          </cell>
          <cell r="E2189" t="str">
            <v>A</v>
          </cell>
          <cell r="F2189" t="str">
            <v>09/19/2002</v>
          </cell>
        </row>
        <row r="2190">
          <cell r="B2190" t="str">
            <v>A2324</v>
          </cell>
          <cell r="C2190" t="str">
            <v>GMC</v>
          </cell>
          <cell r="D2190" t="str">
            <v>Y</v>
          </cell>
          <cell r="E2190" t="str">
            <v>A</v>
          </cell>
          <cell r="F2190" t="str">
            <v>09/19/2002</v>
          </cell>
        </row>
        <row r="2191">
          <cell r="B2191" t="str">
            <v>A2325</v>
          </cell>
          <cell r="C2191" t="str">
            <v>AME</v>
          </cell>
          <cell r="D2191" t="str">
            <v>Y</v>
          </cell>
          <cell r="E2191" t="str">
            <v>A</v>
          </cell>
          <cell r="F2191" t="str">
            <v>09/19/2002</v>
          </cell>
        </row>
        <row r="2192">
          <cell r="B2192" t="str">
            <v>A2326</v>
          </cell>
          <cell r="C2192" t="str">
            <v>AFS</v>
          </cell>
          <cell r="D2192" t="str">
            <v>Y</v>
          </cell>
          <cell r="E2192" t="str">
            <v>A</v>
          </cell>
          <cell r="F2192" t="str">
            <v>09/19/2002</v>
          </cell>
        </row>
        <row r="2193">
          <cell r="B2193" t="str">
            <v>A2327</v>
          </cell>
          <cell r="C2193" t="str">
            <v>GEN</v>
          </cell>
          <cell r="D2193" t="str">
            <v>Y</v>
          </cell>
          <cell r="E2193" t="str">
            <v>A</v>
          </cell>
          <cell r="F2193" t="str">
            <v>09/25/2002</v>
          </cell>
        </row>
        <row r="2194">
          <cell r="B2194" t="str">
            <v>A2328</v>
          </cell>
          <cell r="C2194" t="str">
            <v>004A</v>
          </cell>
          <cell r="D2194" t="str">
            <v>Y</v>
          </cell>
          <cell r="E2194" t="str">
            <v>I</v>
          </cell>
          <cell r="F2194" t="str">
            <v>10/25/2002</v>
          </cell>
        </row>
        <row r="2195">
          <cell r="B2195" t="str">
            <v>A2329</v>
          </cell>
          <cell r="C2195" t="str">
            <v>004A</v>
          </cell>
          <cell r="D2195" t="str">
            <v>Y</v>
          </cell>
          <cell r="E2195" t="str">
            <v>I</v>
          </cell>
          <cell r="F2195" t="str">
            <v>10/29/2002</v>
          </cell>
        </row>
        <row r="2196">
          <cell r="B2196" t="str">
            <v>A2330</v>
          </cell>
          <cell r="C2196" t="str">
            <v>015A</v>
          </cell>
          <cell r="D2196" t="str">
            <v>N</v>
          </cell>
          <cell r="E2196" t="str">
            <v>A</v>
          </cell>
          <cell r="F2196" t="str">
            <v>11/05/2002</v>
          </cell>
        </row>
        <row r="2197">
          <cell r="B2197" t="str">
            <v>A2331</v>
          </cell>
          <cell r="C2197" t="str">
            <v>UEC</v>
          </cell>
          <cell r="D2197" t="str">
            <v>Y</v>
          </cell>
          <cell r="E2197" t="str">
            <v>A</v>
          </cell>
          <cell r="F2197" t="str">
            <v>11/05/2002</v>
          </cell>
        </row>
        <row r="2198">
          <cell r="B2198" t="str">
            <v>A2332</v>
          </cell>
          <cell r="C2198" t="str">
            <v>UEC</v>
          </cell>
          <cell r="D2198" t="str">
            <v>Y</v>
          </cell>
          <cell r="E2198" t="str">
            <v>A</v>
          </cell>
          <cell r="F2198" t="str">
            <v>11/05/2002</v>
          </cell>
        </row>
        <row r="2199">
          <cell r="B2199" t="str">
            <v>A2333</v>
          </cell>
          <cell r="C2199" t="str">
            <v>UEC</v>
          </cell>
          <cell r="D2199" t="str">
            <v>Y</v>
          </cell>
          <cell r="E2199" t="str">
            <v>A</v>
          </cell>
          <cell r="F2199" t="str">
            <v>11/05/2002</v>
          </cell>
        </row>
        <row r="2200">
          <cell r="B2200" t="str">
            <v>A2334</v>
          </cell>
          <cell r="C2200" t="str">
            <v>UEC</v>
          </cell>
          <cell r="D2200" t="str">
            <v>Y</v>
          </cell>
          <cell r="E2200" t="str">
            <v>A</v>
          </cell>
          <cell r="F2200" t="str">
            <v>11/05/2002</v>
          </cell>
        </row>
        <row r="2201">
          <cell r="B2201" t="str">
            <v>A2335</v>
          </cell>
          <cell r="C2201" t="str">
            <v>CIP</v>
          </cell>
          <cell r="D2201" t="str">
            <v>Y</v>
          </cell>
          <cell r="E2201" t="str">
            <v>I</v>
          </cell>
          <cell r="F2201" t="str">
            <v>11/05/2002</v>
          </cell>
        </row>
        <row r="2202">
          <cell r="B2202" t="str">
            <v>A2336</v>
          </cell>
          <cell r="C2202" t="str">
            <v>CIP</v>
          </cell>
          <cell r="D2202" t="str">
            <v>Y</v>
          </cell>
          <cell r="E2202" t="str">
            <v>I</v>
          </cell>
          <cell r="F2202" t="str">
            <v>11/05/2002</v>
          </cell>
        </row>
        <row r="2203">
          <cell r="B2203" t="str">
            <v>A2337</v>
          </cell>
          <cell r="C2203" t="str">
            <v>002M</v>
          </cell>
          <cell r="D2203" t="str">
            <v>Y</v>
          </cell>
          <cell r="E2203" t="str">
            <v>A</v>
          </cell>
          <cell r="F2203" t="str">
            <v>11/12/2002</v>
          </cell>
        </row>
        <row r="2204">
          <cell r="B2204" t="str">
            <v>A2338</v>
          </cell>
          <cell r="C2204" t="str">
            <v>002M</v>
          </cell>
          <cell r="D2204" t="str">
            <v>Y</v>
          </cell>
          <cell r="E2204" t="str">
            <v>A</v>
          </cell>
          <cell r="F2204" t="str">
            <v>11/13/2002</v>
          </cell>
        </row>
        <row r="2205">
          <cell r="B2205" t="str">
            <v>A2339</v>
          </cell>
          <cell r="C2205" t="str">
            <v>011A</v>
          </cell>
          <cell r="D2205" t="str">
            <v>Y</v>
          </cell>
          <cell r="E2205" t="str">
            <v>A</v>
          </cell>
          <cell r="F2205" t="str">
            <v>11/13/2002</v>
          </cell>
        </row>
        <row r="2206">
          <cell r="B2206" t="str">
            <v>A2340</v>
          </cell>
          <cell r="C2206" t="str">
            <v>010A</v>
          </cell>
          <cell r="D2206" t="str">
            <v>Y</v>
          </cell>
          <cell r="E2206" t="str">
            <v>A</v>
          </cell>
          <cell r="F2206" t="str">
            <v>11/13/2002</v>
          </cell>
        </row>
        <row r="2207">
          <cell r="B2207" t="str">
            <v>A2341</v>
          </cell>
          <cell r="C2207" t="str">
            <v>002D</v>
          </cell>
          <cell r="D2207" t="str">
            <v>Y</v>
          </cell>
          <cell r="E2207" t="str">
            <v>A</v>
          </cell>
          <cell r="F2207" t="str">
            <v>11/13/2002</v>
          </cell>
        </row>
        <row r="2208">
          <cell r="B2208" t="str">
            <v>A2342</v>
          </cell>
          <cell r="C2208" t="str">
            <v>UEC</v>
          </cell>
          <cell r="D2208" t="str">
            <v>Y</v>
          </cell>
          <cell r="E2208" t="str">
            <v>A</v>
          </cell>
          <cell r="F2208" t="str">
            <v>11/19/2002</v>
          </cell>
        </row>
        <row r="2209">
          <cell r="B2209" t="str">
            <v>A2343</v>
          </cell>
          <cell r="C2209" t="str">
            <v>CIP</v>
          </cell>
          <cell r="D2209" t="str">
            <v>Y</v>
          </cell>
          <cell r="E2209" t="str">
            <v>A</v>
          </cell>
          <cell r="F2209" t="str">
            <v>11/19/2002</v>
          </cell>
        </row>
        <row r="2210">
          <cell r="B2210" t="str">
            <v>A2344</v>
          </cell>
          <cell r="C2210" t="str">
            <v>002K</v>
          </cell>
          <cell r="D2210" t="str">
            <v>Y</v>
          </cell>
          <cell r="E2210" t="str">
            <v>A</v>
          </cell>
          <cell r="F2210" t="str">
            <v>11/19/2002</v>
          </cell>
        </row>
        <row r="2211">
          <cell r="B2211" t="str">
            <v>A2345</v>
          </cell>
          <cell r="C2211" t="str">
            <v>CIL</v>
          </cell>
          <cell r="D2211" t="str">
            <v>Y</v>
          </cell>
          <cell r="E2211" t="str">
            <v>A</v>
          </cell>
          <cell r="F2211" t="str">
            <v>12/16/2002</v>
          </cell>
        </row>
        <row r="2212">
          <cell r="B2212" t="str">
            <v>A2347</v>
          </cell>
          <cell r="C2212"/>
          <cell r="D2212" t="str">
            <v>Y</v>
          </cell>
          <cell r="E2212" t="str">
            <v>A</v>
          </cell>
          <cell r="F2212" t="str">
            <v>01/10/2003</v>
          </cell>
        </row>
        <row r="2213">
          <cell r="B2213" t="str">
            <v>A2348</v>
          </cell>
          <cell r="C2213" t="str">
            <v>GMC</v>
          </cell>
          <cell r="D2213" t="str">
            <v>Y</v>
          </cell>
          <cell r="E2213" t="str">
            <v>A</v>
          </cell>
          <cell r="F2213" t="str">
            <v>01/22/2003</v>
          </cell>
        </row>
        <row r="2214">
          <cell r="B2214" t="str">
            <v>A2349</v>
          </cell>
          <cell r="C2214" t="str">
            <v>UEC</v>
          </cell>
          <cell r="D2214" t="str">
            <v>Y</v>
          </cell>
          <cell r="E2214" t="str">
            <v>A</v>
          </cell>
          <cell r="F2214" t="str">
            <v>01/24/2003</v>
          </cell>
        </row>
        <row r="2215">
          <cell r="B2215" t="str">
            <v>A2350</v>
          </cell>
          <cell r="C2215" t="str">
            <v>001G</v>
          </cell>
          <cell r="D2215" t="str">
            <v>Y</v>
          </cell>
          <cell r="E2215" t="str">
            <v>A</v>
          </cell>
          <cell r="F2215" t="str">
            <v>01/27/2003</v>
          </cell>
        </row>
        <row r="2216">
          <cell r="B2216" t="str">
            <v>A2351</v>
          </cell>
          <cell r="C2216" t="str">
            <v>CIL</v>
          </cell>
          <cell r="D2216" t="str">
            <v>Y</v>
          </cell>
          <cell r="E2216" t="str">
            <v>A</v>
          </cell>
          <cell r="F2216" t="str">
            <v>02/03/2003</v>
          </cell>
        </row>
        <row r="2217">
          <cell r="B2217" t="str">
            <v>A2352</v>
          </cell>
          <cell r="C2217" t="str">
            <v>CIL</v>
          </cell>
          <cell r="D2217" t="str">
            <v>Y</v>
          </cell>
          <cell r="E2217" t="str">
            <v>A</v>
          </cell>
          <cell r="F2217" t="str">
            <v>02/03/2003</v>
          </cell>
        </row>
        <row r="2218">
          <cell r="B2218" t="str">
            <v>A2353</v>
          </cell>
          <cell r="C2218" t="str">
            <v>CIL</v>
          </cell>
          <cell r="D2218" t="str">
            <v>Y</v>
          </cell>
          <cell r="E2218" t="str">
            <v>A</v>
          </cell>
          <cell r="F2218" t="str">
            <v>02/04/2003</v>
          </cell>
        </row>
        <row r="2219">
          <cell r="B2219" t="str">
            <v>A2354</v>
          </cell>
          <cell r="C2219" t="str">
            <v>CIL</v>
          </cell>
          <cell r="D2219" t="str">
            <v>Y</v>
          </cell>
          <cell r="E2219" t="str">
            <v>A</v>
          </cell>
          <cell r="F2219" t="str">
            <v>02/11/2003</v>
          </cell>
        </row>
        <row r="2220">
          <cell r="B2220" t="str">
            <v>A2355</v>
          </cell>
          <cell r="C2220" t="str">
            <v>ARG</v>
          </cell>
          <cell r="D2220" t="str">
            <v>N</v>
          </cell>
          <cell r="E2220" t="str">
            <v>A</v>
          </cell>
          <cell r="F2220" t="str">
            <v>02/05/2003</v>
          </cell>
        </row>
        <row r="2221">
          <cell r="B2221" t="str">
            <v>A2356</v>
          </cell>
          <cell r="C2221" t="str">
            <v>ARG</v>
          </cell>
          <cell r="D2221" t="str">
            <v>N</v>
          </cell>
          <cell r="E2221" t="str">
            <v>A</v>
          </cell>
          <cell r="F2221" t="str">
            <v>02/05/2003</v>
          </cell>
        </row>
        <row r="2222">
          <cell r="B2222" t="str">
            <v>A2357</v>
          </cell>
          <cell r="C2222" t="str">
            <v>CIL</v>
          </cell>
          <cell r="D2222" t="str">
            <v>N</v>
          </cell>
          <cell r="E2222" t="str">
            <v>A</v>
          </cell>
          <cell r="F2222" t="str">
            <v>02/05/2003</v>
          </cell>
        </row>
        <row r="2223">
          <cell r="B2223" t="str">
            <v>A2358</v>
          </cell>
          <cell r="C2223" t="str">
            <v>CIL</v>
          </cell>
          <cell r="D2223" t="str">
            <v>N</v>
          </cell>
          <cell r="E2223" t="str">
            <v>A</v>
          </cell>
          <cell r="F2223" t="str">
            <v>02/06/2003</v>
          </cell>
        </row>
        <row r="2224">
          <cell r="B2224" t="str">
            <v>A2359</v>
          </cell>
          <cell r="C2224" t="str">
            <v>CIL</v>
          </cell>
          <cell r="D2224" t="str">
            <v>N</v>
          </cell>
          <cell r="E2224" t="str">
            <v>A</v>
          </cell>
          <cell r="F2224" t="str">
            <v>03/12/2003</v>
          </cell>
        </row>
        <row r="2225">
          <cell r="B2225" t="str">
            <v>A2360</v>
          </cell>
          <cell r="C2225" t="str">
            <v>UEC</v>
          </cell>
          <cell r="D2225" t="str">
            <v>N</v>
          </cell>
          <cell r="E2225" t="str">
            <v>A</v>
          </cell>
          <cell r="F2225" t="str">
            <v>02/07/2003</v>
          </cell>
        </row>
        <row r="2226">
          <cell r="B2226" t="str">
            <v>A2361</v>
          </cell>
          <cell r="C2226" t="str">
            <v>CIP</v>
          </cell>
          <cell r="D2226" t="str">
            <v>N</v>
          </cell>
          <cell r="E2226" t="str">
            <v>A</v>
          </cell>
          <cell r="F2226" t="str">
            <v>02/07/2003</v>
          </cell>
        </row>
        <row r="2227">
          <cell r="B2227" t="str">
            <v>A2362</v>
          </cell>
          <cell r="C2227" t="str">
            <v>CIL</v>
          </cell>
          <cell r="D2227" t="str">
            <v>N</v>
          </cell>
          <cell r="E2227" t="str">
            <v>A</v>
          </cell>
          <cell r="F2227" t="str">
            <v>09/19/2003</v>
          </cell>
        </row>
        <row r="2228">
          <cell r="B2228" t="str">
            <v>A2363</v>
          </cell>
          <cell r="C2228" t="str">
            <v>UEC</v>
          </cell>
          <cell r="D2228" t="str">
            <v>Y</v>
          </cell>
          <cell r="E2228" t="str">
            <v>A</v>
          </cell>
          <cell r="F2228" t="str">
            <v>02/07/2003</v>
          </cell>
        </row>
        <row r="2229">
          <cell r="B2229" t="str">
            <v>A2364</v>
          </cell>
          <cell r="C2229" t="str">
            <v>UEC</v>
          </cell>
          <cell r="D2229" t="str">
            <v>Y</v>
          </cell>
          <cell r="E2229" t="str">
            <v>A</v>
          </cell>
          <cell r="F2229" t="str">
            <v>02/07/2003</v>
          </cell>
        </row>
        <row r="2230">
          <cell r="B2230" t="str">
            <v>A2365</v>
          </cell>
          <cell r="C2230" t="str">
            <v>UEC</v>
          </cell>
          <cell r="D2230" t="str">
            <v>Y</v>
          </cell>
          <cell r="E2230" t="str">
            <v>A</v>
          </cell>
          <cell r="F2230" t="str">
            <v>02/07/2003</v>
          </cell>
        </row>
        <row r="2231">
          <cell r="B2231" t="str">
            <v>A2366</v>
          </cell>
          <cell r="C2231" t="str">
            <v>002I</v>
          </cell>
          <cell r="D2231" t="str">
            <v>Y</v>
          </cell>
          <cell r="E2231" t="str">
            <v>A</v>
          </cell>
          <cell r="F2231" t="str">
            <v>02/25/2003</v>
          </cell>
        </row>
        <row r="2232">
          <cell r="B2232" t="str">
            <v>A2367</v>
          </cell>
          <cell r="C2232" t="str">
            <v>CIL</v>
          </cell>
          <cell r="D2232" t="str">
            <v>Y</v>
          </cell>
          <cell r="E2232" t="str">
            <v>A</v>
          </cell>
          <cell r="F2232" t="str">
            <v>02/25/2003</v>
          </cell>
        </row>
        <row r="2233">
          <cell r="B2233" t="str">
            <v>A2368</v>
          </cell>
          <cell r="C2233" t="str">
            <v>CIL</v>
          </cell>
          <cell r="D2233" t="str">
            <v>Y</v>
          </cell>
          <cell r="E2233" t="str">
            <v>A</v>
          </cell>
          <cell r="F2233" t="str">
            <v>02/14/2003</v>
          </cell>
        </row>
        <row r="2234">
          <cell r="B2234" t="str">
            <v>A2369</v>
          </cell>
          <cell r="C2234" t="str">
            <v>CIL</v>
          </cell>
          <cell r="D2234" t="str">
            <v>Y</v>
          </cell>
          <cell r="E2234" t="str">
            <v>A</v>
          </cell>
          <cell r="F2234" t="str">
            <v>02/14/2003</v>
          </cell>
        </row>
        <row r="2235">
          <cell r="B2235" t="str">
            <v>A2370</v>
          </cell>
          <cell r="C2235" t="str">
            <v>UEC</v>
          </cell>
          <cell r="D2235" t="str">
            <v>Y</v>
          </cell>
          <cell r="E2235" t="str">
            <v>I</v>
          </cell>
          <cell r="F2235" t="str">
            <v>02/14/2003</v>
          </cell>
        </row>
        <row r="2236">
          <cell r="B2236" t="str">
            <v>A2371</v>
          </cell>
          <cell r="C2236" t="str">
            <v>CIP</v>
          </cell>
          <cell r="D2236" t="str">
            <v>Y</v>
          </cell>
          <cell r="E2236" t="str">
            <v>I</v>
          </cell>
          <cell r="F2236" t="str">
            <v>02/14/2003</v>
          </cell>
        </row>
        <row r="2237">
          <cell r="B2237" t="str">
            <v>A2372</v>
          </cell>
          <cell r="C2237" t="str">
            <v>CIL</v>
          </cell>
          <cell r="D2237" t="str">
            <v>Y</v>
          </cell>
          <cell r="E2237" t="str">
            <v>A</v>
          </cell>
          <cell r="F2237" t="str">
            <v>02/21/2003</v>
          </cell>
        </row>
        <row r="2238">
          <cell r="B2238" t="str">
            <v>A2373</v>
          </cell>
          <cell r="C2238" t="str">
            <v>UEC</v>
          </cell>
          <cell r="D2238" t="str">
            <v>Y</v>
          </cell>
          <cell r="E2238" t="str">
            <v>A</v>
          </cell>
          <cell r="F2238" t="str">
            <v>02/20/2003</v>
          </cell>
        </row>
        <row r="2239">
          <cell r="B2239" t="str">
            <v>A2374</v>
          </cell>
          <cell r="C2239" t="str">
            <v>CIL</v>
          </cell>
          <cell r="D2239" t="str">
            <v>Y</v>
          </cell>
          <cell r="E2239" t="str">
            <v>A</v>
          </cell>
          <cell r="F2239" t="str">
            <v>02/20/2003</v>
          </cell>
        </row>
        <row r="2240">
          <cell r="B2240" t="str">
            <v>A2375</v>
          </cell>
          <cell r="C2240" t="str">
            <v>CIL</v>
          </cell>
          <cell r="D2240" t="str">
            <v>Y</v>
          </cell>
          <cell r="E2240" t="str">
            <v>I</v>
          </cell>
          <cell r="F2240" t="str">
            <v>03/04/2003</v>
          </cell>
        </row>
        <row r="2241">
          <cell r="B2241" t="str">
            <v>A2376</v>
          </cell>
          <cell r="C2241" t="str">
            <v>CIL</v>
          </cell>
          <cell r="D2241" t="str">
            <v>Y</v>
          </cell>
          <cell r="E2241" t="str">
            <v>I</v>
          </cell>
          <cell r="F2241" t="str">
            <v>03/04/2003</v>
          </cell>
        </row>
        <row r="2242">
          <cell r="B2242" t="str">
            <v>A2377</v>
          </cell>
          <cell r="C2242" t="str">
            <v>CIL</v>
          </cell>
          <cell r="D2242" t="str">
            <v>Y</v>
          </cell>
          <cell r="E2242" t="str">
            <v>I</v>
          </cell>
          <cell r="F2242" t="str">
            <v>03/04/2003</v>
          </cell>
        </row>
        <row r="2243">
          <cell r="B2243" t="str">
            <v>A2378</v>
          </cell>
          <cell r="C2243" t="str">
            <v>CIL</v>
          </cell>
          <cell r="D2243" t="str">
            <v>Y</v>
          </cell>
          <cell r="E2243" t="str">
            <v>A</v>
          </cell>
          <cell r="F2243" t="str">
            <v>03/04/2003</v>
          </cell>
        </row>
        <row r="2244">
          <cell r="B2244" t="str">
            <v>A2379</v>
          </cell>
          <cell r="C2244" t="str">
            <v>ARG</v>
          </cell>
          <cell r="D2244" t="str">
            <v>Y</v>
          </cell>
          <cell r="E2244" t="str">
            <v>A</v>
          </cell>
          <cell r="F2244" t="str">
            <v>03/04/2003</v>
          </cell>
        </row>
        <row r="2245">
          <cell r="B2245" t="str">
            <v>A2380</v>
          </cell>
          <cell r="C2245" t="str">
            <v>CIL</v>
          </cell>
          <cell r="D2245" t="str">
            <v>Y</v>
          </cell>
          <cell r="E2245" t="str">
            <v>A</v>
          </cell>
          <cell r="F2245" t="str">
            <v>03/04/2003</v>
          </cell>
        </row>
        <row r="2246">
          <cell r="B2246" t="str">
            <v>A2381</v>
          </cell>
          <cell r="C2246" t="str">
            <v>MV1</v>
          </cell>
          <cell r="D2246" t="str">
            <v>Y</v>
          </cell>
          <cell r="E2246" t="str">
            <v>A</v>
          </cell>
          <cell r="F2246" t="str">
            <v>10/16/2003</v>
          </cell>
        </row>
        <row r="2247">
          <cell r="B2247" t="str">
            <v>A2382</v>
          </cell>
          <cell r="C2247" t="str">
            <v>CIL</v>
          </cell>
          <cell r="D2247" t="str">
            <v>Y</v>
          </cell>
          <cell r="E2247" t="str">
            <v>I</v>
          </cell>
          <cell r="F2247" t="str">
            <v>03/04/2003</v>
          </cell>
        </row>
        <row r="2248">
          <cell r="B2248" t="str">
            <v>A2383</v>
          </cell>
          <cell r="C2248" t="str">
            <v>CIL</v>
          </cell>
          <cell r="D2248" t="str">
            <v>Y</v>
          </cell>
          <cell r="E2248" t="str">
            <v>A</v>
          </cell>
          <cell r="F2248" t="str">
            <v>03/04/2003</v>
          </cell>
        </row>
        <row r="2249">
          <cell r="B2249" t="str">
            <v>A2384</v>
          </cell>
          <cell r="C2249" t="str">
            <v>UEC</v>
          </cell>
          <cell r="D2249" t="str">
            <v>N</v>
          </cell>
          <cell r="E2249" t="str">
            <v>I</v>
          </cell>
          <cell r="F2249" t="str">
            <v>01/05/2004</v>
          </cell>
        </row>
        <row r="2250">
          <cell r="B2250" t="str">
            <v>A2385</v>
          </cell>
          <cell r="C2250" t="str">
            <v>CIP</v>
          </cell>
          <cell r="D2250" t="str">
            <v>N</v>
          </cell>
          <cell r="E2250" t="str">
            <v>I</v>
          </cell>
          <cell r="F2250" t="str">
            <v>01/05/2004</v>
          </cell>
        </row>
        <row r="2251">
          <cell r="B2251" t="str">
            <v>A2386</v>
          </cell>
          <cell r="C2251" t="str">
            <v>002L</v>
          </cell>
          <cell r="D2251" t="str">
            <v>N</v>
          </cell>
          <cell r="E2251" t="str">
            <v>I</v>
          </cell>
          <cell r="F2251" t="str">
            <v>01/05/2004</v>
          </cell>
        </row>
        <row r="2252">
          <cell r="B2252" t="str">
            <v>A2389</v>
          </cell>
          <cell r="C2252" t="str">
            <v>CIL</v>
          </cell>
          <cell r="D2252" t="str">
            <v>Y</v>
          </cell>
          <cell r="E2252" t="str">
            <v>A</v>
          </cell>
          <cell r="F2252" t="str">
            <v>02/26/2003</v>
          </cell>
        </row>
        <row r="2253">
          <cell r="B2253" t="str">
            <v>A2391</v>
          </cell>
          <cell r="C2253" t="str">
            <v>CIL</v>
          </cell>
          <cell r="D2253" t="str">
            <v>Y</v>
          </cell>
          <cell r="E2253" t="str">
            <v>I</v>
          </cell>
          <cell r="F2253" t="str">
            <v>02/26/2003</v>
          </cell>
        </row>
        <row r="2254">
          <cell r="B2254" t="str">
            <v>A2392</v>
          </cell>
          <cell r="C2254" t="str">
            <v>UEC</v>
          </cell>
          <cell r="D2254" t="str">
            <v>Y</v>
          </cell>
          <cell r="E2254" t="str">
            <v>A</v>
          </cell>
          <cell r="F2254" t="str">
            <v>07/30/2003</v>
          </cell>
        </row>
        <row r="2255">
          <cell r="B2255" t="str">
            <v>A2393</v>
          </cell>
          <cell r="C2255" t="str">
            <v>CIP</v>
          </cell>
          <cell r="D2255" t="str">
            <v>Y</v>
          </cell>
          <cell r="E2255" t="str">
            <v>A</v>
          </cell>
          <cell r="F2255" t="str">
            <v>07/30/2003</v>
          </cell>
        </row>
        <row r="2256">
          <cell r="B2256" t="str">
            <v>A2394</v>
          </cell>
          <cell r="C2256" t="str">
            <v>002L</v>
          </cell>
          <cell r="D2256" t="str">
            <v>Y</v>
          </cell>
          <cell r="E2256" t="str">
            <v>A</v>
          </cell>
          <cell r="F2256" t="str">
            <v>07/30/2003</v>
          </cell>
        </row>
        <row r="2257">
          <cell r="B2257" t="str">
            <v>A2395</v>
          </cell>
          <cell r="C2257" t="str">
            <v>CIP</v>
          </cell>
          <cell r="D2257" t="str">
            <v>Y</v>
          </cell>
          <cell r="E2257" t="str">
            <v>A</v>
          </cell>
          <cell r="F2257" t="str">
            <v>03/03/2003</v>
          </cell>
        </row>
        <row r="2258">
          <cell r="B2258" t="str">
            <v>A2396</v>
          </cell>
          <cell r="C2258" t="str">
            <v>CIP</v>
          </cell>
          <cell r="D2258" t="str">
            <v>Y</v>
          </cell>
          <cell r="E2258" t="str">
            <v>A</v>
          </cell>
          <cell r="F2258" t="str">
            <v>03/03/2003</v>
          </cell>
        </row>
        <row r="2259">
          <cell r="B2259" t="str">
            <v>A2397</v>
          </cell>
          <cell r="C2259"/>
          <cell r="D2259" t="str">
            <v>Y</v>
          </cell>
          <cell r="E2259" t="str">
            <v>A</v>
          </cell>
          <cell r="F2259" t="str">
            <v>03/04/2003</v>
          </cell>
        </row>
        <row r="2260">
          <cell r="B2260" t="str">
            <v>A2398</v>
          </cell>
          <cell r="C2260" t="str">
            <v>CIL</v>
          </cell>
          <cell r="D2260" t="str">
            <v>Y</v>
          </cell>
          <cell r="E2260" t="str">
            <v>A</v>
          </cell>
          <cell r="F2260" t="str">
            <v>03/04/2003</v>
          </cell>
        </row>
        <row r="2261">
          <cell r="B2261" t="str">
            <v>A2399</v>
          </cell>
          <cell r="C2261" t="str">
            <v>004A</v>
          </cell>
          <cell r="D2261" t="str">
            <v>Y</v>
          </cell>
          <cell r="E2261" t="str">
            <v>A</v>
          </cell>
          <cell r="F2261" t="str">
            <v>03/06/2003</v>
          </cell>
        </row>
        <row r="2262">
          <cell r="B2262" t="str">
            <v>A2400</v>
          </cell>
          <cell r="C2262" t="str">
            <v>004A</v>
          </cell>
          <cell r="D2262" t="str">
            <v>Y</v>
          </cell>
          <cell r="E2262" t="str">
            <v>A</v>
          </cell>
          <cell r="F2262" t="str">
            <v>03/06/2003</v>
          </cell>
        </row>
        <row r="2263">
          <cell r="B2263" t="str">
            <v>A2401</v>
          </cell>
          <cell r="C2263" t="str">
            <v>CIL</v>
          </cell>
          <cell r="D2263" t="str">
            <v>Y</v>
          </cell>
          <cell r="E2263" t="str">
            <v>A</v>
          </cell>
          <cell r="F2263" t="str">
            <v>03/06/2003</v>
          </cell>
        </row>
        <row r="2264">
          <cell r="B2264" t="str">
            <v>A2403</v>
          </cell>
          <cell r="C2264" t="str">
            <v>CIP</v>
          </cell>
          <cell r="D2264" t="str">
            <v>Y</v>
          </cell>
          <cell r="E2264" t="str">
            <v>A</v>
          </cell>
          <cell r="F2264" t="str">
            <v>03/12/2003</v>
          </cell>
        </row>
        <row r="2265">
          <cell r="B2265" t="str">
            <v>A2404</v>
          </cell>
          <cell r="C2265" t="str">
            <v>CIP</v>
          </cell>
          <cell r="D2265" t="str">
            <v>Y</v>
          </cell>
          <cell r="E2265" t="str">
            <v>A</v>
          </cell>
          <cell r="F2265" t="str">
            <v>03/12/2003</v>
          </cell>
        </row>
        <row r="2266">
          <cell r="B2266" t="str">
            <v>A2405</v>
          </cell>
          <cell r="C2266" t="str">
            <v>002I</v>
          </cell>
          <cell r="D2266" t="str">
            <v>Y</v>
          </cell>
          <cell r="E2266" t="str">
            <v>A</v>
          </cell>
          <cell r="F2266" t="str">
            <v>03/12/2003</v>
          </cell>
        </row>
        <row r="2267">
          <cell r="B2267" t="str">
            <v>A2408</v>
          </cell>
          <cell r="C2267" t="str">
            <v>CIL</v>
          </cell>
          <cell r="D2267" t="str">
            <v>Y</v>
          </cell>
          <cell r="E2267" t="str">
            <v>I</v>
          </cell>
          <cell r="F2267" t="str">
            <v>03/12/2003</v>
          </cell>
        </row>
        <row r="2268">
          <cell r="B2268" t="str">
            <v>A2409</v>
          </cell>
          <cell r="C2268" t="str">
            <v>CIL</v>
          </cell>
          <cell r="D2268" t="str">
            <v>Y</v>
          </cell>
          <cell r="E2268" t="str">
            <v>A</v>
          </cell>
          <cell r="F2268" t="str">
            <v>03/12/2003</v>
          </cell>
        </row>
        <row r="2269">
          <cell r="B2269" t="str">
            <v>A2411</v>
          </cell>
          <cell r="C2269" t="str">
            <v>CIL</v>
          </cell>
          <cell r="D2269" t="str">
            <v>N</v>
          </cell>
          <cell r="E2269" t="str">
            <v>A</v>
          </cell>
          <cell r="F2269" t="str">
            <v>10/27/2003</v>
          </cell>
        </row>
        <row r="2270">
          <cell r="B2270" t="str">
            <v>A2412</v>
          </cell>
          <cell r="C2270" t="str">
            <v>CIL</v>
          </cell>
          <cell r="D2270" t="str">
            <v>Y</v>
          </cell>
          <cell r="E2270" t="str">
            <v>A</v>
          </cell>
          <cell r="F2270" t="str">
            <v>04/01/2003</v>
          </cell>
        </row>
        <row r="2271">
          <cell r="B2271" t="str">
            <v>A2413</v>
          </cell>
          <cell r="C2271" t="str">
            <v>MV1</v>
          </cell>
          <cell r="D2271" t="str">
            <v>Y</v>
          </cell>
          <cell r="E2271" t="str">
            <v>A</v>
          </cell>
          <cell r="F2271" t="str">
            <v>04/01/2003</v>
          </cell>
        </row>
        <row r="2272">
          <cell r="B2272" t="str">
            <v>A2414</v>
          </cell>
          <cell r="C2272" t="str">
            <v>MV1</v>
          </cell>
          <cell r="D2272" t="str">
            <v>Y</v>
          </cell>
          <cell r="E2272" t="str">
            <v>A</v>
          </cell>
          <cell r="F2272" t="str">
            <v>04/22/2003</v>
          </cell>
        </row>
        <row r="2273">
          <cell r="B2273" t="str">
            <v>A2416</v>
          </cell>
          <cell r="C2273" t="str">
            <v>AMC</v>
          </cell>
          <cell r="D2273" t="str">
            <v>Y</v>
          </cell>
          <cell r="E2273" t="str">
            <v>A</v>
          </cell>
          <cell r="F2273" t="str">
            <v>04/16/2003</v>
          </cell>
        </row>
        <row r="2274">
          <cell r="B2274" t="str">
            <v>A2417</v>
          </cell>
          <cell r="C2274" t="str">
            <v>CIL</v>
          </cell>
          <cell r="D2274" t="str">
            <v>Y</v>
          </cell>
          <cell r="E2274" t="str">
            <v>A</v>
          </cell>
          <cell r="F2274" t="str">
            <v>04/16/2003</v>
          </cell>
        </row>
        <row r="2275">
          <cell r="B2275" t="str">
            <v>A2418</v>
          </cell>
          <cell r="C2275" t="str">
            <v>CIL</v>
          </cell>
          <cell r="D2275" t="str">
            <v>Y</v>
          </cell>
          <cell r="E2275" t="str">
            <v>A</v>
          </cell>
          <cell r="F2275" t="str">
            <v>04/16/2003</v>
          </cell>
        </row>
        <row r="2276">
          <cell r="B2276" t="str">
            <v>A2419</v>
          </cell>
          <cell r="C2276" t="str">
            <v>CIL</v>
          </cell>
          <cell r="D2276" t="str">
            <v>N</v>
          </cell>
          <cell r="E2276" t="str">
            <v>A</v>
          </cell>
          <cell r="F2276" t="str">
            <v>04/23/2003</v>
          </cell>
        </row>
        <row r="2277">
          <cell r="B2277" t="str">
            <v>A2420</v>
          </cell>
          <cell r="C2277" t="str">
            <v>CIL</v>
          </cell>
          <cell r="D2277" t="str">
            <v>N</v>
          </cell>
          <cell r="E2277" t="str">
            <v>A</v>
          </cell>
          <cell r="F2277" t="str">
            <v>05/06/2003</v>
          </cell>
        </row>
        <row r="2278">
          <cell r="B2278" t="str">
            <v>A2421</v>
          </cell>
          <cell r="C2278" t="str">
            <v>CIL</v>
          </cell>
          <cell r="D2278" t="str">
            <v>Y</v>
          </cell>
          <cell r="E2278" t="str">
            <v>A</v>
          </cell>
          <cell r="F2278" t="str">
            <v>05/08/2003</v>
          </cell>
        </row>
        <row r="2279">
          <cell r="B2279" t="str">
            <v>A2422</v>
          </cell>
          <cell r="C2279" t="str">
            <v>CIL</v>
          </cell>
          <cell r="D2279" t="str">
            <v>Y</v>
          </cell>
          <cell r="E2279" t="str">
            <v>A</v>
          </cell>
          <cell r="F2279" t="str">
            <v>05/08/2003</v>
          </cell>
        </row>
        <row r="2280">
          <cell r="B2280" t="str">
            <v>A2426</v>
          </cell>
          <cell r="C2280" t="str">
            <v>002D</v>
          </cell>
          <cell r="D2280" t="str">
            <v>Y</v>
          </cell>
          <cell r="E2280" t="str">
            <v>A</v>
          </cell>
          <cell r="F2280" t="str">
            <v>05/30/2003</v>
          </cell>
        </row>
        <row r="2281">
          <cell r="B2281" t="str">
            <v>A2427</v>
          </cell>
          <cell r="C2281" t="str">
            <v>UEC</v>
          </cell>
          <cell r="D2281" t="str">
            <v>Y</v>
          </cell>
          <cell r="E2281" t="str">
            <v>A</v>
          </cell>
          <cell r="F2281" t="str">
            <v>06/25/2003</v>
          </cell>
        </row>
        <row r="2282">
          <cell r="B2282" t="str">
            <v>A2429</v>
          </cell>
          <cell r="C2282" t="str">
            <v>004B</v>
          </cell>
          <cell r="D2282" t="str">
            <v>Y</v>
          </cell>
          <cell r="E2282" t="str">
            <v>A</v>
          </cell>
          <cell r="F2282" t="str">
            <v>07/02/2003</v>
          </cell>
        </row>
        <row r="2283">
          <cell r="B2283" t="str">
            <v>A2430</v>
          </cell>
          <cell r="C2283" t="str">
            <v>CIL</v>
          </cell>
          <cell r="D2283" t="str">
            <v>Y</v>
          </cell>
          <cell r="E2283" t="str">
            <v>A</v>
          </cell>
          <cell r="F2283" t="str">
            <v>01/05/2004</v>
          </cell>
        </row>
        <row r="2284">
          <cell r="B2284" t="str">
            <v>A2431</v>
          </cell>
          <cell r="C2284" t="str">
            <v>CIL</v>
          </cell>
          <cell r="D2284" t="str">
            <v>Y</v>
          </cell>
          <cell r="E2284" t="str">
            <v>A</v>
          </cell>
          <cell r="F2284" t="str">
            <v>09/03/2003</v>
          </cell>
        </row>
        <row r="2285">
          <cell r="B2285" t="str">
            <v>A2432</v>
          </cell>
          <cell r="C2285" t="str">
            <v>CIL</v>
          </cell>
          <cell r="D2285" t="str">
            <v>Y</v>
          </cell>
          <cell r="E2285" t="str">
            <v>A</v>
          </cell>
          <cell r="F2285" t="str">
            <v>09/03/2003</v>
          </cell>
        </row>
        <row r="2286">
          <cell r="B2286" t="str">
            <v>A2434</v>
          </cell>
          <cell r="C2286" t="str">
            <v>CIL</v>
          </cell>
          <cell r="D2286" t="str">
            <v>Y</v>
          </cell>
          <cell r="E2286" t="str">
            <v>A</v>
          </cell>
          <cell r="F2286" t="str">
            <v>09/03/2003</v>
          </cell>
        </row>
        <row r="2287">
          <cell r="B2287" t="str">
            <v>A2435</v>
          </cell>
          <cell r="C2287" t="str">
            <v>CIL</v>
          </cell>
          <cell r="D2287" t="str">
            <v>Y</v>
          </cell>
          <cell r="E2287" t="str">
            <v>A</v>
          </cell>
          <cell r="F2287" t="str">
            <v>09/03/2003</v>
          </cell>
        </row>
        <row r="2288">
          <cell r="B2288" t="str">
            <v>A2436</v>
          </cell>
          <cell r="C2288" t="str">
            <v>CIL</v>
          </cell>
          <cell r="D2288" t="str">
            <v>Y</v>
          </cell>
          <cell r="E2288" t="str">
            <v>A</v>
          </cell>
          <cell r="F2288" t="str">
            <v>09/04/2003</v>
          </cell>
        </row>
        <row r="2289">
          <cell r="B2289" t="str">
            <v>A2437</v>
          </cell>
          <cell r="C2289" t="str">
            <v>CIL</v>
          </cell>
          <cell r="D2289" t="str">
            <v>Y</v>
          </cell>
          <cell r="E2289" t="str">
            <v>A</v>
          </cell>
          <cell r="F2289" t="str">
            <v>01/20/2004</v>
          </cell>
        </row>
        <row r="2290">
          <cell r="B2290" t="str">
            <v>A2439</v>
          </cell>
          <cell r="C2290" t="str">
            <v>CIL</v>
          </cell>
          <cell r="D2290" t="str">
            <v>Y</v>
          </cell>
          <cell r="E2290" t="str">
            <v>A</v>
          </cell>
          <cell r="F2290" t="str">
            <v>09/03/2003</v>
          </cell>
        </row>
        <row r="2291">
          <cell r="B2291" t="str">
            <v>A2440</v>
          </cell>
          <cell r="C2291" t="str">
            <v>CIL</v>
          </cell>
          <cell r="D2291" t="str">
            <v>Y</v>
          </cell>
          <cell r="E2291" t="str">
            <v>A</v>
          </cell>
          <cell r="F2291" t="str">
            <v>09/03/2003</v>
          </cell>
        </row>
        <row r="2292">
          <cell r="B2292" t="str">
            <v>A2441</v>
          </cell>
          <cell r="C2292" t="str">
            <v>CIL</v>
          </cell>
          <cell r="D2292" t="str">
            <v>Y</v>
          </cell>
          <cell r="E2292" t="str">
            <v>A</v>
          </cell>
          <cell r="F2292" t="str">
            <v>09/03/2003</v>
          </cell>
        </row>
        <row r="2293">
          <cell r="B2293" t="str">
            <v>A2442</v>
          </cell>
          <cell r="C2293" t="str">
            <v>CIL</v>
          </cell>
          <cell r="D2293" t="str">
            <v>Y</v>
          </cell>
          <cell r="E2293" t="str">
            <v>A</v>
          </cell>
          <cell r="F2293" t="str">
            <v>09/03/2003</v>
          </cell>
        </row>
        <row r="2294">
          <cell r="B2294" t="str">
            <v>A2443</v>
          </cell>
          <cell r="C2294" t="str">
            <v>CIL</v>
          </cell>
          <cell r="D2294" t="str">
            <v>Y</v>
          </cell>
          <cell r="E2294" t="str">
            <v>A</v>
          </cell>
          <cell r="F2294" t="str">
            <v>09/04/2003</v>
          </cell>
        </row>
        <row r="2295">
          <cell r="B2295" t="str">
            <v>A2444</v>
          </cell>
          <cell r="C2295" t="str">
            <v>CIP</v>
          </cell>
          <cell r="D2295" t="str">
            <v>Y</v>
          </cell>
          <cell r="E2295" t="str">
            <v>A</v>
          </cell>
          <cell r="F2295" t="str">
            <v>10/01/2003</v>
          </cell>
        </row>
        <row r="2296">
          <cell r="B2296" t="str">
            <v>A2445</v>
          </cell>
          <cell r="C2296" t="str">
            <v>CIL</v>
          </cell>
          <cell r="D2296" t="str">
            <v>Y</v>
          </cell>
          <cell r="E2296" t="str">
            <v>A</v>
          </cell>
          <cell r="F2296" t="str">
            <v>09/04/2003</v>
          </cell>
        </row>
        <row r="2297">
          <cell r="B2297" t="str">
            <v>A2446</v>
          </cell>
          <cell r="C2297" t="str">
            <v>CIL</v>
          </cell>
          <cell r="D2297" t="str">
            <v>Y</v>
          </cell>
          <cell r="E2297" t="str">
            <v>A</v>
          </cell>
          <cell r="F2297" t="str">
            <v>09/04/2003</v>
          </cell>
        </row>
        <row r="2298">
          <cell r="B2298" t="str">
            <v>A2447</v>
          </cell>
          <cell r="C2298" t="str">
            <v>CIL</v>
          </cell>
          <cell r="D2298" t="str">
            <v>Y</v>
          </cell>
          <cell r="E2298" t="str">
            <v>A</v>
          </cell>
          <cell r="F2298" t="str">
            <v>09/04/2003</v>
          </cell>
        </row>
        <row r="2299">
          <cell r="B2299" t="str">
            <v>A2448</v>
          </cell>
          <cell r="C2299" t="str">
            <v>CIL</v>
          </cell>
          <cell r="D2299" t="str">
            <v>Y</v>
          </cell>
          <cell r="E2299" t="str">
            <v>A</v>
          </cell>
          <cell r="F2299" t="str">
            <v>09/03/2003</v>
          </cell>
        </row>
        <row r="2300">
          <cell r="B2300" t="str">
            <v>A2449</v>
          </cell>
          <cell r="C2300" t="str">
            <v>CIL</v>
          </cell>
          <cell r="D2300" t="str">
            <v>Y</v>
          </cell>
          <cell r="E2300" t="str">
            <v>A</v>
          </cell>
          <cell r="F2300" t="str">
            <v>09/03/2003</v>
          </cell>
        </row>
        <row r="2301">
          <cell r="B2301" t="str">
            <v>A2450</v>
          </cell>
          <cell r="C2301" t="str">
            <v>CIL</v>
          </cell>
          <cell r="D2301" t="str">
            <v>Y</v>
          </cell>
          <cell r="E2301" t="str">
            <v>A</v>
          </cell>
          <cell r="F2301" t="str">
            <v>09/03/2003</v>
          </cell>
        </row>
        <row r="2302">
          <cell r="B2302" t="str">
            <v>A2451</v>
          </cell>
          <cell r="C2302" t="str">
            <v>CIL</v>
          </cell>
          <cell r="D2302" t="str">
            <v>Y</v>
          </cell>
          <cell r="E2302" t="str">
            <v>A</v>
          </cell>
          <cell r="F2302" t="str">
            <v>09/03/2003</v>
          </cell>
        </row>
        <row r="2303">
          <cell r="B2303" t="str">
            <v>A2452</v>
          </cell>
          <cell r="C2303" t="str">
            <v>CIL</v>
          </cell>
          <cell r="D2303" t="str">
            <v>Y</v>
          </cell>
          <cell r="E2303" t="str">
            <v>A</v>
          </cell>
          <cell r="F2303" t="str">
            <v>09/03/2003</v>
          </cell>
        </row>
        <row r="2304">
          <cell r="B2304" t="str">
            <v>A2455</v>
          </cell>
          <cell r="C2304" t="str">
            <v>CIL</v>
          </cell>
          <cell r="D2304" t="str">
            <v>Y</v>
          </cell>
          <cell r="E2304" t="str">
            <v>A</v>
          </cell>
          <cell r="F2304" t="str">
            <v>09/03/2003</v>
          </cell>
        </row>
        <row r="2305">
          <cell r="B2305" t="str">
            <v>A2456</v>
          </cell>
          <cell r="C2305" t="str">
            <v>CIL</v>
          </cell>
          <cell r="D2305" t="str">
            <v>Y</v>
          </cell>
          <cell r="E2305" t="str">
            <v>A</v>
          </cell>
          <cell r="F2305" t="str">
            <v>09/03/2003</v>
          </cell>
        </row>
        <row r="2306">
          <cell r="B2306" t="str">
            <v>A2457</v>
          </cell>
          <cell r="C2306" t="str">
            <v>CIL</v>
          </cell>
          <cell r="D2306" t="str">
            <v>Y</v>
          </cell>
          <cell r="E2306" t="str">
            <v>A</v>
          </cell>
          <cell r="F2306" t="str">
            <v>09/04/2003</v>
          </cell>
        </row>
        <row r="2307">
          <cell r="B2307" t="str">
            <v>A2459</v>
          </cell>
          <cell r="C2307" t="str">
            <v>CIL</v>
          </cell>
          <cell r="D2307" t="str">
            <v>Y</v>
          </cell>
          <cell r="E2307" t="str">
            <v>A</v>
          </cell>
          <cell r="F2307" t="str">
            <v>09/03/2003</v>
          </cell>
        </row>
        <row r="2308">
          <cell r="B2308" t="str">
            <v>A2460</v>
          </cell>
          <cell r="C2308" t="str">
            <v>CIL</v>
          </cell>
          <cell r="D2308" t="str">
            <v>Y</v>
          </cell>
          <cell r="E2308" t="str">
            <v>A</v>
          </cell>
          <cell r="F2308" t="str">
            <v>09/03/2003</v>
          </cell>
        </row>
        <row r="2309">
          <cell r="B2309" t="str">
            <v>A2461</v>
          </cell>
          <cell r="C2309" t="str">
            <v>CIL</v>
          </cell>
          <cell r="D2309" t="str">
            <v>Y</v>
          </cell>
          <cell r="E2309" t="str">
            <v>A</v>
          </cell>
          <cell r="F2309" t="str">
            <v>09/03/2003</v>
          </cell>
        </row>
        <row r="2310">
          <cell r="B2310" t="str">
            <v>A2462</v>
          </cell>
          <cell r="C2310" t="str">
            <v>CIL</v>
          </cell>
          <cell r="D2310" t="str">
            <v>Y</v>
          </cell>
          <cell r="E2310" t="str">
            <v>A</v>
          </cell>
          <cell r="F2310" t="str">
            <v>09/03/2003</v>
          </cell>
        </row>
        <row r="2311">
          <cell r="B2311" t="str">
            <v>A2465</v>
          </cell>
          <cell r="C2311" t="str">
            <v>CIL</v>
          </cell>
          <cell r="D2311" t="str">
            <v>Y</v>
          </cell>
          <cell r="E2311" t="str">
            <v>A</v>
          </cell>
          <cell r="F2311" t="str">
            <v>09/03/2003</v>
          </cell>
        </row>
        <row r="2312">
          <cell r="B2312" t="str">
            <v>A2466</v>
          </cell>
          <cell r="C2312" t="str">
            <v>CIL</v>
          </cell>
          <cell r="D2312" t="str">
            <v>N</v>
          </cell>
          <cell r="E2312" t="str">
            <v>A</v>
          </cell>
          <cell r="F2312" t="str">
            <v>08/01/2003</v>
          </cell>
        </row>
        <row r="2313">
          <cell r="B2313" t="str">
            <v>A2467</v>
          </cell>
          <cell r="C2313" t="str">
            <v>CIL</v>
          </cell>
          <cell r="D2313" t="str">
            <v>N</v>
          </cell>
          <cell r="E2313" t="str">
            <v>A</v>
          </cell>
          <cell r="F2313" t="str">
            <v>08/01/2003</v>
          </cell>
        </row>
        <row r="2314">
          <cell r="B2314" t="str">
            <v>A2468</v>
          </cell>
          <cell r="C2314" t="str">
            <v>CIL</v>
          </cell>
          <cell r="D2314" t="str">
            <v>N</v>
          </cell>
          <cell r="E2314" t="str">
            <v>A</v>
          </cell>
          <cell r="F2314" t="str">
            <v>08/07/2003</v>
          </cell>
        </row>
        <row r="2315">
          <cell r="B2315" t="str">
            <v>A2469</v>
          </cell>
          <cell r="C2315" t="str">
            <v>MV1</v>
          </cell>
          <cell r="D2315" t="str">
            <v>N</v>
          </cell>
          <cell r="E2315" t="str">
            <v>A</v>
          </cell>
          <cell r="F2315" t="str">
            <v>08/07/2003</v>
          </cell>
        </row>
        <row r="2316">
          <cell r="B2316" t="str">
            <v>A2470</v>
          </cell>
          <cell r="C2316" t="str">
            <v>CIS</v>
          </cell>
          <cell r="D2316" t="str">
            <v>N</v>
          </cell>
          <cell r="E2316" t="str">
            <v>A</v>
          </cell>
          <cell r="F2316" t="str">
            <v>08/07/2003</v>
          </cell>
        </row>
        <row r="2317">
          <cell r="B2317" t="str">
            <v>A2471</v>
          </cell>
          <cell r="C2317" t="str">
            <v>CIL</v>
          </cell>
          <cell r="D2317" t="str">
            <v>Y</v>
          </cell>
          <cell r="E2317" t="str">
            <v>A</v>
          </cell>
          <cell r="F2317" t="str">
            <v>09/18/2003</v>
          </cell>
        </row>
        <row r="2318">
          <cell r="B2318" t="str">
            <v>A2472</v>
          </cell>
          <cell r="C2318" t="str">
            <v>CIL</v>
          </cell>
          <cell r="D2318" t="str">
            <v>Y</v>
          </cell>
          <cell r="E2318" t="str">
            <v>A</v>
          </cell>
          <cell r="F2318" t="str">
            <v>09/18/2003</v>
          </cell>
        </row>
        <row r="2319">
          <cell r="B2319" t="str">
            <v>A2473</v>
          </cell>
          <cell r="C2319" t="str">
            <v>CIL</v>
          </cell>
          <cell r="D2319" t="str">
            <v>N</v>
          </cell>
          <cell r="E2319" t="str">
            <v>A</v>
          </cell>
          <cell r="F2319" t="str">
            <v>08/07/2003</v>
          </cell>
        </row>
        <row r="2320">
          <cell r="B2320" t="str">
            <v>A2474</v>
          </cell>
          <cell r="C2320" t="str">
            <v>CIL</v>
          </cell>
          <cell r="D2320" t="str">
            <v>N</v>
          </cell>
          <cell r="E2320" t="str">
            <v>A</v>
          </cell>
          <cell r="F2320" t="str">
            <v>08/07/2003</v>
          </cell>
        </row>
        <row r="2321">
          <cell r="B2321" t="str">
            <v>A2475</v>
          </cell>
          <cell r="C2321" t="str">
            <v>CIL</v>
          </cell>
          <cell r="D2321" t="str">
            <v>Y</v>
          </cell>
          <cell r="E2321" t="str">
            <v>A</v>
          </cell>
          <cell r="F2321" t="str">
            <v>08/06/2003</v>
          </cell>
        </row>
        <row r="2322">
          <cell r="B2322" t="str">
            <v>A2476</v>
          </cell>
          <cell r="C2322" t="str">
            <v>CIL</v>
          </cell>
          <cell r="D2322" t="str">
            <v>Y</v>
          </cell>
          <cell r="E2322" t="str">
            <v>A</v>
          </cell>
          <cell r="F2322" t="str">
            <v>08/06/2003</v>
          </cell>
        </row>
        <row r="2323">
          <cell r="B2323" t="str">
            <v>A2477</v>
          </cell>
          <cell r="C2323" t="str">
            <v>UEC</v>
          </cell>
          <cell r="D2323" t="str">
            <v>Y</v>
          </cell>
          <cell r="E2323" t="str">
            <v>A</v>
          </cell>
          <cell r="F2323" t="str">
            <v>08/07/2003</v>
          </cell>
        </row>
        <row r="2324">
          <cell r="B2324" t="str">
            <v>A2478</v>
          </cell>
          <cell r="C2324" t="str">
            <v>CIP</v>
          </cell>
          <cell r="D2324" t="str">
            <v>Y</v>
          </cell>
          <cell r="E2324" t="str">
            <v>A</v>
          </cell>
          <cell r="F2324" t="str">
            <v>08/07/2003</v>
          </cell>
        </row>
        <row r="2325">
          <cell r="B2325" t="str">
            <v>A2479</v>
          </cell>
          <cell r="C2325" t="str">
            <v>CIL</v>
          </cell>
          <cell r="D2325" t="str">
            <v>Y</v>
          </cell>
          <cell r="E2325" t="str">
            <v>A</v>
          </cell>
          <cell r="F2325" t="str">
            <v>08/07/2003</v>
          </cell>
        </row>
        <row r="2326">
          <cell r="B2326" t="str">
            <v>A2481</v>
          </cell>
          <cell r="C2326" t="str">
            <v>CIL</v>
          </cell>
          <cell r="D2326" t="str">
            <v>Y</v>
          </cell>
          <cell r="E2326" t="str">
            <v>A</v>
          </cell>
          <cell r="F2326" t="str">
            <v>08/18/2003</v>
          </cell>
        </row>
        <row r="2327">
          <cell r="B2327" t="str">
            <v>A2482</v>
          </cell>
          <cell r="C2327" t="str">
            <v>CIL</v>
          </cell>
          <cell r="D2327" t="str">
            <v>Y</v>
          </cell>
          <cell r="E2327" t="str">
            <v>A</v>
          </cell>
          <cell r="F2327" t="str">
            <v>08/26/2003</v>
          </cell>
        </row>
        <row r="2328">
          <cell r="B2328" t="str">
            <v>A2483</v>
          </cell>
          <cell r="C2328" t="str">
            <v>CIL</v>
          </cell>
          <cell r="D2328" t="str">
            <v>Y</v>
          </cell>
          <cell r="E2328" t="str">
            <v>A</v>
          </cell>
          <cell r="F2328" t="str">
            <v>12/31/2003</v>
          </cell>
        </row>
        <row r="2329">
          <cell r="B2329" t="str">
            <v>A2484</v>
          </cell>
          <cell r="C2329" t="str">
            <v>CIL</v>
          </cell>
          <cell r="D2329" t="str">
            <v>Y</v>
          </cell>
          <cell r="E2329" t="str">
            <v>A</v>
          </cell>
          <cell r="F2329" t="str">
            <v>12/31/2003</v>
          </cell>
        </row>
        <row r="2330">
          <cell r="B2330" t="str">
            <v>A2485</v>
          </cell>
          <cell r="C2330" t="str">
            <v>CIL</v>
          </cell>
          <cell r="D2330" t="str">
            <v>Y</v>
          </cell>
          <cell r="E2330" t="str">
            <v>A</v>
          </cell>
          <cell r="F2330" t="str">
            <v>12/31/2003</v>
          </cell>
        </row>
        <row r="2331">
          <cell r="B2331" t="str">
            <v>A2486</v>
          </cell>
          <cell r="C2331" t="str">
            <v>CIL</v>
          </cell>
          <cell r="D2331" t="str">
            <v>Y</v>
          </cell>
          <cell r="E2331" t="str">
            <v>A</v>
          </cell>
          <cell r="F2331" t="str">
            <v>09/04/2003</v>
          </cell>
        </row>
        <row r="2332">
          <cell r="B2332" t="str">
            <v>A2487</v>
          </cell>
          <cell r="C2332" t="str">
            <v>CIL</v>
          </cell>
          <cell r="D2332" t="str">
            <v>N</v>
          </cell>
          <cell r="E2332" t="str">
            <v>A</v>
          </cell>
          <cell r="F2332" t="str">
            <v>08/19/2003</v>
          </cell>
        </row>
        <row r="2333">
          <cell r="B2333" t="str">
            <v>A2488</v>
          </cell>
          <cell r="C2333" t="str">
            <v>CIL</v>
          </cell>
          <cell r="D2333" t="str">
            <v>Y</v>
          </cell>
          <cell r="E2333" t="str">
            <v>A</v>
          </cell>
          <cell r="F2333" t="str">
            <v>10/27/2003</v>
          </cell>
        </row>
        <row r="2334">
          <cell r="B2334" t="str">
            <v>A2489</v>
          </cell>
          <cell r="C2334" t="str">
            <v>CCP</v>
          </cell>
          <cell r="D2334" t="str">
            <v>Y</v>
          </cell>
          <cell r="E2334" t="str">
            <v>A</v>
          </cell>
          <cell r="F2334" t="str">
            <v>08/29/2003</v>
          </cell>
        </row>
        <row r="2335">
          <cell r="B2335" t="str">
            <v>A2490</v>
          </cell>
          <cell r="C2335" t="str">
            <v>CIL</v>
          </cell>
          <cell r="D2335" t="str">
            <v>Y</v>
          </cell>
          <cell r="E2335" t="str">
            <v>A</v>
          </cell>
          <cell r="F2335" t="str">
            <v>08/29/2003</v>
          </cell>
        </row>
        <row r="2336">
          <cell r="B2336" t="str">
            <v>A2491</v>
          </cell>
          <cell r="C2336" t="str">
            <v>CCP</v>
          </cell>
          <cell r="D2336" t="str">
            <v>Y</v>
          </cell>
          <cell r="E2336" t="str">
            <v>A</v>
          </cell>
          <cell r="F2336" t="str">
            <v>08/28/2003</v>
          </cell>
        </row>
        <row r="2337">
          <cell r="B2337" t="str">
            <v>A2492</v>
          </cell>
          <cell r="C2337" t="str">
            <v>CIL</v>
          </cell>
          <cell r="D2337" t="str">
            <v>Y</v>
          </cell>
          <cell r="E2337" t="str">
            <v>A</v>
          </cell>
          <cell r="F2337" t="str">
            <v>08/28/2003</v>
          </cell>
        </row>
        <row r="2338">
          <cell r="B2338" t="str">
            <v>A2493</v>
          </cell>
          <cell r="C2338" t="str">
            <v>CCP</v>
          </cell>
          <cell r="D2338" t="str">
            <v>Y</v>
          </cell>
          <cell r="E2338" t="str">
            <v>A</v>
          </cell>
          <cell r="F2338" t="str">
            <v>08/28/2003</v>
          </cell>
        </row>
        <row r="2339">
          <cell r="B2339" t="str">
            <v>A2494</v>
          </cell>
          <cell r="C2339" t="str">
            <v>CIL</v>
          </cell>
          <cell r="D2339" t="str">
            <v>Y</v>
          </cell>
          <cell r="E2339" t="str">
            <v>A</v>
          </cell>
          <cell r="F2339" t="str">
            <v>08/28/2003</v>
          </cell>
        </row>
        <row r="2340">
          <cell r="B2340" t="str">
            <v>A2495</v>
          </cell>
          <cell r="C2340" t="str">
            <v>002M</v>
          </cell>
          <cell r="D2340" t="str">
            <v>Y</v>
          </cell>
          <cell r="E2340" t="str">
            <v>A</v>
          </cell>
          <cell r="F2340" t="str">
            <v>08/28/2003</v>
          </cell>
        </row>
        <row r="2341">
          <cell r="B2341" t="str">
            <v>A2496</v>
          </cell>
          <cell r="C2341" t="str">
            <v>CIM</v>
          </cell>
          <cell r="D2341" t="str">
            <v>Y</v>
          </cell>
          <cell r="E2341" t="str">
            <v>A</v>
          </cell>
          <cell r="F2341" t="str">
            <v>08/28/2003</v>
          </cell>
        </row>
        <row r="2342">
          <cell r="B2342" t="str">
            <v>A2497</v>
          </cell>
          <cell r="C2342" t="str">
            <v>ARG</v>
          </cell>
          <cell r="D2342" t="str">
            <v>Y</v>
          </cell>
          <cell r="E2342" t="str">
            <v>A</v>
          </cell>
          <cell r="F2342" t="str">
            <v>08/28/2003</v>
          </cell>
        </row>
        <row r="2343">
          <cell r="B2343" t="str">
            <v>A2498</v>
          </cell>
          <cell r="C2343" t="str">
            <v>011A</v>
          </cell>
          <cell r="D2343" t="str">
            <v>Y</v>
          </cell>
          <cell r="E2343" t="str">
            <v>I</v>
          </cell>
          <cell r="F2343" t="str">
            <v>09/08/2003</v>
          </cell>
        </row>
        <row r="2344">
          <cell r="B2344" t="str">
            <v>A2499</v>
          </cell>
          <cell r="C2344" t="str">
            <v>004A</v>
          </cell>
          <cell r="D2344" t="str">
            <v>Y</v>
          </cell>
          <cell r="E2344" t="str">
            <v>I</v>
          </cell>
          <cell r="F2344" t="str">
            <v>09/08/2003</v>
          </cell>
        </row>
        <row r="2345">
          <cell r="B2345" t="str">
            <v>A2500</v>
          </cell>
          <cell r="C2345" t="str">
            <v>002K</v>
          </cell>
          <cell r="D2345" t="str">
            <v>Y</v>
          </cell>
          <cell r="E2345" t="str">
            <v>I</v>
          </cell>
          <cell r="F2345" t="str">
            <v>09/08/2003</v>
          </cell>
        </row>
        <row r="2346">
          <cell r="B2346" t="str">
            <v>A2501</v>
          </cell>
          <cell r="C2346" t="str">
            <v>002D</v>
          </cell>
          <cell r="D2346" t="str">
            <v>Y</v>
          </cell>
          <cell r="E2346" t="str">
            <v>I</v>
          </cell>
          <cell r="F2346" t="str">
            <v>09/08/2003</v>
          </cell>
        </row>
        <row r="2347">
          <cell r="B2347" t="str">
            <v>A2502</v>
          </cell>
          <cell r="C2347" t="str">
            <v>AFS</v>
          </cell>
          <cell r="D2347" t="str">
            <v>Y</v>
          </cell>
          <cell r="E2347" t="str">
            <v>I</v>
          </cell>
          <cell r="F2347" t="str">
            <v>09/08/2003</v>
          </cell>
        </row>
        <row r="2348">
          <cell r="B2348" t="str">
            <v>A2503</v>
          </cell>
          <cell r="C2348" t="str">
            <v>007A</v>
          </cell>
          <cell r="D2348" t="str">
            <v>Y</v>
          </cell>
          <cell r="E2348" t="str">
            <v>I</v>
          </cell>
          <cell r="F2348" t="str">
            <v>09/08/2003</v>
          </cell>
        </row>
        <row r="2349">
          <cell r="B2349" t="str">
            <v>A2504</v>
          </cell>
          <cell r="C2349" t="str">
            <v>004A</v>
          </cell>
          <cell r="D2349" t="str">
            <v>Y</v>
          </cell>
          <cell r="E2349" t="str">
            <v>I</v>
          </cell>
          <cell r="F2349" t="str">
            <v>09/08/2003</v>
          </cell>
        </row>
        <row r="2350">
          <cell r="B2350" t="str">
            <v>A2505</v>
          </cell>
          <cell r="C2350" t="str">
            <v>004A</v>
          </cell>
          <cell r="D2350" t="str">
            <v>Y</v>
          </cell>
          <cell r="E2350" t="str">
            <v>I</v>
          </cell>
          <cell r="F2350" t="str">
            <v>09/08/2003</v>
          </cell>
        </row>
        <row r="2351">
          <cell r="B2351" t="str">
            <v>A2506</v>
          </cell>
          <cell r="C2351"/>
          <cell r="D2351" t="str">
            <v>Y</v>
          </cell>
          <cell r="E2351" t="str">
            <v>I</v>
          </cell>
          <cell r="F2351" t="str">
            <v>09/09/2003</v>
          </cell>
        </row>
        <row r="2352">
          <cell r="B2352" t="str">
            <v>A2507</v>
          </cell>
          <cell r="C2352" t="str">
            <v>004A</v>
          </cell>
          <cell r="D2352" t="str">
            <v>Y</v>
          </cell>
          <cell r="E2352" t="str">
            <v>I</v>
          </cell>
          <cell r="F2352" t="str">
            <v>09/09/2003</v>
          </cell>
        </row>
        <row r="2353">
          <cell r="B2353" t="str">
            <v>A2508</v>
          </cell>
          <cell r="C2353" t="str">
            <v>009A</v>
          </cell>
          <cell r="D2353" t="str">
            <v>Y</v>
          </cell>
          <cell r="E2353" t="str">
            <v>I</v>
          </cell>
          <cell r="F2353" t="str">
            <v>09/09/2003</v>
          </cell>
        </row>
        <row r="2354">
          <cell r="B2354" t="str">
            <v>A2509</v>
          </cell>
          <cell r="C2354" t="str">
            <v>MV1</v>
          </cell>
          <cell r="D2354" t="str">
            <v>N</v>
          </cell>
          <cell r="E2354" t="str">
            <v>A</v>
          </cell>
          <cell r="F2354" t="str">
            <v>09/22/2003</v>
          </cell>
        </row>
        <row r="2355">
          <cell r="B2355" t="str">
            <v>A2510</v>
          </cell>
          <cell r="C2355" t="str">
            <v>012B</v>
          </cell>
          <cell r="D2355" t="str">
            <v>Y</v>
          </cell>
          <cell r="E2355" t="str">
            <v>A</v>
          </cell>
          <cell r="F2355" t="str">
            <v>10/03/2003</v>
          </cell>
        </row>
        <row r="2356">
          <cell r="B2356" t="str">
            <v>A2511</v>
          </cell>
          <cell r="C2356" t="str">
            <v>CIS</v>
          </cell>
          <cell r="D2356" t="str">
            <v>Y</v>
          </cell>
          <cell r="E2356" t="str">
            <v>A</v>
          </cell>
          <cell r="F2356" t="str">
            <v>10/07/2003</v>
          </cell>
        </row>
        <row r="2357">
          <cell r="B2357" t="str">
            <v>A2513</v>
          </cell>
          <cell r="C2357" t="str">
            <v>ARG</v>
          </cell>
          <cell r="D2357" t="str">
            <v>Y</v>
          </cell>
          <cell r="E2357" t="str">
            <v>I</v>
          </cell>
          <cell r="F2357" t="str">
            <v>10/16/2003</v>
          </cell>
        </row>
        <row r="2358">
          <cell r="B2358" t="str">
            <v>A2514</v>
          </cell>
          <cell r="C2358" t="str">
            <v>GEN</v>
          </cell>
          <cell r="D2358" t="str">
            <v>Y</v>
          </cell>
          <cell r="E2358" t="str">
            <v>A</v>
          </cell>
          <cell r="F2358" t="str">
            <v>10/21/2003</v>
          </cell>
        </row>
        <row r="2359">
          <cell r="B2359" t="str">
            <v>A2515</v>
          </cell>
          <cell r="C2359" t="str">
            <v>ARG</v>
          </cell>
          <cell r="D2359" t="str">
            <v>Y</v>
          </cell>
          <cell r="E2359" t="str">
            <v>A</v>
          </cell>
          <cell r="F2359" t="str">
            <v>10/21/2003</v>
          </cell>
        </row>
        <row r="2360">
          <cell r="B2360" t="str">
            <v>A2516</v>
          </cell>
          <cell r="C2360" t="str">
            <v>ARG</v>
          </cell>
          <cell r="D2360" t="str">
            <v>Y</v>
          </cell>
          <cell r="E2360" t="str">
            <v>A</v>
          </cell>
          <cell r="F2360" t="str">
            <v>10/21/2003</v>
          </cell>
        </row>
        <row r="2361">
          <cell r="B2361" t="str">
            <v>A2517</v>
          </cell>
          <cell r="C2361" t="str">
            <v>UEC</v>
          </cell>
          <cell r="D2361" t="str">
            <v>Y</v>
          </cell>
          <cell r="E2361" t="str">
            <v>A</v>
          </cell>
          <cell r="F2361" t="str">
            <v>10/21/2003</v>
          </cell>
        </row>
        <row r="2362">
          <cell r="B2362" t="str">
            <v>A2518</v>
          </cell>
          <cell r="C2362" t="str">
            <v>ARG</v>
          </cell>
          <cell r="D2362" t="str">
            <v>Y</v>
          </cell>
          <cell r="E2362" t="str">
            <v>A</v>
          </cell>
          <cell r="F2362" t="str">
            <v>10/30/2003</v>
          </cell>
        </row>
        <row r="2363">
          <cell r="B2363" t="str">
            <v>A2519</v>
          </cell>
          <cell r="C2363" t="str">
            <v>ARG</v>
          </cell>
          <cell r="D2363" t="str">
            <v>Y</v>
          </cell>
          <cell r="E2363" t="str">
            <v>A</v>
          </cell>
          <cell r="F2363" t="str">
            <v>10/30/2003</v>
          </cell>
        </row>
        <row r="2364">
          <cell r="B2364" t="str">
            <v>A2520</v>
          </cell>
          <cell r="C2364" t="str">
            <v>ARG</v>
          </cell>
          <cell r="D2364" t="str">
            <v>Y</v>
          </cell>
          <cell r="E2364" t="str">
            <v>A</v>
          </cell>
          <cell r="F2364" t="str">
            <v>10/30/2003</v>
          </cell>
        </row>
        <row r="2365">
          <cell r="B2365" t="str">
            <v>A2521</v>
          </cell>
          <cell r="C2365" t="str">
            <v>ARG</v>
          </cell>
          <cell r="D2365" t="str">
            <v>Y</v>
          </cell>
          <cell r="E2365" t="str">
            <v>I</v>
          </cell>
          <cell r="F2365" t="str">
            <v>10/30/2003</v>
          </cell>
        </row>
        <row r="2366">
          <cell r="B2366" t="str">
            <v>A2522</v>
          </cell>
          <cell r="C2366" t="str">
            <v>011B</v>
          </cell>
          <cell r="D2366" t="str">
            <v>Y</v>
          </cell>
          <cell r="E2366" t="str">
            <v>A</v>
          </cell>
          <cell r="F2366" t="str">
            <v>11/14/2003</v>
          </cell>
        </row>
        <row r="2367">
          <cell r="B2367" t="str">
            <v>A2523</v>
          </cell>
          <cell r="C2367" t="str">
            <v>ARG</v>
          </cell>
          <cell r="D2367" t="str">
            <v>Y</v>
          </cell>
          <cell r="E2367" t="str">
            <v>A</v>
          </cell>
          <cell r="F2367" t="str">
            <v>11/14/2003</v>
          </cell>
        </row>
        <row r="2368">
          <cell r="B2368" t="str">
            <v>A2524</v>
          </cell>
          <cell r="C2368" t="str">
            <v>UEC</v>
          </cell>
          <cell r="D2368" t="str">
            <v>Y</v>
          </cell>
          <cell r="E2368" t="str">
            <v>A</v>
          </cell>
          <cell r="F2368" t="str">
            <v>11/17/2003</v>
          </cell>
        </row>
        <row r="2369">
          <cell r="B2369" t="str">
            <v>A2531</v>
          </cell>
          <cell r="C2369" t="str">
            <v>CIL</v>
          </cell>
          <cell r="D2369" t="str">
            <v>Y</v>
          </cell>
          <cell r="E2369" t="str">
            <v>A</v>
          </cell>
          <cell r="F2369" t="str">
            <v>12/03/2003</v>
          </cell>
        </row>
        <row r="2370">
          <cell r="B2370" t="str">
            <v>A2532</v>
          </cell>
          <cell r="C2370" t="str">
            <v>ARG</v>
          </cell>
          <cell r="D2370" t="str">
            <v>Y</v>
          </cell>
          <cell r="E2370" t="str">
            <v>A</v>
          </cell>
          <cell r="F2370" t="str">
            <v>12/04/2003</v>
          </cell>
        </row>
        <row r="2371">
          <cell r="B2371" t="str">
            <v>A2533</v>
          </cell>
          <cell r="C2371" t="str">
            <v>CIL</v>
          </cell>
          <cell r="D2371" t="str">
            <v>N</v>
          </cell>
          <cell r="E2371" t="str">
            <v>A</v>
          </cell>
          <cell r="F2371" t="str">
            <v>01/02/2004</v>
          </cell>
        </row>
        <row r="2372">
          <cell r="B2372" t="str">
            <v>A2534</v>
          </cell>
          <cell r="C2372" t="str">
            <v>ARG</v>
          </cell>
          <cell r="D2372" t="str">
            <v>N</v>
          </cell>
          <cell r="E2372" t="str">
            <v>A</v>
          </cell>
          <cell r="F2372" t="str">
            <v>01/05/2004</v>
          </cell>
        </row>
        <row r="2373">
          <cell r="B2373" t="str">
            <v>A2535</v>
          </cell>
          <cell r="C2373" t="str">
            <v>ARG</v>
          </cell>
          <cell r="D2373" t="str">
            <v>Y</v>
          </cell>
          <cell r="E2373" t="str">
            <v>I</v>
          </cell>
          <cell r="F2373" t="str">
            <v>01/21/2004</v>
          </cell>
        </row>
        <row r="2374">
          <cell r="B2374" t="str">
            <v>A2536</v>
          </cell>
          <cell r="C2374" t="str">
            <v>MV1</v>
          </cell>
          <cell r="D2374" t="str">
            <v>Y</v>
          </cell>
          <cell r="E2374" t="str">
            <v>A</v>
          </cell>
          <cell r="F2374" t="str">
            <v>01/21/2004</v>
          </cell>
        </row>
        <row r="2375">
          <cell r="B2375" t="str">
            <v>A2537</v>
          </cell>
          <cell r="C2375" t="str">
            <v>UEC</v>
          </cell>
          <cell r="D2375" t="str">
            <v>Y</v>
          </cell>
          <cell r="E2375" t="str">
            <v>A</v>
          </cell>
          <cell r="F2375" t="str">
            <v>01/15/2004</v>
          </cell>
        </row>
        <row r="2376">
          <cell r="B2376" t="str">
            <v>A2538</v>
          </cell>
          <cell r="C2376" t="str">
            <v>007A</v>
          </cell>
          <cell r="D2376" t="str">
            <v>Y</v>
          </cell>
          <cell r="E2376" t="str">
            <v>A</v>
          </cell>
          <cell r="F2376" t="str">
            <v>01/22/2004</v>
          </cell>
        </row>
        <row r="2377">
          <cell r="B2377" t="str">
            <v>A2539</v>
          </cell>
          <cell r="C2377" t="str">
            <v>CIM</v>
          </cell>
          <cell r="D2377" t="str">
            <v>Y</v>
          </cell>
          <cell r="E2377" t="str">
            <v>I</v>
          </cell>
          <cell r="F2377" t="str">
            <v>01/23/2004</v>
          </cell>
        </row>
        <row r="2378">
          <cell r="B2378" t="str">
            <v>AXA11</v>
          </cell>
          <cell r="C2378"/>
          <cell r="D2378" t="str">
            <v>Y</v>
          </cell>
          <cell r="E2378" t="str">
            <v>A</v>
          </cell>
          <cell r="F2378" t="str">
            <v>12/15/1997</v>
          </cell>
        </row>
        <row r="2379">
          <cell r="B2379" t="str">
            <v>AXA1F</v>
          </cell>
          <cell r="C2379" t="str">
            <v>AFS</v>
          </cell>
          <cell r="D2379" t="str">
            <v>Y</v>
          </cell>
          <cell r="E2379" t="str">
            <v>A</v>
          </cell>
          <cell r="F2379" t="str">
            <v>12/07/2000</v>
          </cell>
        </row>
        <row r="2380">
          <cell r="B2380" t="str">
            <v>AXA21</v>
          </cell>
          <cell r="C2380" t="str">
            <v>UEC</v>
          </cell>
          <cell r="D2380" t="str">
            <v>Y</v>
          </cell>
          <cell r="E2380" t="str">
            <v>A</v>
          </cell>
          <cell r="F2380" t="str">
            <v>12/21/1997</v>
          </cell>
        </row>
        <row r="2381">
          <cell r="B2381" t="str">
            <v>AXA41</v>
          </cell>
          <cell r="C2381" t="str">
            <v>CIP</v>
          </cell>
          <cell r="D2381" t="str">
            <v>Y</v>
          </cell>
          <cell r="E2381" t="str">
            <v>A</v>
          </cell>
          <cell r="F2381" t="str">
            <v>12/21/1997</v>
          </cell>
        </row>
        <row r="2382">
          <cell r="B2382" t="str">
            <v>AXB10</v>
          </cell>
          <cell r="C2382" t="str">
            <v>AMC</v>
          </cell>
          <cell r="D2382" t="str">
            <v>Y</v>
          </cell>
          <cell r="E2382" t="str">
            <v>A</v>
          </cell>
          <cell r="F2382" t="str">
            <v>12/26/1997</v>
          </cell>
        </row>
        <row r="2383">
          <cell r="B2383" t="str">
            <v>AXB11</v>
          </cell>
          <cell r="C2383"/>
          <cell r="D2383" t="str">
            <v>Y</v>
          </cell>
          <cell r="E2383" t="str">
            <v>A</v>
          </cell>
          <cell r="F2383" t="str">
            <v>12/26/1997</v>
          </cell>
        </row>
        <row r="2384">
          <cell r="B2384" t="str">
            <v>AXB12</v>
          </cell>
          <cell r="C2384" t="str">
            <v>AEC</v>
          </cell>
          <cell r="D2384" t="str">
            <v>Y</v>
          </cell>
          <cell r="E2384" t="str">
            <v>A</v>
          </cell>
          <cell r="F2384" t="str">
            <v>10/13/1998</v>
          </cell>
        </row>
        <row r="2385">
          <cell r="B2385" t="str">
            <v>AXB13</v>
          </cell>
          <cell r="C2385" t="str">
            <v>CIC</v>
          </cell>
          <cell r="D2385" t="str">
            <v>Y</v>
          </cell>
          <cell r="E2385" t="str">
            <v>A</v>
          </cell>
          <cell r="F2385" t="str">
            <v>12/26/1997</v>
          </cell>
        </row>
        <row r="2386">
          <cell r="B2386" t="str">
            <v>AXB14</v>
          </cell>
          <cell r="C2386" t="str">
            <v>UDC</v>
          </cell>
          <cell r="D2386" t="str">
            <v>Y</v>
          </cell>
          <cell r="E2386" t="str">
            <v>A</v>
          </cell>
          <cell r="F2386" t="str">
            <v>12/26/1997</v>
          </cell>
        </row>
        <row r="2387">
          <cell r="B2387" t="str">
            <v>AXB16</v>
          </cell>
          <cell r="C2387" t="str">
            <v>AME</v>
          </cell>
          <cell r="D2387" t="str">
            <v>Y</v>
          </cell>
          <cell r="E2387" t="str">
            <v>A</v>
          </cell>
          <cell r="F2387" t="str">
            <v>10/13/1998</v>
          </cell>
        </row>
        <row r="2388">
          <cell r="B2388" t="str">
            <v>AXB18</v>
          </cell>
          <cell r="C2388" t="str">
            <v>ERC</v>
          </cell>
          <cell r="D2388" t="str">
            <v>Y</v>
          </cell>
          <cell r="E2388" t="str">
            <v>A</v>
          </cell>
          <cell r="F2388" t="str">
            <v>04/28/1998</v>
          </cell>
        </row>
        <row r="2389">
          <cell r="B2389" t="str">
            <v>AXB1D</v>
          </cell>
          <cell r="C2389" t="str">
            <v>AED</v>
          </cell>
          <cell r="D2389" t="str">
            <v>Y</v>
          </cell>
          <cell r="E2389" t="str">
            <v>A</v>
          </cell>
          <cell r="F2389" t="str">
            <v>05/12/2000</v>
          </cell>
        </row>
        <row r="2390">
          <cell r="B2390" t="str">
            <v>AXB1G</v>
          </cell>
          <cell r="C2390" t="str">
            <v>GMC</v>
          </cell>
          <cell r="D2390" t="str">
            <v>Y</v>
          </cell>
          <cell r="E2390" t="str">
            <v>A</v>
          </cell>
          <cell r="F2390" t="str">
            <v>05/29/2000</v>
          </cell>
        </row>
        <row r="2391">
          <cell r="B2391" t="str">
            <v>AXB1H</v>
          </cell>
          <cell r="C2391" t="str">
            <v>IHC</v>
          </cell>
          <cell r="D2391" t="str">
            <v>Y</v>
          </cell>
          <cell r="E2391" t="str">
            <v>A</v>
          </cell>
          <cell r="F2391" t="str">
            <v>12/20/1999</v>
          </cell>
        </row>
        <row r="2392">
          <cell r="B2392" t="str">
            <v>AXB1M</v>
          </cell>
          <cell r="C2392" t="str">
            <v>IMS</v>
          </cell>
          <cell r="D2392" t="str">
            <v>Y</v>
          </cell>
          <cell r="E2392" t="str">
            <v>A</v>
          </cell>
          <cell r="F2392" t="str">
            <v>05/29/2000</v>
          </cell>
        </row>
        <row r="2393">
          <cell r="B2393" t="str">
            <v>AXB21</v>
          </cell>
          <cell r="C2393" t="str">
            <v>UEC</v>
          </cell>
          <cell r="D2393" t="str">
            <v>Y</v>
          </cell>
          <cell r="E2393" t="str">
            <v>A</v>
          </cell>
          <cell r="F2393" t="str">
            <v>12/26/1997</v>
          </cell>
        </row>
        <row r="2394">
          <cell r="B2394" t="str">
            <v>AXB41</v>
          </cell>
          <cell r="C2394" t="str">
            <v>CIP</v>
          </cell>
          <cell r="D2394" t="str">
            <v>Y</v>
          </cell>
          <cell r="E2394" t="str">
            <v>A</v>
          </cell>
          <cell r="F2394" t="str">
            <v>12/26/1997</v>
          </cell>
        </row>
        <row r="2395">
          <cell r="B2395" t="str">
            <v>AXB90</v>
          </cell>
          <cell r="C2395" t="str">
            <v>GEN</v>
          </cell>
          <cell r="D2395" t="str">
            <v>Y</v>
          </cell>
          <cell r="E2395" t="str">
            <v>A</v>
          </cell>
          <cell r="F2395" t="str">
            <v>05/29/2000</v>
          </cell>
        </row>
        <row r="2396">
          <cell r="B2396" t="str">
            <v>C0012</v>
          </cell>
          <cell r="C2396" t="str">
            <v>CIP</v>
          </cell>
          <cell r="D2396" t="str">
            <v>N</v>
          </cell>
          <cell r="E2396" t="str">
            <v>A</v>
          </cell>
          <cell r="F2396" t="str">
            <v>01/31/2002</v>
          </cell>
        </row>
        <row r="2397">
          <cell r="B2397" t="str">
            <v>C0022</v>
          </cell>
          <cell r="C2397" t="str">
            <v>CIP</v>
          </cell>
          <cell r="D2397" t="str">
            <v>N</v>
          </cell>
          <cell r="E2397" t="str">
            <v>A</v>
          </cell>
          <cell r="F2397" t="str">
            <v>05/30/2002</v>
          </cell>
        </row>
        <row r="2398">
          <cell r="B2398" t="str">
            <v>C0023</v>
          </cell>
          <cell r="C2398" t="str">
            <v>CIP</v>
          </cell>
          <cell r="D2398" t="str">
            <v>N</v>
          </cell>
          <cell r="E2398" t="str">
            <v>I</v>
          </cell>
          <cell r="F2398" t="str">
            <v>09/18/2002</v>
          </cell>
        </row>
        <row r="2399">
          <cell r="B2399" t="str">
            <v>C0025</v>
          </cell>
          <cell r="C2399" t="str">
            <v>CIP</v>
          </cell>
          <cell r="D2399" t="str">
            <v>N</v>
          </cell>
          <cell r="E2399" t="str">
            <v>A</v>
          </cell>
          <cell r="F2399" t="str">
            <v>01/13/1998</v>
          </cell>
        </row>
        <row r="2400">
          <cell r="B2400" t="str">
            <v>C0030</v>
          </cell>
          <cell r="C2400" t="str">
            <v>CIP</v>
          </cell>
          <cell r="D2400" t="str">
            <v>N</v>
          </cell>
          <cell r="E2400" t="str">
            <v>A</v>
          </cell>
          <cell r="F2400" t="str">
            <v>05/04/1999</v>
          </cell>
        </row>
        <row r="2401">
          <cell r="B2401" t="str">
            <v>C0032</v>
          </cell>
          <cell r="C2401" t="str">
            <v>CIP</v>
          </cell>
          <cell r="D2401" t="str">
            <v>N</v>
          </cell>
          <cell r="E2401" t="str">
            <v>A</v>
          </cell>
          <cell r="F2401" t="str">
            <v>01/06/1998</v>
          </cell>
        </row>
        <row r="2402">
          <cell r="B2402" t="str">
            <v>C0101</v>
          </cell>
          <cell r="C2402" t="str">
            <v>CIP</v>
          </cell>
          <cell r="D2402" t="str">
            <v>N</v>
          </cell>
          <cell r="E2402" t="str">
            <v>A</v>
          </cell>
          <cell r="F2402" t="str">
            <v>01/12/1998</v>
          </cell>
        </row>
        <row r="2403">
          <cell r="B2403" t="str">
            <v>C0102</v>
          </cell>
          <cell r="C2403" t="str">
            <v>CIP</v>
          </cell>
          <cell r="D2403" t="str">
            <v>N</v>
          </cell>
          <cell r="E2403" t="str">
            <v>A</v>
          </cell>
          <cell r="F2403" t="str">
            <v>01/12/1998</v>
          </cell>
        </row>
        <row r="2404">
          <cell r="B2404" t="str">
            <v>C0103</v>
          </cell>
          <cell r="C2404" t="str">
            <v>CIP</v>
          </cell>
          <cell r="D2404" t="str">
            <v>N</v>
          </cell>
          <cell r="E2404" t="str">
            <v>A</v>
          </cell>
          <cell r="F2404" t="str">
            <v>01/12/1998</v>
          </cell>
        </row>
        <row r="2405">
          <cell r="B2405" t="str">
            <v>C0105</v>
          </cell>
          <cell r="C2405" t="str">
            <v>CIP</v>
          </cell>
          <cell r="D2405" t="str">
            <v>N</v>
          </cell>
          <cell r="E2405" t="str">
            <v>A</v>
          </cell>
          <cell r="F2405" t="str">
            <v>01/12/1998</v>
          </cell>
        </row>
        <row r="2406">
          <cell r="B2406" t="str">
            <v>C0111</v>
          </cell>
          <cell r="C2406" t="str">
            <v>CIP</v>
          </cell>
          <cell r="D2406" t="str">
            <v>N</v>
          </cell>
          <cell r="E2406" t="str">
            <v>A</v>
          </cell>
          <cell r="F2406" t="str">
            <v>12/07/1997</v>
          </cell>
        </row>
        <row r="2407">
          <cell r="B2407" t="str">
            <v>C0113</v>
          </cell>
          <cell r="C2407" t="str">
            <v>CIP</v>
          </cell>
          <cell r="D2407" t="str">
            <v>N</v>
          </cell>
          <cell r="E2407" t="str">
            <v>A</v>
          </cell>
          <cell r="F2407" t="str">
            <v>12/07/1997</v>
          </cell>
        </row>
        <row r="2408">
          <cell r="B2408" t="str">
            <v>C0114</v>
          </cell>
          <cell r="C2408" t="str">
            <v>CIP</v>
          </cell>
          <cell r="D2408" t="str">
            <v>N</v>
          </cell>
          <cell r="E2408" t="str">
            <v>A</v>
          </cell>
          <cell r="F2408" t="str">
            <v>08/02/2003</v>
          </cell>
        </row>
        <row r="2409">
          <cell r="B2409" t="str">
            <v>C0201</v>
          </cell>
          <cell r="C2409" t="str">
            <v>CIP</v>
          </cell>
          <cell r="D2409" t="str">
            <v>N</v>
          </cell>
          <cell r="E2409" t="str">
            <v>A</v>
          </cell>
          <cell r="F2409" t="str">
            <v>12/07/1997</v>
          </cell>
        </row>
        <row r="2410">
          <cell r="B2410" t="str">
            <v>C0202</v>
          </cell>
          <cell r="C2410" t="str">
            <v>CIP</v>
          </cell>
          <cell r="D2410" t="str">
            <v>N</v>
          </cell>
          <cell r="E2410" t="str">
            <v>A</v>
          </cell>
          <cell r="F2410" t="str">
            <v>12/07/1997</v>
          </cell>
        </row>
        <row r="2411">
          <cell r="B2411" t="str">
            <v>C0203</v>
          </cell>
          <cell r="C2411" t="str">
            <v>CIP</v>
          </cell>
          <cell r="D2411" t="str">
            <v>N</v>
          </cell>
          <cell r="E2411" t="str">
            <v>A</v>
          </cell>
          <cell r="F2411" t="str">
            <v>12/07/1997</v>
          </cell>
        </row>
        <row r="2412">
          <cell r="B2412" t="str">
            <v>C0204</v>
          </cell>
          <cell r="C2412" t="str">
            <v>CIP</v>
          </cell>
          <cell r="D2412" t="str">
            <v>N</v>
          </cell>
          <cell r="E2412" t="str">
            <v>I</v>
          </cell>
          <cell r="F2412" t="str">
            <v>12/07/1997</v>
          </cell>
        </row>
        <row r="2413">
          <cell r="B2413" t="str">
            <v>C0205</v>
          </cell>
          <cell r="C2413" t="str">
            <v>CIP</v>
          </cell>
          <cell r="D2413" t="str">
            <v>N</v>
          </cell>
          <cell r="E2413" t="str">
            <v>I</v>
          </cell>
          <cell r="F2413" t="str">
            <v>12/07/1997</v>
          </cell>
        </row>
        <row r="2414">
          <cell r="B2414" t="str">
            <v>C0211</v>
          </cell>
          <cell r="C2414" t="str">
            <v>CIP</v>
          </cell>
          <cell r="D2414" t="str">
            <v>N</v>
          </cell>
          <cell r="E2414" t="str">
            <v>A</v>
          </cell>
          <cell r="F2414" t="str">
            <v>12/07/1997</v>
          </cell>
        </row>
        <row r="2415">
          <cell r="B2415" t="str">
            <v>C0213</v>
          </cell>
          <cell r="C2415" t="str">
            <v>CIP</v>
          </cell>
          <cell r="D2415" t="str">
            <v>N</v>
          </cell>
          <cell r="E2415" t="str">
            <v>A</v>
          </cell>
          <cell r="F2415" t="str">
            <v>12/07/1997</v>
          </cell>
        </row>
        <row r="2416">
          <cell r="B2416" t="str">
            <v>C0214</v>
          </cell>
          <cell r="C2416" t="str">
            <v>CIP</v>
          </cell>
          <cell r="D2416" t="str">
            <v>N</v>
          </cell>
          <cell r="E2416" t="str">
            <v>A</v>
          </cell>
          <cell r="F2416" t="str">
            <v>12/07/1997</v>
          </cell>
        </row>
        <row r="2417">
          <cell r="B2417" t="str">
            <v>C0301</v>
          </cell>
          <cell r="C2417" t="str">
            <v>CIP</v>
          </cell>
          <cell r="D2417" t="str">
            <v>N</v>
          </cell>
          <cell r="E2417" t="str">
            <v>A</v>
          </cell>
          <cell r="F2417" t="str">
            <v>12/07/1997</v>
          </cell>
        </row>
        <row r="2418">
          <cell r="B2418" t="str">
            <v>C0302</v>
          </cell>
          <cell r="C2418" t="str">
            <v>CIP</v>
          </cell>
          <cell r="D2418" t="str">
            <v>N</v>
          </cell>
          <cell r="E2418" t="str">
            <v>A</v>
          </cell>
          <cell r="F2418" t="str">
            <v>12/07/1997</v>
          </cell>
        </row>
        <row r="2419">
          <cell r="B2419" t="str">
            <v>C0303</v>
          </cell>
          <cell r="C2419" t="str">
            <v>CIP</v>
          </cell>
          <cell r="D2419" t="str">
            <v>N</v>
          </cell>
          <cell r="E2419" t="str">
            <v>A</v>
          </cell>
          <cell r="F2419" t="str">
            <v>12/07/1997</v>
          </cell>
        </row>
        <row r="2420">
          <cell r="B2420" t="str">
            <v>C0305</v>
          </cell>
          <cell r="C2420" t="str">
            <v>CIP</v>
          </cell>
          <cell r="D2420" t="str">
            <v>N</v>
          </cell>
          <cell r="E2420" t="str">
            <v>A</v>
          </cell>
          <cell r="F2420" t="str">
            <v>12/07/1997</v>
          </cell>
        </row>
        <row r="2421">
          <cell r="B2421" t="str">
            <v>C0311</v>
          </cell>
          <cell r="C2421" t="str">
            <v>CIP</v>
          </cell>
          <cell r="D2421" t="str">
            <v>N</v>
          </cell>
          <cell r="E2421" t="str">
            <v>A</v>
          </cell>
          <cell r="F2421" t="str">
            <v>12/07/1997</v>
          </cell>
        </row>
        <row r="2422">
          <cell r="B2422" t="str">
            <v>C0313</v>
          </cell>
          <cell r="C2422" t="str">
            <v>CIP</v>
          </cell>
          <cell r="D2422" t="str">
            <v>N</v>
          </cell>
          <cell r="E2422" t="str">
            <v>A</v>
          </cell>
          <cell r="F2422" t="str">
            <v>12/07/1997</v>
          </cell>
        </row>
        <row r="2423">
          <cell r="B2423" t="str">
            <v>C0314</v>
          </cell>
          <cell r="C2423" t="str">
            <v>CIP</v>
          </cell>
          <cell r="D2423" t="str">
            <v>N</v>
          </cell>
          <cell r="E2423" t="str">
            <v>A</v>
          </cell>
          <cell r="F2423" t="str">
            <v>12/07/1997</v>
          </cell>
        </row>
        <row r="2424">
          <cell r="B2424" t="str">
            <v>C0401</v>
          </cell>
          <cell r="C2424" t="str">
            <v>CIP</v>
          </cell>
          <cell r="D2424" t="str">
            <v>N</v>
          </cell>
          <cell r="E2424" t="str">
            <v>A</v>
          </cell>
          <cell r="F2424" t="str">
            <v>12/07/1997</v>
          </cell>
        </row>
        <row r="2425">
          <cell r="B2425" t="str">
            <v>C0402</v>
          </cell>
          <cell r="C2425" t="str">
            <v>CIP</v>
          </cell>
          <cell r="D2425" t="str">
            <v>N</v>
          </cell>
          <cell r="E2425" t="str">
            <v>A</v>
          </cell>
          <cell r="F2425" t="str">
            <v>12/07/1997</v>
          </cell>
        </row>
        <row r="2426">
          <cell r="B2426" t="str">
            <v>C0403</v>
          </cell>
          <cell r="C2426" t="str">
            <v>CIP</v>
          </cell>
          <cell r="D2426" t="str">
            <v>N</v>
          </cell>
          <cell r="E2426" t="str">
            <v>A</v>
          </cell>
          <cell r="F2426" t="str">
            <v>12/07/1997</v>
          </cell>
        </row>
        <row r="2427">
          <cell r="B2427" t="str">
            <v>C0407</v>
          </cell>
          <cell r="C2427" t="str">
            <v>CIP</v>
          </cell>
          <cell r="D2427" t="str">
            <v>N</v>
          </cell>
          <cell r="E2427" t="str">
            <v>A</v>
          </cell>
          <cell r="F2427" t="str">
            <v>06/26/1998</v>
          </cell>
        </row>
        <row r="2428">
          <cell r="B2428" t="str">
            <v>C0411</v>
          </cell>
          <cell r="C2428" t="str">
            <v>CIP</v>
          </cell>
          <cell r="D2428" t="str">
            <v>N</v>
          </cell>
          <cell r="E2428" t="str">
            <v>A</v>
          </cell>
          <cell r="F2428" t="str">
            <v>12/07/1997</v>
          </cell>
        </row>
        <row r="2429">
          <cell r="B2429" t="str">
            <v>C0413</v>
          </cell>
          <cell r="C2429" t="str">
            <v>CIP</v>
          </cell>
          <cell r="D2429" t="str">
            <v>N</v>
          </cell>
          <cell r="E2429" t="str">
            <v>A</v>
          </cell>
          <cell r="F2429" t="str">
            <v>12/07/1997</v>
          </cell>
        </row>
        <row r="2430">
          <cell r="B2430" t="str">
            <v>C0414</v>
          </cell>
          <cell r="C2430" t="str">
            <v>CIP</v>
          </cell>
          <cell r="D2430" t="str">
            <v>N</v>
          </cell>
          <cell r="E2430" t="str">
            <v>A</v>
          </cell>
          <cell r="F2430" t="str">
            <v>12/07/1997</v>
          </cell>
        </row>
        <row r="2431">
          <cell r="B2431" t="str">
            <v>C0701</v>
          </cell>
          <cell r="C2431" t="str">
            <v>CIP</v>
          </cell>
          <cell r="D2431" t="str">
            <v>N</v>
          </cell>
          <cell r="E2431" t="str">
            <v>A</v>
          </cell>
          <cell r="F2431" t="str">
            <v>12/07/1997</v>
          </cell>
        </row>
        <row r="2432">
          <cell r="B2432" t="str">
            <v>C0702</v>
          </cell>
          <cell r="C2432" t="str">
            <v>CIP</v>
          </cell>
          <cell r="D2432" t="str">
            <v>N</v>
          </cell>
          <cell r="E2432" t="str">
            <v>A</v>
          </cell>
          <cell r="F2432" t="str">
            <v>12/07/1997</v>
          </cell>
        </row>
        <row r="2433">
          <cell r="B2433" t="str">
            <v>C0703</v>
          </cell>
          <cell r="C2433" t="str">
            <v>CIP</v>
          </cell>
          <cell r="D2433" t="str">
            <v>N</v>
          </cell>
          <cell r="E2433" t="str">
            <v>A</v>
          </cell>
          <cell r="F2433" t="str">
            <v>12/07/1997</v>
          </cell>
        </row>
        <row r="2434">
          <cell r="B2434" t="str">
            <v>C0711</v>
          </cell>
          <cell r="C2434" t="str">
            <v>CIP</v>
          </cell>
          <cell r="D2434" t="str">
            <v>N</v>
          </cell>
          <cell r="E2434" t="str">
            <v>A</v>
          </cell>
          <cell r="F2434" t="str">
            <v>12/07/1997</v>
          </cell>
        </row>
        <row r="2435">
          <cell r="B2435" t="str">
            <v>C0713</v>
          </cell>
          <cell r="C2435" t="str">
            <v>CIP</v>
          </cell>
          <cell r="D2435" t="str">
            <v>N</v>
          </cell>
          <cell r="E2435" t="str">
            <v>A</v>
          </cell>
          <cell r="F2435" t="str">
            <v>12/07/1997</v>
          </cell>
        </row>
        <row r="2436">
          <cell r="B2436" t="str">
            <v>C0801</v>
          </cell>
          <cell r="C2436" t="str">
            <v>CIP</v>
          </cell>
          <cell r="D2436" t="str">
            <v>N</v>
          </cell>
          <cell r="E2436" t="str">
            <v>A</v>
          </cell>
          <cell r="F2436" t="str">
            <v>12/07/1997</v>
          </cell>
        </row>
        <row r="2437">
          <cell r="B2437" t="str">
            <v>C0802</v>
          </cell>
          <cell r="C2437" t="str">
            <v>CIP</v>
          </cell>
          <cell r="D2437" t="str">
            <v>N</v>
          </cell>
          <cell r="E2437" t="str">
            <v>A</v>
          </cell>
          <cell r="F2437" t="str">
            <v>12/07/1997</v>
          </cell>
        </row>
        <row r="2438">
          <cell r="B2438" t="str">
            <v>C0803</v>
          </cell>
          <cell r="C2438" t="str">
            <v>CIP</v>
          </cell>
          <cell r="D2438" t="str">
            <v>N</v>
          </cell>
          <cell r="E2438" t="str">
            <v>A</v>
          </cell>
          <cell r="F2438" t="str">
            <v>12/07/1997</v>
          </cell>
        </row>
        <row r="2439">
          <cell r="B2439" t="str">
            <v>C0805</v>
          </cell>
          <cell r="C2439" t="str">
            <v>CIP</v>
          </cell>
          <cell r="D2439" t="str">
            <v>N</v>
          </cell>
          <cell r="E2439" t="str">
            <v>A</v>
          </cell>
          <cell r="F2439" t="str">
            <v>12/07/1997</v>
          </cell>
        </row>
        <row r="2440">
          <cell r="B2440" t="str">
            <v>C0811</v>
          </cell>
          <cell r="C2440" t="str">
            <v>CIP</v>
          </cell>
          <cell r="D2440" t="str">
            <v>N</v>
          </cell>
          <cell r="E2440" t="str">
            <v>A</v>
          </cell>
          <cell r="F2440" t="str">
            <v>12/07/1997</v>
          </cell>
        </row>
        <row r="2441">
          <cell r="B2441" t="str">
            <v>C0813</v>
          </cell>
          <cell r="C2441" t="str">
            <v>CIP</v>
          </cell>
          <cell r="D2441" t="str">
            <v>N</v>
          </cell>
          <cell r="E2441" t="str">
            <v>A</v>
          </cell>
          <cell r="F2441" t="str">
            <v>12/07/1997</v>
          </cell>
        </row>
        <row r="2442">
          <cell r="B2442" t="str">
            <v>C0920</v>
          </cell>
          <cell r="C2442" t="str">
            <v>GEN</v>
          </cell>
          <cell r="D2442" t="str">
            <v>N</v>
          </cell>
          <cell r="E2442" t="str">
            <v>A</v>
          </cell>
          <cell r="F2442" t="str">
            <v>01/12/1998</v>
          </cell>
        </row>
        <row r="2443">
          <cell r="B2443" t="str">
            <v>C0930</v>
          </cell>
          <cell r="C2443" t="str">
            <v>GEN</v>
          </cell>
          <cell r="D2443" t="str">
            <v>N</v>
          </cell>
          <cell r="E2443" t="str">
            <v>A</v>
          </cell>
          <cell r="F2443" t="str">
            <v>01/12/1998</v>
          </cell>
        </row>
        <row r="2444">
          <cell r="B2444" t="str">
            <v>C0940</v>
          </cell>
          <cell r="C2444" t="str">
            <v>GEN</v>
          </cell>
          <cell r="D2444" t="str">
            <v>N</v>
          </cell>
          <cell r="E2444" t="str">
            <v>A</v>
          </cell>
          <cell r="F2444" t="str">
            <v>01/12/1998</v>
          </cell>
        </row>
        <row r="2445">
          <cell r="B2445" t="str">
            <v>C0950</v>
          </cell>
          <cell r="C2445" t="str">
            <v>GEN</v>
          </cell>
          <cell r="D2445" t="str">
            <v>N</v>
          </cell>
          <cell r="E2445" t="str">
            <v>A</v>
          </cell>
          <cell r="F2445" t="str">
            <v>01/12/1998</v>
          </cell>
        </row>
        <row r="2446">
          <cell r="B2446" t="str">
            <v>C0992</v>
          </cell>
          <cell r="C2446" t="str">
            <v>CIP</v>
          </cell>
          <cell r="D2446" t="str">
            <v>N</v>
          </cell>
          <cell r="E2446" t="str">
            <v>A</v>
          </cell>
          <cell r="F2446" t="str">
            <v>05/09/2003</v>
          </cell>
        </row>
        <row r="2447">
          <cell r="B2447" t="str">
            <v>C1201</v>
          </cell>
          <cell r="C2447" t="str">
            <v>CIL</v>
          </cell>
          <cell r="D2447" t="str">
            <v>N</v>
          </cell>
          <cell r="E2447" t="str">
            <v>A</v>
          </cell>
          <cell r="F2447" t="str">
            <v>11/17/2003</v>
          </cell>
        </row>
        <row r="2448">
          <cell r="B2448" t="str">
            <v>C1209</v>
          </cell>
          <cell r="C2448" t="str">
            <v>CIL</v>
          </cell>
          <cell r="D2448" t="str">
            <v>N</v>
          </cell>
          <cell r="E2448" t="str">
            <v>A</v>
          </cell>
          <cell r="F2448" t="str">
            <v>01/05/2004</v>
          </cell>
        </row>
        <row r="2449">
          <cell r="B2449" t="str">
            <v>C1209</v>
          </cell>
          <cell r="C2449" t="str">
            <v>CIL</v>
          </cell>
          <cell r="D2449" t="str">
            <v>N</v>
          </cell>
          <cell r="E2449" t="str">
            <v>A</v>
          </cell>
          <cell r="F2449" t="str">
            <v>01/05/2004</v>
          </cell>
        </row>
        <row r="2450">
          <cell r="B2450" t="str">
            <v>C1220</v>
          </cell>
          <cell r="C2450" t="str">
            <v>CIL</v>
          </cell>
          <cell r="D2450" t="str">
            <v>N</v>
          </cell>
          <cell r="E2450" t="str">
            <v>A</v>
          </cell>
          <cell r="F2450" t="str">
            <v>12/21/2003</v>
          </cell>
        </row>
        <row r="2451">
          <cell r="B2451" t="str">
            <v>C1250</v>
          </cell>
          <cell r="C2451" t="str">
            <v>CIL</v>
          </cell>
          <cell r="D2451" t="str">
            <v>N</v>
          </cell>
          <cell r="E2451" t="str">
            <v>A</v>
          </cell>
          <cell r="F2451" t="str">
            <v>12/21/2003</v>
          </cell>
        </row>
        <row r="2452">
          <cell r="B2452" t="str">
            <v>C1250</v>
          </cell>
          <cell r="C2452" t="str">
            <v>CIL</v>
          </cell>
          <cell r="D2452" t="str">
            <v>N</v>
          </cell>
          <cell r="E2452" t="str">
            <v>A</v>
          </cell>
          <cell r="F2452" t="str">
            <v>12/21/2003</v>
          </cell>
        </row>
        <row r="2453">
          <cell r="B2453" t="str">
            <v>C1310</v>
          </cell>
          <cell r="C2453" t="str">
            <v>CIL</v>
          </cell>
          <cell r="D2453" t="str">
            <v>N</v>
          </cell>
          <cell r="E2453" t="str">
            <v>A</v>
          </cell>
          <cell r="F2453" t="str">
            <v>12/21/2003</v>
          </cell>
        </row>
        <row r="2454">
          <cell r="B2454" t="str">
            <v>C2023</v>
          </cell>
          <cell r="C2454" t="str">
            <v>CIL</v>
          </cell>
          <cell r="D2454" t="str">
            <v>N</v>
          </cell>
          <cell r="E2454" t="str">
            <v>A</v>
          </cell>
          <cell r="F2454" t="str">
            <v>12/21/2003</v>
          </cell>
        </row>
        <row r="2455">
          <cell r="B2455" t="str">
            <v>CIL01</v>
          </cell>
          <cell r="C2455" t="str">
            <v>CIL</v>
          </cell>
          <cell r="D2455" t="str">
            <v>N</v>
          </cell>
          <cell r="E2455" t="str">
            <v>A</v>
          </cell>
          <cell r="F2455" t="str">
            <v>01/06/2004</v>
          </cell>
        </row>
        <row r="2456">
          <cell r="B2456" t="str">
            <v>CIP01</v>
          </cell>
          <cell r="C2456" t="str">
            <v>CIP</v>
          </cell>
          <cell r="D2456" t="str">
            <v>N</v>
          </cell>
          <cell r="E2456" t="str">
            <v>A</v>
          </cell>
          <cell r="F2456" t="str">
            <v>01/12/2001</v>
          </cell>
        </row>
        <row r="2457">
          <cell r="B2457" t="str">
            <v>GEN03</v>
          </cell>
          <cell r="C2457" t="str">
            <v>GEN</v>
          </cell>
          <cell r="D2457" t="str">
            <v>N</v>
          </cell>
          <cell r="E2457" t="str">
            <v>A</v>
          </cell>
          <cell r="F2457" t="str">
            <v>01/12/2001</v>
          </cell>
        </row>
        <row r="2458">
          <cell r="B2458" t="str">
            <v>UEC01</v>
          </cell>
          <cell r="C2458" t="str">
            <v>UEC</v>
          </cell>
          <cell r="D2458" t="str">
            <v>N</v>
          </cell>
          <cell r="E2458" t="str">
            <v>A</v>
          </cell>
          <cell r="F2458" t="str">
            <v>01/12/2001</v>
          </cell>
        </row>
        <row r="2459">
          <cell r="B2459" t="str">
            <v>UEC03</v>
          </cell>
          <cell r="C2459" t="str">
            <v>UEC</v>
          </cell>
          <cell r="D2459" t="str">
            <v>N</v>
          </cell>
          <cell r="E2459" t="str">
            <v>A</v>
          </cell>
          <cell r="F2459" t="str">
            <v>01/12/2001</v>
          </cell>
        </row>
        <row r="2460">
          <cell r="B2460" t="str">
            <v>X9998</v>
          </cell>
          <cell r="C2460" t="str">
            <v>CIP</v>
          </cell>
          <cell r="D2460" t="str">
            <v>N</v>
          </cell>
          <cell r="E2460" t="str">
            <v>A</v>
          </cell>
          <cell r="F2460" t="str">
            <v>01/15/1998</v>
          </cell>
        </row>
        <row r="2461">
          <cell r="B2461" t="str">
            <v>X9999</v>
          </cell>
          <cell r="C2461" t="str">
            <v>UEC</v>
          </cell>
          <cell r="D2461" t="str">
            <v>N</v>
          </cell>
          <cell r="E2461" t="str">
            <v>A</v>
          </cell>
          <cell r="F2461" t="str">
            <v>01/15/1998</v>
          </cell>
        </row>
      </sheetData>
      <sheetData sheetId="12" refreshError="1"/>
      <sheetData sheetId="13" refreshError="1"/>
      <sheetData sheetId="14"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Ex Direct-Indirect Summary"/>
      <sheetName val="CapEx Direct-Indirect By Month"/>
      <sheetName val="CapEx on CWIP to InSrvc WOs"/>
      <sheetName val="Gas CWIP Cancelled WOs"/>
      <sheetName val="CapEx on CWIP to InSrvc"/>
      <sheetName val="Cost Element Table"/>
      <sheetName val="Summary of CapEx Jan-Apr 2004"/>
      <sheetName val="Gas CWIP Open WOs"/>
      <sheetName val="Gas CWIP Open WO D&amp;L$s"/>
      <sheetName val="Elec CapEx by CWO"/>
      <sheetName val="Gas CapEx by CWO"/>
      <sheetName val="WO 30010 Directs"/>
      <sheetName val="WO 30010 Loadings"/>
      <sheetName val="Gas CapEx by WO w Est"/>
      <sheetName val="Gas CapEx RWO Forecast"/>
      <sheetName val="CapEx CWIP-Jan-Apr 2004 Data"/>
      <sheetName val="Estimate Grouping RWOs"/>
      <sheetName val="Estimate Grouping"/>
      <sheetName val="Gas WO Est Data"/>
      <sheetName val="Gas WO Estimate Notes"/>
      <sheetName val="CWIP to InSrvc WO List"/>
      <sheetName val="Reversal of Dec 2003 Load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5">
          <cell r="A5">
            <v>70010</v>
          </cell>
          <cell r="G5">
            <v>29579.321561912468</v>
          </cell>
          <cell r="H5">
            <v>68628.636977464485</v>
          </cell>
        </row>
        <row r="6">
          <cell r="A6">
            <v>70011</v>
          </cell>
          <cell r="G6">
            <v>1186.093983818573</v>
          </cell>
          <cell r="H6">
            <v>3124.1701165950371</v>
          </cell>
        </row>
        <row r="7">
          <cell r="A7">
            <v>70020</v>
          </cell>
          <cell r="G7">
            <v>21421.577064110959</v>
          </cell>
          <cell r="H7">
            <v>48115.569216274751</v>
          </cell>
        </row>
        <row r="8">
          <cell r="A8">
            <v>70021</v>
          </cell>
          <cell r="G8">
            <v>2117.6230673168934</v>
          </cell>
          <cell r="H8">
            <v>5387.9495112893628</v>
          </cell>
        </row>
        <row r="9">
          <cell r="A9">
            <v>70022</v>
          </cell>
          <cell r="G9">
            <v>3856.683092229493</v>
          </cell>
          <cell r="H9">
            <v>8483.3226057981301</v>
          </cell>
        </row>
        <row r="10">
          <cell r="A10">
            <v>70023</v>
          </cell>
          <cell r="G10">
            <v>678.07934167583176</v>
          </cell>
          <cell r="H10">
            <v>1417.9913995867196</v>
          </cell>
        </row>
        <row r="11">
          <cell r="A11">
            <v>70025</v>
          </cell>
          <cell r="G11">
            <v>15255.331511520526</v>
          </cell>
          <cell r="H11">
            <v>33143.111427206903</v>
          </cell>
        </row>
        <row r="12">
          <cell r="A12">
            <v>70026</v>
          </cell>
          <cell r="G12">
            <v>6745.8218725368488</v>
          </cell>
          <cell r="H12">
            <v>14988.926257110628</v>
          </cell>
        </row>
        <row r="13">
          <cell r="A13">
            <v>70027</v>
          </cell>
          <cell r="G13">
            <v>7285.8154279532664</v>
          </cell>
          <cell r="H13">
            <v>17402.938236361748</v>
          </cell>
        </row>
        <row r="14">
          <cell r="A14">
            <v>70028</v>
          </cell>
          <cell r="B14" t="str">
            <v>BWO Actual Jan - Apr 2004</v>
          </cell>
          <cell r="G14">
            <v>0</v>
          </cell>
          <cell r="H14">
            <v>0</v>
          </cell>
        </row>
        <row r="15">
          <cell r="A15">
            <v>70029</v>
          </cell>
          <cell r="B15" t="str">
            <v>BWO Actual Jan - Apr 2004</v>
          </cell>
          <cell r="G15">
            <v>0</v>
          </cell>
          <cell r="H15">
            <v>0</v>
          </cell>
        </row>
        <row r="16">
          <cell r="A16">
            <v>70030</v>
          </cell>
          <cell r="G16">
            <v>157.75</v>
          </cell>
          <cell r="H16">
            <v>415.82</v>
          </cell>
        </row>
        <row r="17">
          <cell r="A17">
            <v>70045</v>
          </cell>
          <cell r="B17" t="str">
            <v>BWO Actual Jan - Apr 2004</v>
          </cell>
          <cell r="G17">
            <v>0</v>
          </cell>
          <cell r="H17">
            <v>0</v>
          </cell>
        </row>
        <row r="18">
          <cell r="A18">
            <v>70051</v>
          </cell>
          <cell r="B18" t="str">
            <v>BWO Actual Jan - Apr 2004</v>
          </cell>
          <cell r="G18">
            <v>0</v>
          </cell>
          <cell r="H18">
            <v>0</v>
          </cell>
        </row>
        <row r="19">
          <cell r="A19">
            <v>70060</v>
          </cell>
          <cell r="G19">
            <v>3393.3744343963058</v>
          </cell>
          <cell r="H19">
            <v>8092.017582459117</v>
          </cell>
        </row>
        <row r="20">
          <cell r="A20">
            <v>70061</v>
          </cell>
          <cell r="B20" t="str">
            <v>BWO Actual Jan - Apr 2004</v>
          </cell>
          <cell r="G20">
            <v>0</v>
          </cell>
          <cell r="H20">
            <v>0</v>
          </cell>
        </row>
        <row r="21">
          <cell r="A21">
            <v>70062</v>
          </cell>
          <cell r="G21">
            <v>357.75533560023172</v>
          </cell>
          <cell r="H21">
            <v>881.98439429330699</v>
          </cell>
        </row>
        <row r="22">
          <cell r="A22">
            <v>70063</v>
          </cell>
          <cell r="G22">
            <v>2634.2345860289861</v>
          </cell>
          <cell r="H22">
            <v>5976.605714231423</v>
          </cell>
        </row>
        <row r="23">
          <cell r="A23">
            <v>70064</v>
          </cell>
          <cell r="G23">
            <v>775.93138867095331</v>
          </cell>
          <cell r="H23">
            <v>1723.5809184120455</v>
          </cell>
        </row>
        <row r="24">
          <cell r="A24">
            <v>70065</v>
          </cell>
          <cell r="G24">
            <v>1270.929764716107</v>
          </cell>
          <cell r="H24">
            <v>2890.7036851988423</v>
          </cell>
        </row>
        <row r="25">
          <cell r="A25">
            <v>70075</v>
          </cell>
          <cell r="G25">
            <v>0</v>
          </cell>
          <cell r="H25">
            <v>0</v>
          </cell>
        </row>
        <row r="26">
          <cell r="A26">
            <v>72469</v>
          </cell>
          <cell r="G26">
            <v>400.22756429365461</v>
          </cell>
          <cell r="H26">
            <v>875.69791067451627</v>
          </cell>
        </row>
        <row r="27">
          <cell r="A27">
            <v>75322</v>
          </cell>
          <cell r="B27">
            <v>5073913993</v>
          </cell>
          <cell r="G27">
            <v>1486.4427488886959</v>
          </cell>
          <cell r="H27">
            <v>3252.3367345684665</v>
          </cell>
        </row>
        <row r="28">
          <cell r="A28">
            <v>76937</v>
          </cell>
          <cell r="G28">
            <v>118.67158464305047</v>
          </cell>
          <cell r="H28">
            <v>275.16380331184109</v>
          </cell>
        </row>
        <row r="29">
          <cell r="A29">
            <v>78634</v>
          </cell>
          <cell r="B29">
            <v>2466127259</v>
          </cell>
          <cell r="G29">
            <v>55.382126729182126</v>
          </cell>
          <cell r="H29">
            <v>121.1760932834505</v>
          </cell>
        </row>
        <row r="30">
          <cell r="A30">
            <v>78650</v>
          </cell>
          <cell r="B30">
            <v>1227239564</v>
          </cell>
          <cell r="G30">
            <v>1485.9856731743964</v>
          </cell>
          <cell r="H30">
            <v>3251.3366529055793</v>
          </cell>
        </row>
        <row r="31">
          <cell r="A31">
            <v>78652</v>
          </cell>
          <cell r="B31">
            <v>6762447705</v>
          </cell>
          <cell r="G31">
            <v>435.99652076542912</v>
          </cell>
          <cell r="H31">
            <v>953.9603874347589</v>
          </cell>
        </row>
        <row r="32">
          <cell r="A32">
            <v>78655</v>
          </cell>
          <cell r="B32">
            <v>8268933828</v>
          </cell>
          <cell r="G32">
            <v>1372.0103344310244</v>
          </cell>
          <cell r="H32">
            <v>3001.9586117350814</v>
          </cell>
        </row>
        <row r="33">
          <cell r="A33">
            <v>79638</v>
          </cell>
          <cell r="G33">
            <v>2200.9759886712718</v>
          </cell>
          <cell r="H33">
            <v>4815.7354632127426</v>
          </cell>
        </row>
        <row r="34">
          <cell r="A34">
            <v>80432</v>
          </cell>
          <cell r="G34">
            <v>5758.5381462835412</v>
          </cell>
          <cell r="H34">
            <v>12599.681464068388</v>
          </cell>
        </row>
        <row r="35">
          <cell r="A35">
            <v>80441</v>
          </cell>
          <cell r="B35">
            <v>6794709010</v>
          </cell>
          <cell r="G35">
            <v>2063.5389828021325</v>
          </cell>
          <cell r="H35">
            <v>4784.7278394233044</v>
          </cell>
        </row>
        <row r="36">
          <cell r="A36">
            <v>80444</v>
          </cell>
          <cell r="B36">
            <v>4336565321</v>
          </cell>
          <cell r="G36">
            <v>2681.2652004251827</v>
          </cell>
          <cell r="H36">
            <v>5866.6082585302993</v>
          </cell>
        </row>
        <row r="37">
          <cell r="A37">
            <v>80448</v>
          </cell>
          <cell r="B37">
            <v>9125071971</v>
          </cell>
          <cell r="G37">
            <v>1346.5730865911796</v>
          </cell>
          <cell r="H37">
            <v>2946.301913461501</v>
          </cell>
        </row>
        <row r="38">
          <cell r="A38">
            <v>80449</v>
          </cell>
          <cell r="B38">
            <v>6260468582</v>
          </cell>
          <cell r="G38">
            <v>167.66351385401339</v>
          </cell>
          <cell r="H38">
            <v>300.65421304301685</v>
          </cell>
        </row>
        <row r="39">
          <cell r="A39">
            <v>80450</v>
          </cell>
          <cell r="B39">
            <v>1894913744</v>
          </cell>
          <cell r="G39">
            <v>1734.1080263559641</v>
          </cell>
          <cell r="H39">
            <v>3794.2283616668492</v>
          </cell>
        </row>
        <row r="40">
          <cell r="A40">
            <v>80452</v>
          </cell>
          <cell r="B40">
            <v>7533745904</v>
          </cell>
          <cell r="G40">
            <v>43.897457447137676</v>
          </cell>
          <cell r="H40">
            <v>96.047636894337231</v>
          </cell>
        </row>
        <row r="41">
          <cell r="A41">
            <v>80455</v>
          </cell>
          <cell r="B41">
            <v>211875428</v>
          </cell>
          <cell r="G41">
            <v>2269.4102439070984</v>
          </cell>
          <cell r="H41">
            <v>5262.0815325473895</v>
          </cell>
        </row>
        <row r="42">
          <cell r="A42">
            <v>80456</v>
          </cell>
          <cell r="G42">
            <v>226.80121173048781</v>
          </cell>
          <cell r="H42">
            <v>525.88396963948219</v>
          </cell>
        </row>
        <row r="43">
          <cell r="A43">
            <v>80457</v>
          </cell>
          <cell r="G43">
            <v>58.484377935009974</v>
          </cell>
          <cell r="H43">
            <v>135.60772711790761</v>
          </cell>
        </row>
        <row r="44">
          <cell r="A44">
            <v>81186</v>
          </cell>
          <cell r="B44">
            <v>8093003599</v>
          </cell>
          <cell r="G44">
            <v>209.24160128032622</v>
          </cell>
          <cell r="H44">
            <v>457.82062360135382</v>
          </cell>
        </row>
        <row r="45">
          <cell r="A45">
            <v>81190</v>
          </cell>
          <cell r="G45">
            <v>31.414967914260867</v>
          </cell>
          <cell r="H45">
            <v>68.735949796402764</v>
          </cell>
        </row>
        <row r="46">
          <cell r="A46">
            <v>82549</v>
          </cell>
          <cell r="G46">
            <v>2609.5582379431053</v>
          </cell>
          <cell r="H46">
            <v>5709.7134246195146</v>
          </cell>
        </row>
        <row r="47">
          <cell r="A47">
            <v>83126</v>
          </cell>
          <cell r="B47">
            <v>8610138333</v>
          </cell>
          <cell r="G47">
            <v>133.9302027307827</v>
          </cell>
          <cell r="H47">
            <v>310.54396107186585</v>
          </cell>
        </row>
        <row r="48">
          <cell r="A48">
            <v>85673</v>
          </cell>
          <cell r="B48">
            <v>5861122059</v>
          </cell>
          <cell r="G48">
            <v>17809.827318113064</v>
          </cell>
          <cell r="H48">
            <v>31936.582346840351</v>
          </cell>
        </row>
        <row r="49">
          <cell r="A49">
            <v>85674</v>
          </cell>
          <cell r="B49">
            <v>8324760918</v>
          </cell>
          <cell r="G49">
            <v>11340.005052077277</v>
          </cell>
          <cell r="H49">
            <v>20334.897059384974</v>
          </cell>
        </row>
        <row r="50">
          <cell r="A50">
            <v>85683</v>
          </cell>
          <cell r="G50">
            <v>3044.8523761574957</v>
          </cell>
          <cell r="H50">
            <v>7060.0992045963849</v>
          </cell>
        </row>
        <row r="51">
          <cell r="A51">
            <v>85700</v>
          </cell>
          <cell r="B51">
            <v>5158365591</v>
          </cell>
          <cell r="G51">
            <v>30326.780013049247</v>
          </cell>
          <cell r="H51">
            <v>54381.981919399914</v>
          </cell>
        </row>
        <row r="52">
          <cell r="A52">
            <v>85707</v>
          </cell>
          <cell r="B52">
            <v>5044282710</v>
          </cell>
          <cell r="G52">
            <v>2164.3245840013424</v>
          </cell>
          <cell r="H52">
            <v>3881.0668440312065</v>
          </cell>
        </row>
        <row r="53">
          <cell r="A53">
            <v>85710</v>
          </cell>
          <cell r="B53">
            <v>1215420402</v>
          </cell>
          <cell r="G53">
            <v>2304.8575704257037</v>
          </cell>
          <cell r="H53">
            <v>5344.2732485460792</v>
          </cell>
        </row>
        <row r="54">
          <cell r="A54">
            <v>85714</v>
          </cell>
          <cell r="B54">
            <v>3230494713</v>
          </cell>
          <cell r="G54">
            <v>14182.586729981049</v>
          </cell>
          <cell r="H54">
            <v>25432.21452420202</v>
          </cell>
        </row>
        <row r="55">
          <cell r="A55">
            <v>85716</v>
          </cell>
          <cell r="B55">
            <v>8152509976</v>
          </cell>
          <cell r="G55">
            <v>0</v>
          </cell>
          <cell r="H55">
            <v>0</v>
          </cell>
        </row>
        <row r="56">
          <cell r="A56">
            <v>85717</v>
          </cell>
          <cell r="B56">
            <v>1008949603</v>
          </cell>
          <cell r="G56">
            <v>5967.9677071032747</v>
          </cell>
          <cell r="H56">
            <v>13837.926722460361</v>
          </cell>
        </row>
        <row r="57">
          <cell r="A57">
            <v>85718</v>
          </cell>
          <cell r="B57">
            <v>256299420</v>
          </cell>
          <cell r="G57">
            <v>5346.8085918735469</v>
          </cell>
          <cell r="H57">
            <v>12397.645081977196</v>
          </cell>
        </row>
        <row r="58">
          <cell r="A58">
            <v>85719</v>
          </cell>
          <cell r="B58">
            <v>5196417030</v>
          </cell>
          <cell r="G58">
            <v>6095.8412051104924</v>
          </cell>
          <cell r="H58">
            <v>14134.427002289698</v>
          </cell>
        </row>
        <row r="59">
          <cell r="A59">
            <v>85720</v>
          </cell>
          <cell r="B59">
            <v>1796745117</v>
          </cell>
          <cell r="G59">
            <v>783.6515739447392</v>
          </cell>
          <cell r="H59">
            <v>1817.0529045056669</v>
          </cell>
        </row>
        <row r="60">
          <cell r="A60">
            <v>85721</v>
          </cell>
          <cell r="G60">
            <v>3925.584015784731</v>
          </cell>
          <cell r="H60">
            <v>9083.4088541242891</v>
          </cell>
        </row>
        <row r="61">
          <cell r="A61">
            <v>85727</v>
          </cell>
          <cell r="B61">
            <v>7371025578</v>
          </cell>
          <cell r="G61">
            <v>3345.5117661512809</v>
          </cell>
          <cell r="H61">
            <v>7319.9797443390025</v>
          </cell>
        </row>
        <row r="62">
          <cell r="A62">
            <v>87005</v>
          </cell>
          <cell r="B62" t="str">
            <v>Not Appl</v>
          </cell>
        </row>
        <row r="63">
          <cell r="A63">
            <v>88522</v>
          </cell>
          <cell r="B63">
            <v>9181219491</v>
          </cell>
          <cell r="G63">
            <v>589.21626025654052</v>
          </cell>
          <cell r="H63">
            <v>736.40248206862429</v>
          </cell>
        </row>
        <row r="64">
          <cell r="A64">
            <v>88523</v>
          </cell>
          <cell r="B64">
            <v>1230016039</v>
          </cell>
          <cell r="G64">
            <v>4939.3309024208193</v>
          </cell>
          <cell r="H64">
            <v>6173.1757618455404</v>
          </cell>
        </row>
        <row r="65">
          <cell r="A65">
            <v>88524</v>
          </cell>
          <cell r="B65">
            <v>6975863502</v>
          </cell>
          <cell r="G65">
            <v>9554.8582744303876</v>
          </cell>
          <cell r="H65">
            <v>11941.661871383098</v>
          </cell>
        </row>
        <row r="66">
          <cell r="A66">
            <v>88525</v>
          </cell>
          <cell r="B66">
            <v>612713765</v>
          </cell>
          <cell r="G66">
            <v>2946.0813012827025</v>
          </cell>
          <cell r="H66">
            <v>3682.0124103431212</v>
          </cell>
        </row>
        <row r="67">
          <cell r="A67" t="str">
            <v>(blank)</v>
          </cell>
          <cell r="G67">
            <v>0</v>
          </cell>
          <cell r="H67">
            <v>0</v>
          </cell>
        </row>
        <row r="68">
          <cell r="A68" t="str">
            <v>WR 6514460654</v>
          </cell>
          <cell r="B68">
            <v>6514460654</v>
          </cell>
          <cell r="G68">
            <v>2182.6649278340474</v>
          </cell>
          <cell r="H68">
            <v>4775.6708621008956</v>
          </cell>
        </row>
        <row r="69">
          <cell r="A69" t="str">
            <v>Not Assigned 1</v>
          </cell>
          <cell r="B69" t="str">
            <v>Emerging WO Est. MAINTAIN EXISTING SYSTEM - GAS</v>
          </cell>
          <cell r="C69">
            <v>6</v>
          </cell>
          <cell r="G69">
            <v>102.31584228034306</v>
          </cell>
          <cell r="H69">
            <v>223.86706290939065</v>
          </cell>
        </row>
        <row r="70">
          <cell r="A70" t="str">
            <v>Not Assigned 2</v>
          </cell>
          <cell r="B70" t="str">
            <v>Emerging WO Est. NEW BUSINESS - GAS</v>
          </cell>
          <cell r="C70">
            <v>6</v>
          </cell>
          <cell r="G70">
            <v>3057.0276587189096</v>
          </cell>
          <cell r="H70">
            <v>6688.776517276975</v>
          </cell>
        </row>
        <row r="71">
          <cell r="A71" t="str">
            <v>Not Assigned 3</v>
          </cell>
          <cell r="B71" t="str">
            <v>Emerging WO Est. NEW BUSINESS - GAS</v>
          </cell>
          <cell r="C71">
            <v>6</v>
          </cell>
          <cell r="G71">
            <v>6426.5968860968287</v>
          </cell>
          <cell r="H71">
            <v>14061.393986779867</v>
          </cell>
        </row>
        <row r="72">
          <cell r="A72" t="str">
            <v>Not Assigned 4</v>
          </cell>
          <cell r="B72" t="str">
            <v>Emerging WO Est. REBUILD DUE TO CONDITION-GAS</v>
          </cell>
          <cell r="C72">
            <v>6</v>
          </cell>
          <cell r="G72">
            <v>614.81522525288733</v>
          </cell>
          <cell r="H72">
            <v>1425.5720627938699</v>
          </cell>
        </row>
        <row r="73">
          <cell r="A73" t="str">
            <v>Not Assigned 5</v>
          </cell>
          <cell r="B73" t="str">
            <v>Emerging WO Est .REBUILD DUE TO CONDITION-GAS</v>
          </cell>
          <cell r="C73">
            <v>6</v>
          </cell>
          <cell r="G73">
            <v>1057.1690218271576</v>
          </cell>
          <cell r="H73">
            <v>2451.2578109106298</v>
          </cell>
        </row>
        <row r="74">
          <cell r="A74" t="str">
            <v>Not Assigned 6</v>
          </cell>
          <cell r="B74" t="str">
            <v>Emerging WO Est. REBUILD DUE TO CONDITION-GAS</v>
          </cell>
          <cell r="C74">
            <v>6</v>
          </cell>
          <cell r="G74">
            <v>128.38148861573987</v>
          </cell>
          <cell r="H74">
            <v>297.67815765331596</v>
          </cell>
        </row>
        <row r="75">
          <cell r="A75" t="str">
            <v>Not Assigned 7</v>
          </cell>
          <cell r="B75" t="str">
            <v>Emerging WO Est. REBUILD DUE TO CONDITION-GAS</v>
          </cell>
          <cell r="C75">
            <v>6</v>
          </cell>
          <cell r="G75">
            <v>10968.603747844902</v>
          </cell>
          <cell r="H75">
            <v>25432.901510127973</v>
          </cell>
        </row>
        <row r="76">
          <cell r="A76" t="str">
            <v>Not Assigned 8</v>
          </cell>
          <cell r="B76" t="str">
            <v>Emerging WO Est. REBUILD DUE TO CONDITION-GAS</v>
          </cell>
          <cell r="C76">
            <v>6</v>
          </cell>
          <cell r="G76">
            <v>359.84120156572288</v>
          </cell>
          <cell r="H76">
            <v>787.33254902580177</v>
          </cell>
        </row>
        <row r="77">
          <cell r="A77" t="str">
            <v>Not Assigned 9</v>
          </cell>
          <cell r="B77" t="str">
            <v>Emerging WO Est. REBUILD DUE TO CONDITION-GAS</v>
          </cell>
          <cell r="C77">
            <v>6</v>
          </cell>
          <cell r="G77">
            <v>225.1515167101754</v>
          </cell>
          <cell r="H77">
            <v>492.63151856186369</v>
          </cell>
        </row>
        <row r="78">
          <cell r="A78" t="str">
            <v>Not Assigned 10</v>
          </cell>
          <cell r="B78" t="str">
            <v>Emerging WO Est. REBUILD DUE TO CONDITION-GAS</v>
          </cell>
          <cell r="C78">
            <v>6</v>
          </cell>
          <cell r="G78">
            <v>694.84731402757404</v>
          </cell>
          <cell r="H78">
            <v>1520.3259230923318</v>
          </cell>
        </row>
        <row r="79">
          <cell r="A79" t="str">
            <v>Not Assigned 11</v>
          </cell>
          <cell r="B79" t="str">
            <v>Emerging WO Est. REBUILD FOR CAPACITY - GAS</v>
          </cell>
          <cell r="C79">
            <v>6</v>
          </cell>
          <cell r="G79">
            <v>396.80206427750096</v>
          </cell>
          <cell r="H79">
            <v>868.20291663917192</v>
          </cell>
        </row>
        <row r="80">
          <cell r="A80" t="str">
            <v>Not Assigned 12</v>
          </cell>
          <cell r="B80" t="str">
            <v>Emerging WO Est. RELOCATE - GAS</v>
          </cell>
          <cell r="C80">
            <v>6</v>
          </cell>
          <cell r="G80">
            <v>87.4587416980374</v>
          </cell>
          <cell r="H80">
            <v>191.35972683530582</v>
          </cell>
        </row>
        <row r="81">
          <cell r="A81" t="str">
            <v>Not Assigned 13</v>
          </cell>
          <cell r="B81" t="str">
            <v>Emerging WO Est. RELOCATE - GAS</v>
          </cell>
          <cell r="C81">
            <v>6</v>
          </cell>
          <cell r="G81">
            <v>1399.9152775598675</v>
          </cell>
          <cell r="H81">
            <v>3063.0146273009905</v>
          </cell>
        </row>
      </sheetData>
      <sheetData sheetId="17" refreshError="1"/>
      <sheetData sheetId="18" refreshError="1"/>
      <sheetData sheetId="19" refreshError="1"/>
      <sheetData sheetId="20" refreshError="1"/>
      <sheetData sheetId="2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2 Cost Summary"/>
      <sheetName val="1302 Reserve Summary"/>
      <sheetName val="1302 Net Book Summary"/>
      <sheetName val="1302"/>
      <sheetName val="Alloc Table"/>
    </sheetNames>
    <sheetDataSet>
      <sheetData sheetId="0" refreshError="1"/>
      <sheetData sheetId="1" refreshError="1"/>
      <sheetData sheetId="2" refreshError="1"/>
      <sheetData sheetId="3" refreshError="1"/>
      <sheetData sheetId="4" refreshError="1">
        <row r="1">
          <cell r="A1" t="str">
            <v xml:space="preserve">DRAFT </v>
          </cell>
          <cell r="I1" t="str">
            <v>Updated 061505</v>
          </cell>
        </row>
        <row r="3">
          <cell r="A3" t="str">
            <v>Allocation Table</v>
          </cell>
        </row>
        <row r="4">
          <cell r="A4" t="str">
            <v>Code</v>
          </cell>
          <cell r="B4" t="str">
            <v>Production</v>
          </cell>
          <cell r="C4" t="str">
            <v>E. Trans</v>
          </cell>
          <cell r="D4" t="str">
            <v>E. Dist</v>
          </cell>
          <cell r="E4" t="str">
            <v>Gas</v>
          </cell>
          <cell r="F4" t="str">
            <v>Retired</v>
          </cell>
          <cell r="G4" t="str">
            <v>Total</v>
          </cell>
        </row>
        <row r="5">
          <cell r="A5" t="str">
            <v>BGUSE</v>
          </cell>
          <cell r="B5">
            <v>0</v>
          </cell>
          <cell r="C5">
            <v>4.6617275386662089E-3</v>
          </cell>
          <cell r="D5">
            <v>0.63654760143416056</v>
          </cell>
          <cell r="E5">
            <v>0.35879067102717321</v>
          </cell>
          <cell r="F5">
            <v>0</v>
          </cell>
          <cell r="G5">
            <v>1</v>
          </cell>
        </row>
        <row r="6">
          <cell r="A6" t="str">
            <v>CUSTOMER</v>
          </cell>
          <cell r="B6">
            <v>0</v>
          </cell>
          <cell r="C6">
            <v>0</v>
          </cell>
          <cell r="D6">
            <v>0.59167046681630375</v>
          </cell>
          <cell r="E6">
            <v>0.40832953318369625</v>
          </cell>
          <cell r="F6">
            <v>0</v>
          </cell>
          <cell r="G6">
            <v>1</v>
          </cell>
          <cell r="J6" t="str">
            <v>UPDATED</v>
          </cell>
        </row>
        <row r="7">
          <cell r="A7" t="str">
            <v>E.CUSTOMER</v>
          </cell>
          <cell r="B7">
            <v>0</v>
          </cell>
          <cell r="C7">
            <v>3.8369656608255816E-5</v>
          </cell>
          <cell r="D7">
            <v>0.99996163034339169</v>
          </cell>
          <cell r="E7">
            <v>0</v>
          </cell>
          <cell r="F7">
            <v>0</v>
          </cell>
          <cell r="G7">
            <v>1</v>
          </cell>
          <cell r="J7" t="str">
            <v>UPDATED - using # of transmission customers from Donna Johnson</v>
          </cell>
        </row>
        <row r="8">
          <cell r="A8" t="str">
            <v>DSHARE</v>
          </cell>
          <cell r="B8">
            <v>0</v>
          </cell>
          <cell r="C8">
            <v>0.14946200000000001</v>
          </cell>
          <cell r="D8">
            <v>0.52795700000000001</v>
          </cell>
          <cell r="E8">
            <v>0.32258100000000001</v>
          </cell>
          <cell r="F8">
            <v>0</v>
          </cell>
          <cell r="G8">
            <v>1</v>
          </cell>
          <cell r="J8" t="str">
            <v>UPDATED - No Change</v>
          </cell>
        </row>
        <row r="9">
          <cell r="A9" t="str">
            <v>DSPTCH</v>
          </cell>
          <cell r="B9">
            <v>0</v>
          </cell>
          <cell r="C9">
            <v>0.1288</v>
          </cell>
          <cell r="D9">
            <v>0.62119999999999997</v>
          </cell>
          <cell r="E9">
            <v>0.25</v>
          </cell>
          <cell r="F9">
            <v>0</v>
          </cell>
          <cell r="G9">
            <v>1</v>
          </cell>
          <cell r="J9" t="str">
            <v>UPDATED - No Change</v>
          </cell>
        </row>
        <row r="10">
          <cell r="A10" t="str">
            <v>E.DIST</v>
          </cell>
          <cell r="B10">
            <v>0</v>
          </cell>
          <cell r="C10">
            <v>0</v>
          </cell>
          <cell r="D10">
            <v>1</v>
          </cell>
          <cell r="E10">
            <v>0</v>
          </cell>
          <cell r="F10">
            <v>0</v>
          </cell>
          <cell r="G10">
            <v>1</v>
          </cell>
          <cell r="J10" t="str">
            <v>UPDATED - No Change</v>
          </cell>
        </row>
        <row r="11">
          <cell r="A11" t="str">
            <v>E.TRANS</v>
          </cell>
          <cell r="B11">
            <v>0</v>
          </cell>
          <cell r="C11">
            <v>1</v>
          </cell>
          <cell r="D11">
            <v>0</v>
          </cell>
          <cell r="E11">
            <v>0</v>
          </cell>
          <cell r="F11">
            <v>0</v>
          </cell>
          <cell r="G11">
            <v>1</v>
          </cell>
          <cell r="J11" t="str">
            <v>UPDATED - No Change</v>
          </cell>
        </row>
        <row r="12">
          <cell r="A12" t="str">
            <v>EMPALL</v>
          </cell>
          <cell r="B12">
            <v>0</v>
          </cell>
          <cell r="C12">
            <v>1.2875471207311437E-2</v>
          </cell>
          <cell r="D12">
            <v>0.70329828538024886</v>
          </cell>
          <cell r="E12">
            <v>0.28382624341243962</v>
          </cell>
          <cell r="F12">
            <v>0</v>
          </cell>
          <cell r="G12">
            <v>1</v>
          </cell>
          <cell r="J12" t="str">
            <v>UPDATED</v>
          </cell>
        </row>
        <row r="13">
          <cell r="A13" t="str">
            <v>IT APPS-1</v>
          </cell>
          <cell r="B13">
            <v>0</v>
          </cell>
          <cell r="C13">
            <v>4.421290142633494E-3</v>
          </cell>
          <cell r="D13">
            <v>0.55521730414895176</v>
          </cell>
          <cell r="E13">
            <v>0.44036140570841475</v>
          </cell>
          <cell r="F13">
            <v>0</v>
          </cell>
          <cell r="G13">
            <v>1</v>
          </cell>
          <cell r="I13" t="str">
            <v>Special for Select Intangible</v>
          </cell>
        </row>
        <row r="14">
          <cell r="A14" t="str">
            <v>IT APPS-2</v>
          </cell>
          <cell r="B14">
            <v>0</v>
          </cell>
          <cell r="C14">
            <v>6.4660486473139848E-3</v>
          </cell>
          <cell r="D14">
            <v>0.62164717954752224</v>
          </cell>
          <cell r="E14">
            <v>0.37188677180516383</v>
          </cell>
          <cell r="F14">
            <v>0</v>
          </cell>
          <cell r="G14">
            <v>1</v>
          </cell>
          <cell r="I14" t="str">
            <v>Special for Select Intangible</v>
          </cell>
        </row>
        <row r="15">
          <cell r="A15" t="str">
            <v>IT APPS-3</v>
          </cell>
          <cell r="B15">
            <v>0</v>
          </cell>
          <cell r="C15">
            <v>3.7272957480604992E-3</v>
          </cell>
          <cell r="D15">
            <v>0.84467857462241513</v>
          </cell>
          <cell r="E15">
            <v>0.1515941296295244</v>
          </cell>
          <cell r="F15">
            <v>0</v>
          </cell>
          <cell r="G15">
            <v>1</v>
          </cell>
          <cell r="I15" t="str">
            <v>Special for Select Intangible</v>
          </cell>
        </row>
        <row r="16">
          <cell r="A16" t="str">
            <v>IT APPS-4</v>
          </cell>
          <cell r="B16">
            <v>0</v>
          </cell>
          <cell r="C16">
            <v>1.1934828459391436E-2</v>
          </cell>
          <cell r="D16">
            <v>0.71824207893106795</v>
          </cell>
          <cell r="E16">
            <v>0.26982309260954063</v>
          </cell>
          <cell r="F16">
            <v>0</v>
          </cell>
          <cell r="G16">
            <v>1</v>
          </cell>
          <cell r="I16" t="str">
            <v>Special for Select Intangible</v>
          </cell>
        </row>
        <row r="17">
          <cell r="A17" t="str">
            <v>GAS in Electric</v>
          </cell>
          <cell r="B17">
            <v>0</v>
          </cell>
          <cell r="C17">
            <v>0</v>
          </cell>
          <cell r="D17">
            <v>0</v>
          </cell>
          <cell r="E17">
            <v>1</v>
          </cell>
          <cell r="F17">
            <v>0</v>
          </cell>
          <cell r="G17">
            <v>1</v>
          </cell>
          <cell r="J17" t="str">
            <v>UPDATED - No Change</v>
          </cell>
        </row>
        <row r="18">
          <cell r="A18" t="str">
            <v>GAS</v>
          </cell>
          <cell r="B18">
            <v>0</v>
          </cell>
          <cell r="C18">
            <v>0</v>
          </cell>
          <cell r="D18">
            <v>0</v>
          </cell>
          <cell r="E18">
            <v>1</v>
          </cell>
          <cell r="F18">
            <v>0</v>
          </cell>
          <cell r="G18">
            <v>1</v>
          </cell>
          <cell r="J18" t="str">
            <v>UPDATED - No Change</v>
          </cell>
        </row>
        <row r="19">
          <cell r="A19" t="str">
            <v>LAN</v>
          </cell>
          <cell r="B19">
            <v>0</v>
          </cell>
          <cell r="C19">
            <v>1.2875471207311437E-2</v>
          </cell>
          <cell r="D19">
            <v>0.70329828538024886</v>
          </cell>
          <cell r="E19">
            <v>0.28382624341243962</v>
          </cell>
          <cell r="F19">
            <v>0</v>
          </cell>
          <cell r="G19">
            <v>1</v>
          </cell>
          <cell r="J19" t="str">
            <v>UPDATED - follows EMPALL</v>
          </cell>
        </row>
        <row r="20">
          <cell r="A20" t="str">
            <v>O&amp;MDG</v>
          </cell>
          <cell r="B20">
            <v>0</v>
          </cell>
          <cell r="C20">
            <v>0</v>
          </cell>
          <cell r="D20">
            <v>0.73694029144359885</v>
          </cell>
          <cell r="E20">
            <v>0.26305970855640121</v>
          </cell>
          <cell r="F20">
            <v>0</v>
          </cell>
          <cell r="G20">
            <v>1</v>
          </cell>
          <cell r="J20" t="str">
            <v>UPDATED</v>
          </cell>
        </row>
        <row r="21">
          <cell r="A21" t="str">
            <v>O&amp;MTD</v>
          </cell>
          <cell r="B21">
            <v>0</v>
          </cell>
          <cell r="C21">
            <v>1.7978138809024154E-2</v>
          </cell>
          <cell r="D21">
            <v>0.9820218611909759</v>
          </cell>
          <cell r="E21">
            <v>0</v>
          </cell>
          <cell r="F21">
            <v>0</v>
          </cell>
          <cell r="G21">
            <v>1</v>
          </cell>
          <cell r="J21" t="str">
            <v>UPDATED</v>
          </cell>
        </row>
        <row r="22">
          <cell r="A22" t="str">
            <v>O&amp;MTDG</v>
          </cell>
          <cell r="B22">
            <v>0</v>
          </cell>
          <cell r="C22">
            <v>1.3311770528787495E-2</v>
          </cell>
          <cell r="D22">
            <v>0.7271303113904839</v>
          </cell>
          <cell r="E22">
            <v>0.25955791808072864</v>
          </cell>
          <cell r="F22">
            <v>0</v>
          </cell>
          <cell r="G22">
            <v>1</v>
          </cell>
          <cell r="J22" t="str">
            <v>UPDATED</v>
          </cell>
        </row>
        <row r="23">
          <cell r="A23" t="str">
            <v>PBX</v>
          </cell>
          <cell r="B23">
            <v>0</v>
          </cell>
          <cell r="C23">
            <v>1.2875471207311437E-2</v>
          </cell>
          <cell r="D23">
            <v>0.70329828538024886</v>
          </cell>
          <cell r="E23">
            <v>0.28382624341243962</v>
          </cell>
          <cell r="F23">
            <v>0</v>
          </cell>
          <cell r="G23">
            <v>1</v>
          </cell>
          <cell r="J23" t="str">
            <v>UPDATED - follows EMPALL</v>
          </cell>
        </row>
        <row r="24">
          <cell r="A24" t="str">
            <v>PZUSE</v>
          </cell>
          <cell r="B24">
            <v>0</v>
          </cell>
          <cell r="C24">
            <v>7.0508532801943592E-3</v>
          </cell>
          <cell r="D24">
            <v>0.65279998650608329</v>
          </cell>
          <cell r="E24">
            <v>0.34014916021372243</v>
          </cell>
          <cell r="F24">
            <v>0</v>
          </cell>
          <cell r="G24">
            <v>1</v>
          </cell>
          <cell r="J24" t="str">
            <v>UPDATED</v>
          </cell>
        </row>
        <row r="25">
          <cell r="A25" t="str">
            <v>SBSTNS</v>
          </cell>
          <cell r="B25">
            <v>0</v>
          </cell>
          <cell r="C25">
            <v>0.3387437588452637</v>
          </cell>
          <cell r="D25">
            <v>0.66125624115473636</v>
          </cell>
          <cell r="E25">
            <v>0</v>
          </cell>
          <cell r="F25">
            <v>0</v>
          </cell>
          <cell r="G25">
            <v>1</v>
          </cell>
          <cell r="J25" t="str">
            <v>UPDATED - using T&amp;D Maintenance of station equipment accounts as allocator</v>
          </cell>
        </row>
        <row r="26">
          <cell r="A26" t="str">
            <v>UPIS</v>
          </cell>
          <cell r="B26">
            <v>5.947075961837406E-4</v>
          </cell>
          <cell r="C26">
            <v>9.980668861833604E-2</v>
          </cell>
          <cell r="D26">
            <v>0.67709297015809078</v>
          </cell>
          <cell r="E26">
            <v>0.22250563362738932</v>
          </cell>
          <cell r="F26">
            <v>0</v>
          </cell>
          <cell r="G26">
            <v>0.99999999999999989</v>
          </cell>
          <cell r="J26" t="str">
            <v>UPDATED</v>
          </cell>
        </row>
        <row r="27">
          <cell r="A27" t="str">
            <v>CLNTSYS</v>
          </cell>
          <cell r="B27">
            <v>0</v>
          </cell>
          <cell r="C27">
            <v>9.4168210570352365E-2</v>
          </cell>
          <cell r="D27">
            <v>0.62772027001200248</v>
          </cell>
          <cell r="E27">
            <v>0.27811151941764511</v>
          </cell>
          <cell r="F27">
            <v>0</v>
          </cell>
          <cell r="G27">
            <v>1</v>
          </cell>
        </row>
        <row r="28">
          <cell r="A28" t="str">
            <v>WAN</v>
          </cell>
          <cell r="B28">
            <v>0</v>
          </cell>
          <cell r="C28">
            <v>9.7968407383242029E-2</v>
          </cell>
          <cell r="D28">
            <v>0.62260162731700308</v>
          </cell>
          <cell r="E28">
            <v>0.27942996529975483</v>
          </cell>
          <cell r="F28">
            <v>0</v>
          </cell>
          <cell r="G28">
            <v>1</v>
          </cell>
        </row>
        <row r="29">
          <cell r="A29" t="str">
            <v>Retired</v>
          </cell>
          <cell r="B29">
            <v>0</v>
          </cell>
          <cell r="C29">
            <v>0</v>
          </cell>
          <cell r="D29">
            <v>0</v>
          </cell>
          <cell r="E29">
            <v>0</v>
          </cell>
          <cell r="F29">
            <v>1</v>
          </cell>
          <cell r="G29">
            <v>1</v>
          </cell>
          <cell r="J29" t="str">
            <v>UPDATED - No Change</v>
          </cell>
        </row>
        <row r="31">
          <cell r="A31" t="str">
            <v xml:space="preserve">Source: </v>
          </cell>
          <cell r="B31" t="str">
            <v>DST 2005\Allocators\[AssetSeparationAllocationTable-061505.xls]Alloc Table</v>
          </cell>
        </row>
        <row r="33">
          <cell r="A33" t="str">
            <v>Notes:</v>
          </cell>
          <cell r="B33" t="str">
            <v>Retirements of Intangible Plant will result in a decrease of the plant at 100% but only the reserve on the books.</v>
          </cell>
        </row>
        <row r="34">
          <cell r="B34" t="str">
            <v>Retirements of Other Plant will result in credit to plant and a debit to the reserve in the amount of the asset retired.</v>
          </cell>
        </row>
        <row r="35">
          <cell r="B35" t="str">
            <v>However, the amount of accumulated depreciation associated with the asset retired becomes an over/under</v>
          </cell>
        </row>
        <row r="36">
          <cell r="B36" t="str">
            <v>accrual amount that should be factored into the depr reserve.</v>
          </cell>
        </row>
        <row r="39">
          <cell r="A39" t="str">
            <v>Originally Based on Rev. 4 Data from 2000 Update</v>
          </cell>
        </row>
      </sheetData>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put"/>
      <sheetName val="WACC"/>
      <sheetName val="Common Stock Equity"/>
      <sheetName val="Preferred"/>
      <sheetName val="Debt Summary"/>
      <sheetName val="TFI Summary"/>
      <sheetName val="TFTd12-08"/>
      <sheetName val="TFT -Cost"/>
      <sheetName val="STD"/>
      <sheetName val="6.75d3-05"/>
      <sheetName val="7.5d7-25"/>
      <sheetName val="PQRd4-32"/>
      <sheetName val="Sd3-28"/>
      <sheetName val="Td3-28"/>
      <sheetName val="7.5d6-09"/>
      <sheetName val="Ud2-24"/>
      <sheetName val="Vd12-24"/>
      <sheetName val="AdjWd11-28"/>
      <sheetName val="AdjXd3-17"/>
      <sheetName val="11.5d12-10"/>
      <sheetName val="6.5d8-03"/>
      <sheetName val="6.0d9-03"/>
      <sheetName val="Template"/>
      <sheetName val="Summary by Test Year"/>
      <sheetName val="Summary by Month"/>
      <sheetName val="189002"/>
      <sheetName val="189012"/>
      <sheetName val="189013"/>
      <sheetName val="189015"/>
      <sheetName val="189015 Secur"/>
      <sheetName val="189017"/>
      <sheetName val="189018"/>
      <sheetName val="189019"/>
      <sheetName val="189021"/>
      <sheetName val="189022"/>
      <sheetName val="189023"/>
      <sheetName val="189024"/>
      <sheetName val="189025"/>
      <sheetName val="189026 Secur"/>
      <sheetName val="189027 Secur"/>
      <sheetName val="189028 Secur"/>
      <sheetName val="189040"/>
      <sheetName val="189999"/>
      <sheetName val="257033"/>
      <sheetName val="257033 Secur"/>
    </sheetNames>
    <sheetDataSet>
      <sheetData sheetId="0"/>
      <sheetData sheetId="1">
        <row r="5">
          <cell r="B5">
            <v>37986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ibit"/>
      <sheetName val="ECRP Assets"/>
      <sheetName val="CBPP Assets"/>
      <sheetName val="Amergen"/>
      <sheetName val="West"/>
      <sheetName val="East"/>
      <sheetName val="Ratio Summary"/>
      <sheetName val="FAS 87"/>
      <sheetName val="Inputs"/>
      <sheetName val="ECRP Alloc"/>
      <sheetName val="CBPP Alloc"/>
      <sheetName val="CBPPU Alloc"/>
      <sheetName val="ENE Alloc"/>
      <sheetName val="SPBP Alloc"/>
      <sheetName val="SMRP Alloc"/>
      <sheetName val="AMG Alloc"/>
      <sheetName val="Total Alloc"/>
      <sheetName val="Forecast Q-NQ"/>
      <sheetName val="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B3">
            <v>2007</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sheetName val="2004 IS Actual"/>
      <sheetName val="2005 IS Plan"/>
      <sheetName val="2005 Actual"/>
      <sheetName val="2005 2+10 LE"/>
      <sheetName val="Blank"/>
      <sheetName val="EED IS"/>
      <sheetName val="EED IS Var B"/>
      <sheetName val="EED IS Var LE"/>
      <sheetName val="Blank1"/>
      <sheetName val="ComEd IS"/>
      <sheetName val="ComEd IS- Var 2 B"/>
      <sheetName val="ComEd IS- Var 2 LE"/>
      <sheetName val="Blank2"/>
      <sheetName val="PECO IS"/>
      <sheetName val="PECO IS- Var 2 B"/>
      <sheetName val="PECO IS- Var 2 LE"/>
      <sheetName val="Blank3"/>
      <sheetName val="EED BS "/>
      <sheetName val="EED BS Var B"/>
      <sheetName val="EED BS Var LE"/>
      <sheetName val="Blank4"/>
      <sheetName val="ComEd BS "/>
      <sheetName val="ComEd BS Var B"/>
      <sheetName val="ComEd BS Var LE"/>
      <sheetName val="Blank5"/>
      <sheetName val="PECO BS "/>
      <sheetName val="PECO BS Var B"/>
      <sheetName val="PECO BS Var LE"/>
      <sheetName val="Blank6"/>
      <sheetName val="EED CFS"/>
      <sheetName val="EED CFS Var B"/>
      <sheetName val="EED CFS Var LE"/>
      <sheetName val="Blank7"/>
      <sheetName val="ComEd CFS"/>
      <sheetName val="ComEd CFS Var B"/>
      <sheetName val="ComEd CFS Var LE"/>
      <sheetName val="Blank8"/>
      <sheetName val="PECO CFS"/>
      <sheetName val="PECO CFS Var B"/>
      <sheetName val="PECO CFS Var LE"/>
      <sheetName val="EED &gt;"/>
      <sheetName val="Blank9"/>
      <sheetName val="Blank10"/>
      <sheetName val="E O&amp;M VP M B"/>
      <sheetName val="E Cap VP M B"/>
      <sheetName val="E O&amp;M VP M LE"/>
      <sheetName val="E Cap VP M  LE"/>
      <sheetName val="E O&amp;M VP YTD B"/>
      <sheetName val="E Cap VP YTD B"/>
      <sheetName val="E O&amp;M VP FY B"/>
      <sheetName val="E Cap VP FY B"/>
      <sheetName val="E O&amp;M VP FY LE"/>
      <sheetName val="E Cap VP FY LE"/>
      <sheetName val="E O&amp;M RR"/>
      <sheetName val="E Cap RR"/>
      <sheetName val="E O&amp;M Category"/>
      <sheetName val="E Capital -Category"/>
      <sheetName val="E-Ops O&amp;M"/>
      <sheetName val="E-Ops O&amp;M R&amp;O"/>
      <sheetName val="E Ops Cap"/>
      <sheetName val="E Ops Cap R&amp;O"/>
      <sheetName val="E-TS O&amp;M"/>
      <sheetName val="E-TS O&amp;M R&amp;O"/>
      <sheetName val="E TS Cap"/>
      <sheetName val="E TS Cap R&amp;O"/>
      <sheetName val="E-C&amp;MS O&amp;M"/>
      <sheetName val="E-C&amp;MS O&amp;M R&amp;O"/>
      <sheetName val="E C&amp;MS Cap"/>
      <sheetName val="E C&amp;MS Cap R&amp;O"/>
      <sheetName val="E-CIMS O&amp;M"/>
      <sheetName val="E CIMS O&amp;M R&amp;O"/>
      <sheetName val="E CIMS Cap"/>
      <sheetName val="E CIMS Cap R&amp;O"/>
      <sheetName val="E-TO O&amp;M"/>
      <sheetName val="E-TO O&amp;M R&amp;O"/>
      <sheetName val="E TO Cap"/>
      <sheetName val="E TO Cap R&amp;O"/>
      <sheetName val="C-OFP O&amp;M"/>
      <sheetName val="C-OFP O&amp;M R&amp;O"/>
      <sheetName val="C OFP Cap"/>
      <sheetName val="C OFP Cap R&amp;O"/>
      <sheetName val="C Post 06 O&amp;M"/>
      <sheetName val="C-Post 06 O&amp;M R&amp;O"/>
      <sheetName val="C Post 06 Cap"/>
      <sheetName val="C Post 06 Cap R&amp;O"/>
      <sheetName val="P-OFP O&amp;M"/>
      <sheetName val="P-OFP O&amp;M R&amp;O"/>
      <sheetName val="P OFP Cap"/>
      <sheetName val="P OFP Cap R&amp;O"/>
      <sheetName val="Functional &gt;&gt;"/>
      <sheetName val="Blank9 (2)"/>
      <sheetName val="TOTAL O&amp;M"/>
      <sheetName val="TOTAL Cap"/>
      <sheetName val="Embedded O&amp;M"/>
      <sheetName val="Embedded Cap"/>
      <sheetName val="Finance-Sum O&amp;M"/>
      <sheetName val="Finance Sum Cap"/>
      <sheetName val="Finance O&amp;M"/>
      <sheetName val="Finance Cap"/>
      <sheetName val="Cont O&amp;M"/>
      <sheetName val="Cont Cap"/>
      <sheetName val="Tax O&amp;M"/>
      <sheetName val="Tax Cap"/>
      <sheetName val="HR O&amp;M"/>
      <sheetName val="Blank12"/>
      <sheetName val="IT O&amp;M"/>
      <sheetName val="IT Cap"/>
      <sheetName val="Legal O&amp;M"/>
      <sheetName val="Blank13"/>
      <sheetName val="Supply O&amp;M"/>
      <sheetName val="Supply Cap"/>
      <sheetName val="Com O&amp;M"/>
      <sheetName val="Blank14"/>
      <sheetName val="Allocated O&amp;M"/>
      <sheetName val="Allocated Cap"/>
      <sheetName val="Transactional"/>
      <sheetName val="ComED &gt;"/>
      <sheetName val="Blank15"/>
      <sheetName val="Blank16"/>
      <sheetName val="C O&amp;M VP M B"/>
      <sheetName val="C Cap VP M B"/>
      <sheetName val="C O&amp;M VP M LE"/>
      <sheetName val="C Cap VP M LE"/>
      <sheetName val="C O&amp;M VP Y B"/>
      <sheetName val="C Cap VP Y B"/>
      <sheetName val="C O&amp;M VP FY B"/>
      <sheetName val="C Cap VP FY B"/>
      <sheetName val="C O&amp;M VP FY LE"/>
      <sheetName val="C Cap VP FY LE"/>
      <sheetName val="C O&amp;M -Category"/>
      <sheetName val="C Capital-Category"/>
      <sheetName val="C Ops O&amp;M"/>
      <sheetName val="C Ops O&amp;M V"/>
      <sheetName val="C Ops Cap"/>
      <sheetName val="C Ops Cap V"/>
      <sheetName val="C-TS O&amp;M"/>
      <sheetName val="C TS O&amp;M V"/>
      <sheetName val="C TS Cap"/>
      <sheetName val="C TS Cap V"/>
      <sheetName val="C-C&amp;MS O&amp;M"/>
      <sheetName val="C C&amp;MS O&amp;M V"/>
      <sheetName val="C C&amp;MS Cap"/>
      <sheetName val="C C&amp;MS Cap V"/>
      <sheetName val="C-TO O&amp;M"/>
      <sheetName val="C TO O&amp;M V"/>
      <sheetName val="C TO Cap"/>
      <sheetName val="C TO Cap V"/>
      <sheetName val="PECO &gt;"/>
      <sheetName val="Blank17"/>
      <sheetName val="P O&amp;M VP M B"/>
      <sheetName val="P Cap VP M B"/>
      <sheetName val="P O&amp;M VP M LE"/>
      <sheetName val="P Cap VP M LE"/>
      <sheetName val="P O&amp;M VP Y B"/>
      <sheetName val="P Cap VP Y B"/>
      <sheetName val="P O&amp;M VP FY B"/>
      <sheetName val="P Cap VP FY B"/>
      <sheetName val="P O&amp;M VP FY LE"/>
      <sheetName val="P Cap M VP FY LE"/>
      <sheetName val="P O&amp;M-Category "/>
      <sheetName val="P Capital Category"/>
      <sheetName val="P-Ops O&amp;M"/>
      <sheetName val="P Ops O&amp;M V"/>
      <sheetName val="P Ops Cap"/>
      <sheetName val="P Ops Cap V"/>
      <sheetName val="P-TS O&amp;M"/>
      <sheetName val="P TS O&amp;M V"/>
      <sheetName val="P TS Cap"/>
      <sheetName val="P TS Cap V"/>
      <sheetName val="P-C&amp;MS O&amp;M"/>
      <sheetName val="P C&amp;MS O&amp;M V"/>
      <sheetName val="P C&amp;MS Cap"/>
      <sheetName val="P C&amp;MS Cap V"/>
      <sheetName val="P-CIMS O&amp;M "/>
      <sheetName val="P CIMS O&amp;M V"/>
      <sheetName val="P CIMS Cap"/>
      <sheetName val="P CIMS Cap V"/>
      <sheetName val="P-TO O&amp;M"/>
      <sheetName val="P TO O&amp;M V"/>
      <sheetName val="P TO Cap"/>
      <sheetName val="P TO Cap V"/>
      <sheetName val="RNF &gt;"/>
      <sheetName val="E Acc"/>
      <sheetName val="C Acc"/>
      <sheetName val="P Acc"/>
      <sheetName val="P Acc Elec"/>
      <sheetName val="P Acc Gas"/>
      <sheetName val="C Cust"/>
      <sheetName val="C Rev"/>
      <sheetName val="C Sales"/>
      <sheetName val="C Rates"/>
      <sheetName val="C PPA Price"/>
      <sheetName val="C PPA Vol"/>
      <sheetName val="C Trans"/>
      <sheetName val="P Elec Cust"/>
      <sheetName val="P Elec Rev"/>
      <sheetName val="P Elec Sales"/>
      <sheetName val="P Elec Rates"/>
      <sheetName val="P Elec PPA Price"/>
      <sheetName val="P Elec PPA Vol"/>
      <sheetName val="P Elec Trans"/>
      <sheetName val="P Gas Cust"/>
      <sheetName val="P Gas Rev"/>
      <sheetName val="P Gas Sales"/>
      <sheetName val="P Gas Rates"/>
      <sheetName val="Other P&amp;L &gt;"/>
      <sheetName val="EED Other Op Rev"/>
      <sheetName val="EED TOTI"/>
      <sheetName val="ComEd TOTI"/>
      <sheetName val="PECO TOTI"/>
      <sheetName val="EED Depr"/>
      <sheetName val="ComEd Depr "/>
      <sheetName val="PECO Depr"/>
      <sheetName val="EED Interest"/>
      <sheetName val="ComEd Interest"/>
      <sheetName val="ComEd Other Op Rev"/>
      <sheetName val="PECO Other Op Rev"/>
      <sheetName val="PECO Interest"/>
      <sheetName val="PECO Taxes"/>
      <sheetName val="Incentive &gt;"/>
      <sheetName val="AIP"/>
      <sheetName val="Financial Statements &gt;"/>
      <sheetName val="Functional Costs &gt;"/>
      <sheetName val="EED IS- Variances"/>
      <sheetName val="EED BS Var"/>
      <sheetName val="ComEd BS Var"/>
      <sheetName val="PECO BS Var"/>
      <sheetName val="EED CFS Var"/>
      <sheetName val="ComEd CFS Var"/>
      <sheetName val="PECO CFS Var"/>
      <sheetName val="C O&amp;M RR"/>
      <sheetName val="C Cap RR"/>
      <sheetName val="P O&amp;M RR"/>
      <sheetName val="P Cap RR"/>
      <sheetName val="Rev_Req"/>
      <sheetName val="FAS 87"/>
    </sheetNames>
    <sheetDataSet>
      <sheetData sheetId="0" refreshError="1">
        <row r="2">
          <cell r="B2" t="str">
            <v>April 2005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C"/>
      <sheetName val="PCR (M2) Final"/>
      <sheetName val="PCR (M3)"/>
      <sheetName val="PTD"/>
      <sheetName val="TDR (M2)"/>
      <sheetName val="TDR (M3)"/>
      <sheetName val="EO"/>
      <sheetName val="EOR (M2) Final"/>
      <sheetName val="EOR (M3)"/>
      <sheetName val="OA"/>
      <sheetName val="OAR (M2) Final"/>
      <sheetName val="OAR (M3)"/>
      <sheetName val="tariff tables (M3)"/>
      <sheetName val="tariff tables (M2)"/>
      <sheetName val="Sheet 91.23"/>
    </sheetNames>
    <sheetDataSet>
      <sheetData sheetId="0"/>
      <sheetData sheetId="1"/>
      <sheetData sheetId="2">
        <row r="15">
          <cell r="AW15">
            <v>2017933.2231788852</v>
          </cell>
          <cell r="AX15">
            <v>2624844.3311590743</v>
          </cell>
          <cell r="AY15">
            <v>1081359.0199577454</v>
          </cell>
        </row>
        <row r="16">
          <cell r="AW16">
            <v>6108606.2395446151</v>
          </cell>
          <cell r="AX16">
            <v>11408383.603662018</v>
          </cell>
          <cell r="AY16">
            <v>1999383.7939453251</v>
          </cell>
        </row>
        <row r="17">
          <cell r="AW17">
            <v>1490993.8051092124</v>
          </cell>
          <cell r="AX17">
            <v>2865835.4793320289</v>
          </cell>
          <cell r="AY17">
            <v>381548.29091454402</v>
          </cell>
        </row>
        <row r="18">
          <cell r="AW18">
            <v>107931.25</v>
          </cell>
          <cell r="AX18">
            <v>206921.25</v>
          </cell>
          <cell r="AY18">
            <v>31083.333333333332</v>
          </cell>
        </row>
        <row r="35">
          <cell r="AW35">
            <v>2199980.8486091732</v>
          </cell>
          <cell r="AX35">
            <v>3161923.2087913509</v>
          </cell>
          <cell r="AY35">
            <v>3908846.2054845998</v>
          </cell>
        </row>
        <row r="36">
          <cell r="AW36">
            <v>509335.6861139572</v>
          </cell>
          <cell r="AX36">
            <v>616915.99028771266</v>
          </cell>
          <cell r="AY36">
            <v>728169.17340049671</v>
          </cell>
        </row>
        <row r="37">
          <cell r="AW37">
            <v>1214169.3430026334</v>
          </cell>
          <cell r="AX37">
            <v>1347665.1387229783</v>
          </cell>
          <cell r="AY37">
            <v>1475165.7828210604</v>
          </cell>
        </row>
        <row r="38">
          <cell r="AW38">
            <v>557172.44018639275</v>
          </cell>
          <cell r="AX38">
            <v>580641.62736889767</v>
          </cell>
          <cell r="AY38">
            <v>603170.55508345738</v>
          </cell>
        </row>
        <row r="39">
          <cell r="AW39">
            <v>207793.9400868754</v>
          </cell>
          <cell r="AX39">
            <v>203607.64117032118</v>
          </cell>
          <cell r="AY39">
            <v>214523.16258585593</v>
          </cell>
        </row>
      </sheetData>
      <sheetData sheetId="3"/>
      <sheetData sheetId="4">
        <row r="22">
          <cell r="CF22">
            <v>-7859.8815598755764</v>
          </cell>
          <cell r="CG22">
            <v>-11296.617394752953</v>
          </cell>
          <cell r="CH22">
            <v>-13965.1525740786</v>
          </cell>
        </row>
        <row r="23">
          <cell r="CF23">
            <v>-2996.0922712585716</v>
          </cell>
          <cell r="CG23">
            <v>-3628.9175899277211</v>
          </cell>
          <cell r="CH23">
            <v>-4283.3480788264505</v>
          </cell>
        </row>
        <row r="24">
          <cell r="CF24">
            <v>-27766.866471993697</v>
          </cell>
          <cell r="CG24">
            <v>-30819.784877240669</v>
          </cell>
          <cell r="CH24">
            <v>-33735.600022934857</v>
          </cell>
        </row>
        <row r="25">
          <cell r="CF25">
            <v>-9148.6063466728483</v>
          </cell>
          <cell r="CG25">
            <v>-9533.9634449839014</v>
          </cell>
          <cell r="CH25">
            <v>-9903.8817614824802</v>
          </cell>
        </row>
        <row r="26">
          <cell r="CF26">
            <v>-2313.5820133384063</v>
          </cell>
          <cell r="CG26">
            <v>-2266.9716748860501</v>
          </cell>
          <cell r="CH26">
            <v>-2388.5053153889112</v>
          </cell>
        </row>
        <row r="36">
          <cell r="CF36">
            <v>378.21554911989864</v>
          </cell>
          <cell r="CG36">
            <v>543.5904241821072</v>
          </cell>
          <cell r="CH36">
            <v>671.99967443681385</v>
          </cell>
        </row>
      </sheetData>
      <sheetData sheetId="5">
        <row r="22">
          <cell r="AV22">
            <v>496744.51458413625</v>
          </cell>
          <cell r="AW22">
            <v>713946.21934838651</v>
          </cell>
          <cell r="AX22">
            <v>882597.64268176735</v>
          </cell>
        </row>
        <row r="23">
          <cell r="AV23">
            <v>165855.10787324235</v>
          </cell>
          <cell r="AW23">
            <v>200886.50944242743</v>
          </cell>
          <cell r="AX23">
            <v>237113.91150646424</v>
          </cell>
        </row>
        <row r="24">
          <cell r="AV24">
            <v>283726.8901320083</v>
          </cell>
          <cell r="AW24">
            <v>314922.16547289555</v>
          </cell>
          <cell r="AX24">
            <v>344716.49477980705</v>
          </cell>
        </row>
        <row r="25">
          <cell r="AV25">
            <v>85907.644962659659</v>
          </cell>
          <cell r="AW25">
            <v>89526.242105336627</v>
          </cell>
          <cell r="AX25">
            <v>92999.865321237914</v>
          </cell>
        </row>
        <row r="26">
          <cell r="AV26">
            <v>6083.8638128528473</v>
          </cell>
          <cell r="AW26">
            <v>5961.2958858114662</v>
          </cell>
          <cell r="AX26">
            <v>6280.8843478745448</v>
          </cell>
        </row>
        <row r="36">
          <cell r="AV36">
            <v>-23903.222704377586</v>
          </cell>
          <cell r="AW36">
            <v>-34354.914808309171</v>
          </cell>
          <cell r="AX36">
            <v>-42470.37942440663</v>
          </cell>
        </row>
      </sheetData>
      <sheetData sheetId="6"/>
      <sheetData sheetId="7"/>
      <sheetData sheetId="8">
        <row r="29">
          <cell r="X29">
            <v>277601.55367341603</v>
          </cell>
          <cell r="Y29">
            <v>397760.13882085978</v>
          </cell>
          <cell r="Z29">
            <v>491046.38536288252</v>
          </cell>
        </row>
        <row r="30">
          <cell r="X30">
            <v>62056.113402478994</v>
          </cell>
          <cell r="Y30">
            <v>74895.718092753392</v>
          </cell>
          <cell r="Z30">
            <v>88261.279839912982</v>
          </cell>
        </row>
        <row r="31">
          <cell r="X31">
            <v>176684.56358044758</v>
          </cell>
          <cell r="Y31">
            <v>195532.01585598782</v>
          </cell>
          <cell r="Z31">
            <v>213748.42722758793</v>
          </cell>
        </row>
        <row r="32">
          <cell r="X32">
            <v>86124.736415343781</v>
          </cell>
          <cell r="Y32">
            <v>89512.328722557286</v>
          </cell>
          <cell r="Z32">
            <v>92874.123374344548</v>
          </cell>
        </row>
        <row r="33">
          <cell r="X33">
            <v>43784.360316971273</v>
          </cell>
          <cell r="Y33">
            <v>42815.552361046743</v>
          </cell>
          <cell r="Z33">
            <v>45070.162424398848</v>
          </cell>
        </row>
      </sheetData>
      <sheetData sheetId="9"/>
      <sheetData sheetId="10"/>
      <sheetData sheetId="11">
        <row r="29">
          <cell r="W29">
            <v>-6455.8500854282793</v>
          </cell>
          <cell r="X29">
            <v>-9250.2357865316208</v>
          </cell>
          <cell r="Y29">
            <v>-11419.683380532151</v>
          </cell>
        </row>
        <row r="30">
          <cell r="W30">
            <v>-1677.0796086110608</v>
          </cell>
          <cell r="X30">
            <v>-2025.0816943939374</v>
          </cell>
          <cell r="Y30">
            <v>-2387.0021220325993</v>
          </cell>
        </row>
        <row r="31">
          <cell r="W31">
            <v>-3451.4615114135181</v>
          </cell>
          <cell r="X31">
            <v>-3817.4853779931723</v>
          </cell>
          <cell r="Y31">
            <v>-4172.080294390269</v>
          </cell>
        </row>
        <row r="32">
          <cell r="W32">
            <v>-1525.4920074504778</v>
          </cell>
          <cell r="X32">
            <v>-1584.1638347625237</v>
          </cell>
          <cell r="Y32">
            <v>-1643.0413705568562</v>
          </cell>
        </row>
        <row r="33">
          <cell r="W33">
            <v>-585.81432529180881</v>
          </cell>
          <cell r="X33">
            <v>-571.99574530403891</v>
          </cell>
          <cell r="Y33">
            <v>-601.7129474757752</v>
          </cell>
        </row>
      </sheetData>
      <sheetData sheetId="12"/>
      <sheetData sheetId="13"/>
      <sheetData sheetId="14"/>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C.1, PCR.2F, EO.3"/>
      <sheetName val="PPC.2, PCR.1F"/>
      <sheetName val="PPC.3, PCR.2"/>
      <sheetName val="PCR.1 (M2)"/>
      <sheetName val="PCR.1A (M2)"/>
      <sheetName val="PCR.1 (M3)"/>
      <sheetName val="PCR1.A (M3)"/>
      <sheetName val="PCR1.B (M3)"/>
      <sheetName val="PCR.3 (M2)"/>
      <sheetName val="PCR.3 (M3)"/>
      <sheetName val="PCR.4 (M2)"/>
      <sheetName val="PCR.4 (M3)"/>
      <sheetName val="PCR.5 (M2)"/>
      <sheetName val="PCR.5 (M3)"/>
      <sheetName val="PCR.5F"/>
      <sheetName val="PCR.6, TDR.5, EOR.5, OAR.5"/>
      <sheetName val="PTD.1, TDR.1, &amp; TDR.1F"/>
      <sheetName val="TDR.2 (M2)"/>
      <sheetName val="TDR.2 (M3)"/>
      <sheetName val="TDR.3 (M2)"/>
      <sheetName val="TDR.3 (M3)"/>
      <sheetName val="TDR.4 (M2)"/>
      <sheetName val="TDR.4 (M3)"/>
      <sheetName val="TDR.4F"/>
      <sheetName val="EO.1"/>
      <sheetName val="EO.2"/>
      <sheetName val="EOR.1F, EOR.1"/>
      <sheetName val="EOR.2 (M2)"/>
      <sheetName val="EOR.2 (M3)"/>
      <sheetName val="EOR.3 (M2)"/>
      <sheetName val="EOR.3 (M3)"/>
      <sheetName val="EOR.4 (M2)"/>
      <sheetName val="EOR.4 (M3)"/>
      <sheetName val="EOR.4F"/>
      <sheetName val="OAR.1 (M2)"/>
      <sheetName val="OAR.1A (M3)"/>
      <sheetName val="OAR.1B (M3)"/>
      <sheetName val="OAR.1C (M3)"/>
      <sheetName val="OAR.2 (M2)"/>
      <sheetName val="OAR.2 (M3)"/>
      <sheetName val="OAR.3 (M2)"/>
      <sheetName val="OAR.3A (M2)"/>
      <sheetName val="OAR.3 (M3)"/>
      <sheetName val="OAR.4 (M2)"/>
      <sheetName val="OAR.4 (M3)"/>
      <sheetName val="OAR.4F"/>
    </sheetNames>
    <sheetDataSet>
      <sheetData sheetId="0">
        <row r="27">
          <cell r="B27">
            <v>823809710.89954734</v>
          </cell>
          <cell r="C27">
            <v>1184020781.8935058</v>
          </cell>
          <cell r="D27">
            <v>1463715224.8515413</v>
          </cell>
          <cell r="E27">
            <v>1336664994.0460832</v>
          </cell>
          <cell r="F27">
            <v>1119079665.4526877</v>
          </cell>
          <cell r="G27">
            <v>861310496.59871697</v>
          </cell>
          <cell r="H27">
            <v>719637418.50404811</v>
          </cell>
          <cell r="I27">
            <v>953087156.89234209</v>
          </cell>
          <cell r="J27">
            <v>1248214161.8172109</v>
          </cell>
          <cell r="K27">
            <v>1255176708.3970134</v>
          </cell>
          <cell r="L27">
            <v>1155438853.4211845</v>
          </cell>
          <cell r="M27">
            <v>799316341.7253443</v>
          </cell>
          <cell r="N27">
            <v>823435842.64099085</v>
          </cell>
          <cell r="O27">
            <v>1182253404.6712387</v>
          </cell>
          <cell r="P27">
            <v>1463243391.1134698</v>
          </cell>
        </row>
        <row r="28">
          <cell r="B28">
            <v>214006590.80418369</v>
          </cell>
          <cell r="C28">
            <v>259208399.28055152</v>
          </cell>
          <cell r="D28">
            <v>305953434.20188934</v>
          </cell>
          <cell r="E28">
            <v>280856418.68896633</v>
          </cell>
          <cell r="F28">
            <v>244645940.36085454</v>
          </cell>
          <cell r="G28">
            <v>211287471.96717843</v>
          </cell>
          <cell r="H28">
            <v>203754783.1300754</v>
          </cell>
          <cell r="I28">
            <v>248296251.07174692</v>
          </cell>
          <cell r="J28">
            <v>276440786.4582572</v>
          </cell>
          <cell r="K28">
            <v>276703179.2840662</v>
          </cell>
          <cell r="L28">
            <v>268461515.94519675</v>
          </cell>
          <cell r="M28">
            <v>222468642.64741558</v>
          </cell>
          <cell r="N28">
            <v>214037969.80153504</v>
          </cell>
          <cell r="O28">
            <v>259388443.35974792</v>
          </cell>
          <cell r="P28">
            <v>309078989.07965964</v>
          </cell>
        </row>
        <row r="29">
          <cell r="B29">
            <v>504852117.67261267</v>
          </cell>
          <cell r="C29">
            <v>560359725.04073942</v>
          </cell>
          <cell r="D29">
            <v>613374545.87154281</v>
          </cell>
          <cell r="E29">
            <v>563003155.08682692</v>
          </cell>
          <cell r="F29">
            <v>525777849.44958454</v>
          </cell>
          <cell r="G29">
            <v>500829507.5393312</v>
          </cell>
          <cell r="H29">
            <v>504013757.42662746</v>
          </cell>
          <cell r="I29">
            <v>561164365.77195811</v>
          </cell>
          <cell r="J29">
            <v>614242841.92436695</v>
          </cell>
          <cell r="K29">
            <v>612510395.20461011</v>
          </cell>
          <cell r="L29">
            <v>609064939.63719511</v>
          </cell>
          <cell r="M29">
            <v>542930139.38885951</v>
          </cell>
          <cell r="N29">
            <v>505332973.16220433</v>
          </cell>
          <cell r="O29">
            <v>552569144.60818577</v>
          </cell>
          <cell r="P29">
            <v>619327366.38035524</v>
          </cell>
        </row>
        <row r="30">
          <cell r="B30">
            <v>223136740.16275239</v>
          </cell>
          <cell r="C30">
            <v>232535693.78009516</v>
          </cell>
          <cell r="D30">
            <v>241558091.74347511</v>
          </cell>
          <cell r="E30">
            <v>223273876.06086823</v>
          </cell>
          <cell r="F30">
            <v>219930504.46499082</v>
          </cell>
          <cell r="G30">
            <v>219972621.34758601</v>
          </cell>
          <cell r="H30">
            <v>222450916.65547773</v>
          </cell>
          <cell r="I30">
            <v>242282151.68348587</v>
          </cell>
          <cell r="J30">
            <v>250975463.49602565</v>
          </cell>
          <cell r="K30">
            <v>250580809.74395686</v>
          </cell>
          <cell r="L30">
            <v>252332508.81780612</v>
          </cell>
          <cell r="M30">
            <v>232854682.76037392</v>
          </cell>
          <cell r="N30">
            <v>221336739.48931596</v>
          </cell>
          <cell r="O30">
            <v>230201207.14389151</v>
          </cell>
          <cell r="P30">
            <v>241935503.49668512</v>
          </cell>
        </row>
        <row r="31">
          <cell r="B31">
            <v>85688222.716237277</v>
          </cell>
          <cell r="C31">
            <v>83961913.884668529</v>
          </cell>
          <cell r="D31">
            <v>88463159.829218939</v>
          </cell>
          <cell r="E31">
            <v>79423268.344595075</v>
          </cell>
          <cell r="F31">
            <v>83175188.403440759</v>
          </cell>
          <cell r="G31">
            <v>86735284.633053958</v>
          </cell>
          <cell r="H31">
            <v>93247060.641321868</v>
          </cell>
          <cell r="I31">
            <v>97836095.436305955</v>
          </cell>
          <cell r="J31">
            <v>103752963.75649156</v>
          </cell>
          <cell r="K31">
            <v>102347189.25692093</v>
          </cell>
          <cell r="L31">
            <v>98368052.772272438</v>
          </cell>
          <cell r="M31">
            <v>94567086.487890512</v>
          </cell>
          <cell r="N31">
            <v>88235436.372101769</v>
          </cell>
          <cell r="O31">
            <v>86463760.310069621</v>
          </cell>
          <cell r="P31">
            <v>89132027.692243785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Print"/>
      <sheetName val="Sch A-1"/>
      <sheetName val="Sch A-2"/>
      <sheetName val="Sch A-2.1"/>
      <sheetName val="Sch A-3"/>
      <sheetName val="Sch A-4"/>
      <sheetName val="Sch A-5 RB"/>
      <sheetName val="Sch A-5 Exp"/>
      <sheetName val="WPA-5"/>
      <sheetName val="WPA-5.2"/>
      <sheetName val="Sch B-1"/>
      <sheetName val="Sch B-2"/>
      <sheetName val="Sch B-2.1"/>
      <sheetName val="Sch B-2.2"/>
      <sheetName val="WPB-2.2a"/>
      <sheetName val="WPB-2.2b"/>
      <sheetName val="Sch B-2.3"/>
      <sheetName val="WPB-2.3"/>
      <sheetName val="Sch B-2.4"/>
      <sheetName val="WPB-2.4"/>
      <sheetName val="Sch B-2.5"/>
      <sheetName val="WPB-2.5a"/>
      <sheetName val="Sch B-2.6"/>
      <sheetName val="WPB-2.6"/>
      <sheetName val="Sch B-3"/>
      <sheetName val="Sch B-4"/>
      <sheetName val="Sch B-5"/>
      <sheetName val="WPB-5"/>
      <sheetName val="Sch B-5.1"/>
      <sheetName val="Sch B-6"/>
      <sheetName val="Sch B-7.2"/>
      <sheetName val="Sch B-7.2a"/>
      <sheetName val="Sch B-8"/>
      <sheetName val="Sch B-8.1"/>
      <sheetName val="WPB-8.1a"/>
      <sheetName val="Sch B-9"/>
      <sheetName val="WPB-9"/>
      <sheetName val="WPB-9a"/>
      <sheetName val="WPB-9b"/>
      <sheetName val="Sch B-9.1"/>
      <sheetName val="Sch B-13"/>
      <sheetName val="WPB-13a"/>
      <sheetName val="Sch B-14"/>
      <sheetName val="Sch C-1"/>
      <sheetName val="Sch C-2"/>
      <sheetName val="Sch C-2.1"/>
      <sheetName val="WPC-2.1"/>
      <sheetName val="Sch C-2.2"/>
      <sheetName val="WPC-2.2"/>
      <sheetName val="Sch C-2.3"/>
      <sheetName val="WPC-2.3"/>
      <sheetName val="WPC-2.3.3 Annualized Detail"/>
      <sheetName val="Sch C-2.4"/>
      <sheetName val="Sch C-2.5"/>
      <sheetName val="WPC-2.5"/>
      <sheetName val="Sch C-2.6"/>
      <sheetName val="WPC-2.6"/>
      <sheetName val="Sch C-2.7"/>
      <sheetName val="Sch C-2.8"/>
      <sheetName val="Sch C-2.9"/>
      <sheetName val="Sch C-2.10"/>
      <sheetName val="WPC-2.10"/>
      <sheetName val="Sch C-2.11"/>
      <sheetName val="WPC-2.11"/>
      <sheetName val="Sch C-2.12"/>
      <sheetName val="WPC-2.12"/>
      <sheetName val="Sch C-2.13"/>
      <sheetName val="WPC-2.13"/>
      <sheetName val="Sch C-2.14"/>
      <sheetName val="WPC-2.14"/>
      <sheetName val="WPC-2.14a"/>
      <sheetName val="Sch C-2.15"/>
      <sheetName val="Sch C-2.16"/>
      <sheetName val="Sch C-2.17"/>
      <sheetName val="Sch C-2.18"/>
      <sheetName val="Sch C-2.19"/>
      <sheetName val="WPC-2.19"/>
      <sheetName val="Sch C-2.20"/>
      <sheetName val="WPC-2.20"/>
      <sheetName val="Sch C-2.21"/>
      <sheetName val="WPC-2.21"/>
      <sheetName val="Sch C-2.22"/>
      <sheetName val="Sch C-2.23"/>
      <sheetName val="WPC-2.23"/>
      <sheetName val="Sch C-2.24"/>
      <sheetName val="Sch C-3"/>
      <sheetName val="Sch C-4"/>
      <sheetName val="Sch C-5a"/>
      <sheetName val="Sch C-5b"/>
      <sheetName val="Sch C-5.1"/>
      <sheetName val="Sch C-5.2"/>
      <sheetName val="Sch C-5.3"/>
      <sheetName val="Sch C-5.4"/>
      <sheetName val="WPC-5.4"/>
      <sheetName val="Sch C-6"/>
      <sheetName val="Sch C-6.1"/>
      <sheetName val="Sch C-6.2"/>
      <sheetName val="Sch C-7"/>
      <sheetName val="Schedule C-7"/>
      <sheetName val="Sch C-8"/>
      <sheetName val="Sch C-9"/>
      <sheetName val="Sch C-10"/>
      <sheetName val="WPC-10"/>
      <sheetName val="Sch C-10.1"/>
      <sheetName val="Sch C-11.1"/>
      <sheetName val="WPC-11.1"/>
      <sheetName val="Sch C-11.2a"/>
      <sheetName val="Sch C-11.2b"/>
      <sheetName val="Sch C-11.2c"/>
      <sheetName val="Sch C-11.2d"/>
      <sheetName val="Sch C-11.2e"/>
      <sheetName val="Sch C-11.2f"/>
      <sheetName val="Sch C-11.2g"/>
      <sheetName val="Sch C-11.2h"/>
      <sheetName val="Sch C-11.3"/>
      <sheetName val="WPC-11.3"/>
      <sheetName val="WPC-11.3a"/>
      <sheetName val="WPC-11.3b"/>
      <sheetName val="WPC-11.3c"/>
      <sheetName val="Sch C-12"/>
      <sheetName val="WPC-12"/>
      <sheetName val="Sch C-13"/>
      <sheetName val="Sch C-14"/>
      <sheetName val="WPC-14"/>
      <sheetName val="Sch C-16 OLD-Replaced 12.12.05"/>
      <sheetName val="WPC-16a"/>
      <sheetName val="Sch C-16"/>
      <sheetName val="Sch C-17 2004"/>
      <sheetName val="Sch C-17 2004 to Sept"/>
      <sheetName val="Sch C-17 2003"/>
      <sheetName val="Sch C-17 2002"/>
      <sheetName val="Sch C-17 2001"/>
      <sheetName val="Sch C-18"/>
      <sheetName val="WPC-18a"/>
      <sheetName val="WPC-18b"/>
      <sheetName val="WPC-18c"/>
      <sheetName val="Sch C-19"/>
      <sheetName val="Sch C-21"/>
      <sheetName val="Sch C-22"/>
      <sheetName val="Sch C-23"/>
      <sheetName val="WPC-23"/>
      <sheetName val="Sch C-25"/>
      <sheetName val="Sch C-26"/>
      <sheetName val="Sch C-29"/>
      <sheetName val="Sch C-31"/>
      <sheetName val="Sch C-32"/>
      <sheetName val="WPC-4"/>
      <sheetName val="WPA-5.1.4 Func Factors"/>
      <sheetName val="WPB-1 Cust Adv"/>
      <sheetName val="WPB-2.2.3"/>
      <sheetName val="WPB-2.4.2 Int Plt Gross - AMS"/>
      <sheetName val="WPB-2.4.3 Int Plt Reserve - AMS"/>
      <sheetName val="WPB-2.4.4 Int Plt Net - AMS"/>
      <sheetName val="WPB-2.4.5 Gen Plt Gross -AMS"/>
      <sheetName val="WPB-2.4.6 Gen Plt Reserve - AMS"/>
      <sheetName val="WPB-2.4.7 Gen Plt Net - AMS"/>
      <sheetName val="Sch B-5.2 Merged or Acq Prop"/>
      <sheetName val="Sch B-5.3 Leased Prop"/>
      <sheetName val="Sch B-7 CWIP"/>
      <sheetName val="Sch B-7.1 CWIP % Complete"/>
      <sheetName val="WPB-8.1b"/>
      <sheetName val="Construction"/>
      <sheetName val="GPROD"/>
      <sheetName val="ETRANS"/>
      <sheetName val="GTRANS"/>
      <sheetName val="EDISTR"/>
      <sheetName val="GDISTR"/>
      <sheetName val="DistrMisc"/>
      <sheetName val="Other"/>
      <sheetName val="Sch B-10 Def Charges"/>
      <sheetName val="Sch B-11 PHFFU"/>
      <sheetName val="Sch B-12 Analysis of PHFFU"/>
      <sheetName val="WPC-2.2.2"/>
      <sheetName val="WPC-2.2.3"/>
      <sheetName val="WPC-2.2.4"/>
      <sheetName val="WPC-2.2.5"/>
      <sheetName val="WPC-2.2.6"/>
      <sheetName val="WPC-2.2.7"/>
      <sheetName val="WPC-2.3.4 IP 04-05"/>
      <sheetName val="WPC-2.3.5 IP 05-05"/>
      <sheetName val="WPC-2.3.6 IP 06-05"/>
      <sheetName val="WPC-2.3.6 IP 07-05"/>
      <sheetName val="WPC-2.8"/>
      <sheetName val="WPC-2.13.3"/>
      <sheetName val="WPC-2.13.4"/>
      <sheetName val="WPC-2.13.5"/>
      <sheetName val="WPC-2.13.6"/>
      <sheetName val="WPC-2.13.7"/>
      <sheetName val="WPC-2.13.8"/>
      <sheetName val="WPC-2.13.9"/>
      <sheetName val="WPC-2.13.10"/>
      <sheetName val="WPC-2.13.11"/>
      <sheetName val="WPC-2.13.12"/>
      <sheetName val="WPC-2.22"/>
      <sheetName val="Sch C-5.5 ITC &amp; Job Dev. Cr"/>
      <sheetName val="WPC-6.1"/>
      <sheetName val="WPC-6.1 2004"/>
      <sheetName val="WPC-6.1 2003"/>
      <sheetName val="WPC-6.1 2002"/>
      <sheetName val="WPC-6.1 2001"/>
      <sheetName val="WPC-6.2"/>
      <sheetName val="Sheet2"/>
      <sheetName val="WPC-7"/>
      <sheetName val="WPC-8"/>
      <sheetName val="WPC-9"/>
      <sheetName val="WPC-11.1a"/>
      <sheetName val="Sch 11.4 Recon Est Ovrhd"/>
      <sheetName val="WPC-13.1 Affl Int Trans"/>
      <sheetName val="WPC-14a"/>
      <sheetName val="WPC-14b"/>
      <sheetName val="WPC-14c"/>
      <sheetName val="WPC-14d"/>
      <sheetName val="WPC-14e"/>
      <sheetName val="Sch C-15 Major Maint Proj"/>
      <sheetName val="WPC-16"/>
      <sheetName val="WPC-18b Accr Prop Tax"/>
      <sheetName val="WPC-18a 2004"/>
      <sheetName val="Sch C-18a Oth Tx 2003"/>
      <sheetName val="WPC-18a 2003"/>
      <sheetName val="Sch C-18a Oth Tx 2002"/>
      <sheetName val="WPC-18a Oth Tx 2002"/>
      <sheetName val="WPC-18a 2001"/>
      <sheetName val="Sch C-20 Local Tx"/>
      <sheetName val="Sch C-24 Legal Exp &amp; Res"/>
      <sheetName val="WPC-25"/>
      <sheetName val="Sch C-27 Fuel Adj Rev &amp; Exp"/>
      <sheetName val="Sch C-28 Fuel Transp Exp"/>
      <sheetName val="Sch C-30 PGA Rev &amp; Exp"/>
      <sheetName val="Sch C-33 Billing Exper"/>
      <sheetName val="Comm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row r="26">
          <cell r="J26">
            <v>0.88519099999999995</v>
          </cell>
        </row>
        <row r="36">
          <cell r="H36">
            <v>0.67503999999999997</v>
          </cell>
        </row>
        <row r="57">
          <cell r="J57">
            <v>0.87614000000000003</v>
          </cell>
        </row>
        <row r="65">
          <cell r="H65">
            <v>0.66896999999999995</v>
          </cell>
        </row>
        <row r="86">
          <cell r="J86">
            <v>0.87372000000000005</v>
          </cell>
        </row>
        <row r="94">
          <cell r="H94">
            <v>0.66110999999999998</v>
          </cell>
        </row>
        <row r="115">
          <cell r="J115">
            <v>0.85875000000000001</v>
          </cell>
        </row>
        <row r="123">
          <cell r="H123">
            <v>0.66471999999999998</v>
          </cell>
        </row>
      </sheetData>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refreshError="1">
        <row r="6">
          <cell r="B6" t="str">
            <v>As of December 31, 2004</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rint"/>
      <sheetName val="Sch A-1"/>
      <sheetName val="Sch A-2"/>
      <sheetName val="Sch A-2.1"/>
      <sheetName val="Sch A-3"/>
      <sheetName val="Sch A-4"/>
      <sheetName val="Sch A-5 RB"/>
      <sheetName val="Sch A-5 Exp"/>
      <sheetName val="WPA-5"/>
      <sheetName val="Sch B-1"/>
      <sheetName val="Sch B-2"/>
      <sheetName val="Sch B-2.1"/>
      <sheetName val="Sch B-2.2"/>
      <sheetName val="WPB-2.2a"/>
      <sheetName val="WPB-2.2b"/>
      <sheetName val="Sch B-2.3"/>
      <sheetName val="WPB-2.3"/>
      <sheetName val="Sch B-2.4"/>
      <sheetName val="WPB-2.4"/>
      <sheetName val="Sch B-2.5"/>
      <sheetName val="WPB-2.5a"/>
      <sheetName val="Sch B-2.6"/>
      <sheetName val="WPB-2.6"/>
      <sheetName val="Sch B-3"/>
      <sheetName val="Sch B-4"/>
      <sheetName val="Sch B-5"/>
      <sheetName val="WPB-5"/>
      <sheetName val="Sch B-5.1"/>
      <sheetName val="Sch B-6"/>
      <sheetName val="Sch B-7.2"/>
      <sheetName val="Sch B-7.2a"/>
      <sheetName val="Sch B-8"/>
      <sheetName val="Sch B-8.1"/>
      <sheetName val="WPB-8.1a"/>
      <sheetName val="Sch B-9"/>
      <sheetName val="WPB-9"/>
      <sheetName val="WPB-9a"/>
      <sheetName val="WPB-9b"/>
      <sheetName val="Sch B-9.1"/>
      <sheetName val="Sch B-13"/>
      <sheetName val="WPB-13a"/>
      <sheetName val="Sch B-14"/>
      <sheetName val="Sch C-1"/>
      <sheetName val="Sch C-2"/>
      <sheetName val="Sch C-2.1"/>
      <sheetName val="WPC-2.1"/>
      <sheetName val="Sch C-2.2"/>
      <sheetName val="WPC-2.2"/>
      <sheetName val="Sch C-2.3"/>
      <sheetName val="WPC-2.3"/>
      <sheetName val="WPC-2.3.3 Annualized Detail"/>
      <sheetName val="Sch C-2.4"/>
      <sheetName val="Sch C-2.5"/>
      <sheetName val="WPC-2.5"/>
      <sheetName val="Sch C-2.6"/>
      <sheetName val="WPC-2.6"/>
      <sheetName val="Sch C-2.7"/>
      <sheetName val="Sch C-2.8"/>
      <sheetName val="Sch C-2.9"/>
      <sheetName val="Sch C-2.10"/>
      <sheetName val="WPC-2.10"/>
      <sheetName val="Sch C-2.11"/>
      <sheetName val="WPC-2.11"/>
      <sheetName val="Sch C-2.12"/>
      <sheetName val="WPC-2.12"/>
      <sheetName val="Sch C-2.13"/>
      <sheetName val="WPC-2.13"/>
      <sheetName val="Sch C-2.14"/>
      <sheetName val="WPC-2.14"/>
      <sheetName val="WPC-2.14a"/>
      <sheetName val="Sch C-2.15"/>
      <sheetName val="Sch C-2.16"/>
      <sheetName val="Sch C-2.17"/>
      <sheetName val="Sch C-2.18"/>
      <sheetName val="Sch C-2.19"/>
      <sheetName val="WPC-2.19"/>
      <sheetName val="Sch C-2.20"/>
      <sheetName val="WPC-2.20"/>
      <sheetName val="Sch C-2.21"/>
      <sheetName val="WPC-2.21"/>
      <sheetName val="Sch C-2.22"/>
      <sheetName val="Sch C-2.23"/>
      <sheetName val="WPC-2.23"/>
      <sheetName val="Sch C-2.24"/>
      <sheetName val="Sch C-3"/>
      <sheetName val="Sch C-4"/>
      <sheetName val="Sch C-5a"/>
      <sheetName val="Sch C-5b"/>
      <sheetName val="Sch C-5.1"/>
      <sheetName val="Sch C-5.2"/>
      <sheetName val="Sch C-5.3"/>
      <sheetName val="Sch C-5.4"/>
      <sheetName val="WPC-5.4"/>
      <sheetName val="Sch C-6"/>
      <sheetName val="Sch C-6.1"/>
      <sheetName val="Sch C-6.2"/>
      <sheetName val="Sch C-7"/>
      <sheetName val="Sch C-8"/>
      <sheetName val="Sch C-9"/>
      <sheetName val="Sch C-10"/>
      <sheetName val="WPC-10"/>
      <sheetName val="Sch C-10.1"/>
      <sheetName val="Sch C-11.1"/>
      <sheetName val="WPC-11.1"/>
      <sheetName val="Sch C-11.2a"/>
      <sheetName val="Sch C-11.2b"/>
      <sheetName val="Sch C-11.2c"/>
      <sheetName val="Sch C-11.2d"/>
      <sheetName val="Sch C-11.2e"/>
      <sheetName val="Sch C-11.2f"/>
      <sheetName val="Sch C-11.2g"/>
      <sheetName val="Sch C-11.2h"/>
      <sheetName val="Sch C-11.3"/>
      <sheetName val="WPC-11.3"/>
      <sheetName val="WPC-11.3a"/>
      <sheetName val="WPC-11.3b"/>
      <sheetName val="WPC-11.3c"/>
      <sheetName val="Sch C-12"/>
      <sheetName val="WPC-12"/>
      <sheetName val="Sch C-13"/>
      <sheetName val="Sch C-14"/>
      <sheetName val="WPC-14"/>
      <sheetName val="Sch C-16 OLD-Replaced 12.12.05"/>
      <sheetName val="WPC-16a"/>
      <sheetName val="Sch C-16"/>
      <sheetName val="Sch C-17 2004"/>
      <sheetName val="Sch C-17 2004 to Sept"/>
      <sheetName val="Sch C-17 2003"/>
      <sheetName val="Sch C-17 2002"/>
      <sheetName val="Sch C-17 2001"/>
      <sheetName val="Sch C-18"/>
      <sheetName val="WPC-18a"/>
      <sheetName val="WPC-18b"/>
      <sheetName val="WPC-18c"/>
      <sheetName val="Sch C-19"/>
      <sheetName val="Sch C-21"/>
      <sheetName val="Sch C-22"/>
      <sheetName val="Sch C-23"/>
      <sheetName val="WPC-23"/>
      <sheetName val="Sch C-25"/>
      <sheetName val="Sch C-26"/>
      <sheetName val="Sch C-29"/>
      <sheetName val="Sch C-31"/>
      <sheetName val="Sch C-32"/>
      <sheetName val="WPC-4"/>
      <sheetName val="WPA-5.2"/>
      <sheetName val="WPA-5.1.4 Func Factors"/>
      <sheetName val="WPB-1 Cust Adv"/>
      <sheetName val="WPB-2.2.3"/>
      <sheetName val="WPB-2.4.2 Int Plt Gross - AMS"/>
      <sheetName val="WPB-2.4.3 Int Plt Reserve - AMS"/>
      <sheetName val="WPB-2.4.4 Int Plt Net - AMS"/>
      <sheetName val="WPB-2.4.5 Gen Plt Gross -AMS"/>
      <sheetName val="WPB-2.4.6 Gen Plt Reserve - AMS"/>
      <sheetName val="WPB-2.4.7 Gen Plt Net - AMS"/>
      <sheetName val="Sch B-5.2 Merged or Acq Prop"/>
      <sheetName val="Sch B-5.3 Leased Prop"/>
      <sheetName val="Sch B-7 CWIP"/>
      <sheetName val="Sch B-7.1 CWIP % Complete"/>
      <sheetName val="WPB-8.1b"/>
      <sheetName val="Construction"/>
      <sheetName val="GPROD"/>
      <sheetName val="ETRANS"/>
      <sheetName val="GTRANS"/>
      <sheetName val="EDISTR"/>
      <sheetName val="GDISTR"/>
      <sheetName val="DistrMisc"/>
      <sheetName val="Other"/>
      <sheetName val="Sch B-10 Def Charges"/>
      <sheetName val="Sch B-11 PHFFU"/>
      <sheetName val="Sch B-12 Analysis of PHFFU"/>
      <sheetName val="WPC-2.2.2"/>
      <sheetName val="WPC-2.2.3"/>
      <sheetName val="WPC-2.2.4"/>
      <sheetName val="WPC-2.2.5"/>
      <sheetName val="WPC-2.2.6"/>
      <sheetName val="WPC-2.2.7"/>
      <sheetName val="WPC-2.3.4 IP 04-05"/>
      <sheetName val="WPC-2.3.5 IP 05-05"/>
      <sheetName val="WPC-2.3.6 IP 06-05"/>
      <sheetName val="WPC-2.3.6 IP 07-05"/>
      <sheetName val="WPC-2.8"/>
      <sheetName val="WPC-2.13.3"/>
      <sheetName val="WPC-2.13.4"/>
      <sheetName val="WPC-2.13.5"/>
      <sheetName val="WPC-2.13.6"/>
      <sheetName val="WPC-2.13.7"/>
      <sheetName val="WPC-2.13.8"/>
      <sheetName val="WPC-2.13.9"/>
      <sheetName val="WPC-2.13.10"/>
      <sheetName val="WPC-2.13.11"/>
      <sheetName val="WPC-2.13.12"/>
      <sheetName val="WPC-2.22"/>
      <sheetName val="Sch C-5.5 ITC &amp; Job Dev. Cr"/>
      <sheetName val="WPC-6.1"/>
      <sheetName val="WPC-6.1 2004"/>
      <sheetName val="WPC-6.1 2003"/>
      <sheetName val="WPC-6.1 2002"/>
      <sheetName val="WPC-6.1 2001"/>
      <sheetName val="WPC-6.2"/>
      <sheetName val="WPC-7"/>
      <sheetName val="WPC-8"/>
      <sheetName val="WPC-9"/>
      <sheetName val="WPC-11.1a"/>
      <sheetName val="Sch 11.4 Recon Est Ovrhd"/>
      <sheetName val="WPC-13.1 Affl Int Trans"/>
      <sheetName val="WPC-14a"/>
      <sheetName val="WPC-14b"/>
      <sheetName val="WPC-14c"/>
      <sheetName val="WPC-14d"/>
      <sheetName val="WPC-14e"/>
      <sheetName val="Sch C-15 Major Maint Proj"/>
      <sheetName val="WPC-16"/>
      <sheetName val="WPC-18b Accr Prop Tax"/>
      <sheetName val="WPC-18a 2004"/>
      <sheetName val="Sch C-18a Oth Tx 2003"/>
      <sheetName val="WPC-18a 2003"/>
      <sheetName val="Sch C-18a Oth Tx 2002"/>
      <sheetName val="WPC-18a Oth Tx 2002"/>
      <sheetName val="WPC-18a 2001"/>
      <sheetName val="Sch C-20 Local Tx"/>
      <sheetName val="Sch C-24 Legal Exp &amp; Res"/>
      <sheetName val="WPC-25"/>
      <sheetName val="Sch C-27 Fuel Adj Rev &amp; Exp"/>
      <sheetName val="Sch C-28 Fuel Transp Exp"/>
      <sheetName val="Sch C-30 PGA Rev &amp; Exp"/>
      <sheetName val="Sch C-33 Billing Exper"/>
      <sheetName val="Comm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row r="26">
          <cell r="J26">
            <v>0.88519099999999995</v>
          </cell>
        </row>
      </sheetData>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Print"/>
      <sheetName val="A - 1"/>
      <sheetName val="A - 2"/>
      <sheetName val="A - 2.1"/>
      <sheetName val="A - 3"/>
      <sheetName val="WPA - 3a"/>
      <sheetName val="WPA - 3b"/>
      <sheetName val="A - 4"/>
      <sheetName val="A - 5a"/>
      <sheetName val="A - 5b"/>
      <sheetName val="WPA - 5"/>
      <sheetName val="DefResp-3a"/>
      <sheetName val="DefResp-3b"/>
      <sheetName val="WPA - 5c"/>
      <sheetName val="B - 1"/>
      <sheetName val="WPB - 1"/>
      <sheetName val="B - 2"/>
      <sheetName val="B - 2.1"/>
      <sheetName val="WPB - 2.1b"/>
      <sheetName val="WPB - 2.1c"/>
      <sheetName val="WPB - 2.1d"/>
      <sheetName val="WPB - 2.1e"/>
      <sheetName val="WPB - 2.1a"/>
      <sheetName val="B - 3a"/>
      <sheetName val="B - 3b"/>
      <sheetName val="B - 4"/>
      <sheetName val="WPB - 4"/>
      <sheetName val="B - 5"/>
      <sheetName val="WPB - 5a"/>
      <sheetName val="WPB - 5b"/>
      <sheetName val="WPB - 5c"/>
      <sheetName val="B - 5.1"/>
      <sheetName val="B - 5.2"/>
      <sheetName val="B - 6"/>
      <sheetName val="WPB - 6a"/>
      <sheetName val="WPB - 6b"/>
      <sheetName val="WPB - 6c"/>
      <sheetName val="B - 7.2a1"/>
      <sheetName val="B - 7.2a2"/>
      <sheetName val="B - 7.2b1"/>
      <sheetName val="WPB - 7.2UEC"/>
      <sheetName val="B - 7.2b2"/>
      <sheetName val="B - 8"/>
      <sheetName val="Workpaper"/>
      <sheetName val="B - 8.1"/>
      <sheetName val="WPB - 8.1a"/>
      <sheetName val="WPB - 8.1b"/>
      <sheetName val="B - 9"/>
      <sheetName val="WPB - 9a"/>
      <sheetName val="WPB - 9b"/>
      <sheetName val="B - 9.1"/>
      <sheetName val="WPB - 9.1a"/>
      <sheetName val="WPB - 9.1b"/>
      <sheetName val="B - 13"/>
      <sheetName val="WPB - 13a"/>
      <sheetName val="WPB - 13b"/>
      <sheetName val="WPB - 13c"/>
      <sheetName val="B - 14"/>
      <sheetName val="WPB - 14"/>
      <sheetName val="C - 1"/>
      <sheetName val="C - 2"/>
      <sheetName val="C - 2.1"/>
      <sheetName val="WPC - 2.1"/>
      <sheetName val="C - 2.2"/>
      <sheetName val="C - 2.3"/>
      <sheetName val="C - 2.4"/>
      <sheetName val="WPC - 2.4a"/>
      <sheetName val="WPC - 2.4b"/>
      <sheetName val="C - 2.5"/>
      <sheetName val="WPC - 2.5"/>
      <sheetName val="C - 2.6"/>
      <sheetName val="WPC - 2.6a"/>
      <sheetName val="C - 2.6 NOT USED"/>
      <sheetName val="WPC - 2.6a NOT USED"/>
      <sheetName val="WPC - 2.6b"/>
      <sheetName val="C - 2.7"/>
      <sheetName val="WPC - 2.7"/>
      <sheetName val="C - 2.7b"/>
      <sheetName val="WPC - 2.7b"/>
      <sheetName val="WPC - 2.7c"/>
      <sheetName val="C - 2.7d"/>
      <sheetName val="C - 2.7e"/>
      <sheetName val="C - 2.7f"/>
      <sheetName val="WPC - 2.7d"/>
      <sheetName val="WPC - 2.7e"/>
      <sheetName val="C - 2.7i"/>
      <sheetName val="C - 2.7j"/>
      <sheetName val="C - 2.8"/>
      <sheetName val="C - 2.9"/>
      <sheetName val="C - 2.10"/>
      <sheetName val="C - 2.11"/>
      <sheetName val="WPC - 2.11"/>
      <sheetName val="C - 2.12"/>
      <sheetName val="WPC - 2.12"/>
      <sheetName val="C - 2.13"/>
      <sheetName val="C - 2.14"/>
      <sheetName val="C - 2.15"/>
      <sheetName val="WPC - 2.15"/>
      <sheetName val="C - 2.16"/>
      <sheetName val="WPC - 2.16a"/>
      <sheetName val="WPC - 2.16b"/>
      <sheetName val="WPC - 2.16c"/>
      <sheetName val="C - 2.17"/>
      <sheetName val="C - 3"/>
      <sheetName val="WPC - 3a"/>
      <sheetName val="WPC - 3b"/>
      <sheetName val="C - 4"/>
      <sheetName val="WPC - 4a"/>
      <sheetName val="WPC - 4b"/>
      <sheetName val="WPC - 4c"/>
      <sheetName val="WPC - 4d"/>
      <sheetName val="C - 5"/>
      <sheetName val="WPC - 5a"/>
      <sheetName val="WPC - 5b"/>
      <sheetName val="C - 5b"/>
      <sheetName val="C - 5.1"/>
      <sheetName val="C - 5.2"/>
      <sheetName val="WPC - 5.2a"/>
      <sheetName val="WPC - 5.2b"/>
      <sheetName val="C - 5.3"/>
      <sheetName val="WPC - 5.3a"/>
      <sheetName val="WPC - 5.3b"/>
      <sheetName val="C - 5.4"/>
      <sheetName val="WPC - 5.4"/>
      <sheetName val="C - 5.5"/>
      <sheetName val="WPC - 5.5a"/>
      <sheetName val="WPC - 5.5b"/>
      <sheetName val="C - 6"/>
      <sheetName val="WPC - 6"/>
      <sheetName val="C - 6.1"/>
      <sheetName val="WPC - 6.1"/>
      <sheetName val="C - 6.2a"/>
      <sheetName val="C - 6.2b"/>
      <sheetName val="C - 7a"/>
      <sheetName val="C - 7b"/>
      <sheetName val="C - 8"/>
      <sheetName val="WPC - 8"/>
      <sheetName val="C - 9"/>
      <sheetName val="WPC - 9"/>
      <sheetName val="C - 10"/>
      <sheetName val="WPC - 10"/>
      <sheetName val="C - 10.1"/>
      <sheetName val="C - 11.1"/>
      <sheetName val="WPC - 11.1a"/>
      <sheetName val="WPC - 11.1b"/>
      <sheetName val="WPC - 11.1c"/>
      <sheetName val="WPC - 11.1d"/>
      <sheetName val="C - 11.2a"/>
      <sheetName val="C - 11.2b"/>
      <sheetName val="C - 11.2c"/>
      <sheetName val="C - 11.2d"/>
      <sheetName val="C - 11.2e"/>
      <sheetName val="C - 11.2f"/>
      <sheetName val="C - 11.2g"/>
      <sheetName val="C - 11.2h"/>
      <sheetName val="C - 11.2i"/>
      <sheetName val="C - 11.2j"/>
      <sheetName val="C - 11.2k"/>
      <sheetName val="C - 11.2l"/>
      <sheetName val="C - 11.2m"/>
      <sheetName val="C - 11.2n"/>
      <sheetName val="C - 11.2o"/>
      <sheetName val="C - 11.2p"/>
      <sheetName val="C - 11.3"/>
      <sheetName val="WPC - 11.3a"/>
      <sheetName val="WPC - 11.3b"/>
      <sheetName val="WPC - 11.3c"/>
      <sheetName val="WPC - 11.3d"/>
      <sheetName val="C - 12"/>
      <sheetName val="WPC - 12a"/>
      <sheetName val="WPC - 12b"/>
      <sheetName val="C - 13"/>
      <sheetName val="C - 14"/>
      <sheetName val="WPC - 14a"/>
      <sheetName val="WPC - 14b"/>
      <sheetName val="C - 16"/>
      <sheetName val="WPC-16a"/>
      <sheetName val="WPC-16b"/>
      <sheetName val="C - 17a"/>
      <sheetName val="C - 17b"/>
      <sheetName val="C - 17c"/>
      <sheetName val="C - 17d"/>
      <sheetName val="C - 18"/>
      <sheetName val="WPC - 18a"/>
      <sheetName val="WPC - 18b"/>
      <sheetName val="WPC - 18c1"/>
      <sheetName val="WPC - 18c"/>
      <sheetName val="C - 19"/>
      <sheetName val="C - 21"/>
      <sheetName val="WPC - 21a"/>
      <sheetName val="WPC - 21b"/>
      <sheetName val="C - 23 (1)"/>
      <sheetName val="C - 23"/>
      <sheetName val="WPC - 23a"/>
      <sheetName val="WPC - 23b"/>
      <sheetName val="WPC - 23c"/>
      <sheetName val="WPC - 23d"/>
      <sheetName val="C - 25"/>
    </sheetNames>
    <sheetDataSet>
      <sheetData sheetId="0" refreshError="1">
        <row r="217">
          <cell r="B217" t="str">
            <v>AmerenCIPS</v>
          </cell>
        </row>
        <row r="218">
          <cell r="B218" t="str">
            <v>AmerenUE Illinois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A - 1"/>
      <sheetName val="A - 2"/>
      <sheetName val="A - 2.1"/>
      <sheetName val="A - 3"/>
      <sheetName val="WPA-3a"/>
      <sheetName val="WPA-3b"/>
      <sheetName val="A-4"/>
      <sheetName val="A - 5a"/>
      <sheetName val="A - 5b"/>
      <sheetName val="WPA - 5"/>
      <sheetName val="WPA - 5a"/>
      <sheetName val="WPA - 5b"/>
      <sheetName val="WPA - 5c"/>
      <sheetName val="B - 1"/>
      <sheetName val="WPB - 1"/>
      <sheetName val="B-2"/>
      <sheetName val="B - 2.1"/>
      <sheetName val="WPB - 2.1a"/>
      <sheetName val="WPB - 2.1b"/>
      <sheetName val="WPB - 2.1c"/>
      <sheetName val="WPB - 2.1d"/>
      <sheetName val="WPB - 2.1e"/>
      <sheetName val="B - 3a"/>
      <sheetName val="B - 3b"/>
      <sheetName val="B - 4"/>
      <sheetName val="WPB - 4"/>
      <sheetName val="B - 5"/>
      <sheetName val="WPB - 5a"/>
      <sheetName val="WPB - 5b"/>
      <sheetName val="WPB - 5c"/>
      <sheetName val="B - 5.1"/>
      <sheetName val="B - 5.2"/>
      <sheetName val="B - 6"/>
      <sheetName val="WPB - 6a"/>
      <sheetName val="WPB - 6b"/>
      <sheetName val="WPB - 6c"/>
      <sheetName val="B - 7.2a"/>
      <sheetName val="B - 7.2b"/>
      <sheetName val="WPB - 7.2UEC"/>
      <sheetName val="B - 8"/>
      <sheetName val="Workpaper"/>
      <sheetName val="B - 8.1"/>
      <sheetName val="WPB - 8.1a"/>
      <sheetName val="WPB - 8.1b"/>
      <sheetName val="B - 9"/>
      <sheetName val="WPB - 9a"/>
      <sheetName val="WPB - 9b"/>
      <sheetName val="B - 9.1"/>
      <sheetName val="WPB - 9.1a"/>
      <sheetName val="WPB - 9.1b"/>
      <sheetName val="B - 13"/>
      <sheetName val="WPB-13a"/>
      <sheetName val="WPB -13b"/>
      <sheetName val="WPB - 13c"/>
      <sheetName val="B - 14"/>
      <sheetName val="WPB - 14"/>
      <sheetName val="C-1"/>
      <sheetName val="C - 2"/>
      <sheetName val="C - 2.1"/>
      <sheetName val="WPC-2.1"/>
      <sheetName val="C - 2.2"/>
      <sheetName val="C - 2.3"/>
      <sheetName val="C - 2.4"/>
      <sheetName val="WPC - 2.4a"/>
      <sheetName val="WPC - 2.4b"/>
      <sheetName val="C - 2.5"/>
      <sheetName val="WPC - 2.5"/>
      <sheetName val="C - 2.6"/>
      <sheetName val="WPC - 2.6a"/>
      <sheetName val="WPC - 2.6b"/>
      <sheetName val="C - 2.7"/>
      <sheetName val="WPC - 2.7a"/>
      <sheetName val="C - 2.7b"/>
      <sheetName val="WPC - 2.7b"/>
      <sheetName val="WPC - 2.7c"/>
      <sheetName val="C - 2.7d"/>
      <sheetName val="C - 2.7e"/>
      <sheetName val="C - 2.7f"/>
      <sheetName val="WPC - 2.7d"/>
      <sheetName val="WPC - 2.7e"/>
      <sheetName val="C - 2.7i"/>
      <sheetName val="C - 2.7j"/>
      <sheetName val="C - 2.8"/>
      <sheetName val="C - 2.9"/>
      <sheetName val="C - 2.10"/>
      <sheetName val="C - 2.11"/>
      <sheetName val="WPC - 2.11"/>
      <sheetName val="C - 2.12"/>
      <sheetName val="WPC - 2.12"/>
      <sheetName val="C - 2.13"/>
      <sheetName val="WPC - 2.13"/>
      <sheetName val="C - 2.14"/>
      <sheetName val="WPC - 2.14"/>
      <sheetName val="C - 2.15"/>
      <sheetName val="C - 3"/>
      <sheetName val="WPC - 3a"/>
      <sheetName val="WPC - 3b"/>
      <sheetName val="C-4"/>
      <sheetName val="WPC - 4a"/>
      <sheetName val="WPC - 4b"/>
      <sheetName val="WPC - 4c"/>
      <sheetName val="WPC - 4d"/>
      <sheetName val="WPC-4e"/>
      <sheetName val="C - 5"/>
      <sheetName val="WPC - 5a"/>
      <sheetName val="WPC - 5b"/>
      <sheetName val="C - 5.1"/>
      <sheetName val="C - 5.2"/>
      <sheetName val="WPC - 5.2a"/>
      <sheetName val="WPC - 5.2b"/>
      <sheetName val="C - 5.3"/>
      <sheetName val="WPC - 5.3a"/>
      <sheetName val="WPC - 5.3b"/>
      <sheetName val="C - 5.4"/>
      <sheetName val="WPC - 5.4"/>
      <sheetName val="C - 5.5"/>
      <sheetName val="WPC - 5.5a"/>
      <sheetName val="WPC - 5.5b"/>
      <sheetName val="C - 6"/>
      <sheetName val="WPC - 6"/>
      <sheetName val="C - 6.1"/>
      <sheetName val="WPC-6.1"/>
      <sheetName val="C - 6.2a"/>
      <sheetName val="C - 6.2b"/>
      <sheetName val="C - 7a"/>
      <sheetName val="C - 7b"/>
      <sheetName val="C - 8"/>
      <sheetName val="WPC - 8"/>
      <sheetName val="C - 9"/>
      <sheetName val="WPC-9"/>
      <sheetName val="C - 10"/>
      <sheetName val="WPC - 10"/>
      <sheetName val="C - 10.1"/>
      <sheetName val="C - 11.1"/>
      <sheetName val="WPC - 11.1a"/>
      <sheetName val="WPC - 11.1b"/>
      <sheetName val="WPC - 11.1c"/>
      <sheetName val="WPC-11.1d"/>
      <sheetName val="C - 11.2a"/>
      <sheetName val="C - 11.2b"/>
      <sheetName val="C - 11.2c"/>
      <sheetName val="C - 11.2d"/>
      <sheetName val="C - 11.2e"/>
      <sheetName val="C - 11.2f"/>
      <sheetName val="C - 11.2g"/>
      <sheetName val="C - 11.2h"/>
      <sheetName val="C - 11.2i"/>
      <sheetName val="C - 11.2j"/>
      <sheetName val="C - 11.2k"/>
      <sheetName val="C - 11.2l"/>
      <sheetName val="C - 11.2m"/>
      <sheetName val="C - 11.2n"/>
      <sheetName val="C - 11.2o"/>
      <sheetName val="C - 11.2p"/>
      <sheetName val="C - 11.3"/>
      <sheetName val="WPC - 11.3a"/>
      <sheetName val="WPC - 11.3b"/>
      <sheetName val="WPC-11.3c"/>
      <sheetName val="WPC-11.3d"/>
      <sheetName val="C - 12"/>
      <sheetName val="WPC - 12a"/>
      <sheetName val="WPC - 12b"/>
      <sheetName val="C - 13"/>
      <sheetName val="C - 14"/>
      <sheetName val="WPC - 14a"/>
      <sheetName val="WPC - 14b"/>
      <sheetName val="C - 16"/>
      <sheetName val="WPC-16a"/>
      <sheetName val="WPC-16b"/>
      <sheetName val="C - 17a"/>
      <sheetName val="C - 17b"/>
      <sheetName val="C - 17c"/>
      <sheetName val="C - 17d"/>
      <sheetName val="C - 18"/>
      <sheetName val="WPC - 18a"/>
      <sheetName val="WPC - 18b"/>
      <sheetName val="WPC - 18c"/>
      <sheetName val="WPC - 18d"/>
      <sheetName val="C - 19"/>
      <sheetName val="C-21"/>
      <sheetName val="WPC-21a"/>
      <sheetName val="WPC - 21b"/>
      <sheetName val="C - 23"/>
      <sheetName val="WPC - 23a"/>
      <sheetName val="WPC - 23b"/>
      <sheetName val="WPC - 23c"/>
      <sheetName val="WPC - 23d"/>
      <sheetName val="C - 25"/>
    </sheetNames>
    <sheetDataSet>
      <sheetData sheetId="0" refreshError="1">
        <row r="209">
          <cell r="B209" t="str">
            <v>AmerenCIPS (Including AmerenUE Illinois)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 - April 23, 2004"/>
      <sheetName val="#REF"/>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A - 1"/>
      <sheetName val="A - 2"/>
      <sheetName val="A - 2.1"/>
      <sheetName val="A - 4"/>
      <sheetName val="A - 5a"/>
      <sheetName val="A - 5b"/>
      <sheetName val="WPA - 5a"/>
      <sheetName val="WPA - 5b"/>
      <sheetName val="B - 1"/>
      <sheetName val="WPB-1.1"/>
      <sheetName val="WPB-1.2"/>
      <sheetName val="B  - 2"/>
      <sheetName val="B - 2.1"/>
      <sheetName val="B - 2.2"/>
      <sheetName val="B - 3"/>
      <sheetName val="B - 4"/>
      <sheetName val="B - 5"/>
      <sheetName val="B - 6a"/>
      <sheetName val="B - 6b"/>
      <sheetName val="B - 7.2a"/>
      <sheetName val="B - 7.2b"/>
      <sheetName val="B - 8 (alt)"/>
      <sheetName val="B - 8"/>
      <sheetName val="B - 8.1"/>
      <sheetName val="WPB - 8.1"/>
      <sheetName val="B - 9"/>
      <sheetName val="WPB - 9"/>
      <sheetName val="B - 13"/>
      <sheetName val="WPB - 13a"/>
      <sheetName val="WPB - 13b"/>
      <sheetName val="WPB - 13c"/>
      <sheetName val="2003 - B - 13"/>
      <sheetName val="2003 - WPB - 13"/>
      <sheetName val="B - 14"/>
      <sheetName val="WPB - 14"/>
      <sheetName val="C - 1"/>
      <sheetName val="C - 2"/>
      <sheetName val="C - 2.1"/>
      <sheetName val="C - 2.2"/>
      <sheetName val="C - 2.3"/>
      <sheetName val="C - 2.4moot"/>
      <sheetName val="C-2.4"/>
      <sheetName val="C-2.5"/>
      <sheetName val="C-2.6"/>
      <sheetName val="WPC-2.6a"/>
      <sheetName val="WPC-2.6b"/>
      <sheetName val="C-2.7"/>
      <sheetName val="C-2.8"/>
      <sheetName val="WPC-2.8"/>
      <sheetName val="C-2.9"/>
      <sheetName val="WPC-2.9"/>
      <sheetName val="C-2.10"/>
      <sheetName val="WPC-2.10a"/>
      <sheetName val="WPC - 2.10b"/>
      <sheetName val="C-2.11"/>
      <sheetName val="C-2.12"/>
      <sheetName val="WPC-2.12"/>
      <sheetName val="C-2.13"/>
      <sheetName val="C-2.14"/>
      <sheetName val="C - 3"/>
      <sheetName val="C - 4"/>
      <sheetName val="WPC - 4"/>
      <sheetName val="C-5"/>
      <sheetName val="C - 5b"/>
      <sheetName val="C - 5.1"/>
      <sheetName val="C-5.2"/>
      <sheetName val="C - 5.3"/>
      <sheetName val="C - 5.4"/>
      <sheetName val="WPC - 5.4"/>
      <sheetName val="C - 5.5"/>
      <sheetName val="C - 6"/>
      <sheetName val="C - 6.1"/>
      <sheetName val="C - 6.2"/>
      <sheetName val="C - 7"/>
      <sheetName val="C - 8"/>
      <sheetName val="WPC - 8"/>
      <sheetName val="C - 9"/>
      <sheetName val="C - 10"/>
      <sheetName val="WPC-10"/>
      <sheetName val="C - 10.1"/>
      <sheetName val="C - 11.1"/>
      <sheetName val="WPC - 11.1"/>
      <sheetName val="C-11.2a"/>
      <sheetName val="WPC-11.2a"/>
      <sheetName val="C-11.2b"/>
      <sheetName val="C-11.2c"/>
      <sheetName val="C-11.2d"/>
      <sheetName val="C-11.2e"/>
      <sheetName val="C-11.2f"/>
      <sheetName val="C-11.2g"/>
      <sheetName val="C-11.2h"/>
      <sheetName val="C - 11.3"/>
      <sheetName val="WPC - 11.3"/>
      <sheetName val="C - 12"/>
      <sheetName val="WPC - 12a"/>
      <sheetName val="WPC - 12b"/>
      <sheetName val="WPC - 12c"/>
      <sheetName val="C-13"/>
      <sheetName val="C - 14"/>
      <sheetName val="WPC - 14"/>
      <sheetName val="C - 16"/>
      <sheetName val="WPC-16"/>
      <sheetName val="C - 17a"/>
      <sheetName val="C - 17b"/>
      <sheetName val="C - 17c"/>
      <sheetName val="C - 17d"/>
      <sheetName val="C-18"/>
      <sheetName val="WPC - 18a"/>
      <sheetName val="WPC - 18b"/>
      <sheetName val="WPC - 18c"/>
      <sheetName val="C - 19"/>
      <sheetName val="C - 21"/>
      <sheetName val="C - 23"/>
      <sheetName val="WPC - 23"/>
      <sheetName val="C - 25"/>
      <sheetName val="C - 26"/>
      <sheetName val="C - 30"/>
    </sheetNames>
    <sheetDataSet>
      <sheetData sheetId="0" refreshError="1">
        <row r="109">
          <cell r="C109" t="str">
            <v>AmerenCILCO</v>
          </cell>
        </row>
        <row r="110">
          <cell r="C110" t="str">
            <v>As of December 31, 2006</v>
          </cell>
        </row>
        <row r="111">
          <cell r="C111" t="str">
            <v>As of December 31,</v>
          </cell>
        </row>
        <row r="112">
          <cell r="C112" t="str">
            <v>For the Twelve Months Ended December 31, 2006</v>
          </cell>
        </row>
        <row r="113">
          <cell r="C113" t="str">
            <v>For the Twelve Months Ended December 31,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S Charges by Target"/>
      <sheetName val="PivotByMajMin"/>
      <sheetName val="AMS Charges by RT-All"/>
      <sheetName val="Pivot-CILCO"/>
      <sheetName val="CILCO"/>
      <sheetName val="CIPS"/>
      <sheetName val="IPC"/>
      <sheetName val="Projects 2006"/>
      <sheetName val="RMC-Descrip"/>
      <sheetName val="Resource Types"/>
      <sheetName val="Functions"/>
      <sheetName val="2005-SR-AllocFactors"/>
      <sheetName val="AllocFactors"/>
      <sheetName val="UnknownProj#"/>
      <sheetName val="IndirectAllocFa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
          <cell r="B6" t="str">
            <v>0E203</v>
          </cell>
          <cell r="C6" t="str">
            <v>CIP</v>
          </cell>
          <cell r="D6" t="str">
            <v>N</v>
          </cell>
          <cell r="E6" t="str">
            <v>C</v>
          </cell>
          <cell r="F6" t="str">
            <v>02/12/1999</v>
          </cell>
        </row>
        <row r="7">
          <cell r="B7" t="str">
            <v>0E204</v>
          </cell>
          <cell r="C7" t="str">
            <v>CIP</v>
          </cell>
          <cell r="D7" t="str">
            <v>N</v>
          </cell>
          <cell r="E7" t="str">
            <v>C</v>
          </cell>
          <cell r="F7" t="str">
            <v>02/12/1999</v>
          </cell>
        </row>
        <row r="8">
          <cell r="B8" t="str">
            <v>02963</v>
          </cell>
          <cell r="C8" t="str">
            <v>UEC</v>
          </cell>
          <cell r="D8" t="str">
            <v>N</v>
          </cell>
          <cell r="E8" t="str">
            <v>A</v>
          </cell>
          <cell r="F8" t="str">
            <v>11/04/1997</v>
          </cell>
        </row>
        <row r="9">
          <cell r="B9" t="str">
            <v>02990</v>
          </cell>
          <cell r="C9" t="str">
            <v>CIL</v>
          </cell>
          <cell r="D9" t="str">
            <v>N</v>
          </cell>
          <cell r="E9" t="str">
            <v>A</v>
          </cell>
          <cell r="F9" t="str">
            <v>12/21/2003</v>
          </cell>
        </row>
        <row r="10">
          <cell r="B10" t="str">
            <v>03246</v>
          </cell>
          <cell r="C10" t="str">
            <v>CIL</v>
          </cell>
          <cell r="D10" t="str">
            <v>N</v>
          </cell>
          <cell r="E10" t="str">
            <v>A</v>
          </cell>
          <cell r="F10" t="str">
            <v>12/21/2003</v>
          </cell>
        </row>
        <row r="11">
          <cell r="B11" t="str">
            <v>03993</v>
          </cell>
          <cell r="C11" t="str">
            <v>ARG</v>
          </cell>
          <cell r="D11" t="str">
            <v>N</v>
          </cell>
          <cell r="E11" t="str">
            <v>A</v>
          </cell>
          <cell r="F11" t="str">
            <v>12/22/2003</v>
          </cell>
        </row>
        <row r="12">
          <cell r="B12" t="str">
            <v>03994</v>
          </cell>
          <cell r="C12" t="str">
            <v>UEC</v>
          </cell>
          <cell r="D12" t="str">
            <v>N</v>
          </cell>
          <cell r="E12" t="str">
            <v>A</v>
          </cell>
          <cell r="F12" t="str">
            <v>01/06/2004</v>
          </cell>
        </row>
        <row r="13">
          <cell r="B13" t="str">
            <v>05491</v>
          </cell>
          <cell r="C13" t="str">
            <v>UEC</v>
          </cell>
          <cell r="D13" t="str">
            <v>N</v>
          </cell>
          <cell r="E13" t="str">
            <v>C</v>
          </cell>
          <cell r="F13" t="str">
            <v>12/11/1997</v>
          </cell>
        </row>
        <row r="14">
          <cell r="B14" t="str">
            <v>08051</v>
          </cell>
          <cell r="C14" t="str">
            <v>UEC</v>
          </cell>
          <cell r="D14" t="str">
            <v>N</v>
          </cell>
          <cell r="E14" t="str">
            <v>C</v>
          </cell>
          <cell r="F14" t="str">
            <v>11/19/1997</v>
          </cell>
        </row>
        <row r="15">
          <cell r="B15" t="str">
            <v>08937</v>
          </cell>
          <cell r="C15" t="str">
            <v>UEC</v>
          </cell>
          <cell r="D15" t="str">
            <v>N</v>
          </cell>
          <cell r="E15" t="str">
            <v>C</v>
          </cell>
          <cell r="F15" t="str">
            <v>12/11/1997</v>
          </cell>
        </row>
        <row r="16">
          <cell r="B16" t="str">
            <v>09047</v>
          </cell>
          <cell r="C16" t="str">
            <v>UEC</v>
          </cell>
          <cell r="D16" t="str">
            <v>N</v>
          </cell>
          <cell r="E16" t="str">
            <v>C</v>
          </cell>
          <cell r="F16" t="str">
            <v>12/11/1997</v>
          </cell>
        </row>
        <row r="17">
          <cell r="B17" t="str">
            <v>09280</v>
          </cell>
          <cell r="C17" t="str">
            <v>UEC</v>
          </cell>
          <cell r="D17" t="str">
            <v>N</v>
          </cell>
          <cell r="E17" t="str">
            <v>C</v>
          </cell>
          <cell r="F17" t="str">
            <v>11/17/1997</v>
          </cell>
        </row>
        <row r="18">
          <cell r="B18" t="str">
            <v>09288</v>
          </cell>
          <cell r="C18" t="str">
            <v>UEC</v>
          </cell>
          <cell r="D18" t="str">
            <v>N</v>
          </cell>
          <cell r="E18" t="str">
            <v>C</v>
          </cell>
          <cell r="F18" t="str">
            <v>12/02/1997</v>
          </cell>
        </row>
        <row r="19">
          <cell r="B19" t="str">
            <v>09289</v>
          </cell>
          <cell r="C19" t="str">
            <v>UEC</v>
          </cell>
          <cell r="D19" t="str">
            <v>N</v>
          </cell>
          <cell r="E19" t="str">
            <v>C</v>
          </cell>
          <cell r="F19" t="str">
            <v>12/02/1997</v>
          </cell>
        </row>
        <row r="20">
          <cell r="B20" t="str">
            <v>09290</v>
          </cell>
          <cell r="C20" t="str">
            <v>UEC</v>
          </cell>
          <cell r="D20" t="str">
            <v>N</v>
          </cell>
          <cell r="E20" t="str">
            <v>C</v>
          </cell>
          <cell r="F20" t="str">
            <v>12/02/1997</v>
          </cell>
        </row>
        <row r="21">
          <cell r="B21" t="str">
            <v>09432</v>
          </cell>
          <cell r="C21" t="str">
            <v>UEC</v>
          </cell>
          <cell r="D21" t="str">
            <v>N</v>
          </cell>
          <cell r="E21" t="str">
            <v>A</v>
          </cell>
          <cell r="F21" t="str">
            <v>12/11/1998</v>
          </cell>
        </row>
        <row r="22">
          <cell r="B22" t="str">
            <v>09444</v>
          </cell>
          <cell r="C22" t="str">
            <v>UEC</v>
          </cell>
          <cell r="D22" t="str">
            <v>N</v>
          </cell>
          <cell r="E22" t="str">
            <v>C</v>
          </cell>
          <cell r="F22" t="str">
            <v>12/02/1997</v>
          </cell>
        </row>
        <row r="23">
          <cell r="B23" t="str">
            <v>09499</v>
          </cell>
          <cell r="C23" t="str">
            <v>UEC</v>
          </cell>
          <cell r="D23" t="str">
            <v>N</v>
          </cell>
          <cell r="E23" t="str">
            <v>C</v>
          </cell>
          <cell r="F23" t="str">
            <v>12/02/1997</v>
          </cell>
        </row>
        <row r="24">
          <cell r="B24" t="str">
            <v>09501</v>
          </cell>
          <cell r="C24" t="str">
            <v>UEC</v>
          </cell>
          <cell r="D24" t="str">
            <v>N</v>
          </cell>
          <cell r="E24" t="str">
            <v>A</v>
          </cell>
          <cell r="F24" t="str">
            <v>01/13/1998</v>
          </cell>
        </row>
        <row r="25">
          <cell r="B25" t="str">
            <v>09515</v>
          </cell>
          <cell r="C25" t="str">
            <v>UEC</v>
          </cell>
          <cell r="D25" t="str">
            <v>N</v>
          </cell>
          <cell r="E25" t="str">
            <v>C</v>
          </cell>
          <cell r="F25" t="str">
            <v>12/02/1997</v>
          </cell>
        </row>
        <row r="26">
          <cell r="B26" t="str">
            <v>09571</v>
          </cell>
          <cell r="C26" t="str">
            <v>UEC</v>
          </cell>
          <cell r="D26" t="str">
            <v>N</v>
          </cell>
          <cell r="E26" t="str">
            <v>C</v>
          </cell>
          <cell r="F26" t="str">
            <v>12/03/1997</v>
          </cell>
        </row>
        <row r="27">
          <cell r="B27" t="str">
            <v>09704</v>
          </cell>
          <cell r="C27" t="str">
            <v>UEC</v>
          </cell>
          <cell r="D27" t="str">
            <v>N</v>
          </cell>
          <cell r="E27" t="str">
            <v>C</v>
          </cell>
          <cell r="F27" t="str">
            <v>12/03/1997</v>
          </cell>
        </row>
        <row r="28">
          <cell r="B28" t="str">
            <v>09795</v>
          </cell>
          <cell r="C28" t="str">
            <v>UEC</v>
          </cell>
          <cell r="D28" t="str">
            <v>N</v>
          </cell>
          <cell r="E28" t="str">
            <v>C</v>
          </cell>
          <cell r="F28" t="str">
            <v>01/07/1998</v>
          </cell>
        </row>
        <row r="29">
          <cell r="B29" t="str">
            <v>09826</v>
          </cell>
          <cell r="C29" t="str">
            <v>UEC</v>
          </cell>
          <cell r="D29" t="str">
            <v>N</v>
          </cell>
          <cell r="E29" t="str">
            <v>C</v>
          </cell>
          <cell r="F29" t="str">
            <v>12/22/1997</v>
          </cell>
        </row>
        <row r="30">
          <cell r="B30" t="str">
            <v>09889</v>
          </cell>
          <cell r="C30" t="str">
            <v>CIP</v>
          </cell>
          <cell r="D30" t="str">
            <v>N</v>
          </cell>
          <cell r="E30" t="str">
            <v>I</v>
          </cell>
          <cell r="F30" t="str">
            <v>12/12/2001</v>
          </cell>
        </row>
        <row r="31">
          <cell r="B31" t="str">
            <v>09905</v>
          </cell>
          <cell r="C31" t="str">
            <v>GEN</v>
          </cell>
          <cell r="D31" t="str">
            <v>N</v>
          </cell>
          <cell r="E31" t="str">
            <v>C</v>
          </cell>
          <cell r="F31" t="str">
            <v>01/09/1998</v>
          </cell>
        </row>
        <row r="32">
          <cell r="B32" t="str">
            <v>09907</v>
          </cell>
          <cell r="C32" t="str">
            <v>UEC</v>
          </cell>
          <cell r="D32" t="str">
            <v>N</v>
          </cell>
          <cell r="E32" t="str">
            <v>C</v>
          </cell>
          <cell r="F32" t="str">
            <v>03/25/1998</v>
          </cell>
        </row>
        <row r="33">
          <cell r="B33" t="str">
            <v>09923</v>
          </cell>
          <cell r="C33" t="str">
            <v>UEC</v>
          </cell>
          <cell r="D33" t="str">
            <v>N</v>
          </cell>
          <cell r="E33" t="str">
            <v>C</v>
          </cell>
          <cell r="F33" t="str">
            <v>06/11/1998</v>
          </cell>
        </row>
        <row r="34">
          <cell r="B34" t="str">
            <v>09924</v>
          </cell>
          <cell r="C34" t="str">
            <v>UEC</v>
          </cell>
          <cell r="D34" t="str">
            <v>N</v>
          </cell>
          <cell r="E34" t="str">
            <v>C</v>
          </cell>
          <cell r="F34" t="str">
            <v>10/02/2000</v>
          </cell>
        </row>
        <row r="35">
          <cell r="B35" t="str">
            <v>09941</v>
          </cell>
          <cell r="C35" t="str">
            <v>GEN</v>
          </cell>
          <cell r="D35" t="str">
            <v>N</v>
          </cell>
          <cell r="E35" t="str">
            <v>A</v>
          </cell>
          <cell r="F35" t="str">
            <v>01/15/1998</v>
          </cell>
        </row>
        <row r="36">
          <cell r="B36" t="str">
            <v>09944</v>
          </cell>
          <cell r="C36" t="str">
            <v>GEN</v>
          </cell>
          <cell r="D36" t="str">
            <v>N</v>
          </cell>
          <cell r="E36" t="str">
            <v>C</v>
          </cell>
          <cell r="F36" t="str">
            <v>03/12/1998</v>
          </cell>
        </row>
        <row r="37">
          <cell r="B37" t="str">
            <v>09959</v>
          </cell>
          <cell r="C37" t="str">
            <v>UEC</v>
          </cell>
          <cell r="D37" t="str">
            <v>N</v>
          </cell>
          <cell r="E37" t="str">
            <v>C</v>
          </cell>
          <cell r="F37" t="str">
            <v>01/21/1998</v>
          </cell>
        </row>
        <row r="38">
          <cell r="B38" t="str">
            <v>09964</v>
          </cell>
          <cell r="C38" t="str">
            <v>UEC</v>
          </cell>
          <cell r="D38" t="str">
            <v>N</v>
          </cell>
          <cell r="E38" t="str">
            <v>C</v>
          </cell>
          <cell r="F38" t="str">
            <v>01/23/1998</v>
          </cell>
        </row>
        <row r="39">
          <cell r="B39" t="str">
            <v>09976</v>
          </cell>
          <cell r="C39" t="str">
            <v>UEC</v>
          </cell>
          <cell r="D39" t="str">
            <v>N</v>
          </cell>
          <cell r="E39" t="str">
            <v>C</v>
          </cell>
          <cell r="F39" t="str">
            <v>01/28/1998</v>
          </cell>
        </row>
        <row r="40">
          <cell r="B40" t="str">
            <v>09994</v>
          </cell>
          <cell r="C40" t="str">
            <v>UEC</v>
          </cell>
          <cell r="D40" t="str">
            <v>N</v>
          </cell>
          <cell r="E40" t="str">
            <v>C</v>
          </cell>
          <cell r="F40" t="str">
            <v>03/23/1998</v>
          </cell>
        </row>
        <row r="41">
          <cell r="B41" t="str">
            <v>10024</v>
          </cell>
          <cell r="C41" t="str">
            <v>UEC</v>
          </cell>
          <cell r="D41" t="str">
            <v>N</v>
          </cell>
          <cell r="E41" t="str">
            <v>C</v>
          </cell>
          <cell r="F41" t="str">
            <v>04/15/1998</v>
          </cell>
        </row>
        <row r="42">
          <cell r="B42" t="str">
            <v>10026</v>
          </cell>
          <cell r="C42" t="str">
            <v>UEC</v>
          </cell>
          <cell r="D42" t="str">
            <v>N</v>
          </cell>
          <cell r="E42" t="str">
            <v>A</v>
          </cell>
          <cell r="F42" t="str">
            <v>04/15/1998</v>
          </cell>
        </row>
        <row r="43">
          <cell r="B43" t="str">
            <v>10028</v>
          </cell>
          <cell r="C43" t="str">
            <v>UEC</v>
          </cell>
          <cell r="D43" t="str">
            <v>N</v>
          </cell>
          <cell r="E43" t="str">
            <v>C</v>
          </cell>
          <cell r="F43" t="str">
            <v>07/07/1998</v>
          </cell>
        </row>
        <row r="44">
          <cell r="B44" t="str">
            <v>10036</v>
          </cell>
          <cell r="C44" t="str">
            <v>UEC</v>
          </cell>
          <cell r="D44" t="str">
            <v>N</v>
          </cell>
          <cell r="E44" t="str">
            <v>C</v>
          </cell>
          <cell r="F44" t="str">
            <v>06/12/1998</v>
          </cell>
        </row>
        <row r="45">
          <cell r="B45" t="str">
            <v>10053</v>
          </cell>
          <cell r="C45" t="str">
            <v>UEC</v>
          </cell>
          <cell r="D45" t="str">
            <v>N</v>
          </cell>
          <cell r="E45" t="str">
            <v>C</v>
          </cell>
          <cell r="F45" t="str">
            <v>06/02/1998</v>
          </cell>
        </row>
        <row r="46">
          <cell r="B46" t="str">
            <v>10054</v>
          </cell>
          <cell r="C46" t="str">
            <v>UEC</v>
          </cell>
          <cell r="D46" t="str">
            <v>N</v>
          </cell>
          <cell r="E46" t="str">
            <v>C</v>
          </cell>
          <cell r="F46" t="str">
            <v>01/11/2002</v>
          </cell>
        </row>
        <row r="47">
          <cell r="B47" t="str">
            <v>10055</v>
          </cell>
          <cell r="C47" t="str">
            <v>UEC</v>
          </cell>
          <cell r="D47" t="str">
            <v>N</v>
          </cell>
          <cell r="E47" t="str">
            <v>C</v>
          </cell>
          <cell r="F47" t="str">
            <v>06/15/1998</v>
          </cell>
        </row>
        <row r="48">
          <cell r="B48" t="str">
            <v>10069</v>
          </cell>
          <cell r="C48" t="str">
            <v>UEC</v>
          </cell>
          <cell r="D48" t="str">
            <v>N</v>
          </cell>
          <cell r="E48" t="str">
            <v>C</v>
          </cell>
          <cell r="F48" t="str">
            <v>07/09/1998</v>
          </cell>
        </row>
        <row r="49">
          <cell r="B49" t="str">
            <v>10087</v>
          </cell>
          <cell r="C49" t="str">
            <v>UEC</v>
          </cell>
          <cell r="D49" t="str">
            <v>N</v>
          </cell>
          <cell r="E49" t="str">
            <v>C</v>
          </cell>
          <cell r="F49" t="str">
            <v>10/06/1998</v>
          </cell>
        </row>
        <row r="50">
          <cell r="B50" t="str">
            <v>10094</v>
          </cell>
          <cell r="C50" t="str">
            <v>UEC</v>
          </cell>
          <cell r="D50" t="str">
            <v>N</v>
          </cell>
          <cell r="E50" t="str">
            <v>C</v>
          </cell>
          <cell r="F50" t="str">
            <v>10/06/1998</v>
          </cell>
        </row>
        <row r="51">
          <cell r="B51" t="str">
            <v>10100</v>
          </cell>
          <cell r="C51" t="str">
            <v>UEC</v>
          </cell>
          <cell r="D51" t="str">
            <v>N</v>
          </cell>
          <cell r="E51" t="str">
            <v>C</v>
          </cell>
          <cell r="F51" t="str">
            <v>10/06/1998</v>
          </cell>
        </row>
        <row r="52">
          <cell r="B52" t="str">
            <v>10101</v>
          </cell>
          <cell r="C52" t="str">
            <v>UEC</v>
          </cell>
          <cell r="D52" t="str">
            <v>N</v>
          </cell>
          <cell r="E52" t="str">
            <v>C</v>
          </cell>
          <cell r="F52" t="str">
            <v>07/24/1998</v>
          </cell>
        </row>
        <row r="53">
          <cell r="B53" t="str">
            <v>10104</v>
          </cell>
          <cell r="C53" t="str">
            <v>UEC</v>
          </cell>
          <cell r="D53" t="str">
            <v>N</v>
          </cell>
          <cell r="E53" t="str">
            <v>C</v>
          </cell>
          <cell r="F53" t="str">
            <v>08/17/1998</v>
          </cell>
        </row>
        <row r="54">
          <cell r="B54" t="str">
            <v>10115</v>
          </cell>
          <cell r="C54" t="str">
            <v>UEC</v>
          </cell>
          <cell r="D54" t="str">
            <v>N</v>
          </cell>
          <cell r="E54" t="str">
            <v>C</v>
          </cell>
          <cell r="F54" t="str">
            <v>07/29/1998</v>
          </cell>
        </row>
        <row r="55">
          <cell r="B55" t="str">
            <v>10125</v>
          </cell>
          <cell r="C55" t="str">
            <v>UEC</v>
          </cell>
          <cell r="D55" t="str">
            <v>N</v>
          </cell>
          <cell r="E55" t="str">
            <v>C</v>
          </cell>
          <cell r="F55" t="str">
            <v>08/03/1998</v>
          </cell>
        </row>
        <row r="56">
          <cell r="B56" t="str">
            <v>10127</v>
          </cell>
          <cell r="C56" t="str">
            <v>GEN</v>
          </cell>
          <cell r="D56" t="str">
            <v>N</v>
          </cell>
          <cell r="E56" t="str">
            <v>C</v>
          </cell>
          <cell r="F56" t="str">
            <v>08/03/1998</v>
          </cell>
        </row>
        <row r="57">
          <cell r="B57" t="str">
            <v>10149</v>
          </cell>
          <cell r="C57" t="str">
            <v>UEC</v>
          </cell>
          <cell r="D57" t="str">
            <v>N</v>
          </cell>
          <cell r="E57" t="str">
            <v>C</v>
          </cell>
          <cell r="F57" t="str">
            <v>09/01/1998</v>
          </cell>
        </row>
        <row r="58">
          <cell r="B58" t="str">
            <v>10170</v>
          </cell>
          <cell r="C58" t="str">
            <v>UEC</v>
          </cell>
          <cell r="D58" t="str">
            <v>N</v>
          </cell>
          <cell r="E58" t="str">
            <v>C</v>
          </cell>
          <cell r="F58" t="str">
            <v>09/21/1998</v>
          </cell>
        </row>
        <row r="59">
          <cell r="B59" t="str">
            <v>10174</v>
          </cell>
          <cell r="C59" t="str">
            <v>UEC</v>
          </cell>
          <cell r="D59" t="str">
            <v>N</v>
          </cell>
          <cell r="E59" t="str">
            <v>C</v>
          </cell>
          <cell r="F59" t="str">
            <v>10/15/1998</v>
          </cell>
        </row>
        <row r="60">
          <cell r="B60" t="str">
            <v>10175</v>
          </cell>
          <cell r="C60" t="str">
            <v>UEC</v>
          </cell>
          <cell r="D60" t="str">
            <v>N</v>
          </cell>
          <cell r="E60" t="str">
            <v>C</v>
          </cell>
          <cell r="F60" t="str">
            <v>10/15/1998</v>
          </cell>
        </row>
        <row r="61">
          <cell r="B61" t="str">
            <v>10180</v>
          </cell>
          <cell r="C61" t="str">
            <v>UEC</v>
          </cell>
          <cell r="D61" t="str">
            <v>N</v>
          </cell>
          <cell r="E61" t="str">
            <v>C</v>
          </cell>
          <cell r="F61" t="str">
            <v>10/16/1998</v>
          </cell>
        </row>
        <row r="62">
          <cell r="B62" t="str">
            <v>10186</v>
          </cell>
          <cell r="C62" t="str">
            <v>UEC</v>
          </cell>
          <cell r="D62" t="str">
            <v>N</v>
          </cell>
          <cell r="E62" t="str">
            <v>C</v>
          </cell>
          <cell r="F62" t="str">
            <v>10/19/1998</v>
          </cell>
        </row>
        <row r="63">
          <cell r="B63" t="str">
            <v>10187</v>
          </cell>
          <cell r="C63" t="str">
            <v>UEC</v>
          </cell>
          <cell r="D63" t="str">
            <v>N</v>
          </cell>
          <cell r="E63" t="str">
            <v>C</v>
          </cell>
          <cell r="F63" t="str">
            <v>10/19/1998</v>
          </cell>
        </row>
        <row r="64">
          <cell r="B64" t="str">
            <v>10199</v>
          </cell>
          <cell r="C64" t="str">
            <v>CIP</v>
          </cell>
          <cell r="D64" t="str">
            <v>N</v>
          </cell>
          <cell r="E64" t="str">
            <v>C</v>
          </cell>
          <cell r="F64" t="str">
            <v>10/12/1998</v>
          </cell>
        </row>
        <row r="65">
          <cell r="B65" t="str">
            <v>10206</v>
          </cell>
          <cell r="C65" t="str">
            <v>UEC</v>
          </cell>
          <cell r="D65" t="str">
            <v>N</v>
          </cell>
          <cell r="E65" t="str">
            <v>C</v>
          </cell>
          <cell r="F65" t="str">
            <v>10/21/1998</v>
          </cell>
        </row>
        <row r="66">
          <cell r="B66" t="str">
            <v>10211</v>
          </cell>
          <cell r="C66" t="str">
            <v>UEC</v>
          </cell>
          <cell r="D66" t="str">
            <v>N</v>
          </cell>
          <cell r="E66" t="str">
            <v>C</v>
          </cell>
          <cell r="F66" t="str">
            <v>10/27/1998</v>
          </cell>
        </row>
        <row r="67">
          <cell r="B67" t="str">
            <v>10230</v>
          </cell>
          <cell r="C67" t="str">
            <v>CIP</v>
          </cell>
          <cell r="D67" t="str">
            <v>N</v>
          </cell>
          <cell r="E67" t="str">
            <v>C</v>
          </cell>
          <cell r="F67" t="str">
            <v>10/30/1998</v>
          </cell>
        </row>
        <row r="68">
          <cell r="B68" t="str">
            <v>10231</v>
          </cell>
          <cell r="C68" t="str">
            <v>CIP</v>
          </cell>
          <cell r="D68" t="str">
            <v>N</v>
          </cell>
          <cell r="E68" t="str">
            <v>C</v>
          </cell>
          <cell r="F68" t="str">
            <v>10/30/1998</v>
          </cell>
        </row>
        <row r="69">
          <cell r="B69" t="str">
            <v>10233</v>
          </cell>
          <cell r="C69" t="str">
            <v>GEN</v>
          </cell>
          <cell r="D69" t="str">
            <v>N</v>
          </cell>
          <cell r="E69" t="str">
            <v>C</v>
          </cell>
          <cell r="F69" t="str">
            <v>12/01/1998</v>
          </cell>
        </row>
        <row r="70">
          <cell r="B70" t="str">
            <v>10235</v>
          </cell>
          <cell r="C70" t="str">
            <v>UEC</v>
          </cell>
          <cell r="D70" t="str">
            <v>N</v>
          </cell>
          <cell r="E70" t="str">
            <v>C</v>
          </cell>
          <cell r="F70" t="str">
            <v>11/24/1998</v>
          </cell>
        </row>
        <row r="71">
          <cell r="B71" t="str">
            <v>10237</v>
          </cell>
          <cell r="C71" t="str">
            <v>UEC</v>
          </cell>
          <cell r="D71" t="str">
            <v>N</v>
          </cell>
          <cell r="E71" t="str">
            <v>C</v>
          </cell>
          <cell r="F71" t="str">
            <v>04/14/1999</v>
          </cell>
        </row>
        <row r="72">
          <cell r="B72" t="str">
            <v>10247</v>
          </cell>
          <cell r="C72" t="str">
            <v>UEC</v>
          </cell>
          <cell r="D72" t="str">
            <v>N</v>
          </cell>
          <cell r="E72" t="str">
            <v>C</v>
          </cell>
          <cell r="F72" t="str">
            <v>12/02/1998</v>
          </cell>
        </row>
        <row r="73">
          <cell r="B73" t="str">
            <v>10262</v>
          </cell>
          <cell r="C73" t="str">
            <v>UEC</v>
          </cell>
          <cell r="D73" t="str">
            <v>N</v>
          </cell>
          <cell r="E73" t="str">
            <v>C</v>
          </cell>
          <cell r="F73" t="str">
            <v>10/04/2000</v>
          </cell>
        </row>
        <row r="74">
          <cell r="B74" t="str">
            <v>10266</v>
          </cell>
          <cell r="C74" t="str">
            <v>UEC</v>
          </cell>
          <cell r="D74" t="str">
            <v>N</v>
          </cell>
          <cell r="E74" t="str">
            <v>C</v>
          </cell>
          <cell r="F74" t="str">
            <v>12/09/1998</v>
          </cell>
        </row>
        <row r="75">
          <cell r="B75" t="str">
            <v>10268</v>
          </cell>
          <cell r="C75" t="str">
            <v>UEC</v>
          </cell>
          <cell r="D75" t="str">
            <v>N</v>
          </cell>
          <cell r="E75" t="str">
            <v>C</v>
          </cell>
          <cell r="F75" t="str">
            <v>12/09/1998</v>
          </cell>
        </row>
        <row r="76">
          <cell r="B76" t="str">
            <v>10282</v>
          </cell>
          <cell r="C76" t="str">
            <v>GEN</v>
          </cell>
          <cell r="D76" t="str">
            <v>N</v>
          </cell>
          <cell r="E76" t="str">
            <v>C</v>
          </cell>
          <cell r="F76" t="str">
            <v>01/15/1999</v>
          </cell>
        </row>
        <row r="77">
          <cell r="B77" t="str">
            <v>10291</v>
          </cell>
          <cell r="C77" t="str">
            <v>GEN</v>
          </cell>
          <cell r="D77" t="str">
            <v>N</v>
          </cell>
          <cell r="E77" t="str">
            <v>C</v>
          </cell>
          <cell r="F77" t="str">
            <v>01/30/2001</v>
          </cell>
        </row>
        <row r="78">
          <cell r="B78" t="str">
            <v>10292</v>
          </cell>
          <cell r="C78" t="str">
            <v>GEN</v>
          </cell>
          <cell r="D78" t="str">
            <v>N</v>
          </cell>
          <cell r="E78" t="str">
            <v>C</v>
          </cell>
          <cell r="F78" t="str">
            <v>01/30/2001</v>
          </cell>
        </row>
        <row r="79">
          <cell r="B79" t="str">
            <v>10305</v>
          </cell>
          <cell r="C79" t="str">
            <v>UEC</v>
          </cell>
          <cell r="D79" t="str">
            <v>N</v>
          </cell>
          <cell r="E79" t="str">
            <v>C</v>
          </cell>
          <cell r="F79" t="str">
            <v>04/08/1999</v>
          </cell>
        </row>
        <row r="80">
          <cell r="B80" t="str">
            <v>10316</v>
          </cell>
          <cell r="C80" t="str">
            <v>GEN</v>
          </cell>
          <cell r="D80" t="str">
            <v>N</v>
          </cell>
          <cell r="E80" t="str">
            <v>C</v>
          </cell>
          <cell r="F80" t="str">
            <v>01/21/1999</v>
          </cell>
        </row>
        <row r="81">
          <cell r="B81" t="str">
            <v>10317</v>
          </cell>
          <cell r="C81" t="str">
            <v>GEN</v>
          </cell>
          <cell r="D81" t="str">
            <v>N</v>
          </cell>
          <cell r="E81" t="str">
            <v>A</v>
          </cell>
          <cell r="F81" t="str">
            <v>01/21/1999</v>
          </cell>
        </row>
        <row r="82">
          <cell r="B82" t="str">
            <v>10318</v>
          </cell>
          <cell r="C82" t="str">
            <v>UEC</v>
          </cell>
          <cell r="D82" t="str">
            <v>N</v>
          </cell>
          <cell r="E82" t="str">
            <v>A</v>
          </cell>
          <cell r="F82" t="str">
            <v>01/21/1999</v>
          </cell>
        </row>
        <row r="83">
          <cell r="B83" t="str">
            <v>10320</v>
          </cell>
          <cell r="C83" t="str">
            <v>UEC</v>
          </cell>
          <cell r="D83" t="str">
            <v>N</v>
          </cell>
          <cell r="E83" t="str">
            <v>A</v>
          </cell>
          <cell r="F83" t="str">
            <v>01/21/1999</v>
          </cell>
        </row>
        <row r="84">
          <cell r="B84" t="str">
            <v>10348</v>
          </cell>
          <cell r="C84" t="str">
            <v>UEC</v>
          </cell>
          <cell r="D84" t="str">
            <v>N</v>
          </cell>
          <cell r="E84" t="str">
            <v>C</v>
          </cell>
          <cell r="F84" t="str">
            <v>01/04/1999</v>
          </cell>
        </row>
        <row r="85">
          <cell r="B85" t="str">
            <v>10370</v>
          </cell>
          <cell r="C85" t="str">
            <v>GEN</v>
          </cell>
          <cell r="D85" t="str">
            <v>N</v>
          </cell>
          <cell r="E85" t="str">
            <v>C</v>
          </cell>
          <cell r="F85" t="str">
            <v>01/30/2001</v>
          </cell>
        </row>
        <row r="86">
          <cell r="B86" t="str">
            <v>10374</v>
          </cell>
          <cell r="C86" t="str">
            <v>GEN</v>
          </cell>
          <cell r="D86" t="str">
            <v>N</v>
          </cell>
          <cell r="E86" t="str">
            <v>C</v>
          </cell>
          <cell r="F86" t="str">
            <v>01/30/2001</v>
          </cell>
        </row>
        <row r="87">
          <cell r="B87" t="str">
            <v>10375</v>
          </cell>
          <cell r="C87" t="str">
            <v>UEC</v>
          </cell>
          <cell r="D87" t="str">
            <v>N</v>
          </cell>
          <cell r="E87" t="str">
            <v>C</v>
          </cell>
          <cell r="F87" t="str">
            <v>01/07/1999</v>
          </cell>
        </row>
        <row r="88">
          <cell r="B88" t="str">
            <v>10387</v>
          </cell>
          <cell r="C88" t="str">
            <v>UEC</v>
          </cell>
          <cell r="D88" t="str">
            <v>N</v>
          </cell>
          <cell r="E88" t="str">
            <v>A</v>
          </cell>
          <cell r="F88" t="str">
            <v>01/28/1999</v>
          </cell>
        </row>
        <row r="89">
          <cell r="B89" t="str">
            <v>10389</v>
          </cell>
          <cell r="C89" t="str">
            <v>UEC</v>
          </cell>
          <cell r="D89" t="str">
            <v>N</v>
          </cell>
          <cell r="E89" t="str">
            <v>C</v>
          </cell>
          <cell r="F89" t="str">
            <v>01/29/1999</v>
          </cell>
        </row>
        <row r="90">
          <cell r="B90" t="str">
            <v>10390</v>
          </cell>
          <cell r="C90" t="str">
            <v>GEN</v>
          </cell>
          <cell r="D90" t="str">
            <v>N</v>
          </cell>
          <cell r="E90" t="str">
            <v>A</v>
          </cell>
          <cell r="F90" t="str">
            <v>02/01/1999</v>
          </cell>
        </row>
        <row r="91">
          <cell r="B91" t="str">
            <v>10391</v>
          </cell>
          <cell r="C91" t="str">
            <v>UEC</v>
          </cell>
          <cell r="D91" t="str">
            <v>N</v>
          </cell>
          <cell r="E91" t="str">
            <v>C</v>
          </cell>
          <cell r="F91" t="str">
            <v>04/28/1999</v>
          </cell>
        </row>
        <row r="92">
          <cell r="B92" t="str">
            <v>10395</v>
          </cell>
          <cell r="C92" t="str">
            <v>UEC</v>
          </cell>
          <cell r="D92" t="str">
            <v>N</v>
          </cell>
          <cell r="E92" t="str">
            <v>C</v>
          </cell>
          <cell r="F92" t="str">
            <v>02/08/1999</v>
          </cell>
        </row>
        <row r="93">
          <cell r="B93" t="str">
            <v>10401</v>
          </cell>
          <cell r="C93" t="str">
            <v>UEC</v>
          </cell>
          <cell r="D93" t="str">
            <v>N</v>
          </cell>
          <cell r="E93" t="str">
            <v>C</v>
          </cell>
          <cell r="F93" t="str">
            <v>05/13/1999</v>
          </cell>
        </row>
        <row r="94">
          <cell r="B94" t="str">
            <v>10402</v>
          </cell>
          <cell r="C94" t="str">
            <v>UEC</v>
          </cell>
          <cell r="D94" t="str">
            <v>N</v>
          </cell>
          <cell r="E94" t="str">
            <v>C</v>
          </cell>
          <cell r="F94" t="str">
            <v>08/13/1999</v>
          </cell>
        </row>
        <row r="95">
          <cell r="B95" t="str">
            <v>10406</v>
          </cell>
          <cell r="C95" t="str">
            <v>UEC</v>
          </cell>
          <cell r="D95" t="str">
            <v>N</v>
          </cell>
          <cell r="E95" t="str">
            <v>C</v>
          </cell>
          <cell r="F95" t="str">
            <v>05/12/1999</v>
          </cell>
        </row>
        <row r="96">
          <cell r="B96" t="str">
            <v>10411</v>
          </cell>
          <cell r="C96" t="str">
            <v>UEC</v>
          </cell>
          <cell r="D96" t="str">
            <v>N</v>
          </cell>
          <cell r="E96" t="str">
            <v>C</v>
          </cell>
          <cell r="F96" t="str">
            <v>02/05/1999</v>
          </cell>
        </row>
        <row r="97">
          <cell r="B97" t="str">
            <v>10421</v>
          </cell>
          <cell r="C97" t="str">
            <v>UEC</v>
          </cell>
          <cell r="D97" t="str">
            <v>N</v>
          </cell>
          <cell r="E97" t="str">
            <v>C</v>
          </cell>
          <cell r="F97" t="str">
            <v>02/11/1999</v>
          </cell>
        </row>
        <row r="98">
          <cell r="B98" t="str">
            <v>10422</v>
          </cell>
          <cell r="C98" t="str">
            <v>UEC</v>
          </cell>
          <cell r="D98" t="str">
            <v>N</v>
          </cell>
          <cell r="E98" t="str">
            <v>C</v>
          </cell>
          <cell r="F98" t="str">
            <v>02/11/1999</v>
          </cell>
        </row>
        <row r="99">
          <cell r="B99" t="str">
            <v>10423</v>
          </cell>
          <cell r="C99" t="str">
            <v>UEC</v>
          </cell>
          <cell r="D99" t="str">
            <v>N</v>
          </cell>
          <cell r="E99" t="str">
            <v>C</v>
          </cell>
          <cell r="F99" t="str">
            <v>02/11/1999</v>
          </cell>
        </row>
        <row r="100">
          <cell r="B100" t="str">
            <v>10424</v>
          </cell>
          <cell r="C100" t="str">
            <v>UEC</v>
          </cell>
          <cell r="D100" t="str">
            <v>N</v>
          </cell>
          <cell r="E100" t="str">
            <v>C</v>
          </cell>
          <cell r="F100" t="str">
            <v>02/11/1999</v>
          </cell>
        </row>
        <row r="101">
          <cell r="B101" t="str">
            <v>10432</v>
          </cell>
          <cell r="C101" t="str">
            <v>UEC</v>
          </cell>
          <cell r="D101" t="str">
            <v>N</v>
          </cell>
          <cell r="E101" t="str">
            <v>C</v>
          </cell>
          <cell r="F101" t="str">
            <v>05/07/1999</v>
          </cell>
        </row>
        <row r="102">
          <cell r="B102" t="str">
            <v>10433</v>
          </cell>
          <cell r="C102" t="str">
            <v>UEC</v>
          </cell>
          <cell r="D102" t="str">
            <v>N</v>
          </cell>
          <cell r="E102" t="str">
            <v>C</v>
          </cell>
          <cell r="F102" t="str">
            <v>05/07/1999</v>
          </cell>
        </row>
        <row r="103">
          <cell r="B103" t="str">
            <v>10434</v>
          </cell>
          <cell r="C103" t="str">
            <v>UEC</v>
          </cell>
          <cell r="D103" t="str">
            <v>N</v>
          </cell>
          <cell r="E103" t="str">
            <v>C</v>
          </cell>
          <cell r="F103" t="str">
            <v>02/12/1999</v>
          </cell>
        </row>
        <row r="104">
          <cell r="B104" t="str">
            <v>10441</v>
          </cell>
          <cell r="C104" t="str">
            <v>CIP</v>
          </cell>
          <cell r="D104" t="str">
            <v>N</v>
          </cell>
          <cell r="E104" t="str">
            <v>C</v>
          </cell>
          <cell r="F104" t="str">
            <v>07/18/2000</v>
          </cell>
        </row>
        <row r="105">
          <cell r="B105" t="str">
            <v>10462</v>
          </cell>
          <cell r="C105" t="str">
            <v>CIP</v>
          </cell>
          <cell r="D105" t="str">
            <v>N</v>
          </cell>
          <cell r="E105" t="str">
            <v>C</v>
          </cell>
          <cell r="F105" t="str">
            <v>04/26/1999</v>
          </cell>
        </row>
        <row r="106">
          <cell r="B106" t="str">
            <v>10465</v>
          </cell>
          <cell r="C106" t="str">
            <v>UEC</v>
          </cell>
          <cell r="D106" t="str">
            <v>N</v>
          </cell>
          <cell r="E106" t="str">
            <v>C</v>
          </cell>
          <cell r="F106" t="str">
            <v>02/26/1999</v>
          </cell>
        </row>
        <row r="107">
          <cell r="B107" t="str">
            <v>10467</v>
          </cell>
          <cell r="C107" t="str">
            <v>UEC</v>
          </cell>
          <cell r="D107" t="str">
            <v>N</v>
          </cell>
          <cell r="E107" t="str">
            <v>A</v>
          </cell>
          <cell r="F107" t="str">
            <v>12/20/2000</v>
          </cell>
        </row>
        <row r="108">
          <cell r="B108" t="str">
            <v>10468</v>
          </cell>
          <cell r="C108" t="str">
            <v>CIP</v>
          </cell>
          <cell r="D108" t="str">
            <v>N</v>
          </cell>
          <cell r="E108" t="str">
            <v>C</v>
          </cell>
          <cell r="F108" t="str">
            <v>05/11/1999</v>
          </cell>
        </row>
        <row r="109">
          <cell r="B109" t="str">
            <v>10477</v>
          </cell>
          <cell r="C109" t="str">
            <v>CIP</v>
          </cell>
          <cell r="D109" t="str">
            <v>N</v>
          </cell>
          <cell r="E109" t="str">
            <v>C</v>
          </cell>
          <cell r="F109" t="str">
            <v>03/10/1999</v>
          </cell>
        </row>
        <row r="110">
          <cell r="B110" t="str">
            <v>10488</v>
          </cell>
          <cell r="C110" t="str">
            <v>UEC</v>
          </cell>
          <cell r="D110" t="str">
            <v>N</v>
          </cell>
          <cell r="E110" t="str">
            <v>C</v>
          </cell>
          <cell r="F110" t="str">
            <v>08/04/1999</v>
          </cell>
        </row>
        <row r="111">
          <cell r="B111" t="str">
            <v>10489</v>
          </cell>
          <cell r="C111" t="str">
            <v>UEC</v>
          </cell>
          <cell r="D111" t="str">
            <v>N</v>
          </cell>
          <cell r="E111" t="str">
            <v>C</v>
          </cell>
          <cell r="F111" t="str">
            <v>08/05/1999</v>
          </cell>
        </row>
        <row r="112">
          <cell r="B112" t="str">
            <v>10494</v>
          </cell>
          <cell r="C112" t="str">
            <v>UEC</v>
          </cell>
          <cell r="D112" t="str">
            <v>N</v>
          </cell>
          <cell r="E112" t="str">
            <v>C</v>
          </cell>
          <cell r="F112" t="str">
            <v>05/12/1999</v>
          </cell>
        </row>
        <row r="113">
          <cell r="B113" t="str">
            <v>10504</v>
          </cell>
          <cell r="C113" t="str">
            <v>UEC</v>
          </cell>
          <cell r="D113" t="str">
            <v>N</v>
          </cell>
          <cell r="E113" t="str">
            <v>C</v>
          </cell>
          <cell r="F113" t="str">
            <v>03/31/1999</v>
          </cell>
        </row>
        <row r="114">
          <cell r="B114" t="str">
            <v>10516</v>
          </cell>
          <cell r="C114" t="str">
            <v>GEN</v>
          </cell>
          <cell r="D114" t="str">
            <v>N</v>
          </cell>
          <cell r="E114" t="str">
            <v>C</v>
          </cell>
          <cell r="F114" t="str">
            <v>02/22/2001</v>
          </cell>
        </row>
        <row r="115">
          <cell r="B115" t="str">
            <v>10517</v>
          </cell>
          <cell r="C115" t="str">
            <v>CIP</v>
          </cell>
          <cell r="D115" t="str">
            <v>N</v>
          </cell>
          <cell r="E115" t="str">
            <v>C</v>
          </cell>
          <cell r="F115" t="str">
            <v>08/10/1999</v>
          </cell>
        </row>
        <row r="116">
          <cell r="B116" t="str">
            <v>10519</v>
          </cell>
          <cell r="C116" t="str">
            <v>UEC</v>
          </cell>
          <cell r="D116" t="str">
            <v>N</v>
          </cell>
          <cell r="E116" t="str">
            <v>C</v>
          </cell>
          <cell r="F116" t="str">
            <v>05/26/1999</v>
          </cell>
        </row>
        <row r="117">
          <cell r="B117" t="str">
            <v>10524</v>
          </cell>
          <cell r="C117" t="str">
            <v>UEC</v>
          </cell>
          <cell r="D117" t="str">
            <v>N</v>
          </cell>
          <cell r="E117" t="str">
            <v>C</v>
          </cell>
          <cell r="F117" t="str">
            <v>08/10/1999</v>
          </cell>
        </row>
        <row r="118">
          <cell r="B118" t="str">
            <v>10528</v>
          </cell>
          <cell r="C118" t="str">
            <v>UEC</v>
          </cell>
          <cell r="D118" t="str">
            <v>N</v>
          </cell>
          <cell r="E118" t="str">
            <v>C</v>
          </cell>
          <cell r="F118" t="str">
            <v>06/02/1999</v>
          </cell>
        </row>
        <row r="119">
          <cell r="B119" t="str">
            <v>10529</v>
          </cell>
          <cell r="C119" t="str">
            <v>UEC</v>
          </cell>
          <cell r="D119" t="str">
            <v>N</v>
          </cell>
          <cell r="E119" t="str">
            <v>C</v>
          </cell>
          <cell r="F119" t="str">
            <v>06/02/1999</v>
          </cell>
        </row>
        <row r="120">
          <cell r="B120" t="str">
            <v>10534</v>
          </cell>
          <cell r="C120" t="str">
            <v>UEC</v>
          </cell>
          <cell r="D120" t="str">
            <v>N</v>
          </cell>
          <cell r="E120" t="str">
            <v>C</v>
          </cell>
          <cell r="F120" t="str">
            <v>06/08/1999</v>
          </cell>
        </row>
        <row r="121">
          <cell r="B121" t="str">
            <v>10535</v>
          </cell>
          <cell r="C121" t="str">
            <v>UEC</v>
          </cell>
          <cell r="D121" t="str">
            <v>N</v>
          </cell>
          <cell r="E121" t="str">
            <v>C</v>
          </cell>
          <cell r="F121" t="str">
            <v>06/08/1999</v>
          </cell>
        </row>
        <row r="122">
          <cell r="B122" t="str">
            <v>10536</v>
          </cell>
          <cell r="C122"/>
          <cell r="D122"/>
          <cell r="E122"/>
          <cell r="F122"/>
        </row>
        <row r="123">
          <cell r="B123" t="str">
            <v>10542</v>
          </cell>
          <cell r="C123" t="str">
            <v>UEC</v>
          </cell>
          <cell r="D123" t="str">
            <v>N</v>
          </cell>
          <cell r="E123" t="str">
            <v>C</v>
          </cell>
          <cell r="F123" t="str">
            <v>06/09/1999</v>
          </cell>
        </row>
        <row r="124">
          <cell r="B124" t="str">
            <v>10543</v>
          </cell>
          <cell r="C124" t="str">
            <v>ADC</v>
          </cell>
          <cell r="D124" t="str">
            <v>N</v>
          </cell>
          <cell r="E124" t="str">
            <v>C</v>
          </cell>
          <cell r="F124" t="str">
            <v>07/27/2000</v>
          </cell>
        </row>
        <row r="125">
          <cell r="B125" t="str">
            <v>10551</v>
          </cell>
          <cell r="C125" t="str">
            <v>UEC</v>
          </cell>
          <cell r="D125" t="str">
            <v>N</v>
          </cell>
          <cell r="E125" t="str">
            <v>C</v>
          </cell>
          <cell r="F125" t="str">
            <v>06/10/1999</v>
          </cell>
        </row>
        <row r="126">
          <cell r="B126" t="str">
            <v>10557</v>
          </cell>
          <cell r="C126" t="str">
            <v>GEN</v>
          </cell>
          <cell r="D126" t="str">
            <v>N</v>
          </cell>
          <cell r="E126" t="str">
            <v>C</v>
          </cell>
          <cell r="F126" t="str">
            <v>01/30/2001</v>
          </cell>
        </row>
        <row r="127">
          <cell r="B127" t="str">
            <v>10558</v>
          </cell>
          <cell r="C127" t="str">
            <v>GEN</v>
          </cell>
          <cell r="D127" t="str">
            <v>N</v>
          </cell>
          <cell r="E127" t="str">
            <v>C</v>
          </cell>
          <cell r="F127" t="str">
            <v>01/30/2001</v>
          </cell>
        </row>
        <row r="128">
          <cell r="B128" t="str">
            <v>10559</v>
          </cell>
          <cell r="C128" t="str">
            <v>UEC</v>
          </cell>
          <cell r="D128" t="str">
            <v>N</v>
          </cell>
          <cell r="E128" t="str">
            <v>C</v>
          </cell>
          <cell r="F128" t="str">
            <v>06/14/1999</v>
          </cell>
        </row>
        <row r="129">
          <cell r="B129" t="str">
            <v>10561</v>
          </cell>
          <cell r="C129" t="str">
            <v>UEC</v>
          </cell>
          <cell r="D129" t="str">
            <v>N</v>
          </cell>
          <cell r="E129" t="str">
            <v>C</v>
          </cell>
          <cell r="F129" t="str">
            <v>06/15/1999</v>
          </cell>
        </row>
        <row r="130">
          <cell r="B130" t="str">
            <v>10565</v>
          </cell>
          <cell r="C130" t="str">
            <v>UEC</v>
          </cell>
          <cell r="D130" t="str">
            <v>N</v>
          </cell>
          <cell r="E130" t="str">
            <v>C</v>
          </cell>
          <cell r="F130" t="str">
            <v>06/16/1999</v>
          </cell>
        </row>
        <row r="131">
          <cell r="B131" t="str">
            <v>10572</v>
          </cell>
          <cell r="C131" t="str">
            <v>UEC</v>
          </cell>
          <cell r="D131" t="str">
            <v>N</v>
          </cell>
          <cell r="E131" t="str">
            <v>C</v>
          </cell>
          <cell r="F131" t="str">
            <v>06/22/1999</v>
          </cell>
        </row>
        <row r="132">
          <cell r="B132" t="str">
            <v>10603</v>
          </cell>
          <cell r="C132" t="str">
            <v>UEC</v>
          </cell>
          <cell r="D132" t="str">
            <v>N</v>
          </cell>
          <cell r="E132" t="str">
            <v>C</v>
          </cell>
          <cell r="F132" t="str">
            <v>07/02/1999</v>
          </cell>
        </row>
        <row r="133">
          <cell r="B133" t="str">
            <v>10605</v>
          </cell>
          <cell r="C133" t="str">
            <v>CIP</v>
          </cell>
          <cell r="D133" t="str">
            <v>N</v>
          </cell>
          <cell r="E133" t="str">
            <v>C</v>
          </cell>
          <cell r="F133" t="str">
            <v>07/08/1999</v>
          </cell>
        </row>
        <row r="134">
          <cell r="B134" t="str">
            <v>10628</v>
          </cell>
          <cell r="C134" t="str">
            <v>UEC</v>
          </cell>
          <cell r="D134" t="str">
            <v>N</v>
          </cell>
          <cell r="E134" t="str">
            <v>C</v>
          </cell>
          <cell r="F134" t="str">
            <v>09/21/1999</v>
          </cell>
        </row>
        <row r="135">
          <cell r="B135" t="str">
            <v>10630</v>
          </cell>
          <cell r="C135" t="str">
            <v>UEC</v>
          </cell>
          <cell r="D135" t="str">
            <v>N</v>
          </cell>
          <cell r="E135" t="str">
            <v>C</v>
          </cell>
          <cell r="F135" t="str">
            <v>07/20/1999</v>
          </cell>
        </row>
        <row r="136">
          <cell r="B136" t="str">
            <v>10632</v>
          </cell>
          <cell r="C136" t="str">
            <v>UEC</v>
          </cell>
          <cell r="D136" t="str">
            <v>N</v>
          </cell>
          <cell r="E136" t="str">
            <v>C</v>
          </cell>
          <cell r="F136" t="str">
            <v>08/18/1999</v>
          </cell>
        </row>
        <row r="137">
          <cell r="B137" t="str">
            <v>10634</v>
          </cell>
          <cell r="C137" t="str">
            <v>GEN</v>
          </cell>
          <cell r="D137" t="str">
            <v>N</v>
          </cell>
          <cell r="E137" t="str">
            <v>C</v>
          </cell>
          <cell r="F137" t="str">
            <v>08/20/1999</v>
          </cell>
        </row>
        <row r="138">
          <cell r="B138" t="str">
            <v>10636</v>
          </cell>
          <cell r="C138" t="str">
            <v>GEN</v>
          </cell>
          <cell r="D138" t="str">
            <v>N</v>
          </cell>
          <cell r="E138" t="str">
            <v>C</v>
          </cell>
          <cell r="F138" t="str">
            <v>08/20/1999</v>
          </cell>
        </row>
        <row r="139">
          <cell r="B139" t="str">
            <v>10637</v>
          </cell>
          <cell r="C139" t="str">
            <v>CIP</v>
          </cell>
          <cell r="D139" t="str">
            <v>N</v>
          </cell>
          <cell r="E139" t="str">
            <v>C</v>
          </cell>
          <cell r="F139" t="str">
            <v>07/22/1999</v>
          </cell>
        </row>
        <row r="140">
          <cell r="B140" t="str">
            <v>10638</v>
          </cell>
          <cell r="C140" t="str">
            <v>GEN</v>
          </cell>
          <cell r="D140" t="str">
            <v>N</v>
          </cell>
          <cell r="E140" t="str">
            <v>C</v>
          </cell>
          <cell r="F140" t="str">
            <v>08/20/1999</v>
          </cell>
        </row>
        <row r="141">
          <cell r="B141" t="str">
            <v>10640</v>
          </cell>
          <cell r="C141" t="str">
            <v>GEN</v>
          </cell>
          <cell r="D141" t="str">
            <v>N</v>
          </cell>
          <cell r="E141" t="str">
            <v>C</v>
          </cell>
          <cell r="F141" t="str">
            <v>08/20/1999</v>
          </cell>
        </row>
        <row r="142">
          <cell r="B142" t="str">
            <v>10645</v>
          </cell>
          <cell r="C142" t="str">
            <v>UEC</v>
          </cell>
          <cell r="D142" t="str">
            <v>N</v>
          </cell>
          <cell r="E142" t="str">
            <v>C</v>
          </cell>
          <cell r="F142" t="str">
            <v>09/14/2000</v>
          </cell>
        </row>
        <row r="143">
          <cell r="B143" t="str">
            <v>10654</v>
          </cell>
          <cell r="C143" t="str">
            <v>UEC</v>
          </cell>
          <cell r="D143" t="str">
            <v>N</v>
          </cell>
          <cell r="E143" t="str">
            <v>C</v>
          </cell>
          <cell r="F143" t="str">
            <v>10/28/1999</v>
          </cell>
        </row>
        <row r="144">
          <cell r="B144" t="str">
            <v>10665</v>
          </cell>
          <cell r="C144" t="str">
            <v>UEC</v>
          </cell>
          <cell r="D144" t="str">
            <v>N</v>
          </cell>
          <cell r="E144" t="str">
            <v>C</v>
          </cell>
          <cell r="F144" t="str">
            <v>10/12/1999</v>
          </cell>
        </row>
        <row r="145">
          <cell r="B145" t="str">
            <v>10682</v>
          </cell>
          <cell r="C145" t="str">
            <v>UEC</v>
          </cell>
          <cell r="D145" t="str">
            <v>N</v>
          </cell>
          <cell r="E145" t="str">
            <v>C</v>
          </cell>
          <cell r="F145" t="str">
            <v>11/18/1999</v>
          </cell>
        </row>
        <row r="146">
          <cell r="B146" t="str">
            <v>10685</v>
          </cell>
          <cell r="C146" t="str">
            <v>UEC</v>
          </cell>
          <cell r="D146" t="str">
            <v>N</v>
          </cell>
          <cell r="E146" t="str">
            <v>C</v>
          </cell>
          <cell r="F146" t="str">
            <v>08/26/1999</v>
          </cell>
        </row>
        <row r="147">
          <cell r="B147" t="str">
            <v>10691</v>
          </cell>
          <cell r="C147" t="str">
            <v>AED</v>
          </cell>
          <cell r="D147" t="str">
            <v>N</v>
          </cell>
          <cell r="E147" t="str">
            <v>C</v>
          </cell>
          <cell r="F147" t="str">
            <v>01/30/2001</v>
          </cell>
        </row>
        <row r="148">
          <cell r="B148" t="str">
            <v>10692</v>
          </cell>
          <cell r="C148" t="str">
            <v>UEC</v>
          </cell>
          <cell r="D148" t="str">
            <v>N</v>
          </cell>
          <cell r="E148" t="str">
            <v>C</v>
          </cell>
          <cell r="F148" t="str">
            <v>01/07/2000</v>
          </cell>
        </row>
        <row r="149">
          <cell r="B149" t="str">
            <v>10693</v>
          </cell>
          <cell r="C149" t="str">
            <v>AED</v>
          </cell>
          <cell r="D149" t="str">
            <v>N</v>
          </cell>
          <cell r="E149" t="str">
            <v>C</v>
          </cell>
          <cell r="F149" t="str">
            <v>01/30/2001</v>
          </cell>
        </row>
        <row r="150">
          <cell r="B150" t="str">
            <v>10694</v>
          </cell>
          <cell r="C150" t="str">
            <v>GEN</v>
          </cell>
          <cell r="D150" t="str">
            <v>N</v>
          </cell>
          <cell r="E150" t="str">
            <v>C</v>
          </cell>
          <cell r="F150" t="str">
            <v>01/30/2001</v>
          </cell>
        </row>
        <row r="151">
          <cell r="B151" t="str">
            <v>10695</v>
          </cell>
          <cell r="C151" t="str">
            <v>AED</v>
          </cell>
          <cell r="D151" t="str">
            <v>N</v>
          </cell>
          <cell r="E151" t="str">
            <v>C</v>
          </cell>
          <cell r="F151" t="str">
            <v>01/30/2001</v>
          </cell>
        </row>
        <row r="152">
          <cell r="B152" t="str">
            <v>10697</v>
          </cell>
          <cell r="C152" t="str">
            <v>UEC</v>
          </cell>
          <cell r="D152" t="str">
            <v>N</v>
          </cell>
          <cell r="E152" t="str">
            <v>C</v>
          </cell>
          <cell r="F152" t="str">
            <v>08/31/1999</v>
          </cell>
        </row>
        <row r="153">
          <cell r="B153" t="str">
            <v>10700</v>
          </cell>
          <cell r="C153" t="str">
            <v>UEC</v>
          </cell>
          <cell r="D153" t="str">
            <v>N</v>
          </cell>
          <cell r="E153" t="str">
            <v>A</v>
          </cell>
          <cell r="F153" t="str">
            <v>09/02/1999</v>
          </cell>
        </row>
        <row r="154">
          <cell r="B154" t="str">
            <v>10705</v>
          </cell>
          <cell r="C154" t="str">
            <v>UEC</v>
          </cell>
          <cell r="D154" t="str">
            <v>N</v>
          </cell>
          <cell r="E154" t="str">
            <v>C</v>
          </cell>
          <cell r="F154" t="str">
            <v>09/10/1999</v>
          </cell>
        </row>
        <row r="155">
          <cell r="B155" t="str">
            <v>10710</v>
          </cell>
          <cell r="C155" t="str">
            <v>UEC</v>
          </cell>
          <cell r="D155" t="str">
            <v>N</v>
          </cell>
          <cell r="E155" t="str">
            <v>C</v>
          </cell>
          <cell r="F155" t="str">
            <v>09/13/1999</v>
          </cell>
        </row>
        <row r="156">
          <cell r="B156" t="str">
            <v>10715</v>
          </cell>
          <cell r="C156" t="str">
            <v>UEC</v>
          </cell>
          <cell r="D156" t="str">
            <v>N</v>
          </cell>
          <cell r="E156" t="str">
            <v>C</v>
          </cell>
          <cell r="F156" t="str">
            <v>09/13/1999</v>
          </cell>
        </row>
        <row r="157">
          <cell r="B157" t="str">
            <v>10717</v>
          </cell>
          <cell r="C157" t="str">
            <v>UEC</v>
          </cell>
          <cell r="D157" t="str">
            <v>N</v>
          </cell>
          <cell r="E157" t="str">
            <v>C</v>
          </cell>
          <cell r="F157" t="str">
            <v>09/14/1999</v>
          </cell>
        </row>
        <row r="158">
          <cell r="B158" t="str">
            <v>10745</v>
          </cell>
          <cell r="C158" t="str">
            <v>UEC</v>
          </cell>
          <cell r="D158" t="str">
            <v>N</v>
          </cell>
          <cell r="E158" t="str">
            <v>C</v>
          </cell>
          <cell r="F158" t="str">
            <v>09/30/1999</v>
          </cell>
        </row>
        <row r="159">
          <cell r="B159" t="str">
            <v>10746</v>
          </cell>
          <cell r="C159" t="str">
            <v>CIP</v>
          </cell>
          <cell r="D159" t="str">
            <v>N</v>
          </cell>
          <cell r="E159" t="str">
            <v>C</v>
          </cell>
          <cell r="F159" t="str">
            <v>10/20/1999</v>
          </cell>
        </row>
        <row r="160">
          <cell r="B160" t="str">
            <v>10748</v>
          </cell>
          <cell r="C160"/>
          <cell r="D160"/>
          <cell r="E160"/>
          <cell r="F160"/>
        </row>
        <row r="161">
          <cell r="B161" t="str">
            <v>10752</v>
          </cell>
          <cell r="C161" t="str">
            <v>UEC</v>
          </cell>
          <cell r="D161" t="str">
            <v>N</v>
          </cell>
          <cell r="E161" t="str">
            <v>C</v>
          </cell>
          <cell r="F161" t="str">
            <v>10/21/1999</v>
          </cell>
        </row>
        <row r="162">
          <cell r="B162" t="str">
            <v>10761</v>
          </cell>
          <cell r="C162" t="str">
            <v>UEC</v>
          </cell>
          <cell r="D162" t="str">
            <v>N</v>
          </cell>
          <cell r="E162" t="str">
            <v>C</v>
          </cell>
          <cell r="F162" t="str">
            <v>10/25/1999</v>
          </cell>
        </row>
        <row r="163">
          <cell r="B163" t="str">
            <v>10770</v>
          </cell>
          <cell r="C163" t="str">
            <v>UEC</v>
          </cell>
          <cell r="D163" t="str">
            <v>N</v>
          </cell>
          <cell r="E163" t="str">
            <v>C</v>
          </cell>
          <cell r="F163" t="str">
            <v>10/27/1999</v>
          </cell>
        </row>
        <row r="164">
          <cell r="B164" t="str">
            <v>10771</v>
          </cell>
          <cell r="C164" t="str">
            <v>UEC</v>
          </cell>
          <cell r="D164" t="str">
            <v>N</v>
          </cell>
          <cell r="E164" t="str">
            <v>C</v>
          </cell>
          <cell r="F164" t="str">
            <v>10/28/1999</v>
          </cell>
        </row>
        <row r="165">
          <cell r="B165" t="str">
            <v>10775</v>
          </cell>
          <cell r="C165" t="str">
            <v>UEC</v>
          </cell>
          <cell r="D165" t="str">
            <v>N</v>
          </cell>
          <cell r="E165" t="str">
            <v>C</v>
          </cell>
          <cell r="F165" t="str">
            <v>10/28/1999</v>
          </cell>
        </row>
        <row r="166">
          <cell r="B166" t="str">
            <v>10784</v>
          </cell>
          <cell r="C166" t="str">
            <v>UEC</v>
          </cell>
          <cell r="D166" t="str">
            <v>N</v>
          </cell>
          <cell r="E166" t="str">
            <v>C</v>
          </cell>
          <cell r="F166" t="str">
            <v>02/14/2000</v>
          </cell>
        </row>
        <row r="167">
          <cell r="B167" t="str">
            <v>10788</v>
          </cell>
          <cell r="C167" t="str">
            <v>UEC</v>
          </cell>
          <cell r="D167" t="str">
            <v>N</v>
          </cell>
          <cell r="E167" t="str">
            <v>C</v>
          </cell>
          <cell r="F167" t="str">
            <v>11/15/1999</v>
          </cell>
        </row>
        <row r="168">
          <cell r="B168" t="str">
            <v>10799</v>
          </cell>
          <cell r="C168" t="str">
            <v>CIP</v>
          </cell>
          <cell r="D168" t="str">
            <v>N</v>
          </cell>
          <cell r="E168" t="str">
            <v>C</v>
          </cell>
          <cell r="F168" t="str">
            <v>11/19/1999</v>
          </cell>
        </row>
        <row r="169">
          <cell r="B169" t="str">
            <v>10802</v>
          </cell>
          <cell r="C169" t="str">
            <v>UEC</v>
          </cell>
          <cell r="D169" t="str">
            <v>N</v>
          </cell>
          <cell r="E169" t="str">
            <v>C</v>
          </cell>
          <cell r="F169" t="str">
            <v>06/05/2000</v>
          </cell>
        </row>
        <row r="170">
          <cell r="B170" t="str">
            <v>10803</v>
          </cell>
          <cell r="C170" t="str">
            <v>UEC</v>
          </cell>
          <cell r="D170" t="str">
            <v>N</v>
          </cell>
          <cell r="E170" t="str">
            <v>C</v>
          </cell>
          <cell r="F170" t="str">
            <v>08/19/2002</v>
          </cell>
        </row>
        <row r="171">
          <cell r="B171" t="str">
            <v>10807</v>
          </cell>
          <cell r="C171" t="str">
            <v>UEC</v>
          </cell>
          <cell r="D171" t="str">
            <v>N</v>
          </cell>
          <cell r="E171" t="str">
            <v>C</v>
          </cell>
          <cell r="F171" t="str">
            <v>03/08/2000</v>
          </cell>
        </row>
        <row r="172">
          <cell r="B172" t="str">
            <v>10809</v>
          </cell>
          <cell r="C172" t="str">
            <v>UEC</v>
          </cell>
          <cell r="D172" t="str">
            <v>N</v>
          </cell>
          <cell r="E172" t="str">
            <v>C</v>
          </cell>
          <cell r="F172" t="str">
            <v>03/08/2000</v>
          </cell>
        </row>
        <row r="173">
          <cell r="B173" t="str">
            <v>10810</v>
          </cell>
          <cell r="C173" t="str">
            <v>AEC</v>
          </cell>
          <cell r="D173" t="str">
            <v>N</v>
          </cell>
          <cell r="E173" t="str">
            <v>A</v>
          </cell>
          <cell r="F173" t="str">
            <v>03/08/2000</v>
          </cell>
        </row>
        <row r="174">
          <cell r="B174" t="str">
            <v>10811</v>
          </cell>
          <cell r="C174" t="str">
            <v>UEC</v>
          </cell>
          <cell r="D174" t="str">
            <v>N</v>
          </cell>
          <cell r="E174" t="str">
            <v>A</v>
          </cell>
          <cell r="F174" t="str">
            <v>03/09/2001</v>
          </cell>
        </row>
        <row r="175">
          <cell r="B175" t="str">
            <v>10824</v>
          </cell>
          <cell r="C175" t="str">
            <v>UEC</v>
          </cell>
          <cell r="D175" t="str">
            <v>N</v>
          </cell>
          <cell r="E175" t="str">
            <v>C</v>
          </cell>
          <cell r="F175" t="str">
            <v>11/26/1999</v>
          </cell>
        </row>
        <row r="176">
          <cell r="B176" t="str">
            <v>10825</v>
          </cell>
          <cell r="C176" t="str">
            <v>UEC</v>
          </cell>
          <cell r="D176" t="str">
            <v>N</v>
          </cell>
          <cell r="E176" t="str">
            <v>C</v>
          </cell>
          <cell r="F176" t="str">
            <v>11/26/1999</v>
          </cell>
        </row>
        <row r="177">
          <cell r="B177" t="str">
            <v>10826</v>
          </cell>
          <cell r="C177" t="str">
            <v>UEC</v>
          </cell>
          <cell r="D177" t="str">
            <v>N</v>
          </cell>
          <cell r="E177" t="str">
            <v>C</v>
          </cell>
          <cell r="F177" t="str">
            <v>11/29/1999</v>
          </cell>
        </row>
        <row r="178">
          <cell r="B178" t="str">
            <v>10832</v>
          </cell>
          <cell r="C178" t="str">
            <v>UEC</v>
          </cell>
          <cell r="D178" t="str">
            <v>N</v>
          </cell>
          <cell r="E178" t="str">
            <v>C</v>
          </cell>
          <cell r="F178" t="str">
            <v>03/13/2000</v>
          </cell>
        </row>
        <row r="179">
          <cell r="B179" t="str">
            <v>10841</v>
          </cell>
          <cell r="C179" t="str">
            <v>UEC</v>
          </cell>
          <cell r="D179" t="str">
            <v>N</v>
          </cell>
          <cell r="E179" t="str">
            <v>C</v>
          </cell>
          <cell r="F179" t="str">
            <v>06/06/2000</v>
          </cell>
        </row>
        <row r="180">
          <cell r="B180" t="str">
            <v>10845</v>
          </cell>
          <cell r="C180" t="str">
            <v>GEN</v>
          </cell>
          <cell r="D180" t="str">
            <v>N</v>
          </cell>
          <cell r="E180" t="str">
            <v>C</v>
          </cell>
          <cell r="F180" t="str">
            <v>12/02/1999</v>
          </cell>
        </row>
        <row r="181">
          <cell r="B181" t="str">
            <v>10846</v>
          </cell>
          <cell r="C181" t="str">
            <v>UEC</v>
          </cell>
          <cell r="D181" t="str">
            <v>N</v>
          </cell>
          <cell r="E181" t="str">
            <v>C</v>
          </cell>
          <cell r="F181" t="str">
            <v>12/02/1999</v>
          </cell>
        </row>
        <row r="182">
          <cell r="B182" t="str">
            <v>10847</v>
          </cell>
          <cell r="C182" t="str">
            <v>UEC</v>
          </cell>
          <cell r="D182" t="str">
            <v>N</v>
          </cell>
          <cell r="E182" t="str">
            <v>C</v>
          </cell>
          <cell r="F182" t="str">
            <v>12/02/1999</v>
          </cell>
        </row>
        <row r="183">
          <cell r="B183" t="str">
            <v>10854</v>
          </cell>
          <cell r="C183" t="str">
            <v>UEC</v>
          </cell>
          <cell r="D183" t="str">
            <v>N</v>
          </cell>
          <cell r="E183" t="str">
            <v>A</v>
          </cell>
          <cell r="F183" t="str">
            <v>12/08/1999</v>
          </cell>
        </row>
        <row r="184">
          <cell r="B184" t="str">
            <v>10855</v>
          </cell>
          <cell r="C184" t="str">
            <v>CIP</v>
          </cell>
          <cell r="D184" t="str">
            <v>N</v>
          </cell>
          <cell r="E184" t="str">
            <v>C</v>
          </cell>
          <cell r="F184" t="str">
            <v>12/08/1999</v>
          </cell>
        </row>
        <row r="185">
          <cell r="B185" t="str">
            <v>10859</v>
          </cell>
          <cell r="C185" t="str">
            <v>UEC</v>
          </cell>
          <cell r="D185" t="str">
            <v>N</v>
          </cell>
          <cell r="E185" t="str">
            <v>C</v>
          </cell>
          <cell r="F185" t="str">
            <v>12/14/1999</v>
          </cell>
        </row>
        <row r="186">
          <cell r="B186" t="str">
            <v>10862</v>
          </cell>
          <cell r="C186" t="str">
            <v>UEC</v>
          </cell>
          <cell r="D186" t="str">
            <v>N</v>
          </cell>
          <cell r="E186" t="str">
            <v>C</v>
          </cell>
          <cell r="F186" t="str">
            <v>12/14/1999</v>
          </cell>
        </row>
        <row r="187">
          <cell r="B187" t="str">
            <v>10863</v>
          </cell>
          <cell r="C187" t="str">
            <v>UEC</v>
          </cell>
          <cell r="D187" t="str">
            <v>N</v>
          </cell>
          <cell r="E187" t="str">
            <v>C</v>
          </cell>
          <cell r="F187" t="str">
            <v>03/21/2000</v>
          </cell>
        </row>
        <row r="188">
          <cell r="B188" t="str">
            <v>10865</v>
          </cell>
          <cell r="C188" t="str">
            <v>UEC</v>
          </cell>
          <cell r="D188" t="str">
            <v>N</v>
          </cell>
          <cell r="E188" t="str">
            <v>C</v>
          </cell>
          <cell r="F188" t="str">
            <v>12/14/1999</v>
          </cell>
        </row>
        <row r="189">
          <cell r="B189" t="str">
            <v>10870</v>
          </cell>
          <cell r="C189" t="str">
            <v>UEC</v>
          </cell>
          <cell r="D189" t="str">
            <v>N</v>
          </cell>
          <cell r="E189" t="str">
            <v>A</v>
          </cell>
          <cell r="F189" t="str">
            <v>03/22/2000</v>
          </cell>
        </row>
        <row r="190">
          <cell r="B190" t="str">
            <v>10871</v>
          </cell>
          <cell r="C190" t="str">
            <v>UEC</v>
          </cell>
          <cell r="D190" t="str">
            <v>N</v>
          </cell>
          <cell r="E190" t="str">
            <v>C</v>
          </cell>
          <cell r="F190" t="str">
            <v>03/21/2000</v>
          </cell>
        </row>
        <row r="191">
          <cell r="B191" t="str">
            <v>10874</v>
          </cell>
          <cell r="C191" t="str">
            <v>UEC</v>
          </cell>
          <cell r="D191" t="str">
            <v>N</v>
          </cell>
          <cell r="E191" t="str">
            <v>C</v>
          </cell>
          <cell r="F191" t="str">
            <v>03/24/2000</v>
          </cell>
        </row>
        <row r="192">
          <cell r="B192" t="str">
            <v>10879</v>
          </cell>
          <cell r="C192" t="str">
            <v>UEC</v>
          </cell>
          <cell r="D192" t="str">
            <v>N</v>
          </cell>
          <cell r="E192" t="str">
            <v>C</v>
          </cell>
          <cell r="F192" t="str">
            <v>05/05/2000</v>
          </cell>
        </row>
        <row r="193">
          <cell r="B193" t="str">
            <v>10883</v>
          </cell>
          <cell r="C193" t="str">
            <v>UEC</v>
          </cell>
          <cell r="D193" t="str">
            <v>N</v>
          </cell>
          <cell r="E193" t="str">
            <v>A</v>
          </cell>
          <cell r="F193" t="str">
            <v>03/29/2000</v>
          </cell>
        </row>
        <row r="194">
          <cell r="B194" t="str">
            <v>10885</v>
          </cell>
          <cell r="C194" t="str">
            <v>UEC</v>
          </cell>
          <cell r="D194" t="str">
            <v>N</v>
          </cell>
          <cell r="E194" t="str">
            <v>C</v>
          </cell>
          <cell r="F194" t="str">
            <v>03/29/2000</v>
          </cell>
        </row>
        <row r="195">
          <cell r="B195" t="str">
            <v>10887</v>
          </cell>
          <cell r="C195" t="str">
            <v>UEC</v>
          </cell>
          <cell r="D195" t="str">
            <v>N</v>
          </cell>
          <cell r="E195" t="str">
            <v>C</v>
          </cell>
          <cell r="F195" t="str">
            <v>12/27/1999</v>
          </cell>
        </row>
        <row r="196">
          <cell r="B196" t="str">
            <v>10888</v>
          </cell>
          <cell r="C196" t="str">
            <v>UEC</v>
          </cell>
          <cell r="D196" t="str">
            <v>N</v>
          </cell>
          <cell r="E196" t="str">
            <v>C</v>
          </cell>
          <cell r="F196" t="str">
            <v>01/30/2001</v>
          </cell>
        </row>
        <row r="197">
          <cell r="B197" t="str">
            <v>10890</v>
          </cell>
          <cell r="C197" t="str">
            <v>UEC</v>
          </cell>
          <cell r="D197" t="str">
            <v>N</v>
          </cell>
          <cell r="E197" t="str">
            <v>C</v>
          </cell>
          <cell r="F197" t="str">
            <v>12/29/1999</v>
          </cell>
        </row>
        <row r="198">
          <cell r="B198" t="str">
            <v>10892</v>
          </cell>
          <cell r="C198" t="str">
            <v>GEN</v>
          </cell>
          <cell r="D198" t="str">
            <v>N</v>
          </cell>
          <cell r="E198" t="str">
            <v>C</v>
          </cell>
          <cell r="F198" t="str">
            <v>01/03/2000</v>
          </cell>
        </row>
        <row r="199">
          <cell r="B199" t="str">
            <v>10895</v>
          </cell>
          <cell r="C199" t="str">
            <v>UEC</v>
          </cell>
          <cell r="D199" t="str">
            <v>N</v>
          </cell>
          <cell r="E199" t="str">
            <v>A</v>
          </cell>
          <cell r="F199" t="str">
            <v>01/04/2000</v>
          </cell>
        </row>
        <row r="200">
          <cell r="B200" t="str">
            <v>10896</v>
          </cell>
          <cell r="C200" t="str">
            <v>UEC</v>
          </cell>
          <cell r="D200" t="str">
            <v>N</v>
          </cell>
          <cell r="E200" t="str">
            <v>C</v>
          </cell>
          <cell r="F200" t="str">
            <v>01/04/2000</v>
          </cell>
        </row>
        <row r="201">
          <cell r="B201" t="str">
            <v>10898</v>
          </cell>
          <cell r="C201" t="str">
            <v>UEC</v>
          </cell>
          <cell r="D201" t="str">
            <v>N</v>
          </cell>
          <cell r="E201" t="str">
            <v>C</v>
          </cell>
          <cell r="F201" t="str">
            <v>01/05/2000</v>
          </cell>
        </row>
        <row r="202">
          <cell r="B202" t="str">
            <v>10901</v>
          </cell>
          <cell r="C202" t="str">
            <v>UEC</v>
          </cell>
          <cell r="D202" t="str">
            <v>N</v>
          </cell>
          <cell r="E202" t="str">
            <v>C</v>
          </cell>
          <cell r="F202" t="str">
            <v>01/06/2000</v>
          </cell>
        </row>
        <row r="203">
          <cell r="B203" t="str">
            <v>10902</v>
          </cell>
          <cell r="C203" t="str">
            <v>UEC</v>
          </cell>
          <cell r="D203" t="str">
            <v>N</v>
          </cell>
          <cell r="E203" t="str">
            <v>C</v>
          </cell>
          <cell r="F203" t="str">
            <v>01/06/2000</v>
          </cell>
        </row>
        <row r="204">
          <cell r="B204" t="str">
            <v>10909</v>
          </cell>
          <cell r="C204" t="str">
            <v>UEC</v>
          </cell>
          <cell r="D204" t="str">
            <v>N</v>
          </cell>
          <cell r="E204" t="str">
            <v>C</v>
          </cell>
          <cell r="F204" t="str">
            <v>01/07/2000</v>
          </cell>
        </row>
        <row r="205">
          <cell r="B205" t="str">
            <v>10912</v>
          </cell>
          <cell r="C205" t="str">
            <v>CIP</v>
          </cell>
          <cell r="D205" t="str">
            <v>N</v>
          </cell>
          <cell r="E205" t="str">
            <v>C</v>
          </cell>
          <cell r="F205" t="str">
            <v>01/10/2000</v>
          </cell>
        </row>
        <row r="206">
          <cell r="B206" t="str">
            <v>10916</v>
          </cell>
          <cell r="C206" t="str">
            <v>CIP</v>
          </cell>
          <cell r="D206" t="str">
            <v>N</v>
          </cell>
          <cell r="E206" t="str">
            <v>C</v>
          </cell>
          <cell r="F206" t="str">
            <v>01/11/2000</v>
          </cell>
        </row>
        <row r="207">
          <cell r="B207" t="str">
            <v>10924</v>
          </cell>
          <cell r="C207" t="str">
            <v>UEC</v>
          </cell>
          <cell r="D207" t="str">
            <v>N</v>
          </cell>
          <cell r="E207" t="str">
            <v>C</v>
          </cell>
          <cell r="F207" t="str">
            <v>01/13/2000</v>
          </cell>
        </row>
        <row r="208">
          <cell r="B208" t="str">
            <v>10930</v>
          </cell>
          <cell r="C208" t="str">
            <v>UEC</v>
          </cell>
          <cell r="D208" t="str">
            <v>N</v>
          </cell>
          <cell r="E208" t="str">
            <v>C</v>
          </cell>
          <cell r="F208" t="str">
            <v>01/19/2000</v>
          </cell>
        </row>
        <row r="209">
          <cell r="B209" t="str">
            <v>10935</v>
          </cell>
          <cell r="C209" t="str">
            <v>UEC</v>
          </cell>
          <cell r="D209" t="str">
            <v>N</v>
          </cell>
          <cell r="E209" t="str">
            <v>C</v>
          </cell>
          <cell r="F209" t="str">
            <v>01/20/2000</v>
          </cell>
        </row>
        <row r="210">
          <cell r="B210" t="str">
            <v>10941</v>
          </cell>
          <cell r="C210" t="str">
            <v>GEN</v>
          </cell>
          <cell r="D210" t="str">
            <v>N</v>
          </cell>
          <cell r="E210" t="str">
            <v>C</v>
          </cell>
          <cell r="F210" t="str">
            <v>01/26/2000</v>
          </cell>
        </row>
        <row r="211">
          <cell r="B211" t="str">
            <v>10942</v>
          </cell>
          <cell r="C211" t="str">
            <v>GEN</v>
          </cell>
          <cell r="D211" t="str">
            <v>N</v>
          </cell>
          <cell r="E211" t="str">
            <v>C</v>
          </cell>
          <cell r="F211" t="str">
            <v>01/26/2000</v>
          </cell>
        </row>
        <row r="212">
          <cell r="B212" t="str">
            <v>10943</v>
          </cell>
          <cell r="C212" t="str">
            <v>UEC</v>
          </cell>
          <cell r="D212" t="str">
            <v>N</v>
          </cell>
          <cell r="E212" t="str">
            <v>A</v>
          </cell>
          <cell r="F212" t="str">
            <v>01/26/2000</v>
          </cell>
        </row>
        <row r="213">
          <cell r="B213" t="str">
            <v>10944</v>
          </cell>
          <cell r="C213" t="str">
            <v>UEC</v>
          </cell>
          <cell r="D213" t="str">
            <v>N</v>
          </cell>
          <cell r="E213" t="str">
            <v>A</v>
          </cell>
          <cell r="F213" t="str">
            <v>01/26/2000</v>
          </cell>
        </row>
        <row r="214">
          <cell r="B214" t="str">
            <v>10945</v>
          </cell>
          <cell r="C214" t="str">
            <v>UEC</v>
          </cell>
          <cell r="D214" t="str">
            <v>N</v>
          </cell>
          <cell r="E214" t="str">
            <v>A</v>
          </cell>
          <cell r="F214" t="str">
            <v>01/26/2000</v>
          </cell>
        </row>
        <row r="215">
          <cell r="B215" t="str">
            <v>10946</v>
          </cell>
          <cell r="C215" t="str">
            <v>UEC</v>
          </cell>
          <cell r="D215" t="str">
            <v>N</v>
          </cell>
          <cell r="E215" t="str">
            <v>A</v>
          </cell>
          <cell r="F215" t="str">
            <v>01/26/2000</v>
          </cell>
        </row>
        <row r="216">
          <cell r="B216" t="str">
            <v>10947</v>
          </cell>
          <cell r="C216" t="str">
            <v>CIP</v>
          </cell>
          <cell r="D216" t="str">
            <v>N</v>
          </cell>
          <cell r="E216" t="str">
            <v>C</v>
          </cell>
          <cell r="F216" t="str">
            <v>01/26/2000</v>
          </cell>
        </row>
        <row r="217">
          <cell r="B217" t="str">
            <v>10951</v>
          </cell>
          <cell r="C217" t="str">
            <v>UEC</v>
          </cell>
          <cell r="D217" t="str">
            <v>N</v>
          </cell>
          <cell r="E217" t="str">
            <v>C</v>
          </cell>
          <cell r="F217" t="str">
            <v>01/31/2000</v>
          </cell>
        </row>
        <row r="218">
          <cell r="B218" t="str">
            <v>10954</v>
          </cell>
          <cell r="C218" t="str">
            <v>UEC</v>
          </cell>
          <cell r="D218" t="str">
            <v>N</v>
          </cell>
          <cell r="E218" t="str">
            <v>C</v>
          </cell>
          <cell r="F218" t="str">
            <v>02/01/2000</v>
          </cell>
        </row>
        <row r="219">
          <cell r="B219" t="str">
            <v>10955</v>
          </cell>
          <cell r="C219" t="str">
            <v>UEC</v>
          </cell>
          <cell r="D219" t="str">
            <v>N</v>
          </cell>
          <cell r="E219" t="str">
            <v>C</v>
          </cell>
          <cell r="F219" t="str">
            <v>02/01/2000</v>
          </cell>
        </row>
        <row r="220">
          <cell r="B220" t="str">
            <v>10960</v>
          </cell>
          <cell r="C220" t="str">
            <v>UEC</v>
          </cell>
          <cell r="D220" t="str">
            <v>N</v>
          </cell>
          <cell r="E220" t="str">
            <v>C</v>
          </cell>
          <cell r="F220" t="str">
            <v>02/07/2000</v>
          </cell>
        </row>
        <row r="221">
          <cell r="B221" t="str">
            <v>10966</v>
          </cell>
          <cell r="C221" t="str">
            <v>UEC</v>
          </cell>
          <cell r="D221" t="str">
            <v>N</v>
          </cell>
          <cell r="E221" t="str">
            <v>C</v>
          </cell>
          <cell r="F221" t="str">
            <v>02/08/2000</v>
          </cell>
        </row>
        <row r="222">
          <cell r="B222" t="str">
            <v>10967</v>
          </cell>
          <cell r="C222" t="str">
            <v>CIP</v>
          </cell>
          <cell r="D222" t="str">
            <v>N</v>
          </cell>
          <cell r="E222" t="str">
            <v>C</v>
          </cell>
          <cell r="F222" t="str">
            <v>02/08/2000</v>
          </cell>
        </row>
        <row r="223">
          <cell r="B223" t="str">
            <v>10968</v>
          </cell>
          <cell r="C223" t="str">
            <v>CIP</v>
          </cell>
          <cell r="D223" t="str">
            <v>N</v>
          </cell>
          <cell r="E223" t="str">
            <v>C</v>
          </cell>
          <cell r="F223" t="str">
            <v>04/04/2000</v>
          </cell>
        </row>
        <row r="224">
          <cell r="B224" t="str">
            <v>10969</v>
          </cell>
          <cell r="C224" t="str">
            <v>UEC</v>
          </cell>
          <cell r="D224" t="str">
            <v>N</v>
          </cell>
          <cell r="E224" t="str">
            <v>C</v>
          </cell>
          <cell r="F224" t="str">
            <v>02/09/2000</v>
          </cell>
        </row>
        <row r="225">
          <cell r="B225" t="str">
            <v>10970</v>
          </cell>
          <cell r="C225" t="str">
            <v>GEN</v>
          </cell>
          <cell r="D225" t="str">
            <v>N</v>
          </cell>
          <cell r="E225" t="str">
            <v>C</v>
          </cell>
          <cell r="F225" t="str">
            <v>02/10/2000</v>
          </cell>
        </row>
        <row r="226">
          <cell r="B226" t="str">
            <v>10971</v>
          </cell>
          <cell r="C226" t="str">
            <v>GEN</v>
          </cell>
          <cell r="D226" t="str">
            <v>N</v>
          </cell>
          <cell r="E226" t="str">
            <v>C</v>
          </cell>
          <cell r="F226" t="str">
            <v>02/10/2000</v>
          </cell>
        </row>
        <row r="227">
          <cell r="B227" t="str">
            <v>10972</v>
          </cell>
          <cell r="C227" t="str">
            <v>UEC</v>
          </cell>
          <cell r="D227" t="str">
            <v>N</v>
          </cell>
          <cell r="E227" t="str">
            <v>C</v>
          </cell>
          <cell r="F227" t="str">
            <v>02/11/2000</v>
          </cell>
        </row>
        <row r="228">
          <cell r="B228" t="str">
            <v>10973</v>
          </cell>
          <cell r="C228" t="str">
            <v>UEC</v>
          </cell>
          <cell r="D228" t="str">
            <v>N</v>
          </cell>
          <cell r="E228" t="str">
            <v>C</v>
          </cell>
          <cell r="F228" t="str">
            <v>02/11/2000</v>
          </cell>
        </row>
        <row r="229">
          <cell r="B229" t="str">
            <v>10975</v>
          </cell>
          <cell r="C229" t="str">
            <v>UEC</v>
          </cell>
          <cell r="D229" t="str">
            <v>N</v>
          </cell>
          <cell r="E229" t="str">
            <v>C</v>
          </cell>
          <cell r="F229" t="str">
            <v>02/14/2000</v>
          </cell>
        </row>
        <row r="230">
          <cell r="B230" t="str">
            <v>10976</v>
          </cell>
          <cell r="C230" t="str">
            <v>GEN</v>
          </cell>
          <cell r="D230" t="str">
            <v>N</v>
          </cell>
          <cell r="E230" t="str">
            <v>C</v>
          </cell>
          <cell r="F230" t="str">
            <v>01/30/2001</v>
          </cell>
        </row>
        <row r="231">
          <cell r="B231" t="str">
            <v>10985</v>
          </cell>
          <cell r="C231" t="str">
            <v>GEN</v>
          </cell>
          <cell r="D231" t="str">
            <v>N</v>
          </cell>
          <cell r="E231" t="str">
            <v>A</v>
          </cell>
          <cell r="F231" t="str">
            <v>02/17/2000</v>
          </cell>
        </row>
        <row r="232">
          <cell r="B232" t="str">
            <v>10989</v>
          </cell>
          <cell r="C232" t="str">
            <v>UEC</v>
          </cell>
          <cell r="D232" t="str">
            <v>N</v>
          </cell>
          <cell r="E232" t="str">
            <v>C</v>
          </cell>
          <cell r="F232" t="str">
            <v>02/18/2000</v>
          </cell>
        </row>
        <row r="233">
          <cell r="B233" t="str">
            <v>10990</v>
          </cell>
          <cell r="C233" t="str">
            <v>UEC</v>
          </cell>
          <cell r="D233" t="str">
            <v>N</v>
          </cell>
          <cell r="E233" t="str">
            <v>C</v>
          </cell>
          <cell r="F233" t="str">
            <v>04/04/2000</v>
          </cell>
        </row>
        <row r="234">
          <cell r="B234" t="str">
            <v>10992</v>
          </cell>
          <cell r="C234" t="str">
            <v>UEC</v>
          </cell>
          <cell r="D234" t="str">
            <v>N</v>
          </cell>
          <cell r="E234" t="str">
            <v>C</v>
          </cell>
          <cell r="F234" t="str">
            <v>02/22/2000</v>
          </cell>
        </row>
        <row r="235">
          <cell r="B235" t="str">
            <v>10996</v>
          </cell>
          <cell r="C235"/>
          <cell r="D235"/>
          <cell r="E235"/>
          <cell r="F235"/>
        </row>
        <row r="236">
          <cell r="B236" t="str">
            <v>10997</v>
          </cell>
          <cell r="C236" t="str">
            <v>UEC</v>
          </cell>
          <cell r="D236" t="str">
            <v>N</v>
          </cell>
          <cell r="E236" t="str">
            <v>A</v>
          </cell>
          <cell r="F236" t="str">
            <v>02/23/2000</v>
          </cell>
        </row>
        <row r="237">
          <cell r="B237" t="str">
            <v>10999</v>
          </cell>
          <cell r="C237" t="str">
            <v>CIP</v>
          </cell>
          <cell r="D237" t="str">
            <v>N</v>
          </cell>
          <cell r="E237" t="str">
            <v>C</v>
          </cell>
          <cell r="F237" t="str">
            <v>02/23/2000</v>
          </cell>
        </row>
        <row r="238">
          <cell r="B238" t="str">
            <v>11000</v>
          </cell>
          <cell r="C238" t="str">
            <v>UEC</v>
          </cell>
          <cell r="D238" t="str">
            <v>N</v>
          </cell>
          <cell r="E238" t="str">
            <v>C</v>
          </cell>
          <cell r="F238" t="str">
            <v>02/23/2000</v>
          </cell>
        </row>
        <row r="239">
          <cell r="B239" t="str">
            <v>11005</v>
          </cell>
          <cell r="C239" t="str">
            <v>UEC</v>
          </cell>
          <cell r="D239" t="str">
            <v>N</v>
          </cell>
          <cell r="E239" t="str">
            <v>C</v>
          </cell>
          <cell r="F239" t="str">
            <v>10/02/2000</v>
          </cell>
        </row>
        <row r="240">
          <cell r="B240" t="str">
            <v>11007</v>
          </cell>
          <cell r="C240" t="str">
            <v>UEC</v>
          </cell>
          <cell r="D240" t="str">
            <v>N</v>
          </cell>
          <cell r="E240" t="str">
            <v>A</v>
          </cell>
          <cell r="F240" t="str">
            <v>02/28/2000</v>
          </cell>
        </row>
        <row r="241">
          <cell r="B241" t="str">
            <v>11014</v>
          </cell>
          <cell r="C241" t="str">
            <v>UEC</v>
          </cell>
          <cell r="D241" t="str">
            <v>N</v>
          </cell>
          <cell r="E241" t="str">
            <v>C</v>
          </cell>
          <cell r="F241" t="str">
            <v>04/07/2000</v>
          </cell>
        </row>
        <row r="242">
          <cell r="B242" t="str">
            <v>11025</v>
          </cell>
          <cell r="C242" t="str">
            <v>UEC</v>
          </cell>
          <cell r="D242" t="str">
            <v>N</v>
          </cell>
          <cell r="E242" t="str">
            <v>C</v>
          </cell>
          <cell r="F242" t="str">
            <v>04/13/2000</v>
          </cell>
        </row>
        <row r="243">
          <cell r="B243" t="str">
            <v>11026</v>
          </cell>
          <cell r="C243" t="str">
            <v>GEN</v>
          </cell>
          <cell r="D243" t="str">
            <v>N</v>
          </cell>
          <cell r="E243" t="str">
            <v>C</v>
          </cell>
          <cell r="F243" t="str">
            <v>04/13/2000</v>
          </cell>
        </row>
        <row r="244">
          <cell r="B244" t="str">
            <v>11033</v>
          </cell>
          <cell r="C244" t="str">
            <v>GEN</v>
          </cell>
          <cell r="D244" t="str">
            <v>N</v>
          </cell>
          <cell r="E244" t="str">
            <v>C</v>
          </cell>
          <cell r="F244" t="str">
            <v>04/17/2000</v>
          </cell>
        </row>
        <row r="245">
          <cell r="B245" t="str">
            <v>11035</v>
          </cell>
          <cell r="C245" t="str">
            <v>UEC</v>
          </cell>
          <cell r="D245" t="str">
            <v>N</v>
          </cell>
          <cell r="E245" t="str">
            <v>C</v>
          </cell>
          <cell r="F245" t="str">
            <v>04/18/2000</v>
          </cell>
        </row>
        <row r="246">
          <cell r="B246" t="str">
            <v>11038</v>
          </cell>
          <cell r="C246" t="str">
            <v>UEC</v>
          </cell>
          <cell r="D246" t="str">
            <v>N</v>
          </cell>
          <cell r="E246" t="str">
            <v>C</v>
          </cell>
          <cell r="F246" t="str">
            <v>04/24/2000</v>
          </cell>
        </row>
        <row r="247">
          <cell r="B247" t="str">
            <v>11047</v>
          </cell>
          <cell r="C247" t="str">
            <v>UEC</v>
          </cell>
          <cell r="D247" t="str">
            <v>N</v>
          </cell>
          <cell r="E247" t="str">
            <v>C</v>
          </cell>
          <cell r="F247" t="str">
            <v>04/25/2000</v>
          </cell>
        </row>
        <row r="248">
          <cell r="B248" t="str">
            <v>11055</v>
          </cell>
          <cell r="C248" t="str">
            <v>UEC</v>
          </cell>
          <cell r="D248" t="str">
            <v>N</v>
          </cell>
          <cell r="E248" t="str">
            <v>C</v>
          </cell>
          <cell r="F248" t="str">
            <v>04/28/2000</v>
          </cell>
        </row>
        <row r="249">
          <cell r="B249" t="str">
            <v>11057</v>
          </cell>
          <cell r="C249" t="str">
            <v>UEC</v>
          </cell>
          <cell r="D249" t="str">
            <v>N</v>
          </cell>
          <cell r="E249" t="str">
            <v>C</v>
          </cell>
          <cell r="F249" t="str">
            <v>05/19/2000</v>
          </cell>
        </row>
        <row r="250">
          <cell r="B250" t="str">
            <v>11060</v>
          </cell>
          <cell r="C250" t="str">
            <v>UEC</v>
          </cell>
          <cell r="D250" t="str">
            <v>N</v>
          </cell>
          <cell r="E250" t="str">
            <v>A</v>
          </cell>
          <cell r="F250" t="str">
            <v>10/02/2000</v>
          </cell>
        </row>
        <row r="251">
          <cell r="B251" t="str">
            <v>11063</v>
          </cell>
          <cell r="C251" t="str">
            <v>UEC</v>
          </cell>
          <cell r="D251" t="str">
            <v>N</v>
          </cell>
          <cell r="E251" t="str">
            <v>I</v>
          </cell>
          <cell r="F251" t="str">
            <v>05/24/2000</v>
          </cell>
        </row>
        <row r="252">
          <cell r="B252" t="str">
            <v>11068</v>
          </cell>
          <cell r="C252" t="str">
            <v>UEC</v>
          </cell>
          <cell r="D252" t="str">
            <v>N</v>
          </cell>
          <cell r="E252" t="str">
            <v>C</v>
          </cell>
          <cell r="F252" t="str">
            <v>05/26/2000</v>
          </cell>
        </row>
        <row r="253">
          <cell r="B253" t="str">
            <v>11073</v>
          </cell>
          <cell r="C253" t="str">
            <v>UEC</v>
          </cell>
          <cell r="D253" t="str">
            <v>N</v>
          </cell>
          <cell r="E253" t="str">
            <v>C</v>
          </cell>
          <cell r="F253" t="str">
            <v>05/31/2000</v>
          </cell>
        </row>
        <row r="254">
          <cell r="B254" t="str">
            <v>11074</v>
          </cell>
          <cell r="C254" t="str">
            <v>UEC</v>
          </cell>
          <cell r="D254" t="str">
            <v>N</v>
          </cell>
          <cell r="E254" t="str">
            <v>C</v>
          </cell>
          <cell r="F254" t="str">
            <v>05/31/2000</v>
          </cell>
        </row>
        <row r="255">
          <cell r="B255" t="str">
            <v>11075</v>
          </cell>
          <cell r="C255" t="str">
            <v>GEN</v>
          </cell>
          <cell r="D255" t="str">
            <v>N</v>
          </cell>
          <cell r="E255" t="str">
            <v>C</v>
          </cell>
          <cell r="F255" t="str">
            <v>06/01/2000</v>
          </cell>
        </row>
        <row r="256">
          <cell r="B256" t="str">
            <v>11080</v>
          </cell>
          <cell r="C256" t="str">
            <v>UEC</v>
          </cell>
          <cell r="D256" t="str">
            <v>N</v>
          </cell>
          <cell r="E256" t="str">
            <v>C</v>
          </cell>
          <cell r="F256" t="str">
            <v>06/12/2000</v>
          </cell>
        </row>
        <row r="257">
          <cell r="B257" t="str">
            <v>11084</v>
          </cell>
          <cell r="C257" t="str">
            <v>UEC</v>
          </cell>
          <cell r="D257" t="str">
            <v>N</v>
          </cell>
          <cell r="E257" t="str">
            <v>C</v>
          </cell>
          <cell r="F257" t="str">
            <v>06/12/2000</v>
          </cell>
        </row>
        <row r="258">
          <cell r="B258" t="str">
            <v>11099</v>
          </cell>
          <cell r="C258" t="str">
            <v>UEC</v>
          </cell>
          <cell r="D258" t="str">
            <v>N</v>
          </cell>
          <cell r="E258" t="str">
            <v>C</v>
          </cell>
          <cell r="F258" t="str">
            <v>08/07/2000</v>
          </cell>
        </row>
        <row r="259">
          <cell r="B259" t="str">
            <v>11107</v>
          </cell>
          <cell r="C259" t="str">
            <v>UEC</v>
          </cell>
          <cell r="D259" t="str">
            <v>N</v>
          </cell>
          <cell r="E259" t="str">
            <v>A</v>
          </cell>
          <cell r="F259" t="str">
            <v>06/19/2000</v>
          </cell>
        </row>
        <row r="260">
          <cell r="B260" t="str">
            <v>11108</v>
          </cell>
          <cell r="C260" t="str">
            <v>UEC</v>
          </cell>
          <cell r="D260" t="str">
            <v>N</v>
          </cell>
          <cell r="E260" t="str">
            <v>C</v>
          </cell>
          <cell r="F260" t="str">
            <v>06/19/2000</v>
          </cell>
        </row>
        <row r="261">
          <cell r="B261" t="str">
            <v>11109</v>
          </cell>
          <cell r="C261" t="str">
            <v>UEC</v>
          </cell>
          <cell r="D261" t="str">
            <v>N</v>
          </cell>
          <cell r="E261" t="str">
            <v>A</v>
          </cell>
          <cell r="F261" t="str">
            <v>06/19/2000</v>
          </cell>
        </row>
        <row r="262">
          <cell r="B262" t="str">
            <v>11112</v>
          </cell>
          <cell r="C262" t="str">
            <v>UEC</v>
          </cell>
          <cell r="D262" t="str">
            <v>N</v>
          </cell>
          <cell r="E262" t="str">
            <v>C</v>
          </cell>
          <cell r="F262" t="str">
            <v>03/13/2001</v>
          </cell>
        </row>
        <row r="263">
          <cell r="B263" t="str">
            <v>11117</v>
          </cell>
          <cell r="C263" t="str">
            <v>CIP</v>
          </cell>
          <cell r="D263" t="str">
            <v>N</v>
          </cell>
          <cell r="E263" t="str">
            <v>C</v>
          </cell>
          <cell r="F263" t="str">
            <v>06/22/2000</v>
          </cell>
        </row>
        <row r="264">
          <cell r="B264" t="str">
            <v>11126</v>
          </cell>
          <cell r="C264" t="str">
            <v>UEC</v>
          </cell>
          <cell r="D264" t="str">
            <v>N</v>
          </cell>
          <cell r="E264" t="str">
            <v>C</v>
          </cell>
          <cell r="F264" t="str">
            <v>06/29/2000</v>
          </cell>
        </row>
        <row r="265">
          <cell r="B265" t="str">
            <v>11127</v>
          </cell>
          <cell r="C265" t="str">
            <v>UEC</v>
          </cell>
          <cell r="D265" t="str">
            <v>N</v>
          </cell>
          <cell r="E265" t="str">
            <v>C</v>
          </cell>
          <cell r="F265" t="str">
            <v>06/29/2000</v>
          </cell>
        </row>
        <row r="266">
          <cell r="B266" t="str">
            <v>11128</v>
          </cell>
          <cell r="C266" t="str">
            <v>UEC</v>
          </cell>
          <cell r="D266" t="str">
            <v>N</v>
          </cell>
          <cell r="E266" t="str">
            <v>C</v>
          </cell>
          <cell r="F266" t="str">
            <v>06/30/2000</v>
          </cell>
        </row>
        <row r="267">
          <cell r="B267" t="str">
            <v>11129</v>
          </cell>
          <cell r="C267" t="str">
            <v>UEC</v>
          </cell>
          <cell r="D267" t="str">
            <v>N</v>
          </cell>
          <cell r="E267" t="str">
            <v>C</v>
          </cell>
          <cell r="F267" t="str">
            <v>07/05/2000</v>
          </cell>
        </row>
        <row r="268">
          <cell r="B268" t="str">
            <v>11130</v>
          </cell>
          <cell r="C268" t="str">
            <v>CIP</v>
          </cell>
          <cell r="D268" t="str">
            <v>N</v>
          </cell>
          <cell r="E268" t="str">
            <v>C</v>
          </cell>
          <cell r="F268" t="str">
            <v>07/05/2000</v>
          </cell>
        </row>
        <row r="269">
          <cell r="B269" t="str">
            <v>11131</v>
          </cell>
          <cell r="C269" t="str">
            <v>GEN</v>
          </cell>
          <cell r="D269" t="str">
            <v>N</v>
          </cell>
          <cell r="E269" t="str">
            <v>C</v>
          </cell>
          <cell r="F269" t="str">
            <v>07/05/2000</v>
          </cell>
        </row>
        <row r="270">
          <cell r="B270" t="str">
            <v>11135</v>
          </cell>
          <cell r="C270" t="str">
            <v>GEN</v>
          </cell>
          <cell r="D270" t="str">
            <v>N</v>
          </cell>
          <cell r="E270" t="str">
            <v>C</v>
          </cell>
          <cell r="F270" t="str">
            <v>07/05/2000</v>
          </cell>
        </row>
        <row r="271">
          <cell r="B271" t="str">
            <v>11136</v>
          </cell>
          <cell r="C271" t="str">
            <v>GEN</v>
          </cell>
          <cell r="D271" t="str">
            <v>N</v>
          </cell>
          <cell r="E271" t="str">
            <v>C</v>
          </cell>
          <cell r="F271" t="str">
            <v>07/05/2000</v>
          </cell>
        </row>
        <row r="272">
          <cell r="B272" t="str">
            <v>11137</v>
          </cell>
          <cell r="C272" t="str">
            <v>GEN</v>
          </cell>
          <cell r="D272" t="str">
            <v>N</v>
          </cell>
          <cell r="E272" t="str">
            <v>C</v>
          </cell>
          <cell r="F272" t="str">
            <v>07/05/2000</v>
          </cell>
        </row>
        <row r="273">
          <cell r="B273" t="str">
            <v>11138</v>
          </cell>
          <cell r="C273" t="str">
            <v>GEN</v>
          </cell>
          <cell r="D273" t="str">
            <v>N</v>
          </cell>
          <cell r="E273" t="str">
            <v>C</v>
          </cell>
          <cell r="F273" t="str">
            <v>07/05/2000</v>
          </cell>
        </row>
        <row r="274">
          <cell r="B274" t="str">
            <v>11142</v>
          </cell>
          <cell r="C274" t="str">
            <v>UEC</v>
          </cell>
          <cell r="D274" t="str">
            <v>N</v>
          </cell>
          <cell r="E274" t="str">
            <v>C</v>
          </cell>
          <cell r="F274" t="str">
            <v>07/06/2000</v>
          </cell>
        </row>
        <row r="275">
          <cell r="B275" t="str">
            <v>11143</v>
          </cell>
          <cell r="C275" t="str">
            <v>UEC</v>
          </cell>
          <cell r="D275" t="str">
            <v>N</v>
          </cell>
          <cell r="E275" t="str">
            <v>C</v>
          </cell>
          <cell r="F275" t="str">
            <v>08/08/2000</v>
          </cell>
        </row>
        <row r="276">
          <cell r="B276" t="str">
            <v>11144</v>
          </cell>
          <cell r="C276" t="str">
            <v>UEC</v>
          </cell>
          <cell r="D276" t="str">
            <v>N</v>
          </cell>
          <cell r="E276" t="str">
            <v>C</v>
          </cell>
          <cell r="F276" t="str">
            <v>08/08/2000</v>
          </cell>
        </row>
        <row r="277">
          <cell r="B277" t="str">
            <v>11150</v>
          </cell>
          <cell r="C277" t="str">
            <v>CIP</v>
          </cell>
          <cell r="D277" t="str">
            <v>N</v>
          </cell>
          <cell r="E277" t="str">
            <v>C</v>
          </cell>
          <cell r="F277" t="str">
            <v>11/08/2000</v>
          </cell>
        </row>
        <row r="278">
          <cell r="B278" t="str">
            <v>11152</v>
          </cell>
          <cell r="C278" t="str">
            <v>UEC</v>
          </cell>
          <cell r="D278" t="str">
            <v>N</v>
          </cell>
          <cell r="E278" t="str">
            <v>I</v>
          </cell>
          <cell r="F278" t="str">
            <v>08/01/2002</v>
          </cell>
        </row>
        <row r="279">
          <cell r="B279" t="str">
            <v>11159</v>
          </cell>
          <cell r="C279" t="str">
            <v>CIP</v>
          </cell>
          <cell r="D279" t="str">
            <v>N</v>
          </cell>
          <cell r="E279" t="str">
            <v>A</v>
          </cell>
          <cell r="F279" t="str">
            <v>11/08/2000</v>
          </cell>
        </row>
        <row r="280">
          <cell r="B280" t="str">
            <v>11166</v>
          </cell>
          <cell r="C280" t="str">
            <v>UEC</v>
          </cell>
          <cell r="D280" t="str">
            <v>N</v>
          </cell>
          <cell r="E280" t="str">
            <v>A</v>
          </cell>
          <cell r="F280" t="str">
            <v>08/05/2002</v>
          </cell>
        </row>
        <row r="281">
          <cell r="B281" t="str">
            <v>11167</v>
          </cell>
          <cell r="C281" t="str">
            <v>UEC</v>
          </cell>
          <cell r="D281" t="str">
            <v>N</v>
          </cell>
          <cell r="E281" t="str">
            <v>C</v>
          </cell>
          <cell r="F281" t="str">
            <v>10/16/2000</v>
          </cell>
        </row>
        <row r="282">
          <cell r="B282" t="str">
            <v>11179</v>
          </cell>
          <cell r="C282" t="str">
            <v>CIP</v>
          </cell>
          <cell r="D282" t="str">
            <v>N</v>
          </cell>
          <cell r="E282" t="str">
            <v>C</v>
          </cell>
          <cell r="F282" t="str">
            <v>11/20/2000</v>
          </cell>
        </row>
        <row r="283">
          <cell r="B283" t="str">
            <v>11191</v>
          </cell>
          <cell r="C283" t="str">
            <v>CIP</v>
          </cell>
          <cell r="D283" t="str">
            <v>N</v>
          </cell>
          <cell r="E283" t="str">
            <v>C</v>
          </cell>
          <cell r="F283" t="str">
            <v>11/21/2000</v>
          </cell>
        </row>
        <row r="284">
          <cell r="B284" t="str">
            <v>11192</v>
          </cell>
          <cell r="C284" t="str">
            <v>CIP</v>
          </cell>
          <cell r="D284" t="str">
            <v>N</v>
          </cell>
          <cell r="E284" t="str">
            <v>C</v>
          </cell>
          <cell r="F284" t="str">
            <v>11/21/2000</v>
          </cell>
        </row>
        <row r="285">
          <cell r="B285" t="str">
            <v>11202</v>
          </cell>
          <cell r="C285" t="str">
            <v>CIP</v>
          </cell>
          <cell r="D285" t="str">
            <v>N</v>
          </cell>
          <cell r="E285" t="str">
            <v>C</v>
          </cell>
          <cell r="F285" t="str">
            <v>11/27/2000</v>
          </cell>
        </row>
        <row r="286">
          <cell r="B286" t="str">
            <v>11203</v>
          </cell>
          <cell r="C286" t="str">
            <v>CIP</v>
          </cell>
          <cell r="D286" t="str">
            <v>N</v>
          </cell>
          <cell r="E286" t="str">
            <v>C</v>
          </cell>
          <cell r="F286" t="str">
            <v>11/21/2000</v>
          </cell>
        </row>
        <row r="287">
          <cell r="B287" t="str">
            <v>11211</v>
          </cell>
          <cell r="C287" t="str">
            <v>UEC</v>
          </cell>
          <cell r="D287" t="str">
            <v>N</v>
          </cell>
          <cell r="E287" t="str">
            <v>C</v>
          </cell>
          <cell r="F287" t="str">
            <v>08/11/2000</v>
          </cell>
        </row>
        <row r="288">
          <cell r="B288" t="str">
            <v>11216</v>
          </cell>
          <cell r="C288" t="str">
            <v>UEC</v>
          </cell>
          <cell r="D288" t="str">
            <v>N</v>
          </cell>
          <cell r="E288" t="str">
            <v>A</v>
          </cell>
          <cell r="F288" t="str">
            <v>11/20/2000</v>
          </cell>
        </row>
        <row r="289">
          <cell r="B289" t="str">
            <v>11225</v>
          </cell>
          <cell r="C289" t="str">
            <v>UEC</v>
          </cell>
          <cell r="D289" t="str">
            <v>N</v>
          </cell>
          <cell r="E289" t="str">
            <v>C</v>
          </cell>
          <cell r="F289" t="str">
            <v>11/13/2000</v>
          </cell>
        </row>
        <row r="290">
          <cell r="B290" t="str">
            <v>11229</v>
          </cell>
          <cell r="C290" t="str">
            <v>UEC</v>
          </cell>
          <cell r="D290" t="str">
            <v>N</v>
          </cell>
          <cell r="E290" t="str">
            <v>A</v>
          </cell>
          <cell r="F290" t="str">
            <v>11/14/2000</v>
          </cell>
        </row>
        <row r="291">
          <cell r="B291" t="str">
            <v>11243</v>
          </cell>
          <cell r="C291" t="str">
            <v>UEC</v>
          </cell>
          <cell r="D291" t="str">
            <v>N</v>
          </cell>
          <cell r="E291" t="str">
            <v>C</v>
          </cell>
          <cell r="F291" t="str">
            <v>01/22/2002</v>
          </cell>
        </row>
        <row r="292">
          <cell r="B292" t="str">
            <v>11245</v>
          </cell>
          <cell r="C292" t="str">
            <v>UEC</v>
          </cell>
          <cell r="D292" t="str">
            <v>Y</v>
          </cell>
          <cell r="E292" t="str">
            <v>C</v>
          </cell>
          <cell r="F292" t="str">
            <v>07/13/2001</v>
          </cell>
        </row>
        <row r="293">
          <cell r="B293" t="str">
            <v>11258</v>
          </cell>
          <cell r="C293" t="str">
            <v>CIP</v>
          </cell>
          <cell r="D293" t="str">
            <v>N</v>
          </cell>
          <cell r="E293" t="str">
            <v>C</v>
          </cell>
          <cell r="F293" t="str">
            <v>03/13/2001</v>
          </cell>
        </row>
        <row r="294">
          <cell r="B294" t="str">
            <v>11280</v>
          </cell>
          <cell r="C294" t="str">
            <v>CIP</v>
          </cell>
          <cell r="D294" t="str">
            <v>N</v>
          </cell>
          <cell r="E294" t="str">
            <v>C</v>
          </cell>
          <cell r="F294" t="str">
            <v>11/22/2000</v>
          </cell>
        </row>
        <row r="295">
          <cell r="B295" t="str">
            <v>11291</v>
          </cell>
          <cell r="C295" t="str">
            <v>UEC</v>
          </cell>
          <cell r="D295" t="str">
            <v>N</v>
          </cell>
          <cell r="E295" t="str">
            <v>C</v>
          </cell>
          <cell r="F295" t="str">
            <v>10/04/2000</v>
          </cell>
        </row>
        <row r="296">
          <cell r="B296" t="str">
            <v>11295</v>
          </cell>
          <cell r="C296" t="str">
            <v>UEC</v>
          </cell>
          <cell r="D296" t="str">
            <v>N</v>
          </cell>
          <cell r="E296" t="str">
            <v>C</v>
          </cell>
          <cell r="F296" t="str">
            <v>11/24/2000</v>
          </cell>
        </row>
        <row r="297">
          <cell r="B297" t="str">
            <v>11299</v>
          </cell>
          <cell r="C297" t="str">
            <v>UEC</v>
          </cell>
          <cell r="D297" t="str">
            <v>N</v>
          </cell>
          <cell r="E297" t="str">
            <v>C</v>
          </cell>
          <cell r="F297" t="str">
            <v>03/01/2001</v>
          </cell>
        </row>
        <row r="298">
          <cell r="B298" t="str">
            <v>11303</v>
          </cell>
          <cell r="C298" t="str">
            <v>UEC</v>
          </cell>
          <cell r="D298" t="str">
            <v>N</v>
          </cell>
          <cell r="E298" t="str">
            <v>A</v>
          </cell>
          <cell r="F298" t="str">
            <v>03/01/2001</v>
          </cell>
        </row>
        <row r="299">
          <cell r="B299" t="str">
            <v>11304</v>
          </cell>
          <cell r="C299" t="str">
            <v>UEC</v>
          </cell>
          <cell r="D299" t="str">
            <v>N</v>
          </cell>
          <cell r="E299" t="str">
            <v>A</v>
          </cell>
          <cell r="F299" t="str">
            <v>03/07/2001</v>
          </cell>
        </row>
        <row r="300">
          <cell r="B300" t="str">
            <v>11305</v>
          </cell>
          <cell r="C300" t="str">
            <v>UEC</v>
          </cell>
          <cell r="D300" t="str">
            <v>N</v>
          </cell>
          <cell r="E300" t="str">
            <v>A</v>
          </cell>
          <cell r="F300" t="str">
            <v>03/26/2001</v>
          </cell>
        </row>
        <row r="301">
          <cell r="B301" t="str">
            <v>11306</v>
          </cell>
          <cell r="C301" t="str">
            <v>UEC</v>
          </cell>
          <cell r="D301" t="str">
            <v>N</v>
          </cell>
          <cell r="E301" t="str">
            <v>A</v>
          </cell>
          <cell r="F301" t="str">
            <v>10/19/2000</v>
          </cell>
        </row>
        <row r="302">
          <cell r="B302" t="str">
            <v>11323</v>
          </cell>
          <cell r="C302" t="str">
            <v>CIP</v>
          </cell>
          <cell r="D302" t="str">
            <v>N</v>
          </cell>
          <cell r="E302" t="str">
            <v>I</v>
          </cell>
          <cell r="F302" t="str">
            <v>08/21/2000</v>
          </cell>
        </row>
        <row r="303">
          <cell r="B303" t="str">
            <v>11341</v>
          </cell>
          <cell r="C303" t="str">
            <v>UEC</v>
          </cell>
          <cell r="D303" t="str">
            <v>N</v>
          </cell>
          <cell r="E303" t="str">
            <v>C</v>
          </cell>
          <cell r="F303" t="str">
            <v>10/10/2000</v>
          </cell>
        </row>
        <row r="304">
          <cell r="B304" t="str">
            <v>11344</v>
          </cell>
          <cell r="C304" t="str">
            <v>UEC</v>
          </cell>
          <cell r="D304" t="str">
            <v>N</v>
          </cell>
          <cell r="E304" t="str">
            <v>C</v>
          </cell>
          <cell r="F304" t="str">
            <v>08/22/2000</v>
          </cell>
        </row>
        <row r="305">
          <cell r="B305" t="str">
            <v>11346</v>
          </cell>
          <cell r="C305" t="str">
            <v>CIP</v>
          </cell>
          <cell r="D305" t="str">
            <v>N</v>
          </cell>
          <cell r="E305" t="str">
            <v>A</v>
          </cell>
          <cell r="F305" t="str">
            <v>04/11/2003</v>
          </cell>
        </row>
        <row r="306">
          <cell r="B306" t="str">
            <v>11347</v>
          </cell>
          <cell r="C306" t="str">
            <v>UEC</v>
          </cell>
          <cell r="D306" t="str">
            <v>Y</v>
          </cell>
          <cell r="E306" t="str">
            <v>C</v>
          </cell>
          <cell r="F306" t="str">
            <v>07/13/2001</v>
          </cell>
        </row>
        <row r="307">
          <cell r="B307" t="str">
            <v>11348</v>
          </cell>
          <cell r="C307" t="str">
            <v>CIP</v>
          </cell>
          <cell r="D307" t="str">
            <v>N</v>
          </cell>
          <cell r="E307" t="str">
            <v>C</v>
          </cell>
          <cell r="F307" t="str">
            <v>03/15/2001</v>
          </cell>
        </row>
        <row r="308">
          <cell r="B308" t="str">
            <v>11351</v>
          </cell>
          <cell r="C308" t="str">
            <v>UEC</v>
          </cell>
          <cell r="D308" t="str">
            <v>N</v>
          </cell>
          <cell r="E308" t="str">
            <v>C</v>
          </cell>
          <cell r="F308" t="str">
            <v>09/15/2000</v>
          </cell>
        </row>
        <row r="309">
          <cell r="B309" t="str">
            <v>11354</v>
          </cell>
          <cell r="C309" t="str">
            <v>UEC</v>
          </cell>
          <cell r="D309" t="str">
            <v>N</v>
          </cell>
          <cell r="E309" t="str">
            <v>A</v>
          </cell>
          <cell r="F309" t="str">
            <v>06/13/2001</v>
          </cell>
        </row>
        <row r="310">
          <cell r="B310" t="str">
            <v>11358</v>
          </cell>
          <cell r="C310" t="str">
            <v>UEC</v>
          </cell>
          <cell r="D310" t="str">
            <v>N</v>
          </cell>
          <cell r="E310" t="str">
            <v>C</v>
          </cell>
          <cell r="F310" t="str">
            <v>02/01/2001</v>
          </cell>
        </row>
        <row r="311">
          <cell r="B311" t="str">
            <v>11363</v>
          </cell>
          <cell r="C311" t="str">
            <v>UEC</v>
          </cell>
          <cell r="D311" t="str">
            <v>N</v>
          </cell>
          <cell r="E311" t="str">
            <v>A</v>
          </cell>
          <cell r="F311" t="str">
            <v>12/27/2001</v>
          </cell>
        </row>
        <row r="312">
          <cell r="B312" t="str">
            <v>11366</v>
          </cell>
          <cell r="C312" t="str">
            <v>CIP</v>
          </cell>
          <cell r="D312" t="str">
            <v>N</v>
          </cell>
          <cell r="E312" t="str">
            <v>C</v>
          </cell>
          <cell r="F312" t="str">
            <v>09/08/2000</v>
          </cell>
        </row>
        <row r="313">
          <cell r="B313" t="str">
            <v>11367</v>
          </cell>
          <cell r="C313" t="str">
            <v>UEC</v>
          </cell>
          <cell r="D313" t="str">
            <v>N</v>
          </cell>
          <cell r="E313" t="str">
            <v>C</v>
          </cell>
          <cell r="F313" t="str">
            <v>03/13/2001</v>
          </cell>
        </row>
        <row r="314">
          <cell r="B314" t="str">
            <v>11370</v>
          </cell>
          <cell r="C314" t="str">
            <v>UEC</v>
          </cell>
          <cell r="D314" t="str">
            <v>N</v>
          </cell>
          <cell r="E314" t="str">
            <v>A</v>
          </cell>
          <cell r="F314" t="str">
            <v>04/11/2001</v>
          </cell>
        </row>
        <row r="315">
          <cell r="B315" t="str">
            <v>11378</v>
          </cell>
          <cell r="C315" t="str">
            <v>UEC</v>
          </cell>
          <cell r="D315" t="str">
            <v>N</v>
          </cell>
          <cell r="E315" t="str">
            <v>C</v>
          </cell>
          <cell r="F315" t="str">
            <v>09/07/2000</v>
          </cell>
        </row>
        <row r="316">
          <cell r="B316" t="str">
            <v>11383</v>
          </cell>
          <cell r="C316" t="str">
            <v>UEC</v>
          </cell>
          <cell r="D316" t="str">
            <v>N</v>
          </cell>
          <cell r="E316" t="str">
            <v>A</v>
          </cell>
          <cell r="F316" t="str">
            <v>09/20/2001</v>
          </cell>
        </row>
        <row r="317">
          <cell r="B317" t="str">
            <v>11399</v>
          </cell>
          <cell r="C317" t="str">
            <v>UEC</v>
          </cell>
          <cell r="D317" t="str">
            <v>N</v>
          </cell>
          <cell r="E317" t="str">
            <v>C</v>
          </cell>
          <cell r="F317" t="str">
            <v>07/29/2002</v>
          </cell>
        </row>
        <row r="318">
          <cell r="B318" t="str">
            <v>11406</v>
          </cell>
          <cell r="C318" t="str">
            <v>UEC</v>
          </cell>
          <cell r="D318" t="str">
            <v>N</v>
          </cell>
          <cell r="E318" t="str">
            <v>C</v>
          </cell>
          <cell r="F318" t="str">
            <v>08/25/2000</v>
          </cell>
        </row>
        <row r="319">
          <cell r="B319" t="str">
            <v>11407</v>
          </cell>
          <cell r="C319" t="str">
            <v>UEC</v>
          </cell>
          <cell r="D319" t="str">
            <v>N</v>
          </cell>
          <cell r="E319" t="str">
            <v>C</v>
          </cell>
          <cell r="F319" t="str">
            <v>08/25/2000</v>
          </cell>
        </row>
        <row r="320">
          <cell r="B320" t="str">
            <v>11408</v>
          </cell>
          <cell r="C320" t="str">
            <v>UEC</v>
          </cell>
          <cell r="D320" t="str">
            <v>N</v>
          </cell>
          <cell r="E320" t="str">
            <v>A</v>
          </cell>
          <cell r="F320" t="str">
            <v>08/25/2000</v>
          </cell>
        </row>
        <row r="321">
          <cell r="B321" t="str">
            <v>11409</v>
          </cell>
          <cell r="C321" t="str">
            <v>UEC</v>
          </cell>
          <cell r="D321" t="str">
            <v>N</v>
          </cell>
          <cell r="E321" t="str">
            <v>A</v>
          </cell>
          <cell r="F321" t="str">
            <v>08/25/2000</v>
          </cell>
        </row>
        <row r="322">
          <cell r="B322" t="str">
            <v>11412</v>
          </cell>
          <cell r="C322" t="str">
            <v>UEC</v>
          </cell>
          <cell r="D322" t="str">
            <v>N</v>
          </cell>
          <cell r="E322" t="str">
            <v>C</v>
          </cell>
          <cell r="F322" t="str">
            <v>05/04/2001</v>
          </cell>
        </row>
        <row r="323">
          <cell r="B323" t="str">
            <v>11414</v>
          </cell>
          <cell r="C323" t="str">
            <v>UEC</v>
          </cell>
          <cell r="D323" t="str">
            <v>N</v>
          </cell>
          <cell r="E323" t="str">
            <v>C</v>
          </cell>
          <cell r="F323" t="str">
            <v>03/14/2001</v>
          </cell>
        </row>
        <row r="324">
          <cell r="B324" t="str">
            <v>11415</v>
          </cell>
          <cell r="C324" t="str">
            <v>UEC</v>
          </cell>
          <cell r="D324" t="str">
            <v>N</v>
          </cell>
          <cell r="E324" t="str">
            <v>C</v>
          </cell>
          <cell r="F324" t="str">
            <v>10/17/2000</v>
          </cell>
        </row>
        <row r="325">
          <cell r="B325" t="str">
            <v>11418</v>
          </cell>
          <cell r="C325" t="str">
            <v>UEC</v>
          </cell>
          <cell r="D325" t="str">
            <v>N</v>
          </cell>
          <cell r="E325" t="str">
            <v>C</v>
          </cell>
          <cell r="F325" t="str">
            <v>10/02/2000</v>
          </cell>
        </row>
        <row r="326">
          <cell r="B326" t="str">
            <v>11419</v>
          </cell>
          <cell r="C326" t="str">
            <v>UEC</v>
          </cell>
          <cell r="D326" t="str">
            <v>N</v>
          </cell>
          <cell r="E326" t="str">
            <v>C</v>
          </cell>
          <cell r="F326" t="str">
            <v>11/01/2000</v>
          </cell>
        </row>
        <row r="327">
          <cell r="B327" t="str">
            <v>11421</v>
          </cell>
          <cell r="C327" t="str">
            <v>UEC</v>
          </cell>
          <cell r="D327" t="str">
            <v>N</v>
          </cell>
          <cell r="E327" t="str">
            <v>C</v>
          </cell>
          <cell r="F327" t="str">
            <v>09/06/2000</v>
          </cell>
        </row>
        <row r="328">
          <cell r="B328" t="str">
            <v>11424</v>
          </cell>
          <cell r="C328" t="str">
            <v>UEC</v>
          </cell>
          <cell r="D328" t="str">
            <v>N</v>
          </cell>
          <cell r="E328" t="str">
            <v>A</v>
          </cell>
          <cell r="F328" t="str">
            <v>03/12/2002</v>
          </cell>
        </row>
        <row r="329">
          <cell r="B329" t="str">
            <v>11427</v>
          </cell>
          <cell r="C329" t="str">
            <v>UEC</v>
          </cell>
          <cell r="D329" t="str">
            <v>N</v>
          </cell>
          <cell r="E329" t="str">
            <v>A</v>
          </cell>
          <cell r="F329" t="str">
            <v>05/25/2001</v>
          </cell>
        </row>
        <row r="330">
          <cell r="B330" t="str">
            <v>11439</v>
          </cell>
          <cell r="C330" t="str">
            <v>UEC</v>
          </cell>
          <cell r="D330" t="str">
            <v>N</v>
          </cell>
          <cell r="E330" t="str">
            <v>C</v>
          </cell>
          <cell r="F330" t="str">
            <v>03/15/2001</v>
          </cell>
        </row>
        <row r="331">
          <cell r="B331" t="str">
            <v>11444</v>
          </cell>
          <cell r="C331" t="str">
            <v>CIP</v>
          </cell>
          <cell r="D331" t="str">
            <v>N</v>
          </cell>
          <cell r="E331" t="str">
            <v>C</v>
          </cell>
          <cell r="F331" t="str">
            <v>08/29/2000</v>
          </cell>
        </row>
        <row r="332">
          <cell r="B332" t="str">
            <v>11445</v>
          </cell>
          <cell r="C332" t="str">
            <v>CIP</v>
          </cell>
          <cell r="D332" t="str">
            <v>N</v>
          </cell>
          <cell r="E332" t="str">
            <v>C</v>
          </cell>
          <cell r="F332" t="str">
            <v>08/29/2000</v>
          </cell>
        </row>
        <row r="333">
          <cell r="B333" t="str">
            <v>11447</v>
          </cell>
          <cell r="C333" t="str">
            <v>UEC</v>
          </cell>
          <cell r="D333" t="str">
            <v>N</v>
          </cell>
          <cell r="E333" t="str">
            <v>A</v>
          </cell>
          <cell r="F333" t="str">
            <v>06/12/2002</v>
          </cell>
        </row>
        <row r="334">
          <cell r="B334" t="str">
            <v>11453</v>
          </cell>
          <cell r="C334" t="str">
            <v>UEC</v>
          </cell>
          <cell r="D334" t="str">
            <v>N</v>
          </cell>
          <cell r="E334" t="str">
            <v>C</v>
          </cell>
          <cell r="F334" t="str">
            <v>05/24/2002</v>
          </cell>
        </row>
        <row r="335">
          <cell r="B335" t="str">
            <v>11454</v>
          </cell>
          <cell r="C335" t="str">
            <v>UEC</v>
          </cell>
          <cell r="D335" t="str">
            <v>N</v>
          </cell>
          <cell r="E335" t="str">
            <v>C</v>
          </cell>
          <cell r="F335" t="str">
            <v>03/06/2002</v>
          </cell>
        </row>
        <row r="336">
          <cell r="B336" t="str">
            <v>11464</v>
          </cell>
          <cell r="C336" t="str">
            <v>UEC</v>
          </cell>
          <cell r="D336" t="str">
            <v>N</v>
          </cell>
          <cell r="E336" t="str">
            <v>C</v>
          </cell>
          <cell r="F336" t="str">
            <v>12/21/2000</v>
          </cell>
        </row>
        <row r="337">
          <cell r="B337" t="str">
            <v>11465</v>
          </cell>
          <cell r="C337" t="str">
            <v>UEC</v>
          </cell>
          <cell r="D337" t="str">
            <v>N</v>
          </cell>
          <cell r="E337" t="str">
            <v>C</v>
          </cell>
          <cell r="F337" t="str">
            <v>09/06/2001</v>
          </cell>
        </row>
        <row r="338">
          <cell r="B338" t="str">
            <v>11466</v>
          </cell>
          <cell r="C338" t="str">
            <v>UEC</v>
          </cell>
          <cell r="D338" t="str">
            <v>N</v>
          </cell>
          <cell r="E338" t="str">
            <v>C</v>
          </cell>
          <cell r="F338" t="str">
            <v>08/21/2001</v>
          </cell>
        </row>
        <row r="339">
          <cell r="B339" t="str">
            <v>11473</v>
          </cell>
          <cell r="C339" t="str">
            <v>UEC</v>
          </cell>
          <cell r="D339" t="str">
            <v>N</v>
          </cell>
          <cell r="E339" t="str">
            <v>C</v>
          </cell>
          <cell r="F339" t="str">
            <v>03/20/2001</v>
          </cell>
        </row>
        <row r="340">
          <cell r="B340" t="str">
            <v>11474</v>
          </cell>
          <cell r="C340" t="str">
            <v>UEC</v>
          </cell>
          <cell r="D340" t="str">
            <v>N</v>
          </cell>
          <cell r="E340" t="str">
            <v>C</v>
          </cell>
          <cell r="F340" t="str">
            <v>09/25/2000</v>
          </cell>
        </row>
        <row r="341">
          <cell r="B341" t="str">
            <v>11478</v>
          </cell>
          <cell r="C341" t="str">
            <v>UEC</v>
          </cell>
          <cell r="D341" t="str">
            <v>N</v>
          </cell>
          <cell r="E341" t="str">
            <v>C</v>
          </cell>
          <cell r="F341" t="str">
            <v>12/27/2000</v>
          </cell>
        </row>
        <row r="342">
          <cell r="B342" t="str">
            <v>11488</v>
          </cell>
          <cell r="C342" t="str">
            <v>UEC</v>
          </cell>
          <cell r="D342" t="str">
            <v>N</v>
          </cell>
          <cell r="E342" t="str">
            <v>C</v>
          </cell>
          <cell r="F342" t="str">
            <v>01/03/2001</v>
          </cell>
        </row>
        <row r="343">
          <cell r="B343" t="str">
            <v>11491</v>
          </cell>
          <cell r="C343" t="str">
            <v>UEC</v>
          </cell>
          <cell r="D343" t="str">
            <v>N</v>
          </cell>
          <cell r="E343" t="str">
            <v>A</v>
          </cell>
          <cell r="F343" t="str">
            <v>01/03/2001</v>
          </cell>
        </row>
        <row r="344">
          <cell r="B344" t="str">
            <v>11499</v>
          </cell>
          <cell r="C344" t="str">
            <v>UEC</v>
          </cell>
          <cell r="D344" t="str">
            <v>N</v>
          </cell>
          <cell r="E344" t="str">
            <v>C</v>
          </cell>
          <cell r="F344" t="str">
            <v>03/16/2001</v>
          </cell>
        </row>
        <row r="345">
          <cell r="B345" t="str">
            <v>11500</v>
          </cell>
          <cell r="C345" t="str">
            <v>UEC</v>
          </cell>
          <cell r="D345" t="str">
            <v>N</v>
          </cell>
          <cell r="E345" t="str">
            <v>C</v>
          </cell>
          <cell r="F345" t="str">
            <v>01/03/2001</v>
          </cell>
        </row>
        <row r="346">
          <cell r="B346" t="str">
            <v>11504</v>
          </cell>
          <cell r="C346" t="str">
            <v>UEC</v>
          </cell>
          <cell r="D346" t="str">
            <v>N</v>
          </cell>
          <cell r="E346" t="str">
            <v>C</v>
          </cell>
          <cell r="F346" t="str">
            <v>03/23/2001</v>
          </cell>
        </row>
        <row r="347">
          <cell r="B347" t="str">
            <v>11505</v>
          </cell>
          <cell r="C347" t="str">
            <v>UEC</v>
          </cell>
          <cell r="D347" t="str">
            <v>N</v>
          </cell>
          <cell r="E347" t="str">
            <v>I</v>
          </cell>
          <cell r="F347" t="str">
            <v>10/07/2002</v>
          </cell>
        </row>
        <row r="348">
          <cell r="B348" t="str">
            <v>11505</v>
          </cell>
          <cell r="C348" t="str">
            <v>UEC</v>
          </cell>
          <cell r="D348" t="str">
            <v>N</v>
          </cell>
          <cell r="E348" t="str">
            <v>I</v>
          </cell>
          <cell r="F348" t="str">
            <v>10/07/2002</v>
          </cell>
        </row>
        <row r="349">
          <cell r="B349" t="str">
            <v>11506</v>
          </cell>
          <cell r="C349" t="str">
            <v>UEC</v>
          </cell>
          <cell r="D349" t="str">
            <v>N</v>
          </cell>
          <cell r="E349" t="str">
            <v>A</v>
          </cell>
          <cell r="F349" t="str">
            <v>09/12/2003</v>
          </cell>
        </row>
        <row r="350">
          <cell r="B350" t="str">
            <v>11507</v>
          </cell>
          <cell r="C350" t="str">
            <v>UEC</v>
          </cell>
          <cell r="D350" t="str">
            <v>N</v>
          </cell>
          <cell r="E350" t="str">
            <v>A</v>
          </cell>
          <cell r="F350" t="str">
            <v>01/16/2003</v>
          </cell>
        </row>
        <row r="351">
          <cell r="B351" t="str">
            <v>11508</v>
          </cell>
          <cell r="C351" t="str">
            <v>UEC</v>
          </cell>
          <cell r="D351" t="str">
            <v>N</v>
          </cell>
          <cell r="E351" t="str">
            <v>C</v>
          </cell>
          <cell r="F351" t="str">
            <v>02/09/2001</v>
          </cell>
        </row>
        <row r="352">
          <cell r="B352" t="str">
            <v>11514</v>
          </cell>
          <cell r="C352" t="str">
            <v>UEC</v>
          </cell>
          <cell r="D352" t="str">
            <v>N</v>
          </cell>
          <cell r="E352" t="str">
            <v>C</v>
          </cell>
          <cell r="F352" t="str">
            <v>06/21/2001</v>
          </cell>
        </row>
        <row r="353">
          <cell r="B353" t="str">
            <v>11515</v>
          </cell>
          <cell r="C353" t="str">
            <v>UEC</v>
          </cell>
          <cell r="D353" t="str">
            <v>N</v>
          </cell>
          <cell r="E353" t="str">
            <v>A</v>
          </cell>
          <cell r="F353" t="str">
            <v>01/28/2003</v>
          </cell>
        </row>
        <row r="354">
          <cell r="B354" t="str">
            <v>11524</v>
          </cell>
          <cell r="C354" t="str">
            <v>UEC</v>
          </cell>
          <cell r="D354" t="str">
            <v>N</v>
          </cell>
          <cell r="E354" t="str">
            <v>C</v>
          </cell>
          <cell r="F354" t="str">
            <v>10/03/2001</v>
          </cell>
        </row>
        <row r="355">
          <cell r="B355" t="str">
            <v>11525</v>
          </cell>
          <cell r="C355" t="str">
            <v>UEC</v>
          </cell>
          <cell r="D355" t="str">
            <v>N</v>
          </cell>
          <cell r="E355" t="str">
            <v>C</v>
          </cell>
          <cell r="F355" t="str">
            <v>01/30/2001</v>
          </cell>
        </row>
        <row r="356">
          <cell r="B356" t="str">
            <v>11528</v>
          </cell>
          <cell r="C356" t="str">
            <v>UEC</v>
          </cell>
          <cell r="D356" t="str">
            <v>N</v>
          </cell>
          <cell r="E356" t="str">
            <v>C</v>
          </cell>
          <cell r="F356" t="str">
            <v>04/22/2002</v>
          </cell>
        </row>
        <row r="357">
          <cell r="B357" t="str">
            <v>11528</v>
          </cell>
          <cell r="C357" t="str">
            <v>UEC</v>
          </cell>
          <cell r="D357" t="str">
            <v>N</v>
          </cell>
          <cell r="E357" t="str">
            <v>C</v>
          </cell>
          <cell r="F357" t="str">
            <v>04/22/2002</v>
          </cell>
        </row>
        <row r="358">
          <cell r="B358" t="str">
            <v>11531</v>
          </cell>
          <cell r="C358" t="str">
            <v>UEC</v>
          </cell>
          <cell r="D358" t="str">
            <v>N</v>
          </cell>
          <cell r="E358" t="str">
            <v>C</v>
          </cell>
          <cell r="F358" t="str">
            <v>09/27/2000</v>
          </cell>
        </row>
        <row r="359">
          <cell r="B359" t="str">
            <v>11534</v>
          </cell>
          <cell r="C359" t="str">
            <v>UEC</v>
          </cell>
          <cell r="D359" t="str">
            <v>N</v>
          </cell>
          <cell r="E359" t="str">
            <v>C</v>
          </cell>
          <cell r="F359" t="str">
            <v>11/02/2000</v>
          </cell>
        </row>
        <row r="360">
          <cell r="B360" t="str">
            <v>11566</v>
          </cell>
          <cell r="C360" t="str">
            <v>UEC</v>
          </cell>
          <cell r="D360" t="str">
            <v>N</v>
          </cell>
          <cell r="E360" t="str">
            <v>A</v>
          </cell>
          <cell r="F360" t="str">
            <v>09/12/2003</v>
          </cell>
        </row>
        <row r="361">
          <cell r="B361" t="str">
            <v>11581</v>
          </cell>
          <cell r="C361" t="str">
            <v>UEC</v>
          </cell>
          <cell r="D361" t="str">
            <v>N</v>
          </cell>
          <cell r="E361" t="str">
            <v>A</v>
          </cell>
          <cell r="F361" t="str">
            <v>08/07/2002</v>
          </cell>
        </row>
        <row r="362">
          <cell r="B362" t="str">
            <v>11583</v>
          </cell>
          <cell r="C362" t="str">
            <v>UEC</v>
          </cell>
          <cell r="D362" t="str">
            <v>N</v>
          </cell>
          <cell r="E362" t="str">
            <v>C</v>
          </cell>
          <cell r="F362" t="str">
            <v>10/21/2002</v>
          </cell>
        </row>
        <row r="363">
          <cell r="B363" t="str">
            <v>11586</v>
          </cell>
          <cell r="C363" t="str">
            <v>UEC</v>
          </cell>
          <cell r="D363" t="str">
            <v>N</v>
          </cell>
          <cell r="E363" t="str">
            <v>A</v>
          </cell>
          <cell r="F363" t="str">
            <v>10/07/2003</v>
          </cell>
        </row>
        <row r="364">
          <cell r="B364" t="str">
            <v>11587</v>
          </cell>
          <cell r="C364" t="str">
            <v>UEC</v>
          </cell>
          <cell r="D364" t="str">
            <v>N</v>
          </cell>
          <cell r="E364" t="str">
            <v>C</v>
          </cell>
          <cell r="F364" t="str">
            <v>10/24/2000</v>
          </cell>
        </row>
        <row r="365">
          <cell r="B365" t="str">
            <v>11589</v>
          </cell>
          <cell r="C365" t="str">
            <v>UEC</v>
          </cell>
          <cell r="D365" t="str">
            <v>N</v>
          </cell>
          <cell r="E365" t="str">
            <v>C</v>
          </cell>
          <cell r="F365" t="str">
            <v>10/08/2001</v>
          </cell>
        </row>
        <row r="366">
          <cell r="B366" t="str">
            <v>11593</v>
          </cell>
          <cell r="C366" t="str">
            <v>UEC</v>
          </cell>
          <cell r="D366" t="str">
            <v>N</v>
          </cell>
          <cell r="E366" t="str">
            <v>A</v>
          </cell>
          <cell r="F366" t="str">
            <v>12/13/2001</v>
          </cell>
        </row>
        <row r="367">
          <cell r="B367" t="str">
            <v>11594</v>
          </cell>
          <cell r="C367" t="str">
            <v>UEC</v>
          </cell>
          <cell r="D367" t="str">
            <v>N</v>
          </cell>
          <cell r="E367" t="str">
            <v>A</v>
          </cell>
          <cell r="F367" t="str">
            <v>10/08/2003</v>
          </cell>
        </row>
        <row r="368">
          <cell r="B368" t="str">
            <v>11596</v>
          </cell>
          <cell r="C368" t="str">
            <v>UEC</v>
          </cell>
          <cell r="D368" t="str">
            <v>N</v>
          </cell>
          <cell r="E368" t="str">
            <v>C</v>
          </cell>
          <cell r="F368" t="str">
            <v>08/31/2000</v>
          </cell>
        </row>
        <row r="369">
          <cell r="B369" t="str">
            <v>11599</v>
          </cell>
          <cell r="C369" t="str">
            <v>UEC</v>
          </cell>
          <cell r="D369" t="str">
            <v>N</v>
          </cell>
          <cell r="E369" t="str">
            <v>A</v>
          </cell>
          <cell r="F369" t="str">
            <v>09/26/2003</v>
          </cell>
        </row>
        <row r="370">
          <cell r="B370" t="str">
            <v>11601</v>
          </cell>
          <cell r="C370" t="str">
            <v>UEC</v>
          </cell>
          <cell r="D370" t="str">
            <v>N</v>
          </cell>
          <cell r="E370" t="str">
            <v>A</v>
          </cell>
          <cell r="F370" t="str">
            <v>09/04/2003</v>
          </cell>
        </row>
        <row r="371">
          <cell r="B371" t="str">
            <v>11610</v>
          </cell>
          <cell r="C371" t="str">
            <v>UEC</v>
          </cell>
          <cell r="D371" t="str">
            <v>N</v>
          </cell>
          <cell r="E371" t="str">
            <v>C</v>
          </cell>
          <cell r="F371" t="str">
            <v>07/19/2001</v>
          </cell>
        </row>
        <row r="372">
          <cell r="B372" t="str">
            <v>11613</v>
          </cell>
          <cell r="C372" t="str">
            <v>UEC</v>
          </cell>
          <cell r="D372" t="str">
            <v>N</v>
          </cell>
          <cell r="E372" t="str">
            <v>C</v>
          </cell>
          <cell r="F372" t="str">
            <v>08/02/2001</v>
          </cell>
        </row>
        <row r="373">
          <cell r="B373" t="str">
            <v>11618</v>
          </cell>
          <cell r="C373" t="str">
            <v>UEC</v>
          </cell>
          <cell r="D373" t="str">
            <v>N</v>
          </cell>
          <cell r="E373" t="str">
            <v>A</v>
          </cell>
          <cell r="F373" t="str">
            <v>01/15/2002</v>
          </cell>
        </row>
        <row r="374">
          <cell r="B374" t="str">
            <v>11619</v>
          </cell>
          <cell r="C374" t="str">
            <v>UEC</v>
          </cell>
          <cell r="D374" t="str">
            <v>N</v>
          </cell>
          <cell r="E374" t="str">
            <v>A</v>
          </cell>
          <cell r="F374" t="str">
            <v>08/01/2002</v>
          </cell>
        </row>
        <row r="375">
          <cell r="B375" t="str">
            <v>11620</v>
          </cell>
          <cell r="C375" t="str">
            <v>UEC</v>
          </cell>
          <cell r="D375" t="str">
            <v>N</v>
          </cell>
          <cell r="E375" t="str">
            <v>A</v>
          </cell>
          <cell r="F375" t="str">
            <v>08/01/2002</v>
          </cell>
        </row>
        <row r="376">
          <cell r="B376" t="str">
            <v>11626</v>
          </cell>
          <cell r="C376" t="str">
            <v>UEC</v>
          </cell>
          <cell r="D376" t="str">
            <v>N</v>
          </cell>
          <cell r="E376" t="str">
            <v>C</v>
          </cell>
          <cell r="F376" t="str">
            <v>03/26/2001</v>
          </cell>
        </row>
        <row r="377">
          <cell r="B377" t="str">
            <v>11643</v>
          </cell>
          <cell r="C377" t="str">
            <v>UEC</v>
          </cell>
          <cell r="D377" t="str">
            <v>N</v>
          </cell>
          <cell r="E377" t="str">
            <v>C</v>
          </cell>
          <cell r="F377" t="str">
            <v>09/20/2000</v>
          </cell>
        </row>
        <row r="378">
          <cell r="B378" t="str">
            <v>11644</v>
          </cell>
          <cell r="C378" t="str">
            <v>UEC</v>
          </cell>
          <cell r="D378" t="str">
            <v>N</v>
          </cell>
          <cell r="E378" t="str">
            <v>C</v>
          </cell>
          <cell r="F378" t="str">
            <v>11/28/2001</v>
          </cell>
        </row>
        <row r="379">
          <cell r="B379" t="str">
            <v>11645</v>
          </cell>
          <cell r="C379" t="str">
            <v>UEC</v>
          </cell>
          <cell r="D379" t="str">
            <v>N</v>
          </cell>
          <cell r="E379" t="str">
            <v>A</v>
          </cell>
          <cell r="F379" t="str">
            <v>08/01/2002</v>
          </cell>
        </row>
        <row r="380">
          <cell r="B380" t="str">
            <v>11647</v>
          </cell>
          <cell r="C380" t="str">
            <v>UEC</v>
          </cell>
          <cell r="D380" t="str">
            <v>N</v>
          </cell>
          <cell r="E380" t="str">
            <v>A</v>
          </cell>
          <cell r="F380" t="str">
            <v>05/12/2003</v>
          </cell>
        </row>
        <row r="381">
          <cell r="B381" t="str">
            <v>11650</v>
          </cell>
          <cell r="C381" t="str">
            <v>UEC</v>
          </cell>
          <cell r="D381" t="str">
            <v>N</v>
          </cell>
          <cell r="E381" t="str">
            <v>A</v>
          </cell>
          <cell r="F381" t="str">
            <v>10/12/2001</v>
          </cell>
        </row>
        <row r="382">
          <cell r="B382" t="str">
            <v>11652</v>
          </cell>
          <cell r="C382" t="str">
            <v>UEC</v>
          </cell>
          <cell r="D382" t="str">
            <v>N</v>
          </cell>
          <cell r="E382" t="str">
            <v>C</v>
          </cell>
          <cell r="F382" t="str">
            <v>01/11/2001</v>
          </cell>
        </row>
        <row r="383">
          <cell r="B383" t="str">
            <v>11663</v>
          </cell>
          <cell r="C383" t="str">
            <v>UEC</v>
          </cell>
          <cell r="D383" t="str">
            <v>N</v>
          </cell>
          <cell r="E383" t="str">
            <v>C</v>
          </cell>
          <cell r="F383" t="str">
            <v>12/13/2000</v>
          </cell>
        </row>
        <row r="384">
          <cell r="B384" t="str">
            <v>11665</v>
          </cell>
          <cell r="C384" t="str">
            <v>UEC</v>
          </cell>
          <cell r="D384" t="str">
            <v>N</v>
          </cell>
          <cell r="E384" t="str">
            <v>A</v>
          </cell>
          <cell r="F384" t="str">
            <v>07/15/2002</v>
          </cell>
        </row>
        <row r="385">
          <cell r="B385" t="str">
            <v>11674</v>
          </cell>
          <cell r="C385" t="str">
            <v>UEC</v>
          </cell>
          <cell r="D385" t="str">
            <v>N</v>
          </cell>
          <cell r="E385" t="str">
            <v>A</v>
          </cell>
          <cell r="F385" t="str">
            <v>04/17/2002</v>
          </cell>
        </row>
        <row r="386">
          <cell r="B386" t="str">
            <v>11675</v>
          </cell>
          <cell r="C386" t="str">
            <v>UEC</v>
          </cell>
          <cell r="D386" t="str">
            <v>N</v>
          </cell>
          <cell r="E386" t="str">
            <v>A</v>
          </cell>
          <cell r="F386" t="str">
            <v>06/12/2002</v>
          </cell>
        </row>
        <row r="387">
          <cell r="B387" t="str">
            <v>11682</v>
          </cell>
          <cell r="C387" t="str">
            <v>UEC</v>
          </cell>
          <cell r="D387" t="str">
            <v>N</v>
          </cell>
          <cell r="E387" t="str">
            <v>C</v>
          </cell>
          <cell r="F387" t="str">
            <v>01/11/2001</v>
          </cell>
        </row>
        <row r="388">
          <cell r="B388" t="str">
            <v>11685</v>
          </cell>
          <cell r="C388" t="str">
            <v>UEC</v>
          </cell>
          <cell r="D388" t="str">
            <v>N</v>
          </cell>
          <cell r="E388" t="str">
            <v>A</v>
          </cell>
          <cell r="F388" t="str">
            <v>03/29/2001</v>
          </cell>
        </row>
        <row r="389">
          <cell r="B389" t="str">
            <v>11747</v>
          </cell>
          <cell r="C389" t="str">
            <v>UEC</v>
          </cell>
          <cell r="D389" t="str">
            <v>N</v>
          </cell>
          <cell r="E389" t="str">
            <v>A</v>
          </cell>
          <cell r="F389" t="str">
            <v>11/25/2003</v>
          </cell>
        </row>
        <row r="390">
          <cell r="B390" t="str">
            <v>11753</v>
          </cell>
          <cell r="C390" t="str">
            <v>UEC</v>
          </cell>
          <cell r="D390" t="str">
            <v>N</v>
          </cell>
          <cell r="E390" t="str">
            <v>A</v>
          </cell>
          <cell r="F390" t="str">
            <v>09/05/2003</v>
          </cell>
        </row>
        <row r="391">
          <cell r="B391" t="str">
            <v>11754</v>
          </cell>
          <cell r="C391" t="str">
            <v>UEC</v>
          </cell>
          <cell r="D391" t="str">
            <v>N</v>
          </cell>
          <cell r="E391" t="str">
            <v>C</v>
          </cell>
          <cell r="F391" t="str">
            <v>11/01/2002</v>
          </cell>
        </row>
        <row r="392">
          <cell r="B392" t="str">
            <v>11756</v>
          </cell>
          <cell r="C392" t="str">
            <v>UEC</v>
          </cell>
          <cell r="D392" t="str">
            <v>N</v>
          </cell>
          <cell r="E392" t="str">
            <v>C</v>
          </cell>
          <cell r="F392" t="str">
            <v>05/07/2001</v>
          </cell>
        </row>
        <row r="393">
          <cell r="B393" t="str">
            <v>11757</v>
          </cell>
          <cell r="C393" t="str">
            <v>UEC</v>
          </cell>
          <cell r="D393" t="str">
            <v>N</v>
          </cell>
          <cell r="E393" t="str">
            <v>A</v>
          </cell>
          <cell r="F393" t="str">
            <v>05/09/2002</v>
          </cell>
        </row>
        <row r="394">
          <cell r="B394" t="str">
            <v>11758</v>
          </cell>
          <cell r="C394" t="str">
            <v>UEC</v>
          </cell>
          <cell r="D394" t="str">
            <v>N</v>
          </cell>
          <cell r="E394" t="str">
            <v>A</v>
          </cell>
          <cell r="F394" t="str">
            <v>05/09/2003</v>
          </cell>
        </row>
        <row r="395">
          <cell r="B395" t="str">
            <v>11760</v>
          </cell>
          <cell r="C395" t="str">
            <v>UEC</v>
          </cell>
          <cell r="D395" t="str">
            <v>N</v>
          </cell>
          <cell r="E395" t="str">
            <v>A</v>
          </cell>
          <cell r="F395" t="str">
            <v>10/02/2002</v>
          </cell>
        </row>
        <row r="396">
          <cell r="B396" t="str">
            <v>11761</v>
          </cell>
          <cell r="C396" t="str">
            <v>UEC</v>
          </cell>
          <cell r="D396" t="str">
            <v>N</v>
          </cell>
          <cell r="E396" t="str">
            <v>A</v>
          </cell>
          <cell r="F396" t="str">
            <v>09/05/2003</v>
          </cell>
        </row>
        <row r="397">
          <cell r="B397" t="str">
            <v>11768</v>
          </cell>
          <cell r="C397" t="str">
            <v>CIP</v>
          </cell>
          <cell r="D397" t="str">
            <v>N</v>
          </cell>
          <cell r="E397" t="str">
            <v>C</v>
          </cell>
          <cell r="F397" t="str">
            <v>01/19/2001</v>
          </cell>
        </row>
        <row r="398">
          <cell r="B398" t="str">
            <v>11777</v>
          </cell>
          <cell r="C398" t="str">
            <v>UEC</v>
          </cell>
          <cell r="D398" t="str">
            <v>N</v>
          </cell>
          <cell r="E398" t="str">
            <v>C</v>
          </cell>
          <cell r="F398" t="str">
            <v>09/19/2000</v>
          </cell>
        </row>
        <row r="399">
          <cell r="B399" t="str">
            <v>11781</v>
          </cell>
          <cell r="C399" t="str">
            <v>UEC</v>
          </cell>
          <cell r="D399" t="str">
            <v>N</v>
          </cell>
          <cell r="E399" t="str">
            <v>A</v>
          </cell>
          <cell r="F399" t="str">
            <v>01/16/2003</v>
          </cell>
        </row>
        <row r="400">
          <cell r="B400" t="str">
            <v>11783</v>
          </cell>
          <cell r="C400" t="str">
            <v>UEC</v>
          </cell>
          <cell r="D400" t="str">
            <v>N</v>
          </cell>
          <cell r="E400" t="str">
            <v>C</v>
          </cell>
          <cell r="F400" t="str">
            <v>07/23/2001</v>
          </cell>
        </row>
        <row r="401">
          <cell r="B401" t="str">
            <v>11785</v>
          </cell>
          <cell r="C401" t="str">
            <v>UEC</v>
          </cell>
          <cell r="D401" t="str">
            <v>N</v>
          </cell>
          <cell r="E401" t="str">
            <v>A</v>
          </cell>
          <cell r="F401" t="str">
            <v>10/01/2001</v>
          </cell>
        </row>
        <row r="402">
          <cell r="B402" t="str">
            <v>11786</v>
          </cell>
          <cell r="C402" t="str">
            <v>UEC</v>
          </cell>
          <cell r="D402" t="str">
            <v>N</v>
          </cell>
          <cell r="E402" t="str">
            <v>A</v>
          </cell>
          <cell r="F402" t="str">
            <v>03/22/2002</v>
          </cell>
        </row>
        <row r="403">
          <cell r="B403" t="str">
            <v>11788</v>
          </cell>
          <cell r="C403" t="str">
            <v>UEC</v>
          </cell>
          <cell r="D403" t="str">
            <v>N</v>
          </cell>
          <cell r="E403" t="str">
            <v>A</v>
          </cell>
          <cell r="F403" t="str">
            <v>05/31/2001</v>
          </cell>
        </row>
        <row r="404">
          <cell r="B404" t="str">
            <v>11789</v>
          </cell>
          <cell r="C404" t="str">
            <v>UEC</v>
          </cell>
          <cell r="D404" t="str">
            <v>N</v>
          </cell>
          <cell r="E404" t="str">
            <v>A</v>
          </cell>
          <cell r="F404" t="str">
            <v>10/28/2003</v>
          </cell>
        </row>
        <row r="405">
          <cell r="B405" t="str">
            <v>11794</v>
          </cell>
          <cell r="C405" t="str">
            <v>CIP</v>
          </cell>
          <cell r="D405" t="str">
            <v>N</v>
          </cell>
          <cell r="E405" t="str">
            <v>C</v>
          </cell>
          <cell r="F405" t="str">
            <v>01/19/2001</v>
          </cell>
        </row>
        <row r="406">
          <cell r="B406" t="str">
            <v>11799</v>
          </cell>
          <cell r="C406" t="str">
            <v>UEC</v>
          </cell>
          <cell r="D406" t="str">
            <v>N</v>
          </cell>
          <cell r="E406" t="str">
            <v>C</v>
          </cell>
          <cell r="F406" t="str">
            <v>09/19/2000</v>
          </cell>
        </row>
        <row r="407">
          <cell r="B407" t="str">
            <v>11800</v>
          </cell>
          <cell r="C407" t="str">
            <v>UEC</v>
          </cell>
          <cell r="D407" t="str">
            <v>N</v>
          </cell>
          <cell r="E407" t="str">
            <v>A</v>
          </cell>
          <cell r="F407" t="str">
            <v>01/19/2001</v>
          </cell>
        </row>
        <row r="408">
          <cell r="B408" t="str">
            <v>11801</v>
          </cell>
          <cell r="C408" t="str">
            <v>UEC</v>
          </cell>
          <cell r="D408" t="str">
            <v>N</v>
          </cell>
          <cell r="E408" t="str">
            <v>A</v>
          </cell>
          <cell r="F408" t="str">
            <v>01/30/2001</v>
          </cell>
        </row>
        <row r="409">
          <cell r="B409" t="str">
            <v>11803</v>
          </cell>
          <cell r="C409" t="str">
            <v>UEC</v>
          </cell>
          <cell r="D409" t="str">
            <v>N</v>
          </cell>
          <cell r="E409" t="str">
            <v>C</v>
          </cell>
          <cell r="F409" t="str">
            <v>09/19/2000</v>
          </cell>
        </row>
        <row r="410">
          <cell r="B410" t="str">
            <v>11805</v>
          </cell>
          <cell r="C410" t="str">
            <v>UEC</v>
          </cell>
          <cell r="D410" t="str">
            <v>N</v>
          </cell>
          <cell r="E410" t="str">
            <v>C</v>
          </cell>
          <cell r="F410" t="str">
            <v>01/30/2001</v>
          </cell>
        </row>
        <row r="411">
          <cell r="B411" t="str">
            <v>11815</v>
          </cell>
          <cell r="C411" t="str">
            <v>UEC</v>
          </cell>
          <cell r="D411" t="str">
            <v>N</v>
          </cell>
          <cell r="E411" t="str">
            <v>C</v>
          </cell>
          <cell r="F411" t="str">
            <v>06/01/2001</v>
          </cell>
        </row>
        <row r="412">
          <cell r="B412" t="str">
            <v>11818</v>
          </cell>
          <cell r="C412" t="str">
            <v>UEC</v>
          </cell>
          <cell r="D412" t="str">
            <v>N</v>
          </cell>
          <cell r="E412" t="str">
            <v>C</v>
          </cell>
          <cell r="F412" t="str">
            <v>07/31/2001</v>
          </cell>
        </row>
        <row r="413">
          <cell r="B413" t="str">
            <v>11819</v>
          </cell>
          <cell r="C413" t="str">
            <v>UEC</v>
          </cell>
          <cell r="D413" t="str">
            <v>N</v>
          </cell>
          <cell r="E413" t="str">
            <v>A</v>
          </cell>
          <cell r="F413" t="str">
            <v>01/09/2002</v>
          </cell>
        </row>
        <row r="414">
          <cell r="B414" t="str">
            <v>11822</v>
          </cell>
          <cell r="C414" t="str">
            <v>UEC</v>
          </cell>
          <cell r="D414" t="str">
            <v>N</v>
          </cell>
          <cell r="E414" t="str">
            <v>C</v>
          </cell>
          <cell r="F414" t="str">
            <v>05/09/2002</v>
          </cell>
        </row>
        <row r="415">
          <cell r="B415" t="str">
            <v>11825</v>
          </cell>
          <cell r="C415" t="str">
            <v>UEC</v>
          </cell>
          <cell r="D415" t="str">
            <v>N</v>
          </cell>
          <cell r="E415" t="str">
            <v>C</v>
          </cell>
          <cell r="F415" t="str">
            <v>08/01/2001</v>
          </cell>
        </row>
        <row r="416">
          <cell r="B416" t="str">
            <v>11826</v>
          </cell>
          <cell r="C416" t="str">
            <v>UEC</v>
          </cell>
          <cell r="D416" t="str">
            <v>N</v>
          </cell>
          <cell r="E416" t="str">
            <v>C</v>
          </cell>
          <cell r="F416" t="str">
            <v>07/15/2002</v>
          </cell>
        </row>
        <row r="417">
          <cell r="B417" t="str">
            <v>11847</v>
          </cell>
          <cell r="C417" t="str">
            <v>UEC</v>
          </cell>
          <cell r="D417" t="str">
            <v>N</v>
          </cell>
          <cell r="E417" t="str">
            <v>C</v>
          </cell>
          <cell r="F417" t="str">
            <v>01/02/2002</v>
          </cell>
        </row>
        <row r="418">
          <cell r="B418" t="str">
            <v>11848</v>
          </cell>
          <cell r="C418" t="str">
            <v>UEC</v>
          </cell>
          <cell r="D418" t="str">
            <v>N</v>
          </cell>
          <cell r="E418" t="str">
            <v>C</v>
          </cell>
          <cell r="F418" t="str">
            <v>09/25/2000</v>
          </cell>
        </row>
        <row r="419">
          <cell r="B419" t="str">
            <v>11853</v>
          </cell>
          <cell r="C419" t="str">
            <v>UEC</v>
          </cell>
          <cell r="D419" t="str">
            <v>N</v>
          </cell>
          <cell r="E419" t="str">
            <v>C</v>
          </cell>
          <cell r="F419" t="str">
            <v>09/21/2000</v>
          </cell>
        </row>
        <row r="420">
          <cell r="B420" t="str">
            <v>11855</v>
          </cell>
          <cell r="C420" t="str">
            <v>UEC</v>
          </cell>
          <cell r="D420" t="str">
            <v>N</v>
          </cell>
          <cell r="E420" t="str">
            <v>C</v>
          </cell>
          <cell r="F420" t="str">
            <v>08/26/2002</v>
          </cell>
        </row>
        <row r="421">
          <cell r="B421" t="str">
            <v>11865</v>
          </cell>
          <cell r="C421" t="str">
            <v>UEC</v>
          </cell>
          <cell r="D421" t="str">
            <v>N</v>
          </cell>
          <cell r="E421" t="str">
            <v>C</v>
          </cell>
          <cell r="F421" t="str">
            <v>03/22/2001</v>
          </cell>
        </row>
        <row r="422">
          <cell r="B422" t="str">
            <v>11876</v>
          </cell>
          <cell r="C422" t="str">
            <v>UEC</v>
          </cell>
          <cell r="D422" t="str">
            <v>N</v>
          </cell>
          <cell r="E422" t="str">
            <v>C</v>
          </cell>
          <cell r="F422" t="str">
            <v>12/09/2002</v>
          </cell>
        </row>
        <row r="423">
          <cell r="B423" t="str">
            <v>11880</v>
          </cell>
          <cell r="C423" t="str">
            <v>UEC</v>
          </cell>
          <cell r="D423" t="str">
            <v>N</v>
          </cell>
          <cell r="E423" t="str">
            <v>C</v>
          </cell>
          <cell r="F423" t="str">
            <v>08/23/2001</v>
          </cell>
        </row>
        <row r="424">
          <cell r="B424" t="str">
            <v>11884</v>
          </cell>
          <cell r="C424" t="str">
            <v>UEC</v>
          </cell>
          <cell r="D424" t="str">
            <v>N</v>
          </cell>
          <cell r="E424" t="str">
            <v>C</v>
          </cell>
          <cell r="F424" t="str">
            <v>08/23/2001</v>
          </cell>
        </row>
        <row r="425">
          <cell r="B425" t="str">
            <v>11887</v>
          </cell>
          <cell r="C425" t="str">
            <v>UEC</v>
          </cell>
          <cell r="D425" t="str">
            <v>N</v>
          </cell>
          <cell r="E425" t="str">
            <v>C</v>
          </cell>
          <cell r="F425" t="str">
            <v>05/09/2002</v>
          </cell>
        </row>
        <row r="426">
          <cell r="B426" t="str">
            <v>11888</v>
          </cell>
          <cell r="C426" t="str">
            <v>UEC</v>
          </cell>
          <cell r="D426" t="str">
            <v>N</v>
          </cell>
          <cell r="E426" t="str">
            <v>C</v>
          </cell>
          <cell r="F426" t="str">
            <v>08/23/2001</v>
          </cell>
        </row>
        <row r="427">
          <cell r="B427" t="str">
            <v>11889</v>
          </cell>
          <cell r="C427" t="str">
            <v>UEC</v>
          </cell>
          <cell r="D427" t="str">
            <v>N</v>
          </cell>
          <cell r="E427" t="str">
            <v>C</v>
          </cell>
          <cell r="F427" t="str">
            <v>04/09/2002</v>
          </cell>
        </row>
        <row r="428">
          <cell r="B428" t="str">
            <v>11891</v>
          </cell>
          <cell r="C428" t="str">
            <v>UEC</v>
          </cell>
          <cell r="D428" t="str">
            <v>N</v>
          </cell>
          <cell r="E428" t="str">
            <v>C</v>
          </cell>
          <cell r="F428" t="str">
            <v>09/20/2000</v>
          </cell>
        </row>
        <row r="429">
          <cell r="B429" t="str">
            <v>11892</v>
          </cell>
          <cell r="C429" t="str">
            <v>UEC</v>
          </cell>
          <cell r="D429" t="str">
            <v>N</v>
          </cell>
          <cell r="E429" t="str">
            <v>C</v>
          </cell>
          <cell r="F429" t="str">
            <v>04/09/2001</v>
          </cell>
        </row>
        <row r="430">
          <cell r="B430" t="str">
            <v>11906</v>
          </cell>
          <cell r="C430" t="str">
            <v>CIP</v>
          </cell>
          <cell r="D430" t="str">
            <v>N</v>
          </cell>
          <cell r="E430" t="str">
            <v>C</v>
          </cell>
          <cell r="F430" t="str">
            <v>05/21/2002</v>
          </cell>
        </row>
        <row r="431">
          <cell r="B431" t="str">
            <v>11911</v>
          </cell>
          <cell r="C431" t="str">
            <v>CIP</v>
          </cell>
          <cell r="D431" t="str">
            <v>N</v>
          </cell>
          <cell r="E431" t="str">
            <v>C</v>
          </cell>
          <cell r="F431" t="str">
            <v>05/21/2002</v>
          </cell>
        </row>
        <row r="432">
          <cell r="B432" t="str">
            <v>11915</v>
          </cell>
          <cell r="C432" t="str">
            <v>UEC</v>
          </cell>
          <cell r="D432" t="str">
            <v>N</v>
          </cell>
          <cell r="E432" t="str">
            <v>C</v>
          </cell>
          <cell r="F432" t="str">
            <v>09/25/2000</v>
          </cell>
        </row>
        <row r="433">
          <cell r="B433" t="str">
            <v>11916</v>
          </cell>
          <cell r="C433" t="str">
            <v>UEC</v>
          </cell>
          <cell r="D433" t="str">
            <v>N</v>
          </cell>
          <cell r="E433" t="str">
            <v>C</v>
          </cell>
          <cell r="F433" t="str">
            <v>09/06/2001</v>
          </cell>
        </row>
        <row r="434">
          <cell r="B434" t="str">
            <v>11917</v>
          </cell>
          <cell r="C434" t="str">
            <v>UEC</v>
          </cell>
          <cell r="D434" t="str">
            <v>N</v>
          </cell>
          <cell r="E434" t="str">
            <v>A</v>
          </cell>
          <cell r="F434" t="str">
            <v>04/04/2002</v>
          </cell>
        </row>
        <row r="435">
          <cell r="B435" t="str">
            <v>11918</v>
          </cell>
          <cell r="C435" t="str">
            <v>UEC</v>
          </cell>
          <cell r="D435" t="str">
            <v>N</v>
          </cell>
          <cell r="E435" t="str">
            <v>C</v>
          </cell>
          <cell r="F435" t="str">
            <v>06/25/2001</v>
          </cell>
        </row>
        <row r="436">
          <cell r="B436" t="str">
            <v>11919</v>
          </cell>
          <cell r="C436" t="str">
            <v>UEC</v>
          </cell>
          <cell r="D436" t="str">
            <v>N</v>
          </cell>
          <cell r="E436" t="str">
            <v>A</v>
          </cell>
          <cell r="F436" t="str">
            <v>02/27/2002</v>
          </cell>
        </row>
        <row r="437">
          <cell r="B437" t="str">
            <v>11922</v>
          </cell>
          <cell r="C437" t="str">
            <v>UEC</v>
          </cell>
          <cell r="D437" t="str">
            <v>N</v>
          </cell>
          <cell r="E437" t="str">
            <v>C</v>
          </cell>
          <cell r="F437" t="str">
            <v>10/02/2001</v>
          </cell>
        </row>
        <row r="438">
          <cell r="B438" t="str">
            <v>11927</v>
          </cell>
          <cell r="C438" t="str">
            <v>UEC</v>
          </cell>
          <cell r="D438" t="str">
            <v>Y</v>
          </cell>
          <cell r="E438" t="str">
            <v>C</v>
          </cell>
          <cell r="F438" t="str">
            <v>07/13/2001</v>
          </cell>
        </row>
        <row r="439">
          <cell r="B439" t="str">
            <v>11928</v>
          </cell>
          <cell r="C439" t="str">
            <v>UEC</v>
          </cell>
          <cell r="D439" t="str">
            <v>N</v>
          </cell>
          <cell r="E439" t="str">
            <v>C</v>
          </cell>
          <cell r="F439" t="str">
            <v>01/30/2001</v>
          </cell>
        </row>
        <row r="440">
          <cell r="B440" t="str">
            <v>11931</v>
          </cell>
          <cell r="C440" t="str">
            <v>UEC</v>
          </cell>
          <cell r="D440" t="str">
            <v>N</v>
          </cell>
          <cell r="E440" t="str">
            <v>C</v>
          </cell>
          <cell r="F440" t="str">
            <v>02/01/2001</v>
          </cell>
        </row>
        <row r="441">
          <cell r="B441" t="str">
            <v>11948</v>
          </cell>
          <cell r="C441" t="str">
            <v>UEC</v>
          </cell>
          <cell r="D441" t="str">
            <v>N</v>
          </cell>
          <cell r="E441" t="str">
            <v>C</v>
          </cell>
          <cell r="F441" t="str">
            <v>10/05/2001</v>
          </cell>
        </row>
        <row r="442">
          <cell r="B442" t="str">
            <v>11958</v>
          </cell>
          <cell r="C442" t="str">
            <v>UEC</v>
          </cell>
          <cell r="D442" t="str">
            <v>N</v>
          </cell>
          <cell r="E442" t="str">
            <v>C</v>
          </cell>
          <cell r="F442" t="str">
            <v>07/20/2001</v>
          </cell>
        </row>
        <row r="443">
          <cell r="B443" t="str">
            <v>11966</v>
          </cell>
          <cell r="C443" t="str">
            <v>UEC</v>
          </cell>
          <cell r="D443" t="str">
            <v>N</v>
          </cell>
          <cell r="E443" t="str">
            <v>C</v>
          </cell>
          <cell r="F443" t="str">
            <v>11/05/2001</v>
          </cell>
        </row>
        <row r="444">
          <cell r="B444" t="str">
            <v>11968</v>
          </cell>
          <cell r="C444" t="str">
            <v>UEC</v>
          </cell>
          <cell r="D444" t="str">
            <v>N</v>
          </cell>
          <cell r="E444" t="str">
            <v>C</v>
          </cell>
          <cell r="F444" t="str">
            <v>04/10/2001</v>
          </cell>
        </row>
        <row r="445">
          <cell r="B445" t="str">
            <v>11986</v>
          </cell>
          <cell r="C445" t="str">
            <v>CIP</v>
          </cell>
          <cell r="D445" t="str">
            <v>N</v>
          </cell>
          <cell r="E445" t="str">
            <v>C</v>
          </cell>
          <cell r="F445" t="str">
            <v>10/20/2000</v>
          </cell>
        </row>
        <row r="446">
          <cell r="B446" t="str">
            <v>11987</v>
          </cell>
          <cell r="C446" t="str">
            <v>UEC</v>
          </cell>
          <cell r="D446" t="str">
            <v>N</v>
          </cell>
          <cell r="E446" t="str">
            <v>C</v>
          </cell>
          <cell r="F446" t="str">
            <v>09/19/2001</v>
          </cell>
        </row>
        <row r="447">
          <cell r="B447" t="str">
            <v>11989</v>
          </cell>
          <cell r="C447" t="str">
            <v>UEC</v>
          </cell>
          <cell r="D447" t="str">
            <v>N</v>
          </cell>
          <cell r="E447" t="str">
            <v>C</v>
          </cell>
          <cell r="F447" t="str">
            <v>04/24/2001</v>
          </cell>
        </row>
        <row r="448">
          <cell r="B448" t="str">
            <v>11990</v>
          </cell>
          <cell r="C448" t="str">
            <v>UEC</v>
          </cell>
          <cell r="D448" t="str">
            <v>N</v>
          </cell>
          <cell r="E448" t="str">
            <v>A</v>
          </cell>
          <cell r="F448" t="str">
            <v>03/07/2002</v>
          </cell>
        </row>
        <row r="449">
          <cell r="B449" t="str">
            <v>11994</v>
          </cell>
          <cell r="C449" t="str">
            <v>UEC</v>
          </cell>
          <cell r="D449" t="str">
            <v>N</v>
          </cell>
          <cell r="E449" t="str">
            <v>C</v>
          </cell>
          <cell r="F449" t="str">
            <v>05/13/2002</v>
          </cell>
        </row>
        <row r="450">
          <cell r="B450" t="str">
            <v>11995</v>
          </cell>
          <cell r="C450" t="str">
            <v>UEC</v>
          </cell>
          <cell r="D450" t="str">
            <v>N</v>
          </cell>
          <cell r="E450" t="str">
            <v>I</v>
          </cell>
          <cell r="F450" t="str">
            <v>12/19/2003</v>
          </cell>
        </row>
        <row r="451">
          <cell r="B451" t="str">
            <v>11995</v>
          </cell>
          <cell r="C451" t="str">
            <v>UEC</v>
          </cell>
          <cell r="D451" t="str">
            <v>N</v>
          </cell>
          <cell r="E451" t="str">
            <v>I</v>
          </cell>
          <cell r="F451" t="str">
            <v>12/19/2003</v>
          </cell>
        </row>
        <row r="452">
          <cell r="B452" t="str">
            <v>12000</v>
          </cell>
          <cell r="C452" t="str">
            <v>UEC</v>
          </cell>
          <cell r="D452" t="str">
            <v>N</v>
          </cell>
          <cell r="E452" t="str">
            <v>C</v>
          </cell>
          <cell r="F452" t="str">
            <v>08/15/2002</v>
          </cell>
        </row>
        <row r="453">
          <cell r="B453" t="str">
            <v>12001</v>
          </cell>
          <cell r="C453" t="str">
            <v>UEC</v>
          </cell>
          <cell r="D453" t="str">
            <v>N</v>
          </cell>
          <cell r="E453" t="str">
            <v>A</v>
          </cell>
          <cell r="F453" t="str">
            <v>09/05/2003</v>
          </cell>
        </row>
        <row r="454">
          <cell r="B454" t="str">
            <v>12006</v>
          </cell>
          <cell r="C454" t="str">
            <v>UEC</v>
          </cell>
          <cell r="D454" t="str">
            <v>N</v>
          </cell>
          <cell r="E454" t="str">
            <v>C</v>
          </cell>
          <cell r="F454" t="str">
            <v>04/30/2002</v>
          </cell>
        </row>
        <row r="455">
          <cell r="B455" t="str">
            <v>12008</v>
          </cell>
          <cell r="C455" t="str">
            <v>UEC</v>
          </cell>
          <cell r="D455" t="str">
            <v>N</v>
          </cell>
          <cell r="E455" t="str">
            <v>C</v>
          </cell>
          <cell r="F455" t="str">
            <v>04/30/2002</v>
          </cell>
        </row>
        <row r="456">
          <cell r="B456" t="str">
            <v>12015</v>
          </cell>
          <cell r="C456" t="str">
            <v>UEC</v>
          </cell>
          <cell r="D456" t="str">
            <v>N</v>
          </cell>
          <cell r="E456" t="str">
            <v>A</v>
          </cell>
          <cell r="F456" t="str">
            <v>11/16/2000</v>
          </cell>
        </row>
        <row r="457">
          <cell r="B457" t="str">
            <v>12016</v>
          </cell>
          <cell r="C457" t="str">
            <v>UEC</v>
          </cell>
          <cell r="D457" t="str">
            <v>N</v>
          </cell>
          <cell r="E457" t="str">
            <v>A</v>
          </cell>
          <cell r="F457" t="str">
            <v>08/04/2003</v>
          </cell>
        </row>
        <row r="458">
          <cell r="B458" t="str">
            <v>12038</v>
          </cell>
          <cell r="C458" t="str">
            <v>UEC</v>
          </cell>
          <cell r="D458" t="str">
            <v>N</v>
          </cell>
          <cell r="E458" t="str">
            <v>C</v>
          </cell>
          <cell r="F458" t="str">
            <v>05/17/2001</v>
          </cell>
        </row>
        <row r="459">
          <cell r="B459" t="str">
            <v>12040</v>
          </cell>
          <cell r="C459" t="str">
            <v>UEC</v>
          </cell>
          <cell r="D459" t="str">
            <v>N</v>
          </cell>
          <cell r="E459" t="str">
            <v>C</v>
          </cell>
          <cell r="F459" t="str">
            <v>08/30/2001</v>
          </cell>
        </row>
        <row r="460">
          <cell r="B460" t="str">
            <v>12041</v>
          </cell>
          <cell r="C460" t="str">
            <v>CIP</v>
          </cell>
          <cell r="D460" t="str">
            <v>N</v>
          </cell>
          <cell r="E460" t="str">
            <v>A</v>
          </cell>
          <cell r="F460" t="str">
            <v>02/02/2001</v>
          </cell>
        </row>
        <row r="461">
          <cell r="B461" t="str">
            <v>12046</v>
          </cell>
          <cell r="C461" t="str">
            <v>CIP</v>
          </cell>
          <cell r="D461" t="str">
            <v>N</v>
          </cell>
          <cell r="E461" t="str">
            <v>C</v>
          </cell>
          <cell r="F461" t="str">
            <v>10/03/2000</v>
          </cell>
        </row>
        <row r="462">
          <cell r="B462" t="str">
            <v>12059</v>
          </cell>
          <cell r="C462" t="str">
            <v>UEC</v>
          </cell>
          <cell r="D462" t="str">
            <v>N</v>
          </cell>
          <cell r="E462" t="str">
            <v>A</v>
          </cell>
          <cell r="F462" t="str">
            <v>03/28/2001</v>
          </cell>
        </row>
        <row r="463">
          <cell r="B463" t="str">
            <v>12063</v>
          </cell>
          <cell r="C463" t="str">
            <v>UEC</v>
          </cell>
          <cell r="D463" t="str">
            <v>N</v>
          </cell>
          <cell r="E463" t="str">
            <v>A</v>
          </cell>
          <cell r="F463" t="str">
            <v>10/17/2002</v>
          </cell>
        </row>
        <row r="464">
          <cell r="B464" t="str">
            <v>12066</v>
          </cell>
          <cell r="C464" t="str">
            <v>UEC</v>
          </cell>
          <cell r="D464" t="str">
            <v>N</v>
          </cell>
          <cell r="E464" t="str">
            <v>C</v>
          </cell>
          <cell r="F464" t="str">
            <v>09/28/2000</v>
          </cell>
        </row>
        <row r="465">
          <cell r="B465" t="str">
            <v>12067</v>
          </cell>
          <cell r="C465" t="str">
            <v>CIP</v>
          </cell>
          <cell r="D465" t="str">
            <v>N</v>
          </cell>
          <cell r="E465" t="str">
            <v>C</v>
          </cell>
          <cell r="F465" t="str">
            <v>09/28/2000</v>
          </cell>
        </row>
        <row r="466">
          <cell r="B466" t="str">
            <v>12068</v>
          </cell>
          <cell r="C466" t="str">
            <v>UEC</v>
          </cell>
          <cell r="D466" t="str">
            <v>N</v>
          </cell>
          <cell r="E466" t="str">
            <v>C</v>
          </cell>
          <cell r="F466" t="str">
            <v>02/22/2001</v>
          </cell>
        </row>
        <row r="467">
          <cell r="B467" t="str">
            <v>12071</v>
          </cell>
          <cell r="C467" t="str">
            <v>CIP</v>
          </cell>
          <cell r="D467" t="str">
            <v>N</v>
          </cell>
          <cell r="E467" t="str">
            <v>C</v>
          </cell>
          <cell r="F467" t="str">
            <v>10/31/2001</v>
          </cell>
        </row>
        <row r="468">
          <cell r="B468" t="str">
            <v>12073</v>
          </cell>
          <cell r="C468" t="str">
            <v>CIP</v>
          </cell>
          <cell r="D468" t="str">
            <v>N</v>
          </cell>
          <cell r="E468" t="str">
            <v>C</v>
          </cell>
          <cell r="F468" t="str">
            <v>01/10/2003</v>
          </cell>
        </row>
        <row r="469">
          <cell r="B469" t="str">
            <v>12162</v>
          </cell>
          <cell r="C469" t="str">
            <v>UEC</v>
          </cell>
          <cell r="D469" t="str">
            <v>N</v>
          </cell>
          <cell r="E469" t="str">
            <v>C</v>
          </cell>
          <cell r="F469" t="str">
            <v>04/09/2001</v>
          </cell>
        </row>
        <row r="470">
          <cell r="B470" t="str">
            <v>12170</v>
          </cell>
          <cell r="C470" t="str">
            <v>UEC</v>
          </cell>
          <cell r="D470" t="str">
            <v>N</v>
          </cell>
          <cell r="E470" t="str">
            <v>A</v>
          </cell>
          <cell r="F470" t="str">
            <v>02/13/2001</v>
          </cell>
        </row>
        <row r="471">
          <cell r="B471" t="str">
            <v>12171</v>
          </cell>
          <cell r="C471" t="str">
            <v>UEC</v>
          </cell>
          <cell r="D471" t="str">
            <v>N</v>
          </cell>
          <cell r="E471" t="str">
            <v>A</v>
          </cell>
          <cell r="F471" t="str">
            <v>02/20/2001</v>
          </cell>
        </row>
        <row r="472">
          <cell r="B472" t="str">
            <v>12183</v>
          </cell>
          <cell r="C472" t="str">
            <v>UEC</v>
          </cell>
          <cell r="D472" t="str">
            <v>N</v>
          </cell>
          <cell r="E472" t="str">
            <v>C</v>
          </cell>
          <cell r="F472" t="str">
            <v>05/22/2001</v>
          </cell>
        </row>
        <row r="473">
          <cell r="B473" t="str">
            <v>12207</v>
          </cell>
          <cell r="C473" t="str">
            <v>CIP</v>
          </cell>
          <cell r="D473" t="str">
            <v>N</v>
          </cell>
          <cell r="E473" t="str">
            <v>A</v>
          </cell>
          <cell r="F473" t="str">
            <v>01/30/2001</v>
          </cell>
        </row>
        <row r="474">
          <cell r="B474" t="str">
            <v>12208</v>
          </cell>
          <cell r="C474" t="str">
            <v>CIP</v>
          </cell>
          <cell r="D474" t="str">
            <v>N</v>
          </cell>
          <cell r="E474" t="str">
            <v>C</v>
          </cell>
          <cell r="F474" t="str">
            <v>10/26/2000</v>
          </cell>
        </row>
        <row r="475">
          <cell r="B475" t="str">
            <v>12211</v>
          </cell>
          <cell r="C475" t="str">
            <v>UEC</v>
          </cell>
          <cell r="D475" t="str">
            <v>N</v>
          </cell>
          <cell r="E475" t="str">
            <v>A</v>
          </cell>
          <cell r="F475" t="str">
            <v>01/30/2001</v>
          </cell>
        </row>
        <row r="476">
          <cell r="B476" t="str">
            <v>12212</v>
          </cell>
          <cell r="C476" t="str">
            <v>UEC</v>
          </cell>
          <cell r="D476" t="str">
            <v>N</v>
          </cell>
          <cell r="E476" t="str">
            <v>C</v>
          </cell>
          <cell r="F476" t="str">
            <v>03/05/2001</v>
          </cell>
        </row>
        <row r="477">
          <cell r="B477" t="str">
            <v>12218</v>
          </cell>
          <cell r="C477" t="str">
            <v>UEC</v>
          </cell>
          <cell r="D477" t="str">
            <v>N</v>
          </cell>
          <cell r="E477" t="str">
            <v>A</v>
          </cell>
          <cell r="F477" t="str">
            <v>04/15/2002</v>
          </cell>
        </row>
        <row r="478">
          <cell r="B478" t="str">
            <v>12224</v>
          </cell>
          <cell r="C478" t="str">
            <v>UEC</v>
          </cell>
          <cell r="D478" t="str">
            <v>N</v>
          </cell>
          <cell r="E478" t="str">
            <v>A</v>
          </cell>
          <cell r="F478" t="str">
            <v>05/22/2001</v>
          </cell>
        </row>
        <row r="479">
          <cell r="B479" t="str">
            <v>12226</v>
          </cell>
          <cell r="C479" t="str">
            <v>UEC</v>
          </cell>
          <cell r="D479" t="str">
            <v>N</v>
          </cell>
          <cell r="E479" t="str">
            <v>C</v>
          </cell>
          <cell r="F479" t="str">
            <v>02/20/2001</v>
          </cell>
        </row>
        <row r="480">
          <cell r="B480" t="str">
            <v>12238</v>
          </cell>
          <cell r="C480" t="str">
            <v>UEC</v>
          </cell>
          <cell r="D480" t="str">
            <v>N</v>
          </cell>
          <cell r="E480" t="str">
            <v>I</v>
          </cell>
          <cell r="F480" t="str">
            <v>04/26/2001</v>
          </cell>
        </row>
        <row r="481">
          <cell r="B481" t="str">
            <v>12250</v>
          </cell>
          <cell r="C481" t="str">
            <v>UEC</v>
          </cell>
          <cell r="D481" t="str">
            <v>N</v>
          </cell>
          <cell r="E481" t="str">
            <v>I</v>
          </cell>
          <cell r="F481" t="str">
            <v>02/27/2001</v>
          </cell>
        </row>
        <row r="482">
          <cell r="B482" t="str">
            <v>12298</v>
          </cell>
          <cell r="C482" t="str">
            <v>CIP</v>
          </cell>
          <cell r="D482" t="str">
            <v>N</v>
          </cell>
          <cell r="E482" t="str">
            <v>A</v>
          </cell>
          <cell r="F482" t="str">
            <v>04/18/2001</v>
          </cell>
        </row>
        <row r="483">
          <cell r="B483" t="str">
            <v>12299</v>
          </cell>
          <cell r="C483" t="str">
            <v>UEC</v>
          </cell>
          <cell r="D483" t="str">
            <v>N</v>
          </cell>
          <cell r="E483" t="str">
            <v>A</v>
          </cell>
          <cell r="F483" t="str">
            <v>03/01/2001</v>
          </cell>
        </row>
        <row r="484">
          <cell r="B484" t="str">
            <v>12300</v>
          </cell>
          <cell r="C484" t="str">
            <v>UEC</v>
          </cell>
          <cell r="D484" t="str">
            <v>N</v>
          </cell>
          <cell r="E484" t="str">
            <v>A</v>
          </cell>
          <cell r="F484" t="str">
            <v>03/01/2001</v>
          </cell>
        </row>
        <row r="485">
          <cell r="B485" t="str">
            <v>12308</v>
          </cell>
          <cell r="C485" t="str">
            <v>CIP</v>
          </cell>
          <cell r="D485" t="str">
            <v>N</v>
          </cell>
          <cell r="E485" t="str">
            <v>C</v>
          </cell>
          <cell r="F485" t="str">
            <v>10/10/2000</v>
          </cell>
        </row>
        <row r="486">
          <cell r="B486" t="str">
            <v>12330</v>
          </cell>
          <cell r="C486" t="str">
            <v>UEC</v>
          </cell>
          <cell r="D486" t="str">
            <v>N</v>
          </cell>
          <cell r="E486" t="str">
            <v>C</v>
          </cell>
          <cell r="F486" t="str">
            <v>10/26/2000</v>
          </cell>
        </row>
        <row r="487">
          <cell r="B487" t="str">
            <v>12338</v>
          </cell>
          <cell r="C487" t="str">
            <v>AED</v>
          </cell>
          <cell r="D487" t="str">
            <v>N</v>
          </cell>
          <cell r="E487" t="str">
            <v>A</v>
          </cell>
          <cell r="F487" t="str">
            <v>11/01/2000</v>
          </cell>
        </row>
        <row r="488">
          <cell r="B488" t="str">
            <v>12344</v>
          </cell>
          <cell r="C488" t="str">
            <v>UEC</v>
          </cell>
          <cell r="D488" t="str">
            <v>N</v>
          </cell>
          <cell r="E488" t="str">
            <v>C</v>
          </cell>
          <cell r="F488" t="str">
            <v>05/09/2001</v>
          </cell>
        </row>
        <row r="489">
          <cell r="B489" t="str">
            <v>12345</v>
          </cell>
          <cell r="C489" t="str">
            <v>UEC</v>
          </cell>
          <cell r="D489" t="str">
            <v>N</v>
          </cell>
          <cell r="E489" t="str">
            <v>C</v>
          </cell>
          <cell r="F489" t="str">
            <v>05/09/2001</v>
          </cell>
        </row>
        <row r="490">
          <cell r="B490" t="str">
            <v>12358</v>
          </cell>
          <cell r="C490" t="str">
            <v>CIP</v>
          </cell>
          <cell r="D490" t="str">
            <v>N</v>
          </cell>
          <cell r="E490" t="str">
            <v>C</v>
          </cell>
          <cell r="F490" t="str">
            <v>04/30/2001</v>
          </cell>
        </row>
        <row r="491">
          <cell r="B491" t="str">
            <v>12359</v>
          </cell>
          <cell r="C491" t="str">
            <v>CIP</v>
          </cell>
          <cell r="D491" t="str">
            <v>N</v>
          </cell>
          <cell r="E491" t="str">
            <v>A</v>
          </cell>
          <cell r="F491" t="str">
            <v>04/30/2001</v>
          </cell>
        </row>
        <row r="492">
          <cell r="B492" t="str">
            <v>12363</v>
          </cell>
          <cell r="C492" t="str">
            <v>UEC</v>
          </cell>
          <cell r="D492" t="str">
            <v>N</v>
          </cell>
          <cell r="E492" t="str">
            <v>C</v>
          </cell>
          <cell r="F492" t="str">
            <v>02/22/2002</v>
          </cell>
        </row>
        <row r="493">
          <cell r="B493" t="str">
            <v>12365</v>
          </cell>
          <cell r="C493" t="str">
            <v>UEC</v>
          </cell>
          <cell r="D493" t="str">
            <v>N</v>
          </cell>
          <cell r="E493" t="str">
            <v>C</v>
          </cell>
          <cell r="F493" t="str">
            <v>05/02/2001</v>
          </cell>
        </row>
        <row r="494">
          <cell r="B494" t="str">
            <v>12366</v>
          </cell>
          <cell r="C494" t="str">
            <v>UEC</v>
          </cell>
          <cell r="D494" t="str">
            <v>N</v>
          </cell>
          <cell r="E494" t="str">
            <v>C</v>
          </cell>
          <cell r="F494" t="str">
            <v>05/04/2001</v>
          </cell>
        </row>
        <row r="495">
          <cell r="B495" t="str">
            <v>12370</v>
          </cell>
          <cell r="C495" t="str">
            <v>UEC</v>
          </cell>
          <cell r="D495" t="str">
            <v>N</v>
          </cell>
          <cell r="E495" t="str">
            <v>A</v>
          </cell>
          <cell r="F495" t="str">
            <v>05/07/2001</v>
          </cell>
        </row>
        <row r="496">
          <cell r="B496" t="str">
            <v>12371</v>
          </cell>
          <cell r="C496" t="str">
            <v>UEC</v>
          </cell>
          <cell r="D496" t="str">
            <v>N</v>
          </cell>
          <cell r="E496" t="str">
            <v>C</v>
          </cell>
          <cell r="F496" t="str">
            <v>05/08/2001</v>
          </cell>
        </row>
        <row r="497">
          <cell r="B497" t="str">
            <v>12372</v>
          </cell>
          <cell r="C497" t="str">
            <v>UEC</v>
          </cell>
          <cell r="D497" t="str">
            <v>N</v>
          </cell>
          <cell r="E497" t="str">
            <v>C</v>
          </cell>
          <cell r="F497" t="str">
            <v>05/08/2001</v>
          </cell>
        </row>
        <row r="498">
          <cell r="B498" t="str">
            <v>12373</v>
          </cell>
          <cell r="C498" t="str">
            <v>UEC</v>
          </cell>
          <cell r="D498" t="str">
            <v>N</v>
          </cell>
          <cell r="E498" t="str">
            <v>C</v>
          </cell>
          <cell r="F498" t="str">
            <v>05/08/2001</v>
          </cell>
        </row>
        <row r="499">
          <cell r="B499" t="str">
            <v>12383</v>
          </cell>
          <cell r="C499" t="str">
            <v>UEC</v>
          </cell>
          <cell r="D499" t="str">
            <v>N</v>
          </cell>
          <cell r="E499" t="str">
            <v>C</v>
          </cell>
          <cell r="F499" t="str">
            <v>05/08/2001</v>
          </cell>
        </row>
        <row r="500">
          <cell r="B500" t="str">
            <v>12384</v>
          </cell>
          <cell r="C500" t="str">
            <v>UEC</v>
          </cell>
          <cell r="D500" t="str">
            <v>N</v>
          </cell>
          <cell r="E500" t="str">
            <v>I</v>
          </cell>
          <cell r="F500" t="str">
            <v>05/08/2001</v>
          </cell>
        </row>
        <row r="501">
          <cell r="B501" t="str">
            <v>12385</v>
          </cell>
          <cell r="C501" t="str">
            <v>UEC</v>
          </cell>
          <cell r="D501" t="str">
            <v>N</v>
          </cell>
          <cell r="E501" t="str">
            <v>I</v>
          </cell>
          <cell r="F501" t="str">
            <v>05/08/2001</v>
          </cell>
        </row>
        <row r="502">
          <cell r="B502" t="str">
            <v>12386</v>
          </cell>
          <cell r="C502" t="str">
            <v>UEC</v>
          </cell>
          <cell r="D502" t="str">
            <v>N</v>
          </cell>
          <cell r="E502" t="str">
            <v>I</v>
          </cell>
          <cell r="F502" t="str">
            <v>05/08/2001</v>
          </cell>
        </row>
        <row r="503">
          <cell r="B503" t="str">
            <v>12387</v>
          </cell>
          <cell r="C503" t="str">
            <v>UEC</v>
          </cell>
          <cell r="D503" t="str">
            <v>N</v>
          </cell>
          <cell r="E503" t="str">
            <v>I</v>
          </cell>
          <cell r="F503" t="str">
            <v>05/08/2001</v>
          </cell>
        </row>
        <row r="504">
          <cell r="B504" t="str">
            <v>12390</v>
          </cell>
          <cell r="C504" t="str">
            <v>UEC</v>
          </cell>
          <cell r="D504" t="str">
            <v>N</v>
          </cell>
          <cell r="E504" t="str">
            <v>I</v>
          </cell>
          <cell r="F504" t="str">
            <v>05/08/2001</v>
          </cell>
        </row>
        <row r="505">
          <cell r="B505" t="str">
            <v>12391</v>
          </cell>
          <cell r="C505" t="str">
            <v>UEC</v>
          </cell>
          <cell r="D505" t="str">
            <v>N</v>
          </cell>
          <cell r="E505" t="str">
            <v>C</v>
          </cell>
          <cell r="F505" t="str">
            <v>05/09/2001</v>
          </cell>
        </row>
        <row r="506">
          <cell r="B506" t="str">
            <v>12404</v>
          </cell>
          <cell r="C506" t="str">
            <v>UEC</v>
          </cell>
          <cell r="D506" t="str">
            <v>N</v>
          </cell>
          <cell r="E506" t="str">
            <v>C</v>
          </cell>
          <cell r="F506" t="str">
            <v>07/20/2001</v>
          </cell>
        </row>
        <row r="507">
          <cell r="B507" t="str">
            <v>12408</v>
          </cell>
          <cell r="C507" t="str">
            <v>UEC</v>
          </cell>
          <cell r="D507" t="str">
            <v>N</v>
          </cell>
          <cell r="E507" t="str">
            <v>C</v>
          </cell>
          <cell r="F507" t="str">
            <v>07/20/2001</v>
          </cell>
        </row>
        <row r="508">
          <cell r="B508" t="str">
            <v>12412</v>
          </cell>
          <cell r="C508" t="str">
            <v>CIP</v>
          </cell>
          <cell r="D508" t="str">
            <v>N</v>
          </cell>
          <cell r="E508" t="str">
            <v>C</v>
          </cell>
          <cell r="F508" t="str">
            <v>07/27/2001</v>
          </cell>
        </row>
        <row r="509">
          <cell r="B509" t="str">
            <v>12428</v>
          </cell>
          <cell r="C509" t="str">
            <v>UEC</v>
          </cell>
          <cell r="D509" t="str">
            <v>N</v>
          </cell>
          <cell r="E509" t="str">
            <v>A</v>
          </cell>
          <cell r="F509" t="str">
            <v>05/23/2001</v>
          </cell>
        </row>
        <row r="510">
          <cell r="B510" t="str">
            <v>12432</v>
          </cell>
          <cell r="C510" t="str">
            <v>CIP</v>
          </cell>
          <cell r="D510" t="str">
            <v>N</v>
          </cell>
          <cell r="E510" t="str">
            <v>C</v>
          </cell>
          <cell r="F510" t="str">
            <v>10/12/2001</v>
          </cell>
        </row>
        <row r="511">
          <cell r="B511" t="str">
            <v>12440</v>
          </cell>
          <cell r="C511" t="str">
            <v>CIP</v>
          </cell>
          <cell r="D511" t="str">
            <v>N</v>
          </cell>
          <cell r="E511" t="str">
            <v>C</v>
          </cell>
          <cell r="F511" t="str">
            <v>02/04/2002</v>
          </cell>
        </row>
        <row r="512">
          <cell r="B512" t="str">
            <v>12443</v>
          </cell>
          <cell r="C512" t="str">
            <v>UEC</v>
          </cell>
          <cell r="D512" t="str">
            <v>N</v>
          </cell>
          <cell r="E512" t="str">
            <v>A</v>
          </cell>
          <cell r="F512" t="str">
            <v>05/17/2001</v>
          </cell>
        </row>
        <row r="513">
          <cell r="B513" t="str">
            <v>12444</v>
          </cell>
          <cell r="C513" t="str">
            <v>UEC</v>
          </cell>
          <cell r="D513" t="str">
            <v>N</v>
          </cell>
          <cell r="E513" t="str">
            <v>A</v>
          </cell>
          <cell r="F513" t="str">
            <v>05/24/2001</v>
          </cell>
        </row>
        <row r="514">
          <cell r="B514" t="str">
            <v>12449</v>
          </cell>
          <cell r="C514" t="str">
            <v>UEC</v>
          </cell>
          <cell r="D514" t="str">
            <v>N</v>
          </cell>
          <cell r="E514" t="str">
            <v>A</v>
          </cell>
          <cell r="F514" t="str">
            <v>07/13/2001</v>
          </cell>
        </row>
        <row r="515">
          <cell r="B515" t="str">
            <v>12455</v>
          </cell>
          <cell r="C515" t="str">
            <v>CIP</v>
          </cell>
          <cell r="D515" t="str">
            <v>N</v>
          </cell>
          <cell r="E515" t="str">
            <v>C</v>
          </cell>
          <cell r="F515" t="str">
            <v>07/20/2001</v>
          </cell>
        </row>
        <row r="516">
          <cell r="B516" t="str">
            <v>12477</v>
          </cell>
          <cell r="C516" t="str">
            <v>UEC</v>
          </cell>
          <cell r="D516" t="str">
            <v>N</v>
          </cell>
          <cell r="E516" t="str">
            <v>C</v>
          </cell>
          <cell r="F516" t="str">
            <v>02/26/2003</v>
          </cell>
        </row>
        <row r="517">
          <cell r="B517" t="str">
            <v>12483</v>
          </cell>
          <cell r="C517" t="str">
            <v>UEC</v>
          </cell>
          <cell r="D517" t="str">
            <v>N</v>
          </cell>
          <cell r="E517" t="str">
            <v>A</v>
          </cell>
          <cell r="F517" t="str">
            <v>06/13/2001</v>
          </cell>
        </row>
        <row r="518">
          <cell r="B518" t="str">
            <v>12484</v>
          </cell>
          <cell r="C518" t="str">
            <v>UEC</v>
          </cell>
          <cell r="D518" t="str">
            <v>N</v>
          </cell>
          <cell r="E518" t="str">
            <v>A</v>
          </cell>
          <cell r="F518" t="str">
            <v>06/13/2001</v>
          </cell>
        </row>
        <row r="519">
          <cell r="B519" t="str">
            <v>12485</v>
          </cell>
          <cell r="C519" t="str">
            <v>UEC</v>
          </cell>
          <cell r="D519" t="str">
            <v>N</v>
          </cell>
          <cell r="E519" t="str">
            <v>A</v>
          </cell>
          <cell r="F519" t="str">
            <v>06/13/2001</v>
          </cell>
        </row>
        <row r="520">
          <cell r="B520" t="str">
            <v>12486</v>
          </cell>
          <cell r="C520" t="str">
            <v>UEC</v>
          </cell>
          <cell r="D520" t="str">
            <v>N</v>
          </cell>
          <cell r="E520" t="str">
            <v>A</v>
          </cell>
          <cell r="F520" t="str">
            <v>06/13/2001</v>
          </cell>
        </row>
        <row r="521">
          <cell r="B521" t="str">
            <v>12488</v>
          </cell>
          <cell r="C521" t="str">
            <v>UEC</v>
          </cell>
          <cell r="D521" t="str">
            <v>N</v>
          </cell>
          <cell r="E521" t="str">
            <v>C</v>
          </cell>
          <cell r="F521" t="str">
            <v>05/01/2002</v>
          </cell>
        </row>
        <row r="522">
          <cell r="B522" t="str">
            <v>12490</v>
          </cell>
          <cell r="C522" t="str">
            <v>UEC</v>
          </cell>
          <cell r="D522" t="str">
            <v>N</v>
          </cell>
          <cell r="E522" t="str">
            <v>C</v>
          </cell>
          <cell r="F522" t="str">
            <v>11/25/2002</v>
          </cell>
        </row>
        <row r="523">
          <cell r="B523" t="str">
            <v>12494</v>
          </cell>
          <cell r="C523" t="str">
            <v>UEC</v>
          </cell>
          <cell r="D523" t="str">
            <v>N</v>
          </cell>
          <cell r="E523" t="str">
            <v>A</v>
          </cell>
          <cell r="F523" t="str">
            <v>05/29/2001</v>
          </cell>
        </row>
        <row r="524">
          <cell r="B524" t="str">
            <v>12495</v>
          </cell>
          <cell r="C524" t="str">
            <v>AEC</v>
          </cell>
          <cell r="D524" t="str">
            <v>N</v>
          </cell>
          <cell r="E524" t="str">
            <v>C</v>
          </cell>
          <cell r="F524" t="str">
            <v>06/01/2001</v>
          </cell>
        </row>
        <row r="525">
          <cell r="B525" t="str">
            <v>12522</v>
          </cell>
          <cell r="C525" t="str">
            <v>UEC</v>
          </cell>
          <cell r="D525" t="str">
            <v>N</v>
          </cell>
          <cell r="E525" t="str">
            <v>A</v>
          </cell>
          <cell r="F525" t="str">
            <v>10/31/2002</v>
          </cell>
        </row>
        <row r="526">
          <cell r="B526" t="str">
            <v>12523</v>
          </cell>
          <cell r="C526" t="str">
            <v>UEC</v>
          </cell>
          <cell r="D526" t="str">
            <v>N</v>
          </cell>
          <cell r="E526" t="str">
            <v>A</v>
          </cell>
          <cell r="F526" t="str">
            <v>10/31/2002</v>
          </cell>
        </row>
        <row r="527">
          <cell r="B527" t="str">
            <v>12524</v>
          </cell>
          <cell r="C527" t="str">
            <v>UEC</v>
          </cell>
          <cell r="D527" t="str">
            <v>N</v>
          </cell>
          <cell r="E527" t="str">
            <v>C</v>
          </cell>
          <cell r="F527" t="str">
            <v>12/03/2001</v>
          </cell>
        </row>
        <row r="528">
          <cell r="B528" t="str">
            <v>12525</v>
          </cell>
          <cell r="C528" t="str">
            <v>UEC</v>
          </cell>
          <cell r="D528" t="str">
            <v>N</v>
          </cell>
          <cell r="E528" t="str">
            <v>A</v>
          </cell>
          <cell r="F528" t="str">
            <v>06/01/2001</v>
          </cell>
        </row>
        <row r="529">
          <cell r="B529" t="str">
            <v>12526</v>
          </cell>
          <cell r="C529" t="str">
            <v>GEN</v>
          </cell>
          <cell r="D529" t="str">
            <v>N</v>
          </cell>
          <cell r="E529" t="str">
            <v>A</v>
          </cell>
          <cell r="F529" t="str">
            <v>06/18/2001</v>
          </cell>
        </row>
        <row r="530">
          <cell r="B530" t="str">
            <v>12527</v>
          </cell>
          <cell r="C530" t="str">
            <v>UEC</v>
          </cell>
          <cell r="D530" t="str">
            <v>N</v>
          </cell>
          <cell r="E530" t="str">
            <v>C</v>
          </cell>
          <cell r="F530" t="str">
            <v>07/16/2001</v>
          </cell>
        </row>
        <row r="531">
          <cell r="B531" t="str">
            <v>12528</v>
          </cell>
          <cell r="C531" t="str">
            <v>UEC</v>
          </cell>
          <cell r="D531" t="str">
            <v>N</v>
          </cell>
          <cell r="E531" t="str">
            <v>C</v>
          </cell>
          <cell r="F531" t="str">
            <v>02/07/2002</v>
          </cell>
        </row>
        <row r="532">
          <cell r="B532" t="str">
            <v>12529</v>
          </cell>
          <cell r="C532" t="str">
            <v>UEC</v>
          </cell>
          <cell r="D532" t="str">
            <v>N</v>
          </cell>
          <cell r="E532" t="str">
            <v>C</v>
          </cell>
          <cell r="F532" t="str">
            <v>07/10/2002</v>
          </cell>
        </row>
        <row r="533">
          <cell r="B533" t="str">
            <v>12532</v>
          </cell>
          <cell r="C533" t="str">
            <v>UEC</v>
          </cell>
          <cell r="D533" t="str">
            <v>N</v>
          </cell>
          <cell r="E533" t="str">
            <v>C</v>
          </cell>
          <cell r="F533" t="str">
            <v>06/13/2001</v>
          </cell>
        </row>
        <row r="534">
          <cell r="B534" t="str">
            <v>12540</v>
          </cell>
          <cell r="C534" t="str">
            <v>UEC</v>
          </cell>
          <cell r="D534" t="str">
            <v>N</v>
          </cell>
          <cell r="E534" t="str">
            <v>C</v>
          </cell>
          <cell r="F534" t="str">
            <v>06/14/2001</v>
          </cell>
        </row>
        <row r="535">
          <cell r="B535" t="str">
            <v>12546</v>
          </cell>
          <cell r="C535" t="str">
            <v>CIP</v>
          </cell>
          <cell r="D535" t="str">
            <v>N</v>
          </cell>
          <cell r="E535" t="str">
            <v>A</v>
          </cell>
          <cell r="F535" t="str">
            <v>06/19/2001</v>
          </cell>
        </row>
        <row r="536">
          <cell r="B536" t="str">
            <v>12548</v>
          </cell>
          <cell r="C536" t="str">
            <v>UEC</v>
          </cell>
          <cell r="D536" t="str">
            <v>N</v>
          </cell>
          <cell r="E536" t="str">
            <v>A</v>
          </cell>
          <cell r="F536" t="str">
            <v>06/19/2001</v>
          </cell>
        </row>
        <row r="537">
          <cell r="B537" t="str">
            <v>12562</v>
          </cell>
          <cell r="C537" t="str">
            <v>UEC</v>
          </cell>
          <cell r="D537" t="str">
            <v>N</v>
          </cell>
          <cell r="E537" t="str">
            <v>A</v>
          </cell>
          <cell r="F537" t="str">
            <v>02/20/2003</v>
          </cell>
        </row>
        <row r="538">
          <cell r="B538" t="str">
            <v>12565</v>
          </cell>
          <cell r="C538" t="str">
            <v>UEC</v>
          </cell>
          <cell r="D538" t="str">
            <v>N</v>
          </cell>
          <cell r="E538" t="str">
            <v>A</v>
          </cell>
          <cell r="F538" t="str">
            <v>03/26/2002</v>
          </cell>
        </row>
        <row r="539">
          <cell r="B539" t="str">
            <v>12571</v>
          </cell>
          <cell r="C539" t="str">
            <v>CIP</v>
          </cell>
          <cell r="D539" t="str">
            <v>N</v>
          </cell>
          <cell r="E539" t="str">
            <v>C</v>
          </cell>
          <cell r="F539" t="str">
            <v>06/27/2001</v>
          </cell>
        </row>
        <row r="540">
          <cell r="B540" t="str">
            <v>12582</v>
          </cell>
          <cell r="C540" t="str">
            <v>UEC</v>
          </cell>
          <cell r="D540" t="str">
            <v>N</v>
          </cell>
          <cell r="E540" t="str">
            <v>A</v>
          </cell>
          <cell r="F540" t="str">
            <v>07/02/2001</v>
          </cell>
        </row>
        <row r="541">
          <cell r="B541" t="str">
            <v>12592</v>
          </cell>
          <cell r="C541" t="str">
            <v>UEC</v>
          </cell>
          <cell r="D541" t="str">
            <v>N</v>
          </cell>
          <cell r="E541" t="str">
            <v>C</v>
          </cell>
          <cell r="F541" t="str">
            <v>10/08/2001</v>
          </cell>
        </row>
        <row r="542">
          <cell r="B542" t="str">
            <v>12610</v>
          </cell>
          <cell r="C542" t="str">
            <v>UEC</v>
          </cell>
          <cell r="D542" t="str">
            <v>N</v>
          </cell>
          <cell r="E542" t="str">
            <v>A</v>
          </cell>
          <cell r="F542" t="str">
            <v>09/17/2001</v>
          </cell>
        </row>
        <row r="543">
          <cell r="B543" t="str">
            <v>12611</v>
          </cell>
          <cell r="C543" t="str">
            <v>UEC</v>
          </cell>
          <cell r="D543" t="str">
            <v>N</v>
          </cell>
          <cell r="E543" t="str">
            <v>C</v>
          </cell>
          <cell r="F543" t="str">
            <v>09/17/2001</v>
          </cell>
        </row>
        <row r="544">
          <cell r="B544" t="str">
            <v>12612</v>
          </cell>
          <cell r="C544" t="str">
            <v>UEC</v>
          </cell>
          <cell r="D544" t="str">
            <v>N</v>
          </cell>
          <cell r="E544" t="str">
            <v>C</v>
          </cell>
          <cell r="F544" t="str">
            <v>09/17/2001</v>
          </cell>
        </row>
        <row r="545">
          <cell r="B545" t="str">
            <v>12618</v>
          </cell>
          <cell r="C545" t="str">
            <v>UEC</v>
          </cell>
          <cell r="D545" t="str">
            <v>N</v>
          </cell>
          <cell r="E545" t="str">
            <v>A</v>
          </cell>
          <cell r="F545" t="str">
            <v>07/27/2001</v>
          </cell>
        </row>
        <row r="546">
          <cell r="B546" t="str">
            <v>12627</v>
          </cell>
          <cell r="C546" t="str">
            <v>UEC</v>
          </cell>
          <cell r="D546" t="str">
            <v>N</v>
          </cell>
          <cell r="E546" t="str">
            <v>C</v>
          </cell>
          <cell r="F546" t="str">
            <v>07/15/2002</v>
          </cell>
        </row>
        <row r="547">
          <cell r="B547" t="str">
            <v>12635</v>
          </cell>
          <cell r="C547" t="str">
            <v>UEC</v>
          </cell>
          <cell r="D547" t="str">
            <v>N</v>
          </cell>
          <cell r="E547" t="str">
            <v>A</v>
          </cell>
          <cell r="F547" t="str">
            <v>08/03/2001</v>
          </cell>
        </row>
        <row r="548">
          <cell r="B548" t="str">
            <v>12637</v>
          </cell>
          <cell r="C548" t="str">
            <v>UEC</v>
          </cell>
          <cell r="D548" t="str">
            <v>N</v>
          </cell>
          <cell r="E548" t="str">
            <v>A</v>
          </cell>
          <cell r="F548" t="str">
            <v>08/09/2001</v>
          </cell>
        </row>
        <row r="549">
          <cell r="B549" t="str">
            <v>12640</v>
          </cell>
          <cell r="C549" t="str">
            <v>UEC</v>
          </cell>
          <cell r="D549" t="str">
            <v>N</v>
          </cell>
          <cell r="E549" t="str">
            <v>C</v>
          </cell>
          <cell r="F549" t="str">
            <v>12/04/2001</v>
          </cell>
        </row>
        <row r="550">
          <cell r="B550" t="str">
            <v>12643</v>
          </cell>
          <cell r="C550" t="str">
            <v>UEC</v>
          </cell>
          <cell r="D550" t="str">
            <v>N</v>
          </cell>
          <cell r="E550" t="str">
            <v>A</v>
          </cell>
          <cell r="F550" t="str">
            <v>11/29/2001</v>
          </cell>
        </row>
        <row r="551">
          <cell r="B551" t="str">
            <v>12645</v>
          </cell>
          <cell r="C551" t="str">
            <v>UEC</v>
          </cell>
          <cell r="D551" t="str">
            <v>N</v>
          </cell>
          <cell r="E551" t="str">
            <v>A</v>
          </cell>
          <cell r="F551" t="str">
            <v>03/27/2003</v>
          </cell>
        </row>
        <row r="552">
          <cell r="B552" t="str">
            <v>12676</v>
          </cell>
          <cell r="C552" t="str">
            <v>CIP</v>
          </cell>
          <cell r="D552" t="str">
            <v>N</v>
          </cell>
          <cell r="E552" t="str">
            <v>A</v>
          </cell>
          <cell r="F552" t="str">
            <v>09/18/2001</v>
          </cell>
        </row>
        <row r="553">
          <cell r="B553" t="str">
            <v>12680</v>
          </cell>
          <cell r="C553" t="str">
            <v>CIP</v>
          </cell>
          <cell r="D553" t="str">
            <v>N</v>
          </cell>
          <cell r="E553" t="str">
            <v>A</v>
          </cell>
          <cell r="F553" t="str">
            <v>10/02/2001</v>
          </cell>
        </row>
        <row r="554">
          <cell r="B554" t="str">
            <v>12682</v>
          </cell>
          <cell r="C554" t="str">
            <v>UEC</v>
          </cell>
          <cell r="D554" t="str">
            <v>N</v>
          </cell>
          <cell r="E554" t="str">
            <v>C</v>
          </cell>
          <cell r="F554" t="str">
            <v>02/05/2002</v>
          </cell>
        </row>
        <row r="555">
          <cell r="B555" t="str">
            <v>12683</v>
          </cell>
          <cell r="C555" t="str">
            <v>UEC</v>
          </cell>
          <cell r="D555" t="str">
            <v>N</v>
          </cell>
          <cell r="E555" t="str">
            <v>A</v>
          </cell>
          <cell r="F555" t="str">
            <v>08/30/2001</v>
          </cell>
        </row>
        <row r="556">
          <cell r="B556" t="str">
            <v>12684</v>
          </cell>
          <cell r="C556" t="str">
            <v>UEC</v>
          </cell>
          <cell r="D556" t="str">
            <v>N</v>
          </cell>
          <cell r="E556" t="str">
            <v>A</v>
          </cell>
          <cell r="F556" t="str">
            <v>12/20/2001</v>
          </cell>
        </row>
        <row r="557">
          <cell r="B557" t="str">
            <v>12687</v>
          </cell>
          <cell r="C557" t="str">
            <v>UEC</v>
          </cell>
          <cell r="D557" t="str">
            <v>N</v>
          </cell>
          <cell r="E557" t="str">
            <v>C</v>
          </cell>
          <cell r="F557" t="str">
            <v>08/28/2003</v>
          </cell>
        </row>
        <row r="558">
          <cell r="B558" t="str">
            <v>12689</v>
          </cell>
          <cell r="C558" t="str">
            <v>UEC</v>
          </cell>
          <cell r="D558" t="str">
            <v>N</v>
          </cell>
          <cell r="E558" t="str">
            <v>A</v>
          </cell>
          <cell r="F558" t="str">
            <v>11/14/2001</v>
          </cell>
        </row>
        <row r="559">
          <cell r="B559" t="str">
            <v>12692</v>
          </cell>
          <cell r="C559" t="str">
            <v>UEC</v>
          </cell>
          <cell r="D559" t="str">
            <v>N</v>
          </cell>
          <cell r="E559" t="str">
            <v>C</v>
          </cell>
          <cell r="F559" t="str">
            <v>07/30/2002</v>
          </cell>
        </row>
        <row r="560">
          <cell r="B560" t="str">
            <v>12701</v>
          </cell>
          <cell r="C560" t="str">
            <v>UEC</v>
          </cell>
          <cell r="D560" t="str">
            <v>N</v>
          </cell>
          <cell r="E560" t="str">
            <v>A</v>
          </cell>
          <cell r="F560" t="str">
            <v>07/16/2003</v>
          </cell>
        </row>
        <row r="561">
          <cell r="B561" t="str">
            <v>12705</v>
          </cell>
          <cell r="C561" t="str">
            <v>UEC</v>
          </cell>
          <cell r="D561" t="str">
            <v>N</v>
          </cell>
          <cell r="E561" t="str">
            <v>A</v>
          </cell>
          <cell r="F561" t="str">
            <v>04/21/2003</v>
          </cell>
        </row>
        <row r="562">
          <cell r="B562" t="str">
            <v>12707</v>
          </cell>
          <cell r="C562" t="str">
            <v>UEC</v>
          </cell>
          <cell r="D562" t="str">
            <v>N</v>
          </cell>
          <cell r="E562" t="str">
            <v>A</v>
          </cell>
          <cell r="F562" t="str">
            <v>04/03/2003</v>
          </cell>
        </row>
        <row r="563">
          <cell r="B563" t="str">
            <v>12711</v>
          </cell>
          <cell r="C563" t="str">
            <v>UEC</v>
          </cell>
          <cell r="D563" t="str">
            <v>N</v>
          </cell>
          <cell r="E563" t="str">
            <v>A</v>
          </cell>
          <cell r="F563" t="str">
            <v>12/19/2001</v>
          </cell>
        </row>
        <row r="564">
          <cell r="B564" t="str">
            <v>12712</v>
          </cell>
          <cell r="C564" t="str">
            <v>UEC</v>
          </cell>
          <cell r="D564" t="str">
            <v>N</v>
          </cell>
          <cell r="E564" t="str">
            <v>C</v>
          </cell>
          <cell r="F564" t="str">
            <v>03/13/2003</v>
          </cell>
        </row>
        <row r="565">
          <cell r="B565" t="str">
            <v>12714</v>
          </cell>
          <cell r="C565" t="str">
            <v>UEC</v>
          </cell>
          <cell r="D565" t="str">
            <v>N</v>
          </cell>
          <cell r="E565" t="str">
            <v>A</v>
          </cell>
          <cell r="F565" t="str">
            <v>09/04/2001</v>
          </cell>
        </row>
        <row r="566">
          <cell r="B566" t="str">
            <v>12720</v>
          </cell>
          <cell r="C566" t="str">
            <v>UEC</v>
          </cell>
          <cell r="D566" t="str">
            <v>N</v>
          </cell>
          <cell r="E566" t="str">
            <v>C</v>
          </cell>
          <cell r="F566" t="str">
            <v>08/23/2001</v>
          </cell>
        </row>
        <row r="567">
          <cell r="B567" t="str">
            <v>12726</v>
          </cell>
          <cell r="C567" t="str">
            <v>UEC</v>
          </cell>
          <cell r="D567" t="str">
            <v>N</v>
          </cell>
          <cell r="E567" t="str">
            <v>C</v>
          </cell>
          <cell r="F567" t="str">
            <v>04/01/2002</v>
          </cell>
        </row>
        <row r="568">
          <cell r="B568" t="str">
            <v>12729</v>
          </cell>
          <cell r="C568" t="str">
            <v>UEC</v>
          </cell>
          <cell r="D568" t="str">
            <v>N</v>
          </cell>
          <cell r="E568" t="str">
            <v>A</v>
          </cell>
          <cell r="F568" t="str">
            <v>03/17/2003</v>
          </cell>
        </row>
        <row r="569">
          <cell r="B569" t="str">
            <v>12739</v>
          </cell>
          <cell r="C569" t="str">
            <v>UEC</v>
          </cell>
          <cell r="D569" t="str">
            <v>N</v>
          </cell>
          <cell r="E569" t="str">
            <v>C</v>
          </cell>
          <cell r="F569" t="str">
            <v>09/30/2002</v>
          </cell>
        </row>
        <row r="570">
          <cell r="B570" t="str">
            <v>12743</v>
          </cell>
          <cell r="C570" t="str">
            <v>UEC</v>
          </cell>
          <cell r="D570" t="str">
            <v>N</v>
          </cell>
          <cell r="E570" t="str">
            <v>C</v>
          </cell>
          <cell r="F570" t="str">
            <v>05/02/2002</v>
          </cell>
        </row>
        <row r="571">
          <cell r="B571" t="str">
            <v>12744</v>
          </cell>
          <cell r="C571" t="str">
            <v>UEC</v>
          </cell>
          <cell r="D571" t="str">
            <v>N</v>
          </cell>
          <cell r="E571" t="str">
            <v>A</v>
          </cell>
          <cell r="F571" t="str">
            <v>02/11/2002</v>
          </cell>
        </row>
        <row r="572">
          <cell r="B572" t="str">
            <v>12746</v>
          </cell>
          <cell r="C572" t="str">
            <v>CIP</v>
          </cell>
          <cell r="D572" t="str">
            <v>N</v>
          </cell>
          <cell r="E572" t="str">
            <v>A</v>
          </cell>
          <cell r="F572" t="str">
            <v>10/29/2001</v>
          </cell>
        </row>
        <row r="573">
          <cell r="B573" t="str">
            <v>12755</v>
          </cell>
          <cell r="C573" t="str">
            <v>CIP</v>
          </cell>
          <cell r="D573" t="str">
            <v>N</v>
          </cell>
          <cell r="E573" t="str">
            <v>C</v>
          </cell>
          <cell r="F573" t="str">
            <v>01/11/2002</v>
          </cell>
        </row>
        <row r="574">
          <cell r="B574" t="str">
            <v>12758</v>
          </cell>
          <cell r="C574" t="str">
            <v>UEC</v>
          </cell>
          <cell r="D574" t="str">
            <v>N</v>
          </cell>
          <cell r="E574" t="str">
            <v>C</v>
          </cell>
          <cell r="F574" t="str">
            <v>11/14/2001</v>
          </cell>
        </row>
        <row r="575">
          <cell r="B575" t="str">
            <v>12767</v>
          </cell>
          <cell r="C575" t="str">
            <v>UEC</v>
          </cell>
          <cell r="D575" t="str">
            <v>N</v>
          </cell>
          <cell r="E575" t="str">
            <v>C</v>
          </cell>
          <cell r="F575" t="str">
            <v>08/15/2002</v>
          </cell>
        </row>
        <row r="576">
          <cell r="B576" t="str">
            <v>12768</v>
          </cell>
          <cell r="C576" t="str">
            <v>UEC</v>
          </cell>
          <cell r="D576" t="str">
            <v>N</v>
          </cell>
          <cell r="E576" t="str">
            <v>A</v>
          </cell>
          <cell r="F576" t="str">
            <v>06/10/2002</v>
          </cell>
        </row>
        <row r="577">
          <cell r="B577" t="str">
            <v>12770</v>
          </cell>
          <cell r="C577" t="str">
            <v>UEC</v>
          </cell>
          <cell r="D577" t="str">
            <v>N</v>
          </cell>
          <cell r="E577" t="str">
            <v>C</v>
          </cell>
          <cell r="F577" t="str">
            <v>09/10/2002</v>
          </cell>
        </row>
        <row r="578">
          <cell r="B578" t="str">
            <v>12771</v>
          </cell>
          <cell r="C578" t="str">
            <v>UEC</v>
          </cell>
          <cell r="D578" t="str">
            <v>N</v>
          </cell>
          <cell r="E578" t="str">
            <v>A</v>
          </cell>
          <cell r="F578" t="str">
            <v>04/15/2003</v>
          </cell>
        </row>
        <row r="579">
          <cell r="B579" t="str">
            <v>12775</v>
          </cell>
          <cell r="C579" t="str">
            <v>UEC</v>
          </cell>
          <cell r="D579" t="str">
            <v>N</v>
          </cell>
          <cell r="E579" t="str">
            <v>A</v>
          </cell>
          <cell r="F579" t="str">
            <v>09/30/2002</v>
          </cell>
        </row>
        <row r="580">
          <cell r="B580" t="str">
            <v>12787</v>
          </cell>
          <cell r="C580" t="str">
            <v>UEC</v>
          </cell>
          <cell r="D580" t="str">
            <v>N</v>
          </cell>
          <cell r="E580" t="str">
            <v>A</v>
          </cell>
          <cell r="F580" t="str">
            <v>08/14/2003</v>
          </cell>
        </row>
        <row r="581">
          <cell r="B581" t="str">
            <v>12788</v>
          </cell>
          <cell r="C581" t="str">
            <v>UEC</v>
          </cell>
          <cell r="D581" t="str">
            <v>N</v>
          </cell>
          <cell r="E581" t="str">
            <v>C</v>
          </cell>
          <cell r="F581" t="str">
            <v>12/28/2001</v>
          </cell>
        </row>
        <row r="582">
          <cell r="B582" t="str">
            <v>12791</v>
          </cell>
          <cell r="C582" t="str">
            <v>UEC</v>
          </cell>
          <cell r="D582" t="str">
            <v>N</v>
          </cell>
          <cell r="E582" t="str">
            <v>C</v>
          </cell>
          <cell r="F582" t="str">
            <v>02/28/2002</v>
          </cell>
        </row>
        <row r="583">
          <cell r="B583" t="str">
            <v>12792</v>
          </cell>
          <cell r="C583" t="str">
            <v>UEC</v>
          </cell>
          <cell r="D583" t="str">
            <v>N</v>
          </cell>
          <cell r="E583" t="str">
            <v>C</v>
          </cell>
          <cell r="F583" t="str">
            <v>07/26/2002</v>
          </cell>
        </row>
        <row r="584">
          <cell r="B584" t="str">
            <v>12794</v>
          </cell>
          <cell r="C584" t="str">
            <v>UEC</v>
          </cell>
          <cell r="D584" t="str">
            <v>N</v>
          </cell>
          <cell r="E584" t="str">
            <v>C</v>
          </cell>
          <cell r="F584" t="str">
            <v>10/26/2001</v>
          </cell>
        </row>
        <row r="585">
          <cell r="B585" t="str">
            <v>12795</v>
          </cell>
          <cell r="C585" t="str">
            <v>UEC</v>
          </cell>
          <cell r="D585" t="str">
            <v>N</v>
          </cell>
          <cell r="E585" t="str">
            <v>A</v>
          </cell>
          <cell r="F585" t="str">
            <v>05/10/2002</v>
          </cell>
        </row>
        <row r="586">
          <cell r="B586" t="str">
            <v>12798</v>
          </cell>
          <cell r="C586" t="str">
            <v>UEC</v>
          </cell>
          <cell r="D586" t="str">
            <v>N</v>
          </cell>
          <cell r="E586" t="str">
            <v>C</v>
          </cell>
          <cell r="F586" t="str">
            <v>09/04/2001</v>
          </cell>
        </row>
        <row r="587">
          <cell r="B587" t="str">
            <v>12803</v>
          </cell>
          <cell r="C587" t="str">
            <v>CIP</v>
          </cell>
          <cell r="D587" t="str">
            <v>N</v>
          </cell>
          <cell r="E587" t="str">
            <v>A</v>
          </cell>
          <cell r="F587" t="str">
            <v>07/19/2002</v>
          </cell>
        </row>
        <row r="588">
          <cell r="B588" t="str">
            <v>12810</v>
          </cell>
          <cell r="C588" t="str">
            <v>UEC</v>
          </cell>
          <cell r="D588" t="str">
            <v>N</v>
          </cell>
          <cell r="E588" t="str">
            <v>A</v>
          </cell>
          <cell r="F588" t="str">
            <v>09/10/2001</v>
          </cell>
        </row>
        <row r="589">
          <cell r="B589" t="str">
            <v>12813</v>
          </cell>
          <cell r="C589" t="str">
            <v>UEC</v>
          </cell>
          <cell r="D589" t="str">
            <v>N</v>
          </cell>
          <cell r="E589" t="str">
            <v>A</v>
          </cell>
          <cell r="F589" t="str">
            <v>09/24/2001</v>
          </cell>
        </row>
        <row r="590">
          <cell r="B590" t="str">
            <v>12816</v>
          </cell>
          <cell r="C590" t="str">
            <v>UEC</v>
          </cell>
          <cell r="D590" t="str">
            <v>N</v>
          </cell>
          <cell r="E590" t="str">
            <v>A</v>
          </cell>
          <cell r="F590" t="str">
            <v>06/14/2002</v>
          </cell>
        </row>
        <row r="591">
          <cell r="B591" t="str">
            <v>12819</v>
          </cell>
          <cell r="C591" t="str">
            <v>UEC</v>
          </cell>
          <cell r="D591" t="str">
            <v>N</v>
          </cell>
          <cell r="E591" t="str">
            <v>A</v>
          </cell>
          <cell r="F591" t="str">
            <v>11/13/2001</v>
          </cell>
        </row>
        <row r="592">
          <cell r="B592" t="str">
            <v>12822</v>
          </cell>
          <cell r="C592" t="str">
            <v>UEC</v>
          </cell>
          <cell r="D592" t="str">
            <v>N</v>
          </cell>
          <cell r="E592" t="str">
            <v>C</v>
          </cell>
          <cell r="F592" t="str">
            <v>12/05/2001</v>
          </cell>
        </row>
        <row r="593">
          <cell r="B593" t="str">
            <v>12824</v>
          </cell>
          <cell r="C593" t="str">
            <v>UEC</v>
          </cell>
          <cell r="D593" t="str">
            <v>N</v>
          </cell>
          <cell r="E593" t="str">
            <v>C</v>
          </cell>
          <cell r="F593" t="str">
            <v>04/19/2002</v>
          </cell>
        </row>
        <row r="594">
          <cell r="B594" t="str">
            <v>12826</v>
          </cell>
          <cell r="C594" t="str">
            <v>UEC</v>
          </cell>
          <cell r="D594" t="str">
            <v>N</v>
          </cell>
          <cell r="E594" t="str">
            <v>C</v>
          </cell>
          <cell r="F594" t="str">
            <v>08/15/2002</v>
          </cell>
        </row>
        <row r="595">
          <cell r="B595" t="str">
            <v>12831</v>
          </cell>
          <cell r="C595" t="str">
            <v>UEC</v>
          </cell>
          <cell r="D595" t="str">
            <v>N</v>
          </cell>
          <cell r="E595" t="str">
            <v>C</v>
          </cell>
          <cell r="F595" t="str">
            <v>03/27/2002</v>
          </cell>
        </row>
        <row r="596">
          <cell r="B596" t="str">
            <v>12839</v>
          </cell>
          <cell r="C596" t="str">
            <v>UEC</v>
          </cell>
          <cell r="D596" t="str">
            <v>N</v>
          </cell>
          <cell r="E596" t="str">
            <v>A</v>
          </cell>
          <cell r="F596" t="str">
            <v>12/31/2001</v>
          </cell>
        </row>
        <row r="597">
          <cell r="B597" t="str">
            <v>12846</v>
          </cell>
          <cell r="C597" t="str">
            <v>UEC</v>
          </cell>
          <cell r="D597" t="str">
            <v>N</v>
          </cell>
          <cell r="E597" t="str">
            <v>C</v>
          </cell>
          <cell r="F597" t="str">
            <v>08/07/2002</v>
          </cell>
        </row>
        <row r="598">
          <cell r="B598" t="str">
            <v>12848</v>
          </cell>
          <cell r="C598" t="str">
            <v>UEC</v>
          </cell>
          <cell r="D598" t="str">
            <v>N</v>
          </cell>
          <cell r="E598" t="str">
            <v>A</v>
          </cell>
          <cell r="F598" t="str">
            <v>08/20/2001</v>
          </cell>
        </row>
        <row r="599">
          <cell r="B599" t="str">
            <v>12849</v>
          </cell>
          <cell r="C599" t="str">
            <v>UEC</v>
          </cell>
          <cell r="D599" t="str">
            <v>N</v>
          </cell>
          <cell r="E599" t="str">
            <v>A</v>
          </cell>
          <cell r="F599" t="str">
            <v>08/20/2001</v>
          </cell>
        </row>
        <row r="600">
          <cell r="B600" t="str">
            <v>12853</v>
          </cell>
          <cell r="C600" t="str">
            <v>UEC</v>
          </cell>
          <cell r="D600" t="str">
            <v>N</v>
          </cell>
          <cell r="E600" t="str">
            <v>A</v>
          </cell>
          <cell r="F600" t="str">
            <v>12/07/2001</v>
          </cell>
        </row>
        <row r="601">
          <cell r="B601" t="str">
            <v>12855</v>
          </cell>
          <cell r="C601" t="str">
            <v>UEC</v>
          </cell>
          <cell r="D601" t="str">
            <v>N</v>
          </cell>
          <cell r="E601" t="str">
            <v>C</v>
          </cell>
          <cell r="F601" t="str">
            <v>04/10/2002</v>
          </cell>
        </row>
        <row r="602">
          <cell r="B602" t="str">
            <v>12856</v>
          </cell>
          <cell r="C602" t="str">
            <v>UEC</v>
          </cell>
          <cell r="D602" t="str">
            <v>N</v>
          </cell>
          <cell r="E602" t="str">
            <v>C</v>
          </cell>
          <cell r="F602" t="str">
            <v>10/23/2001</v>
          </cell>
        </row>
        <row r="603">
          <cell r="B603" t="str">
            <v>12857</v>
          </cell>
          <cell r="C603" t="str">
            <v>UEC</v>
          </cell>
          <cell r="D603" t="str">
            <v>N</v>
          </cell>
          <cell r="E603" t="str">
            <v>C</v>
          </cell>
          <cell r="F603" t="str">
            <v>07/23/2002</v>
          </cell>
        </row>
        <row r="604">
          <cell r="B604" t="str">
            <v>12858</v>
          </cell>
          <cell r="C604" t="str">
            <v>UEC</v>
          </cell>
          <cell r="D604" t="str">
            <v>N</v>
          </cell>
          <cell r="E604" t="str">
            <v>C</v>
          </cell>
          <cell r="F604" t="str">
            <v>01/18/2002</v>
          </cell>
        </row>
        <row r="605">
          <cell r="B605" t="str">
            <v>12859</v>
          </cell>
          <cell r="C605" t="str">
            <v>UEC</v>
          </cell>
          <cell r="D605" t="str">
            <v>N</v>
          </cell>
          <cell r="E605" t="str">
            <v>C</v>
          </cell>
          <cell r="F605" t="str">
            <v>07/26/2002</v>
          </cell>
        </row>
        <row r="606">
          <cell r="B606" t="str">
            <v>12860</v>
          </cell>
          <cell r="C606" t="str">
            <v>UEC</v>
          </cell>
          <cell r="D606" t="str">
            <v>N</v>
          </cell>
          <cell r="E606" t="str">
            <v>A</v>
          </cell>
          <cell r="F606" t="str">
            <v>01/24/2002</v>
          </cell>
        </row>
        <row r="607">
          <cell r="B607" t="str">
            <v>12861</v>
          </cell>
          <cell r="C607" t="str">
            <v>UEC</v>
          </cell>
          <cell r="D607" t="str">
            <v>N</v>
          </cell>
          <cell r="E607" t="str">
            <v>A</v>
          </cell>
          <cell r="F607" t="str">
            <v>09/10/2002</v>
          </cell>
        </row>
        <row r="608">
          <cell r="B608" t="str">
            <v>12862</v>
          </cell>
          <cell r="C608" t="str">
            <v>UEC</v>
          </cell>
          <cell r="D608" t="str">
            <v>N</v>
          </cell>
          <cell r="E608" t="str">
            <v>A</v>
          </cell>
          <cell r="F608" t="str">
            <v>09/11/2002</v>
          </cell>
        </row>
        <row r="609">
          <cell r="B609" t="str">
            <v>12863</v>
          </cell>
          <cell r="C609" t="str">
            <v>UEC</v>
          </cell>
          <cell r="D609" t="str">
            <v>N</v>
          </cell>
          <cell r="E609" t="str">
            <v>C</v>
          </cell>
          <cell r="F609" t="str">
            <v>01/24/2002</v>
          </cell>
        </row>
        <row r="610">
          <cell r="B610" t="str">
            <v>12864</v>
          </cell>
          <cell r="C610" t="str">
            <v>UEC</v>
          </cell>
          <cell r="D610" t="str">
            <v>N</v>
          </cell>
          <cell r="E610" t="str">
            <v>A</v>
          </cell>
          <cell r="F610" t="str">
            <v>02/19/2003</v>
          </cell>
        </row>
        <row r="611">
          <cell r="B611" t="str">
            <v>12865</v>
          </cell>
          <cell r="C611" t="str">
            <v>UEC</v>
          </cell>
          <cell r="D611" t="str">
            <v>N</v>
          </cell>
          <cell r="E611" t="str">
            <v>A</v>
          </cell>
          <cell r="F611" t="str">
            <v>06/05/2003</v>
          </cell>
        </row>
        <row r="612">
          <cell r="B612" t="str">
            <v>12871</v>
          </cell>
          <cell r="C612" t="str">
            <v>UEC</v>
          </cell>
          <cell r="D612" t="str">
            <v>N</v>
          </cell>
          <cell r="E612" t="str">
            <v>C</v>
          </cell>
          <cell r="F612" t="str">
            <v>04/16/2002</v>
          </cell>
        </row>
        <row r="613">
          <cell r="B613" t="str">
            <v>12878</v>
          </cell>
          <cell r="C613" t="str">
            <v>CIP</v>
          </cell>
          <cell r="D613" t="str">
            <v>N</v>
          </cell>
          <cell r="E613" t="str">
            <v>A</v>
          </cell>
          <cell r="F613" t="str">
            <v>09/11/2003</v>
          </cell>
        </row>
        <row r="614">
          <cell r="B614" t="str">
            <v>12881</v>
          </cell>
          <cell r="C614" t="str">
            <v>UEC</v>
          </cell>
          <cell r="D614" t="str">
            <v>N</v>
          </cell>
          <cell r="E614" t="str">
            <v>C</v>
          </cell>
          <cell r="F614" t="str">
            <v>08/24/2001</v>
          </cell>
        </row>
        <row r="615">
          <cell r="B615" t="str">
            <v>12884</v>
          </cell>
          <cell r="C615" t="str">
            <v>UEC</v>
          </cell>
          <cell r="D615" t="str">
            <v>N</v>
          </cell>
          <cell r="E615" t="str">
            <v>C</v>
          </cell>
          <cell r="F615" t="str">
            <v>02/05/2002</v>
          </cell>
        </row>
        <row r="616">
          <cell r="B616" t="str">
            <v>12891</v>
          </cell>
          <cell r="C616" t="str">
            <v>UEC</v>
          </cell>
          <cell r="D616" t="str">
            <v>N</v>
          </cell>
          <cell r="E616" t="str">
            <v>A</v>
          </cell>
          <cell r="F616" t="str">
            <v>06/06/2002</v>
          </cell>
        </row>
        <row r="617">
          <cell r="B617" t="str">
            <v>12892</v>
          </cell>
          <cell r="C617" t="str">
            <v>UEC</v>
          </cell>
          <cell r="D617" t="str">
            <v>N</v>
          </cell>
          <cell r="E617" t="str">
            <v>C</v>
          </cell>
          <cell r="F617" t="str">
            <v>01/02/2002</v>
          </cell>
        </row>
        <row r="618">
          <cell r="B618" t="str">
            <v>12893</v>
          </cell>
          <cell r="C618" t="str">
            <v>UEC</v>
          </cell>
          <cell r="D618" t="str">
            <v>N</v>
          </cell>
          <cell r="E618" t="str">
            <v>A</v>
          </cell>
          <cell r="F618" t="str">
            <v>06/13/2002</v>
          </cell>
        </row>
        <row r="619">
          <cell r="B619" t="str">
            <v>12895</v>
          </cell>
          <cell r="C619" t="str">
            <v>UEC</v>
          </cell>
          <cell r="D619" t="str">
            <v>N</v>
          </cell>
          <cell r="E619" t="str">
            <v>A</v>
          </cell>
          <cell r="F619" t="str">
            <v>06/13/2002</v>
          </cell>
        </row>
        <row r="620">
          <cell r="B620" t="str">
            <v>12896</v>
          </cell>
          <cell r="C620" t="str">
            <v>UEC</v>
          </cell>
          <cell r="D620" t="str">
            <v>N</v>
          </cell>
          <cell r="E620" t="str">
            <v>A</v>
          </cell>
          <cell r="F620" t="str">
            <v>06/13/2002</v>
          </cell>
        </row>
        <row r="621">
          <cell r="B621" t="str">
            <v>12900</v>
          </cell>
          <cell r="C621" t="str">
            <v>UEC</v>
          </cell>
          <cell r="D621" t="str">
            <v>N</v>
          </cell>
          <cell r="E621" t="str">
            <v>A</v>
          </cell>
          <cell r="F621" t="str">
            <v>01/31/2002</v>
          </cell>
        </row>
        <row r="622">
          <cell r="B622" t="str">
            <v>12905</v>
          </cell>
          <cell r="C622" t="str">
            <v>UEC</v>
          </cell>
          <cell r="D622" t="str">
            <v>N</v>
          </cell>
          <cell r="E622" t="str">
            <v>A</v>
          </cell>
          <cell r="F622" t="str">
            <v>09/22/2003</v>
          </cell>
        </row>
        <row r="623">
          <cell r="B623" t="str">
            <v>12909</v>
          </cell>
          <cell r="C623" t="str">
            <v>UEC</v>
          </cell>
          <cell r="D623" t="str">
            <v>N</v>
          </cell>
          <cell r="E623" t="str">
            <v>C</v>
          </cell>
          <cell r="F623" t="str">
            <v>02/21/2002</v>
          </cell>
        </row>
        <row r="624">
          <cell r="B624" t="str">
            <v>12917</v>
          </cell>
          <cell r="C624" t="str">
            <v>UEC</v>
          </cell>
          <cell r="D624" t="str">
            <v>N</v>
          </cell>
          <cell r="E624" t="str">
            <v>A</v>
          </cell>
          <cell r="F624" t="str">
            <v>03/31/2003</v>
          </cell>
        </row>
        <row r="625">
          <cell r="B625" t="str">
            <v>12932</v>
          </cell>
          <cell r="C625" t="str">
            <v>UEC</v>
          </cell>
          <cell r="D625" t="str">
            <v>N</v>
          </cell>
          <cell r="E625" t="str">
            <v>A</v>
          </cell>
          <cell r="F625" t="str">
            <v>05/29/2003</v>
          </cell>
        </row>
        <row r="626">
          <cell r="B626" t="str">
            <v>12942</v>
          </cell>
          <cell r="C626" t="str">
            <v>UEC</v>
          </cell>
          <cell r="D626" t="str">
            <v>N</v>
          </cell>
          <cell r="E626" t="str">
            <v>A</v>
          </cell>
          <cell r="F626" t="str">
            <v>05/01/2002</v>
          </cell>
        </row>
        <row r="627">
          <cell r="B627" t="str">
            <v>12947</v>
          </cell>
          <cell r="C627" t="str">
            <v>UEC</v>
          </cell>
          <cell r="D627" t="str">
            <v>N</v>
          </cell>
          <cell r="E627" t="str">
            <v>A</v>
          </cell>
          <cell r="F627" t="str">
            <v>09/16/2002</v>
          </cell>
        </row>
        <row r="628">
          <cell r="B628" t="str">
            <v>12948</v>
          </cell>
          <cell r="C628" t="str">
            <v>UEC</v>
          </cell>
          <cell r="D628" t="str">
            <v>N</v>
          </cell>
          <cell r="E628" t="str">
            <v>A</v>
          </cell>
          <cell r="F628" t="str">
            <v>12/20/2001</v>
          </cell>
        </row>
        <row r="629">
          <cell r="B629" t="str">
            <v>12949</v>
          </cell>
          <cell r="C629" t="str">
            <v>UEC</v>
          </cell>
          <cell r="D629" t="str">
            <v>N</v>
          </cell>
          <cell r="E629" t="str">
            <v>C</v>
          </cell>
          <cell r="F629" t="str">
            <v>09/16/2002</v>
          </cell>
        </row>
        <row r="630">
          <cell r="B630" t="str">
            <v>12950</v>
          </cell>
          <cell r="C630" t="str">
            <v>UEC</v>
          </cell>
          <cell r="D630" t="str">
            <v>N</v>
          </cell>
          <cell r="E630" t="str">
            <v>A</v>
          </cell>
          <cell r="F630" t="str">
            <v>04/09/2002</v>
          </cell>
        </row>
        <row r="631">
          <cell r="B631" t="str">
            <v>12952</v>
          </cell>
          <cell r="C631" t="str">
            <v>UEC</v>
          </cell>
          <cell r="D631" t="str">
            <v>N</v>
          </cell>
          <cell r="E631" t="str">
            <v>A</v>
          </cell>
          <cell r="F631" t="str">
            <v>08/13/2002</v>
          </cell>
        </row>
        <row r="632">
          <cell r="B632" t="str">
            <v>12954</v>
          </cell>
          <cell r="C632" t="str">
            <v>UEC</v>
          </cell>
          <cell r="D632" t="str">
            <v>N</v>
          </cell>
          <cell r="E632" t="str">
            <v>A</v>
          </cell>
          <cell r="F632" t="str">
            <v>02/26/2002</v>
          </cell>
        </row>
        <row r="633">
          <cell r="B633" t="str">
            <v>12955</v>
          </cell>
          <cell r="C633" t="str">
            <v>UEC</v>
          </cell>
          <cell r="D633" t="str">
            <v>N</v>
          </cell>
          <cell r="E633" t="str">
            <v>A</v>
          </cell>
          <cell r="F633" t="str">
            <v>09/30/2003</v>
          </cell>
        </row>
        <row r="634">
          <cell r="B634" t="str">
            <v>12964</v>
          </cell>
          <cell r="C634" t="str">
            <v>UEC</v>
          </cell>
          <cell r="D634" t="str">
            <v>N</v>
          </cell>
          <cell r="E634" t="str">
            <v>A</v>
          </cell>
          <cell r="F634" t="str">
            <v>12/27/2001</v>
          </cell>
        </row>
        <row r="635">
          <cell r="B635" t="str">
            <v>12973</v>
          </cell>
          <cell r="C635" t="str">
            <v>UEC</v>
          </cell>
          <cell r="D635" t="str">
            <v>N</v>
          </cell>
          <cell r="E635" t="str">
            <v>A</v>
          </cell>
          <cell r="F635" t="str">
            <v>01/15/2004</v>
          </cell>
        </row>
        <row r="636">
          <cell r="B636" t="str">
            <v>12976</v>
          </cell>
          <cell r="C636" t="str">
            <v>UEC</v>
          </cell>
          <cell r="D636" t="str">
            <v>N</v>
          </cell>
          <cell r="E636" t="str">
            <v>A</v>
          </cell>
          <cell r="F636" t="str">
            <v>02/06/2003</v>
          </cell>
        </row>
        <row r="637">
          <cell r="B637" t="str">
            <v>12977</v>
          </cell>
          <cell r="C637" t="str">
            <v>UEC</v>
          </cell>
          <cell r="D637" t="str">
            <v>N</v>
          </cell>
          <cell r="E637" t="str">
            <v>A</v>
          </cell>
          <cell r="F637" t="str">
            <v>01/23/2003</v>
          </cell>
        </row>
        <row r="638">
          <cell r="B638" t="str">
            <v>12988</v>
          </cell>
          <cell r="C638" t="str">
            <v>UEC</v>
          </cell>
          <cell r="D638" t="str">
            <v>N</v>
          </cell>
          <cell r="E638" t="str">
            <v>A</v>
          </cell>
          <cell r="F638" t="str">
            <v>06/13/2002</v>
          </cell>
        </row>
        <row r="639">
          <cell r="B639" t="str">
            <v>12989</v>
          </cell>
          <cell r="C639" t="str">
            <v>UEC</v>
          </cell>
          <cell r="D639" t="str">
            <v>N</v>
          </cell>
          <cell r="E639" t="str">
            <v>A</v>
          </cell>
          <cell r="F639" t="str">
            <v>11/26/2001</v>
          </cell>
        </row>
        <row r="640">
          <cell r="B640" t="str">
            <v>12990</v>
          </cell>
          <cell r="C640" t="str">
            <v>UEC</v>
          </cell>
          <cell r="D640" t="str">
            <v>N</v>
          </cell>
          <cell r="E640" t="str">
            <v>A</v>
          </cell>
          <cell r="F640" t="str">
            <v>05/09/2003</v>
          </cell>
        </row>
        <row r="641">
          <cell r="B641" t="str">
            <v>13040</v>
          </cell>
          <cell r="C641" t="str">
            <v>UEC</v>
          </cell>
          <cell r="D641" t="str">
            <v>N</v>
          </cell>
          <cell r="E641" t="str">
            <v>A</v>
          </cell>
          <cell r="F641" t="str">
            <v>01/14/2002</v>
          </cell>
        </row>
        <row r="642">
          <cell r="B642" t="str">
            <v>13041</v>
          </cell>
          <cell r="C642" t="str">
            <v>UEC</v>
          </cell>
          <cell r="D642" t="str">
            <v>N</v>
          </cell>
          <cell r="E642" t="str">
            <v>A</v>
          </cell>
          <cell r="F642" t="str">
            <v>12/27/2001</v>
          </cell>
        </row>
        <row r="643">
          <cell r="B643" t="str">
            <v>13100</v>
          </cell>
          <cell r="C643" t="str">
            <v>ADC</v>
          </cell>
          <cell r="D643" t="str">
            <v>N</v>
          </cell>
          <cell r="E643" t="str">
            <v>A</v>
          </cell>
          <cell r="F643" t="str">
            <v>11/23/2001</v>
          </cell>
        </row>
        <row r="644">
          <cell r="B644" t="str">
            <v>13101</v>
          </cell>
          <cell r="C644" t="str">
            <v>UEC</v>
          </cell>
          <cell r="D644" t="str">
            <v>N</v>
          </cell>
          <cell r="E644" t="str">
            <v>A</v>
          </cell>
          <cell r="F644" t="str">
            <v>09/21/2001</v>
          </cell>
        </row>
        <row r="645">
          <cell r="B645" t="str">
            <v>13102</v>
          </cell>
          <cell r="C645" t="str">
            <v>UEC</v>
          </cell>
          <cell r="D645" t="str">
            <v>N</v>
          </cell>
          <cell r="E645" t="str">
            <v>A</v>
          </cell>
          <cell r="F645" t="str">
            <v>09/21/2001</v>
          </cell>
        </row>
        <row r="646">
          <cell r="B646" t="str">
            <v>13106</v>
          </cell>
          <cell r="C646" t="str">
            <v>CIP</v>
          </cell>
          <cell r="D646" t="str">
            <v>N</v>
          </cell>
          <cell r="E646" t="str">
            <v>C</v>
          </cell>
          <cell r="F646" t="str">
            <v>09/26/2001</v>
          </cell>
        </row>
        <row r="647">
          <cell r="B647" t="str">
            <v>13107</v>
          </cell>
          <cell r="C647" t="str">
            <v>UEC</v>
          </cell>
          <cell r="D647" t="str">
            <v>N</v>
          </cell>
          <cell r="E647" t="str">
            <v>C</v>
          </cell>
          <cell r="F647" t="str">
            <v>09/27/2001</v>
          </cell>
        </row>
        <row r="648">
          <cell r="B648" t="str">
            <v>13108</v>
          </cell>
          <cell r="C648" t="str">
            <v>UEC</v>
          </cell>
          <cell r="D648" t="str">
            <v>N</v>
          </cell>
          <cell r="E648" t="str">
            <v>C</v>
          </cell>
          <cell r="F648" t="str">
            <v>09/28/2001</v>
          </cell>
        </row>
        <row r="649">
          <cell r="B649" t="str">
            <v>13119</v>
          </cell>
          <cell r="C649" t="str">
            <v>UEC</v>
          </cell>
          <cell r="D649" t="str">
            <v>N</v>
          </cell>
          <cell r="E649" t="str">
            <v>C</v>
          </cell>
          <cell r="F649" t="str">
            <v>06/24/2002</v>
          </cell>
        </row>
        <row r="650">
          <cell r="B650" t="str">
            <v>13125</v>
          </cell>
          <cell r="C650" t="str">
            <v>UEC</v>
          </cell>
          <cell r="D650" t="str">
            <v>N</v>
          </cell>
          <cell r="E650" t="str">
            <v>A</v>
          </cell>
          <cell r="F650" t="str">
            <v>10/17/2001</v>
          </cell>
        </row>
        <row r="651">
          <cell r="B651" t="str">
            <v>13139</v>
          </cell>
          <cell r="C651" t="str">
            <v>CIP</v>
          </cell>
          <cell r="D651" t="str">
            <v>N</v>
          </cell>
          <cell r="E651" t="str">
            <v>A</v>
          </cell>
          <cell r="F651" t="str">
            <v>10/30/2001</v>
          </cell>
        </row>
        <row r="652">
          <cell r="B652" t="str">
            <v>13142</v>
          </cell>
          <cell r="C652" t="str">
            <v>UEC</v>
          </cell>
          <cell r="D652" t="str">
            <v>N</v>
          </cell>
          <cell r="E652" t="str">
            <v>C</v>
          </cell>
          <cell r="F652" t="str">
            <v>12/12/2001</v>
          </cell>
        </row>
        <row r="653">
          <cell r="B653" t="str">
            <v>13154</v>
          </cell>
          <cell r="C653" t="str">
            <v>UEC</v>
          </cell>
          <cell r="D653" t="str">
            <v>N</v>
          </cell>
          <cell r="E653" t="str">
            <v>A</v>
          </cell>
          <cell r="F653" t="str">
            <v>11/16/2001</v>
          </cell>
        </row>
        <row r="654">
          <cell r="B654" t="str">
            <v>13155</v>
          </cell>
          <cell r="C654" t="str">
            <v>UEC</v>
          </cell>
          <cell r="D654" t="str">
            <v>N</v>
          </cell>
          <cell r="E654" t="str">
            <v>A</v>
          </cell>
          <cell r="F654" t="str">
            <v>11/16/2001</v>
          </cell>
        </row>
        <row r="655">
          <cell r="B655" t="str">
            <v>13158</v>
          </cell>
          <cell r="C655" t="str">
            <v>UEC</v>
          </cell>
          <cell r="D655" t="str">
            <v>N</v>
          </cell>
          <cell r="E655" t="str">
            <v>C</v>
          </cell>
          <cell r="F655" t="str">
            <v>01/25/2002</v>
          </cell>
        </row>
        <row r="656">
          <cell r="B656" t="str">
            <v>13174</v>
          </cell>
          <cell r="C656" t="str">
            <v>UEC</v>
          </cell>
          <cell r="D656" t="str">
            <v>N</v>
          </cell>
          <cell r="E656" t="str">
            <v>A</v>
          </cell>
          <cell r="F656" t="str">
            <v>04/01/2003</v>
          </cell>
        </row>
        <row r="657">
          <cell r="B657" t="str">
            <v>13180</v>
          </cell>
          <cell r="C657" t="str">
            <v>UEC</v>
          </cell>
          <cell r="D657" t="str">
            <v>N</v>
          </cell>
          <cell r="E657" t="str">
            <v>A</v>
          </cell>
          <cell r="F657" t="str">
            <v>12/04/2001</v>
          </cell>
        </row>
        <row r="658">
          <cell r="B658" t="str">
            <v>13188</v>
          </cell>
          <cell r="C658" t="str">
            <v>UEC</v>
          </cell>
          <cell r="D658" t="str">
            <v>N</v>
          </cell>
          <cell r="E658" t="str">
            <v>C</v>
          </cell>
          <cell r="F658" t="str">
            <v>01/17/2002</v>
          </cell>
        </row>
        <row r="659">
          <cell r="B659" t="str">
            <v>13196</v>
          </cell>
          <cell r="C659" t="str">
            <v>CIP</v>
          </cell>
          <cell r="D659" t="str">
            <v>N</v>
          </cell>
          <cell r="E659" t="str">
            <v>A</v>
          </cell>
          <cell r="F659" t="str">
            <v>12/20/2001</v>
          </cell>
        </row>
        <row r="660">
          <cell r="B660" t="str">
            <v>13199</v>
          </cell>
          <cell r="C660" t="str">
            <v>AMC</v>
          </cell>
          <cell r="D660" t="str">
            <v>N</v>
          </cell>
          <cell r="E660" t="str">
            <v>C</v>
          </cell>
          <cell r="F660" t="str">
            <v>02/12/2002</v>
          </cell>
        </row>
        <row r="661">
          <cell r="B661" t="str">
            <v>13200</v>
          </cell>
          <cell r="C661" t="str">
            <v>AMC</v>
          </cell>
          <cell r="D661" t="str">
            <v>N</v>
          </cell>
          <cell r="E661" t="str">
            <v>C</v>
          </cell>
          <cell r="F661" t="str">
            <v>02/12/2002</v>
          </cell>
        </row>
        <row r="662">
          <cell r="B662" t="str">
            <v>13205</v>
          </cell>
          <cell r="C662" t="str">
            <v>UEC</v>
          </cell>
          <cell r="D662" t="str">
            <v>N</v>
          </cell>
          <cell r="E662" t="str">
            <v>C</v>
          </cell>
          <cell r="F662" t="str">
            <v>04/18/2002</v>
          </cell>
        </row>
        <row r="663">
          <cell r="B663" t="str">
            <v>13206</v>
          </cell>
          <cell r="C663" t="str">
            <v>UEC</v>
          </cell>
          <cell r="D663" t="str">
            <v>N</v>
          </cell>
          <cell r="E663" t="str">
            <v>C</v>
          </cell>
          <cell r="F663" t="str">
            <v>04/18/2002</v>
          </cell>
        </row>
        <row r="664">
          <cell r="B664" t="str">
            <v>13207</v>
          </cell>
          <cell r="C664" t="str">
            <v>UEC</v>
          </cell>
          <cell r="D664" t="str">
            <v>N</v>
          </cell>
          <cell r="E664" t="str">
            <v>C</v>
          </cell>
          <cell r="F664" t="str">
            <v>03/06/2003</v>
          </cell>
        </row>
        <row r="665">
          <cell r="B665" t="str">
            <v>13208</v>
          </cell>
          <cell r="C665" t="str">
            <v>UEC</v>
          </cell>
          <cell r="D665" t="str">
            <v>N</v>
          </cell>
          <cell r="E665" t="str">
            <v>C</v>
          </cell>
          <cell r="F665" t="str">
            <v>03/06/2003</v>
          </cell>
        </row>
        <row r="666">
          <cell r="B666" t="str">
            <v>13213</v>
          </cell>
          <cell r="C666" t="str">
            <v>UEC</v>
          </cell>
          <cell r="D666" t="str">
            <v>N</v>
          </cell>
          <cell r="E666" t="str">
            <v>C</v>
          </cell>
          <cell r="F666" t="str">
            <v>01/14/2002</v>
          </cell>
        </row>
        <row r="667">
          <cell r="B667" t="str">
            <v>13217</v>
          </cell>
          <cell r="C667" t="str">
            <v>UEC</v>
          </cell>
          <cell r="D667" t="str">
            <v>N</v>
          </cell>
          <cell r="E667" t="str">
            <v>C</v>
          </cell>
          <cell r="F667" t="str">
            <v>01/16/2002</v>
          </cell>
        </row>
        <row r="668">
          <cell r="B668" t="str">
            <v>13218</v>
          </cell>
          <cell r="C668" t="str">
            <v>UEC</v>
          </cell>
          <cell r="D668" t="str">
            <v>N</v>
          </cell>
          <cell r="E668" t="str">
            <v>C</v>
          </cell>
          <cell r="F668" t="str">
            <v>01/16/2002</v>
          </cell>
        </row>
        <row r="669">
          <cell r="B669" t="str">
            <v>13219</v>
          </cell>
          <cell r="C669" t="str">
            <v>UEC</v>
          </cell>
          <cell r="D669" t="str">
            <v>N</v>
          </cell>
          <cell r="E669" t="str">
            <v>C</v>
          </cell>
          <cell r="F669" t="str">
            <v>01/16/2002</v>
          </cell>
        </row>
        <row r="670">
          <cell r="B670" t="str">
            <v>13225</v>
          </cell>
          <cell r="C670" t="str">
            <v>UEC</v>
          </cell>
          <cell r="D670" t="str">
            <v>N</v>
          </cell>
          <cell r="E670" t="str">
            <v>C</v>
          </cell>
          <cell r="F670" t="str">
            <v>01/08/2003</v>
          </cell>
        </row>
        <row r="671">
          <cell r="B671" t="str">
            <v>13227</v>
          </cell>
          <cell r="C671" t="str">
            <v>UEC</v>
          </cell>
          <cell r="D671" t="str">
            <v>N</v>
          </cell>
          <cell r="E671" t="str">
            <v>C</v>
          </cell>
          <cell r="F671" t="str">
            <v>01/30/2002</v>
          </cell>
        </row>
        <row r="672">
          <cell r="B672" t="str">
            <v>13228</v>
          </cell>
          <cell r="C672" t="str">
            <v>UEC</v>
          </cell>
          <cell r="D672" t="str">
            <v>N</v>
          </cell>
          <cell r="E672" t="str">
            <v>C</v>
          </cell>
          <cell r="F672" t="str">
            <v>02/01/2002</v>
          </cell>
        </row>
        <row r="673">
          <cell r="B673" t="str">
            <v>13232</v>
          </cell>
          <cell r="C673" t="str">
            <v>CIP</v>
          </cell>
          <cell r="D673" t="str">
            <v>N</v>
          </cell>
          <cell r="E673" t="str">
            <v>C</v>
          </cell>
          <cell r="F673" t="str">
            <v>02/05/2002</v>
          </cell>
        </row>
        <row r="674">
          <cell r="B674" t="str">
            <v>13238</v>
          </cell>
          <cell r="C674" t="str">
            <v>UEC</v>
          </cell>
          <cell r="D674" t="str">
            <v>N</v>
          </cell>
          <cell r="E674" t="str">
            <v>A</v>
          </cell>
          <cell r="F674" t="str">
            <v>02/15/2002</v>
          </cell>
        </row>
        <row r="675">
          <cell r="B675" t="str">
            <v>13239</v>
          </cell>
          <cell r="C675" t="str">
            <v>UEC</v>
          </cell>
          <cell r="D675" t="str">
            <v>N</v>
          </cell>
          <cell r="E675" t="str">
            <v>C</v>
          </cell>
          <cell r="F675" t="str">
            <v>02/15/2002</v>
          </cell>
        </row>
        <row r="676">
          <cell r="B676" t="str">
            <v>13241</v>
          </cell>
          <cell r="C676" t="str">
            <v>UEC</v>
          </cell>
          <cell r="D676" t="str">
            <v>N</v>
          </cell>
          <cell r="E676" t="str">
            <v>A</v>
          </cell>
          <cell r="F676" t="str">
            <v>02/14/2002</v>
          </cell>
        </row>
        <row r="677">
          <cell r="B677" t="str">
            <v>13242</v>
          </cell>
          <cell r="C677" t="str">
            <v>UEC</v>
          </cell>
          <cell r="D677" t="str">
            <v>N</v>
          </cell>
          <cell r="E677" t="str">
            <v>A</v>
          </cell>
          <cell r="F677" t="str">
            <v>02/14/2002</v>
          </cell>
        </row>
        <row r="678">
          <cell r="B678" t="str">
            <v>13243</v>
          </cell>
          <cell r="C678" t="str">
            <v>UEC</v>
          </cell>
          <cell r="D678" t="str">
            <v>N</v>
          </cell>
          <cell r="E678" t="str">
            <v>I</v>
          </cell>
          <cell r="F678" t="str">
            <v>02/14/2002</v>
          </cell>
        </row>
        <row r="679">
          <cell r="B679" t="str">
            <v>13243</v>
          </cell>
          <cell r="C679" t="str">
            <v>UEC</v>
          </cell>
          <cell r="D679" t="str">
            <v>N</v>
          </cell>
          <cell r="E679" t="str">
            <v>I</v>
          </cell>
          <cell r="F679" t="str">
            <v>02/14/2002</v>
          </cell>
        </row>
        <row r="680">
          <cell r="B680" t="str">
            <v>13246</v>
          </cell>
          <cell r="C680" t="str">
            <v>UEC</v>
          </cell>
          <cell r="D680" t="str">
            <v>N</v>
          </cell>
          <cell r="E680" t="str">
            <v>C</v>
          </cell>
          <cell r="F680" t="str">
            <v>02/25/2002</v>
          </cell>
        </row>
        <row r="681">
          <cell r="B681" t="str">
            <v>13249</v>
          </cell>
          <cell r="C681" t="str">
            <v>UEC</v>
          </cell>
          <cell r="D681" t="str">
            <v>N</v>
          </cell>
          <cell r="E681" t="str">
            <v>A</v>
          </cell>
          <cell r="F681" t="str">
            <v>02/26/2002</v>
          </cell>
        </row>
        <row r="682">
          <cell r="B682" t="str">
            <v>13251</v>
          </cell>
          <cell r="C682" t="str">
            <v>GEN</v>
          </cell>
          <cell r="D682" t="str">
            <v>N</v>
          </cell>
          <cell r="E682" t="str">
            <v>I</v>
          </cell>
          <cell r="F682" t="str">
            <v>02/27/2002</v>
          </cell>
        </row>
        <row r="683">
          <cell r="B683" t="str">
            <v>13259</v>
          </cell>
          <cell r="C683" t="str">
            <v>UEC</v>
          </cell>
          <cell r="D683" t="str">
            <v>N</v>
          </cell>
          <cell r="E683" t="str">
            <v>C</v>
          </cell>
          <cell r="F683" t="str">
            <v>03/06/2002</v>
          </cell>
        </row>
        <row r="684">
          <cell r="B684" t="str">
            <v>13262</v>
          </cell>
          <cell r="C684" t="str">
            <v>UEC</v>
          </cell>
          <cell r="D684" t="str">
            <v>N</v>
          </cell>
          <cell r="E684" t="str">
            <v>A</v>
          </cell>
          <cell r="F684" t="str">
            <v>03/08/2002</v>
          </cell>
        </row>
        <row r="685">
          <cell r="B685" t="str">
            <v>13264</v>
          </cell>
          <cell r="C685" t="str">
            <v>UEC</v>
          </cell>
          <cell r="D685" t="str">
            <v>N</v>
          </cell>
          <cell r="E685" t="str">
            <v>C</v>
          </cell>
          <cell r="F685" t="str">
            <v>06/12/2002</v>
          </cell>
        </row>
        <row r="686">
          <cell r="B686" t="str">
            <v>13265</v>
          </cell>
          <cell r="C686" t="str">
            <v>UEC</v>
          </cell>
          <cell r="D686" t="str">
            <v>N</v>
          </cell>
          <cell r="E686" t="str">
            <v>C</v>
          </cell>
          <cell r="F686" t="str">
            <v>03/14/2002</v>
          </cell>
        </row>
        <row r="687">
          <cell r="B687" t="str">
            <v>13267</v>
          </cell>
          <cell r="C687" t="str">
            <v>UEC</v>
          </cell>
          <cell r="D687" t="str">
            <v>N</v>
          </cell>
          <cell r="E687" t="str">
            <v>C</v>
          </cell>
          <cell r="F687" t="str">
            <v>03/19/2002</v>
          </cell>
        </row>
        <row r="688">
          <cell r="B688" t="str">
            <v>13268</v>
          </cell>
          <cell r="C688" t="str">
            <v>UEC</v>
          </cell>
          <cell r="D688" t="str">
            <v>N</v>
          </cell>
          <cell r="E688" t="str">
            <v>C</v>
          </cell>
          <cell r="F688" t="str">
            <v>03/20/2002</v>
          </cell>
        </row>
        <row r="689">
          <cell r="B689" t="str">
            <v>13269</v>
          </cell>
          <cell r="C689" t="str">
            <v>UEC</v>
          </cell>
          <cell r="D689" t="str">
            <v>N</v>
          </cell>
          <cell r="E689" t="str">
            <v>C</v>
          </cell>
          <cell r="F689" t="str">
            <v>03/21/2002</v>
          </cell>
        </row>
        <row r="690">
          <cell r="B690" t="str">
            <v>13270</v>
          </cell>
          <cell r="C690" t="str">
            <v>UEC</v>
          </cell>
          <cell r="D690" t="str">
            <v>N</v>
          </cell>
          <cell r="E690" t="str">
            <v>A</v>
          </cell>
          <cell r="F690" t="str">
            <v>03/21/2002</v>
          </cell>
        </row>
        <row r="691">
          <cell r="B691" t="str">
            <v>13271</v>
          </cell>
          <cell r="C691" t="str">
            <v>UEC</v>
          </cell>
          <cell r="D691" t="str">
            <v>N</v>
          </cell>
          <cell r="E691" t="str">
            <v>C</v>
          </cell>
          <cell r="F691" t="str">
            <v>03/20/2002</v>
          </cell>
        </row>
        <row r="692">
          <cell r="B692" t="str">
            <v>13274</v>
          </cell>
          <cell r="C692" t="str">
            <v>UEC</v>
          </cell>
          <cell r="D692" t="str">
            <v>N</v>
          </cell>
          <cell r="E692" t="str">
            <v>I</v>
          </cell>
          <cell r="F692" t="str">
            <v>03/22/2002</v>
          </cell>
        </row>
        <row r="693">
          <cell r="B693" t="str">
            <v>13281</v>
          </cell>
          <cell r="C693" t="str">
            <v>GEN</v>
          </cell>
          <cell r="D693" t="str">
            <v>N</v>
          </cell>
          <cell r="E693" t="str">
            <v>C</v>
          </cell>
          <cell r="F693" t="str">
            <v>04/01/2002</v>
          </cell>
        </row>
        <row r="694">
          <cell r="B694" t="str">
            <v>13285</v>
          </cell>
          <cell r="C694" t="str">
            <v>UEC</v>
          </cell>
          <cell r="D694" t="str">
            <v>N</v>
          </cell>
          <cell r="E694" t="str">
            <v>C</v>
          </cell>
          <cell r="F694" t="str">
            <v>07/29/2002</v>
          </cell>
        </row>
        <row r="695">
          <cell r="B695" t="str">
            <v>13287</v>
          </cell>
          <cell r="C695" t="str">
            <v>UEC</v>
          </cell>
          <cell r="D695" t="str">
            <v>N</v>
          </cell>
          <cell r="E695" t="str">
            <v>C</v>
          </cell>
          <cell r="F695" t="str">
            <v>04/05/2002</v>
          </cell>
        </row>
        <row r="696">
          <cell r="B696" t="str">
            <v>13294</v>
          </cell>
          <cell r="C696" t="str">
            <v>UEC</v>
          </cell>
          <cell r="D696" t="str">
            <v>N</v>
          </cell>
          <cell r="E696" t="str">
            <v>C</v>
          </cell>
          <cell r="F696" t="str">
            <v>06/12/2002</v>
          </cell>
        </row>
        <row r="697">
          <cell r="B697" t="str">
            <v>13295</v>
          </cell>
          <cell r="C697" t="str">
            <v>UEC</v>
          </cell>
          <cell r="D697" t="str">
            <v>N</v>
          </cell>
          <cell r="E697" t="str">
            <v>C</v>
          </cell>
          <cell r="F697" t="str">
            <v>04/18/2002</v>
          </cell>
        </row>
        <row r="698">
          <cell r="B698" t="str">
            <v>13296</v>
          </cell>
          <cell r="C698" t="str">
            <v>UEC</v>
          </cell>
          <cell r="D698" t="str">
            <v>N</v>
          </cell>
          <cell r="E698" t="str">
            <v>C</v>
          </cell>
          <cell r="F698" t="str">
            <v>04/18/2002</v>
          </cell>
        </row>
        <row r="699">
          <cell r="B699" t="str">
            <v>13301</v>
          </cell>
          <cell r="C699" t="str">
            <v>UEC</v>
          </cell>
          <cell r="D699" t="str">
            <v>N</v>
          </cell>
          <cell r="E699" t="str">
            <v>I</v>
          </cell>
          <cell r="F699" t="str">
            <v>04/24/2002</v>
          </cell>
        </row>
        <row r="700">
          <cell r="B700" t="str">
            <v>13302</v>
          </cell>
          <cell r="C700" t="str">
            <v>UEC</v>
          </cell>
          <cell r="D700" t="str">
            <v>N</v>
          </cell>
          <cell r="E700" t="str">
            <v>C</v>
          </cell>
          <cell r="F700" t="str">
            <v>04/19/2002</v>
          </cell>
        </row>
        <row r="701">
          <cell r="B701" t="str">
            <v>13303</v>
          </cell>
          <cell r="C701" t="str">
            <v>UEC</v>
          </cell>
          <cell r="D701" t="str">
            <v>N</v>
          </cell>
          <cell r="E701" t="str">
            <v>C</v>
          </cell>
          <cell r="F701" t="str">
            <v>04/19/2002</v>
          </cell>
        </row>
        <row r="702">
          <cell r="B702" t="str">
            <v>13304</v>
          </cell>
          <cell r="C702" t="str">
            <v>UEC</v>
          </cell>
          <cell r="D702" t="str">
            <v>N</v>
          </cell>
          <cell r="E702" t="str">
            <v>C</v>
          </cell>
          <cell r="F702" t="str">
            <v>04/19/2002</v>
          </cell>
        </row>
        <row r="703">
          <cell r="B703" t="str">
            <v>13310</v>
          </cell>
          <cell r="C703" t="str">
            <v>UEC</v>
          </cell>
          <cell r="D703" t="str">
            <v>N</v>
          </cell>
          <cell r="E703" t="str">
            <v>A</v>
          </cell>
          <cell r="F703" t="str">
            <v>09/10/2002</v>
          </cell>
        </row>
        <row r="704">
          <cell r="B704" t="str">
            <v>13312</v>
          </cell>
          <cell r="C704" t="str">
            <v>UEC</v>
          </cell>
          <cell r="D704" t="str">
            <v>N</v>
          </cell>
          <cell r="E704" t="str">
            <v>C</v>
          </cell>
          <cell r="F704" t="str">
            <v>05/02/2002</v>
          </cell>
        </row>
        <row r="705">
          <cell r="B705" t="str">
            <v>13316</v>
          </cell>
          <cell r="C705" t="str">
            <v>UEC</v>
          </cell>
          <cell r="D705" t="str">
            <v>N</v>
          </cell>
          <cell r="E705" t="str">
            <v>A</v>
          </cell>
          <cell r="F705" t="str">
            <v>05/08/2002</v>
          </cell>
        </row>
        <row r="706">
          <cell r="B706" t="str">
            <v>13317</v>
          </cell>
          <cell r="C706" t="str">
            <v>UEC</v>
          </cell>
          <cell r="D706" t="str">
            <v>N</v>
          </cell>
          <cell r="E706" t="str">
            <v>C</v>
          </cell>
          <cell r="F706" t="str">
            <v>01/08/2003</v>
          </cell>
        </row>
        <row r="707">
          <cell r="B707" t="str">
            <v>13326</v>
          </cell>
          <cell r="C707" t="str">
            <v>AMC</v>
          </cell>
          <cell r="D707" t="str">
            <v>N</v>
          </cell>
          <cell r="E707" t="str">
            <v>A</v>
          </cell>
          <cell r="F707" t="str">
            <v>05/24/2002</v>
          </cell>
        </row>
        <row r="708">
          <cell r="B708" t="str">
            <v>13330</v>
          </cell>
          <cell r="C708" t="str">
            <v>CIP</v>
          </cell>
          <cell r="D708" t="str">
            <v>N</v>
          </cell>
          <cell r="E708" t="str">
            <v>C</v>
          </cell>
          <cell r="F708" t="str">
            <v>06/19/2002</v>
          </cell>
        </row>
        <row r="709">
          <cell r="B709" t="str">
            <v>13336</v>
          </cell>
          <cell r="C709" t="str">
            <v>CIP</v>
          </cell>
          <cell r="D709" t="str">
            <v>N</v>
          </cell>
          <cell r="E709" t="str">
            <v>C</v>
          </cell>
          <cell r="F709" t="str">
            <v>08/14/2002</v>
          </cell>
        </row>
        <row r="710">
          <cell r="B710" t="str">
            <v>13337</v>
          </cell>
          <cell r="C710" t="str">
            <v>UDC</v>
          </cell>
          <cell r="D710" t="str">
            <v>N</v>
          </cell>
          <cell r="E710" t="str">
            <v>C</v>
          </cell>
          <cell r="F710" t="str">
            <v>05/24/2002</v>
          </cell>
        </row>
        <row r="711">
          <cell r="B711" t="str">
            <v>13338</v>
          </cell>
          <cell r="C711" t="str">
            <v>UDC</v>
          </cell>
          <cell r="D711" t="str">
            <v>N</v>
          </cell>
          <cell r="E711" t="str">
            <v>C</v>
          </cell>
          <cell r="F711" t="str">
            <v>05/24/2002</v>
          </cell>
        </row>
        <row r="712">
          <cell r="B712" t="str">
            <v>13339</v>
          </cell>
          <cell r="C712" t="str">
            <v>UDC</v>
          </cell>
          <cell r="D712" t="str">
            <v>N</v>
          </cell>
          <cell r="E712" t="str">
            <v>A</v>
          </cell>
          <cell r="F712" t="str">
            <v>05/24/2002</v>
          </cell>
        </row>
        <row r="713">
          <cell r="B713" t="str">
            <v>13341</v>
          </cell>
          <cell r="C713" t="str">
            <v>UDC</v>
          </cell>
          <cell r="D713" t="str">
            <v>N</v>
          </cell>
          <cell r="E713" t="str">
            <v>C</v>
          </cell>
          <cell r="F713" t="str">
            <v>05/24/2002</v>
          </cell>
        </row>
        <row r="714">
          <cell r="B714" t="str">
            <v>13347</v>
          </cell>
          <cell r="C714" t="str">
            <v>UEC</v>
          </cell>
          <cell r="D714" t="str">
            <v>N</v>
          </cell>
          <cell r="E714" t="str">
            <v>C</v>
          </cell>
          <cell r="F714" t="str">
            <v>05/24/2002</v>
          </cell>
        </row>
        <row r="715">
          <cell r="B715" t="str">
            <v>13348</v>
          </cell>
          <cell r="C715" t="str">
            <v>UEC</v>
          </cell>
          <cell r="D715" t="str">
            <v>N</v>
          </cell>
          <cell r="E715" t="str">
            <v>C</v>
          </cell>
          <cell r="F715" t="str">
            <v>09/03/2002</v>
          </cell>
        </row>
        <row r="716">
          <cell r="B716" t="str">
            <v>13353</v>
          </cell>
          <cell r="C716" t="str">
            <v>CIP</v>
          </cell>
          <cell r="D716" t="str">
            <v>N</v>
          </cell>
          <cell r="E716" t="str">
            <v>A</v>
          </cell>
          <cell r="F716" t="str">
            <v>10/24/2003</v>
          </cell>
        </row>
        <row r="717">
          <cell r="B717" t="str">
            <v>13358</v>
          </cell>
          <cell r="C717" t="str">
            <v>UEC</v>
          </cell>
          <cell r="D717" t="str">
            <v>N</v>
          </cell>
          <cell r="E717" t="str">
            <v>C</v>
          </cell>
          <cell r="F717" t="str">
            <v>09/08/2003</v>
          </cell>
        </row>
        <row r="718">
          <cell r="B718" t="str">
            <v>13363</v>
          </cell>
          <cell r="C718" t="str">
            <v>UEC</v>
          </cell>
          <cell r="D718" t="str">
            <v>N</v>
          </cell>
          <cell r="E718" t="str">
            <v>A</v>
          </cell>
          <cell r="F718" t="str">
            <v>05/30/2002</v>
          </cell>
        </row>
        <row r="719">
          <cell r="B719" t="str">
            <v>13364</v>
          </cell>
          <cell r="C719" t="str">
            <v>UEC</v>
          </cell>
          <cell r="D719" t="str">
            <v>N</v>
          </cell>
          <cell r="E719" t="str">
            <v>A</v>
          </cell>
          <cell r="F719" t="str">
            <v>05/30/2002</v>
          </cell>
        </row>
        <row r="720">
          <cell r="B720" t="str">
            <v>13365</v>
          </cell>
          <cell r="C720" t="str">
            <v>UEC</v>
          </cell>
          <cell r="D720" t="str">
            <v>N</v>
          </cell>
          <cell r="E720" t="str">
            <v>A</v>
          </cell>
          <cell r="F720" t="str">
            <v>05/30/2002</v>
          </cell>
        </row>
        <row r="721">
          <cell r="B721" t="str">
            <v>13366</v>
          </cell>
          <cell r="C721" t="str">
            <v>UEC</v>
          </cell>
          <cell r="D721" t="str">
            <v>N</v>
          </cell>
          <cell r="E721" t="str">
            <v>I</v>
          </cell>
          <cell r="F721" t="str">
            <v>05/30/2002</v>
          </cell>
        </row>
        <row r="722">
          <cell r="B722" t="str">
            <v>13367</v>
          </cell>
          <cell r="C722" t="str">
            <v>UEC</v>
          </cell>
          <cell r="D722" t="str">
            <v>N</v>
          </cell>
          <cell r="E722" t="str">
            <v>I</v>
          </cell>
          <cell r="F722" t="str">
            <v>05/30/2002</v>
          </cell>
        </row>
        <row r="723">
          <cell r="B723" t="str">
            <v>13370</v>
          </cell>
          <cell r="C723" t="str">
            <v>UEC</v>
          </cell>
          <cell r="D723" t="str">
            <v>N</v>
          </cell>
          <cell r="E723" t="str">
            <v>A</v>
          </cell>
          <cell r="F723" t="str">
            <v>11/24/2003</v>
          </cell>
        </row>
        <row r="724">
          <cell r="B724" t="str">
            <v>13371</v>
          </cell>
          <cell r="C724" t="str">
            <v>UEC</v>
          </cell>
          <cell r="D724" t="str">
            <v>N</v>
          </cell>
          <cell r="E724" t="str">
            <v>I</v>
          </cell>
          <cell r="F724" t="str">
            <v>09/19/2003</v>
          </cell>
        </row>
        <row r="725">
          <cell r="B725" t="str">
            <v>13372</v>
          </cell>
          <cell r="C725" t="str">
            <v>UEC</v>
          </cell>
          <cell r="D725" t="str">
            <v>N</v>
          </cell>
          <cell r="E725" t="str">
            <v>A</v>
          </cell>
          <cell r="F725" t="str">
            <v>07/25/2002</v>
          </cell>
        </row>
        <row r="726">
          <cell r="B726" t="str">
            <v>13373</v>
          </cell>
          <cell r="C726" t="str">
            <v>UEC</v>
          </cell>
          <cell r="D726" t="str">
            <v>N</v>
          </cell>
          <cell r="E726" t="str">
            <v>C</v>
          </cell>
          <cell r="F726" t="str">
            <v>10/23/2002</v>
          </cell>
        </row>
        <row r="727">
          <cell r="B727" t="str">
            <v>13374</v>
          </cell>
          <cell r="C727" t="str">
            <v>UEC</v>
          </cell>
          <cell r="D727" t="str">
            <v>N</v>
          </cell>
          <cell r="E727" t="str">
            <v>A</v>
          </cell>
          <cell r="F727" t="str">
            <v>07/25/2002</v>
          </cell>
        </row>
        <row r="728">
          <cell r="B728" t="str">
            <v>13376</v>
          </cell>
          <cell r="C728" t="str">
            <v>UEC</v>
          </cell>
          <cell r="D728" t="str">
            <v>N</v>
          </cell>
          <cell r="E728" t="str">
            <v>A</v>
          </cell>
          <cell r="F728" t="str">
            <v>04/14/2003</v>
          </cell>
        </row>
        <row r="729">
          <cell r="B729" t="str">
            <v>13377</v>
          </cell>
          <cell r="C729" t="str">
            <v>UEC</v>
          </cell>
          <cell r="D729" t="str">
            <v>N</v>
          </cell>
          <cell r="E729" t="str">
            <v>A</v>
          </cell>
          <cell r="F729" t="str">
            <v>05/23/2003</v>
          </cell>
        </row>
        <row r="730">
          <cell r="B730" t="str">
            <v>13378</v>
          </cell>
          <cell r="C730" t="str">
            <v>UEC</v>
          </cell>
          <cell r="D730" t="str">
            <v>N</v>
          </cell>
          <cell r="E730" t="str">
            <v>A</v>
          </cell>
          <cell r="F730" t="str">
            <v>05/23/2003</v>
          </cell>
        </row>
        <row r="731">
          <cell r="B731" t="str">
            <v>13389</v>
          </cell>
          <cell r="C731" t="str">
            <v>UEC</v>
          </cell>
          <cell r="D731" t="str">
            <v>N</v>
          </cell>
          <cell r="E731" t="str">
            <v>A</v>
          </cell>
          <cell r="F731" t="str">
            <v>07/21/2003</v>
          </cell>
        </row>
        <row r="732">
          <cell r="B732" t="str">
            <v>13391</v>
          </cell>
          <cell r="C732" t="str">
            <v>UEC</v>
          </cell>
          <cell r="D732" t="str">
            <v>N</v>
          </cell>
          <cell r="E732" t="str">
            <v>A</v>
          </cell>
          <cell r="F732" t="str">
            <v>04/15/2003</v>
          </cell>
        </row>
        <row r="733">
          <cell r="B733" t="str">
            <v>13395</v>
          </cell>
          <cell r="C733" t="str">
            <v>UEC</v>
          </cell>
          <cell r="D733" t="str">
            <v>N</v>
          </cell>
          <cell r="E733" t="str">
            <v>A</v>
          </cell>
          <cell r="F733" t="str">
            <v>09/22/2003</v>
          </cell>
        </row>
        <row r="734">
          <cell r="B734" t="str">
            <v>13403</v>
          </cell>
          <cell r="C734" t="str">
            <v>UEC</v>
          </cell>
          <cell r="D734" t="str">
            <v>N</v>
          </cell>
          <cell r="E734" t="str">
            <v>A</v>
          </cell>
          <cell r="F734" t="str">
            <v>06/17/2002</v>
          </cell>
        </row>
        <row r="735">
          <cell r="B735" t="str">
            <v>13404</v>
          </cell>
          <cell r="C735" t="str">
            <v>UEC</v>
          </cell>
          <cell r="D735" t="str">
            <v>N</v>
          </cell>
          <cell r="E735" t="str">
            <v>A</v>
          </cell>
          <cell r="F735" t="str">
            <v>07/18/2003</v>
          </cell>
        </row>
        <row r="736">
          <cell r="B736" t="str">
            <v>13406</v>
          </cell>
          <cell r="C736" t="str">
            <v>UEC</v>
          </cell>
          <cell r="D736" t="str">
            <v>N</v>
          </cell>
          <cell r="E736" t="str">
            <v>A</v>
          </cell>
          <cell r="F736" t="str">
            <v>09/27/2002</v>
          </cell>
        </row>
        <row r="737">
          <cell r="B737" t="str">
            <v>13407</v>
          </cell>
          <cell r="C737" t="str">
            <v>UEC</v>
          </cell>
          <cell r="D737" t="str">
            <v>N</v>
          </cell>
          <cell r="E737" t="str">
            <v>C</v>
          </cell>
          <cell r="F737" t="str">
            <v>10/01/2002</v>
          </cell>
        </row>
        <row r="738">
          <cell r="B738" t="str">
            <v>13410</v>
          </cell>
          <cell r="C738" t="str">
            <v>UEC</v>
          </cell>
          <cell r="D738" t="str">
            <v>N</v>
          </cell>
          <cell r="E738" t="str">
            <v>A</v>
          </cell>
          <cell r="F738" t="str">
            <v>09/25/2003</v>
          </cell>
        </row>
        <row r="739">
          <cell r="B739" t="str">
            <v>13414</v>
          </cell>
          <cell r="C739" t="str">
            <v>UEC</v>
          </cell>
          <cell r="D739" t="str">
            <v>N</v>
          </cell>
          <cell r="E739" t="str">
            <v>A</v>
          </cell>
          <cell r="F739" t="str">
            <v>06/18/2002</v>
          </cell>
        </row>
        <row r="740">
          <cell r="B740" t="str">
            <v>13421</v>
          </cell>
          <cell r="C740" t="str">
            <v>UEC</v>
          </cell>
          <cell r="D740" t="str">
            <v>N</v>
          </cell>
          <cell r="E740" t="str">
            <v>I</v>
          </cell>
          <cell r="F740" t="str">
            <v>08/11/2003</v>
          </cell>
        </row>
        <row r="741">
          <cell r="B741" t="str">
            <v>13428</v>
          </cell>
          <cell r="C741" t="str">
            <v>UEC</v>
          </cell>
          <cell r="D741" t="str">
            <v>N</v>
          </cell>
          <cell r="E741" t="str">
            <v>A</v>
          </cell>
          <cell r="F741" t="str">
            <v>04/01/2003</v>
          </cell>
        </row>
        <row r="742">
          <cell r="B742" t="str">
            <v>13437</v>
          </cell>
          <cell r="C742" t="str">
            <v>UEC</v>
          </cell>
          <cell r="D742" t="str">
            <v>N</v>
          </cell>
          <cell r="E742" t="str">
            <v>C</v>
          </cell>
          <cell r="F742" t="str">
            <v>09/03/2002</v>
          </cell>
        </row>
        <row r="743">
          <cell r="B743" t="str">
            <v>13443</v>
          </cell>
          <cell r="C743" t="str">
            <v>UEC</v>
          </cell>
          <cell r="D743" t="str">
            <v>N</v>
          </cell>
          <cell r="E743" t="str">
            <v>A</v>
          </cell>
          <cell r="F743" t="str">
            <v>01/17/2003</v>
          </cell>
        </row>
        <row r="744">
          <cell r="B744" t="str">
            <v>13448</v>
          </cell>
          <cell r="C744" t="str">
            <v>UEC</v>
          </cell>
          <cell r="D744" t="str">
            <v>N</v>
          </cell>
          <cell r="E744" t="str">
            <v>C</v>
          </cell>
          <cell r="F744" t="str">
            <v>07/27/2002</v>
          </cell>
        </row>
        <row r="745">
          <cell r="B745" t="str">
            <v>13469</v>
          </cell>
          <cell r="C745" t="str">
            <v>CIP</v>
          </cell>
          <cell r="D745" t="str">
            <v>N</v>
          </cell>
          <cell r="E745" t="str">
            <v>A</v>
          </cell>
          <cell r="F745" t="str">
            <v>07/31/2002</v>
          </cell>
        </row>
        <row r="746">
          <cell r="B746" t="str">
            <v>13477</v>
          </cell>
          <cell r="C746" t="str">
            <v>UEC</v>
          </cell>
          <cell r="D746" t="str">
            <v>N</v>
          </cell>
          <cell r="E746" t="str">
            <v>A</v>
          </cell>
          <cell r="F746" t="str">
            <v>07/29/2002</v>
          </cell>
        </row>
        <row r="747">
          <cell r="B747" t="str">
            <v>13479</v>
          </cell>
          <cell r="C747" t="str">
            <v>UEC</v>
          </cell>
          <cell r="D747" t="str">
            <v>N</v>
          </cell>
          <cell r="E747" t="str">
            <v>A</v>
          </cell>
          <cell r="F747" t="str">
            <v>07/24/2002</v>
          </cell>
        </row>
        <row r="748">
          <cell r="B748" t="str">
            <v>13488</v>
          </cell>
          <cell r="C748" t="str">
            <v>UEC</v>
          </cell>
          <cell r="D748" t="str">
            <v>N</v>
          </cell>
          <cell r="E748" t="str">
            <v>A</v>
          </cell>
          <cell r="F748" t="str">
            <v>04/16/2003</v>
          </cell>
        </row>
        <row r="749">
          <cell r="B749" t="str">
            <v>13492</v>
          </cell>
          <cell r="C749" t="str">
            <v>UEC</v>
          </cell>
          <cell r="D749" t="str">
            <v>N</v>
          </cell>
          <cell r="E749" t="str">
            <v>C</v>
          </cell>
          <cell r="F749" t="str">
            <v>03/06/2003</v>
          </cell>
        </row>
        <row r="750">
          <cell r="B750" t="str">
            <v>13493</v>
          </cell>
          <cell r="C750" t="str">
            <v>UEC</v>
          </cell>
          <cell r="D750" t="str">
            <v>N</v>
          </cell>
          <cell r="E750" t="str">
            <v>A</v>
          </cell>
          <cell r="F750" t="str">
            <v>03/06/2003</v>
          </cell>
        </row>
        <row r="751">
          <cell r="B751" t="str">
            <v>13497</v>
          </cell>
          <cell r="C751" t="str">
            <v>UEC</v>
          </cell>
          <cell r="D751" t="str">
            <v>N</v>
          </cell>
          <cell r="E751" t="str">
            <v>A</v>
          </cell>
          <cell r="F751" t="str">
            <v>01/17/2003</v>
          </cell>
        </row>
        <row r="752">
          <cell r="B752" t="str">
            <v>13502</v>
          </cell>
          <cell r="C752" t="str">
            <v>CIP</v>
          </cell>
          <cell r="D752" t="str">
            <v>N</v>
          </cell>
          <cell r="E752" t="str">
            <v>A</v>
          </cell>
          <cell r="F752" t="str">
            <v>07/29/2002</v>
          </cell>
        </row>
        <row r="753">
          <cell r="B753" t="str">
            <v>13503</v>
          </cell>
          <cell r="C753" t="str">
            <v>CIP</v>
          </cell>
          <cell r="D753" t="str">
            <v>N</v>
          </cell>
          <cell r="E753" t="str">
            <v>A</v>
          </cell>
          <cell r="F753" t="str">
            <v>07/30/2002</v>
          </cell>
        </row>
        <row r="754">
          <cell r="B754" t="str">
            <v>13504</v>
          </cell>
          <cell r="C754" t="str">
            <v>CIP</v>
          </cell>
          <cell r="D754" t="str">
            <v>N</v>
          </cell>
          <cell r="E754" t="str">
            <v>A</v>
          </cell>
          <cell r="F754" t="str">
            <v>01/16/2003</v>
          </cell>
        </row>
        <row r="755">
          <cell r="B755" t="str">
            <v>13505</v>
          </cell>
          <cell r="C755" t="str">
            <v>CIP</v>
          </cell>
          <cell r="D755" t="str">
            <v>N</v>
          </cell>
          <cell r="E755" t="str">
            <v>C</v>
          </cell>
          <cell r="F755" t="str">
            <v>01/14/2003</v>
          </cell>
        </row>
        <row r="756">
          <cell r="B756" t="str">
            <v>13508</v>
          </cell>
          <cell r="C756" t="str">
            <v>CIP</v>
          </cell>
          <cell r="D756" t="str">
            <v>N</v>
          </cell>
          <cell r="E756" t="str">
            <v>A</v>
          </cell>
          <cell r="F756" t="str">
            <v>01/16/2003</v>
          </cell>
        </row>
        <row r="757">
          <cell r="B757" t="str">
            <v>13517</v>
          </cell>
          <cell r="C757" t="str">
            <v>CIP</v>
          </cell>
          <cell r="D757" t="str">
            <v>N</v>
          </cell>
          <cell r="E757" t="str">
            <v>C</v>
          </cell>
          <cell r="F757" t="str">
            <v>03/21/2003</v>
          </cell>
        </row>
        <row r="758">
          <cell r="B758" t="str">
            <v>13522</v>
          </cell>
          <cell r="C758" t="str">
            <v>UEC</v>
          </cell>
          <cell r="D758" t="str">
            <v>N</v>
          </cell>
          <cell r="E758" t="str">
            <v>I</v>
          </cell>
          <cell r="F758" t="str">
            <v>12/09/2002</v>
          </cell>
        </row>
        <row r="759">
          <cell r="B759" t="str">
            <v>13522</v>
          </cell>
          <cell r="C759" t="str">
            <v>UEC</v>
          </cell>
          <cell r="D759" t="str">
            <v>N</v>
          </cell>
          <cell r="E759" t="str">
            <v>I</v>
          </cell>
          <cell r="F759" t="str">
            <v>12/09/2002</v>
          </cell>
        </row>
        <row r="760">
          <cell r="B760" t="str">
            <v>13537</v>
          </cell>
          <cell r="C760" t="str">
            <v>UEC</v>
          </cell>
          <cell r="D760" t="str">
            <v>N</v>
          </cell>
          <cell r="E760" t="str">
            <v>C</v>
          </cell>
          <cell r="F760" t="str">
            <v>09/10/2002</v>
          </cell>
        </row>
        <row r="761">
          <cell r="B761" t="str">
            <v>13544</v>
          </cell>
          <cell r="C761" t="str">
            <v>UEC</v>
          </cell>
          <cell r="D761" t="str">
            <v>N</v>
          </cell>
          <cell r="E761" t="str">
            <v>A</v>
          </cell>
          <cell r="F761" t="str">
            <v>03/20/2003</v>
          </cell>
        </row>
        <row r="762">
          <cell r="B762" t="str">
            <v>13551</v>
          </cell>
          <cell r="C762" t="str">
            <v>UEC</v>
          </cell>
          <cell r="D762" t="str">
            <v>N</v>
          </cell>
          <cell r="E762" t="str">
            <v>C</v>
          </cell>
          <cell r="F762" t="str">
            <v>11/18/2002</v>
          </cell>
        </row>
        <row r="763">
          <cell r="B763" t="str">
            <v>13553</v>
          </cell>
          <cell r="C763" t="str">
            <v>UEC</v>
          </cell>
          <cell r="D763" t="str">
            <v>N</v>
          </cell>
          <cell r="E763" t="str">
            <v>C</v>
          </cell>
          <cell r="F763" t="str">
            <v>09/24/2002</v>
          </cell>
        </row>
        <row r="764">
          <cell r="B764" t="str">
            <v>13558</v>
          </cell>
          <cell r="C764" t="str">
            <v>UEC</v>
          </cell>
          <cell r="D764" t="str">
            <v>N</v>
          </cell>
          <cell r="E764" t="str">
            <v>C</v>
          </cell>
          <cell r="F764" t="str">
            <v>06/06/2003</v>
          </cell>
        </row>
        <row r="765">
          <cell r="B765" t="str">
            <v>13562</v>
          </cell>
          <cell r="C765" t="str">
            <v>UEC</v>
          </cell>
          <cell r="D765" t="str">
            <v>N</v>
          </cell>
          <cell r="E765" t="str">
            <v>A</v>
          </cell>
          <cell r="F765" t="str">
            <v>07/16/2003</v>
          </cell>
        </row>
        <row r="766">
          <cell r="B766" t="str">
            <v>13564</v>
          </cell>
          <cell r="C766" t="str">
            <v>UEC</v>
          </cell>
          <cell r="D766" t="str">
            <v>N</v>
          </cell>
          <cell r="E766" t="str">
            <v>I</v>
          </cell>
          <cell r="F766" t="str">
            <v>12/03/2003</v>
          </cell>
        </row>
        <row r="767">
          <cell r="B767" t="str">
            <v>13564</v>
          </cell>
          <cell r="C767" t="str">
            <v>UEC</v>
          </cell>
          <cell r="D767" t="str">
            <v>N</v>
          </cell>
          <cell r="E767" t="str">
            <v>I</v>
          </cell>
          <cell r="F767" t="str">
            <v>12/03/2003</v>
          </cell>
        </row>
        <row r="768">
          <cell r="B768" t="str">
            <v>13568</v>
          </cell>
          <cell r="C768" t="str">
            <v>UEC</v>
          </cell>
          <cell r="D768" t="str">
            <v>N</v>
          </cell>
          <cell r="E768" t="str">
            <v>A</v>
          </cell>
          <cell r="F768" t="str">
            <v>08/07/2002</v>
          </cell>
        </row>
        <row r="769">
          <cell r="B769" t="str">
            <v>13573</v>
          </cell>
          <cell r="C769" t="str">
            <v>UEC</v>
          </cell>
          <cell r="D769" t="str">
            <v>N</v>
          </cell>
          <cell r="E769" t="str">
            <v>I</v>
          </cell>
          <cell r="F769" t="str">
            <v>01/08/2004</v>
          </cell>
        </row>
        <row r="770">
          <cell r="B770" t="str">
            <v>13575</v>
          </cell>
          <cell r="C770" t="str">
            <v>UEC</v>
          </cell>
          <cell r="D770" t="str">
            <v>N</v>
          </cell>
          <cell r="E770" t="str">
            <v>A</v>
          </cell>
          <cell r="F770" t="str">
            <v>07/31/2003</v>
          </cell>
        </row>
        <row r="771">
          <cell r="B771" t="str">
            <v>13576</v>
          </cell>
          <cell r="C771" t="str">
            <v>UEC</v>
          </cell>
          <cell r="D771" t="str">
            <v>N</v>
          </cell>
          <cell r="E771" t="str">
            <v>A</v>
          </cell>
          <cell r="F771" t="str">
            <v>02/27/2003</v>
          </cell>
        </row>
        <row r="772">
          <cell r="B772" t="str">
            <v>13607</v>
          </cell>
          <cell r="C772" t="str">
            <v>UEC</v>
          </cell>
          <cell r="D772" t="str">
            <v>N</v>
          </cell>
          <cell r="E772" t="str">
            <v>A</v>
          </cell>
          <cell r="F772" t="str">
            <v>10/15/2002</v>
          </cell>
        </row>
        <row r="773">
          <cell r="B773" t="str">
            <v>13608</v>
          </cell>
          <cell r="C773" t="str">
            <v>CIP</v>
          </cell>
          <cell r="D773" t="str">
            <v>N</v>
          </cell>
          <cell r="E773" t="str">
            <v>C</v>
          </cell>
          <cell r="F773" t="str">
            <v>01/22/2003</v>
          </cell>
        </row>
        <row r="774">
          <cell r="B774" t="str">
            <v>13622</v>
          </cell>
          <cell r="C774" t="str">
            <v>UEC</v>
          </cell>
          <cell r="D774" t="str">
            <v>N</v>
          </cell>
          <cell r="E774" t="str">
            <v>A</v>
          </cell>
          <cell r="F774" t="str">
            <v>04/10/2003</v>
          </cell>
        </row>
        <row r="775">
          <cell r="B775" t="str">
            <v>13625</v>
          </cell>
          <cell r="C775" t="str">
            <v>UEC</v>
          </cell>
          <cell r="D775" t="str">
            <v>N</v>
          </cell>
          <cell r="E775" t="str">
            <v>A</v>
          </cell>
          <cell r="F775" t="str">
            <v>12/13/2002</v>
          </cell>
        </row>
        <row r="776">
          <cell r="B776" t="str">
            <v>13629</v>
          </cell>
          <cell r="C776" t="str">
            <v>UEC</v>
          </cell>
          <cell r="D776" t="str">
            <v>N</v>
          </cell>
          <cell r="E776" t="str">
            <v>A</v>
          </cell>
          <cell r="F776" t="str">
            <v>07/03/2003</v>
          </cell>
        </row>
        <row r="777">
          <cell r="B777" t="str">
            <v>13636</v>
          </cell>
          <cell r="C777" t="str">
            <v>UEC</v>
          </cell>
          <cell r="D777" t="str">
            <v>N</v>
          </cell>
          <cell r="E777" t="str">
            <v>A</v>
          </cell>
          <cell r="F777" t="str">
            <v>04/23/2003</v>
          </cell>
        </row>
        <row r="778">
          <cell r="B778" t="str">
            <v>13646</v>
          </cell>
          <cell r="C778" t="str">
            <v>UEC</v>
          </cell>
          <cell r="D778" t="str">
            <v>N</v>
          </cell>
          <cell r="E778" t="str">
            <v>A</v>
          </cell>
          <cell r="F778" t="str">
            <v>08/14/2003</v>
          </cell>
        </row>
        <row r="779">
          <cell r="B779" t="str">
            <v>13649</v>
          </cell>
          <cell r="C779" t="str">
            <v>UEC</v>
          </cell>
          <cell r="D779" t="str">
            <v>N</v>
          </cell>
          <cell r="E779" t="str">
            <v>A</v>
          </cell>
          <cell r="F779" t="str">
            <v>04/17/2003</v>
          </cell>
        </row>
        <row r="780">
          <cell r="B780" t="str">
            <v>13650</v>
          </cell>
          <cell r="C780" t="str">
            <v>UEC</v>
          </cell>
          <cell r="D780" t="str">
            <v>N</v>
          </cell>
          <cell r="E780" t="str">
            <v>A</v>
          </cell>
          <cell r="F780" t="str">
            <v>03/18/2003</v>
          </cell>
        </row>
        <row r="781">
          <cell r="B781" t="str">
            <v>13657</v>
          </cell>
          <cell r="C781" t="str">
            <v>UEC</v>
          </cell>
          <cell r="D781" t="str">
            <v>N</v>
          </cell>
          <cell r="E781" t="str">
            <v>C</v>
          </cell>
          <cell r="F781" t="str">
            <v>10/28/2002</v>
          </cell>
        </row>
        <row r="782">
          <cell r="B782" t="str">
            <v>13658</v>
          </cell>
          <cell r="C782" t="str">
            <v>UEC</v>
          </cell>
          <cell r="D782" t="str">
            <v>N</v>
          </cell>
          <cell r="E782" t="str">
            <v>A</v>
          </cell>
          <cell r="F782" t="str">
            <v>05/08/2003</v>
          </cell>
        </row>
        <row r="783">
          <cell r="B783" t="str">
            <v>13682</v>
          </cell>
          <cell r="C783" t="str">
            <v>UEC</v>
          </cell>
          <cell r="D783" t="str">
            <v>N</v>
          </cell>
          <cell r="E783" t="str">
            <v>I</v>
          </cell>
          <cell r="F783" t="str">
            <v>10/23/2003</v>
          </cell>
        </row>
        <row r="784">
          <cell r="B784" t="str">
            <v>13711</v>
          </cell>
          <cell r="C784" t="str">
            <v>UEC</v>
          </cell>
          <cell r="D784" t="str">
            <v>N</v>
          </cell>
          <cell r="E784" t="str">
            <v>A</v>
          </cell>
          <cell r="F784" t="str">
            <v>04/23/2003</v>
          </cell>
        </row>
        <row r="785">
          <cell r="B785" t="str">
            <v>13714</v>
          </cell>
          <cell r="C785" t="str">
            <v>UEC</v>
          </cell>
          <cell r="D785" t="str">
            <v>N</v>
          </cell>
          <cell r="E785" t="str">
            <v>A</v>
          </cell>
          <cell r="F785" t="str">
            <v>04/25/2003</v>
          </cell>
        </row>
        <row r="786">
          <cell r="B786" t="str">
            <v>13732</v>
          </cell>
          <cell r="C786" t="str">
            <v>UEC</v>
          </cell>
          <cell r="D786" t="str">
            <v>N</v>
          </cell>
          <cell r="E786" t="str">
            <v>A</v>
          </cell>
          <cell r="F786" t="str">
            <v>01/06/2003</v>
          </cell>
        </row>
        <row r="787">
          <cell r="B787" t="str">
            <v>13745</v>
          </cell>
          <cell r="C787" t="str">
            <v>UEC</v>
          </cell>
          <cell r="D787" t="str">
            <v>N</v>
          </cell>
          <cell r="E787" t="str">
            <v>A</v>
          </cell>
          <cell r="F787" t="str">
            <v>09/26/2003</v>
          </cell>
        </row>
        <row r="788">
          <cell r="B788" t="str">
            <v>13764</v>
          </cell>
          <cell r="C788" t="str">
            <v>UEC</v>
          </cell>
          <cell r="D788" t="str">
            <v>N</v>
          </cell>
          <cell r="E788" t="str">
            <v>A</v>
          </cell>
          <cell r="F788" t="str">
            <v>09/04/2003</v>
          </cell>
        </row>
        <row r="789">
          <cell r="B789" t="str">
            <v>13771</v>
          </cell>
          <cell r="C789" t="str">
            <v>UEC</v>
          </cell>
          <cell r="D789" t="str">
            <v>N</v>
          </cell>
          <cell r="E789" t="str">
            <v>A</v>
          </cell>
          <cell r="F789" t="str">
            <v>02/05/2003</v>
          </cell>
        </row>
        <row r="790">
          <cell r="B790" t="str">
            <v>13777</v>
          </cell>
          <cell r="C790" t="str">
            <v>UEC</v>
          </cell>
          <cell r="D790" t="str">
            <v>N</v>
          </cell>
          <cell r="E790" t="str">
            <v>C</v>
          </cell>
          <cell r="F790" t="str">
            <v>12/13/2002</v>
          </cell>
        </row>
        <row r="791">
          <cell r="B791" t="str">
            <v>13780</v>
          </cell>
          <cell r="C791" t="str">
            <v>UEC</v>
          </cell>
          <cell r="D791" t="str">
            <v>N</v>
          </cell>
          <cell r="E791" t="str">
            <v>A</v>
          </cell>
          <cell r="F791" t="str">
            <v>02/07/2003</v>
          </cell>
        </row>
        <row r="792">
          <cell r="B792" t="str">
            <v>13781</v>
          </cell>
          <cell r="C792" t="str">
            <v>UEC</v>
          </cell>
          <cell r="D792" t="str">
            <v>N</v>
          </cell>
          <cell r="E792" t="str">
            <v>A</v>
          </cell>
          <cell r="F792" t="str">
            <v>12/18/2002</v>
          </cell>
        </row>
        <row r="793">
          <cell r="B793" t="str">
            <v>13795</v>
          </cell>
          <cell r="C793" t="str">
            <v>UEC</v>
          </cell>
          <cell r="D793" t="str">
            <v>N</v>
          </cell>
          <cell r="E793" t="str">
            <v>A</v>
          </cell>
          <cell r="F793" t="str">
            <v>11/05/2003</v>
          </cell>
        </row>
        <row r="794">
          <cell r="B794" t="str">
            <v>13807</v>
          </cell>
          <cell r="C794" t="str">
            <v>UEC</v>
          </cell>
          <cell r="D794" t="str">
            <v>N</v>
          </cell>
          <cell r="E794" t="str">
            <v>I</v>
          </cell>
          <cell r="F794" t="str">
            <v>12/19/2003</v>
          </cell>
        </row>
        <row r="795">
          <cell r="B795" t="str">
            <v>13830</v>
          </cell>
          <cell r="C795" t="str">
            <v>UEC</v>
          </cell>
          <cell r="D795" t="str">
            <v>N</v>
          </cell>
          <cell r="E795" t="str">
            <v>A</v>
          </cell>
          <cell r="F795" t="str">
            <v>09/08/2003</v>
          </cell>
        </row>
        <row r="796">
          <cell r="B796" t="str">
            <v>13834</v>
          </cell>
          <cell r="C796" t="str">
            <v>UEC</v>
          </cell>
          <cell r="D796" t="str">
            <v>N</v>
          </cell>
          <cell r="E796" t="str">
            <v>A</v>
          </cell>
          <cell r="F796" t="str">
            <v>04/30/2003</v>
          </cell>
        </row>
        <row r="797">
          <cell r="B797" t="str">
            <v>13837</v>
          </cell>
          <cell r="C797" t="str">
            <v>UEC</v>
          </cell>
          <cell r="D797" t="str">
            <v>N</v>
          </cell>
          <cell r="E797" t="str">
            <v>A</v>
          </cell>
          <cell r="F797" t="str">
            <v>09/25/2003</v>
          </cell>
        </row>
        <row r="798">
          <cell r="B798" t="str">
            <v>13839</v>
          </cell>
          <cell r="C798" t="str">
            <v>UEC</v>
          </cell>
          <cell r="D798" t="str">
            <v>N</v>
          </cell>
          <cell r="E798" t="str">
            <v>A</v>
          </cell>
          <cell r="F798" t="str">
            <v>05/09/2003</v>
          </cell>
        </row>
        <row r="799">
          <cell r="B799" t="str">
            <v>13843</v>
          </cell>
          <cell r="C799" t="str">
            <v>UEC</v>
          </cell>
          <cell r="D799" t="str">
            <v>N</v>
          </cell>
          <cell r="E799" t="str">
            <v>A</v>
          </cell>
          <cell r="F799" t="str">
            <v>02/12/2003</v>
          </cell>
        </row>
        <row r="800">
          <cell r="B800" t="str">
            <v>13846</v>
          </cell>
          <cell r="C800" t="str">
            <v>UEC</v>
          </cell>
          <cell r="D800" t="str">
            <v>N</v>
          </cell>
          <cell r="E800" t="str">
            <v>A</v>
          </cell>
          <cell r="F800" t="str">
            <v>05/09/2003</v>
          </cell>
        </row>
        <row r="801">
          <cell r="B801" t="str">
            <v>13847</v>
          </cell>
          <cell r="C801" t="str">
            <v>UEC</v>
          </cell>
          <cell r="D801" t="str">
            <v>N</v>
          </cell>
          <cell r="E801" t="str">
            <v>A</v>
          </cell>
          <cell r="F801" t="str">
            <v>03/31/2003</v>
          </cell>
        </row>
        <row r="802">
          <cell r="B802" t="str">
            <v>13851</v>
          </cell>
          <cell r="C802" t="str">
            <v>UEC</v>
          </cell>
          <cell r="D802" t="str">
            <v>N</v>
          </cell>
          <cell r="E802" t="str">
            <v>A</v>
          </cell>
          <cell r="F802" t="str">
            <v>09/25/2003</v>
          </cell>
        </row>
        <row r="803">
          <cell r="B803" t="str">
            <v>13853</v>
          </cell>
          <cell r="C803" t="str">
            <v>UEC</v>
          </cell>
          <cell r="D803" t="str">
            <v>N</v>
          </cell>
          <cell r="E803" t="str">
            <v>A</v>
          </cell>
          <cell r="F803" t="str">
            <v>09/25/2003</v>
          </cell>
        </row>
        <row r="804">
          <cell r="B804" t="str">
            <v>13854</v>
          </cell>
          <cell r="C804" t="str">
            <v>UEC</v>
          </cell>
          <cell r="D804" t="str">
            <v>N</v>
          </cell>
          <cell r="E804" t="str">
            <v>A</v>
          </cell>
          <cell r="F804" t="str">
            <v>04/02/2003</v>
          </cell>
        </row>
        <row r="805">
          <cell r="B805" t="str">
            <v>13878</v>
          </cell>
          <cell r="C805" t="str">
            <v>UEC</v>
          </cell>
          <cell r="D805" t="str">
            <v>N</v>
          </cell>
          <cell r="E805" t="str">
            <v>A</v>
          </cell>
          <cell r="F805" t="str">
            <v>12/02/2003</v>
          </cell>
        </row>
        <row r="806">
          <cell r="B806" t="str">
            <v>13879</v>
          </cell>
          <cell r="C806" t="str">
            <v>UEC</v>
          </cell>
          <cell r="D806" t="str">
            <v>N</v>
          </cell>
          <cell r="E806" t="str">
            <v>A</v>
          </cell>
          <cell r="F806" t="str">
            <v>04/25/2003</v>
          </cell>
        </row>
        <row r="807">
          <cell r="B807" t="str">
            <v>13894</v>
          </cell>
          <cell r="C807" t="str">
            <v>UEC</v>
          </cell>
          <cell r="D807" t="str">
            <v>N</v>
          </cell>
          <cell r="E807" t="str">
            <v>A</v>
          </cell>
          <cell r="F807" t="str">
            <v>08/15/2003</v>
          </cell>
        </row>
        <row r="808">
          <cell r="B808" t="str">
            <v>13913</v>
          </cell>
          <cell r="C808" t="str">
            <v>UEC</v>
          </cell>
          <cell r="D808" t="str">
            <v>N</v>
          </cell>
          <cell r="E808" t="str">
            <v>I</v>
          </cell>
          <cell r="F808" t="str">
            <v>11/15/2002</v>
          </cell>
        </row>
        <row r="809">
          <cell r="B809" t="str">
            <v>13921</v>
          </cell>
          <cell r="C809" t="str">
            <v>UEC</v>
          </cell>
          <cell r="D809" t="str">
            <v>N</v>
          </cell>
          <cell r="E809" t="str">
            <v>A</v>
          </cell>
          <cell r="F809" t="str">
            <v>08/20/2003</v>
          </cell>
        </row>
        <row r="810">
          <cell r="B810" t="str">
            <v>13930</v>
          </cell>
          <cell r="C810" t="str">
            <v>UEC</v>
          </cell>
          <cell r="D810" t="str">
            <v>N</v>
          </cell>
          <cell r="E810" t="str">
            <v>C</v>
          </cell>
          <cell r="F810" t="str">
            <v>12/09/2002</v>
          </cell>
        </row>
        <row r="811">
          <cell r="B811" t="str">
            <v>13942</v>
          </cell>
          <cell r="C811" t="str">
            <v>UEC</v>
          </cell>
          <cell r="D811" t="str">
            <v>N</v>
          </cell>
          <cell r="E811" t="str">
            <v>A</v>
          </cell>
          <cell r="F811" t="str">
            <v>02/10/2003</v>
          </cell>
        </row>
        <row r="812">
          <cell r="B812" t="str">
            <v>13955</v>
          </cell>
          <cell r="C812" t="str">
            <v>UEC</v>
          </cell>
          <cell r="D812" t="str">
            <v>N</v>
          </cell>
          <cell r="E812" t="str">
            <v>A</v>
          </cell>
          <cell r="F812" t="str">
            <v>05/12/2003</v>
          </cell>
        </row>
        <row r="813">
          <cell r="B813" t="str">
            <v>13963</v>
          </cell>
          <cell r="C813" t="str">
            <v>UEC</v>
          </cell>
          <cell r="D813" t="str">
            <v>N</v>
          </cell>
          <cell r="E813" t="str">
            <v>C</v>
          </cell>
          <cell r="F813" t="str">
            <v>12/13/2002</v>
          </cell>
        </row>
        <row r="814">
          <cell r="B814" t="str">
            <v>13980</v>
          </cell>
          <cell r="C814" t="str">
            <v>CIP</v>
          </cell>
          <cell r="D814" t="str">
            <v>N</v>
          </cell>
          <cell r="E814" t="str">
            <v>A</v>
          </cell>
          <cell r="F814" t="str">
            <v>02/13/2003</v>
          </cell>
        </row>
        <row r="815">
          <cell r="B815" t="str">
            <v>13987</v>
          </cell>
          <cell r="C815" t="str">
            <v>CIL</v>
          </cell>
          <cell r="D815" t="str">
            <v>N</v>
          </cell>
          <cell r="E815" t="str">
            <v>A</v>
          </cell>
          <cell r="F815" t="str">
            <v>10/21/2002</v>
          </cell>
        </row>
        <row r="816">
          <cell r="B816" t="str">
            <v>13988</v>
          </cell>
          <cell r="C816" t="str">
            <v>CIP</v>
          </cell>
          <cell r="D816" t="str">
            <v>N</v>
          </cell>
          <cell r="E816" t="str">
            <v>C</v>
          </cell>
          <cell r="F816" t="str">
            <v>09/10/2002</v>
          </cell>
        </row>
        <row r="817">
          <cell r="B817" t="str">
            <v>13989</v>
          </cell>
          <cell r="C817" t="str">
            <v>UEC</v>
          </cell>
          <cell r="D817" t="str">
            <v>N</v>
          </cell>
          <cell r="E817" t="str">
            <v>A</v>
          </cell>
          <cell r="F817" t="str">
            <v>10/02/2002</v>
          </cell>
        </row>
        <row r="818">
          <cell r="B818" t="str">
            <v>13992</v>
          </cell>
          <cell r="C818" t="str">
            <v>UEC</v>
          </cell>
          <cell r="D818" t="str">
            <v>N</v>
          </cell>
          <cell r="E818" t="str">
            <v>A</v>
          </cell>
          <cell r="F818" t="str">
            <v>09/11/2002</v>
          </cell>
        </row>
        <row r="819">
          <cell r="B819" t="str">
            <v>13993</v>
          </cell>
          <cell r="C819" t="str">
            <v>ADC</v>
          </cell>
          <cell r="D819" t="str">
            <v>N</v>
          </cell>
          <cell r="E819" t="str">
            <v>A</v>
          </cell>
          <cell r="F819" t="str">
            <v>08/30/2002</v>
          </cell>
        </row>
        <row r="820">
          <cell r="B820" t="str">
            <v>14009</v>
          </cell>
          <cell r="C820" t="str">
            <v>UEC</v>
          </cell>
          <cell r="D820" t="str">
            <v>N</v>
          </cell>
          <cell r="E820" t="str">
            <v>A</v>
          </cell>
          <cell r="F820" t="str">
            <v>02/18/2003</v>
          </cell>
        </row>
        <row r="821">
          <cell r="B821" t="str">
            <v>14010</v>
          </cell>
          <cell r="C821" t="str">
            <v>UEC</v>
          </cell>
          <cell r="D821" t="str">
            <v>N</v>
          </cell>
          <cell r="E821" t="str">
            <v>A</v>
          </cell>
          <cell r="F821" t="str">
            <v>07/24/2003</v>
          </cell>
        </row>
        <row r="822">
          <cell r="B822" t="str">
            <v>14013</v>
          </cell>
          <cell r="C822" t="str">
            <v>IHC</v>
          </cell>
          <cell r="D822" t="str">
            <v>N</v>
          </cell>
          <cell r="E822" t="str">
            <v>C</v>
          </cell>
          <cell r="F822" t="str">
            <v>09/17/2002</v>
          </cell>
        </row>
        <row r="823">
          <cell r="B823" t="str">
            <v>14024</v>
          </cell>
          <cell r="C823" t="str">
            <v>UEC</v>
          </cell>
          <cell r="D823" t="str">
            <v>N</v>
          </cell>
          <cell r="E823" t="str">
            <v>A</v>
          </cell>
          <cell r="F823" t="str">
            <v>08/07/2003</v>
          </cell>
        </row>
        <row r="824">
          <cell r="B824" t="str">
            <v>14028</v>
          </cell>
          <cell r="C824" t="str">
            <v>UDC</v>
          </cell>
          <cell r="D824" t="str">
            <v>N</v>
          </cell>
          <cell r="E824" t="str">
            <v>I</v>
          </cell>
          <cell r="F824" t="str">
            <v>09/05/2002</v>
          </cell>
        </row>
        <row r="825">
          <cell r="B825" t="str">
            <v>14039</v>
          </cell>
          <cell r="C825" t="str">
            <v>UEC</v>
          </cell>
          <cell r="D825" t="str">
            <v>N</v>
          </cell>
          <cell r="E825" t="str">
            <v>A</v>
          </cell>
          <cell r="F825" t="str">
            <v>06/30/2003</v>
          </cell>
        </row>
        <row r="826">
          <cell r="B826" t="str">
            <v>14055</v>
          </cell>
          <cell r="C826" t="str">
            <v>UEC</v>
          </cell>
          <cell r="D826" t="str">
            <v>N</v>
          </cell>
          <cell r="E826" t="str">
            <v>C</v>
          </cell>
          <cell r="F826" t="str">
            <v>09/12/2002</v>
          </cell>
        </row>
        <row r="827">
          <cell r="B827" t="str">
            <v>14057</v>
          </cell>
          <cell r="C827" t="str">
            <v>UEC</v>
          </cell>
          <cell r="D827" t="str">
            <v>N</v>
          </cell>
          <cell r="E827" t="str">
            <v>A</v>
          </cell>
          <cell r="F827" t="str">
            <v>09/16/2002</v>
          </cell>
        </row>
        <row r="828">
          <cell r="B828" t="str">
            <v>14058</v>
          </cell>
          <cell r="C828" t="str">
            <v>UEC</v>
          </cell>
          <cell r="D828" t="str">
            <v>N</v>
          </cell>
          <cell r="E828" t="str">
            <v>C</v>
          </cell>
          <cell r="F828" t="str">
            <v>10/25/2002</v>
          </cell>
        </row>
        <row r="829">
          <cell r="B829" t="str">
            <v>14068</v>
          </cell>
          <cell r="C829" t="str">
            <v>UEC</v>
          </cell>
          <cell r="D829" t="str">
            <v>N</v>
          </cell>
          <cell r="E829" t="str">
            <v>I</v>
          </cell>
          <cell r="F829" t="str">
            <v>10/14/2002</v>
          </cell>
        </row>
        <row r="830">
          <cell r="B830" t="str">
            <v>14109</v>
          </cell>
          <cell r="C830" t="str">
            <v>CIL</v>
          </cell>
          <cell r="D830" t="str">
            <v>N</v>
          </cell>
          <cell r="E830" t="str">
            <v>C</v>
          </cell>
          <cell r="F830" t="str">
            <v>11/25/2002</v>
          </cell>
        </row>
        <row r="831">
          <cell r="B831" t="str">
            <v>14114</v>
          </cell>
          <cell r="C831" t="str">
            <v>UEC</v>
          </cell>
          <cell r="D831" t="str">
            <v>N</v>
          </cell>
          <cell r="E831" t="str">
            <v>A</v>
          </cell>
          <cell r="F831" t="str">
            <v>02/13/2003</v>
          </cell>
        </row>
        <row r="832">
          <cell r="B832" t="str">
            <v>14115</v>
          </cell>
          <cell r="C832" t="str">
            <v>UEC</v>
          </cell>
          <cell r="D832" t="str">
            <v>N</v>
          </cell>
          <cell r="E832" t="str">
            <v>A</v>
          </cell>
          <cell r="F832" t="str">
            <v>12/11/2002</v>
          </cell>
        </row>
        <row r="833">
          <cell r="B833" t="str">
            <v>14117</v>
          </cell>
          <cell r="C833" t="str">
            <v>UEC</v>
          </cell>
          <cell r="D833" t="str">
            <v>N</v>
          </cell>
          <cell r="E833" t="str">
            <v>A</v>
          </cell>
          <cell r="F833" t="str">
            <v>02/13/2003</v>
          </cell>
        </row>
        <row r="834">
          <cell r="B834" t="str">
            <v>14119</v>
          </cell>
          <cell r="C834" t="str">
            <v>UEC</v>
          </cell>
          <cell r="D834" t="str">
            <v>N</v>
          </cell>
          <cell r="E834" t="str">
            <v>A</v>
          </cell>
          <cell r="F834" t="str">
            <v>02/13/2003</v>
          </cell>
        </row>
        <row r="835">
          <cell r="B835" t="str">
            <v>14120</v>
          </cell>
          <cell r="C835" t="str">
            <v>CIP</v>
          </cell>
          <cell r="D835" t="str">
            <v>N</v>
          </cell>
          <cell r="E835" t="str">
            <v>I</v>
          </cell>
          <cell r="F835" t="str">
            <v>11/26/2002</v>
          </cell>
        </row>
        <row r="836">
          <cell r="B836" t="str">
            <v>14121</v>
          </cell>
          <cell r="C836" t="str">
            <v>CIP</v>
          </cell>
          <cell r="D836" t="str">
            <v>N</v>
          </cell>
          <cell r="E836" t="str">
            <v>C</v>
          </cell>
          <cell r="F836" t="str">
            <v>11/29/2002</v>
          </cell>
        </row>
        <row r="837">
          <cell r="B837" t="str">
            <v>14128</v>
          </cell>
          <cell r="C837" t="str">
            <v>UEC</v>
          </cell>
          <cell r="D837" t="str">
            <v>N</v>
          </cell>
          <cell r="E837" t="str">
            <v>C</v>
          </cell>
          <cell r="F837" t="str">
            <v>12/13/2002</v>
          </cell>
        </row>
        <row r="838">
          <cell r="B838" t="str">
            <v>14130</v>
          </cell>
          <cell r="C838" t="str">
            <v>CIL</v>
          </cell>
          <cell r="D838" t="str">
            <v>N</v>
          </cell>
          <cell r="E838" t="str">
            <v>A</v>
          </cell>
          <cell r="F838" t="str">
            <v>01/16/2003</v>
          </cell>
        </row>
        <row r="839">
          <cell r="B839" t="str">
            <v>14142</v>
          </cell>
          <cell r="C839" t="str">
            <v>UEC</v>
          </cell>
          <cell r="D839" t="str">
            <v>N</v>
          </cell>
          <cell r="E839" t="str">
            <v>A</v>
          </cell>
          <cell r="F839" t="str">
            <v>12/12/2002</v>
          </cell>
        </row>
        <row r="840">
          <cell r="B840" t="str">
            <v>14149</v>
          </cell>
          <cell r="C840" t="str">
            <v>UEC</v>
          </cell>
          <cell r="D840" t="str">
            <v>N</v>
          </cell>
          <cell r="E840" t="str">
            <v>A</v>
          </cell>
          <cell r="F840" t="str">
            <v>12/19/2002</v>
          </cell>
        </row>
        <row r="841">
          <cell r="B841" t="str">
            <v>14154</v>
          </cell>
          <cell r="C841" t="str">
            <v>CIP</v>
          </cell>
          <cell r="D841" t="str">
            <v>N</v>
          </cell>
          <cell r="E841" t="str">
            <v>I</v>
          </cell>
          <cell r="F841" t="str">
            <v>01/09/2003</v>
          </cell>
        </row>
        <row r="842">
          <cell r="B842" t="str">
            <v>14154</v>
          </cell>
          <cell r="C842" t="str">
            <v>CIP</v>
          </cell>
          <cell r="D842" t="str">
            <v>N</v>
          </cell>
          <cell r="E842" t="str">
            <v>I</v>
          </cell>
          <cell r="F842" t="str">
            <v>01/09/2003</v>
          </cell>
        </row>
        <row r="843">
          <cell r="B843" t="str">
            <v>14160</v>
          </cell>
          <cell r="C843" t="str">
            <v>UEC</v>
          </cell>
          <cell r="D843" t="str">
            <v>N</v>
          </cell>
          <cell r="E843" t="str">
            <v>I</v>
          </cell>
          <cell r="F843" t="str">
            <v>01/17/2003</v>
          </cell>
        </row>
        <row r="844">
          <cell r="B844" t="str">
            <v>14170</v>
          </cell>
          <cell r="C844" t="str">
            <v>CIL</v>
          </cell>
          <cell r="D844" t="str">
            <v>N</v>
          </cell>
          <cell r="E844" t="str">
            <v>A</v>
          </cell>
          <cell r="F844" t="str">
            <v>02/14/2003</v>
          </cell>
        </row>
        <row r="845">
          <cell r="B845" t="str">
            <v>14174</v>
          </cell>
          <cell r="C845" t="str">
            <v>UEC</v>
          </cell>
          <cell r="D845" t="str">
            <v>N</v>
          </cell>
          <cell r="E845" t="str">
            <v>A</v>
          </cell>
          <cell r="F845" t="str">
            <v>02/14/2003</v>
          </cell>
        </row>
        <row r="846">
          <cell r="B846" t="str">
            <v>14175</v>
          </cell>
          <cell r="C846" t="str">
            <v>UEC</v>
          </cell>
          <cell r="D846" t="str">
            <v>N</v>
          </cell>
          <cell r="E846" t="str">
            <v>A</v>
          </cell>
          <cell r="F846" t="str">
            <v>02/14/2003</v>
          </cell>
        </row>
        <row r="847">
          <cell r="B847" t="str">
            <v>14179</v>
          </cell>
          <cell r="C847" t="str">
            <v>CIP</v>
          </cell>
          <cell r="D847" t="str">
            <v>N</v>
          </cell>
          <cell r="E847" t="str">
            <v>A</v>
          </cell>
          <cell r="F847" t="str">
            <v>10/02/2003</v>
          </cell>
        </row>
        <row r="848">
          <cell r="B848" t="str">
            <v>14181</v>
          </cell>
          <cell r="C848" t="str">
            <v>UEC</v>
          </cell>
          <cell r="D848" t="str">
            <v>N</v>
          </cell>
          <cell r="E848" t="str">
            <v>A</v>
          </cell>
          <cell r="F848" t="str">
            <v>02/11/2003</v>
          </cell>
        </row>
        <row r="849">
          <cell r="B849" t="str">
            <v>14185</v>
          </cell>
          <cell r="C849" t="str">
            <v>ARG</v>
          </cell>
          <cell r="D849" t="str">
            <v>N</v>
          </cell>
          <cell r="E849" t="str">
            <v>C</v>
          </cell>
          <cell r="F849" t="str">
            <v>09/03/2003</v>
          </cell>
        </row>
        <row r="850">
          <cell r="B850" t="str">
            <v>14186</v>
          </cell>
          <cell r="C850" t="str">
            <v>ARG</v>
          </cell>
          <cell r="D850" t="str">
            <v>N</v>
          </cell>
          <cell r="E850" t="str">
            <v>C</v>
          </cell>
          <cell r="F850" t="str">
            <v>09/03/2003</v>
          </cell>
        </row>
        <row r="851">
          <cell r="B851" t="str">
            <v>14192</v>
          </cell>
          <cell r="C851" t="str">
            <v>GEN</v>
          </cell>
          <cell r="D851" t="str">
            <v>N</v>
          </cell>
          <cell r="E851" t="str">
            <v>A</v>
          </cell>
          <cell r="F851" t="str">
            <v>03/04/2003</v>
          </cell>
        </row>
        <row r="852">
          <cell r="B852" t="str">
            <v>14202</v>
          </cell>
          <cell r="C852" t="str">
            <v>UEC</v>
          </cell>
          <cell r="D852" t="str">
            <v>N</v>
          </cell>
          <cell r="E852" t="str">
            <v>A</v>
          </cell>
          <cell r="F852" t="str">
            <v>03/06/2003</v>
          </cell>
        </row>
        <row r="853">
          <cell r="B853" t="str">
            <v>14206</v>
          </cell>
          <cell r="C853" t="str">
            <v>UEC</v>
          </cell>
          <cell r="D853" t="str">
            <v>N</v>
          </cell>
          <cell r="E853" t="str">
            <v>A</v>
          </cell>
          <cell r="F853" t="str">
            <v>05/29/2003</v>
          </cell>
        </row>
        <row r="854">
          <cell r="B854" t="str">
            <v>14212</v>
          </cell>
          <cell r="C854" t="str">
            <v>UEC</v>
          </cell>
          <cell r="D854" t="str">
            <v>N</v>
          </cell>
          <cell r="E854" t="str">
            <v>A</v>
          </cell>
          <cell r="F854" t="str">
            <v>03/20/2003</v>
          </cell>
        </row>
        <row r="855">
          <cell r="B855" t="str">
            <v>14216</v>
          </cell>
          <cell r="C855" t="str">
            <v>UEC</v>
          </cell>
          <cell r="D855" t="str">
            <v>N</v>
          </cell>
          <cell r="E855" t="str">
            <v>A</v>
          </cell>
          <cell r="F855" t="str">
            <v>03/27/2003</v>
          </cell>
        </row>
        <row r="856">
          <cell r="B856" t="str">
            <v>14218</v>
          </cell>
          <cell r="C856" t="str">
            <v>UEC</v>
          </cell>
          <cell r="D856" t="str">
            <v>N</v>
          </cell>
          <cell r="E856" t="str">
            <v>C</v>
          </cell>
          <cell r="F856" t="str">
            <v>04/01/2003</v>
          </cell>
        </row>
        <row r="857">
          <cell r="B857" t="str">
            <v>14224</v>
          </cell>
          <cell r="C857" t="str">
            <v>GEN</v>
          </cell>
          <cell r="D857" t="str">
            <v>N</v>
          </cell>
          <cell r="E857" t="str">
            <v>I</v>
          </cell>
          <cell r="F857" t="str">
            <v>03/27/2003</v>
          </cell>
        </row>
        <row r="858">
          <cell r="B858" t="str">
            <v>14224</v>
          </cell>
          <cell r="C858" t="str">
            <v>GEN</v>
          </cell>
          <cell r="D858" t="str">
            <v>N</v>
          </cell>
          <cell r="E858" t="str">
            <v>I</v>
          </cell>
          <cell r="F858" t="str">
            <v>03/27/2003</v>
          </cell>
        </row>
        <row r="859">
          <cell r="B859" t="str">
            <v>14227</v>
          </cell>
          <cell r="C859" t="str">
            <v>UEC</v>
          </cell>
          <cell r="D859" t="str">
            <v>N</v>
          </cell>
          <cell r="E859" t="str">
            <v>C</v>
          </cell>
          <cell r="F859" t="str">
            <v>03/28/2003</v>
          </cell>
        </row>
        <row r="860">
          <cell r="B860" t="str">
            <v>14229</v>
          </cell>
          <cell r="C860" t="str">
            <v>CIP</v>
          </cell>
          <cell r="D860" t="str">
            <v>N</v>
          </cell>
          <cell r="E860" t="str">
            <v>A</v>
          </cell>
          <cell r="F860" t="str">
            <v>04/01/2003</v>
          </cell>
        </row>
        <row r="861">
          <cell r="B861" t="str">
            <v>14252</v>
          </cell>
          <cell r="C861" t="str">
            <v>CIP</v>
          </cell>
          <cell r="D861" t="str">
            <v>N</v>
          </cell>
          <cell r="E861" t="str">
            <v>I</v>
          </cell>
          <cell r="F861" t="str">
            <v>04/11/2003</v>
          </cell>
        </row>
        <row r="862">
          <cell r="B862" t="str">
            <v>14253</v>
          </cell>
          <cell r="C862" t="str">
            <v>UEC</v>
          </cell>
          <cell r="D862" t="str">
            <v>N</v>
          </cell>
          <cell r="E862" t="str">
            <v>A</v>
          </cell>
          <cell r="F862" t="str">
            <v>07/23/2003</v>
          </cell>
        </row>
        <row r="863">
          <cell r="B863" t="str">
            <v>14264</v>
          </cell>
          <cell r="C863" t="str">
            <v>UEC</v>
          </cell>
          <cell r="D863" t="str">
            <v>N</v>
          </cell>
          <cell r="E863" t="str">
            <v>A</v>
          </cell>
          <cell r="F863" t="str">
            <v>01/20/2004</v>
          </cell>
        </row>
        <row r="864">
          <cell r="B864" t="str">
            <v>14266</v>
          </cell>
          <cell r="C864" t="str">
            <v>CIP</v>
          </cell>
          <cell r="D864" t="str">
            <v>N</v>
          </cell>
          <cell r="E864" t="str">
            <v>C</v>
          </cell>
          <cell r="F864" t="str">
            <v>04/25/2003</v>
          </cell>
        </row>
        <row r="865">
          <cell r="B865" t="str">
            <v>14278</v>
          </cell>
          <cell r="C865" t="str">
            <v>CIL</v>
          </cell>
          <cell r="D865" t="str">
            <v>N</v>
          </cell>
          <cell r="E865" t="str">
            <v>A</v>
          </cell>
          <cell r="F865" t="str">
            <v>01/09/2004</v>
          </cell>
        </row>
        <row r="866">
          <cell r="B866" t="str">
            <v>14279</v>
          </cell>
          <cell r="C866" t="str">
            <v>CIP</v>
          </cell>
          <cell r="D866" t="str">
            <v>N</v>
          </cell>
          <cell r="E866" t="str">
            <v>A</v>
          </cell>
          <cell r="F866" t="str">
            <v>05/01/2003</v>
          </cell>
        </row>
        <row r="867">
          <cell r="B867" t="str">
            <v>14281</v>
          </cell>
          <cell r="C867" t="str">
            <v>ARG</v>
          </cell>
          <cell r="D867" t="str">
            <v>N</v>
          </cell>
          <cell r="E867" t="str">
            <v>A</v>
          </cell>
          <cell r="F867" t="str">
            <v>09/03/2003</v>
          </cell>
        </row>
        <row r="868">
          <cell r="B868" t="str">
            <v>14283</v>
          </cell>
          <cell r="C868" t="str">
            <v>CIP</v>
          </cell>
          <cell r="D868" t="str">
            <v>N</v>
          </cell>
          <cell r="E868" t="str">
            <v>C</v>
          </cell>
          <cell r="F868" t="str">
            <v>05/12/2003</v>
          </cell>
        </row>
        <row r="869">
          <cell r="B869" t="str">
            <v>14289</v>
          </cell>
          <cell r="C869" t="str">
            <v>CIP</v>
          </cell>
          <cell r="D869" t="str">
            <v>N</v>
          </cell>
          <cell r="E869" t="str">
            <v>A</v>
          </cell>
          <cell r="F869" t="str">
            <v>05/28/2003</v>
          </cell>
        </row>
        <row r="870">
          <cell r="B870" t="str">
            <v>14291</v>
          </cell>
          <cell r="C870" t="str">
            <v>CIL</v>
          </cell>
          <cell r="D870" t="str">
            <v>N</v>
          </cell>
          <cell r="E870" t="str">
            <v>I</v>
          </cell>
          <cell r="F870" t="str">
            <v>09/17/2003</v>
          </cell>
        </row>
        <row r="871">
          <cell r="B871" t="str">
            <v>14291</v>
          </cell>
          <cell r="C871" t="str">
            <v>CIL</v>
          </cell>
          <cell r="D871" t="str">
            <v>N</v>
          </cell>
          <cell r="E871" t="str">
            <v>I</v>
          </cell>
          <cell r="F871" t="str">
            <v>09/17/2003</v>
          </cell>
        </row>
        <row r="872">
          <cell r="B872" t="str">
            <v>14292</v>
          </cell>
          <cell r="C872" t="str">
            <v>CIL</v>
          </cell>
          <cell r="D872" t="str">
            <v>N</v>
          </cell>
          <cell r="E872" t="str">
            <v>I</v>
          </cell>
          <cell r="F872" t="str">
            <v>09/16/2003</v>
          </cell>
        </row>
        <row r="873">
          <cell r="B873" t="str">
            <v>14292</v>
          </cell>
          <cell r="C873" t="str">
            <v>CIL</v>
          </cell>
          <cell r="D873" t="str">
            <v>N</v>
          </cell>
          <cell r="E873" t="str">
            <v>I</v>
          </cell>
          <cell r="F873" t="str">
            <v>09/16/2003</v>
          </cell>
        </row>
        <row r="874">
          <cell r="B874" t="str">
            <v>14294</v>
          </cell>
          <cell r="C874" t="str">
            <v>CIP</v>
          </cell>
          <cell r="D874" t="str">
            <v>N</v>
          </cell>
          <cell r="E874" t="str">
            <v>C</v>
          </cell>
          <cell r="F874" t="str">
            <v>05/12/2003</v>
          </cell>
        </row>
        <row r="875">
          <cell r="B875" t="str">
            <v>14295</v>
          </cell>
          <cell r="C875" t="str">
            <v>UEC</v>
          </cell>
          <cell r="D875" t="str">
            <v>N</v>
          </cell>
          <cell r="E875" t="str">
            <v>A</v>
          </cell>
          <cell r="F875" t="str">
            <v>05/14/2003</v>
          </cell>
        </row>
        <row r="876">
          <cell r="B876" t="str">
            <v>14304</v>
          </cell>
          <cell r="C876" t="str">
            <v>CIP</v>
          </cell>
          <cell r="D876" t="str">
            <v>N</v>
          </cell>
          <cell r="E876" t="str">
            <v>A</v>
          </cell>
          <cell r="F876" t="str">
            <v>05/19/2003</v>
          </cell>
        </row>
        <row r="877">
          <cell r="B877" t="str">
            <v>14308</v>
          </cell>
          <cell r="C877" t="str">
            <v>ARG</v>
          </cell>
          <cell r="D877" t="str">
            <v>N</v>
          </cell>
          <cell r="E877" t="str">
            <v>I</v>
          </cell>
          <cell r="F877" t="str">
            <v>09/12/2003</v>
          </cell>
        </row>
        <row r="878">
          <cell r="B878" t="str">
            <v>14314</v>
          </cell>
          <cell r="C878" t="str">
            <v>UEC</v>
          </cell>
          <cell r="D878" t="str">
            <v>N</v>
          </cell>
          <cell r="E878" t="str">
            <v>A</v>
          </cell>
          <cell r="F878" t="str">
            <v>05/28/2003</v>
          </cell>
        </row>
        <row r="879">
          <cell r="B879" t="str">
            <v>14318</v>
          </cell>
          <cell r="C879" t="str">
            <v>UEC</v>
          </cell>
          <cell r="D879" t="str">
            <v>N</v>
          </cell>
          <cell r="E879" t="str">
            <v>A</v>
          </cell>
          <cell r="F879" t="str">
            <v>06/09/2003</v>
          </cell>
        </row>
        <row r="880">
          <cell r="B880" t="str">
            <v>14319</v>
          </cell>
          <cell r="C880" t="str">
            <v>UEC</v>
          </cell>
          <cell r="D880" t="str">
            <v>N</v>
          </cell>
          <cell r="E880" t="str">
            <v>A</v>
          </cell>
          <cell r="F880" t="str">
            <v>05/28/2003</v>
          </cell>
        </row>
        <row r="881">
          <cell r="B881" t="str">
            <v>14320</v>
          </cell>
          <cell r="C881" t="str">
            <v>CIL</v>
          </cell>
          <cell r="D881" t="str">
            <v>N</v>
          </cell>
          <cell r="E881" t="str">
            <v>A</v>
          </cell>
          <cell r="F881" t="str">
            <v>06/02/2003</v>
          </cell>
        </row>
        <row r="882">
          <cell r="B882" t="str">
            <v>14326</v>
          </cell>
          <cell r="C882" t="str">
            <v>UEC</v>
          </cell>
          <cell r="D882" t="str">
            <v>N</v>
          </cell>
          <cell r="E882" t="str">
            <v>A</v>
          </cell>
          <cell r="F882" t="str">
            <v>06/05/2003</v>
          </cell>
        </row>
        <row r="883">
          <cell r="B883" t="str">
            <v>14332</v>
          </cell>
          <cell r="C883" t="str">
            <v>UEC</v>
          </cell>
          <cell r="D883" t="str">
            <v>N</v>
          </cell>
          <cell r="E883" t="str">
            <v>A</v>
          </cell>
          <cell r="F883" t="str">
            <v>06/12/2003</v>
          </cell>
        </row>
        <row r="884">
          <cell r="B884" t="str">
            <v>14334</v>
          </cell>
          <cell r="C884" t="str">
            <v>CIP</v>
          </cell>
          <cell r="D884" t="str">
            <v>N</v>
          </cell>
          <cell r="E884" t="str">
            <v>A</v>
          </cell>
          <cell r="F884" t="str">
            <v>06/17/2003</v>
          </cell>
        </row>
        <row r="885">
          <cell r="B885" t="str">
            <v>14345</v>
          </cell>
          <cell r="C885" t="str">
            <v>UEC</v>
          </cell>
          <cell r="D885" t="str">
            <v>N</v>
          </cell>
          <cell r="E885" t="str">
            <v>A</v>
          </cell>
          <cell r="F885" t="str">
            <v>07/25/2003</v>
          </cell>
        </row>
        <row r="886">
          <cell r="B886" t="str">
            <v>14351</v>
          </cell>
          <cell r="C886" t="str">
            <v>UEC</v>
          </cell>
          <cell r="D886" t="str">
            <v>N</v>
          </cell>
          <cell r="E886" t="str">
            <v>A</v>
          </cell>
          <cell r="F886" t="str">
            <v>11/25/2003</v>
          </cell>
        </row>
        <row r="887">
          <cell r="B887" t="str">
            <v>14363</v>
          </cell>
          <cell r="C887" t="str">
            <v>UEC</v>
          </cell>
          <cell r="D887" t="str">
            <v>N</v>
          </cell>
          <cell r="E887" t="str">
            <v>A</v>
          </cell>
          <cell r="F887" t="str">
            <v>11/06/2003</v>
          </cell>
        </row>
        <row r="888">
          <cell r="B888" t="str">
            <v>14380</v>
          </cell>
          <cell r="C888" t="str">
            <v>CIP</v>
          </cell>
          <cell r="D888" t="str">
            <v>N</v>
          </cell>
          <cell r="E888" t="str">
            <v>A</v>
          </cell>
          <cell r="F888" t="str">
            <v>06/25/2003</v>
          </cell>
        </row>
        <row r="889">
          <cell r="B889" t="str">
            <v>14381</v>
          </cell>
          <cell r="C889" t="str">
            <v>CIP</v>
          </cell>
          <cell r="D889" t="str">
            <v>N</v>
          </cell>
          <cell r="E889" t="str">
            <v>A</v>
          </cell>
          <cell r="F889" t="str">
            <v>06/26/2003</v>
          </cell>
        </row>
        <row r="890">
          <cell r="B890" t="str">
            <v>14384</v>
          </cell>
          <cell r="C890" t="str">
            <v>UEC</v>
          </cell>
          <cell r="D890" t="str">
            <v>N</v>
          </cell>
          <cell r="E890" t="str">
            <v>A</v>
          </cell>
          <cell r="F890" t="str">
            <v>06/30/2003</v>
          </cell>
        </row>
        <row r="891">
          <cell r="B891" t="str">
            <v>14390</v>
          </cell>
          <cell r="C891" t="str">
            <v>UEC</v>
          </cell>
          <cell r="D891" t="str">
            <v>N</v>
          </cell>
          <cell r="E891" t="str">
            <v>A</v>
          </cell>
          <cell r="F891" t="str">
            <v>06/26/2003</v>
          </cell>
        </row>
        <row r="892">
          <cell r="B892" t="str">
            <v>14396</v>
          </cell>
          <cell r="C892" t="str">
            <v>UEC</v>
          </cell>
          <cell r="D892" t="str">
            <v>N</v>
          </cell>
          <cell r="E892" t="str">
            <v>A</v>
          </cell>
          <cell r="F892" t="str">
            <v>07/02/2003</v>
          </cell>
        </row>
        <row r="893">
          <cell r="B893" t="str">
            <v>14421</v>
          </cell>
          <cell r="C893"/>
          <cell r="D893"/>
          <cell r="E893"/>
          <cell r="F893"/>
        </row>
        <row r="894">
          <cell r="B894" t="str">
            <v>14434</v>
          </cell>
          <cell r="C894" t="str">
            <v>UEC</v>
          </cell>
          <cell r="D894" t="str">
            <v>N</v>
          </cell>
          <cell r="E894" t="str">
            <v>A</v>
          </cell>
          <cell r="F894" t="str">
            <v>07/21/2003</v>
          </cell>
        </row>
        <row r="895">
          <cell r="B895" t="str">
            <v>14454</v>
          </cell>
          <cell r="C895" t="str">
            <v>UEC</v>
          </cell>
          <cell r="D895" t="str">
            <v>N</v>
          </cell>
          <cell r="E895" t="str">
            <v>A</v>
          </cell>
          <cell r="F895" t="str">
            <v>09/12/2003</v>
          </cell>
        </row>
        <row r="896">
          <cell r="B896" t="str">
            <v>14501</v>
          </cell>
          <cell r="C896" t="str">
            <v>CIP</v>
          </cell>
          <cell r="D896" t="str">
            <v>N</v>
          </cell>
          <cell r="E896" t="str">
            <v>A</v>
          </cell>
          <cell r="F896" t="str">
            <v>09/11/2003</v>
          </cell>
        </row>
        <row r="897">
          <cell r="B897" t="str">
            <v>14504</v>
          </cell>
          <cell r="C897" t="str">
            <v>CIL</v>
          </cell>
          <cell r="D897" t="str">
            <v>N</v>
          </cell>
          <cell r="E897" t="str">
            <v>A</v>
          </cell>
          <cell r="F897" t="str">
            <v>09/24/2003</v>
          </cell>
        </row>
        <row r="898">
          <cell r="B898" t="str">
            <v>14509</v>
          </cell>
          <cell r="C898" t="str">
            <v>UEC</v>
          </cell>
          <cell r="D898" t="str">
            <v>N</v>
          </cell>
          <cell r="E898" t="str">
            <v>A</v>
          </cell>
          <cell r="F898" t="str">
            <v>07/30/2003</v>
          </cell>
        </row>
        <row r="899">
          <cell r="B899" t="str">
            <v>14519</v>
          </cell>
          <cell r="C899" t="str">
            <v>UEC</v>
          </cell>
          <cell r="D899" t="str">
            <v>N</v>
          </cell>
          <cell r="E899" t="str">
            <v>A</v>
          </cell>
          <cell r="F899" t="str">
            <v>09/12/2003</v>
          </cell>
        </row>
        <row r="900">
          <cell r="B900" t="str">
            <v>14525</v>
          </cell>
          <cell r="C900" t="str">
            <v>UEC</v>
          </cell>
          <cell r="D900" t="str">
            <v>N</v>
          </cell>
          <cell r="E900" t="str">
            <v>A</v>
          </cell>
          <cell r="F900" t="str">
            <v>09/18/2003</v>
          </cell>
        </row>
        <row r="901">
          <cell r="B901" t="str">
            <v>14546</v>
          </cell>
          <cell r="C901" t="str">
            <v>UEC</v>
          </cell>
          <cell r="D901" t="str">
            <v>N</v>
          </cell>
          <cell r="E901" t="str">
            <v>A</v>
          </cell>
          <cell r="F901" t="str">
            <v>01/08/2004</v>
          </cell>
        </row>
        <row r="902">
          <cell r="B902" t="str">
            <v>14549</v>
          </cell>
          <cell r="C902" t="str">
            <v>CIL</v>
          </cell>
          <cell r="D902" t="str">
            <v>N</v>
          </cell>
          <cell r="E902" t="str">
            <v>A</v>
          </cell>
          <cell r="F902" t="str">
            <v>10/06/2003</v>
          </cell>
        </row>
        <row r="903">
          <cell r="B903" t="str">
            <v>14551</v>
          </cell>
          <cell r="C903" t="str">
            <v>CIL</v>
          </cell>
          <cell r="D903" t="str">
            <v>N</v>
          </cell>
          <cell r="E903" t="str">
            <v>A</v>
          </cell>
          <cell r="F903" t="str">
            <v>10/02/2003</v>
          </cell>
        </row>
        <row r="904">
          <cell r="B904" t="str">
            <v>14556</v>
          </cell>
          <cell r="C904" t="str">
            <v>CIL</v>
          </cell>
          <cell r="D904" t="str">
            <v>N</v>
          </cell>
          <cell r="E904" t="str">
            <v>A</v>
          </cell>
          <cell r="F904" t="str">
            <v>01/02/2004</v>
          </cell>
        </row>
        <row r="905">
          <cell r="B905" t="str">
            <v>14557</v>
          </cell>
          <cell r="C905" t="str">
            <v>CIL</v>
          </cell>
          <cell r="D905" t="str">
            <v>N</v>
          </cell>
          <cell r="E905" t="str">
            <v>A</v>
          </cell>
          <cell r="F905" t="str">
            <v>11/13/2003</v>
          </cell>
        </row>
        <row r="906">
          <cell r="B906" t="str">
            <v>14560</v>
          </cell>
          <cell r="C906" t="str">
            <v>UEC</v>
          </cell>
          <cell r="D906" t="str">
            <v>N</v>
          </cell>
          <cell r="E906" t="str">
            <v>A</v>
          </cell>
          <cell r="F906" t="str">
            <v>11/04/2003</v>
          </cell>
        </row>
        <row r="907">
          <cell r="B907" t="str">
            <v>14569</v>
          </cell>
          <cell r="C907" t="str">
            <v>AMC</v>
          </cell>
          <cell r="D907" t="str">
            <v>N</v>
          </cell>
          <cell r="E907" t="str">
            <v>A</v>
          </cell>
          <cell r="F907" t="str">
            <v>07/28/2003</v>
          </cell>
        </row>
        <row r="908">
          <cell r="B908" t="str">
            <v>14576</v>
          </cell>
          <cell r="C908" t="str">
            <v>UEC</v>
          </cell>
          <cell r="D908" t="str">
            <v>N</v>
          </cell>
          <cell r="E908" t="str">
            <v>A</v>
          </cell>
          <cell r="F908" t="str">
            <v>07/30/2003</v>
          </cell>
        </row>
        <row r="909">
          <cell r="B909" t="str">
            <v>14579</v>
          </cell>
          <cell r="C909" t="str">
            <v>UEC</v>
          </cell>
          <cell r="D909" t="str">
            <v>N</v>
          </cell>
          <cell r="E909" t="str">
            <v>A</v>
          </cell>
          <cell r="F909" t="str">
            <v>09/02/2003</v>
          </cell>
        </row>
        <row r="910">
          <cell r="B910" t="str">
            <v>14804</v>
          </cell>
          <cell r="C910" t="str">
            <v>ARG</v>
          </cell>
          <cell r="D910" t="str">
            <v>N</v>
          </cell>
          <cell r="E910" t="str">
            <v>C</v>
          </cell>
          <cell r="F910" t="str">
            <v>08/29/2003</v>
          </cell>
        </row>
        <row r="911">
          <cell r="B911" t="str">
            <v>14808</v>
          </cell>
          <cell r="C911" t="str">
            <v>UEC</v>
          </cell>
          <cell r="D911" t="str">
            <v>N</v>
          </cell>
          <cell r="E911" t="str">
            <v>A</v>
          </cell>
          <cell r="F911" t="str">
            <v>08/13/2003</v>
          </cell>
        </row>
        <row r="912">
          <cell r="B912" t="str">
            <v>14818</v>
          </cell>
          <cell r="C912" t="str">
            <v>UEC</v>
          </cell>
          <cell r="D912" t="str">
            <v>N</v>
          </cell>
          <cell r="E912" t="str">
            <v>A</v>
          </cell>
          <cell r="F912" t="str">
            <v>09/04/2003</v>
          </cell>
        </row>
        <row r="913">
          <cell r="B913" t="str">
            <v>14858</v>
          </cell>
          <cell r="C913" t="str">
            <v>UEC</v>
          </cell>
          <cell r="D913" t="str">
            <v>N</v>
          </cell>
          <cell r="E913" t="str">
            <v>A</v>
          </cell>
          <cell r="F913" t="str">
            <v>10/20/2003</v>
          </cell>
        </row>
        <row r="914">
          <cell r="B914" t="str">
            <v>14885</v>
          </cell>
          <cell r="C914" t="str">
            <v>UEC</v>
          </cell>
          <cell r="D914" t="str">
            <v>N</v>
          </cell>
          <cell r="E914" t="str">
            <v>A</v>
          </cell>
          <cell r="F914" t="str">
            <v>08/21/2003</v>
          </cell>
        </row>
        <row r="915">
          <cell r="B915" t="str">
            <v>14894</v>
          </cell>
          <cell r="C915" t="str">
            <v>UEC</v>
          </cell>
          <cell r="D915" t="str">
            <v>N</v>
          </cell>
          <cell r="E915" t="str">
            <v>A</v>
          </cell>
          <cell r="F915" t="str">
            <v>09/05/2003</v>
          </cell>
        </row>
        <row r="916">
          <cell r="B916" t="str">
            <v>14980</v>
          </cell>
          <cell r="C916" t="str">
            <v>CIP</v>
          </cell>
          <cell r="D916" t="str">
            <v>N</v>
          </cell>
          <cell r="E916" t="str">
            <v>A</v>
          </cell>
          <cell r="F916" t="str">
            <v>11/17/2003</v>
          </cell>
        </row>
        <row r="917">
          <cell r="B917" t="str">
            <v>14997</v>
          </cell>
          <cell r="C917" t="str">
            <v>CIL</v>
          </cell>
          <cell r="D917" t="str">
            <v>N</v>
          </cell>
          <cell r="E917" t="str">
            <v>A</v>
          </cell>
          <cell r="F917" t="str">
            <v>10/03/2003</v>
          </cell>
        </row>
        <row r="918">
          <cell r="B918" t="str">
            <v>15059</v>
          </cell>
          <cell r="C918" t="str">
            <v>CIP</v>
          </cell>
          <cell r="D918" t="str">
            <v>N</v>
          </cell>
          <cell r="E918" t="str">
            <v>I</v>
          </cell>
          <cell r="F918" t="str">
            <v>09/13/2003</v>
          </cell>
        </row>
        <row r="919">
          <cell r="B919" t="str">
            <v>15060</v>
          </cell>
          <cell r="C919" t="str">
            <v>UEC</v>
          </cell>
          <cell r="D919" t="str">
            <v>N</v>
          </cell>
          <cell r="E919" t="str">
            <v>A</v>
          </cell>
          <cell r="F919" t="str">
            <v>09/13/2003</v>
          </cell>
        </row>
        <row r="920">
          <cell r="B920" t="str">
            <v>15065</v>
          </cell>
          <cell r="C920" t="str">
            <v>CIC</v>
          </cell>
          <cell r="D920" t="str">
            <v>N</v>
          </cell>
          <cell r="E920" t="str">
            <v>I</v>
          </cell>
          <cell r="F920" t="str">
            <v>09/25/2003</v>
          </cell>
        </row>
        <row r="921">
          <cell r="B921" t="str">
            <v>15065</v>
          </cell>
          <cell r="C921" t="str">
            <v>CIC</v>
          </cell>
          <cell r="D921" t="str">
            <v>N</v>
          </cell>
          <cell r="E921" t="str">
            <v>I</v>
          </cell>
          <cell r="F921" t="str">
            <v>09/25/2003</v>
          </cell>
        </row>
        <row r="922">
          <cell r="B922" t="str">
            <v>15070</v>
          </cell>
          <cell r="C922" t="str">
            <v>ARG</v>
          </cell>
          <cell r="D922" t="str">
            <v>N</v>
          </cell>
          <cell r="E922" t="str">
            <v>A</v>
          </cell>
          <cell r="F922" t="str">
            <v>09/30/2003</v>
          </cell>
        </row>
        <row r="923">
          <cell r="B923" t="str">
            <v>15073</v>
          </cell>
          <cell r="C923" t="str">
            <v>UEC</v>
          </cell>
          <cell r="D923" t="str">
            <v>N</v>
          </cell>
          <cell r="E923" t="str">
            <v>A</v>
          </cell>
          <cell r="F923" t="str">
            <v>09/11/2003</v>
          </cell>
        </row>
        <row r="924">
          <cell r="B924" t="str">
            <v>15081</v>
          </cell>
          <cell r="C924" t="str">
            <v>CIL</v>
          </cell>
          <cell r="D924" t="str">
            <v>N</v>
          </cell>
          <cell r="E924" t="str">
            <v>A</v>
          </cell>
          <cell r="F924" t="str">
            <v>09/09/2003</v>
          </cell>
        </row>
        <row r="925">
          <cell r="B925" t="str">
            <v>15087</v>
          </cell>
          <cell r="C925" t="str">
            <v>UEC</v>
          </cell>
          <cell r="D925" t="str">
            <v>N</v>
          </cell>
          <cell r="E925" t="str">
            <v>A</v>
          </cell>
          <cell r="F925" t="str">
            <v>09/08/2003</v>
          </cell>
        </row>
        <row r="926">
          <cell r="B926" t="str">
            <v>15089</v>
          </cell>
          <cell r="C926" t="str">
            <v>UEC</v>
          </cell>
          <cell r="D926" t="str">
            <v>N</v>
          </cell>
          <cell r="E926" t="str">
            <v>A</v>
          </cell>
          <cell r="F926" t="str">
            <v>11/12/2003</v>
          </cell>
        </row>
        <row r="927">
          <cell r="B927" t="str">
            <v>15091</v>
          </cell>
          <cell r="C927" t="str">
            <v>UEC</v>
          </cell>
          <cell r="D927" t="str">
            <v>N</v>
          </cell>
          <cell r="E927" t="str">
            <v>A</v>
          </cell>
          <cell r="F927" t="str">
            <v>09/11/2003</v>
          </cell>
        </row>
        <row r="928">
          <cell r="B928" t="str">
            <v>15094</v>
          </cell>
          <cell r="C928" t="str">
            <v>CIL</v>
          </cell>
          <cell r="D928" t="str">
            <v>N</v>
          </cell>
          <cell r="E928" t="str">
            <v>I</v>
          </cell>
          <cell r="F928" t="str">
            <v>09/18/2003</v>
          </cell>
        </row>
        <row r="929">
          <cell r="B929" t="str">
            <v>15094</v>
          </cell>
          <cell r="C929" t="str">
            <v>CIL</v>
          </cell>
          <cell r="D929" t="str">
            <v>N</v>
          </cell>
          <cell r="E929" t="str">
            <v>I</v>
          </cell>
          <cell r="F929" t="str">
            <v>09/18/2003</v>
          </cell>
        </row>
        <row r="930">
          <cell r="B930" t="str">
            <v>15099</v>
          </cell>
          <cell r="C930" t="str">
            <v>UEC</v>
          </cell>
          <cell r="D930" t="str">
            <v>N</v>
          </cell>
          <cell r="E930" t="str">
            <v>A</v>
          </cell>
          <cell r="F930" t="str">
            <v>09/15/2003</v>
          </cell>
        </row>
        <row r="931">
          <cell r="B931" t="str">
            <v>15100</v>
          </cell>
          <cell r="C931" t="str">
            <v>CIL</v>
          </cell>
          <cell r="D931" t="str">
            <v>N</v>
          </cell>
          <cell r="E931" t="str">
            <v>A</v>
          </cell>
          <cell r="F931" t="str">
            <v>09/17/2003</v>
          </cell>
        </row>
        <row r="932">
          <cell r="B932" t="str">
            <v>15101</v>
          </cell>
          <cell r="C932" t="str">
            <v>CIL</v>
          </cell>
          <cell r="D932" t="str">
            <v>N</v>
          </cell>
          <cell r="E932" t="str">
            <v>A</v>
          </cell>
          <cell r="F932" t="str">
            <v>09/17/2003</v>
          </cell>
        </row>
        <row r="933">
          <cell r="B933" t="str">
            <v>15105</v>
          </cell>
          <cell r="C933" t="str">
            <v>CIL</v>
          </cell>
          <cell r="D933" t="str">
            <v>N</v>
          </cell>
          <cell r="E933" t="str">
            <v>A</v>
          </cell>
          <cell r="F933" t="str">
            <v>09/17/2003</v>
          </cell>
        </row>
        <row r="934">
          <cell r="B934" t="str">
            <v>15106</v>
          </cell>
          <cell r="C934" t="str">
            <v>ARG</v>
          </cell>
          <cell r="D934" t="str">
            <v>N</v>
          </cell>
          <cell r="E934" t="str">
            <v>A</v>
          </cell>
          <cell r="F934" t="str">
            <v>09/18/2003</v>
          </cell>
        </row>
        <row r="935">
          <cell r="B935" t="str">
            <v>15107</v>
          </cell>
          <cell r="C935" t="str">
            <v>ARG</v>
          </cell>
          <cell r="D935" t="str">
            <v>N</v>
          </cell>
          <cell r="E935" t="str">
            <v>A</v>
          </cell>
          <cell r="F935" t="str">
            <v>09/30/2003</v>
          </cell>
        </row>
        <row r="936">
          <cell r="B936" t="str">
            <v>15108</v>
          </cell>
          <cell r="C936" t="str">
            <v>ARG</v>
          </cell>
          <cell r="D936" t="str">
            <v>N</v>
          </cell>
          <cell r="E936" t="str">
            <v>A</v>
          </cell>
          <cell r="F936" t="str">
            <v>09/19/2003</v>
          </cell>
        </row>
        <row r="937">
          <cell r="B937" t="str">
            <v>15109</v>
          </cell>
          <cell r="C937" t="str">
            <v>ARG</v>
          </cell>
          <cell r="D937" t="str">
            <v>N</v>
          </cell>
          <cell r="E937" t="str">
            <v>A</v>
          </cell>
          <cell r="F937" t="str">
            <v>09/19/2003</v>
          </cell>
        </row>
        <row r="938">
          <cell r="B938" t="str">
            <v>15110</v>
          </cell>
          <cell r="C938" t="str">
            <v>CIP</v>
          </cell>
          <cell r="D938" t="str">
            <v>N</v>
          </cell>
          <cell r="E938" t="str">
            <v>A</v>
          </cell>
          <cell r="F938" t="str">
            <v>11/13/2003</v>
          </cell>
        </row>
        <row r="939">
          <cell r="B939" t="str">
            <v>15111</v>
          </cell>
          <cell r="C939" t="str">
            <v>ARG</v>
          </cell>
          <cell r="D939" t="str">
            <v>N</v>
          </cell>
          <cell r="E939" t="str">
            <v>A</v>
          </cell>
          <cell r="F939" t="str">
            <v>09/19/2003</v>
          </cell>
        </row>
        <row r="940">
          <cell r="B940" t="str">
            <v>15114</v>
          </cell>
          <cell r="C940" t="str">
            <v>CIL</v>
          </cell>
          <cell r="D940" t="str">
            <v>N</v>
          </cell>
          <cell r="E940" t="str">
            <v>I</v>
          </cell>
          <cell r="F940" t="str">
            <v>09/23/2003</v>
          </cell>
        </row>
        <row r="941">
          <cell r="B941" t="str">
            <v>15114</v>
          </cell>
          <cell r="C941" t="str">
            <v>CIL</v>
          </cell>
          <cell r="D941" t="str">
            <v>N</v>
          </cell>
          <cell r="E941" t="str">
            <v>I</v>
          </cell>
          <cell r="F941" t="str">
            <v>09/23/2003</v>
          </cell>
        </row>
        <row r="942">
          <cell r="B942" t="str">
            <v>15117</v>
          </cell>
          <cell r="C942" t="str">
            <v>CIP</v>
          </cell>
          <cell r="D942" t="str">
            <v>N</v>
          </cell>
          <cell r="E942" t="str">
            <v>A</v>
          </cell>
          <cell r="F942" t="str">
            <v>11/17/2003</v>
          </cell>
        </row>
        <row r="943">
          <cell r="B943" t="str">
            <v>15129</v>
          </cell>
          <cell r="C943" t="str">
            <v>UEC</v>
          </cell>
          <cell r="D943" t="str">
            <v>N</v>
          </cell>
          <cell r="E943" t="str">
            <v>A</v>
          </cell>
          <cell r="F943" t="str">
            <v>11/07/2003</v>
          </cell>
        </row>
        <row r="944">
          <cell r="B944" t="str">
            <v>15132</v>
          </cell>
          <cell r="C944" t="str">
            <v>UEC</v>
          </cell>
          <cell r="D944" t="str">
            <v>N</v>
          </cell>
          <cell r="E944" t="str">
            <v>A</v>
          </cell>
          <cell r="F944" t="str">
            <v>10/08/2003</v>
          </cell>
        </row>
        <row r="945">
          <cell r="B945" t="str">
            <v>15136</v>
          </cell>
          <cell r="C945" t="str">
            <v>CIL</v>
          </cell>
          <cell r="D945" t="str">
            <v>N</v>
          </cell>
          <cell r="E945" t="str">
            <v>I</v>
          </cell>
          <cell r="F945" t="str">
            <v>10/14/2003</v>
          </cell>
        </row>
        <row r="946">
          <cell r="B946" t="str">
            <v>15136</v>
          </cell>
          <cell r="C946" t="str">
            <v>CIL</v>
          </cell>
          <cell r="D946" t="str">
            <v>N</v>
          </cell>
          <cell r="E946" t="str">
            <v>I</v>
          </cell>
          <cell r="F946" t="str">
            <v>10/14/2003</v>
          </cell>
        </row>
        <row r="947">
          <cell r="B947" t="str">
            <v>15153</v>
          </cell>
          <cell r="C947" t="str">
            <v>CIL</v>
          </cell>
          <cell r="D947" t="str">
            <v>N</v>
          </cell>
          <cell r="E947" t="str">
            <v>I</v>
          </cell>
          <cell r="F947" t="str">
            <v>10/16/2003</v>
          </cell>
        </row>
        <row r="948">
          <cell r="B948" t="str">
            <v>15153</v>
          </cell>
          <cell r="C948" t="str">
            <v>CIL</v>
          </cell>
          <cell r="D948" t="str">
            <v>N</v>
          </cell>
          <cell r="E948" t="str">
            <v>I</v>
          </cell>
          <cell r="F948" t="str">
            <v>10/16/2003</v>
          </cell>
        </row>
        <row r="949">
          <cell r="B949" t="str">
            <v>15157</v>
          </cell>
          <cell r="C949" t="str">
            <v>UEC</v>
          </cell>
          <cell r="D949" t="str">
            <v>N</v>
          </cell>
          <cell r="E949" t="str">
            <v>A</v>
          </cell>
          <cell r="F949" t="str">
            <v>10/21/2003</v>
          </cell>
        </row>
        <row r="950">
          <cell r="B950" t="str">
            <v>15159</v>
          </cell>
          <cell r="C950" t="str">
            <v>CIL</v>
          </cell>
          <cell r="D950" t="str">
            <v>N</v>
          </cell>
          <cell r="E950" t="str">
            <v>I</v>
          </cell>
          <cell r="F950" t="str">
            <v>10/22/2003</v>
          </cell>
        </row>
        <row r="951">
          <cell r="B951" t="str">
            <v>15161</v>
          </cell>
          <cell r="C951" t="str">
            <v>CIL</v>
          </cell>
          <cell r="D951" t="str">
            <v>N</v>
          </cell>
          <cell r="E951" t="str">
            <v>I</v>
          </cell>
          <cell r="F951" t="str">
            <v>10/28/2003</v>
          </cell>
        </row>
        <row r="952">
          <cell r="B952" t="str">
            <v>15165</v>
          </cell>
          <cell r="C952" t="str">
            <v>CIL</v>
          </cell>
          <cell r="D952" t="str">
            <v>N</v>
          </cell>
          <cell r="E952" t="str">
            <v>I</v>
          </cell>
          <cell r="F952" t="str">
            <v>11/05/2003</v>
          </cell>
        </row>
        <row r="953">
          <cell r="B953" t="str">
            <v>15182</v>
          </cell>
          <cell r="C953" t="str">
            <v>CIL</v>
          </cell>
          <cell r="D953" t="str">
            <v>N</v>
          </cell>
          <cell r="E953" t="str">
            <v>I</v>
          </cell>
          <cell r="F953" t="str">
            <v>12/02/2003</v>
          </cell>
        </row>
        <row r="954">
          <cell r="B954" t="str">
            <v>15182</v>
          </cell>
          <cell r="C954" t="str">
            <v>CIL</v>
          </cell>
          <cell r="D954" t="str">
            <v>N</v>
          </cell>
          <cell r="E954" t="str">
            <v>I</v>
          </cell>
          <cell r="F954" t="str">
            <v>12/02/2003</v>
          </cell>
        </row>
        <row r="955">
          <cell r="B955" t="str">
            <v>15199</v>
          </cell>
          <cell r="C955" t="str">
            <v>UEC</v>
          </cell>
          <cell r="D955" t="str">
            <v>N</v>
          </cell>
          <cell r="E955" t="str">
            <v>A</v>
          </cell>
          <cell r="F955" t="str">
            <v>12/10/2003</v>
          </cell>
        </row>
        <row r="956">
          <cell r="B956" t="str">
            <v>15201</v>
          </cell>
          <cell r="C956" t="str">
            <v>CIL</v>
          </cell>
          <cell r="D956" t="str">
            <v>N</v>
          </cell>
          <cell r="E956" t="str">
            <v>A</v>
          </cell>
          <cell r="F956" t="str">
            <v>12/12/2003</v>
          </cell>
        </row>
        <row r="957">
          <cell r="B957" t="str">
            <v>15202</v>
          </cell>
          <cell r="C957" t="str">
            <v>ARG</v>
          </cell>
          <cell r="D957" t="str">
            <v>N</v>
          </cell>
          <cell r="E957" t="str">
            <v>I</v>
          </cell>
          <cell r="F957" t="str">
            <v>12/15/2003</v>
          </cell>
        </row>
        <row r="958">
          <cell r="B958" t="str">
            <v>15202</v>
          </cell>
          <cell r="C958" t="str">
            <v>ARG</v>
          </cell>
          <cell r="D958" t="str">
            <v>N</v>
          </cell>
          <cell r="E958" t="str">
            <v>I</v>
          </cell>
          <cell r="F958" t="str">
            <v>12/15/2003</v>
          </cell>
        </row>
        <row r="959">
          <cell r="B959" t="str">
            <v>15204</v>
          </cell>
          <cell r="C959" t="str">
            <v>UEC</v>
          </cell>
          <cell r="D959" t="str">
            <v>N</v>
          </cell>
          <cell r="E959" t="str">
            <v>A</v>
          </cell>
          <cell r="F959" t="str">
            <v>12/17/2003</v>
          </cell>
        </row>
        <row r="960">
          <cell r="B960" t="str">
            <v>15213</v>
          </cell>
          <cell r="C960" t="str">
            <v>UEC</v>
          </cell>
          <cell r="D960" t="str">
            <v>N</v>
          </cell>
          <cell r="E960" t="str">
            <v>A</v>
          </cell>
          <cell r="F960" t="str">
            <v>12/29/2003</v>
          </cell>
        </row>
        <row r="961">
          <cell r="B961" t="str">
            <v>15215</v>
          </cell>
          <cell r="C961" t="str">
            <v>UEC</v>
          </cell>
          <cell r="D961" t="str">
            <v>N</v>
          </cell>
          <cell r="E961" t="str">
            <v>A</v>
          </cell>
          <cell r="F961" t="str">
            <v>01/02/2004</v>
          </cell>
        </row>
        <row r="962">
          <cell r="B962" t="str">
            <v>15216</v>
          </cell>
          <cell r="C962" t="str">
            <v>UEC</v>
          </cell>
          <cell r="D962" t="str">
            <v>N</v>
          </cell>
          <cell r="E962" t="str">
            <v>A</v>
          </cell>
          <cell r="F962" t="str">
            <v>01/02/2004</v>
          </cell>
        </row>
        <row r="963">
          <cell r="B963" t="str">
            <v>15218</v>
          </cell>
          <cell r="C963" t="str">
            <v>UEC</v>
          </cell>
          <cell r="D963" t="str">
            <v>N</v>
          </cell>
          <cell r="E963" t="str">
            <v>A</v>
          </cell>
          <cell r="F963" t="str">
            <v>01/07/2004</v>
          </cell>
        </row>
        <row r="964">
          <cell r="B964" t="str">
            <v>15219</v>
          </cell>
          <cell r="C964" t="str">
            <v>UEC</v>
          </cell>
          <cell r="D964" t="str">
            <v>N</v>
          </cell>
          <cell r="E964" t="str">
            <v>A</v>
          </cell>
          <cell r="F964" t="str">
            <v>01/07/2004</v>
          </cell>
        </row>
        <row r="965">
          <cell r="B965" t="str">
            <v>15220</v>
          </cell>
          <cell r="C965" t="str">
            <v>CIP</v>
          </cell>
          <cell r="D965" t="str">
            <v>N</v>
          </cell>
          <cell r="E965" t="str">
            <v>I</v>
          </cell>
          <cell r="F965" t="str">
            <v>01/07/2004</v>
          </cell>
        </row>
        <row r="966">
          <cell r="B966" t="str">
            <v>15229</v>
          </cell>
          <cell r="C966" t="str">
            <v>UEC</v>
          </cell>
          <cell r="D966" t="str">
            <v>N</v>
          </cell>
          <cell r="E966" t="str">
            <v>I</v>
          </cell>
          <cell r="F966" t="str">
            <v>01/20/2004</v>
          </cell>
        </row>
        <row r="967">
          <cell r="B967" t="str">
            <v>15229</v>
          </cell>
          <cell r="C967" t="str">
            <v>UEC</v>
          </cell>
          <cell r="D967" t="str">
            <v>N</v>
          </cell>
          <cell r="E967" t="str">
            <v>I</v>
          </cell>
          <cell r="F967" t="str">
            <v>01/20/2004</v>
          </cell>
        </row>
        <row r="968">
          <cell r="B968" t="str">
            <v>15242</v>
          </cell>
          <cell r="C968" t="str">
            <v>UEC</v>
          </cell>
          <cell r="D968" t="str">
            <v>N</v>
          </cell>
          <cell r="E968" t="str">
            <v>I</v>
          </cell>
          <cell r="F968" t="str">
            <v>01/23/2004</v>
          </cell>
        </row>
        <row r="969">
          <cell r="B969" t="str">
            <v>15242</v>
          </cell>
          <cell r="C969" t="str">
            <v>UEC</v>
          </cell>
          <cell r="D969" t="str">
            <v>N</v>
          </cell>
          <cell r="E969" t="str">
            <v>I</v>
          </cell>
          <cell r="F969" t="str">
            <v>01/23/2004</v>
          </cell>
        </row>
        <row r="970">
          <cell r="B970" t="str">
            <v>15244</v>
          </cell>
          <cell r="C970" t="str">
            <v>UEC</v>
          </cell>
          <cell r="D970" t="str">
            <v>N</v>
          </cell>
          <cell r="E970" t="str">
            <v>I</v>
          </cell>
          <cell r="F970" t="str">
            <v>01/23/2004</v>
          </cell>
        </row>
        <row r="971">
          <cell r="B971" t="str">
            <v>15254</v>
          </cell>
          <cell r="C971" t="str">
            <v>CIP</v>
          </cell>
          <cell r="D971" t="str">
            <v>N</v>
          </cell>
          <cell r="E971" t="str">
            <v>C</v>
          </cell>
          <cell r="F971" t="str">
            <v>05/29/1998</v>
          </cell>
        </row>
        <row r="972">
          <cell r="B972" t="str">
            <v>15362</v>
          </cell>
          <cell r="C972" t="str">
            <v>CIP</v>
          </cell>
          <cell r="D972" t="str">
            <v>N</v>
          </cell>
          <cell r="E972" t="str">
            <v>C</v>
          </cell>
          <cell r="F972" t="str">
            <v>12/22/1997</v>
          </cell>
        </row>
        <row r="973">
          <cell r="B973" t="str">
            <v>38257</v>
          </cell>
          <cell r="C973" t="str">
            <v>CIP</v>
          </cell>
          <cell r="D973" t="str">
            <v>N</v>
          </cell>
          <cell r="E973" t="str">
            <v>C</v>
          </cell>
          <cell r="F973" t="str">
            <v>01/06/1998</v>
          </cell>
        </row>
        <row r="974">
          <cell r="B974" t="str">
            <v>0A001</v>
          </cell>
          <cell r="C974" t="str">
            <v>UEC</v>
          </cell>
          <cell r="D974" t="str">
            <v>N</v>
          </cell>
          <cell r="E974" t="str">
            <v>A</v>
          </cell>
          <cell r="F974" t="str">
            <v>12/06/1997</v>
          </cell>
        </row>
        <row r="975">
          <cell r="B975" t="str">
            <v>0A005</v>
          </cell>
          <cell r="C975" t="str">
            <v>UEC</v>
          </cell>
          <cell r="D975" t="str">
            <v>N</v>
          </cell>
          <cell r="E975" t="str">
            <v>A</v>
          </cell>
          <cell r="F975" t="str">
            <v>12/06/1997</v>
          </cell>
        </row>
        <row r="976">
          <cell r="B976" t="str">
            <v>0A006</v>
          </cell>
          <cell r="C976" t="str">
            <v>UEC</v>
          </cell>
          <cell r="D976" t="str">
            <v>N</v>
          </cell>
          <cell r="E976" t="str">
            <v>A</v>
          </cell>
          <cell r="F976" t="str">
            <v>12/06/1997</v>
          </cell>
        </row>
        <row r="977">
          <cell r="B977" t="str">
            <v>0A009</v>
          </cell>
          <cell r="C977" t="str">
            <v>UEC</v>
          </cell>
          <cell r="D977" t="str">
            <v>N</v>
          </cell>
          <cell r="E977" t="str">
            <v>A</v>
          </cell>
          <cell r="F977" t="str">
            <v>12/06/1997</v>
          </cell>
        </row>
        <row r="978">
          <cell r="B978" t="str">
            <v>0A010</v>
          </cell>
          <cell r="C978" t="str">
            <v>UEC</v>
          </cell>
          <cell r="D978" t="str">
            <v>N</v>
          </cell>
          <cell r="E978" t="str">
            <v>A</v>
          </cell>
          <cell r="F978" t="str">
            <v>02/14/2003</v>
          </cell>
        </row>
        <row r="979">
          <cell r="B979" t="str">
            <v>0A011</v>
          </cell>
          <cell r="C979" t="str">
            <v>UEC</v>
          </cell>
          <cell r="D979" t="str">
            <v>N</v>
          </cell>
          <cell r="E979" t="str">
            <v>A</v>
          </cell>
          <cell r="F979" t="str">
            <v>12/06/1997</v>
          </cell>
        </row>
        <row r="980">
          <cell r="B980" t="str">
            <v>0A012</v>
          </cell>
          <cell r="C980" t="str">
            <v>UEC</v>
          </cell>
          <cell r="D980" t="str">
            <v>N</v>
          </cell>
          <cell r="E980" t="str">
            <v>A</v>
          </cell>
          <cell r="F980" t="str">
            <v>12/06/1997</v>
          </cell>
        </row>
        <row r="981">
          <cell r="B981" t="str">
            <v>0A013</v>
          </cell>
          <cell r="C981" t="str">
            <v>UEC</v>
          </cell>
          <cell r="D981" t="str">
            <v>N</v>
          </cell>
          <cell r="E981" t="str">
            <v>A</v>
          </cell>
          <cell r="F981" t="str">
            <v>02/14/2003</v>
          </cell>
        </row>
        <row r="982">
          <cell r="B982" t="str">
            <v>0A014</v>
          </cell>
          <cell r="C982" t="str">
            <v>UEC</v>
          </cell>
          <cell r="D982" t="str">
            <v>N</v>
          </cell>
          <cell r="E982" t="str">
            <v>A</v>
          </cell>
          <cell r="F982" t="str">
            <v>02/14/2003</v>
          </cell>
        </row>
        <row r="983">
          <cell r="B983" t="str">
            <v>0A018</v>
          </cell>
          <cell r="C983" t="str">
            <v>UEC</v>
          </cell>
          <cell r="D983" t="str">
            <v>Y</v>
          </cell>
          <cell r="E983" t="str">
            <v>A</v>
          </cell>
          <cell r="F983" t="str">
            <v>07/06/2001</v>
          </cell>
        </row>
        <row r="984">
          <cell r="B984" t="str">
            <v>0A037</v>
          </cell>
          <cell r="C984" t="str">
            <v>UEC</v>
          </cell>
          <cell r="D984" t="str">
            <v>N</v>
          </cell>
          <cell r="E984" t="str">
            <v>A</v>
          </cell>
          <cell r="F984" t="str">
            <v>01/13/1998</v>
          </cell>
        </row>
        <row r="985">
          <cell r="B985" t="str">
            <v>0A039</v>
          </cell>
          <cell r="C985" t="str">
            <v>UEC</v>
          </cell>
          <cell r="D985" t="str">
            <v>N</v>
          </cell>
          <cell r="E985" t="str">
            <v>A</v>
          </cell>
          <cell r="F985" t="str">
            <v>01/12/1998</v>
          </cell>
        </row>
        <row r="986">
          <cell r="B986" t="str">
            <v>0A042</v>
          </cell>
          <cell r="C986" t="str">
            <v>UEC</v>
          </cell>
          <cell r="D986" t="str">
            <v>N</v>
          </cell>
          <cell r="E986" t="str">
            <v>C</v>
          </cell>
          <cell r="F986" t="str">
            <v>01/12/1998</v>
          </cell>
        </row>
        <row r="987">
          <cell r="B987" t="str">
            <v>0A043</v>
          </cell>
          <cell r="C987" t="str">
            <v>UEC</v>
          </cell>
          <cell r="D987" t="str">
            <v>N</v>
          </cell>
          <cell r="E987" t="str">
            <v>A</v>
          </cell>
          <cell r="F987" t="str">
            <v>01/12/1998</v>
          </cell>
        </row>
        <row r="988">
          <cell r="B988" t="str">
            <v>0A045</v>
          </cell>
          <cell r="C988" t="str">
            <v>UEC</v>
          </cell>
          <cell r="D988" t="str">
            <v>N</v>
          </cell>
          <cell r="E988" t="str">
            <v>A</v>
          </cell>
          <cell r="F988" t="str">
            <v>01/12/1998</v>
          </cell>
        </row>
        <row r="989">
          <cell r="B989" t="str">
            <v>0A046</v>
          </cell>
          <cell r="C989" t="str">
            <v>UEC</v>
          </cell>
          <cell r="D989" t="str">
            <v>N</v>
          </cell>
          <cell r="E989" t="str">
            <v>A</v>
          </cell>
          <cell r="F989" t="str">
            <v>01/12/1998</v>
          </cell>
        </row>
        <row r="990">
          <cell r="B990" t="str">
            <v>0A047</v>
          </cell>
          <cell r="C990" t="str">
            <v>UEC</v>
          </cell>
          <cell r="D990" t="str">
            <v>N</v>
          </cell>
          <cell r="E990" t="str">
            <v>A</v>
          </cell>
          <cell r="F990" t="str">
            <v>01/12/1998</v>
          </cell>
        </row>
        <row r="991">
          <cell r="B991" t="str">
            <v>0A048</v>
          </cell>
          <cell r="C991" t="str">
            <v>UEC</v>
          </cell>
          <cell r="D991" t="str">
            <v>N</v>
          </cell>
          <cell r="E991" t="str">
            <v>A</v>
          </cell>
          <cell r="F991" t="str">
            <v>01/12/1998</v>
          </cell>
        </row>
        <row r="992">
          <cell r="B992" t="str">
            <v>0A049</v>
          </cell>
          <cell r="C992" t="str">
            <v>UEC</v>
          </cell>
          <cell r="D992" t="str">
            <v>N</v>
          </cell>
          <cell r="E992" t="str">
            <v>A</v>
          </cell>
          <cell r="F992" t="str">
            <v>01/12/1998</v>
          </cell>
        </row>
        <row r="993">
          <cell r="B993" t="str">
            <v>0A076</v>
          </cell>
          <cell r="C993" t="str">
            <v>UEC</v>
          </cell>
          <cell r="D993" t="str">
            <v>N</v>
          </cell>
          <cell r="E993" t="str">
            <v>A</v>
          </cell>
          <cell r="F993" t="str">
            <v>06/08/1998</v>
          </cell>
        </row>
        <row r="994">
          <cell r="B994" t="str">
            <v>0A090</v>
          </cell>
          <cell r="C994" t="str">
            <v>UEC</v>
          </cell>
          <cell r="D994" t="str">
            <v>N</v>
          </cell>
          <cell r="E994" t="str">
            <v>A</v>
          </cell>
          <cell r="F994" t="str">
            <v>06/24/2003</v>
          </cell>
        </row>
        <row r="995">
          <cell r="B995" t="str">
            <v>0A091</v>
          </cell>
          <cell r="C995" t="str">
            <v>UEC</v>
          </cell>
          <cell r="D995" t="str">
            <v>N</v>
          </cell>
          <cell r="E995" t="str">
            <v>A</v>
          </cell>
          <cell r="F995" t="str">
            <v>11/13/1998</v>
          </cell>
        </row>
        <row r="996">
          <cell r="B996" t="str">
            <v>0A092</v>
          </cell>
          <cell r="C996" t="str">
            <v>UEC</v>
          </cell>
          <cell r="D996" t="str">
            <v>N</v>
          </cell>
          <cell r="E996" t="str">
            <v>A</v>
          </cell>
          <cell r="F996" t="str">
            <v>06/24/2003</v>
          </cell>
        </row>
        <row r="997">
          <cell r="B997" t="str">
            <v>0A093</v>
          </cell>
          <cell r="C997" t="str">
            <v>UEC</v>
          </cell>
          <cell r="D997" t="str">
            <v>N</v>
          </cell>
          <cell r="E997" t="str">
            <v>A</v>
          </cell>
          <cell r="F997" t="str">
            <v>06/24/2003</v>
          </cell>
        </row>
        <row r="998">
          <cell r="B998" t="str">
            <v>0A094</v>
          </cell>
          <cell r="C998" t="str">
            <v>UEC</v>
          </cell>
          <cell r="D998" t="str">
            <v>N</v>
          </cell>
          <cell r="E998" t="str">
            <v>A</v>
          </cell>
          <cell r="F998" t="str">
            <v>06/02/1998</v>
          </cell>
        </row>
        <row r="999">
          <cell r="B999" t="str">
            <v>0A095</v>
          </cell>
          <cell r="C999" t="str">
            <v>UEC</v>
          </cell>
          <cell r="D999" t="str">
            <v>N</v>
          </cell>
          <cell r="E999" t="str">
            <v>A</v>
          </cell>
          <cell r="F999" t="str">
            <v>06/24/2003</v>
          </cell>
        </row>
        <row r="1000">
          <cell r="B1000" t="str">
            <v>0A096</v>
          </cell>
          <cell r="C1000" t="str">
            <v>UEC</v>
          </cell>
          <cell r="D1000" t="str">
            <v>N</v>
          </cell>
          <cell r="E1000" t="str">
            <v>A</v>
          </cell>
          <cell r="F1000" t="str">
            <v>11/19/2001</v>
          </cell>
        </row>
        <row r="1001">
          <cell r="B1001" t="str">
            <v>0A100</v>
          </cell>
          <cell r="C1001" t="str">
            <v>UEC</v>
          </cell>
          <cell r="D1001" t="str">
            <v>N</v>
          </cell>
          <cell r="E1001" t="str">
            <v>A</v>
          </cell>
          <cell r="F1001" t="str">
            <v>02/14/2003</v>
          </cell>
        </row>
        <row r="1002">
          <cell r="B1002" t="str">
            <v>0A101</v>
          </cell>
          <cell r="C1002" t="str">
            <v>UEC</v>
          </cell>
          <cell r="D1002" t="str">
            <v>N</v>
          </cell>
          <cell r="E1002" t="str">
            <v>A</v>
          </cell>
          <cell r="F1002" t="str">
            <v>02/14/2003</v>
          </cell>
        </row>
        <row r="1003">
          <cell r="B1003" t="str">
            <v>0A113</v>
          </cell>
          <cell r="C1003" t="str">
            <v>UEC</v>
          </cell>
          <cell r="D1003" t="str">
            <v>N</v>
          </cell>
          <cell r="E1003" t="str">
            <v>I</v>
          </cell>
          <cell r="F1003" t="str">
            <v>04/14/1998</v>
          </cell>
        </row>
        <row r="1004">
          <cell r="B1004" t="str">
            <v>0A121</v>
          </cell>
          <cell r="C1004" t="str">
            <v>UEC</v>
          </cell>
          <cell r="D1004" t="str">
            <v>N</v>
          </cell>
          <cell r="E1004" t="str">
            <v>A</v>
          </cell>
          <cell r="F1004" t="str">
            <v>01/16/2003</v>
          </cell>
        </row>
        <row r="1005">
          <cell r="B1005" t="str">
            <v>0A125</v>
          </cell>
          <cell r="C1005" t="str">
            <v>UEC</v>
          </cell>
          <cell r="D1005" t="str">
            <v>N</v>
          </cell>
          <cell r="E1005" t="str">
            <v>A</v>
          </cell>
          <cell r="F1005" t="str">
            <v>12/06/1997</v>
          </cell>
        </row>
        <row r="1006">
          <cell r="B1006" t="str">
            <v>0A126</v>
          </cell>
          <cell r="C1006" t="str">
            <v>UEC</v>
          </cell>
          <cell r="D1006" t="str">
            <v>N</v>
          </cell>
          <cell r="E1006" t="str">
            <v>A</v>
          </cell>
          <cell r="F1006" t="str">
            <v>12/06/1997</v>
          </cell>
        </row>
        <row r="1007">
          <cell r="B1007" t="str">
            <v>0A127</v>
          </cell>
          <cell r="C1007" t="str">
            <v>UEC</v>
          </cell>
          <cell r="D1007" t="str">
            <v>N</v>
          </cell>
          <cell r="E1007" t="str">
            <v>A</v>
          </cell>
          <cell r="F1007" t="str">
            <v>12/07/2001</v>
          </cell>
        </row>
        <row r="1008">
          <cell r="B1008" t="str">
            <v>0A128</v>
          </cell>
          <cell r="C1008" t="str">
            <v>UEC</v>
          </cell>
          <cell r="D1008" t="str">
            <v>N</v>
          </cell>
          <cell r="E1008" t="str">
            <v>A</v>
          </cell>
          <cell r="F1008" t="str">
            <v>01/31/2002</v>
          </cell>
        </row>
        <row r="1009">
          <cell r="B1009" t="str">
            <v>0A190</v>
          </cell>
          <cell r="C1009" t="str">
            <v>UEC</v>
          </cell>
          <cell r="D1009" t="str">
            <v>N</v>
          </cell>
          <cell r="E1009" t="str">
            <v>A</v>
          </cell>
          <cell r="F1009" t="str">
            <v>06/27/2003</v>
          </cell>
        </row>
        <row r="1010">
          <cell r="B1010" t="str">
            <v>0A191</v>
          </cell>
          <cell r="C1010" t="str">
            <v>UEC</v>
          </cell>
          <cell r="D1010" t="str">
            <v>N</v>
          </cell>
          <cell r="E1010" t="str">
            <v>A</v>
          </cell>
          <cell r="F1010" t="str">
            <v>06/27/2003</v>
          </cell>
        </row>
        <row r="1011">
          <cell r="B1011" t="str">
            <v>0A192</v>
          </cell>
          <cell r="C1011" t="str">
            <v>UEC</v>
          </cell>
          <cell r="D1011" t="str">
            <v>N</v>
          </cell>
          <cell r="E1011" t="str">
            <v>A</v>
          </cell>
          <cell r="F1011" t="str">
            <v>06/27/2003</v>
          </cell>
        </row>
        <row r="1012">
          <cell r="B1012" t="str">
            <v>0A193</v>
          </cell>
          <cell r="C1012" t="str">
            <v>UEC</v>
          </cell>
          <cell r="D1012" t="str">
            <v>N</v>
          </cell>
          <cell r="E1012" t="str">
            <v>A</v>
          </cell>
          <cell r="F1012" t="str">
            <v>06/27/2003</v>
          </cell>
        </row>
        <row r="1013">
          <cell r="B1013" t="str">
            <v>0A194</v>
          </cell>
          <cell r="C1013" t="str">
            <v>UEC</v>
          </cell>
          <cell r="D1013" t="str">
            <v>N</v>
          </cell>
          <cell r="E1013" t="str">
            <v>A</v>
          </cell>
          <cell r="F1013" t="str">
            <v>06/13/2003</v>
          </cell>
        </row>
        <row r="1014">
          <cell r="B1014" t="str">
            <v>0A195</v>
          </cell>
          <cell r="C1014" t="str">
            <v>UEC</v>
          </cell>
          <cell r="D1014" t="str">
            <v>N</v>
          </cell>
          <cell r="E1014" t="str">
            <v>A</v>
          </cell>
          <cell r="F1014" t="str">
            <v>06/27/2003</v>
          </cell>
        </row>
        <row r="1015">
          <cell r="B1015" t="str">
            <v>0A197</v>
          </cell>
          <cell r="C1015" t="str">
            <v>UEC</v>
          </cell>
          <cell r="D1015" t="str">
            <v>N</v>
          </cell>
          <cell r="E1015" t="str">
            <v>A</v>
          </cell>
          <cell r="F1015" t="str">
            <v>02/13/2003</v>
          </cell>
        </row>
        <row r="1016">
          <cell r="B1016" t="str">
            <v>0A198</v>
          </cell>
          <cell r="C1016" t="str">
            <v>UEC</v>
          </cell>
          <cell r="D1016" t="str">
            <v>N</v>
          </cell>
          <cell r="E1016" t="str">
            <v>A</v>
          </cell>
          <cell r="F1016" t="str">
            <v>02/13/2003</v>
          </cell>
        </row>
        <row r="1017">
          <cell r="B1017" t="str">
            <v>0A198</v>
          </cell>
          <cell r="C1017" t="str">
            <v>UEC</v>
          </cell>
          <cell r="D1017" t="str">
            <v>N</v>
          </cell>
          <cell r="E1017" t="str">
            <v>A</v>
          </cell>
          <cell r="F1017" t="str">
            <v>02/13/2003</v>
          </cell>
        </row>
        <row r="1018">
          <cell r="B1018" t="str">
            <v>0A202</v>
          </cell>
          <cell r="C1018" t="str">
            <v>UEC</v>
          </cell>
          <cell r="D1018" t="str">
            <v>N</v>
          </cell>
          <cell r="E1018" t="str">
            <v>A</v>
          </cell>
          <cell r="F1018" t="str">
            <v>02/14/2003</v>
          </cell>
        </row>
        <row r="1019">
          <cell r="B1019" t="str">
            <v>0A203</v>
          </cell>
          <cell r="C1019" t="str">
            <v>UEC</v>
          </cell>
          <cell r="D1019" t="str">
            <v>N</v>
          </cell>
          <cell r="E1019" t="str">
            <v>A</v>
          </cell>
          <cell r="F1019" t="str">
            <v>02/03/2003</v>
          </cell>
        </row>
        <row r="1020">
          <cell r="B1020" t="str">
            <v>0A204</v>
          </cell>
          <cell r="C1020" t="str">
            <v>UEC</v>
          </cell>
          <cell r="D1020" t="str">
            <v>N</v>
          </cell>
          <cell r="E1020" t="str">
            <v>A</v>
          </cell>
          <cell r="F1020" t="str">
            <v>02/13/2003</v>
          </cell>
        </row>
        <row r="1021">
          <cell r="B1021" t="str">
            <v>0A205</v>
          </cell>
          <cell r="C1021" t="str">
            <v>UEC</v>
          </cell>
          <cell r="D1021" t="str">
            <v>N</v>
          </cell>
          <cell r="E1021" t="str">
            <v>A</v>
          </cell>
          <cell r="F1021" t="str">
            <v>02/13/2003</v>
          </cell>
        </row>
        <row r="1022">
          <cell r="B1022" t="str">
            <v>0A206</v>
          </cell>
          <cell r="C1022" t="str">
            <v>UEC</v>
          </cell>
          <cell r="D1022" t="str">
            <v>N</v>
          </cell>
          <cell r="E1022" t="str">
            <v>A</v>
          </cell>
          <cell r="F1022" t="str">
            <v>02/13/2003</v>
          </cell>
        </row>
        <row r="1023">
          <cell r="B1023" t="str">
            <v>0A207</v>
          </cell>
          <cell r="C1023" t="str">
            <v>UEC</v>
          </cell>
          <cell r="D1023" t="str">
            <v>N</v>
          </cell>
          <cell r="E1023" t="str">
            <v>A</v>
          </cell>
          <cell r="F1023" t="str">
            <v>02/13/2003</v>
          </cell>
        </row>
        <row r="1024">
          <cell r="B1024" t="str">
            <v>0A208</v>
          </cell>
          <cell r="C1024" t="str">
            <v>UEC</v>
          </cell>
          <cell r="D1024" t="str">
            <v>N</v>
          </cell>
          <cell r="E1024" t="str">
            <v>I</v>
          </cell>
          <cell r="F1024" t="str">
            <v>02/13/2003</v>
          </cell>
        </row>
        <row r="1025">
          <cell r="B1025" t="str">
            <v>0A209</v>
          </cell>
          <cell r="C1025" t="str">
            <v>UEC</v>
          </cell>
          <cell r="D1025" t="str">
            <v>N</v>
          </cell>
          <cell r="E1025" t="str">
            <v>A</v>
          </cell>
          <cell r="F1025" t="str">
            <v>02/13/2003</v>
          </cell>
        </row>
        <row r="1026">
          <cell r="B1026" t="str">
            <v>0A210</v>
          </cell>
          <cell r="C1026" t="str">
            <v>UEC</v>
          </cell>
          <cell r="D1026" t="str">
            <v>N</v>
          </cell>
          <cell r="E1026" t="str">
            <v>A</v>
          </cell>
          <cell r="F1026" t="str">
            <v>02/13/2003</v>
          </cell>
        </row>
        <row r="1027">
          <cell r="B1027" t="str">
            <v>0A211</v>
          </cell>
          <cell r="C1027" t="str">
            <v>UEC</v>
          </cell>
          <cell r="D1027" t="str">
            <v>N</v>
          </cell>
          <cell r="E1027" t="str">
            <v>A</v>
          </cell>
          <cell r="F1027" t="str">
            <v>02/13/2003</v>
          </cell>
        </row>
        <row r="1028">
          <cell r="B1028" t="str">
            <v>0A215</v>
          </cell>
          <cell r="C1028" t="str">
            <v>UEC</v>
          </cell>
          <cell r="D1028" t="str">
            <v>N</v>
          </cell>
          <cell r="E1028" t="str">
            <v>I</v>
          </cell>
          <cell r="F1028" t="str">
            <v>01/21/2004</v>
          </cell>
        </row>
        <row r="1029">
          <cell r="B1029" t="str">
            <v>0A215</v>
          </cell>
          <cell r="C1029" t="str">
            <v>UEC</v>
          </cell>
          <cell r="D1029" t="str">
            <v>N</v>
          </cell>
          <cell r="E1029" t="str">
            <v>I</v>
          </cell>
          <cell r="F1029" t="str">
            <v>01/21/2004</v>
          </cell>
        </row>
        <row r="1030">
          <cell r="B1030" t="str">
            <v>0A248</v>
          </cell>
          <cell r="C1030" t="str">
            <v>UEC</v>
          </cell>
          <cell r="D1030" t="str">
            <v>N</v>
          </cell>
          <cell r="E1030" t="str">
            <v>A</v>
          </cell>
          <cell r="F1030" t="str">
            <v>02/14/2003</v>
          </cell>
        </row>
        <row r="1031">
          <cell r="B1031" t="str">
            <v>0A290</v>
          </cell>
          <cell r="C1031" t="str">
            <v>UEC</v>
          </cell>
          <cell r="D1031" t="str">
            <v>N</v>
          </cell>
          <cell r="E1031" t="str">
            <v>A</v>
          </cell>
          <cell r="F1031" t="str">
            <v>06/27/2003</v>
          </cell>
        </row>
        <row r="1032">
          <cell r="B1032" t="str">
            <v>0A291</v>
          </cell>
          <cell r="C1032" t="str">
            <v>UEC</v>
          </cell>
          <cell r="D1032" t="str">
            <v>N</v>
          </cell>
          <cell r="E1032" t="str">
            <v>A</v>
          </cell>
          <cell r="F1032" t="str">
            <v>05/15/2003</v>
          </cell>
        </row>
        <row r="1033">
          <cell r="B1033" t="str">
            <v>0A292</v>
          </cell>
          <cell r="C1033" t="str">
            <v>UEC</v>
          </cell>
          <cell r="D1033" t="str">
            <v>N</v>
          </cell>
          <cell r="E1033" t="str">
            <v>I</v>
          </cell>
          <cell r="F1033" t="str">
            <v>06/27/2003</v>
          </cell>
        </row>
        <row r="1034">
          <cell r="B1034" t="str">
            <v>0A293</v>
          </cell>
          <cell r="C1034" t="str">
            <v>UEC</v>
          </cell>
          <cell r="D1034" t="str">
            <v>N</v>
          </cell>
          <cell r="E1034" t="str">
            <v>I</v>
          </cell>
          <cell r="F1034" t="str">
            <v>06/27/2003</v>
          </cell>
        </row>
        <row r="1035">
          <cell r="B1035" t="str">
            <v>0A294</v>
          </cell>
          <cell r="C1035" t="str">
            <v>UEC</v>
          </cell>
          <cell r="D1035" t="str">
            <v>N</v>
          </cell>
          <cell r="E1035" t="str">
            <v>A</v>
          </cell>
          <cell r="F1035" t="str">
            <v>06/16/1998</v>
          </cell>
        </row>
        <row r="1036">
          <cell r="B1036" t="str">
            <v>0A295</v>
          </cell>
          <cell r="C1036" t="str">
            <v>UEC</v>
          </cell>
          <cell r="D1036" t="str">
            <v>N</v>
          </cell>
          <cell r="E1036" t="str">
            <v>I</v>
          </cell>
          <cell r="F1036" t="str">
            <v>06/27/2003</v>
          </cell>
        </row>
        <row r="1037">
          <cell r="B1037" t="str">
            <v>0A392</v>
          </cell>
          <cell r="C1037" t="str">
            <v>UEC</v>
          </cell>
          <cell r="D1037" t="str">
            <v>N</v>
          </cell>
          <cell r="E1037" t="str">
            <v>A</v>
          </cell>
          <cell r="F1037" t="str">
            <v>05/14/2003</v>
          </cell>
        </row>
        <row r="1038">
          <cell r="B1038" t="str">
            <v>0A498</v>
          </cell>
          <cell r="C1038" t="str">
            <v>UEC</v>
          </cell>
          <cell r="D1038" t="str">
            <v>N</v>
          </cell>
          <cell r="E1038" t="str">
            <v>A</v>
          </cell>
          <cell r="F1038" t="str">
            <v>05/09/2003</v>
          </cell>
        </row>
        <row r="1039">
          <cell r="B1039" t="str">
            <v>0A499</v>
          </cell>
          <cell r="C1039" t="str">
            <v>UEC</v>
          </cell>
          <cell r="D1039" t="str">
            <v>N</v>
          </cell>
          <cell r="E1039" t="str">
            <v>A</v>
          </cell>
          <cell r="F1039" t="str">
            <v>08/27/2003</v>
          </cell>
        </row>
        <row r="1040">
          <cell r="B1040" t="str">
            <v>0A590</v>
          </cell>
          <cell r="C1040" t="str">
            <v>UEC</v>
          </cell>
          <cell r="D1040" t="str">
            <v>N</v>
          </cell>
          <cell r="E1040" t="str">
            <v>A</v>
          </cell>
          <cell r="F1040" t="str">
            <v>06/27/2003</v>
          </cell>
        </row>
        <row r="1041">
          <cell r="B1041" t="str">
            <v>0A591</v>
          </cell>
          <cell r="C1041" t="str">
            <v>UEC</v>
          </cell>
          <cell r="D1041" t="str">
            <v>N</v>
          </cell>
          <cell r="E1041" t="str">
            <v>A</v>
          </cell>
          <cell r="F1041" t="str">
            <v>06/27/2003</v>
          </cell>
        </row>
        <row r="1042">
          <cell r="B1042" t="str">
            <v>0A592</v>
          </cell>
          <cell r="C1042" t="str">
            <v>UEC</v>
          </cell>
          <cell r="D1042" t="str">
            <v>N</v>
          </cell>
          <cell r="E1042" t="str">
            <v>A</v>
          </cell>
          <cell r="F1042" t="str">
            <v>06/27/2003</v>
          </cell>
        </row>
        <row r="1043">
          <cell r="B1043" t="str">
            <v>0A593</v>
          </cell>
          <cell r="C1043" t="str">
            <v>UEC</v>
          </cell>
          <cell r="D1043" t="str">
            <v>N</v>
          </cell>
          <cell r="E1043" t="str">
            <v>A</v>
          </cell>
          <cell r="F1043" t="str">
            <v>06/27/2003</v>
          </cell>
        </row>
        <row r="1044">
          <cell r="B1044" t="str">
            <v>0A594</v>
          </cell>
          <cell r="C1044" t="str">
            <v>UEC</v>
          </cell>
          <cell r="D1044" t="str">
            <v>N</v>
          </cell>
          <cell r="E1044" t="str">
            <v>A</v>
          </cell>
          <cell r="F1044" t="str">
            <v>06/27/2003</v>
          </cell>
        </row>
        <row r="1045">
          <cell r="B1045" t="str">
            <v>0A595</v>
          </cell>
          <cell r="C1045" t="str">
            <v>UEC</v>
          </cell>
          <cell r="D1045" t="str">
            <v>N</v>
          </cell>
          <cell r="E1045" t="str">
            <v>A</v>
          </cell>
          <cell r="F1045" t="str">
            <v>06/27/2003</v>
          </cell>
        </row>
        <row r="1046">
          <cell r="B1046" t="str">
            <v>0A596</v>
          </cell>
          <cell r="C1046" t="str">
            <v>UEC</v>
          </cell>
          <cell r="D1046" t="str">
            <v>N</v>
          </cell>
          <cell r="E1046" t="str">
            <v>A</v>
          </cell>
          <cell r="F1046" t="str">
            <v>06/27/2003</v>
          </cell>
        </row>
        <row r="1047">
          <cell r="B1047" t="str">
            <v>0A597</v>
          </cell>
          <cell r="C1047" t="str">
            <v>UEC</v>
          </cell>
          <cell r="D1047" t="str">
            <v>N</v>
          </cell>
          <cell r="E1047" t="str">
            <v>A</v>
          </cell>
          <cell r="F1047" t="str">
            <v>06/27/2003</v>
          </cell>
        </row>
        <row r="1048">
          <cell r="B1048" t="str">
            <v>0A598</v>
          </cell>
          <cell r="C1048" t="str">
            <v>UEC</v>
          </cell>
          <cell r="D1048" t="str">
            <v>N</v>
          </cell>
          <cell r="E1048" t="str">
            <v>A</v>
          </cell>
          <cell r="F1048" t="str">
            <v>06/27/2003</v>
          </cell>
        </row>
        <row r="1049">
          <cell r="B1049" t="str">
            <v>0A599</v>
          </cell>
          <cell r="C1049" t="str">
            <v>UEC</v>
          </cell>
          <cell r="D1049" t="str">
            <v>N</v>
          </cell>
          <cell r="E1049" t="str">
            <v>A</v>
          </cell>
          <cell r="F1049" t="str">
            <v>06/27/2003</v>
          </cell>
        </row>
        <row r="1050">
          <cell r="B1050" t="str">
            <v>0A690</v>
          </cell>
          <cell r="C1050" t="str">
            <v>UEC</v>
          </cell>
          <cell r="D1050" t="str">
            <v>N</v>
          </cell>
          <cell r="E1050" t="str">
            <v>A</v>
          </cell>
          <cell r="F1050" t="str">
            <v>06/24/1998</v>
          </cell>
        </row>
        <row r="1051">
          <cell r="B1051" t="str">
            <v>0A691</v>
          </cell>
          <cell r="C1051" t="str">
            <v>UEC</v>
          </cell>
          <cell r="D1051" t="str">
            <v>N</v>
          </cell>
          <cell r="E1051" t="str">
            <v>A</v>
          </cell>
          <cell r="F1051" t="str">
            <v>06/27/2003</v>
          </cell>
        </row>
        <row r="1052">
          <cell r="B1052" t="str">
            <v>0A692</v>
          </cell>
          <cell r="C1052" t="str">
            <v>UEC</v>
          </cell>
          <cell r="D1052" t="str">
            <v>N</v>
          </cell>
          <cell r="E1052" t="str">
            <v>A</v>
          </cell>
          <cell r="F1052" t="str">
            <v>06/27/2003</v>
          </cell>
        </row>
        <row r="1053">
          <cell r="B1053" t="str">
            <v>0A693</v>
          </cell>
          <cell r="C1053" t="str">
            <v>UEC</v>
          </cell>
          <cell r="D1053" t="str">
            <v>N</v>
          </cell>
          <cell r="E1053" t="str">
            <v>A</v>
          </cell>
          <cell r="F1053" t="str">
            <v>06/27/2003</v>
          </cell>
        </row>
        <row r="1054">
          <cell r="B1054" t="str">
            <v>0A694</v>
          </cell>
          <cell r="C1054" t="str">
            <v>UEC</v>
          </cell>
          <cell r="D1054" t="str">
            <v>N</v>
          </cell>
          <cell r="E1054" t="str">
            <v>A</v>
          </cell>
          <cell r="F1054" t="str">
            <v>05/14/2003</v>
          </cell>
        </row>
        <row r="1055">
          <cell r="B1055" t="str">
            <v>0A695</v>
          </cell>
          <cell r="C1055" t="str">
            <v>UEC</v>
          </cell>
          <cell r="D1055" t="str">
            <v>N</v>
          </cell>
          <cell r="E1055" t="str">
            <v>A</v>
          </cell>
          <cell r="F1055" t="str">
            <v>06/13/2003</v>
          </cell>
        </row>
        <row r="1056">
          <cell r="B1056" t="str">
            <v>0A696</v>
          </cell>
          <cell r="C1056" t="str">
            <v>UEC</v>
          </cell>
          <cell r="D1056" t="str">
            <v>N</v>
          </cell>
          <cell r="E1056" t="str">
            <v>A</v>
          </cell>
          <cell r="F1056" t="str">
            <v>06/27/2003</v>
          </cell>
        </row>
        <row r="1057">
          <cell r="B1057" t="str">
            <v>0A697</v>
          </cell>
          <cell r="C1057" t="str">
            <v>UEC</v>
          </cell>
          <cell r="D1057" t="str">
            <v>N</v>
          </cell>
          <cell r="E1057" t="str">
            <v>A</v>
          </cell>
          <cell r="F1057" t="str">
            <v>06/27/2003</v>
          </cell>
        </row>
        <row r="1058">
          <cell r="B1058" t="str">
            <v>0A698</v>
          </cell>
          <cell r="C1058" t="str">
            <v>UEC</v>
          </cell>
          <cell r="D1058" t="str">
            <v>N</v>
          </cell>
          <cell r="E1058" t="str">
            <v>A</v>
          </cell>
          <cell r="F1058" t="str">
            <v>06/27/2003</v>
          </cell>
        </row>
        <row r="1059">
          <cell r="B1059" t="str">
            <v>0A699</v>
          </cell>
          <cell r="C1059" t="str">
            <v>UEC</v>
          </cell>
          <cell r="D1059" t="str">
            <v>N</v>
          </cell>
          <cell r="E1059" t="str">
            <v>A</v>
          </cell>
          <cell r="F1059" t="str">
            <v>06/27/2003</v>
          </cell>
        </row>
        <row r="1060">
          <cell r="B1060" t="str">
            <v>0A792</v>
          </cell>
          <cell r="C1060" t="str">
            <v>UEC</v>
          </cell>
          <cell r="D1060" t="str">
            <v>N</v>
          </cell>
          <cell r="E1060" t="str">
            <v>A</v>
          </cell>
          <cell r="F1060" t="str">
            <v>05/14/2003</v>
          </cell>
        </row>
        <row r="1061">
          <cell r="B1061" t="str">
            <v>0A793</v>
          </cell>
          <cell r="C1061" t="str">
            <v>UEC</v>
          </cell>
          <cell r="D1061" t="str">
            <v>N</v>
          </cell>
          <cell r="E1061" t="str">
            <v>A</v>
          </cell>
          <cell r="F1061" t="str">
            <v>06/13/2003</v>
          </cell>
        </row>
        <row r="1062">
          <cell r="B1062" t="str">
            <v>0A896</v>
          </cell>
          <cell r="C1062" t="str">
            <v>UEC</v>
          </cell>
          <cell r="D1062" t="str">
            <v>N</v>
          </cell>
          <cell r="E1062" t="str">
            <v>C</v>
          </cell>
          <cell r="F1062" t="str">
            <v>05/14/2003</v>
          </cell>
        </row>
        <row r="1063">
          <cell r="B1063" t="str">
            <v>0A990</v>
          </cell>
          <cell r="C1063" t="str">
            <v>UEC</v>
          </cell>
          <cell r="D1063" t="str">
            <v>N</v>
          </cell>
          <cell r="E1063" t="str">
            <v>A</v>
          </cell>
          <cell r="F1063" t="str">
            <v>06/24/2003</v>
          </cell>
        </row>
        <row r="1064">
          <cell r="B1064" t="str">
            <v>0A991</v>
          </cell>
          <cell r="C1064" t="str">
            <v>UEC</v>
          </cell>
          <cell r="D1064" t="str">
            <v>N</v>
          </cell>
          <cell r="E1064" t="str">
            <v>A</v>
          </cell>
          <cell r="F1064" t="str">
            <v>06/24/2003</v>
          </cell>
        </row>
        <row r="1065">
          <cell r="B1065" t="str">
            <v>0A992</v>
          </cell>
          <cell r="C1065" t="str">
            <v>UEC</v>
          </cell>
          <cell r="D1065" t="str">
            <v>N</v>
          </cell>
          <cell r="E1065" t="str">
            <v>A</v>
          </cell>
          <cell r="F1065" t="str">
            <v>06/24/2003</v>
          </cell>
        </row>
        <row r="1066">
          <cell r="B1066" t="str">
            <v>0A993</v>
          </cell>
          <cell r="C1066" t="str">
            <v>UEC</v>
          </cell>
          <cell r="D1066" t="str">
            <v>N</v>
          </cell>
          <cell r="E1066" t="str">
            <v>A</v>
          </cell>
          <cell r="F1066" t="str">
            <v>05/15/2003</v>
          </cell>
        </row>
        <row r="1067">
          <cell r="B1067" t="str">
            <v>0A994</v>
          </cell>
          <cell r="C1067" t="str">
            <v>UEC</v>
          </cell>
          <cell r="D1067" t="str">
            <v>N</v>
          </cell>
          <cell r="E1067" t="str">
            <v>A</v>
          </cell>
          <cell r="F1067" t="str">
            <v>06/13/2003</v>
          </cell>
        </row>
        <row r="1068">
          <cell r="B1068" t="str">
            <v>0A995</v>
          </cell>
          <cell r="C1068" t="str">
            <v>UEC</v>
          </cell>
          <cell r="D1068" t="str">
            <v>N</v>
          </cell>
          <cell r="E1068" t="str">
            <v>A</v>
          </cell>
          <cell r="F1068" t="str">
            <v>06/24/2003</v>
          </cell>
        </row>
        <row r="1069">
          <cell r="B1069" t="str">
            <v>0A996</v>
          </cell>
          <cell r="C1069" t="str">
            <v>UEC</v>
          </cell>
          <cell r="D1069" t="str">
            <v>N</v>
          </cell>
          <cell r="E1069" t="str">
            <v>A</v>
          </cell>
          <cell r="F1069" t="str">
            <v>06/16/1998</v>
          </cell>
        </row>
        <row r="1070">
          <cell r="B1070" t="str">
            <v>0A997</v>
          </cell>
          <cell r="C1070" t="str">
            <v>UEC</v>
          </cell>
          <cell r="D1070" t="str">
            <v>N</v>
          </cell>
          <cell r="E1070" t="str">
            <v>A</v>
          </cell>
          <cell r="F1070" t="str">
            <v>06/24/2003</v>
          </cell>
        </row>
        <row r="1071">
          <cell r="B1071" t="str">
            <v>0A998</v>
          </cell>
          <cell r="C1071" t="str">
            <v>UEC</v>
          </cell>
          <cell r="D1071" t="str">
            <v>N</v>
          </cell>
          <cell r="E1071" t="str">
            <v>A</v>
          </cell>
          <cell r="F1071" t="str">
            <v>07/06/1998</v>
          </cell>
        </row>
        <row r="1072">
          <cell r="B1072" t="str">
            <v>0A999</v>
          </cell>
          <cell r="C1072" t="str">
            <v>UEC</v>
          </cell>
          <cell r="D1072" t="str">
            <v>N</v>
          </cell>
          <cell r="E1072" t="str">
            <v>A</v>
          </cell>
          <cell r="F1072" t="str">
            <v>06/24/2003</v>
          </cell>
        </row>
        <row r="1073">
          <cell r="B1073" t="str">
            <v>0B001</v>
          </cell>
          <cell r="C1073" t="str">
            <v>UEC</v>
          </cell>
          <cell r="D1073" t="str">
            <v>N</v>
          </cell>
          <cell r="E1073" t="str">
            <v>A</v>
          </cell>
          <cell r="F1073" t="str">
            <v>02/12/1999</v>
          </cell>
        </row>
        <row r="1074">
          <cell r="B1074" t="str">
            <v>0B192</v>
          </cell>
          <cell r="C1074" t="str">
            <v>UEC</v>
          </cell>
          <cell r="D1074" t="str">
            <v>N</v>
          </cell>
          <cell r="E1074" t="str">
            <v>A</v>
          </cell>
          <cell r="F1074" t="str">
            <v>02/01/2002</v>
          </cell>
        </row>
        <row r="1075">
          <cell r="B1075" t="str">
            <v>0B292</v>
          </cell>
          <cell r="C1075" t="str">
            <v>UEC</v>
          </cell>
          <cell r="D1075" t="str">
            <v>N</v>
          </cell>
          <cell r="E1075" t="str">
            <v>A</v>
          </cell>
          <cell r="F1075" t="str">
            <v>02/01/2002</v>
          </cell>
        </row>
        <row r="1076">
          <cell r="B1076" t="str">
            <v>0B394</v>
          </cell>
          <cell r="C1076" t="str">
            <v>UEC</v>
          </cell>
          <cell r="D1076" t="str">
            <v>N</v>
          </cell>
          <cell r="E1076" t="str">
            <v>A</v>
          </cell>
          <cell r="F1076" t="str">
            <v>05/14/2003</v>
          </cell>
        </row>
        <row r="1077">
          <cell r="B1077" t="str">
            <v>0B395</v>
          </cell>
          <cell r="C1077" t="str">
            <v>UEC</v>
          </cell>
          <cell r="D1077" t="str">
            <v>N</v>
          </cell>
          <cell r="E1077" t="str">
            <v>A</v>
          </cell>
          <cell r="F1077" t="str">
            <v>06/13/2003</v>
          </cell>
        </row>
        <row r="1078">
          <cell r="B1078" t="str">
            <v>0B590</v>
          </cell>
          <cell r="C1078" t="str">
            <v>UEC</v>
          </cell>
          <cell r="D1078" t="str">
            <v>N</v>
          </cell>
          <cell r="E1078" t="str">
            <v>C</v>
          </cell>
          <cell r="F1078" t="str">
            <v>05/14/2003</v>
          </cell>
        </row>
        <row r="1079">
          <cell r="B1079" t="str">
            <v>0B592</v>
          </cell>
          <cell r="C1079" t="str">
            <v>UEC</v>
          </cell>
          <cell r="D1079" t="str">
            <v>N</v>
          </cell>
          <cell r="E1079" t="str">
            <v>A</v>
          </cell>
          <cell r="F1079" t="str">
            <v>12/19/2000</v>
          </cell>
        </row>
        <row r="1080">
          <cell r="B1080" t="str">
            <v>0K005</v>
          </cell>
          <cell r="C1080" t="str">
            <v>ERC</v>
          </cell>
          <cell r="D1080" t="str">
            <v>N</v>
          </cell>
          <cell r="E1080" t="str">
            <v>A</v>
          </cell>
          <cell r="F1080" t="str">
            <v>08/11/2000</v>
          </cell>
        </row>
        <row r="1081">
          <cell r="B1081" t="str">
            <v>0K009</v>
          </cell>
          <cell r="C1081" t="str">
            <v>UEC</v>
          </cell>
          <cell r="D1081" t="str">
            <v>N</v>
          </cell>
          <cell r="E1081" t="str">
            <v>A</v>
          </cell>
          <cell r="F1081" t="str">
            <v>08/18/2000</v>
          </cell>
        </row>
        <row r="1082">
          <cell r="B1082" t="str">
            <v>0K011</v>
          </cell>
          <cell r="C1082" t="str">
            <v>001D</v>
          </cell>
          <cell r="D1082" t="str">
            <v>Y</v>
          </cell>
          <cell r="E1082" t="str">
            <v>I</v>
          </cell>
          <cell r="F1082" t="str">
            <v>06/12/1998</v>
          </cell>
        </row>
        <row r="1083">
          <cell r="B1083" t="str">
            <v>0K012</v>
          </cell>
          <cell r="C1083" t="str">
            <v>001D</v>
          </cell>
          <cell r="D1083" t="str">
            <v>Y</v>
          </cell>
          <cell r="E1083" t="str">
            <v>I</v>
          </cell>
          <cell r="F1083" t="str">
            <v>08/09/1999</v>
          </cell>
        </row>
        <row r="1084">
          <cell r="B1084" t="str">
            <v>0K026</v>
          </cell>
          <cell r="C1084" t="str">
            <v>ERC</v>
          </cell>
          <cell r="D1084" t="str">
            <v>N</v>
          </cell>
          <cell r="E1084" t="str">
            <v>A</v>
          </cell>
          <cell r="F1084" t="str">
            <v>11/18/1999</v>
          </cell>
        </row>
        <row r="1085">
          <cell r="B1085" t="str">
            <v>0K028</v>
          </cell>
          <cell r="C1085" t="str">
            <v>UEC</v>
          </cell>
          <cell r="D1085" t="str">
            <v>N</v>
          </cell>
          <cell r="E1085" t="str">
            <v>A</v>
          </cell>
          <cell r="F1085" t="str">
            <v>01/06/1998</v>
          </cell>
        </row>
        <row r="1086">
          <cell r="B1086" t="str">
            <v>0K054</v>
          </cell>
          <cell r="C1086" t="str">
            <v>004F</v>
          </cell>
          <cell r="D1086" t="str">
            <v>N</v>
          </cell>
          <cell r="E1086" t="str">
            <v>A</v>
          </cell>
          <cell r="F1086" t="str">
            <v>07/01/1998</v>
          </cell>
        </row>
        <row r="1087">
          <cell r="B1087" t="str">
            <v>0K055</v>
          </cell>
          <cell r="C1087" t="str">
            <v>ERC</v>
          </cell>
          <cell r="D1087" t="str">
            <v>N</v>
          </cell>
          <cell r="E1087" t="str">
            <v>A</v>
          </cell>
          <cell r="F1087" t="str">
            <v>07/13/1998</v>
          </cell>
        </row>
        <row r="1088">
          <cell r="B1088" t="str">
            <v>0K056</v>
          </cell>
          <cell r="C1088" t="str">
            <v>AEC</v>
          </cell>
          <cell r="D1088" t="str">
            <v>N</v>
          </cell>
          <cell r="E1088" t="str">
            <v>A</v>
          </cell>
          <cell r="F1088" t="str">
            <v>07/17/1998</v>
          </cell>
        </row>
        <row r="1089">
          <cell r="B1089" t="str">
            <v>0K060</v>
          </cell>
          <cell r="C1089" t="str">
            <v>ERC</v>
          </cell>
          <cell r="D1089" t="str">
            <v>N</v>
          </cell>
          <cell r="E1089" t="str">
            <v>I</v>
          </cell>
          <cell r="F1089" t="str">
            <v>08/04/1998</v>
          </cell>
        </row>
        <row r="1090">
          <cell r="B1090" t="str">
            <v>0K063</v>
          </cell>
          <cell r="C1090" t="str">
            <v>ERC</v>
          </cell>
          <cell r="D1090" t="str">
            <v>N</v>
          </cell>
          <cell r="E1090" t="str">
            <v>A</v>
          </cell>
          <cell r="F1090" t="str">
            <v>10/05/1998</v>
          </cell>
        </row>
        <row r="1091">
          <cell r="B1091" t="str">
            <v>0K086</v>
          </cell>
          <cell r="C1091" t="str">
            <v>UEC</v>
          </cell>
          <cell r="D1091" t="str">
            <v>N</v>
          </cell>
          <cell r="E1091" t="str">
            <v>A</v>
          </cell>
          <cell r="F1091" t="str">
            <v>06/05/2000</v>
          </cell>
        </row>
        <row r="1092">
          <cell r="B1092" t="str">
            <v>0K091</v>
          </cell>
          <cell r="C1092" t="str">
            <v>UEC</v>
          </cell>
          <cell r="D1092" t="str">
            <v>N</v>
          </cell>
          <cell r="E1092" t="str">
            <v>A</v>
          </cell>
          <cell r="F1092" t="str">
            <v>08/31/2000</v>
          </cell>
        </row>
        <row r="1093">
          <cell r="B1093" t="str">
            <v>0K092</v>
          </cell>
          <cell r="C1093" t="str">
            <v>CIP</v>
          </cell>
          <cell r="D1093" t="str">
            <v>N</v>
          </cell>
          <cell r="E1093" t="str">
            <v>A</v>
          </cell>
          <cell r="F1093" t="str">
            <v>09/08/2000</v>
          </cell>
        </row>
        <row r="1094">
          <cell r="B1094" t="str">
            <v>0K115</v>
          </cell>
          <cell r="C1094" t="str">
            <v>AEC</v>
          </cell>
          <cell r="D1094" t="str">
            <v>N</v>
          </cell>
          <cell r="E1094" t="str">
            <v>I</v>
          </cell>
          <cell r="F1094" t="str">
            <v>09/15/2000</v>
          </cell>
        </row>
        <row r="1095">
          <cell r="B1095" t="str">
            <v>0K116</v>
          </cell>
          <cell r="C1095" t="str">
            <v>CIP</v>
          </cell>
          <cell r="D1095" t="str">
            <v>N</v>
          </cell>
          <cell r="E1095" t="str">
            <v>A</v>
          </cell>
          <cell r="F1095" t="str">
            <v>07/01/2002</v>
          </cell>
        </row>
        <row r="1096">
          <cell r="B1096" t="str">
            <v>0K151</v>
          </cell>
          <cell r="C1096" t="str">
            <v>ERC</v>
          </cell>
          <cell r="D1096" t="str">
            <v>N</v>
          </cell>
          <cell r="E1096" t="str">
            <v>A</v>
          </cell>
          <cell r="F1096" t="str">
            <v>12/13/2000</v>
          </cell>
        </row>
        <row r="1097">
          <cell r="B1097" t="str">
            <v>0K152</v>
          </cell>
          <cell r="C1097" t="str">
            <v>AEC</v>
          </cell>
          <cell r="D1097" t="str">
            <v>N</v>
          </cell>
          <cell r="E1097" t="str">
            <v>A</v>
          </cell>
          <cell r="F1097" t="str">
            <v>12/13/2000</v>
          </cell>
        </row>
        <row r="1098">
          <cell r="B1098" t="str">
            <v>0K185</v>
          </cell>
          <cell r="C1098" t="str">
            <v>ERC</v>
          </cell>
          <cell r="D1098" t="str">
            <v>N</v>
          </cell>
          <cell r="E1098" t="str">
            <v>A</v>
          </cell>
          <cell r="F1098" t="str">
            <v>05/03/2001</v>
          </cell>
        </row>
        <row r="1099">
          <cell r="B1099" t="str">
            <v>0K186</v>
          </cell>
          <cell r="C1099" t="str">
            <v>AEC</v>
          </cell>
          <cell r="D1099" t="str">
            <v>N</v>
          </cell>
          <cell r="E1099" t="str">
            <v>A</v>
          </cell>
          <cell r="F1099" t="str">
            <v>05/11/2001</v>
          </cell>
        </row>
        <row r="1100">
          <cell r="B1100" t="str">
            <v>0K188</v>
          </cell>
          <cell r="C1100" t="str">
            <v>CIP</v>
          </cell>
          <cell r="D1100" t="str">
            <v>N</v>
          </cell>
          <cell r="E1100" t="str">
            <v>A</v>
          </cell>
          <cell r="F1100" t="str">
            <v>07/31/2001</v>
          </cell>
        </row>
        <row r="1101">
          <cell r="B1101" t="str">
            <v>0K189</v>
          </cell>
          <cell r="C1101" t="str">
            <v>ERC</v>
          </cell>
          <cell r="D1101" t="str">
            <v>N</v>
          </cell>
          <cell r="E1101" t="str">
            <v>C</v>
          </cell>
          <cell r="F1101" t="str">
            <v>06/19/2001</v>
          </cell>
        </row>
        <row r="1102">
          <cell r="B1102" t="str">
            <v>0K190</v>
          </cell>
          <cell r="C1102" t="str">
            <v>AEC</v>
          </cell>
          <cell r="D1102" t="str">
            <v>N</v>
          </cell>
          <cell r="E1102" t="str">
            <v>A</v>
          </cell>
          <cell r="F1102" t="str">
            <v>07/12/2001</v>
          </cell>
        </row>
        <row r="1103">
          <cell r="B1103" t="str">
            <v>0K191</v>
          </cell>
          <cell r="C1103" t="str">
            <v>UEC</v>
          </cell>
          <cell r="D1103" t="str">
            <v>N</v>
          </cell>
          <cell r="E1103" t="str">
            <v>C</v>
          </cell>
          <cell r="F1103" t="str">
            <v>07/12/2001</v>
          </cell>
        </row>
        <row r="1104">
          <cell r="B1104" t="str">
            <v>0K201</v>
          </cell>
          <cell r="C1104" t="str">
            <v>AFS</v>
          </cell>
          <cell r="D1104" t="str">
            <v>N</v>
          </cell>
          <cell r="E1104" t="str">
            <v>A</v>
          </cell>
          <cell r="F1104" t="str">
            <v>12/14/2001</v>
          </cell>
        </row>
        <row r="1105">
          <cell r="B1105" t="str">
            <v>0K202</v>
          </cell>
          <cell r="C1105" t="str">
            <v>UEC</v>
          </cell>
          <cell r="D1105" t="str">
            <v>N</v>
          </cell>
          <cell r="E1105" t="str">
            <v>A</v>
          </cell>
          <cell r="F1105" t="str">
            <v>01/15/2002</v>
          </cell>
        </row>
        <row r="1106">
          <cell r="B1106" t="str">
            <v>0K204</v>
          </cell>
          <cell r="C1106" t="str">
            <v>ERC</v>
          </cell>
          <cell r="D1106" t="str">
            <v>N</v>
          </cell>
          <cell r="E1106" t="str">
            <v>A</v>
          </cell>
          <cell r="F1106" t="str">
            <v>03/25/2002</v>
          </cell>
        </row>
        <row r="1107">
          <cell r="B1107" t="str">
            <v>0K207</v>
          </cell>
          <cell r="C1107" t="str">
            <v>ERC</v>
          </cell>
          <cell r="D1107" t="str">
            <v>N</v>
          </cell>
          <cell r="E1107" t="str">
            <v>A</v>
          </cell>
          <cell r="F1107" t="str">
            <v>06/27/2002</v>
          </cell>
        </row>
        <row r="1108">
          <cell r="B1108" t="str">
            <v>0K213</v>
          </cell>
          <cell r="C1108" t="str">
            <v>CIP</v>
          </cell>
          <cell r="D1108" t="str">
            <v>N</v>
          </cell>
          <cell r="E1108" t="str">
            <v>A</v>
          </cell>
          <cell r="F1108" t="str">
            <v>08/23/2002</v>
          </cell>
        </row>
        <row r="1109">
          <cell r="B1109" t="str">
            <v>0K214</v>
          </cell>
          <cell r="C1109" t="str">
            <v>UEC</v>
          </cell>
          <cell r="D1109" t="str">
            <v>N</v>
          </cell>
          <cell r="E1109" t="str">
            <v>A</v>
          </cell>
          <cell r="F1109" t="str">
            <v>08/30/2002</v>
          </cell>
        </row>
        <row r="1110">
          <cell r="B1110" t="str">
            <v>0K215</v>
          </cell>
          <cell r="C1110" t="str">
            <v>AFS</v>
          </cell>
          <cell r="D1110" t="str">
            <v>N</v>
          </cell>
          <cell r="E1110" t="str">
            <v>A</v>
          </cell>
          <cell r="F1110" t="str">
            <v>08/29/2002</v>
          </cell>
        </row>
        <row r="1111">
          <cell r="B1111" t="str">
            <v>0K216</v>
          </cell>
          <cell r="C1111" t="str">
            <v>AFS</v>
          </cell>
          <cell r="D1111" t="str">
            <v>N</v>
          </cell>
          <cell r="E1111" t="str">
            <v>A</v>
          </cell>
          <cell r="F1111" t="str">
            <v>09/13/2002</v>
          </cell>
        </row>
        <row r="1112">
          <cell r="B1112" t="str">
            <v>0K225</v>
          </cell>
          <cell r="C1112" t="str">
            <v>AFS</v>
          </cell>
          <cell r="D1112" t="str">
            <v>N</v>
          </cell>
          <cell r="E1112" t="str">
            <v>I</v>
          </cell>
          <cell r="F1112" t="str">
            <v>04/10/2003</v>
          </cell>
        </row>
        <row r="1113">
          <cell r="B1113" t="str">
            <v>0K236</v>
          </cell>
          <cell r="C1113" t="str">
            <v>UEC</v>
          </cell>
          <cell r="D1113" t="str">
            <v>N</v>
          </cell>
          <cell r="E1113" t="str">
            <v>A</v>
          </cell>
          <cell r="F1113" t="str">
            <v>05/13/2003</v>
          </cell>
        </row>
        <row r="1114">
          <cell r="B1114" t="str">
            <v>0K237</v>
          </cell>
          <cell r="C1114" t="str">
            <v>CIL</v>
          </cell>
          <cell r="D1114" t="str">
            <v>N</v>
          </cell>
          <cell r="E1114" t="str">
            <v>A</v>
          </cell>
          <cell r="F1114" t="str">
            <v>09/09/2003</v>
          </cell>
        </row>
        <row r="1115">
          <cell r="B1115" t="str">
            <v>0K238</v>
          </cell>
          <cell r="C1115" t="str">
            <v>ARG</v>
          </cell>
          <cell r="D1115" t="str">
            <v>N</v>
          </cell>
          <cell r="E1115" t="str">
            <v>A</v>
          </cell>
          <cell r="F1115" t="str">
            <v>09/09/2003</v>
          </cell>
        </row>
        <row r="1116">
          <cell r="B1116" t="str">
            <v>0K239</v>
          </cell>
          <cell r="C1116" t="str">
            <v>CIL</v>
          </cell>
          <cell r="D1116" t="str">
            <v>N</v>
          </cell>
          <cell r="E1116" t="str">
            <v>A</v>
          </cell>
          <cell r="F1116" t="str">
            <v>09/11/2003</v>
          </cell>
        </row>
        <row r="1117">
          <cell r="B1117" t="str">
            <v>0K240</v>
          </cell>
          <cell r="C1117" t="str">
            <v>CIL</v>
          </cell>
          <cell r="D1117" t="str">
            <v>N</v>
          </cell>
          <cell r="E1117" t="str">
            <v>A</v>
          </cell>
          <cell r="F1117" t="str">
            <v>09/11/2003</v>
          </cell>
        </row>
        <row r="1118">
          <cell r="B1118" t="str">
            <v>0K243</v>
          </cell>
          <cell r="C1118" t="str">
            <v>ERC</v>
          </cell>
          <cell r="D1118" t="str">
            <v>N</v>
          </cell>
          <cell r="E1118" t="str">
            <v>A</v>
          </cell>
          <cell r="F1118" t="str">
            <v>07/29/2003</v>
          </cell>
        </row>
        <row r="1119">
          <cell r="B1119" t="str">
            <v>0K299</v>
          </cell>
          <cell r="C1119" t="str">
            <v>CIL</v>
          </cell>
          <cell r="D1119" t="str">
            <v>N</v>
          </cell>
          <cell r="E1119" t="str">
            <v>I</v>
          </cell>
          <cell r="F1119" t="str">
            <v>09/04/2003</v>
          </cell>
        </row>
        <row r="1120">
          <cell r="B1120" t="str">
            <v>0K300</v>
          </cell>
          <cell r="C1120" t="str">
            <v>UEC</v>
          </cell>
          <cell r="D1120" t="str">
            <v>N</v>
          </cell>
          <cell r="E1120" t="str">
            <v>A</v>
          </cell>
          <cell r="F1120" t="str">
            <v>09/11/2003</v>
          </cell>
        </row>
        <row r="1121">
          <cell r="B1121" t="str">
            <v>0K301</v>
          </cell>
          <cell r="C1121" t="str">
            <v>UEC</v>
          </cell>
          <cell r="D1121" t="str">
            <v>N</v>
          </cell>
          <cell r="E1121" t="str">
            <v>A</v>
          </cell>
          <cell r="F1121" t="str">
            <v>09/11/2003</v>
          </cell>
        </row>
        <row r="1122">
          <cell r="B1122" t="str">
            <v>0K302</v>
          </cell>
          <cell r="C1122" t="str">
            <v>UEC</v>
          </cell>
          <cell r="D1122" t="str">
            <v>N</v>
          </cell>
          <cell r="E1122" t="str">
            <v>A</v>
          </cell>
          <cell r="F1122" t="str">
            <v>09/11/2003</v>
          </cell>
        </row>
        <row r="1123">
          <cell r="B1123" t="str">
            <v>0K303</v>
          </cell>
          <cell r="C1123" t="str">
            <v>UEC</v>
          </cell>
          <cell r="D1123" t="str">
            <v>N</v>
          </cell>
          <cell r="E1123" t="str">
            <v>A</v>
          </cell>
          <cell r="F1123" t="str">
            <v>09/11/2003</v>
          </cell>
        </row>
        <row r="1124">
          <cell r="B1124" t="str">
            <v>0K306</v>
          </cell>
          <cell r="C1124" t="str">
            <v>CIL</v>
          </cell>
          <cell r="D1124" t="str">
            <v>N</v>
          </cell>
          <cell r="E1124" t="str">
            <v>A</v>
          </cell>
          <cell r="F1124" t="str">
            <v>10/10/2003</v>
          </cell>
        </row>
        <row r="1125">
          <cell r="B1125" t="str">
            <v>0K307</v>
          </cell>
          <cell r="C1125" t="str">
            <v>CIL</v>
          </cell>
          <cell r="D1125" t="str">
            <v>N</v>
          </cell>
          <cell r="E1125" t="str">
            <v>A</v>
          </cell>
          <cell r="F1125" t="str">
            <v>10/22/2003</v>
          </cell>
        </row>
        <row r="1126">
          <cell r="B1126" t="str">
            <v>0K308</v>
          </cell>
          <cell r="C1126" t="str">
            <v>CIL</v>
          </cell>
          <cell r="D1126" t="str">
            <v>N</v>
          </cell>
          <cell r="E1126" t="str">
            <v>A</v>
          </cell>
          <cell r="F1126" t="str">
            <v>10/22/2003</v>
          </cell>
        </row>
        <row r="1127">
          <cell r="B1127" t="str">
            <v>0K309</v>
          </cell>
          <cell r="C1127" t="str">
            <v>ERC</v>
          </cell>
          <cell r="D1127" t="str">
            <v>N</v>
          </cell>
          <cell r="E1127" t="str">
            <v>A</v>
          </cell>
          <cell r="F1127" t="str">
            <v>12/02/2003</v>
          </cell>
        </row>
        <row r="1128">
          <cell r="B1128" t="str">
            <v>0K311</v>
          </cell>
          <cell r="C1128" t="str">
            <v>UEC</v>
          </cell>
          <cell r="D1128" t="str">
            <v>N</v>
          </cell>
          <cell r="E1128" t="str">
            <v>A</v>
          </cell>
          <cell r="F1128" t="str">
            <v>01/15/2004</v>
          </cell>
        </row>
        <row r="1129">
          <cell r="B1129" t="str">
            <v>0K857</v>
          </cell>
          <cell r="C1129" t="str">
            <v>UEC</v>
          </cell>
          <cell r="D1129" t="str">
            <v>N</v>
          </cell>
          <cell r="E1129" t="str">
            <v>A</v>
          </cell>
          <cell r="F1129" t="str">
            <v>06/28/1999</v>
          </cell>
        </row>
        <row r="1130">
          <cell r="B1130" t="str">
            <v>0K858</v>
          </cell>
          <cell r="C1130" t="str">
            <v>CIP</v>
          </cell>
          <cell r="D1130" t="str">
            <v>N</v>
          </cell>
          <cell r="E1130" t="str">
            <v>A</v>
          </cell>
          <cell r="F1130" t="str">
            <v>06/28/1999</v>
          </cell>
        </row>
        <row r="1131">
          <cell r="B1131" t="str">
            <v>0K930</v>
          </cell>
          <cell r="C1131" t="str">
            <v>UEC</v>
          </cell>
          <cell r="D1131" t="str">
            <v>N</v>
          </cell>
          <cell r="E1131" t="str">
            <v>A</v>
          </cell>
          <cell r="F1131" t="str">
            <v>06/19/1998</v>
          </cell>
        </row>
        <row r="1132">
          <cell r="B1132" t="str">
            <v>0K931</v>
          </cell>
          <cell r="C1132" t="str">
            <v>UEC</v>
          </cell>
          <cell r="D1132" t="str">
            <v>N</v>
          </cell>
          <cell r="E1132" t="str">
            <v>A</v>
          </cell>
          <cell r="F1132" t="str">
            <v>09/02/1998</v>
          </cell>
        </row>
        <row r="1133">
          <cell r="B1133" t="str">
            <v>0K932</v>
          </cell>
          <cell r="C1133" t="str">
            <v>CIP</v>
          </cell>
          <cell r="D1133" t="str">
            <v>N</v>
          </cell>
          <cell r="E1133" t="str">
            <v>A</v>
          </cell>
          <cell r="F1133" t="str">
            <v>10/14/1998</v>
          </cell>
        </row>
        <row r="1134">
          <cell r="B1134" t="str">
            <v>0K934</v>
          </cell>
          <cell r="C1134" t="str">
            <v>GEN</v>
          </cell>
          <cell r="D1134" t="str">
            <v>N</v>
          </cell>
          <cell r="E1134" t="str">
            <v>A</v>
          </cell>
          <cell r="F1134" t="str">
            <v>10/26/1998</v>
          </cell>
        </row>
        <row r="1135">
          <cell r="B1135" t="str">
            <v>0K936</v>
          </cell>
          <cell r="C1135" t="str">
            <v>UEC</v>
          </cell>
          <cell r="D1135" t="str">
            <v>N</v>
          </cell>
          <cell r="E1135" t="str">
            <v>A</v>
          </cell>
          <cell r="F1135" t="str">
            <v>03/02/1999</v>
          </cell>
        </row>
        <row r="1136">
          <cell r="B1136" t="str">
            <v>0K937</v>
          </cell>
          <cell r="C1136" t="str">
            <v>CIP</v>
          </cell>
          <cell r="D1136" t="str">
            <v>N</v>
          </cell>
          <cell r="E1136" t="str">
            <v>A</v>
          </cell>
          <cell r="F1136" t="str">
            <v>06/18/1999</v>
          </cell>
        </row>
        <row r="1137">
          <cell r="B1137" t="str">
            <v>0K938</v>
          </cell>
          <cell r="C1137" t="str">
            <v>CIP</v>
          </cell>
          <cell r="D1137" t="str">
            <v>N</v>
          </cell>
          <cell r="E1137" t="str">
            <v>C</v>
          </cell>
          <cell r="F1137" t="str">
            <v>06/24/1999</v>
          </cell>
        </row>
        <row r="1138">
          <cell r="B1138" t="str">
            <v>0M234</v>
          </cell>
          <cell r="C1138" t="str">
            <v>UEC</v>
          </cell>
          <cell r="D1138" t="str">
            <v>N</v>
          </cell>
          <cell r="E1138" t="str">
            <v>A</v>
          </cell>
          <cell r="F1138" t="str">
            <v>02/01/2001</v>
          </cell>
        </row>
        <row r="1139">
          <cell r="B1139" t="str">
            <v>0P008</v>
          </cell>
          <cell r="C1139" t="str">
            <v>UEC</v>
          </cell>
          <cell r="D1139" t="str">
            <v>N</v>
          </cell>
          <cell r="E1139" t="str">
            <v>A</v>
          </cell>
          <cell r="F1139" t="str">
            <v>01/07/2000</v>
          </cell>
        </row>
        <row r="1140">
          <cell r="B1140" t="str">
            <v>0P038</v>
          </cell>
          <cell r="C1140" t="str">
            <v>UEC</v>
          </cell>
          <cell r="D1140" t="str">
            <v>N</v>
          </cell>
          <cell r="E1140" t="str">
            <v>A</v>
          </cell>
          <cell r="F1140" t="str">
            <v>01/12/1998</v>
          </cell>
        </row>
        <row r="1141">
          <cell r="B1141" t="str">
            <v>0P077</v>
          </cell>
          <cell r="C1141" t="str">
            <v>UEC</v>
          </cell>
          <cell r="D1141" t="str">
            <v>N</v>
          </cell>
          <cell r="E1141" t="str">
            <v>A</v>
          </cell>
          <cell r="F1141" t="str">
            <v>12/13/2000</v>
          </cell>
        </row>
        <row r="1142">
          <cell r="B1142" t="str">
            <v>0P094</v>
          </cell>
          <cell r="C1142" t="str">
            <v>UEC</v>
          </cell>
          <cell r="D1142" t="str">
            <v>N</v>
          </cell>
          <cell r="E1142" t="str">
            <v>A</v>
          </cell>
          <cell r="F1142" t="str">
            <v>10/02/2000</v>
          </cell>
        </row>
        <row r="1143">
          <cell r="B1143" t="str">
            <v>0P095</v>
          </cell>
          <cell r="C1143" t="str">
            <v>UEC</v>
          </cell>
          <cell r="D1143" t="str">
            <v>N</v>
          </cell>
          <cell r="E1143" t="str">
            <v>A</v>
          </cell>
          <cell r="F1143" t="str">
            <v>12/06/1999</v>
          </cell>
        </row>
        <row r="1144">
          <cell r="B1144" t="str">
            <v>0P135</v>
          </cell>
          <cell r="C1144" t="str">
            <v>UEC</v>
          </cell>
          <cell r="D1144" t="str">
            <v>N</v>
          </cell>
          <cell r="E1144" t="str">
            <v>A</v>
          </cell>
          <cell r="F1144" t="str">
            <v>09/23/1999</v>
          </cell>
        </row>
        <row r="1145">
          <cell r="B1145" t="str">
            <v>0P142</v>
          </cell>
          <cell r="C1145" t="str">
            <v>UEC</v>
          </cell>
          <cell r="D1145" t="str">
            <v>N</v>
          </cell>
          <cell r="E1145" t="str">
            <v>A</v>
          </cell>
          <cell r="F1145" t="str">
            <v>01/12/1998</v>
          </cell>
        </row>
        <row r="1146">
          <cell r="B1146" t="str">
            <v>0P151</v>
          </cell>
          <cell r="C1146" t="str">
            <v>UEC</v>
          </cell>
          <cell r="D1146" t="str">
            <v>Y</v>
          </cell>
          <cell r="E1146" t="str">
            <v>C</v>
          </cell>
          <cell r="F1146" t="str">
            <v>02/05/2002</v>
          </cell>
        </row>
        <row r="1147">
          <cell r="B1147" t="str">
            <v>0P175</v>
          </cell>
          <cell r="C1147" t="str">
            <v>UEC</v>
          </cell>
          <cell r="D1147" t="str">
            <v>N</v>
          </cell>
          <cell r="E1147" t="str">
            <v>A</v>
          </cell>
          <cell r="F1147" t="str">
            <v>01/12/1998</v>
          </cell>
        </row>
        <row r="1148">
          <cell r="B1148" t="str">
            <v>0P194</v>
          </cell>
          <cell r="C1148" t="str">
            <v>UEC</v>
          </cell>
          <cell r="D1148" t="str">
            <v>N</v>
          </cell>
          <cell r="E1148" t="str">
            <v>A</v>
          </cell>
          <cell r="F1148" t="str">
            <v>01/27/2000</v>
          </cell>
        </row>
        <row r="1149">
          <cell r="B1149" t="str">
            <v>0P237</v>
          </cell>
          <cell r="C1149" t="str">
            <v>UEC</v>
          </cell>
          <cell r="D1149" t="str">
            <v>N</v>
          </cell>
          <cell r="E1149" t="str">
            <v>A</v>
          </cell>
          <cell r="F1149" t="str">
            <v>11/17/1997</v>
          </cell>
        </row>
        <row r="1150">
          <cell r="B1150" t="str">
            <v>0P238</v>
          </cell>
          <cell r="C1150" t="str">
            <v>UEC</v>
          </cell>
          <cell r="D1150" t="str">
            <v>N</v>
          </cell>
          <cell r="E1150" t="str">
            <v>A</v>
          </cell>
          <cell r="F1150" t="str">
            <v>05/02/2000</v>
          </cell>
        </row>
        <row r="1151">
          <cell r="B1151" t="str">
            <v>0P267</v>
          </cell>
          <cell r="C1151" t="str">
            <v>UEC</v>
          </cell>
          <cell r="D1151" t="str">
            <v>N</v>
          </cell>
          <cell r="E1151" t="str">
            <v>A</v>
          </cell>
          <cell r="F1151" t="str">
            <v>01/12/1998</v>
          </cell>
        </row>
        <row r="1152">
          <cell r="B1152" t="str">
            <v>0P269</v>
          </cell>
          <cell r="C1152" t="str">
            <v>UEC</v>
          </cell>
          <cell r="D1152" t="str">
            <v>N</v>
          </cell>
          <cell r="E1152" t="str">
            <v>A</v>
          </cell>
          <cell r="F1152" t="str">
            <v>01/12/1998</v>
          </cell>
        </row>
        <row r="1153">
          <cell r="B1153" t="str">
            <v>0P272</v>
          </cell>
          <cell r="C1153" t="str">
            <v>UEC</v>
          </cell>
          <cell r="D1153" t="str">
            <v>N</v>
          </cell>
          <cell r="E1153" t="str">
            <v>A</v>
          </cell>
          <cell r="F1153" t="str">
            <v>01/12/1998</v>
          </cell>
        </row>
        <row r="1154">
          <cell r="B1154" t="str">
            <v>0P274</v>
          </cell>
          <cell r="C1154" t="str">
            <v>UEC</v>
          </cell>
          <cell r="D1154" t="str">
            <v>N</v>
          </cell>
          <cell r="E1154" t="str">
            <v>A</v>
          </cell>
          <cell r="F1154" t="str">
            <v>01/12/1998</v>
          </cell>
        </row>
        <row r="1155">
          <cell r="B1155" t="str">
            <v>0P287</v>
          </cell>
          <cell r="C1155" t="str">
            <v>UEC</v>
          </cell>
          <cell r="D1155" t="str">
            <v>N</v>
          </cell>
          <cell r="E1155" t="str">
            <v>A</v>
          </cell>
          <cell r="F1155" t="str">
            <v>01/12/1998</v>
          </cell>
        </row>
        <row r="1156">
          <cell r="B1156" t="str">
            <v>0P295</v>
          </cell>
          <cell r="C1156" t="str">
            <v>UEC</v>
          </cell>
          <cell r="D1156" t="str">
            <v>N</v>
          </cell>
          <cell r="E1156" t="str">
            <v>A</v>
          </cell>
          <cell r="F1156" t="str">
            <v>05/12/2003</v>
          </cell>
        </row>
        <row r="1157">
          <cell r="B1157" t="str">
            <v>0P300</v>
          </cell>
          <cell r="C1157" t="str">
            <v>UEC</v>
          </cell>
          <cell r="D1157" t="str">
            <v>N</v>
          </cell>
          <cell r="E1157" t="str">
            <v>A</v>
          </cell>
          <cell r="F1157" t="str">
            <v>01/14/1998</v>
          </cell>
        </row>
        <row r="1158">
          <cell r="B1158" t="str">
            <v>0P309</v>
          </cell>
          <cell r="C1158" t="str">
            <v>UEC</v>
          </cell>
          <cell r="D1158" t="str">
            <v>N</v>
          </cell>
          <cell r="E1158" t="str">
            <v>A</v>
          </cell>
          <cell r="F1158" t="str">
            <v>11/17/1997</v>
          </cell>
        </row>
        <row r="1159">
          <cell r="B1159" t="str">
            <v>0P410</v>
          </cell>
          <cell r="C1159" t="str">
            <v>UEC</v>
          </cell>
          <cell r="D1159" t="str">
            <v>N</v>
          </cell>
          <cell r="E1159" t="str">
            <v>A</v>
          </cell>
          <cell r="F1159" t="str">
            <v>07/30/2002</v>
          </cell>
        </row>
        <row r="1160">
          <cell r="B1160" t="str">
            <v>0P415</v>
          </cell>
          <cell r="C1160" t="str">
            <v>UEC</v>
          </cell>
          <cell r="D1160" t="str">
            <v>N</v>
          </cell>
          <cell r="E1160" t="str">
            <v>A</v>
          </cell>
          <cell r="F1160" t="str">
            <v>02/22/2001</v>
          </cell>
        </row>
        <row r="1161">
          <cell r="B1161" t="str">
            <v>0P432</v>
          </cell>
          <cell r="C1161" t="str">
            <v>UEC</v>
          </cell>
          <cell r="D1161" t="str">
            <v>N</v>
          </cell>
          <cell r="E1161" t="str">
            <v>A</v>
          </cell>
          <cell r="F1161" t="str">
            <v>01/12/1998</v>
          </cell>
        </row>
        <row r="1162">
          <cell r="B1162" t="str">
            <v>0P435</v>
          </cell>
          <cell r="C1162" t="str">
            <v>UEC</v>
          </cell>
          <cell r="D1162" t="str">
            <v>N</v>
          </cell>
          <cell r="E1162" t="str">
            <v>A</v>
          </cell>
          <cell r="F1162" t="str">
            <v>10/02/2000</v>
          </cell>
        </row>
        <row r="1163">
          <cell r="B1163" t="str">
            <v>0P436</v>
          </cell>
          <cell r="C1163" t="str">
            <v>UEC</v>
          </cell>
          <cell r="D1163" t="str">
            <v>N</v>
          </cell>
          <cell r="E1163" t="str">
            <v>A</v>
          </cell>
          <cell r="F1163" t="str">
            <v>01/16/1998</v>
          </cell>
        </row>
        <row r="1164">
          <cell r="B1164" t="str">
            <v>0P437</v>
          </cell>
          <cell r="C1164" t="str">
            <v>UEC</v>
          </cell>
          <cell r="D1164" t="str">
            <v>N</v>
          </cell>
          <cell r="E1164" t="str">
            <v>A</v>
          </cell>
          <cell r="F1164" t="str">
            <v>01/09/1998</v>
          </cell>
        </row>
        <row r="1165">
          <cell r="B1165" t="str">
            <v>0P438</v>
          </cell>
          <cell r="C1165" t="str">
            <v>UEC</v>
          </cell>
          <cell r="D1165" t="str">
            <v>N</v>
          </cell>
          <cell r="E1165" t="str">
            <v>A</v>
          </cell>
          <cell r="F1165" t="str">
            <v>12/06/1999</v>
          </cell>
        </row>
        <row r="1166">
          <cell r="B1166" t="str">
            <v>0P451</v>
          </cell>
          <cell r="C1166" t="str">
            <v>UEC</v>
          </cell>
          <cell r="D1166" t="str">
            <v>N</v>
          </cell>
          <cell r="E1166" t="str">
            <v>A</v>
          </cell>
          <cell r="F1166" t="str">
            <v>10/13/1999</v>
          </cell>
        </row>
        <row r="1167">
          <cell r="B1167" t="str">
            <v>0P454</v>
          </cell>
          <cell r="C1167" t="str">
            <v>UEC</v>
          </cell>
          <cell r="D1167" t="str">
            <v>N</v>
          </cell>
          <cell r="E1167" t="str">
            <v>A</v>
          </cell>
          <cell r="F1167" t="str">
            <v>01/22/1998</v>
          </cell>
        </row>
        <row r="1168">
          <cell r="B1168" t="str">
            <v>0P457</v>
          </cell>
          <cell r="C1168" t="str">
            <v>UEC</v>
          </cell>
          <cell r="D1168" t="str">
            <v>N</v>
          </cell>
          <cell r="E1168" t="str">
            <v>A</v>
          </cell>
          <cell r="F1168" t="str">
            <v>01/12/1998</v>
          </cell>
        </row>
        <row r="1169">
          <cell r="B1169" t="str">
            <v>0P516</v>
          </cell>
          <cell r="C1169" t="str">
            <v>UEC</v>
          </cell>
          <cell r="D1169" t="str">
            <v>N</v>
          </cell>
          <cell r="E1169" t="str">
            <v>A</v>
          </cell>
          <cell r="F1169" t="str">
            <v>08/07/2002</v>
          </cell>
        </row>
        <row r="1170">
          <cell r="B1170" t="str">
            <v>0P519</v>
          </cell>
          <cell r="C1170" t="str">
            <v>UEC</v>
          </cell>
          <cell r="D1170" t="str">
            <v>N</v>
          </cell>
          <cell r="E1170" t="str">
            <v>A</v>
          </cell>
          <cell r="F1170" t="str">
            <v>12/22/1997</v>
          </cell>
        </row>
        <row r="1171">
          <cell r="B1171" t="str">
            <v>0P561</v>
          </cell>
          <cell r="C1171" t="str">
            <v>UEC</v>
          </cell>
          <cell r="D1171" t="str">
            <v>N</v>
          </cell>
          <cell r="E1171" t="str">
            <v>A</v>
          </cell>
          <cell r="F1171" t="str">
            <v>04/14/1999</v>
          </cell>
        </row>
        <row r="1172">
          <cell r="B1172" t="str">
            <v>0P600</v>
          </cell>
          <cell r="C1172" t="str">
            <v>UEC</v>
          </cell>
          <cell r="D1172" t="str">
            <v>N</v>
          </cell>
          <cell r="E1172" t="str">
            <v>A</v>
          </cell>
          <cell r="F1172" t="str">
            <v>11/17/1997</v>
          </cell>
        </row>
        <row r="1173">
          <cell r="B1173" t="str">
            <v>0P602</v>
          </cell>
          <cell r="C1173" t="str">
            <v>UEC</v>
          </cell>
          <cell r="D1173" t="str">
            <v>N</v>
          </cell>
          <cell r="E1173" t="str">
            <v>A</v>
          </cell>
          <cell r="F1173" t="str">
            <v>11/17/1997</v>
          </cell>
        </row>
        <row r="1174">
          <cell r="B1174" t="str">
            <v>0P603</v>
          </cell>
          <cell r="C1174" t="str">
            <v>UEC</v>
          </cell>
          <cell r="D1174" t="str">
            <v>N</v>
          </cell>
          <cell r="E1174" t="str">
            <v>A</v>
          </cell>
          <cell r="F1174" t="str">
            <v>11/17/1997</v>
          </cell>
        </row>
        <row r="1175">
          <cell r="B1175" t="str">
            <v>0P605</v>
          </cell>
          <cell r="C1175" t="str">
            <v>UEC</v>
          </cell>
          <cell r="D1175" t="str">
            <v>N</v>
          </cell>
          <cell r="E1175" t="str">
            <v>A</v>
          </cell>
          <cell r="F1175" t="str">
            <v>01/05/1999</v>
          </cell>
        </row>
        <row r="1176">
          <cell r="B1176" t="str">
            <v>0P606</v>
          </cell>
          <cell r="C1176" t="str">
            <v>UEC</v>
          </cell>
          <cell r="D1176" t="str">
            <v>N</v>
          </cell>
          <cell r="E1176" t="str">
            <v>A</v>
          </cell>
          <cell r="F1176" t="str">
            <v>09/21/1999</v>
          </cell>
        </row>
        <row r="1177">
          <cell r="B1177" t="str">
            <v>0P607</v>
          </cell>
          <cell r="C1177" t="str">
            <v>UEC</v>
          </cell>
          <cell r="D1177" t="str">
            <v>N</v>
          </cell>
          <cell r="E1177" t="str">
            <v>A</v>
          </cell>
          <cell r="F1177" t="str">
            <v>04/14/1999</v>
          </cell>
        </row>
        <row r="1178">
          <cell r="B1178" t="str">
            <v>0P609</v>
          </cell>
          <cell r="C1178" t="str">
            <v>UEC</v>
          </cell>
          <cell r="D1178" t="str">
            <v>N</v>
          </cell>
          <cell r="E1178" t="str">
            <v>A</v>
          </cell>
          <cell r="F1178" t="str">
            <v>01/12/1998</v>
          </cell>
        </row>
        <row r="1179">
          <cell r="B1179" t="str">
            <v>0P610</v>
          </cell>
          <cell r="C1179" t="str">
            <v>UEC</v>
          </cell>
          <cell r="D1179" t="str">
            <v>N</v>
          </cell>
          <cell r="E1179" t="str">
            <v>A</v>
          </cell>
          <cell r="F1179" t="str">
            <v>11/12/1998</v>
          </cell>
        </row>
        <row r="1180">
          <cell r="B1180" t="str">
            <v>0P661</v>
          </cell>
          <cell r="C1180" t="str">
            <v>UEC</v>
          </cell>
          <cell r="D1180" t="str">
            <v>N</v>
          </cell>
          <cell r="E1180" t="str">
            <v>A</v>
          </cell>
          <cell r="F1180" t="str">
            <v>01/31/2003</v>
          </cell>
        </row>
        <row r="1181">
          <cell r="B1181" t="str">
            <v>0P672</v>
          </cell>
          <cell r="C1181" t="str">
            <v>UEC</v>
          </cell>
          <cell r="D1181" t="str">
            <v>N</v>
          </cell>
          <cell r="E1181" t="str">
            <v>A</v>
          </cell>
          <cell r="F1181" t="str">
            <v>01/15/1998</v>
          </cell>
        </row>
        <row r="1182">
          <cell r="B1182" t="str">
            <v>0P725</v>
          </cell>
          <cell r="C1182" t="str">
            <v>UEC</v>
          </cell>
          <cell r="D1182" t="str">
            <v>N</v>
          </cell>
          <cell r="E1182" t="str">
            <v>A</v>
          </cell>
          <cell r="F1182" t="str">
            <v>02/27/2003</v>
          </cell>
        </row>
        <row r="1183">
          <cell r="B1183" t="str">
            <v>0P740</v>
          </cell>
          <cell r="C1183" t="str">
            <v>UEC</v>
          </cell>
          <cell r="D1183" t="str">
            <v>N</v>
          </cell>
          <cell r="E1183" t="str">
            <v>A</v>
          </cell>
          <cell r="F1183" t="str">
            <v>11/17/1997</v>
          </cell>
        </row>
        <row r="1184">
          <cell r="B1184" t="str">
            <v>0P827</v>
          </cell>
          <cell r="C1184" t="str">
            <v>UEC</v>
          </cell>
          <cell r="D1184" t="str">
            <v>N</v>
          </cell>
          <cell r="E1184" t="str">
            <v>C</v>
          </cell>
          <cell r="F1184" t="str">
            <v>11/12/1998</v>
          </cell>
        </row>
        <row r="1185">
          <cell r="B1185" t="str">
            <v>0P868</v>
          </cell>
          <cell r="C1185" t="str">
            <v>UEC</v>
          </cell>
          <cell r="D1185" t="str">
            <v>N</v>
          </cell>
          <cell r="E1185" t="str">
            <v>A</v>
          </cell>
          <cell r="F1185" t="str">
            <v>10/01/2002</v>
          </cell>
        </row>
        <row r="1186">
          <cell r="B1186" t="str">
            <v>0P870</v>
          </cell>
          <cell r="C1186" t="str">
            <v>UEC</v>
          </cell>
          <cell r="D1186" t="str">
            <v>N</v>
          </cell>
          <cell r="E1186" t="str">
            <v>A</v>
          </cell>
          <cell r="F1186" t="str">
            <v>01/12/1998</v>
          </cell>
        </row>
        <row r="1187">
          <cell r="B1187" t="str">
            <v>0P871</v>
          </cell>
          <cell r="C1187" t="str">
            <v>UEC</v>
          </cell>
          <cell r="D1187" t="str">
            <v>N</v>
          </cell>
          <cell r="E1187" t="str">
            <v>A</v>
          </cell>
          <cell r="F1187" t="str">
            <v>10/01/2002</v>
          </cell>
        </row>
        <row r="1188">
          <cell r="B1188" t="str">
            <v>0P873</v>
          </cell>
          <cell r="C1188" t="str">
            <v>UEC</v>
          </cell>
          <cell r="D1188" t="str">
            <v>N</v>
          </cell>
          <cell r="E1188" t="str">
            <v>A</v>
          </cell>
          <cell r="F1188" t="str">
            <v>01/15/1998</v>
          </cell>
        </row>
        <row r="1189">
          <cell r="B1189" t="str">
            <v>0P879</v>
          </cell>
          <cell r="C1189" t="str">
            <v>UEC</v>
          </cell>
          <cell r="D1189" t="str">
            <v>N</v>
          </cell>
          <cell r="E1189" t="str">
            <v>A</v>
          </cell>
          <cell r="F1189" t="str">
            <v>01/15/1998</v>
          </cell>
        </row>
        <row r="1190">
          <cell r="B1190" t="str">
            <v>0P880</v>
          </cell>
          <cell r="C1190" t="str">
            <v>UEC</v>
          </cell>
          <cell r="D1190" t="str">
            <v>N</v>
          </cell>
          <cell r="E1190" t="str">
            <v>C</v>
          </cell>
          <cell r="F1190" t="str">
            <v>01/15/1998</v>
          </cell>
        </row>
        <row r="1191">
          <cell r="B1191" t="str">
            <v>0P881</v>
          </cell>
          <cell r="C1191" t="str">
            <v>UEC</v>
          </cell>
          <cell r="D1191" t="str">
            <v>N</v>
          </cell>
          <cell r="E1191" t="str">
            <v>A</v>
          </cell>
          <cell r="F1191" t="str">
            <v>01/15/1998</v>
          </cell>
        </row>
        <row r="1192">
          <cell r="B1192" t="str">
            <v>0P882</v>
          </cell>
          <cell r="C1192" t="str">
            <v>UEC</v>
          </cell>
          <cell r="D1192" t="str">
            <v>N</v>
          </cell>
          <cell r="E1192" t="str">
            <v>A</v>
          </cell>
          <cell r="F1192" t="str">
            <v>01/15/1998</v>
          </cell>
        </row>
        <row r="1193">
          <cell r="B1193" t="str">
            <v>0P883</v>
          </cell>
          <cell r="C1193" t="str">
            <v>UEC</v>
          </cell>
          <cell r="D1193" t="str">
            <v>N</v>
          </cell>
          <cell r="E1193" t="str">
            <v>A</v>
          </cell>
          <cell r="F1193" t="str">
            <v>01/15/1998</v>
          </cell>
        </row>
        <row r="1194">
          <cell r="B1194" t="str">
            <v>0P885</v>
          </cell>
          <cell r="C1194" t="str">
            <v>UEC</v>
          </cell>
          <cell r="D1194" t="str">
            <v>N</v>
          </cell>
          <cell r="E1194" t="str">
            <v>A</v>
          </cell>
          <cell r="F1194" t="str">
            <v>09/23/2002</v>
          </cell>
        </row>
        <row r="1195">
          <cell r="B1195" t="str">
            <v>0P887</v>
          </cell>
          <cell r="C1195" t="str">
            <v>UEC</v>
          </cell>
          <cell r="D1195" t="str">
            <v>N</v>
          </cell>
          <cell r="E1195" t="str">
            <v>A</v>
          </cell>
          <cell r="F1195" t="str">
            <v>02/24/1998</v>
          </cell>
        </row>
        <row r="1196">
          <cell r="B1196" t="str">
            <v>0P945</v>
          </cell>
          <cell r="C1196" t="str">
            <v>UEC</v>
          </cell>
          <cell r="D1196" t="str">
            <v>N</v>
          </cell>
          <cell r="E1196" t="str">
            <v>A</v>
          </cell>
          <cell r="F1196" t="str">
            <v>04/08/2003</v>
          </cell>
        </row>
        <row r="1197">
          <cell r="B1197" t="str">
            <v>0P975</v>
          </cell>
          <cell r="C1197" t="str">
            <v>UEC</v>
          </cell>
          <cell r="D1197" t="str">
            <v>N</v>
          </cell>
          <cell r="E1197" t="str">
            <v>A</v>
          </cell>
          <cell r="F1197" t="str">
            <v>08/19/2002</v>
          </cell>
        </row>
        <row r="1198">
          <cell r="B1198" t="str">
            <v>0PL1B</v>
          </cell>
          <cell r="C1198" t="str">
            <v>UEC</v>
          </cell>
          <cell r="D1198" t="str">
            <v>N</v>
          </cell>
          <cell r="E1198" t="str">
            <v>A</v>
          </cell>
          <cell r="F1198" t="str">
            <v>01/20/2000</v>
          </cell>
        </row>
        <row r="1199">
          <cell r="B1199" t="str">
            <v>0PM1B</v>
          </cell>
          <cell r="C1199" t="str">
            <v>UEC</v>
          </cell>
          <cell r="D1199" t="str">
            <v>N</v>
          </cell>
          <cell r="E1199" t="str">
            <v>A</v>
          </cell>
          <cell r="F1199" t="str">
            <v>12/26/2000</v>
          </cell>
        </row>
        <row r="1200">
          <cell r="B1200" t="str">
            <v>0PR2B</v>
          </cell>
          <cell r="C1200" t="str">
            <v>UEC</v>
          </cell>
          <cell r="D1200" t="str">
            <v>N</v>
          </cell>
          <cell r="E1200" t="str">
            <v>A</v>
          </cell>
          <cell r="F1200" t="str">
            <v>01/09/1998</v>
          </cell>
        </row>
        <row r="1201">
          <cell r="B1201" t="str">
            <v>0PS1B</v>
          </cell>
          <cell r="C1201" t="str">
            <v>UEC</v>
          </cell>
          <cell r="D1201" t="str">
            <v>N</v>
          </cell>
          <cell r="E1201" t="str">
            <v>A</v>
          </cell>
          <cell r="F1201" t="str">
            <v>01/15/1998</v>
          </cell>
        </row>
        <row r="1202">
          <cell r="B1202" t="str">
            <v>0PS2B</v>
          </cell>
          <cell r="C1202" t="str">
            <v>UEC</v>
          </cell>
          <cell r="D1202" t="str">
            <v>N</v>
          </cell>
          <cell r="E1202" t="str">
            <v>A</v>
          </cell>
          <cell r="F1202" t="str">
            <v>04/14/1999</v>
          </cell>
        </row>
        <row r="1203">
          <cell r="B1203" t="str">
            <v>0W563</v>
          </cell>
          <cell r="C1203" t="str">
            <v>GEN</v>
          </cell>
          <cell r="D1203" t="str">
            <v>N</v>
          </cell>
          <cell r="E1203" t="str">
            <v>I</v>
          </cell>
          <cell r="F1203" t="str">
            <v>05/25/1999</v>
          </cell>
        </row>
        <row r="1204">
          <cell r="B1204" t="str">
            <v>0W736</v>
          </cell>
          <cell r="C1204" t="str">
            <v>IHC</v>
          </cell>
          <cell r="D1204" t="str">
            <v>N</v>
          </cell>
          <cell r="E1204" t="str">
            <v>C</v>
          </cell>
          <cell r="F1204" t="str">
            <v>07/09/2002</v>
          </cell>
        </row>
        <row r="1205">
          <cell r="B1205" t="str">
            <v>0WN1B</v>
          </cell>
          <cell r="C1205" t="str">
            <v>GEN</v>
          </cell>
          <cell r="D1205" t="str">
            <v>N</v>
          </cell>
          <cell r="E1205" t="str">
            <v>I</v>
          </cell>
          <cell r="F1205" t="str">
            <v>04/17/1998</v>
          </cell>
        </row>
        <row r="1206">
          <cell r="B1206" t="str">
            <v>A0001</v>
          </cell>
          <cell r="C1206" t="str">
            <v>017A</v>
          </cell>
          <cell r="D1206" t="str">
            <v>Y</v>
          </cell>
          <cell r="E1206" t="str">
            <v>A</v>
          </cell>
          <cell r="F1206" t="str">
            <v>10/03/1997</v>
          </cell>
        </row>
        <row r="1207">
          <cell r="B1207" t="str">
            <v>A0002</v>
          </cell>
          <cell r="C1207" t="str">
            <v>017B</v>
          </cell>
          <cell r="D1207" t="str">
            <v>Y</v>
          </cell>
          <cell r="E1207" t="str">
            <v>A</v>
          </cell>
          <cell r="F1207" t="str">
            <v>10/03/1997</v>
          </cell>
        </row>
        <row r="1208">
          <cell r="B1208" t="str">
            <v>A0004</v>
          </cell>
          <cell r="C1208"/>
          <cell r="D1208" t="str">
            <v>Y</v>
          </cell>
          <cell r="E1208" t="str">
            <v>A</v>
          </cell>
          <cell r="F1208" t="str">
            <v>10/06/1997</v>
          </cell>
        </row>
        <row r="1209">
          <cell r="B1209" t="str">
            <v>A0005</v>
          </cell>
          <cell r="C1209" t="str">
            <v>UEC</v>
          </cell>
          <cell r="D1209" t="str">
            <v>Y</v>
          </cell>
          <cell r="E1209" t="str">
            <v>A</v>
          </cell>
          <cell r="F1209" t="str">
            <v>10/06/1997</v>
          </cell>
        </row>
        <row r="1210">
          <cell r="B1210" t="str">
            <v>A0006</v>
          </cell>
          <cell r="C1210" t="str">
            <v>CIP</v>
          </cell>
          <cell r="D1210" t="str">
            <v>Y</v>
          </cell>
          <cell r="E1210" t="str">
            <v>A</v>
          </cell>
          <cell r="F1210" t="str">
            <v>10/06/1997</v>
          </cell>
        </row>
        <row r="1211">
          <cell r="B1211" t="str">
            <v>A0007</v>
          </cell>
          <cell r="C1211" t="str">
            <v>CIC</v>
          </cell>
          <cell r="D1211" t="str">
            <v>Y</v>
          </cell>
          <cell r="E1211" t="str">
            <v>A</v>
          </cell>
          <cell r="F1211" t="str">
            <v>10/06/1997</v>
          </cell>
        </row>
        <row r="1212">
          <cell r="B1212" t="str">
            <v>A0008</v>
          </cell>
          <cell r="C1212" t="str">
            <v>UDC</v>
          </cell>
          <cell r="D1212" t="str">
            <v>Y</v>
          </cell>
          <cell r="E1212" t="str">
            <v>A</v>
          </cell>
          <cell r="F1212" t="str">
            <v>10/06/1997</v>
          </cell>
        </row>
        <row r="1213">
          <cell r="B1213" t="str">
            <v>A0009</v>
          </cell>
          <cell r="C1213" t="str">
            <v>AMC</v>
          </cell>
          <cell r="D1213" t="str">
            <v>Y</v>
          </cell>
          <cell r="E1213" t="str">
            <v>A</v>
          </cell>
          <cell r="F1213" t="str">
            <v>10/06/1997</v>
          </cell>
        </row>
        <row r="1214">
          <cell r="B1214" t="str">
            <v>A0012</v>
          </cell>
          <cell r="C1214" t="str">
            <v>AEC</v>
          </cell>
          <cell r="D1214" t="str">
            <v>Y</v>
          </cell>
          <cell r="E1214" t="str">
            <v>A</v>
          </cell>
          <cell r="F1214" t="str">
            <v>07/23/1998</v>
          </cell>
        </row>
        <row r="1215">
          <cell r="B1215" t="str">
            <v>A0016</v>
          </cell>
          <cell r="C1215" t="str">
            <v>ERC</v>
          </cell>
          <cell r="D1215" t="str">
            <v>Y</v>
          </cell>
          <cell r="E1215" t="str">
            <v>A</v>
          </cell>
          <cell r="F1215" t="str">
            <v>07/02/1998</v>
          </cell>
        </row>
        <row r="1216">
          <cell r="B1216" t="str">
            <v>A0018</v>
          </cell>
          <cell r="C1216" t="str">
            <v>AME</v>
          </cell>
          <cell r="D1216" t="str">
            <v>Y</v>
          </cell>
          <cell r="E1216" t="str">
            <v>A</v>
          </cell>
          <cell r="F1216" t="str">
            <v>07/23/1998</v>
          </cell>
        </row>
        <row r="1217">
          <cell r="B1217" t="str">
            <v>A0021</v>
          </cell>
          <cell r="C1217" t="str">
            <v>007A</v>
          </cell>
          <cell r="D1217" t="str">
            <v>Y</v>
          </cell>
          <cell r="E1217" t="str">
            <v>A</v>
          </cell>
          <cell r="F1217" t="str">
            <v>10/06/1997</v>
          </cell>
        </row>
        <row r="1218">
          <cell r="B1218" t="str">
            <v>A0022</v>
          </cell>
          <cell r="C1218" t="str">
            <v>004A</v>
          </cell>
          <cell r="D1218" t="str">
            <v>Y</v>
          </cell>
          <cell r="E1218" t="str">
            <v>A</v>
          </cell>
          <cell r="F1218" t="str">
            <v>03/15/1999</v>
          </cell>
        </row>
        <row r="1219">
          <cell r="B1219" t="str">
            <v>A0051</v>
          </cell>
          <cell r="C1219" t="str">
            <v>007A</v>
          </cell>
          <cell r="D1219" t="str">
            <v>Y</v>
          </cell>
          <cell r="E1219" t="str">
            <v>A</v>
          </cell>
          <cell r="F1219" t="str">
            <v>10/06/1997</v>
          </cell>
        </row>
        <row r="1220">
          <cell r="B1220" t="str">
            <v>A0071</v>
          </cell>
          <cell r="C1220" t="str">
            <v>UEC</v>
          </cell>
          <cell r="D1220" t="str">
            <v>Y</v>
          </cell>
          <cell r="E1220" t="str">
            <v>A</v>
          </cell>
          <cell r="F1220" t="str">
            <v>10/06/1997</v>
          </cell>
        </row>
        <row r="1221">
          <cell r="B1221" t="str">
            <v>A0072</v>
          </cell>
          <cell r="C1221" t="str">
            <v>CIP</v>
          </cell>
          <cell r="D1221" t="str">
            <v>Y</v>
          </cell>
          <cell r="E1221" t="str">
            <v>A</v>
          </cell>
          <cell r="F1221" t="str">
            <v>10/06/1997</v>
          </cell>
        </row>
        <row r="1222">
          <cell r="B1222" t="str">
            <v>A0075</v>
          </cell>
          <cell r="C1222" t="str">
            <v>017C</v>
          </cell>
          <cell r="D1222" t="str">
            <v>Y</v>
          </cell>
          <cell r="E1222" t="str">
            <v>A</v>
          </cell>
          <cell r="F1222" t="str">
            <v>10/06/1997</v>
          </cell>
        </row>
        <row r="1223">
          <cell r="B1223" t="str">
            <v>A0077</v>
          </cell>
          <cell r="C1223" t="str">
            <v>CIP</v>
          </cell>
          <cell r="D1223" t="str">
            <v>Y</v>
          </cell>
          <cell r="E1223" t="str">
            <v>A</v>
          </cell>
          <cell r="F1223" t="str">
            <v>10/06/1997</v>
          </cell>
        </row>
        <row r="1224">
          <cell r="B1224" t="str">
            <v>A0078</v>
          </cell>
          <cell r="C1224" t="str">
            <v>UEC</v>
          </cell>
          <cell r="D1224" t="str">
            <v>Y</v>
          </cell>
          <cell r="E1224" t="str">
            <v>A</v>
          </cell>
          <cell r="F1224" t="str">
            <v>10/06/1997</v>
          </cell>
        </row>
        <row r="1225">
          <cell r="B1225" t="str">
            <v>A0079</v>
          </cell>
          <cell r="C1225"/>
          <cell r="D1225" t="str">
            <v>Y</v>
          </cell>
          <cell r="E1225" t="str">
            <v>A</v>
          </cell>
          <cell r="F1225" t="str">
            <v>11/22/1997</v>
          </cell>
        </row>
        <row r="1226">
          <cell r="B1226" t="str">
            <v>A0080</v>
          </cell>
          <cell r="C1226" t="str">
            <v>CIP</v>
          </cell>
          <cell r="D1226" t="str">
            <v>Y</v>
          </cell>
          <cell r="E1226" t="str">
            <v>A</v>
          </cell>
          <cell r="F1226" t="str">
            <v>10/06/1997</v>
          </cell>
        </row>
        <row r="1227">
          <cell r="B1227" t="str">
            <v>A0081</v>
          </cell>
          <cell r="C1227" t="str">
            <v>UEC</v>
          </cell>
          <cell r="D1227" t="str">
            <v>Y</v>
          </cell>
          <cell r="E1227" t="str">
            <v>A</v>
          </cell>
          <cell r="F1227" t="str">
            <v>10/06/1997</v>
          </cell>
        </row>
        <row r="1228">
          <cell r="B1228" t="str">
            <v>A0083</v>
          </cell>
          <cell r="C1228" t="str">
            <v>017C</v>
          </cell>
          <cell r="D1228" t="str">
            <v>Y</v>
          </cell>
          <cell r="E1228" t="str">
            <v>A</v>
          </cell>
          <cell r="F1228" t="str">
            <v>10/06/1997</v>
          </cell>
        </row>
        <row r="1229">
          <cell r="B1229" t="str">
            <v>A0084</v>
          </cell>
          <cell r="C1229"/>
          <cell r="D1229" t="str">
            <v>N</v>
          </cell>
          <cell r="E1229" t="str">
            <v>A</v>
          </cell>
          <cell r="F1229" t="str">
            <v>12/19/1997</v>
          </cell>
        </row>
        <row r="1230">
          <cell r="B1230" t="str">
            <v>A0101</v>
          </cell>
          <cell r="C1230" t="str">
            <v>CIP</v>
          </cell>
          <cell r="D1230" t="str">
            <v>Y</v>
          </cell>
          <cell r="E1230" t="str">
            <v>A</v>
          </cell>
          <cell r="F1230" t="str">
            <v>11/19/1997</v>
          </cell>
        </row>
        <row r="1231">
          <cell r="B1231" t="str">
            <v>A0102</v>
          </cell>
          <cell r="C1231" t="str">
            <v>UEC</v>
          </cell>
          <cell r="D1231" t="str">
            <v>Y</v>
          </cell>
          <cell r="E1231" t="str">
            <v>A</v>
          </cell>
          <cell r="F1231" t="str">
            <v>10/29/1998</v>
          </cell>
        </row>
        <row r="1232">
          <cell r="B1232" t="str">
            <v>A0103</v>
          </cell>
          <cell r="C1232" t="str">
            <v>002L</v>
          </cell>
          <cell r="D1232" t="str">
            <v>Y</v>
          </cell>
          <cell r="E1232" t="str">
            <v>A</v>
          </cell>
          <cell r="F1232" t="str">
            <v>09/21/1998</v>
          </cell>
        </row>
        <row r="1233">
          <cell r="B1233" t="str">
            <v>A0104</v>
          </cell>
          <cell r="C1233" t="str">
            <v>UEC</v>
          </cell>
          <cell r="D1233" t="str">
            <v>Y</v>
          </cell>
          <cell r="E1233" t="str">
            <v>A</v>
          </cell>
          <cell r="F1233" t="str">
            <v>11/19/1997</v>
          </cell>
        </row>
        <row r="1234">
          <cell r="B1234" t="str">
            <v>A0105</v>
          </cell>
          <cell r="C1234" t="str">
            <v>011B</v>
          </cell>
          <cell r="D1234" t="str">
            <v>Y</v>
          </cell>
          <cell r="E1234" t="str">
            <v>A</v>
          </cell>
          <cell r="F1234" t="str">
            <v>10/13/1997</v>
          </cell>
        </row>
        <row r="1235">
          <cell r="B1235" t="str">
            <v>A0106</v>
          </cell>
          <cell r="C1235" t="str">
            <v>CIP</v>
          </cell>
          <cell r="D1235" t="str">
            <v>Y</v>
          </cell>
          <cell r="E1235" t="str">
            <v>A</v>
          </cell>
          <cell r="F1235" t="str">
            <v>10/13/1997</v>
          </cell>
        </row>
        <row r="1236">
          <cell r="B1236" t="str">
            <v>A0108</v>
          </cell>
          <cell r="C1236" t="str">
            <v>AME</v>
          </cell>
          <cell r="D1236" t="str">
            <v>Y</v>
          </cell>
          <cell r="E1236" t="str">
            <v>A</v>
          </cell>
          <cell r="F1236" t="str">
            <v>09/22/1998</v>
          </cell>
        </row>
        <row r="1237">
          <cell r="B1237" t="str">
            <v>A0109</v>
          </cell>
          <cell r="C1237" t="str">
            <v>GEN</v>
          </cell>
          <cell r="D1237" t="str">
            <v>Y</v>
          </cell>
          <cell r="E1237" t="str">
            <v>A</v>
          </cell>
          <cell r="F1237" t="str">
            <v>01/02/1998</v>
          </cell>
        </row>
        <row r="1238">
          <cell r="B1238" t="str">
            <v>A0110</v>
          </cell>
          <cell r="C1238" t="str">
            <v>012D</v>
          </cell>
          <cell r="D1238" t="str">
            <v>Y</v>
          </cell>
          <cell r="E1238" t="str">
            <v>A</v>
          </cell>
          <cell r="F1238" t="str">
            <v>11/19/1997</v>
          </cell>
        </row>
        <row r="1239">
          <cell r="B1239" t="str">
            <v>A0111</v>
          </cell>
          <cell r="C1239" t="str">
            <v>UEC</v>
          </cell>
          <cell r="D1239" t="str">
            <v>Y</v>
          </cell>
          <cell r="E1239" t="str">
            <v>A</v>
          </cell>
          <cell r="F1239" t="str">
            <v>11/19/1997</v>
          </cell>
        </row>
        <row r="1240">
          <cell r="B1240" t="str">
            <v>A0112</v>
          </cell>
          <cell r="C1240" t="str">
            <v>UEC</v>
          </cell>
          <cell r="D1240" t="str">
            <v>Y</v>
          </cell>
          <cell r="E1240" t="str">
            <v>A</v>
          </cell>
          <cell r="F1240" t="str">
            <v>09/24/1998</v>
          </cell>
        </row>
        <row r="1241">
          <cell r="B1241" t="str">
            <v>A0113</v>
          </cell>
          <cell r="C1241" t="str">
            <v>UEC</v>
          </cell>
          <cell r="D1241" t="str">
            <v>Y</v>
          </cell>
          <cell r="E1241" t="str">
            <v>A</v>
          </cell>
          <cell r="F1241" t="str">
            <v>09/24/1998</v>
          </cell>
        </row>
        <row r="1242">
          <cell r="B1242" t="str">
            <v>A0114</v>
          </cell>
          <cell r="C1242" t="str">
            <v>UEC</v>
          </cell>
          <cell r="D1242" t="str">
            <v>Y</v>
          </cell>
          <cell r="E1242" t="str">
            <v>A</v>
          </cell>
          <cell r="F1242" t="str">
            <v>11/19/1997</v>
          </cell>
        </row>
        <row r="1243">
          <cell r="B1243" t="str">
            <v>A0115</v>
          </cell>
          <cell r="C1243" t="str">
            <v>UEC</v>
          </cell>
          <cell r="D1243" t="str">
            <v>Y</v>
          </cell>
          <cell r="E1243" t="str">
            <v>A</v>
          </cell>
          <cell r="F1243" t="str">
            <v>02/23/1998</v>
          </cell>
        </row>
        <row r="1244">
          <cell r="B1244" t="str">
            <v>A0116</v>
          </cell>
          <cell r="C1244" t="str">
            <v>GEN</v>
          </cell>
          <cell r="D1244" t="str">
            <v>Y</v>
          </cell>
          <cell r="E1244" t="str">
            <v>A</v>
          </cell>
          <cell r="F1244" t="str">
            <v>11/19/1997</v>
          </cell>
        </row>
        <row r="1245">
          <cell r="B1245" t="str">
            <v>A0117</v>
          </cell>
          <cell r="C1245" t="str">
            <v>CIP</v>
          </cell>
          <cell r="D1245" t="str">
            <v>Y</v>
          </cell>
          <cell r="E1245" t="str">
            <v>A</v>
          </cell>
          <cell r="F1245" t="str">
            <v>11/19/1997</v>
          </cell>
        </row>
        <row r="1246">
          <cell r="B1246" t="str">
            <v>A0118</v>
          </cell>
          <cell r="C1246" t="str">
            <v>UEC</v>
          </cell>
          <cell r="D1246" t="str">
            <v>Y</v>
          </cell>
          <cell r="E1246" t="str">
            <v>A</v>
          </cell>
          <cell r="F1246" t="str">
            <v>11/19/1997</v>
          </cell>
        </row>
        <row r="1247">
          <cell r="B1247" t="str">
            <v>A0119</v>
          </cell>
          <cell r="C1247" t="str">
            <v>CIP</v>
          </cell>
          <cell r="D1247" t="str">
            <v>Y</v>
          </cell>
          <cell r="E1247" t="str">
            <v>A</v>
          </cell>
          <cell r="F1247" t="str">
            <v>11/19/1997</v>
          </cell>
        </row>
        <row r="1248">
          <cell r="B1248" t="str">
            <v>A0120</v>
          </cell>
          <cell r="C1248" t="str">
            <v>002K</v>
          </cell>
          <cell r="D1248" t="str">
            <v>Y</v>
          </cell>
          <cell r="E1248" t="str">
            <v>A</v>
          </cell>
          <cell r="F1248" t="str">
            <v>11/19/1997</v>
          </cell>
        </row>
        <row r="1249">
          <cell r="B1249" t="str">
            <v>A0121</v>
          </cell>
          <cell r="C1249" t="str">
            <v>002A</v>
          </cell>
          <cell r="D1249" t="str">
            <v>Y</v>
          </cell>
          <cell r="E1249" t="str">
            <v>A</v>
          </cell>
          <cell r="F1249" t="str">
            <v>11/19/1997</v>
          </cell>
        </row>
        <row r="1250">
          <cell r="B1250" t="str">
            <v>A0122</v>
          </cell>
          <cell r="C1250" t="str">
            <v>UEC</v>
          </cell>
          <cell r="D1250" t="str">
            <v>Y</v>
          </cell>
          <cell r="E1250" t="str">
            <v>A</v>
          </cell>
          <cell r="F1250" t="str">
            <v>11/19/1997</v>
          </cell>
        </row>
        <row r="1251">
          <cell r="B1251" t="str">
            <v>A0124</v>
          </cell>
          <cell r="C1251" t="str">
            <v>UEC</v>
          </cell>
          <cell r="D1251" t="str">
            <v>Y</v>
          </cell>
          <cell r="E1251" t="str">
            <v>A</v>
          </cell>
          <cell r="F1251" t="str">
            <v>03/02/1998</v>
          </cell>
        </row>
        <row r="1252">
          <cell r="B1252" t="str">
            <v>A0125</v>
          </cell>
          <cell r="C1252"/>
          <cell r="D1252" t="str">
            <v>Y</v>
          </cell>
          <cell r="E1252" t="str">
            <v>A</v>
          </cell>
          <cell r="F1252" t="str">
            <v>10/13/1997</v>
          </cell>
        </row>
        <row r="1253">
          <cell r="B1253" t="str">
            <v>A0126</v>
          </cell>
          <cell r="C1253" t="str">
            <v>UEC</v>
          </cell>
          <cell r="D1253" t="str">
            <v>Y</v>
          </cell>
          <cell r="E1253" t="str">
            <v>A</v>
          </cell>
          <cell r="F1253" t="str">
            <v>10/13/1997</v>
          </cell>
        </row>
        <row r="1254">
          <cell r="B1254" t="str">
            <v>A0127</v>
          </cell>
          <cell r="C1254" t="str">
            <v>018A</v>
          </cell>
          <cell r="D1254" t="str">
            <v>Y</v>
          </cell>
          <cell r="E1254" t="str">
            <v>A</v>
          </cell>
          <cell r="F1254" t="str">
            <v>10/13/1997</v>
          </cell>
        </row>
        <row r="1255">
          <cell r="B1255" t="str">
            <v>A0128</v>
          </cell>
          <cell r="C1255" t="str">
            <v>001A</v>
          </cell>
          <cell r="D1255" t="str">
            <v>Y</v>
          </cell>
          <cell r="E1255" t="str">
            <v>A</v>
          </cell>
          <cell r="F1255" t="str">
            <v>11/19/1997</v>
          </cell>
        </row>
        <row r="1256">
          <cell r="B1256" t="str">
            <v>A0129</v>
          </cell>
          <cell r="C1256" t="str">
            <v>UEC</v>
          </cell>
          <cell r="D1256" t="str">
            <v>Y</v>
          </cell>
          <cell r="E1256" t="str">
            <v>A</v>
          </cell>
          <cell r="F1256" t="str">
            <v>03/02/1998</v>
          </cell>
        </row>
        <row r="1257">
          <cell r="B1257" t="str">
            <v>A0130</v>
          </cell>
          <cell r="C1257" t="str">
            <v>UEC</v>
          </cell>
          <cell r="D1257" t="str">
            <v>Y</v>
          </cell>
          <cell r="E1257" t="str">
            <v>A</v>
          </cell>
          <cell r="F1257" t="str">
            <v>11/19/1997</v>
          </cell>
        </row>
        <row r="1258">
          <cell r="B1258" t="str">
            <v>A0131</v>
          </cell>
          <cell r="C1258" t="str">
            <v>UEC</v>
          </cell>
          <cell r="D1258" t="str">
            <v>Y</v>
          </cell>
          <cell r="E1258" t="str">
            <v>A</v>
          </cell>
          <cell r="F1258" t="str">
            <v>11/22/1997</v>
          </cell>
        </row>
        <row r="1259">
          <cell r="B1259" t="str">
            <v>A0132</v>
          </cell>
          <cell r="C1259" t="str">
            <v>001A</v>
          </cell>
          <cell r="D1259" t="str">
            <v>Y</v>
          </cell>
          <cell r="E1259" t="str">
            <v>A</v>
          </cell>
          <cell r="F1259" t="str">
            <v>10/14/1997</v>
          </cell>
        </row>
        <row r="1260">
          <cell r="B1260" t="str">
            <v>A0133</v>
          </cell>
          <cell r="C1260" t="str">
            <v>CIP</v>
          </cell>
          <cell r="D1260" t="str">
            <v>Y</v>
          </cell>
          <cell r="E1260" t="str">
            <v>A</v>
          </cell>
          <cell r="F1260" t="str">
            <v>11/22/1997</v>
          </cell>
        </row>
        <row r="1261">
          <cell r="B1261" t="str">
            <v>A0134</v>
          </cell>
          <cell r="C1261" t="str">
            <v>003A</v>
          </cell>
          <cell r="D1261" t="str">
            <v>Y</v>
          </cell>
          <cell r="E1261" t="str">
            <v>A</v>
          </cell>
          <cell r="F1261" t="str">
            <v>11/22/1997</v>
          </cell>
        </row>
        <row r="1262">
          <cell r="B1262" t="str">
            <v>A0138</v>
          </cell>
          <cell r="C1262" t="str">
            <v>UEC</v>
          </cell>
          <cell r="D1262" t="str">
            <v>Y</v>
          </cell>
          <cell r="E1262" t="str">
            <v>A</v>
          </cell>
          <cell r="F1262" t="str">
            <v>11/22/1997</v>
          </cell>
        </row>
        <row r="1263">
          <cell r="B1263" t="str">
            <v>A0139</v>
          </cell>
          <cell r="C1263" t="str">
            <v>CIP</v>
          </cell>
          <cell r="D1263" t="str">
            <v>Y</v>
          </cell>
          <cell r="E1263" t="str">
            <v>A</v>
          </cell>
          <cell r="F1263" t="str">
            <v>11/22/1997</v>
          </cell>
        </row>
        <row r="1264">
          <cell r="B1264" t="str">
            <v>A0140</v>
          </cell>
          <cell r="C1264" t="str">
            <v>003A</v>
          </cell>
          <cell r="D1264" t="str">
            <v>Y</v>
          </cell>
          <cell r="E1264" t="str">
            <v>A</v>
          </cell>
          <cell r="F1264" t="str">
            <v>11/22/1997</v>
          </cell>
        </row>
        <row r="1265">
          <cell r="B1265" t="str">
            <v>A0141</v>
          </cell>
          <cell r="C1265" t="str">
            <v>AMC</v>
          </cell>
          <cell r="D1265" t="str">
            <v>Y</v>
          </cell>
          <cell r="E1265" t="str">
            <v>A</v>
          </cell>
          <cell r="F1265" t="str">
            <v>11/24/1997</v>
          </cell>
        </row>
        <row r="1266">
          <cell r="B1266" t="str">
            <v>A0142</v>
          </cell>
          <cell r="C1266"/>
          <cell r="D1266" t="str">
            <v>Y</v>
          </cell>
          <cell r="E1266" t="str">
            <v>A</v>
          </cell>
          <cell r="F1266" t="str">
            <v>11/24/1997</v>
          </cell>
        </row>
        <row r="1267">
          <cell r="B1267" t="str">
            <v>A0143</v>
          </cell>
          <cell r="C1267" t="str">
            <v>UEC</v>
          </cell>
          <cell r="D1267" t="str">
            <v>Y</v>
          </cell>
          <cell r="E1267" t="str">
            <v>A</v>
          </cell>
          <cell r="F1267" t="str">
            <v>11/25/1997</v>
          </cell>
        </row>
        <row r="1268">
          <cell r="B1268" t="str">
            <v>A0144</v>
          </cell>
          <cell r="C1268" t="str">
            <v>CIP</v>
          </cell>
          <cell r="D1268" t="str">
            <v>Y</v>
          </cell>
          <cell r="E1268" t="str">
            <v>A</v>
          </cell>
          <cell r="F1268" t="str">
            <v>03/02/1998</v>
          </cell>
        </row>
        <row r="1269">
          <cell r="B1269" t="str">
            <v>A0145</v>
          </cell>
          <cell r="C1269" t="str">
            <v>CIP</v>
          </cell>
          <cell r="D1269" t="str">
            <v>Y</v>
          </cell>
          <cell r="E1269" t="str">
            <v>A</v>
          </cell>
          <cell r="F1269" t="str">
            <v>11/25/1997</v>
          </cell>
        </row>
        <row r="1270">
          <cell r="B1270" t="str">
            <v>A0146</v>
          </cell>
          <cell r="C1270" t="str">
            <v>002L</v>
          </cell>
          <cell r="D1270" t="str">
            <v>Y</v>
          </cell>
          <cell r="E1270" t="str">
            <v>A</v>
          </cell>
          <cell r="F1270" t="str">
            <v>11/25/1997</v>
          </cell>
        </row>
        <row r="1271">
          <cell r="B1271" t="str">
            <v>A0149</v>
          </cell>
          <cell r="C1271"/>
          <cell r="D1271" t="str">
            <v>Y</v>
          </cell>
          <cell r="E1271" t="str">
            <v>A</v>
          </cell>
          <cell r="F1271" t="str">
            <v>11/25/1997</v>
          </cell>
        </row>
        <row r="1272">
          <cell r="B1272" t="str">
            <v>A0151</v>
          </cell>
          <cell r="C1272"/>
          <cell r="D1272" t="str">
            <v>N</v>
          </cell>
          <cell r="E1272" t="str">
            <v>A</v>
          </cell>
          <cell r="F1272" t="str">
            <v>10/14/1997</v>
          </cell>
        </row>
        <row r="1273">
          <cell r="B1273" t="str">
            <v>A0152</v>
          </cell>
          <cell r="C1273" t="str">
            <v>UEC</v>
          </cell>
          <cell r="D1273" t="str">
            <v>Y</v>
          </cell>
          <cell r="E1273" t="str">
            <v>A</v>
          </cell>
          <cell r="F1273" t="str">
            <v>10/14/1997</v>
          </cell>
        </row>
        <row r="1274">
          <cell r="B1274" t="str">
            <v>A0153</v>
          </cell>
          <cell r="C1274" t="str">
            <v>UEC</v>
          </cell>
          <cell r="D1274" t="str">
            <v>Y</v>
          </cell>
          <cell r="E1274" t="str">
            <v>A</v>
          </cell>
          <cell r="F1274" t="str">
            <v>10/14/1997</v>
          </cell>
        </row>
        <row r="1275">
          <cell r="B1275" t="str">
            <v>A0154</v>
          </cell>
          <cell r="C1275" t="str">
            <v>UEC</v>
          </cell>
          <cell r="D1275" t="str">
            <v>Y</v>
          </cell>
          <cell r="E1275" t="str">
            <v>A</v>
          </cell>
          <cell r="F1275" t="str">
            <v>10/14/1997</v>
          </cell>
        </row>
        <row r="1276">
          <cell r="B1276" t="str">
            <v>A0155</v>
          </cell>
          <cell r="C1276" t="str">
            <v>CIP</v>
          </cell>
          <cell r="D1276" t="str">
            <v>Y</v>
          </cell>
          <cell r="E1276" t="str">
            <v>A</v>
          </cell>
          <cell r="F1276" t="str">
            <v>10/14/1997</v>
          </cell>
        </row>
        <row r="1277">
          <cell r="B1277" t="str">
            <v>A0156</v>
          </cell>
          <cell r="C1277" t="str">
            <v>CIP</v>
          </cell>
          <cell r="D1277" t="str">
            <v>Y</v>
          </cell>
          <cell r="E1277" t="str">
            <v>A</v>
          </cell>
          <cell r="F1277" t="str">
            <v>10/14/1997</v>
          </cell>
        </row>
        <row r="1278">
          <cell r="B1278" t="str">
            <v>A0157</v>
          </cell>
          <cell r="C1278" t="str">
            <v>CIP</v>
          </cell>
          <cell r="D1278" t="str">
            <v>Y</v>
          </cell>
          <cell r="E1278" t="str">
            <v>A</v>
          </cell>
          <cell r="F1278" t="str">
            <v>10/14/1997</v>
          </cell>
        </row>
        <row r="1279">
          <cell r="B1279" t="str">
            <v>A0158</v>
          </cell>
          <cell r="C1279" t="str">
            <v>004A</v>
          </cell>
          <cell r="D1279" t="str">
            <v>Y</v>
          </cell>
          <cell r="E1279" t="str">
            <v>A</v>
          </cell>
          <cell r="F1279" t="str">
            <v>10/14/1997</v>
          </cell>
        </row>
        <row r="1280">
          <cell r="B1280" t="str">
            <v>A0160</v>
          </cell>
          <cell r="C1280" t="str">
            <v>UEC</v>
          </cell>
          <cell r="D1280" t="str">
            <v>Y</v>
          </cell>
          <cell r="E1280" t="str">
            <v>A</v>
          </cell>
          <cell r="F1280" t="str">
            <v>10/14/1997</v>
          </cell>
        </row>
        <row r="1281">
          <cell r="B1281" t="str">
            <v>A0161</v>
          </cell>
          <cell r="C1281" t="str">
            <v>004A</v>
          </cell>
          <cell r="D1281" t="str">
            <v>Y</v>
          </cell>
          <cell r="E1281" t="str">
            <v>A</v>
          </cell>
          <cell r="F1281" t="str">
            <v>10/14/1997</v>
          </cell>
        </row>
        <row r="1282">
          <cell r="B1282" t="str">
            <v>A0162</v>
          </cell>
          <cell r="C1282" t="str">
            <v>004B</v>
          </cell>
          <cell r="D1282" t="str">
            <v>Y</v>
          </cell>
          <cell r="E1282" t="str">
            <v>A</v>
          </cell>
          <cell r="F1282" t="str">
            <v>10/14/1997</v>
          </cell>
        </row>
        <row r="1283">
          <cell r="B1283" t="str">
            <v>A0163</v>
          </cell>
          <cell r="C1283"/>
          <cell r="D1283" t="str">
            <v>Y</v>
          </cell>
          <cell r="E1283" t="str">
            <v>A</v>
          </cell>
          <cell r="F1283" t="str">
            <v>10/14/1997</v>
          </cell>
        </row>
        <row r="1284">
          <cell r="B1284" t="str">
            <v>A0164</v>
          </cell>
          <cell r="C1284" t="str">
            <v>CIP</v>
          </cell>
          <cell r="D1284" t="str">
            <v>Y</v>
          </cell>
          <cell r="E1284" t="str">
            <v>A</v>
          </cell>
          <cell r="F1284" t="str">
            <v>10/14/1997</v>
          </cell>
        </row>
        <row r="1285">
          <cell r="B1285" t="str">
            <v>A0166</v>
          </cell>
          <cell r="C1285"/>
          <cell r="D1285" t="str">
            <v>Y</v>
          </cell>
          <cell r="E1285" t="str">
            <v>A</v>
          </cell>
          <cell r="F1285" t="str">
            <v>10/14/1997</v>
          </cell>
        </row>
        <row r="1286">
          <cell r="B1286" t="str">
            <v>A0168</v>
          </cell>
          <cell r="C1286" t="str">
            <v>010B</v>
          </cell>
          <cell r="D1286" t="str">
            <v>Y</v>
          </cell>
          <cell r="E1286" t="str">
            <v>A</v>
          </cell>
          <cell r="F1286" t="str">
            <v>10/14/1997</v>
          </cell>
        </row>
        <row r="1287">
          <cell r="B1287" t="str">
            <v>A0169</v>
          </cell>
          <cell r="C1287" t="str">
            <v>011A</v>
          </cell>
          <cell r="D1287" t="str">
            <v>Y</v>
          </cell>
          <cell r="E1287" t="str">
            <v>A</v>
          </cell>
          <cell r="F1287" t="str">
            <v>10/14/1997</v>
          </cell>
        </row>
        <row r="1288">
          <cell r="B1288" t="str">
            <v>A0171</v>
          </cell>
          <cell r="C1288" t="str">
            <v>UEC</v>
          </cell>
          <cell r="D1288" t="str">
            <v>Y</v>
          </cell>
          <cell r="E1288" t="str">
            <v>A</v>
          </cell>
          <cell r="F1288" t="str">
            <v>10/14/1997</v>
          </cell>
        </row>
        <row r="1289">
          <cell r="B1289" t="str">
            <v>A0175</v>
          </cell>
          <cell r="C1289" t="str">
            <v>002L</v>
          </cell>
          <cell r="D1289" t="str">
            <v>Y</v>
          </cell>
          <cell r="E1289" t="str">
            <v>A</v>
          </cell>
          <cell r="F1289" t="str">
            <v>11/25/1997</v>
          </cell>
        </row>
        <row r="1290">
          <cell r="B1290" t="str">
            <v>A0176</v>
          </cell>
          <cell r="C1290" t="str">
            <v>UEC</v>
          </cell>
          <cell r="D1290" t="str">
            <v>Y</v>
          </cell>
          <cell r="E1290" t="str">
            <v>A</v>
          </cell>
          <cell r="F1290" t="str">
            <v>10/14/1997</v>
          </cell>
        </row>
        <row r="1291">
          <cell r="B1291" t="str">
            <v>A0177</v>
          </cell>
          <cell r="C1291" t="str">
            <v>004A</v>
          </cell>
          <cell r="D1291" t="str">
            <v>N</v>
          </cell>
          <cell r="E1291" t="str">
            <v>A</v>
          </cell>
          <cell r="F1291" t="str">
            <v>10/14/1997</v>
          </cell>
        </row>
        <row r="1292">
          <cell r="B1292" t="str">
            <v>A0178</v>
          </cell>
          <cell r="C1292" t="str">
            <v>UEC</v>
          </cell>
          <cell r="D1292" t="str">
            <v>Y</v>
          </cell>
          <cell r="E1292" t="str">
            <v>A</v>
          </cell>
          <cell r="F1292" t="str">
            <v>10/14/1997</v>
          </cell>
        </row>
        <row r="1293">
          <cell r="B1293" t="str">
            <v>A0179</v>
          </cell>
          <cell r="C1293" t="str">
            <v>CIP</v>
          </cell>
          <cell r="D1293" t="str">
            <v>Y</v>
          </cell>
          <cell r="E1293" t="str">
            <v>A</v>
          </cell>
          <cell r="F1293" t="str">
            <v>10/14/1997</v>
          </cell>
        </row>
        <row r="1294">
          <cell r="B1294" t="str">
            <v>A0180</v>
          </cell>
          <cell r="C1294" t="str">
            <v>004F</v>
          </cell>
          <cell r="D1294" t="str">
            <v>Y</v>
          </cell>
          <cell r="E1294" t="str">
            <v>A</v>
          </cell>
          <cell r="F1294" t="str">
            <v>10/14/1997</v>
          </cell>
        </row>
        <row r="1295">
          <cell r="B1295" t="str">
            <v>A0181</v>
          </cell>
          <cell r="C1295" t="str">
            <v>CIP</v>
          </cell>
          <cell r="D1295" t="str">
            <v>N</v>
          </cell>
          <cell r="E1295" t="str">
            <v>A</v>
          </cell>
          <cell r="F1295" t="str">
            <v>10/14/1997</v>
          </cell>
        </row>
        <row r="1296">
          <cell r="B1296" t="str">
            <v>A0182</v>
          </cell>
          <cell r="C1296" t="str">
            <v>UEC</v>
          </cell>
          <cell r="D1296" t="str">
            <v>Y</v>
          </cell>
          <cell r="E1296" t="str">
            <v>A</v>
          </cell>
          <cell r="F1296" t="str">
            <v>10/14/1997</v>
          </cell>
        </row>
        <row r="1297">
          <cell r="B1297" t="str">
            <v>A0183</v>
          </cell>
          <cell r="C1297" t="str">
            <v>CIP</v>
          </cell>
          <cell r="D1297" t="str">
            <v>Y</v>
          </cell>
          <cell r="E1297" t="str">
            <v>A</v>
          </cell>
          <cell r="F1297" t="str">
            <v>10/14/1997</v>
          </cell>
        </row>
        <row r="1298">
          <cell r="B1298" t="str">
            <v>A0184</v>
          </cell>
          <cell r="C1298" t="str">
            <v>CIC</v>
          </cell>
          <cell r="D1298" t="str">
            <v>Y</v>
          </cell>
          <cell r="E1298" t="str">
            <v>A</v>
          </cell>
          <cell r="F1298" t="str">
            <v>10/14/1997</v>
          </cell>
        </row>
        <row r="1299">
          <cell r="B1299" t="str">
            <v>A0185</v>
          </cell>
          <cell r="C1299" t="str">
            <v>UEC</v>
          </cell>
          <cell r="D1299" t="str">
            <v>N</v>
          </cell>
          <cell r="E1299" t="str">
            <v>A</v>
          </cell>
          <cell r="F1299" t="str">
            <v>10/14/1997</v>
          </cell>
        </row>
        <row r="1300">
          <cell r="B1300" t="str">
            <v>A0189</v>
          </cell>
          <cell r="C1300" t="str">
            <v>003B</v>
          </cell>
          <cell r="D1300" t="str">
            <v>N</v>
          </cell>
          <cell r="E1300" t="str">
            <v>A</v>
          </cell>
          <cell r="F1300" t="str">
            <v>10/14/1997</v>
          </cell>
        </row>
        <row r="1301">
          <cell r="B1301" t="str">
            <v>A0192</v>
          </cell>
          <cell r="C1301"/>
          <cell r="D1301" t="str">
            <v>Y</v>
          </cell>
          <cell r="E1301" t="str">
            <v>A</v>
          </cell>
          <cell r="F1301" t="str">
            <v>10/14/1997</v>
          </cell>
        </row>
        <row r="1302">
          <cell r="B1302" t="str">
            <v>A0193</v>
          </cell>
          <cell r="C1302"/>
          <cell r="D1302" t="str">
            <v>N</v>
          </cell>
          <cell r="E1302" t="str">
            <v>A</v>
          </cell>
          <cell r="F1302" t="str">
            <v>10/14/1997</v>
          </cell>
        </row>
        <row r="1303">
          <cell r="B1303" t="str">
            <v>A0194</v>
          </cell>
          <cell r="C1303" t="str">
            <v>CIP</v>
          </cell>
          <cell r="D1303" t="str">
            <v>N</v>
          </cell>
          <cell r="E1303" t="str">
            <v>A</v>
          </cell>
          <cell r="F1303" t="str">
            <v>10/14/1997</v>
          </cell>
        </row>
        <row r="1304">
          <cell r="B1304" t="str">
            <v>A0195</v>
          </cell>
          <cell r="C1304" t="str">
            <v>UEC</v>
          </cell>
          <cell r="D1304" t="str">
            <v>N</v>
          </cell>
          <cell r="E1304" t="str">
            <v>A</v>
          </cell>
          <cell r="F1304" t="str">
            <v>10/14/1997</v>
          </cell>
        </row>
        <row r="1305">
          <cell r="B1305" t="str">
            <v>A0196</v>
          </cell>
          <cell r="C1305" t="str">
            <v>UEC</v>
          </cell>
          <cell r="D1305" t="str">
            <v>N</v>
          </cell>
          <cell r="E1305" t="str">
            <v>A</v>
          </cell>
          <cell r="F1305" t="str">
            <v>10/14/1997</v>
          </cell>
        </row>
        <row r="1306">
          <cell r="B1306" t="str">
            <v>A0197</v>
          </cell>
          <cell r="C1306" t="str">
            <v>CIP</v>
          </cell>
          <cell r="D1306" t="str">
            <v>N</v>
          </cell>
          <cell r="E1306" t="str">
            <v>A</v>
          </cell>
          <cell r="F1306" t="str">
            <v>10/14/1997</v>
          </cell>
        </row>
        <row r="1307">
          <cell r="B1307" t="str">
            <v>A0199</v>
          </cell>
          <cell r="C1307" t="str">
            <v>002L</v>
          </cell>
          <cell r="D1307" t="str">
            <v>Y</v>
          </cell>
          <cell r="E1307" t="str">
            <v>A</v>
          </cell>
          <cell r="F1307" t="str">
            <v>03/02/1998</v>
          </cell>
        </row>
        <row r="1308">
          <cell r="B1308" t="str">
            <v>A0200</v>
          </cell>
          <cell r="C1308" t="str">
            <v>UEC</v>
          </cell>
          <cell r="D1308" t="str">
            <v>Y</v>
          </cell>
          <cell r="E1308" t="str">
            <v>A</v>
          </cell>
          <cell r="F1308" t="str">
            <v>10/15/1997</v>
          </cell>
        </row>
        <row r="1309">
          <cell r="B1309" t="str">
            <v>A0201</v>
          </cell>
          <cell r="C1309" t="str">
            <v>UEC</v>
          </cell>
          <cell r="D1309" t="str">
            <v>Y</v>
          </cell>
          <cell r="E1309" t="str">
            <v>A</v>
          </cell>
          <cell r="F1309" t="str">
            <v>10/15/1997</v>
          </cell>
        </row>
        <row r="1310">
          <cell r="B1310" t="str">
            <v>A0202</v>
          </cell>
          <cell r="C1310" t="str">
            <v>CIP</v>
          </cell>
          <cell r="D1310" t="str">
            <v>Y</v>
          </cell>
          <cell r="E1310" t="str">
            <v>A</v>
          </cell>
          <cell r="F1310" t="str">
            <v>10/15/1997</v>
          </cell>
        </row>
        <row r="1311">
          <cell r="B1311" t="str">
            <v>A0203</v>
          </cell>
          <cell r="C1311" t="str">
            <v>008B</v>
          </cell>
          <cell r="D1311" t="str">
            <v>Y</v>
          </cell>
          <cell r="E1311" t="str">
            <v>A</v>
          </cell>
          <cell r="F1311" t="str">
            <v>10/15/1997</v>
          </cell>
        </row>
        <row r="1312">
          <cell r="B1312" t="str">
            <v>A0208</v>
          </cell>
          <cell r="C1312" t="str">
            <v>012A</v>
          </cell>
          <cell r="D1312" t="str">
            <v>Y</v>
          </cell>
          <cell r="E1312" t="str">
            <v>A</v>
          </cell>
          <cell r="F1312" t="str">
            <v>11/26/1997</v>
          </cell>
        </row>
        <row r="1313">
          <cell r="B1313" t="str">
            <v>A0209</v>
          </cell>
          <cell r="C1313" t="str">
            <v>UEC</v>
          </cell>
          <cell r="D1313" t="str">
            <v>Y</v>
          </cell>
          <cell r="E1313" t="str">
            <v>A</v>
          </cell>
          <cell r="F1313" t="str">
            <v>11/26/1997</v>
          </cell>
        </row>
        <row r="1314">
          <cell r="B1314" t="str">
            <v>A0210</v>
          </cell>
          <cell r="C1314" t="str">
            <v>CIP</v>
          </cell>
          <cell r="D1314" t="str">
            <v>Y</v>
          </cell>
          <cell r="E1314" t="str">
            <v>A</v>
          </cell>
          <cell r="F1314" t="str">
            <v>11/26/1997</v>
          </cell>
        </row>
        <row r="1315">
          <cell r="B1315" t="str">
            <v>A0211</v>
          </cell>
          <cell r="C1315" t="str">
            <v>UEC</v>
          </cell>
          <cell r="D1315" t="str">
            <v>Y</v>
          </cell>
          <cell r="E1315" t="str">
            <v>A</v>
          </cell>
          <cell r="F1315" t="str">
            <v>11/26/1997</v>
          </cell>
        </row>
        <row r="1316">
          <cell r="B1316" t="str">
            <v>A0212</v>
          </cell>
          <cell r="C1316" t="str">
            <v>UEC</v>
          </cell>
          <cell r="D1316" t="str">
            <v>Y</v>
          </cell>
          <cell r="E1316" t="str">
            <v>A</v>
          </cell>
          <cell r="F1316" t="str">
            <v>10/15/1997</v>
          </cell>
        </row>
        <row r="1317">
          <cell r="B1317" t="str">
            <v>A0213</v>
          </cell>
          <cell r="C1317" t="str">
            <v>CIP</v>
          </cell>
          <cell r="D1317" t="str">
            <v>Y</v>
          </cell>
          <cell r="E1317" t="str">
            <v>A</v>
          </cell>
          <cell r="F1317" t="str">
            <v>10/16/1997</v>
          </cell>
        </row>
        <row r="1318">
          <cell r="B1318" t="str">
            <v>A0214</v>
          </cell>
          <cell r="C1318" t="str">
            <v>CIP</v>
          </cell>
          <cell r="D1318" t="str">
            <v>Y</v>
          </cell>
          <cell r="E1318" t="str">
            <v>A</v>
          </cell>
          <cell r="F1318" t="str">
            <v>10/16/1997</v>
          </cell>
        </row>
        <row r="1319">
          <cell r="B1319" t="str">
            <v>A0215</v>
          </cell>
          <cell r="C1319"/>
          <cell r="D1319" t="str">
            <v>Y</v>
          </cell>
          <cell r="E1319" t="str">
            <v>A</v>
          </cell>
          <cell r="F1319" t="str">
            <v>03/06/1998</v>
          </cell>
        </row>
        <row r="1320">
          <cell r="B1320" t="str">
            <v>A0217</v>
          </cell>
          <cell r="C1320" t="str">
            <v>UEC</v>
          </cell>
          <cell r="D1320" t="str">
            <v>Y</v>
          </cell>
          <cell r="E1320" t="str">
            <v>A</v>
          </cell>
          <cell r="F1320" t="str">
            <v>11/26/1997</v>
          </cell>
        </row>
        <row r="1321">
          <cell r="B1321" t="str">
            <v>A0218</v>
          </cell>
          <cell r="C1321" t="str">
            <v>CIC</v>
          </cell>
          <cell r="D1321" t="str">
            <v>Y</v>
          </cell>
          <cell r="E1321" t="str">
            <v>A</v>
          </cell>
          <cell r="F1321" t="str">
            <v>11/26/1997</v>
          </cell>
        </row>
        <row r="1322">
          <cell r="B1322" t="str">
            <v>A0219</v>
          </cell>
          <cell r="C1322" t="str">
            <v>UDC</v>
          </cell>
          <cell r="D1322" t="str">
            <v>Y</v>
          </cell>
          <cell r="E1322" t="str">
            <v>A</v>
          </cell>
          <cell r="F1322" t="str">
            <v>11/26/1997</v>
          </cell>
        </row>
        <row r="1323">
          <cell r="B1323" t="str">
            <v>A0220</v>
          </cell>
          <cell r="C1323" t="str">
            <v>UEC</v>
          </cell>
          <cell r="D1323" t="str">
            <v>Y</v>
          </cell>
          <cell r="E1323" t="str">
            <v>A</v>
          </cell>
          <cell r="F1323" t="str">
            <v>11/26/1997</v>
          </cell>
        </row>
        <row r="1324">
          <cell r="B1324" t="str">
            <v>A0222</v>
          </cell>
          <cell r="C1324" t="str">
            <v>017A</v>
          </cell>
          <cell r="D1324" t="str">
            <v>Y</v>
          </cell>
          <cell r="E1324" t="str">
            <v>A</v>
          </cell>
          <cell r="F1324" t="str">
            <v>10/17/1997</v>
          </cell>
        </row>
        <row r="1325">
          <cell r="B1325" t="str">
            <v>A0223</v>
          </cell>
          <cell r="C1325" t="str">
            <v>002L</v>
          </cell>
          <cell r="D1325" t="str">
            <v>Y</v>
          </cell>
          <cell r="E1325" t="str">
            <v>A</v>
          </cell>
          <cell r="F1325" t="str">
            <v>10/17/1997</v>
          </cell>
        </row>
        <row r="1326">
          <cell r="B1326" t="str">
            <v>A0224</v>
          </cell>
          <cell r="C1326" t="str">
            <v>004A</v>
          </cell>
          <cell r="D1326" t="str">
            <v>Y</v>
          </cell>
          <cell r="E1326" t="str">
            <v>A</v>
          </cell>
          <cell r="F1326" t="str">
            <v>10/17/1997</v>
          </cell>
        </row>
        <row r="1327">
          <cell r="B1327" t="str">
            <v>A0228</v>
          </cell>
          <cell r="C1327" t="str">
            <v>011A</v>
          </cell>
          <cell r="D1327" t="str">
            <v>Y</v>
          </cell>
          <cell r="E1327" t="str">
            <v>A</v>
          </cell>
          <cell r="F1327" t="str">
            <v>10/17/1997</v>
          </cell>
        </row>
        <row r="1328">
          <cell r="B1328" t="str">
            <v>A0230</v>
          </cell>
          <cell r="C1328" t="str">
            <v>UEC</v>
          </cell>
          <cell r="D1328" t="str">
            <v>Y</v>
          </cell>
          <cell r="E1328" t="str">
            <v>A</v>
          </cell>
          <cell r="F1328" t="str">
            <v>10/17/1997</v>
          </cell>
        </row>
        <row r="1329">
          <cell r="B1329" t="str">
            <v>A0231</v>
          </cell>
          <cell r="C1329" t="str">
            <v>CIP</v>
          </cell>
          <cell r="D1329" t="str">
            <v>Y</v>
          </cell>
          <cell r="E1329" t="str">
            <v>A</v>
          </cell>
          <cell r="F1329" t="str">
            <v>10/17/1997</v>
          </cell>
        </row>
        <row r="1330">
          <cell r="B1330" t="str">
            <v>A0233</v>
          </cell>
          <cell r="C1330"/>
          <cell r="D1330" t="str">
            <v>Y</v>
          </cell>
          <cell r="E1330" t="str">
            <v>A</v>
          </cell>
          <cell r="F1330" t="str">
            <v>10/17/1997</v>
          </cell>
        </row>
        <row r="1331">
          <cell r="B1331" t="str">
            <v>A0234</v>
          </cell>
          <cell r="C1331" t="str">
            <v>001A</v>
          </cell>
          <cell r="D1331" t="str">
            <v>Y</v>
          </cell>
          <cell r="E1331" t="str">
            <v>A</v>
          </cell>
          <cell r="F1331" t="str">
            <v>10/17/1997</v>
          </cell>
        </row>
        <row r="1332">
          <cell r="B1332" t="str">
            <v>A0235</v>
          </cell>
          <cell r="C1332" t="str">
            <v>004A</v>
          </cell>
          <cell r="D1332" t="str">
            <v>Y</v>
          </cell>
          <cell r="E1332" t="str">
            <v>A</v>
          </cell>
          <cell r="F1332" t="str">
            <v>10/17/1997</v>
          </cell>
        </row>
        <row r="1333">
          <cell r="B1333" t="str">
            <v>A0236</v>
          </cell>
          <cell r="C1333" t="str">
            <v>CIP</v>
          </cell>
          <cell r="D1333" t="str">
            <v>Y</v>
          </cell>
          <cell r="E1333" t="str">
            <v>A</v>
          </cell>
          <cell r="F1333" t="str">
            <v>09/24/1998</v>
          </cell>
        </row>
        <row r="1334">
          <cell r="B1334" t="str">
            <v>A0237</v>
          </cell>
          <cell r="C1334"/>
          <cell r="D1334" t="str">
            <v>Y</v>
          </cell>
          <cell r="E1334" t="str">
            <v>A</v>
          </cell>
          <cell r="F1334" t="str">
            <v>10/17/1997</v>
          </cell>
        </row>
        <row r="1335">
          <cell r="B1335" t="str">
            <v>A0238</v>
          </cell>
          <cell r="C1335" t="str">
            <v>UEC</v>
          </cell>
          <cell r="D1335" t="str">
            <v>N</v>
          </cell>
          <cell r="E1335" t="str">
            <v>A</v>
          </cell>
          <cell r="F1335" t="str">
            <v>10/20/1997</v>
          </cell>
        </row>
        <row r="1336">
          <cell r="B1336" t="str">
            <v>A0239</v>
          </cell>
          <cell r="C1336" t="str">
            <v>CIP</v>
          </cell>
          <cell r="D1336" t="str">
            <v>N</v>
          </cell>
          <cell r="E1336" t="str">
            <v>A</v>
          </cell>
          <cell r="F1336" t="str">
            <v>10/20/1997</v>
          </cell>
        </row>
        <row r="1337">
          <cell r="B1337" t="str">
            <v>A0240</v>
          </cell>
          <cell r="C1337" t="str">
            <v>UEC</v>
          </cell>
          <cell r="D1337" t="str">
            <v>Y</v>
          </cell>
          <cell r="E1337" t="str">
            <v>A</v>
          </cell>
          <cell r="F1337" t="str">
            <v>03/25/1998</v>
          </cell>
        </row>
        <row r="1338">
          <cell r="B1338" t="str">
            <v>A0241</v>
          </cell>
          <cell r="C1338" t="str">
            <v>002L</v>
          </cell>
          <cell r="D1338" t="str">
            <v>N</v>
          </cell>
          <cell r="E1338" t="str">
            <v>A</v>
          </cell>
          <cell r="F1338" t="str">
            <v>10/20/1997</v>
          </cell>
        </row>
        <row r="1339">
          <cell r="B1339" t="str">
            <v>A0242</v>
          </cell>
          <cell r="C1339" t="str">
            <v>UEC</v>
          </cell>
          <cell r="D1339" t="str">
            <v>Y</v>
          </cell>
          <cell r="E1339" t="str">
            <v>A</v>
          </cell>
          <cell r="F1339" t="str">
            <v>03/25/1998</v>
          </cell>
        </row>
        <row r="1340">
          <cell r="B1340" t="str">
            <v>A0243</v>
          </cell>
          <cell r="C1340"/>
          <cell r="D1340" t="str">
            <v>Y</v>
          </cell>
          <cell r="E1340" t="str">
            <v>A</v>
          </cell>
          <cell r="F1340" t="str">
            <v>10/20/1997</v>
          </cell>
        </row>
        <row r="1341">
          <cell r="B1341" t="str">
            <v>A0245</v>
          </cell>
          <cell r="C1341" t="str">
            <v>CIP</v>
          </cell>
          <cell r="D1341" t="str">
            <v>Y</v>
          </cell>
          <cell r="E1341" t="str">
            <v>A</v>
          </cell>
          <cell r="F1341" t="str">
            <v>10/21/1997</v>
          </cell>
        </row>
        <row r="1342">
          <cell r="B1342" t="str">
            <v>A0246</v>
          </cell>
          <cell r="C1342" t="str">
            <v>CIP</v>
          </cell>
          <cell r="D1342" t="str">
            <v>Y</v>
          </cell>
          <cell r="E1342" t="str">
            <v>A</v>
          </cell>
          <cell r="F1342" t="str">
            <v>03/25/1998</v>
          </cell>
        </row>
        <row r="1343">
          <cell r="B1343" t="str">
            <v>A0247</v>
          </cell>
          <cell r="C1343" t="str">
            <v>004F</v>
          </cell>
          <cell r="D1343" t="str">
            <v>Y</v>
          </cell>
          <cell r="E1343" t="str">
            <v>A</v>
          </cell>
          <cell r="F1343" t="str">
            <v>10/21/1997</v>
          </cell>
        </row>
        <row r="1344">
          <cell r="B1344" t="str">
            <v>A0248</v>
          </cell>
          <cell r="C1344" t="str">
            <v>002K</v>
          </cell>
          <cell r="D1344" t="str">
            <v>Y</v>
          </cell>
          <cell r="E1344" t="str">
            <v>A</v>
          </cell>
          <cell r="F1344" t="str">
            <v>09/24/1998</v>
          </cell>
        </row>
        <row r="1345">
          <cell r="B1345" t="str">
            <v>A0249</v>
          </cell>
          <cell r="C1345" t="str">
            <v>002L</v>
          </cell>
          <cell r="D1345" t="str">
            <v>Y</v>
          </cell>
          <cell r="E1345" t="str">
            <v>A</v>
          </cell>
          <cell r="F1345" t="str">
            <v>09/24/1998</v>
          </cell>
        </row>
        <row r="1346">
          <cell r="B1346" t="str">
            <v>A0250</v>
          </cell>
          <cell r="C1346" t="str">
            <v>001A</v>
          </cell>
          <cell r="D1346" t="str">
            <v>Y</v>
          </cell>
          <cell r="E1346" t="str">
            <v>A</v>
          </cell>
          <cell r="F1346" t="str">
            <v>12/01/1997</v>
          </cell>
        </row>
        <row r="1347">
          <cell r="B1347" t="str">
            <v>A0251</v>
          </cell>
          <cell r="C1347" t="str">
            <v>CIP</v>
          </cell>
          <cell r="D1347" t="str">
            <v>Y</v>
          </cell>
          <cell r="E1347" t="str">
            <v>A</v>
          </cell>
          <cell r="F1347" t="str">
            <v>12/01/1997</v>
          </cell>
        </row>
        <row r="1348">
          <cell r="B1348" t="str">
            <v>A0252</v>
          </cell>
          <cell r="C1348" t="str">
            <v>004C</v>
          </cell>
          <cell r="D1348" t="str">
            <v>Y</v>
          </cell>
          <cell r="E1348" t="str">
            <v>A</v>
          </cell>
          <cell r="F1348" t="str">
            <v>12/02/1997</v>
          </cell>
        </row>
        <row r="1349">
          <cell r="B1349" t="str">
            <v>A0253</v>
          </cell>
          <cell r="C1349" t="str">
            <v>004A</v>
          </cell>
          <cell r="D1349" t="str">
            <v>Y</v>
          </cell>
          <cell r="E1349" t="str">
            <v>A</v>
          </cell>
          <cell r="F1349" t="str">
            <v>10/23/1997</v>
          </cell>
        </row>
        <row r="1350">
          <cell r="B1350" t="str">
            <v>A0254</v>
          </cell>
          <cell r="C1350"/>
          <cell r="D1350" t="str">
            <v>Y</v>
          </cell>
          <cell r="E1350" t="str">
            <v>A</v>
          </cell>
          <cell r="F1350" t="str">
            <v>10/23/1997</v>
          </cell>
        </row>
        <row r="1351">
          <cell r="B1351" t="str">
            <v>A0255</v>
          </cell>
          <cell r="C1351"/>
          <cell r="D1351" t="str">
            <v>Y</v>
          </cell>
          <cell r="E1351" t="str">
            <v>A</v>
          </cell>
          <cell r="F1351" t="str">
            <v>10/24/1997</v>
          </cell>
        </row>
        <row r="1352">
          <cell r="B1352" t="str">
            <v>A0256</v>
          </cell>
          <cell r="C1352" t="str">
            <v>004A</v>
          </cell>
          <cell r="D1352" t="str">
            <v>N</v>
          </cell>
          <cell r="E1352" t="str">
            <v>A</v>
          </cell>
          <cell r="F1352" t="str">
            <v>10/24/1997</v>
          </cell>
        </row>
        <row r="1353">
          <cell r="B1353" t="str">
            <v>A0259</v>
          </cell>
          <cell r="C1353"/>
          <cell r="D1353" t="str">
            <v>Y</v>
          </cell>
          <cell r="E1353" t="str">
            <v>A</v>
          </cell>
          <cell r="F1353" t="str">
            <v>10/24/1997</v>
          </cell>
        </row>
        <row r="1354">
          <cell r="B1354" t="str">
            <v>A0262</v>
          </cell>
          <cell r="C1354" t="str">
            <v>007A</v>
          </cell>
          <cell r="D1354" t="str">
            <v>Y</v>
          </cell>
          <cell r="E1354" t="str">
            <v>A</v>
          </cell>
          <cell r="F1354" t="str">
            <v>12/02/1997</v>
          </cell>
        </row>
        <row r="1355">
          <cell r="B1355" t="str">
            <v>A0266</v>
          </cell>
          <cell r="C1355" t="str">
            <v>UEC</v>
          </cell>
          <cell r="D1355" t="str">
            <v>Y</v>
          </cell>
          <cell r="E1355" t="str">
            <v>A</v>
          </cell>
          <cell r="F1355" t="str">
            <v>10/24/1997</v>
          </cell>
        </row>
        <row r="1356">
          <cell r="B1356" t="str">
            <v>A0273</v>
          </cell>
          <cell r="C1356" t="str">
            <v>UEC</v>
          </cell>
          <cell r="D1356" t="str">
            <v>Y</v>
          </cell>
          <cell r="E1356" t="str">
            <v>A</v>
          </cell>
          <cell r="F1356" t="str">
            <v>10/24/1997</v>
          </cell>
        </row>
        <row r="1357">
          <cell r="B1357" t="str">
            <v>A0274</v>
          </cell>
          <cell r="C1357" t="str">
            <v>CIP</v>
          </cell>
          <cell r="D1357" t="str">
            <v>Y</v>
          </cell>
          <cell r="E1357" t="str">
            <v>A</v>
          </cell>
          <cell r="F1357" t="str">
            <v>10/24/1997</v>
          </cell>
        </row>
        <row r="1358">
          <cell r="B1358" t="str">
            <v>A0275</v>
          </cell>
          <cell r="C1358" t="str">
            <v>AMC</v>
          </cell>
          <cell r="D1358" t="str">
            <v>Y</v>
          </cell>
          <cell r="E1358" t="str">
            <v>A</v>
          </cell>
          <cell r="F1358" t="str">
            <v>10/24/1997</v>
          </cell>
        </row>
        <row r="1359">
          <cell r="B1359" t="str">
            <v>A0276</v>
          </cell>
          <cell r="C1359" t="str">
            <v>CIC</v>
          </cell>
          <cell r="D1359" t="str">
            <v>Y</v>
          </cell>
          <cell r="E1359" t="str">
            <v>A</v>
          </cell>
          <cell r="F1359" t="str">
            <v>10/24/1997</v>
          </cell>
        </row>
        <row r="1360">
          <cell r="B1360" t="str">
            <v>A0277</v>
          </cell>
          <cell r="C1360" t="str">
            <v>UDC</v>
          </cell>
          <cell r="D1360" t="str">
            <v>Y</v>
          </cell>
          <cell r="E1360" t="str">
            <v>A</v>
          </cell>
          <cell r="F1360" t="str">
            <v>10/24/1997</v>
          </cell>
        </row>
        <row r="1361">
          <cell r="B1361" t="str">
            <v>A0278</v>
          </cell>
          <cell r="C1361" t="str">
            <v>UDC</v>
          </cell>
          <cell r="D1361" t="str">
            <v>Y</v>
          </cell>
          <cell r="E1361" t="str">
            <v>A</v>
          </cell>
          <cell r="F1361" t="str">
            <v>10/24/1997</v>
          </cell>
        </row>
        <row r="1362">
          <cell r="B1362" t="str">
            <v>A0279</v>
          </cell>
          <cell r="C1362" t="str">
            <v>UEC</v>
          </cell>
          <cell r="D1362" t="str">
            <v>N</v>
          </cell>
          <cell r="E1362" t="str">
            <v>A</v>
          </cell>
          <cell r="F1362" t="str">
            <v>10/25/1997</v>
          </cell>
        </row>
        <row r="1363">
          <cell r="B1363" t="str">
            <v>A0280</v>
          </cell>
          <cell r="C1363" t="str">
            <v>CIP</v>
          </cell>
          <cell r="D1363" t="str">
            <v>N</v>
          </cell>
          <cell r="E1363" t="str">
            <v>A</v>
          </cell>
          <cell r="F1363" t="str">
            <v>10/25/1997</v>
          </cell>
        </row>
        <row r="1364">
          <cell r="B1364" t="str">
            <v>A0281</v>
          </cell>
          <cell r="C1364" t="str">
            <v>UEC</v>
          </cell>
          <cell r="D1364" t="str">
            <v>N</v>
          </cell>
          <cell r="E1364" t="str">
            <v>A</v>
          </cell>
          <cell r="F1364" t="str">
            <v>10/25/1997</v>
          </cell>
        </row>
        <row r="1365">
          <cell r="B1365" t="str">
            <v>A0282</v>
          </cell>
          <cell r="C1365" t="str">
            <v>CIP</v>
          </cell>
          <cell r="D1365" t="str">
            <v>N</v>
          </cell>
          <cell r="E1365" t="str">
            <v>A</v>
          </cell>
          <cell r="F1365" t="str">
            <v>10/25/1997</v>
          </cell>
        </row>
        <row r="1366">
          <cell r="B1366" t="str">
            <v>A0283</v>
          </cell>
          <cell r="C1366" t="str">
            <v>UEC</v>
          </cell>
          <cell r="D1366" t="str">
            <v>N</v>
          </cell>
          <cell r="E1366" t="str">
            <v>A</v>
          </cell>
          <cell r="F1366" t="str">
            <v>10/25/1997</v>
          </cell>
        </row>
        <row r="1367">
          <cell r="B1367" t="str">
            <v>A0284</v>
          </cell>
          <cell r="C1367" t="str">
            <v>CIP</v>
          </cell>
          <cell r="D1367" t="str">
            <v>N</v>
          </cell>
          <cell r="E1367" t="str">
            <v>A</v>
          </cell>
          <cell r="F1367" t="str">
            <v>10/25/1997</v>
          </cell>
        </row>
        <row r="1368">
          <cell r="B1368" t="str">
            <v>A0285</v>
          </cell>
          <cell r="C1368" t="str">
            <v>008C</v>
          </cell>
          <cell r="D1368" t="str">
            <v>Y</v>
          </cell>
          <cell r="E1368" t="str">
            <v>A</v>
          </cell>
          <cell r="F1368" t="str">
            <v>10/25/1997</v>
          </cell>
        </row>
        <row r="1369">
          <cell r="B1369" t="str">
            <v>A0286</v>
          </cell>
          <cell r="C1369" t="str">
            <v>008C</v>
          </cell>
          <cell r="D1369" t="str">
            <v>Y</v>
          </cell>
          <cell r="E1369" t="str">
            <v>A</v>
          </cell>
          <cell r="F1369" t="str">
            <v>10/25/1997</v>
          </cell>
        </row>
        <row r="1370">
          <cell r="B1370" t="str">
            <v>A0287</v>
          </cell>
          <cell r="C1370" t="str">
            <v>008C</v>
          </cell>
          <cell r="D1370" t="str">
            <v>Y</v>
          </cell>
          <cell r="E1370" t="str">
            <v>A</v>
          </cell>
          <cell r="F1370" t="str">
            <v>10/25/1997</v>
          </cell>
        </row>
        <row r="1371">
          <cell r="B1371" t="str">
            <v>A0288</v>
          </cell>
          <cell r="C1371" t="str">
            <v>001A</v>
          </cell>
          <cell r="D1371" t="str">
            <v>N</v>
          </cell>
          <cell r="E1371" t="str">
            <v>A</v>
          </cell>
          <cell r="F1371" t="str">
            <v>10/27/1997</v>
          </cell>
        </row>
        <row r="1372">
          <cell r="B1372" t="str">
            <v>A0290</v>
          </cell>
          <cell r="C1372" t="str">
            <v>UEC</v>
          </cell>
          <cell r="D1372" t="str">
            <v>Y</v>
          </cell>
          <cell r="E1372" t="str">
            <v>A</v>
          </cell>
          <cell r="F1372" t="str">
            <v>12/02/1997</v>
          </cell>
        </row>
        <row r="1373">
          <cell r="B1373" t="str">
            <v>A0291</v>
          </cell>
          <cell r="C1373" t="str">
            <v>UEC</v>
          </cell>
          <cell r="D1373" t="str">
            <v>Y</v>
          </cell>
          <cell r="E1373" t="str">
            <v>A</v>
          </cell>
          <cell r="F1373" t="str">
            <v>10/27/1997</v>
          </cell>
        </row>
        <row r="1374">
          <cell r="B1374" t="str">
            <v>A0292</v>
          </cell>
          <cell r="C1374" t="str">
            <v>002D</v>
          </cell>
          <cell r="D1374" t="str">
            <v>Y</v>
          </cell>
          <cell r="E1374" t="str">
            <v>A</v>
          </cell>
          <cell r="F1374" t="str">
            <v>10/27/1997</v>
          </cell>
        </row>
        <row r="1375">
          <cell r="B1375" t="str">
            <v>A0293</v>
          </cell>
          <cell r="C1375" t="str">
            <v>012A</v>
          </cell>
          <cell r="D1375" t="str">
            <v>Y</v>
          </cell>
          <cell r="E1375" t="str">
            <v>A</v>
          </cell>
          <cell r="F1375" t="str">
            <v>10/27/1997</v>
          </cell>
        </row>
        <row r="1376">
          <cell r="B1376" t="str">
            <v>A0294</v>
          </cell>
          <cell r="C1376" t="str">
            <v>CIP</v>
          </cell>
          <cell r="D1376" t="str">
            <v>Y</v>
          </cell>
          <cell r="E1376" t="str">
            <v>A</v>
          </cell>
          <cell r="F1376" t="str">
            <v>10/27/1997</v>
          </cell>
        </row>
        <row r="1377">
          <cell r="B1377" t="str">
            <v>A0295</v>
          </cell>
          <cell r="C1377" t="str">
            <v>UEC</v>
          </cell>
          <cell r="D1377" t="str">
            <v>Y</v>
          </cell>
          <cell r="E1377" t="str">
            <v>I</v>
          </cell>
          <cell r="F1377" t="str">
            <v>10/27/1997</v>
          </cell>
        </row>
        <row r="1378">
          <cell r="B1378" t="str">
            <v>A0296</v>
          </cell>
          <cell r="C1378" t="str">
            <v>CIP</v>
          </cell>
          <cell r="D1378" t="str">
            <v>Y</v>
          </cell>
          <cell r="E1378" t="str">
            <v>A</v>
          </cell>
          <cell r="F1378" t="str">
            <v>12/02/1997</v>
          </cell>
        </row>
        <row r="1379">
          <cell r="B1379" t="str">
            <v>A0297</v>
          </cell>
          <cell r="C1379" t="str">
            <v>CIP</v>
          </cell>
          <cell r="D1379" t="str">
            <v>Y</v>
          </cell>
          <cell r="E1379" t="str">
            <v>A</v>
          </cell>
          <cell r="F1379" t="str">
            <v>10/27/1997</v>
          </cell>
        </row>
        <row r="1380">
          <cell r="B1380" t="str">
            <v>A0298</v>
          </cell>
          <cell r="C1380" t="str">
            <v>002B</v>
          </cell>
          <cell r="D1380" t="str">
            <v>Y</v>
          </cell>
          <cell r="E1380" t="str">
            <v>I</v>
          </cell>
          <cell r="F1380" t="str">
            <v>10/27/1997</v>
          </cell>
        </row>
        <row r="1381">
          <cell r="B1381" t="str">
            <v>A0299</v>
          </cell>
          <cell r="C1381" t="str">
            <v>002D</v>
          </cell>
          <cell r="D1381" t="str">
            <v>Y</v>
          </cell>
          <cell r="E1381" t="str">
            <v>A</v>
          </cell>
          <cell r="F1381" t="str">
            <v>10/27/1997</v>
          </cell>
        </row>
        <row r="1382">
          <cell r="B1382" t="str">
            <v>A0300</v>
          </cell>
          <cell r="C1382" t="str">
            <v>UEC</v>
          </cell>
          <cell r="D1382" t="str">
            <v>Y</v>
          </cell>
          <cell r="E1382" t="str">
            <v>A</v>
          </cell>
          <cell r="F1382" t="str">
            <v>10/27/1997</v>
          </cell>
        </row>
        <row r="1383">
          <cell r="B1383" t="str">
            <v>A0302</v>
          </cell>
          <cell r="C1383" t="str">
            <v>CIP</v>
          </cell>
          <cell r="D1383" t="str">
            <v>Y</v>
          </cell>
          <cell r="E1383" t="str">
            <v>A</v>
          </cell>
          <cell r="F1383" t="str">
            <v>10/27/1997</v>
          </cell>
        </row>
        <row r="1384">
          <cell r="B1384" t="str">
            <v>A0305</v>
          </cell>
          <cell r="C1384" t="str">
            <v>UEC</v>
          </cell>
          <cell r="D1384" t="str">
            <v>Y</v>
          </cell>
          <cell r="E1384" t="str">
            <v>A</v>
          </cell>
          <cell r="F1384" t="str">
            <v>10/28/1997</v>
          </cell>
        </row>
        <row r="1385">
          <cell r="B1385" t="str">
            <v>A0306</v>
          </cell>
          <cell r="C1385" t="str">
            <v>CIP</v>
          </cell>
          <cell r="D1385" t="str">
            <v>Y</v>
          </cell>
          <cell r="E1385" t="str">
            <v>A</v>
          </cell>
          <cell r="F1385" t="str">
            <v>10/28/1997</v>
          </cell>
        </row>
        <row r="1386">
          <cell r="B1386" t="str">
            <v>A0307</v>
          </cell>
          <cell r="C1386" t="str">
            <v>002A</v>
          </cell>
          <cell r="D1386" t="str">
            <v>Y</v>
          </cell>
          <cell r="E1386" t="str">
            <v>A</v>
          </cell>
          <cell r="F1386" t="str">
            <v>10/28/1997</v>
          </cell>
        </row>
        <row r="1387">
          <cell r="B1387" t="str">
            <v>A0308</v>
          </cell>
          <cell r="C1387" t="str">
            <v>UEC</v>
          </cell>
          <cell r="D1387" t="str">
            <v>Y</v>
          </cell>
          <cell r="E1387" t="str">
            <v>A</v>
          </cell>
          <cell r="F1387" t="str">
            <v>10/28/1997</v>
          </cell>
        </row>
        <row r="1388">
          <cell r="B1388" t="str">
            <v>A0309</v>
          </cell>
          <cell r="C1388" t="str">
            <v>CIP</v>
          </cell>
          <cell r="D1388" t="str">
            <v>Y</v>
          </cell>
          <cell r="E1388" t="str">
            <v>A</v>
          </cell>
          <cell r="F1388" t="str">
            <v>10/28/1997</v>
          </cell>
        </row>
        <row r="1389">
          <cell r="B1389" t="str">
            <v>A0310</v>
          </cell>
          <cell r="C1389" t="str">
            <v>002K</v>
          </cell>
          <cell r="D1389" t="str">
            <v>Y</v>
          </cell>
          <cell r="E1389" t="str">
            <v>A</v>
          </cell>
          <cell r="F1389" t="str">
            <v>10/28/1997</v>
          </cell>
        </row>
        <row r="1390">
          <cell r="B1390" t="str">
            <v>A0311</v>
          </cell>
          <cell r="C1390" t="str">
            <v>001A</v>
          </cell>
          <cell r="D1390" t="str">
            <v>Y</v>
          </cell>
          <cell r="E1390" t="str">
            <v>A</v>
          </cell>
          <cell r="F1390" t="str">
            <v>10/29/1997</v>
          </cell>
        </row>
        <row r="1391">
          <cell r="B1391" t="str">
            <v>A0312</v>
          </cell>
          <cell r="C1391" t="str">
            <v>UEC</v>
          </cell>
          <cell r="D1391" t="str">
            <v>Y</v>
          </cell>
          <cell r="E1391" t="str">
            <v>A</v>
          </cell>
          <cell r="F1391" t="str">
            <v>10/29/1997</v>
          </cell>
        </row>
        <row r="1392">
          <cell r="B1392" t="str">
            <v>A0314</v>
          </cell>
          <cell r="C1392" t="str">
            <v>CIP</v>
          </cell>
          <cell r="D1392" t="str">
            <v>Y</v>
          </cell>
          <cell r="E1392" t="str">
            <v>A</v>
          </cell>
          <cell r="F1392" t="str">
            <v>10/29/1997</v>
          </cell>
        </row>
        <row r="1393">
          <cell r="B1393" t="str">
            <v>A0315</v>
          </cell>
          <cell r="C1393" t="str">
            <v>002L</v>
          </cell>
          <cell r="D1393" t="str">
            <v>Y</v>
          </cell>
          <cell r="E1393" t="str">
            <v>A</v>
          </cell>
          <cell r="F1393" t="str">
            <v>10/29/1997</v>
          </cell>
        </row>
        <row r="1394">
          <cell r="B1394" t="str">
            <v>A0316</v>
          </cell>
          <cell r="C1394"/>
          <cell r="D1394" t="str">
            <v>N</v>
          </cell>
          <cell r="E1394" t="str">
            <v>A</v>
          </cell>
          <cell r="F1394" t="str">
            <v>10/29/1997</v>
          </cell>
        </row>
        <row r="1395">
          <cell r="B1395" t="str">
            <v>A0317</v>
          </cell>
          <cell r="C1395" t="str">
            <v>001G</v>
          </cell>
          <cell r="D1395" t="str">
            <v>Y</v>
          </cell>
          <cell r="E1395" t="str">
            <v>A</v>
          </cell>
          <cell r="F1395" t="str">
            <v>10/29/1997</v>
          </cell>
        </row>
        <row r="1396">
          <cell r="B1396" t="str">
            <v>A0318</v>
          </cell>
          <cell r="C1396" t="str">
            <v>UEC</v>
          </cell>
          <cell r="D1396" t="str">
            <v>Y</v>
          </cell>
          <cell r="E1396" t="str">
            <v>A</v>
          </cell>
          <cell r="F1396" t="str">
            <v>10/29/1997</v>
          </cell>
        </row>
        <row r="1397">
          <cell r="B1397" t="str">
            <v>A0319</v>
          </cell>
          <cell r="C1397" t="str">
            <v>017B</v>
          </cell>
          <cell r="D1397" t="str">
            <v>Y</v>
          </cell>
          <cell r="E1397" t="str">
            <v>A</v>
          </cell>
          <cell r="F1397" t="str">
            <v>10/29/1997</v>
          </cell>
        </row>
        <row r="1398">
          <cell r="B1398" t="str">
            <v>A0320</v>
          </cell>
          <cell r="C1398" t="str">
            <v>CIP</v>
          </cell>
          <cell r="D1398" t="str">
            <v>Y</v>
          </cell>
          <cell r="E1398" t="str">
            <v>A</v>
          </cell>
          <cell r="F1398" t="str">
            <v>10/29/1997</v>
          </cell>
        </row>
        <row r="1399">
          <cell r="B1399" t="str">
            <v>A0321</v>
          </cell>
          <cell r="C1399" t="str">
            <v>016A</v>
          </cell>
          <cell r="D1399" t="str">
            <v>Y</v>
          </cell>
          <cell r="E1399" t="str">
            <v>A</v>
          </cell>
          <cell r="F1399" t="str">
            <v>10/29/1997</v>
          </cell>
        </row>
        <row r="1400">
          <cell r="B1400" t="str">
            <v>A0322</v>
          </cell>
          <cell r="C1400"/>
          <cell r="D1400" t="str">
            <v>N</v>
          </cell>
          <cell r="E1400" t="str">
            <v>A</v>
          </cell>
          <cell r="F1400" t="str">
            <v>10/29/1997</v>
          </cell>
        </row>
        <row r="1401">
          <cell r="B1401" t="str">
            <v>A0323</v>
          </cell>
          <cell r="C1401" t="str">
            <v>UEC</v>
          </cell>
          <cell r="D1401" t="str">
            <v>Y</v>
          </cell>
          <cell r="E1401" t="str">
            <v>A</v>
          </cell>
          <cell r="F1401" t="str">
            <v>10/29/1997</v>
          </cell>
        </row>
        <row r="1402">
          <cell r="B1402" t="str">
            <v>A0324</v>
          </cell>
          <cell r="C1402" t="str">
            <v>CIP</v>
          </cell>
          <cell r="D1402" t="str">
            <v>Y</v>
          </cell>
          <cell r="E1402" t="str">
            <v>A</v>
          </cell>
          <cell r="F1402" t="str">
            <v>10/29/1997</v>
          </cell>
        </row>
        <row r="1403">
          <cell r="B1403" t="str">
            <v>A0325</v>
          </cell>
          <cell r="C1403" t="str">
            <v>016A</v>
          </cell>
          <cell r="D1403" t="str">
            <v>Y</v>
          </cell>
          <cell r="E1403" t="str">
            <v>A</v>
          </cell>
          <cell r="F1403" t="str">
            <v>10/29/1997</v>
          </cell>
        </row>
        <row r="1404">
          <cell r="B1404" t="str">
            <v>A0326</v>
          </cell>
          <cell r="C1404"/>
          <cell r="D1404" t="str">
            <v>Y</v>
          </cell>
          <cell r="E1404" t="str">
            <v>A</v>
          </cell>
          <cell r="F1404" t="str">
            <v>12/02/1997</v>
          </cell>
        </row>
        <row r="1405">
          <cell r="B1405" t="str">
            <v>A0333</v>
          </cell>
          <cell r="C1405" t="str">
            <v>004A</v>
          </cell>
          <cell r="D1405" t="str">
            <v>Y</v>
          </cell>
          <cell r="E1405" t="str">
            <v>A</v>
          </cell>
          <cell r="F1405" t="str">
            <v>10/31/1997</v>
          </cell>
        </row>
        <row r="1406">
          <cell r="B1406" t="str">
            <v>A0335</v>
          </cell>
          <cell r="C1406" t="str">
            <v>007A</v>
          </cell>
          <cell r="D1406" t="str">
            <v>Y</v>
          </cell>
          <cell r="E1406" t="str">
            <v>I</v>
          </cell>
          <cell r="F1406" t="str">
            <v>10/31/1997</v>
          </cell>
        </row>
        <row r="1407">
          <cell r="B1407" t="str">
            <v>A0337</v>
          </cell>
          <cell r="C1407" t="str">
            <v>011A</v>
          </cell>
          <cell r="D1407" t="str">
            <v>Y</v>
          </cell>
          <cell r="E1407" t="str">
            <v>A</v>
          </cell>
          <cell r="F1407" t="str">
            <v>10/31/1997</v>
          </cell>
        </row>
        <row r="1408">
          <cell r="B1408" t="str">
            <v>A0338</v>
          </cell>
          <cell r="C1408" t="str">
            <v>004A</v>
          </cell>
          <cell r="D1408" t="str">
            <v>Y</v>
          </cell>
          <cell r="E1408" t="str">
            <v>A</v>
          </cell>
          <cell r="F1408" t="str">
            <v>10/31/1997</v>
          </cell>
        </row>
        <row r="1409">
          <cell r="B1409" t="str">
            <v>A0339</v>
          </cell>
          <cell r="C1409" t="str">
            <v>001A</v>
          </cell>
          <cell r="D1409" t="str">
            <v>Y</v>
          </cell>
          <cell r="E1409" t="str">
            <v>A</v>
          </cell>
          <cell r="F1409" t="str">
            <v>10/31/1997</v>
          </cell>
        </row>
        <row r="1410">
          <cell r="B1410" t="str">
            <v>A0340</v>
          </cell>
          <cell r="C1410" t="str">
            <v>001A</v>
          </cell>
          <cell r="D1410" t="str">
            <v>Y</v>
          </cell>
          <cell r="E1410" t="str">
            <v>A</v>
          </cell>
          <cell r="F1410" t="str">
            <v>10/31/1997</v>
          </cell>
        </row>
        <row r="1411">
          <cell r="B1411" t="str">
            <v>A0341</v>
          </cell>
          <cell r="C1411" t="str">
            <v>UEC</v>
          </cell>
          <cell r="D1411" t="str">
            <v>Y</v>
          </cell>
          <cell r="E1411" t="str">
            <v>A</v>
          </cell>
          <cell r="F1411" t="str">
            <v>11/03/1997</v>
          </cell>
        </row>
        <row r="1412">
          <cell r="B1412" t="str">
            <v>A0342</v>
          </cell>
          <cell r="C1412" t="str">
            <v>001A</v>
          </cell>
          <cell r="D1412" t="str">
            <v>Y</v>
          </cell>
          <cell r="E1412" t="str">
            <v>A</v>
          </cell>
          <cell r="F1412" t="str">
            <v>11/03/1997</v>
          </cell>
        </row>
        <row r="1413">
          <cell r="B1413" t="str">
            <v>A0343</v>
          </cell>
          <cell r="C1413" t="str">
            <v>002L</v>
          </cell>
          <cell r="D1413" t="str">
            <v>Y</v>
          </cell>
          <cell r="E1413" t="str">
            <v>A</v>
          </cell>
          <cell r="F1413" t="str">
            <v>11/03/1997</v>
          </cell>
        </row>
        <row r="1414">
          <cell r="B1414" t="str">
            <v>A0344</v>
          </cell>
          <cell r="C1414" t="str">
            <v>002L</v>
          </cell>
          <cell r="D1414" t="str">
            <v>Y</v>
          </cell>
          <cell r="E1414" t="str">
            <v>A</v>
          </cell>
          <cell r="F1414" t="str">
            <v>11/03/1997</v>
          </cell>
        </row>
        <row r="1415">
          <cell r="B1415" t="str">
            <v>A0345</v>
          </cell>
          <cell r="C1415" t="str">
            <v>002L</v>
          </cell>
          <cell r="D1415" t="str">
            <v>Y</v>
          </cell>
          <cell r="E1415" t="str">
            <v>A</v>
          </cell>
          <cell r="F1415" t="str">
            <v>11/03/1997</v>
          </cell>
        </row>
        <row r="1416">
          <cell r="B1416" t="str">
            <v>A0346</v>
          </cell>
          <cell r="C1416" t="str">
            <v>UEC</v>
          </cell>
          <cell r="D1416" t="str">
            <v>Y</v>
          </cell>
          <cell r="E1416" t="str">
            <v>A</v>
          </cell>
          <cell r="F1416" t="str">
            <v>11/03/1997</v>
          </cell>
        </row>
        <row r="1417">
          <cell r="B1417" t="str">
            <v>A0348</v>
          </cell>
          <cell r="C1417" t="str">
            <v>004A</v>
          </cell>
          <cell r="D1417" t="str">
            <v>Y</v>
          </cell>
          <cell r="E1417" t="str">
            <v>A</v>
          </cell>
          <cell r="F1417" t="str">
            <v>11/03/1997</v>
          </cell>
        </row>
        <row r="1418">
          <cell r="B1418" t="str">
            <v>A0349</v>
          </cell>
          <cell r="C1418" t="str">
            <v>004A</v>
          </cell>
          <cell r="D1418" t="str">
            <v>Y</v>
          </cell>
          <cell r="E1418" t="str">
            <v>A</v>
          </cell>
          <cell r="F1418" t="str">
            <v>11/03/1997</v>
          </cell>
        </row>
        <row r="1419">
          <cell r="B1419" t="str">
            <v>A0350</v>
          </cell>
          <cell r="C1419"/>
          <cell r="D1419" t="str">
            <v>Y</v>
          </cell>
          <cell r="E1419" t="str">
            <v>A</v>
          </cell>
          <cell r="F1419" t="str">
            <v>11/03/1997</v>
          </cell>
        </row>
        <row r="1420">
          <cell r="B1420" t="str">
            <v>A0351</v>
          </cell>
          <cell r="C1420"/>
          <cell r="D1420" t="str">
            <v>Y</v>
          </cell>
          <cell r="E1420" t="str">
            <v>A</v>
          </cell>
          <cell r="F1420" t="str">
            <v>11/03/1997</v>
          </cell>
        </row>
        <row r="1421">
          <cell r="B1421" t="str">
            <v>A0352</v>
          </cell>
          <cell r="C1421" t="str">
            <v>UEC</v>
          </cell>
          <cell r="D1421" t="str">
            <v>Y</v>
          </cell>
          <cell r="E1421" t="str">
            <v>A</v>
          </cell>
          <cell r="F1421" t="str">
            <v>11/03/1997</v>
          </cell>
        </row>
        <row r="1422">
          <cell r="B1422" t="str">
            <v>A0353</v>
          </cell>
          <cell r="C1422" t="str">
            <v>002A</v>
          </cell>
          <cell r="D1422" t="str">
            <v>Y</v>
          </cell>
          <cell r="E1422" t="str">
            <v>A</v>
          </cell>
          <cell r="F1422" t="str">
            <v>11/03/1997</v>
          </cell>
        </row>
        <row r="1423">
          <cell r="B1423" t="str">
            <v>A0354</v>
          </cell>
          <cell r="C1423" t="str">
            <v>CIP</v>
          </cell>
          <cell r="D1423" t="str">
            <v>Y</v>
          </cell>
          <cell r="E1423" t="str">
            <v>A</v>
          </cell>
          <cell r="F1423" t="str">
            <v>10/29/1998</v>
          </cell>
        </row>
        <row r="1424">
          <cell r="B1424" t="str">
            <v>A0355</v>
          </cell>
          <cell r="C1424" t="str">
            <v>008B</v>
          </cell>
          <cell r="D1424" t="str">
            <v>Y</v>
          </cell>
          <cell r="E1424" t="str">
            <v>A</v>
          </cell>
          <cell r="F1424" t="str">
            <v>11/04/1997</v>
          </cell>
        </row>
        <row r="1425">
          <cell r="B1425" t="str">
            <v>A0356</v>
          </cell>
          <cell r="C1425" t="str">
            <v>ERC</v>
          </cell>
          <cell r="D1425" t="str">
            <v>Y</v>
          </cell>
          <cell r="E1425" t="str">
            <v>A</v>
          </cell>
          <cell r="F1425" t="str">
            <v>04/28/1998</v>
          </cell>
        </row>
        <row r="1426">
          <cell r="B1426" t="str">
            <v>A0359</v>
          </cell>
          <cell r="C1426" t="str">
            <v>007A</v>
          </cell>
          <cell r="D1426" t="str">
            <v>Y</v>
          </cell>
          <cell r="E1426" t="str">
            <v>A</v>
          </cell>
          <cell r="F1426" t="str">
            <v>04/28/1998</v>
          </cell>
        </row>
        <row r="1427">
          <cell r="B1427" t="str">
            <v>A0361</v>
          </cell>
          <cell r="C1427" t="str">
            <v>002K</v>
          </cell>
          <cell r="D1427" t="str">
            <v>Y</v>
          </cell>
          <cell r="E1427" t="str">
            <v>A</v>
          </cell>
          <cell r="F1427" t="str">
            <v>12/03/1997</v>
          </cell>
        </row>
        <row r="1428">
          <cell r="B1428" t="str">
            <v>A0364</v>
          </cell>
          <cell r="C1428" t="str">
            <v>AME</v>
          </cell>
          <cell r="D1428" t="str">
            <v>Y</v>
          </cell>
          <cell r="E1428" t="str">
            <v>A</v>
          </cell>
          <cell r="F1428" t="str">
            <v>10/29/1998</v>
          </cell>
        </row>
        <row r="1429">
          <cell r="B1429" t="str">
            <v>A0366</v>
          </cell>
          <cell r="C1429" t="str">
            <v>011A</v>
          </cell>
          <cell r="D1429" t="str">
            <v>Y</v>
          </cell>
          <cell r="E1429" t="str">
            <v>A</v>
          </cell>
          <cell r="F1429" t="str">
            <v>11/07/1997</v>
          </cell>
        </row>
        <row r="1430">
          <cell r="B1430" t="str">
            <v>A0367</v>
          </cell>
          <cell r="C1430" t="str">
            <v>UEC</v>
          </cell>
          <cell r="D1430" t="str">
            <v>Y</v>
          </cell>
          <cell r="E1430" t="str">
            <v>A</v>
          </cell>
          <cell r="F1430" t="str">
            <v>11/07/1997</v>
          </cell>
        </row>
        <row r="1431">
          <cell r="B1431" t="str">
            <v>A0368</v>
          </cell>
          <cell r="C1431" t="str">
            <v>GEN</v>
          </cell>
          <cell r="D1431" t="str">
            <v>Y</v>
          </cell>
          <cell r="E1431" t="str">
            <v>A</v>
          </cell>
          <cell r="F1431" t="str">
            <v>11/07/1997</v>
          </cell>
        </row>
        <row r="1432">
          <cell r="B1432" t="str">
            <v>A0369</v>
          </cell>
          <cell r="C1432" t="str">
            <v>UEC</v>
          </cell>
          <cell r="D1432" t="str">
            <v>Y</v>
          </cell>
          <cell r="E1432" t="str">
            <v>A</v>
          </cell>
          <cell r="F1432" t="str">
            <v>11/07/1997</v>
          </cell>
        </row>
        <row r="1433">
          <cell r="B1433" t="str">
            <v>A0370</v>
          </cell>
          <cell r="C1433" t="str">
            <v>CIP</v>
          </cell>
          <cell r="D1433" t="str">
            <v>Y</v>
          </cell>
          <cell r="E1433" t="str">
            <v>A</v>
          </cell>
          <cell r="F1433" t="str">
            <v>11/07/1997</v>
          </cell>
        </row>
        <row r="1434">
          <cell r="B1434" t="str">
            <v>A0371</v>
          </cell>
          <cell r="C1434"/>
          <cell r="D1434" t="str">
            <v>Y</v>
          </cell>
          <cell r="E1434" t="str">
            <v>A</v>
          </cell>
          <cell r="F1434" t="str">
            <v>11/07/1997</v>
          </cell>
        </row>
        <row r="1435">
          <cell r="B1435" t="str">
            <v>A0372</v>
          </cell>
          <cell r="C1435" t="str">
            <v>010A</v>
          </cell>
          <cell r="D1435" t="str">
            <v>Y</v>
          </cell>
          <cell r="E1435" t="str">
            <v>A</v>
          </cell>
          <cell r="F1435" t="str">
            <v>11/07/1997</v>
          </cell>
        </row>
        <row r="1436">
          <cell r="B1436" t="str">
            <v>A0373</v>
          </cell>
          <cell r="C1436" t="str">
            <v>CIP</v>
          </cell>
          <cell r="D1436" t="str">
            <v>Y</v>
          </cell>
          <cell r="E1436" t="str">
            <v>A</v>
          </cell>
          <cell r="F1436" t="str">
            <v>11/07/1997</v>
          </cell>
        </row>
        <row r="1437">
          <cell r="B1437" t="str">
            <v>A0374</v>
          </cell>
          <cell r="C1437" t="str">
            <v>UEC</v>
          </cell>
          <cell r="D1437" t="str">
            <v>Y</v>
          </cell>
          <cell r="E1437" t="str">
            <v>A</v>
          </cell>
          <cell r="F1437" t="str">
            <v>11/07/1997</v>
          </cell>
        </row>
        <row r="1438">
          <cell r="B1438" t="str">
            <v>A0375</v>
          </cell>
          <cell r="C1438" t="str">
            <v>002K</v>
          </cell>
          <cell r="D1438" t="str">
            <v>Y</v>
          </cell>
          <cell r="E1438" t="str">
            <v>A</v>
          </cell>
          <cell r="F1438" t="str">
            <v>11/07/1997</v>
          </cell>
        </row>
        <row r="1439">
          <cell r="B1439" t="str">
            <v>A0376</v>
          </cell>
          <cell r="C1439" t="str">
            <v>CIP</v>
          </cell>
          <cell r="D1439" t="str">
            <v>N</v>
          </cell>
          <cell r="E1439" t="str">
            <v>A</v>
          </cell>
          <cell r="F1439" t="str">
            <v>11/07/1997</v>
          </cell>
        </row>
        <row r="1440">
          <cell r="B1440" t="str">
            <v>A0377</v>
          </cell>
          <cell r="C1440" t="str">
            <v>UEC</v>
          </cell>
          <cell r="D1440" t="str">
            <v>N</v>
          </cell>
          <cell r="E1440" t="str">
            <v>A</v>
          </cell>
          <cell r="F1440" t="str">
            <v>11/07/1997</v>
          </cell>
        </row>
        <row r="1441">
          <cell r="B1441" t="str">
            <v>A0378</v>
          </cell>
          <cell r="C1441" t="str">
            <v>011B</v>
          </cell>
          <cell r="D1441" t="str">
            <v>N</v>
          </cell>
          <cell r="E1441" t="str">
            <v>A</v>
          </cell>
          <cell r="F1441" t="str">
            <v>11/07/1997</v>
          </cell>
        </row>
        <row r="1442">
          <cell r="B1442" t="str">
            <v>A0379</v>
          </cell>
          <cell r="C1442"/>
          <cell r="D1442" t="str">
            <v>Y</v>
          </cell>
          <cell r="E1442" t="str">
            <v>A</v>
          </cell>
          <cell r="F1442" t="str">
            <v>11/07/1997</v>
          </cell>
        </row>
        <row r="1443">
          <cell r="B1443" t="str">
            <v>A0380</v>
          </cell>
          <cell r="C1443" t="str">
            <v>004A</v>
          </cell>
          <cell r="D1443" t="str">
            <v>Y</v>
          </cell>
          <cell r="E1443" t="str">
            <v>A</v>
          </cell>
          <cell r="F1443" t="str">
            <v>11/07/1997</v>
          </cell>
        </row>
        <row r="1444">
          <cell r="B1444" t="str">
            <v>A0381</v>
          </cell>
          <cell r="C1444" t="str">
            <v>004A</v>
          </cell>
          <cell r="D1444" t="str">
            <v>Y</v>
          </cell>
          <cell r="E1444" t="str">
            <v>A</v>
          </cell>
          <cell r="F1444" t="str">
            <v>11/07/1997</v>
          </cell>
        </row>
        <row r="1445">
          <cell r="B1445" t="str">
            <v>A0382</v>
          </cell>
          <cell r="C1445" t="str">
            <v>004A</v>
          </cell>
          <cell r="D1445" t="str">
            <v>Y</v>
          </cell>
          <cell r="E1445" t="str">
            <v>A</v>
          </cell>
          <cell r="F1445" t="str">
            <v>11/07/1997</v>
          </cell>
        </row>
        <row r="1446">
          <cell r="B1446" t="str">
            <v>A0383</v>
          </cell>
          <cell r="C1446" t="str">
            <v>004A</v>
          </cell>
          <cell r="D1446" t="str">
            <v>Y</v>
          </cell>
          <cell r="E1446" t="str">
            <v>A</v>
          </cell>
          <cell r="F1446" t="str">
            <v>11/07/1997</v>
          </cell>
        </row>
        <row r="1447">
          <cell r="B1447" t="str">
            <v>A0384</v>
          </cell>
          <cell r="C1447" t="str">
            <v>CIP</v>
          </cell>
          <cell r="D1447" t="str">
            <v>Y</v>
          </cell>
          <cell r="E1447" t="str">
            <v>A</v>
          </cell>
          <cell r="F1447" t="str">
            <v>11/07/1997</v>
          </cell>
        </row>
        <row r="1448">
          <cell r="B1448" t="str">
            <v>A0386</v>
          </cell>
          <cell r="C1448" t="str">
            <v>UEC</v>
          </cell>
          <cell r="D1448" t="str">
            <v>Y</v>
          </cell>
          <cell r="E1448" t="str">
            <v>A</v>
          </cell>
          <cell r="F1448" t="str">
            <v>11/07/1997</v>
          </cell>
        </row>
        <row r="1449">
          <cell r="B1449" t="str">
            <v>A0387</v>
          </cell>
          <cell r="C1449" t="str">
            <v>UEC</v>
          </cell>
          <cell r="D1449" t="str">
            <v>Y</v>
          </cell>
          <cell r="E1449" t="str">
            <v>A</v>
          </cell>
          <cell r="F1449" t="str">
            <v>11/07/1997</v>
          </cell>
        </row>
        <row r="1450">
          <cell r="B1450" t="str">
            <v>A0388</v>
          </cell>
          <cell r="C1450" t="str">
            <v>CIP</v>
          </cell>
          <cell r="D1450" t="str">
            <v>Y</v>
          </cell>
          <cell r="E1450" t="str">
            <v>A</v>
          </cell>
          <cell r="F1450" t="str">
            <v>11/07/1997</v>
          </cell>
        </row>
        <row r="1451">
          <cell r="B1451" t="str">
            <v>A0389</v>
          </cell>
          <cell r="C1451" t="str">
            <v>UDC</v>
          </cell>
          <cell r="D1451" t="str">
            <v>Y</v>
          </cell>
          <cell r="E1451" t="str">
            <v>A</v>
          </cell>
          <cell r="F1451" t="str">
            <v>11/07/1997</v>
          </cell>
        </row>
        <row r="1452">
          <cell r="B1452" t="str">
            <v>A0390</v>
          </cell>
          <cell r="C1452" t="str">
            <v>CIC</v>
          </cell>
          <cell r="D1452" t="str">
            <v>Y</v>
          </cell>
          <cell r="E1452" t="str">
            <v>A</v>
          </cell>
          <cell r="F1452" t="str">
            <v>11/07/1997</v>
          </cell>
        </row>
        <row r="1453">
          <cell r="B1453" t="str">
            <v>A0391</v>
          </cell>
          <cell r="C1453" t="str">
            <v>001A</v>
          </cell>
          <cell r="D1453" t="str">
            <v>Y</v>
          </cell>
          <cell r="E1453" t="str">
            <v>A</v>
          </cell>
          <cell r="F1453" t="str">
            <v>11/10/1997</v>
          </cell>
        </row>
        <row r="1454">
          <cell r="B1454" t="str">
            <v>A0392</v>
          </cell>
          <cell r="C1454" t="str">
            <v>003A</v>
          </cell>
          <cell r="D1454" t="str">
            <v>Y</v>
          </cell>
          <cell r="E1454" t="str">
            <v>A</v>
          </cell>
          <cell r="F1454" t="str">
            <v>11/10/1997</v>
          </cell>
        </row>
        <row r="1455">
          <cell r="B1455" t="str">
            <v>A0393</v>
          </cell>
          <cell r="C1455" t="str">
            <v>001A</v>
          </cell>
          <cell r="D1455" t="str">
            <v>Y</v>
          </cell>
          <cell r="E1455" t="str">
            <v>A</v>
          </cell>
          <cell r="F1455" t="str">
            <v>11/10/1997</v>
          </cell>
        </row>
        <row r="1456">
          <cell r="B1456" t="str">
            <v>A0394</v>
          </cell>
          <cell r="C1456" t="str">
            <v>AMC</v>
          </cell>
          <cell r="D1456" t="str">
            <v>Y</v>
          </cell>
          <cell r="E1456" t="str">
            <v>A</v>
          </cell>
          <cell r="F1456" t="str">
            <v>11/10/1997</v>
          </cell>
        </row>
        <row r="1457">
          <cell r="B1457" t="str">
            <v>A0396</v>
          </cell>
          <cell r="C1457" t="str">
            <v>UEC</v>
          </cell>
          <cell r="D1457" t="str">
            <v>Y</v>
          </cell>
          <cell r="E1457" t="str">
            <v>A</v>
          </cell>
          <cell r="F1457" t="str">
            <v>11/10/1997</v>
          </cell>
        </row>
        <row r="1458">
          <cell r="B1458" t="str">
            <v>A0397</v>
          </cell>
          <cell r="C1458" t="str">
            <v>UEC</v>
          </cell>
          <cell r="D1458" t="str">
            <v>Y</v>
          </cell>
          <cell r="E1458" t="str">
            <v>A</v>
          </cell>
          <cell r="F1458" t="str">
            <v>11/10/1997</v>
          </cell>
        </row>
        <row r="1459">
          <cell r="B1459" t="str">
            <v>A0398</v>
          </cell>
          <cell r="C1459" t="str">
            <v>CIP</v>
          </cell>
          <cell r="D1459" t="str">
            <v>Y</v>
          </cell>
          <cell r="E1459" t="str">
            <v>A</v>
          </cell>
          <cell r="F1459" t="str">
            <v>11/10/1997</v>
          </cell>
        </row>
        <row r="1460">
          <cell r="B1460" t="str">
            <v>A0399</v>
          </cell>
          <cell r="C1460"/>
          <cell r="D1460" t="str">
            <v>Y</v>
          </cell>
          <cell r="E1460" t="str">
            <v>A</v>
          </cell>
          <cell r="F1460" t="str">
            <v>11/10/1997</v>
          </cell>
        </row>
        <row r="1461">
          <cell r="B1461" t="str">
            <v>A0400</v>
          </cell>
          <cell r="C1461" t="str">
            <v>UEC</v>
          </cell>
          <cell r="D1461" t="str">
            <v>Y</v>
          </cell>
          <cell r="E1461" t="str">
            <v>A</v>
          </cell>
          <cell r="F1461" t="str">
            <v>12/03/1997</v>
          </cell>
        </row>
        <row r="1462">
          <cell r="B1462" t="str">
            <v>A0401</v>
          </cell>
          <cell r="C1462"/>
          <cell r="D1462" t="str">
            <v>Y</v>
          </cell>
          <cell r="E1462" t="str">
            <v>A</v>
          </cell>
          <cell r="F1462" t="str">
            <v>11/10/1997</v>
          </cell>
        </row>
        <row r="1463">
          <cell r="B1463" t="str">
            <v>A0402</v>
          </cell>
          <cell r="C1463" t="str">
            <v>001A</v>
          </cell>
          <cell r="D1463" t="str">
            <v>Y</v>
          </cell>
          <cell r="E1463" t="str">
            <v>A</v>
          </cell>
          <cell r="F1463" t="str">
            <v>11/10/1997</v>
          </cell>
        </row>
        <row r="1464">
          <cell r="B1464" t="str">
            <v>A0403</v>
          </cell>
          <cell r="C1464" t="str">
            <v>004A</v>
          </cell>
          <cell r="D1464" t="str">
            <v>Y</v>
          </cell>
          <cell r="E1464" t="str">
            <v>A</v>
          </cell>
          <cell r="F1464" t="str">
            <v>11/10/1997</v>
          </cell>
        </row>
        <row r="1465">
          <cell r="B1465" t="str">
            <v>A0406</v>
          </cell>
          <cell r="C1465"/>
          <cell r="D1465" t="str">
            <v>Y</v>
          </cell>
          <cell r="E1465" t="str">
            <v>A</v>
          </cell>
          <cell r="F1465" t="str">
            <v>11/10/1997</v>
          </cell>
        </row>
        <row r="1466">
          <cell r="B1466" t="str">
            <v>A0407</v>
          </cell>
          <cell r="C1466" t="str">
            <v>CIP</v>
          </cell>
          <cell r="D1466" t="str">
            <v>Y</v>
          </cell>
          <cell r="E1466" t="str">
            <v>A</v>
          </cell>
          <cell r="F1466" t="str">
            <v>12/03/1997</v>
          </cell>
        </row>
        <row r="1467">
          <cell r="B1467" t="str">
            <v>A0409</v>
          </cell>
          <cell r="C1467" t="str">
            <v>016A</v>
          </cell>
          <cell r="D1467" t="str">
            <v>Y</v>
          </cell>
          <cell r="E1467" t="str">
            <v>A</v>
          </cell>
          <cell r="F1467" t="str">
            <v>11/13/1997</v>
          </cell>
        </row>
        <row r="1468">
          <cell r="B1468" t="str">
            <v>A0410</v>
          </cell>
          <cell r="C1468" t="str">
            <v>004A</v>
          </cell>
          <cell r="D1468" t="str">
            <v>Y</v>
          </cell>
          <cell r="E1468" t="str">
            <v>A</v>
          </cell>
          <cell r="F1468" t="str">
            <v>11/13/1997</v>
          </cell>
        </row>
        <row r="1469">
          <cell r="B1469" t="str">
            <v>A0411</v>
          </cell>
          <cell r="C1469" t="str">
            <v>004A</v>
          </cell>
          <cell r="D1469" t="str">
            <v>Y</v>
          </cell>
          <cell r="E1469" t="str">
            <v>A</v>
          </cell>
          <cell r="F1469" t="str">
            <v>11/13/1997</v>
          </cell>
        </row>
        <row r="1470">
          <cell r="B1470" t="str">
            <v>A0412</v>
          </cell>
          <cell r="C1470" t="str">
            <v>004A</v>
          </cell>
          <cell r="D1470" t="str">
            <v>Y</v>
          </cell>
          <cell r="E1470" t="str">
            <v>A</v>
          </cell>
          <cell r="F1470" t="str">
            <v>11/13/1997</v>
          </cell>
        </row>
        <row r="1471">
          <cell r="B1471" t="str">
            <v>A0413</v>
          </cell>
          <cell r="C1471" t="str">
            <v>UEC</v>
          </cell>
          <cell r="D1471" t="str">
            <v>Y</v>
          </cell>
          <cell r="E1471" t="str">
            <v>A</v>
          </cell>
          <cell r="F1471" t="str">
            <v>11/14/1997</v>
          </cell>
        </row>
        <row r="1472">
          <cell r="B1472" t="str">
            <v>A0415</v>
          </cell>
          <cell r="C1472" t="str">
            <v>004A</v>
          </cell>
          <cell r="D1472" t="str">
            <v>Y</v>
          </cell>
          <cell r="E1472" t="str">
            <v>A</v>
          </cell>
          <cell r="F1472" t="str">
            <v>11/14/1997</v>
          </cell>
        </row>
        <row r="1473">
          <cell r="B1473" t="str">
            <v>A0416</v>
          </cell>
          <cell r="C1473" t="str">
            <v>004A</v>
          </cell>
          <cell r="D1473" t="str">
            <v>Y</v>
          </cell>
          <cell r="E1473" t="str">
            <v>A</v>
          </cell>
          <cell r="F1473" t="str">
            <v>11/14/1997</v>
          </cell>
        </row>
        <row r="1474">
          <cell r="B1474" t="str">
            <v>A0417</v>
          </cell>
          <cell r="C1474" t="str">
            <v>AFS</v>
          </cell>
          <cell r="D1474" t="str">
            <v>Y</v>
          </cell>
          <cell r="E1474" t="str">
            <v>A</v>
          </cell>
          <cell r="F1474" t="str">
            <v>11/14/1997</v>
          </cell>
        </row>
        <row r="1475">
          <cell r="B1475" t="str">
            <v>A0418</v>
          </cell>
          <cell r="C1475" t="str">
            <v>UEC</v>
          </cell>
          <cell r="D1475" t="str">
            <v>Y</v>
          </cell>
          <cell r="E1475" t="str">
            <v>A</v>
          </cell>
          <cell r="F1475" t="str">
            <v>11/14/1997</v>
          </cell>
        </row>
        <row r="1476">
          <cell r="B1476" t="str">
            <v>A0419</v>
          </cell>
          <cell r="C1476"/>
          <cell r="D1476" t="str">
            <v>Y</v>
          </cell>
          <cell r="E1476" t="str">
            <v>A</v>
          </cell>
          <cell r="F1476" t="str">
            <v>11/14/1997</v>
          </cell>
        </row>
        <row r="1477">
          <cell r="B1477" t="str">
            <v>A0420</v>
          </cell>
          <cell r="C1477" t="str">
            <v>CIP</v>
          </cell>
          <cell r="D1477" t="str">
            <v>Y</v>
          </cell>
          <cell r="E1477" t="str">
            <v>A</v>
          </cell>
          <cell r="F1477" t="str">
            <v>11/14/1997</v>
          </cell>
        </row>
        <row r="1478">
          <cell r="B1478" t="str">
            <v>A0421</v>
          </cell>
          <cell r="C1478" t="str">
            <v>UEC</v>
          </cell>
          <cell r="D1478" t="str">
            <v>Y</v>
          </cell>
          <cell r="E1478" t="str">
            <v>A</v>
          </cell>
          <cell r="F1478" t="str">
            <v>11/14/1997</v>
          </cell>
        </row>
        <row r="1479">
          <cell r="B1479" t="str">
            <v>A0423</v>
          </cell>
          <cell r="C1479" t="str">
            <v>CIP</v>
          </cell>
          <cell r="D1479" t="str">
            <v>Y</v>
          </cell>
          <cell r="E1479" t="str">
            <v>A</v>
          </cell>
          <cell r="F1479" t="str">
            <v>11/14/1997</v>
          </cell>
        </row>
        <row r="1480">
          <cell r="B1480" t="str">
            <v>A0424</v>
          </cell>
          <cell r="C1480" t="str">
            <v>CIP</v>
          </cell>
          <cell r="D1480" t="str">
            <v>Y</v>
          </cell>
          <cell r="E1480" t="str">
            <v>A</v>
          </cell>
          <cell r="F1480" t="str">
            <v>11/15/1997</v>
          </cell>
        </row>
        <row r="1481">
          <cell r="B1481" t="str">
            <v>A0425</v>
          </cell>
          <cell r="C1481"/>
          <cell r="D1481" t="str">
            <v>Y</v>
          </cell>
          <cell r="E1481" t="str">
            <v>A</v>
          </cell>
          <cell r="F1481" t="str">
            <v>11/15/1997</v>
          </cell>
        </row>
        <row r="1482">
          <cell r="B1482" t="str">
            <v>A0427</v>
          </cell>
          <cell r="C1482" t="str">
            <v>UEC</v>
          </cell>
          <cell r="D1482" t="str">
            <v>Y</v>
          </cell>
          <cell r="E1482" t="str">
            <v>A</v>
          </cell>
          <cell r="F1482" t="str">
            <v>05/14/1998</v>
          </cell>
        </row>
        <row r="1483">
          <cell r="B1483" t="str">
            <v>A0428</v>
          </cell>
          <cell r="C1483" t="str">
            <v>004A</v>
          </cell>
          <cell r="D1483" t="str">
            <v>Y</v>
          </cell>
          <cell r="E1483" t="str">
            <v>A</v>
          </cell>
          <cell r="F1483" t="str">
            <v>11/17/1997</v>
          </cell>
        </row>
        <row r="1484">
          <cell r="B1484" t="str">
            <v>A0429</v>
          </cell>
          <cell r="C1484" t="str">
            <v>UEC</v>
          </cell>
          <cell r="D1484" t="str">
            <v>Y</v>
          </cell>
          <cell r="E1484" t="str">
            <v>A</v>
          </cell>
          <cell r="F1484" t="str">
            <v>11/17/1997</v>
          </cell>
        </row>
        <row r="1485">
          <cell r="B1485" t="str">
            <v>A0430</v>
          </cell>
          <cell r="C1485" t="str">
            <v>012B</v>
          </cell>
          <cell r="D1485" t="str">
            <v>Y</v>
          </cell>
          <cell r="E1485" t="str">
            <v>A</v>
          </cell>
          <cell r="F1485" t="str">
            <v>11/18/1997</v>
          </cell>
        </row>
        <row r="1486">
          <cell r="B1486" t="str">
            <v>A0431</v>
          </cell>
          <cell r="C1486" t="str">
            <v>UEC</v>
          </cell>
          <cell r="D1486" t="str">
            <v>Y</v>
          </cell>
          <cell r="E1486" t="str">
            <v>A</v>
          </cell>
          <cell r="F1486" t="str">
            <v>11/18/1997</v>
          </cell>
        </row>
        <row r="1487">
          <cell r="B1487" t="str">
            <v>A0432</v>
          </cell>
          <cell r="C1487" t="str">
            <v>GEN</v>
          </cell>
          <cell r="D1487" t="str">
            <v>Y</v>
          </cell>
          <cell r="E1487" t="str">
            <v>A</v>
          </cell>
          <cell r="F1487" t="str">
            <v>11/18/1997</v>
          </cell>
        </row>
        <row r="1488">
          <cell r="B1488" t="str">
            <v>A0433</v>
          </cell>
          <cell r="C1488" t="str">
            <v>012D</v>
          </cell>
          <cell r="D1488" t="str">
            <v>Y</v>
          </cell>
          <cell r="E1488" t="str">
            <v>A</v>
          </cell>
          <cell r="F1488" t="str">
            <v>11/18/1997</v>
          </cell>
        </row>
        <row r="1489">
          <cell r="B1489" t="str">
            <v>A0434</v>
          </cell>
          <cell r="C1489" t="str">
            <v>UEC</v>
          </cell>
          <cell r="D1489" t="str">
            <v>Y</v>
          </cell>
          <cell r="E1489" t="str">
            <v>A</v>
          </cell>
          <cell r="F1489" t="str">
            <v>11/18/1997</v>
          </cell>
        </row>
        <row r="1490">
          <cell r="B1490" t="str">
            <v>A0435</v>
          </cell>
          <cell r="C1490" t="str">
            <v>GEN</v>
          </cell>
          <cell r="D1490" t="str">
            <v>Y</v>
          </cell>
          <cell r="E1490" t="str">
            <v>A</v>
          </cell>
          <cell r="F1490" t="str">
            <v>11/18/1997</v>
          </cell>
        </row>
        <row r="1491">
          <cell r="B1491" t="str">
            <v>A0436</v>
          </cell>
          <cell r="C1491" t="str">
            <v>012D</v>
          </cell>
          <cell r="D1491" t="str">
            <v>Y</v>
          </cell>
          <cell r="E1491" t="str">
            <v>A</v>
          </cell>
          <cell r="F1491" t="str">
            <v>11/18/1997</v>
          </cell>
        </row>
        <row r="1492">
          <cell r="B1492" t="str">
            <v>A0437</v>
          </cell>
          <cell r="C1492" t="str">
            <v>UEC</v>
          </cell>
          <cell r="D1492" t="str">
            <v>Y</v>
          </cell>
          <cell r="E1492" t="str">
            <v>A</v>
          </cell>
          <cell r="F1492" t="str">
            <v>11/18/1997</v>
          </cell>
        </row>
        <row r="1493">
          <cell r="B1493" t="str">
            <v>A0438</v>
          </cell>
          <cell r="C1493" t="str">
            <v>CIP</v>
          </cell>
          <cell r="D1493" t="str">
            <v>Y</v>
          </cell>
          <cell r="E1493" t="str">
            <v>A</v>
          </cell>
          <cell r="F1493" t="str">
            <v>11/18/1997</v>
          </cell>
        </row>
        <row r="1494">
          <cell r="B1494" t="str">
            <v>A0439</v>
          </cell>
          <cell r="C1494" t="str">
            <v>010A</v>
          </cell>
          <cell r="D1494" t="str">
            <v>Y</v>
          </cell>
          <cell r="E1494" t="str">
            <v>A</v>
          </cell>
          <cell r="F1494" t="str">
            <v>11/18/1997</v>
          </cell>
        </row>
        <row r="1495">
          <cell r="B1495" t="str">
            <v>A0440</v>
          </cell>
          <cell r="C1495" t="str">
            <v>UEC</v>
          </cell>
          <cell r="D1495" t="str">
            <v>Y</v>
          </cell>
          <cell r="E1495" t="str">
            <v>A</v>
          </cell>
          <cell r="F1495" t="str">
            <v>11/18/1997</v>
          </cell>
        </row>
        <row r="1496">
          <cell r="B1496" t="str">
            <v>A0441</v>
          </cell>
          <cell r="C1496" t="str">
            <v>CIP</v>
          </cell>
          <cell r="D1496" t="str">
            <v>Y</v>
          </cell>
          <cell r="E1496" t="str">
            <v>A</v>
          </cell>
          <cell r="F1496" t="str">
            <v>11/18/1997</v>
          </cell>
        </row>
        <row r="1497">
          <cell r="B1497" t="str">
            <v>A0442</v>
          </cell>
          <cell r="C1497" t="str">
            <v>010A</v>
          </cell>
          <cell r="D1497" t="str">
            <v>Y</v>
          </cell>
          <cell r="E1497" t="str">
            <v>A</v>
          </cell>
          <cell r="F1497" t="str">
            <v>11/18/1997</v>
          </cell>
        </row>
        <row r="1498">
          <cell r="B1498" t="str">
            <v>A0443</v>
          </cell>
          <cell r="C1498" t="str">
            <v>UEC</v>
          </cell>
          <cell r="D1498" t="str">
            <v>Y</v>
          </cell>
          <cell r="E1498" t="str">
            <v>A</v>
          </cell>
          <cell r="F1498" t="str">
            <v>11/18/1997</v>
          </cell>
        </row>
        <row r="1499">
          <cell r="B1499" t="str">
            <v>A0444</v>
          </cell>
          <cell r="C1499" t="str">
            <v>CIP</v>
          </cell>
          <cell r="D1499" t="str">
            <v>Y</v>
          </cell>
          <cell r="E1499" t="str">
            <v>A</v>
          </cell>
          <cell r="F1499" t="str">
            <v>11/18/1997</v>
          </cell>
        </row>
        <row r="1500">
          <cell r="B1500" t="str">
            <v>A0445</v>
          </cell>
          <cell r="C1500" t="str">
            <v>012D</v>
          </cell>
          <cell r="D1500" t="str">
            <v>Y</v>
          </cell>
          <cell r="E1500" t="str">
            <v>A</v>
          </cell>
          <cell r="F1500" t="str">
            <v>11/18/1997</v>
          </cell>
        </row>
        <row r="1501">
          <cell r="B1501" t="str">
            <v>A0446</v>
          </cell>
          <cell r="C1501" t="str">
            <v>UEC</v>
          </cell>
          <cell r="D1501" t="str">
            <v>Y</v>
          </cell>
          <cell r="E1501" t="str">
            <v>A</v>
          </cell>
          <cell r="F1501" t="str">
            <v>11/18/1997</v>
          </cell>
        </row>
        <row r="1502">
          <cell r="B1502" t="str">
            <v>A0447</v>
          </cell>
          <cell r="C1502" t="str">
            <v>008C</v>
          </cell>
          <cell r="D1502" t="str">
            <v>Y</v>
          </cell>
          <cell r="E1502" t="str">
            <v>A</v>
          </cell>
          <cell r="F1502" t="str">
            <v>11/18/1997</v>
          </cell>
        </row>
        <row r="1503">
          <cell r="B1503" t="str">
            <v>A0448</v>
          </cell>
          <cell r="C1503"/>
          <cell r="D1503" t="str">
            <v>Y</v>
          </cell>
          <cell r="E1503" t="str">
            <v>A</v>
          </cell>
          <cell r="F1503" t="str">
            <v>11/19/1997</v>
          </cell>
        </row>
        <row r="1504">
          <cell r="B1504" t="str">
            <v>A0449</v>
          </cell>
          <cell r="C1504" t="str">
            <v>CIP</v>
          </cell>
          <cell r="D1504" t="str">
            <v>Y</v>
          </cell>
          <cell r="E1504" t="str">
            <v>A</v>
          </cell>
          <cell r="F1504" t="str">
            <v>11/18/1997</v>
          </cell>
        </row>
        <row r="1505">
          <cell r="B1505" t="str">
            <v>A0450</v>
          </cell>
          <cell r="C1505" t="str">
            <v>017C</v>
          </cell>
          <cell r="D1505" t="str">
            <v>Y</v>
          </cell>
          <cell r="E1505" t="str">
            <v>A</v>
          </cell>
          <cell r="F1505" t="str">
            <v>11/18/1997</v>
          </cell>
        </row>
        <row r="1506">
          <cell r="B1506" t="str">
            <v>A0451</v>
          </cell>
          <cell r="C1506" t="str">
            <v>010A</v>
          </cell>
          <cell r="D1506" t="str">
            <v>Y</v>
          </cell>
          <cell r="E1506" t="str">
            <v>A</v>
          </cell>
          <cell r="F1506" t="str">
            <v>11/18/1997</v>
          </cell>
        </row>
        <row r="1507">
          <cell r="B1507" t="str">
            <v>A0452</v>
          </cell>
          <cell r="C1507" t="str">
            <v>AFS</v>
          </cell>
          <cell r="D1507" t="str">
            <v>Y</v>
          </cell>
          <cell r="E1507" t="str">
            <v>A</v>
          </cell>
          <cell r="F1507" t="str">
            <v>11/18/1997</v>
          </cell>
        </row>
        <row r="1508">
          <cell r="B1508" t="str">
            <v>A0454</v>
          </cell>
          <cell r="C1508" t="str">
            <v>UEC</v>
          </cell>
          <cell r="D1508" t="str">
            <v>Y</v>
          </cell>
          <cell r="E1508" t="str">
            <v>A</v>
          </cell>
          <cell r="F1508" t="str">
            <v>11/18/1997</v>
          </cell>
        </row>
        <row r="1509">
          <cell r="B1509" t="str">
            <v>A0455</v>
          </cell>
          <cell r="C1509" t="str">
            <v>015A</v>
          </cell>
          <cell r="D1509" t="str">
            <v>Y</v>
          </cell>
          <cell r="E1509" t="str">
            <v>A</v>
          </cell>
          <cell r="F1509" t="str">
            <v>11/19/1997</v>
          </cell>
        </row>
        <row r="1510">
          <cell r="B1510" t="str">
            <v>A0456</v>
          </cell>
          <cell r="C1510" t="str">
            <v>007A</v>
          </cell>
          <cell r="D1510" t="str">
            <v>Y</v>
          </cell>
          <cell r="E1510" t="str">
            <v>A</v>
          </cell>
          <cell r="F1510" t="str">
            <v>11/19/1997</v>
          </cell>
        </row>
        <row r="1511">
          <cell r="B1511" t="str">
            <v>A0457</v>
          </cell>
          <cell r="C1511" t="str">
            <v>AMC</v>
          </cell>
          <cell r="D1511" t="str">
            <v>Y</v>
          </cell>
          <cell r="E1511" t="str">
            <v>A</v>
          </cell>
          <cell r="F1511" t="str">
            <v>11/19/1997</v>
          </cell>
        </row>
        <row r="1512">
          <cell r="B1512" t="str">
            <v>A0458</v>
          </cell>
          <cell r="C1512" t="str">
            <v>UEC</v>
          </cell>
          <cell r="D1512" t="str">
            <v>Y</v>
          </cell>
          <cell r="E1512" t="str">
            <v>A</v>
          </cell>
          <cell r="F1512" t="str">
            <v>11/19/1997</v>
          </cell>
        </row>
        <row r="1513">
          <cell r="B1513" t="str">
            <v>A0459</v>
          </cell>
          <cell r="C1513" t="str">
            <v>UEC</v>
          </cell>
          <cell r="D1513" t="str">
            <v>Y</v>
          </cell>
          <cell r="E1513" t="str">
            <v>A</v>
          </cell>
          <cell r="F1513" t="str">
            <v>11/19/1997</v>
          </cell>
        </row>
        <row r="1514">
          <cell r="B1514" t="str">
            <v>A0460</v>
          </cell>
          <cell r="C1514" t="str">
            <v>UEC</v>
          </cell>
          <cell r="D1514" t="str">
            <v>Y</v>
          </cell>
          <cell r="E1514" t="str">
            <v>A</v>
          </cell>
          <cell r="F1514" t="str">
            <v>12/05/1997</v>
          </cell>
        </row>
        <row r="1515">
          <cell r="B1515" t="str">
            <v>A0461</v>
          </cell>
          <cell r="C1515" t="str">
            <v>UEC</v>
          </cell>
          <cell r="D1515" t="str">
            <v>Y</v>
          </cell>
          <cell r="E1515" t="str">
            <v>A</v>
          </cell>
          <cell r="F1515" t="str">
            <v>12/05/1997</v>
          </cell>
        </row>
        <row r="1516">
          <cell r="B1516" t="str">
            <v>A0462</v>
          </cell>
          <cell r="C1516" t="str">
            <v>UEC</v>
          </cell>
          <cell r="D1516" t="str">
            <v>Y</v>
          </cell>
          <cell r="E1516" t="str">
            <v>A</v>
          </cell>
          <cell r="F1516" t="str">
            <v>12/05/1997</v>
          </cell>
        </row>
        <row r="1517">
          <cell r="B1517" t="str">
            <v>A0463</v>
          </cell>
          <cell r="C1517" t="str">
            <v>UEC</v>
          </cell>
          <cell r="D1517" t="str">
            <v>Y</v>
          </cell>
          <cell r="E1517" t="str">
            <v>A</v>
          </cell>
          <cell r="F1517" t="str">
            <v>12/05/1997</v>
          </cell>
        </row>
        <row r="1518">
          <cell r="B1518" t="str">
            <v>A0464</v>
          </cell>
          <cell r="C1518" t="str">
            <v>CIP</v>
          </cell>
          <cell r="D1518" t="str">
            <v>Y</v>
          </cell>
          <cell r="E1518" t="str">
            <v>A</v>
          </cell>
          <cell r="F1518" t="str">
            <v>05/15/1998</v>
          </cell>
        </row>
        <row r="1519">
          <cell r="B1519" t="str">
            <v>A0465</v>
          </cell>
          <cell r="C1519"/>
          <cell r="D1519" t="str">
            <v>Y</v>
          </cell>
          <cell r="E1519" t="str">
            <v>A</v>
          </cell>
          <cell r="F1519" t="str">
            <v>05/15/1998</v>
          </cell>
        </row>
        <row r="1520">
          <cell r="B1520" t="str">
            <v>A0466</v>
          </cell>
          <cell r="C1520" t="str">
            <v>AED</v>
          </cell>
          <cell r="D1520" t="str">
            <v>Y</v>
          </cell>
          <cell r="E1520" t="str">
            <v>A</v>
          </cell>
          <cell r="F1520" t="str">
            <v>12/08/1997</v>
          </cell>
        </row>
        <row r="1521">
          <cell r="B1521" t="str">
            <v>A0467</v>
          </cell>
          <cell r="C1521" t="str">
            <v>007A</v>
          </cell>
          <cell r="D1521" t="str">
            <v>Y</v>
          </cell>
          <cell r="E1521" t="str">
            <v>A</v>
          </cell>
          <cell r="F1521" t="str">
            <v>10/29/1998</v>
          </cell>
        </row>
        <row r="1522">
          <cell r="B1522" t="str">
            <v>A0468</v>
          </cell>
          <cell r="C1522"/>
          <cell r="D1522" t="str">
            <v>Y</v>
          </cell>
          <cell r="E1522" t="str">
            <v>A</v>
          </cell>
          <cell r="F1522" t="str">
            <v>12/08/1997</v>
          </cell>
        </row>
        <row r="1523">
          <cell r="B1523" t="str">
            <v>A0471</v>
          </cell>
          <cell r="C1523"/>
          <cell r="D1523" t="str">
            <v>Y</v>
          </cell>
          <cell r="E1523" t="str">
            <v>A</v>
          </cell>
          <cell r="F1523" t="str">
            <v>12/10/1997</v>
          </cell>
        </row>
        <row r="1524">
          <cell r="B1524" t="str">
            <v>A0479</v>
          </cell>
          <cell r="C1524" t="str">
            <v>010A</v>
          </cell>
          <cell r="D1524" t="str">
            <v>Y</v>
          </cell>
          <cell r="E1524" t="str">
            <v>A</v>
          </cell>
          <cell r="F1524" t="str">
            <v>05/15/1998</v>
          </cell>
        </row>
        <row r="1525">
          <cell r="B1525" t="str">
            <v>A0480</v>
          </cell>
          <cell r="C1525" t="str">
            <v>AME</v>
          </cell>
          <cell r="D1525" t="str">
            <v>Y</v>
          </cell>
          <cell r="E1525" t="str">
            <v>A</v>
          </cell>
          <cell r="F1525" t="str">
            <v>09/29/1998</v>
          </cell>
        </row>
        <row r="1526">
          <cell r="B1526" t="str">
            <v>A0481</v>
          </cell>
          <cell r="C1526" t="str">
            <v>UEC</v>
          </cell>
          <cell r="D1526" t="str">
            <v>Y</v>
          </cell>
          <cell r="E1526" t="str">
            <v>A</v>
          </cell>
          <cell r="F1526" t="str">
            <v>12/12/1997</v>
          </cell>
        </row>
        <row r="1527">
          <cell r="B1527" t="str">
            <v>A0482</v>
          </cell>
          <cell r="C1527" t="str">
            <v>007A</v>
          </cell>
          <cell r="D1527" t="str">
            <v>Y</v>
          </cell>
          <cell r="E1527" t="str">
            <v>A</v>
          </cell>
          <cell r="F1527" t="str">
            <v>01/08/1999</v>
          </cell>
        </row>
        <row r="1528">
          <cell r="B1528" t="str">
            <v>A0483</v>
          </cell>
          <cell r="C1528" t="str">
            <v>004O</v>
          </cell>
          <cell r="D1528" t="str">
            <v>Y</v>
          </cell>
          <cell r="E1528" t="str">
            <v>A</v>
          </cell>
          <cell r="F1528" t="str">
            <v>01/08/1999</v>
          </cell>
        </row>
        <row r="1529">
          <cell r="B1529" t="str">
            <v>A0484</v>
          </cell>
          <cell r="C1529" t="str">
            <v>AEC</v>
          </cell>
          <cell r="D1529" t="str">
            <v>Y</v>
          </cell>
          <cell r="E1529" t="str">
            <v>A</v>
          </cell>
          <cell r="F1529" t="str">
            <v>09/29/1998</v>
          </cell>
        </row>
        <row r="1530">
          <cell r="B1530" t="str">
            <v>A0486</v>
          </cell>
          <cell r="C1530" t="str">
            <v>002M</v>
          </cell>
          <cell r="D1530" t="str">
            <v>Y</v>
          </cell>
          <cell r="E1530" t="str">
            <v>A</v>
          </cell>
          <cell r="F1530" t="str">
            <v>01/11/1999</v>
          </cell>
        </row>
        <row r="1531">
          <cell r="B1531" t="str">
            <v>A0487</v>
          </cell>
          <cell r="C1531" t="str">
            <v>CIP</v>
          </cell>
          <cell r="D1531" t="str">
            <v>Y</v>
          </cell>
          <cell r="E1531" t="str">
            <v>A</v>
          </cell>
          <cell r="F1531" t="str">
            <v>07/23/1998</v>
          </cell>
        </row>
        <row r="1532">
          <cell r="B1532" t="str">
            <v>A0488</v>
          </cell>
          <cell r="C1532" t="str">
            <v>AME</v>
          </cell>
          <cell r="D1532" t="str">
            <v>Y</v>
          </cell>
          <cell r="E1532" t="str">
            <v>A</v>
          </cell>
          <cell r="F1532" t="str">
            <v>10/14/1998</v>
          </cell>
        </row>
        <row r="1533">
          <cell r="B1533" t="str">
            <v>A0489</v>
          </cell>
          <cell r="C1533" t="str">
            <v>AME</v>
          </cell>
          <cell r="D1533" t="str">
            <v>Y</v>
          </cell>
          <cell r="E1533" t="str">
            <v>A</v>
          </cell>
          <cell r="F1533" t="str">
            <v>07/29/1998</v>
          </cell>
        </row>
        <row r="1534">
          <cell r="B1534" t="str">
            <v>A0490</v>
          </cell>
          <cell r="C1534" t="str">
            <v>AEC</v>
          </cell>
          <cell r="D1534" t="str">
            <v>Y</v>
          </cell>
          <cell r="E1534" t="str">
            <v>A</v>
          </cell>
          <cell r="F1534" t="str">
            <v>08/09/1998</v>
          </cell>
        </row>
        <row r="1535">
          <cell r="B1535" t="str">
            <v>A0494</v>
          </cell>
          <cell r="C1535" t="str">
            <v>ERC</v>
          </cell>
          <cell r="D1535" t="str">
            <v>Y</v>
          </cell>
          <cell r="E1535" t="str">
            <v>A</v>
          </cell>
          <cell r="F1535" t="str">
            <v>08/13/1998</v>
          </cell>
        </row>
        <row r="1536">
          <cell r="B1536" t="str">
            <v>A0496</v>
          </cell>
          <cell r="C1536"/>
          <cell r="D1536" t="str">
            <v>Y</v>
          </cell>
          <cell r="E1536" t="str">
            <v>A</v>
          </cell>
          <cell r="F1536" t="str">
            <v>10/14/1998</v>
          </cell>
        </row>
        <row r="1537">
          <cell r="B1537" t="str">
            <v>A0497</v>
          </cell>
          <cell r="C1537" t="str">
            <v>UEC</v>
          </cell>
          <cell r="D1537" t="str">
            <v>N</v>
          </cell>
          <cell r="E1537" t="str">
            <v>A</v>
          </cell>
          <cell r="F1537" t="str">
            <v>07/13/1998</v>
          </cell>
        </row>
        <row r="1538">
          <cell r="B1538" t="str">
            <v>A0499</v>
          </cell>
          <cell r="C1538" t="str">
            <v>UEC</v>
          </cell>
          <cell r="D1538" t="str">
            <v>Y</v>
          </cell>
          <cell r="E1538" t="str">
            <v>A</v>
          </cell>
          <cell r="F1538" t="str">
            <v>07/13/1998</v>
          </cell>
        </row>
        <row r="1539">
          <cell r="B1539" t="str">
            <v>A0500</v>
          </cell>
          <cell r="C1539" t="str">
            <v>012D</v>
          </cell>
          <cell r="D1539" t="str">
            <v>Y</v>
          </cell>
          <cell r="E1539" t="str">
            <v>A</v>
          </cell>
          <cell r="F1539" t="str">
            <v>12/15/1997</v>
          </cell>
        </row>
        <row r="1540">
          <cell r="B1540" t="str">
            <v>A0501</v>
          </cell>
          <cell r="C1540" t="str">
            <v>UEC</v>
          </cell>
          <cell r="D1540" t="str">
            <v>Y</v>
          </cell>
          <cell r="E1540" t="str">
            <v>A</v>
          </cell>
          <cell r="F1540" t="str">
            <v>12/15/1997</v>
          </cell>
        </row>
        <row r="1541">
          <cell r="B1541" t="str">
            <v>A0502</v>
          </cell>
          <cell r="C1541" t="str">
            <v>CIP</v>
          </cell>
          <cell r="D1541" t="str">
            <v>Y</v>
          </cell>
          <cell r="E1541" t="str">
            <v>A</v>
          </cell>
          <cell r="F1541" t="str">
            <v>12/15/1997</v>
          </cell>
        </row>
        <row r="1542">
          <cell r="B1542" t="str">
            <v>A0503</v>
          </cell>
          <cell r="C1542" t="str">
            <v>UEC</v>
          </cell>
          <cell r="D1542" t="str">
            <v>Y</v>
          </cell>
          <cell r="E1542" t="str">
            <v>A</v>
          </cell>
          <cell r="F1542" t="str">
            <v>07/13/1998</v>
          </cell>
        </row>
        <row r="1543">
          <cell r="B1543" t="str">
            <v>A0504</v>
          </cell>
          <cell r="C1543" t="str">
            <v>002K</v>
          </cell>
          <cell r="D1543" t="str">
            <v>Y</v>
          </cell>
          <cell r="E1543" t="str">
            <v>A</v>
          </cell>
          <cell r="F1543" t="str">
            <v>12/15/1997</v>
          </cell>
        </row>
        <row r="1544">
          <cell r="B1544" t="str">
            <v>A0505</v>
          </cell>
          <cell r="C1544" t="str">
            <v>GEN</v>
          </cell>
          <cell r="D1544" t="str">
            <v>Y</v>
          </cell>
          <cell r="E1544" t="str">
            <v>A</v>
          </cell>
          <cell r="F1544" t="str">
            <v>07/13/1998</v>
          </cell>
        </row>
        <row r="1545">
          <cell r="B1545" t="str">
            <v>A0506</v>
          </cell>
          <cell r="C1545" t="str">
            <v>UEC</v>
          </cell>
          <cell r="D1545" t="str">
            <v>Y</v>
          </cell>
          <cell r="E1545" t="str">
            <v>A</v>
          </cell>
          <cell r="F1545" t="str">
            <v>12/16/1997</v>
          </cell>
        </row>
        <row r="1546">
          <cell r="B1546" t="str">
            <v>A0507</v>
          </cell>
          <cell r="C1546" t="str">
            <v>CIP</v>
          </cell>
          <cell r="D1546" t="str">
            <v>Y</v>
          </cell>
          <cell r="E1546" t="str">
            <v>A</v>
          </cell>
          <cell r="F1546" t="str">
            <v>07/13/1998</v>
          </cell>
        </row>
        <row r="1547">
          <cell r="B1547" t="str">
            <v>A0508</v>
          </cell>
          <cell r="C1547" t="str">
            <v>UEC</v>
          </cell>
          <cell r="D1547" t="str">
            <v>Y</v>
          </cell>
          <cell r="E1547" t="str">
            <v>A</v>
          </cell>
          <cell r="F1547" t="str">
            <v>12/16/1997</v>
          </cell>
        </row>
        <row r="1548">
          <cell r="B1548" t="str">
            <v>A0509</v>
          </cell>
          <cell r="C1548" t="str">
            <v>001G</v>
          </cell>
          <cell r="D1548" t="str">
            <v>Y</v>
          </cell>
          <cell r="E1548" t="str">
            <v>A</v>
          </cell>
          <cell r="F1548" t="str">
            <v>12/16/1997</v>
          </cell>
        </row>
        <row r="1549">
          <cell r="B1549" t="str">
            <v>A0510</v>
          </cell>
          <cell r="C1549" t="str">
            <v>UEC</v>
          </cell>
          <cell r="D1549" t="str">
            <v>Y</v>
          </cell>
          <cell r="E1549" t="str">
            <v>A</v>
          </cell>
          <cell r="F1549" t="str">
            <v>12/16/1997</v>
          </cell>
        </row>
        <row r="1550">
          <cell r="B1550" t="str">
            <v>A0511</v>
          </cell>
          <cell r="C1550" t="str">
            <v>CIP</v>
          </cell>
          <cell r="D1550" t="str">
            <v>Y</v>
          </cell>
          <cell r="E1550" t="str">
            <v>A</v>
          </cell>
          <cell r="F1550" t="str">
            <v>12/16/1997</v>
          </cell>
        </row>
        <row r="1551">
          <cell r="B1551" t="str">
            <v>A0512</v>
          </cell>
          <cell r="C1551" t="str">
            <v>CIP</v>
          </cell>
          <cell r="D1551" t="str">
            <v>Y</v>
          </cell>
          <cell r="E1551" t="str">
            <v>A</v>
          </cell>
          <cell r="F1551" t="str">
            <v>12/16/1997</v>
          </cell>
        </row>
        <row r="1552">
          <cell r="B1552" t="str">
            <v>A0513</v>
          </cell>
          <cell r="C1552" t="str">
            <v>UDC</v>
          </cell>
          <cell r="D1552" t="str">
            <v>Y</v>
          </cell>
          <cell r="E1552" t="str">
            <v>A</v>
          </cell>
          <cell r="F1552" t="str">
            <v>12/16/1997</v>
          </cell>
        </row>
        <row r="1553">
          <cell r="B1553" t="str">
            <v>A0515</v>
          </cell>
          <cell r="C1553" t="str">
            <v>010A</v>
          </cell>
          <cell r="D1553" t="str">
            <v>Y</v>
          </cell>
          <cell r="E1553" t="str">
            <v>A</v>
          </cell>
          <cell r="F1553" t="str">
            <v>12/16/1997</v>
          </cell>
        </row>
        <row r="1554">
          <cell r="B1554" t="str">
            <v>A0517</v>
          </cell>
          <cell r="C1554" t="str">
            <v>UEC</v>
          </cell>
          <cell r="D1554" t="str">
            <v>Y</v>
          </cell>
          <cell r="E1554" t="str">
            <v>A</v>
          </cell>
          <cell r="F1554" t="str">
            <v>12/16/1997</v>
          </cell>
        </row>
        <row r="1555">
          <cell r="B1555" t="str">
            <v>A0518</v>
          </cell>
          <cell r="C1555" t="str">
            <v>CIP</v>
          </cell>
          <cell r="D1555" t="str">
            <v>Y</v>
          </cell>
          <cell r="E1555" t="str">
            <v>A</v>
          </cell>
          <cell r="F1555" t="str">
            <v>12/16/1997</v>
          </cell>
        </row>
        <row r="1556">
          <cell r="B1556" t="str">
            <v>A0519</v>
          </cell>
          <cell r="C1556" t="str">
            <v>010A</v>
          </cell>
          <cell r="D1556" t="str">
            <v>Y</v>
          </cell>
          <cell r="E1556" t="str">
            <v>A</v>
          </cell>
          <cell r="F1556" t="str">
            <v>12/16/1997</v>
          </cell>
        </row>
        <row r="1557">
          <cell r="B1557" t="str">
            <v>A0520</v>
          </cell>
          <cell r="C1557" t="str">
            <v>010A</v>
          </cell>
          <cell r="D1557" t="str">
            <v>Y</v>
          </cell>
          <cell r="E1557" t="str">
            <v>A</v>
          </cell>
          <cell r="F1557" t="str">
            <v>12/16/1997</v>
          </cell>
        </row>
        <row r="1558">
          <cell r="B1558" t="str">
            <v>A0521</v>
          </cell>
          <cell r="C1558" t="str">
            <v>UEC</v>
          </cell>
          <cell r="D1558" t="str">
            <v>Y</v>
          </cell>
          <cell r="E1558" t="str">
            <v>A</v>
          </cell>
          <cell r="F1558" t="str">
            <v>12/16/1997</v>
          </cell>
        </row>
        <row r="1559">
          <cell r="B1559" t="str">
            <v>A0522</v>
          </cell>
          <cell r="C1559" t="str">
            <v>CIP</v>
          </cell>
          <cell r="D1559" t="str">
            <v>Y</v>
          </cell>
          <cell r="E1559" t="str">
            <v>A</v>
          </cell>
          <cell r="F1559" t="str">
            <v>12/16/1997</v>
          </cell>
        </row>
        <row r="1560">
          <cell r="B1560" t="str">
            <v>A0523</v>
          </cell>
          <cell r="C1560" t="str">
            <v>010A</v>
          </cell>
          <cell r="D1560" t="str">
            <v>Y</v>
          </cell>
          <cell r="E1560" t="str">
            <v>A</v>
          </cell>
          <cell r="F1560" t="str">
            <v>12/16/1997</v>
          </cell>
        </row>
        <row r="1561">
          <cell r="B1561" t="str">
            <v>A0524</v>
          </cell>
          <cell r="C1561" t="str">
            <v>UEC</v>
          </cell>
          <cell r="D1561" t="str">
            <v>Y</v>
          </cell>
          <cell r="E1561" t="str">
            <v>A</v>
          </cell>
          <cell r="F1561" t="str">
            <v>12/16/1997</v>
          </cell>
        </row>
        <row r="1562">
          <cell r="B1562" t="str">
            <v>A0525</v>
          </cell>
          <cell r="C1562" t="str">
            <v>CIP</v>
          </cell>
          <cell r="D1562" t="str">
            <v>Y</v>
          </cell>
          <cell r="E1562" t="str">
            <v>A</v>
          </cell>
          <cell r="F1562" t="str">
            <v>12/16/1997</v>
          </cell>
        </row>
        <row r="1563">
          <cell r="B1563" t="str">
            <v>A0526</v>
          </cell>
          <cell r="C1563" t="str">
            <v>010A</v>
          </cell>
          <cell r="D1563" t="str">
            <v>Y</v>
          </cell>
          <cell r="E1563" t="str">
            <v>A</v>
          </cell>
          <cell r="F1563" t="str">
            <v>12/16/1997</v>
          </cell>
        </row>
        <row r="1564">
          <cell r="B1564" t="str">
            <v>A0527</v>
          </cell>
          <cell r="C1564" t="str">
            <v>010A</v>
          </cell>
          <cell r="D1564" t="str">
            <v>Y</v>
          </cell>
          <cell r="E1564" t="str">
            <v>A</v>
          </cell>
          <cell r="F1564" t="str">
            <v>07/14/1998</v>
          </cell>
        </row>
        <row r="1565">
          <cell r="B1565" t="str">
            <v>A0528</v>
          </cell>
          <cell r="C1565" t="str">
            <v>010A</v>
          </cell>
          <cell r="D1565" t="str">
            <v>Y</v>
          </cell>
          <cell r="E1565" t="str">
            <v>A</v>
          </cell>
          <cell r="F1565" t="str">
            <v>07/14/1998</v>
          </cell>
        </row>
        <row r="1566">
          <cell r="B1566" t="str">
            <v>A0530</v>
          </cell>
          <cell r="C1566" t="str">
            <v>010A</v>
          </cell>
          <cell r="D1566" t="str">
            <v>Y</v>
          </cell>
          <cell r="E1566" t="str">
            <v>A</v>
          </cell>
          <cell r="F1566" t="str">
            <v>07/14/1998</v>
          </cell>
        </row>
        <row r="1567">
          <cell r="B1567" t="str">
            <v>A0531</v>
          </cell>
          <cell r="C1567" t="str">
            <v>004A</v>
          </cell>
          <cell r="D1567" t="str">
            <v>Y</v>
          </cell>
          <cell r="E1567" t="str">
            <v>A</v>
          </cell>
          <cell r="F1567" t="str">
            <v>12/17/1997</v>
          </cell>
        </row>
        <row r="1568">
          <cell r="B1568" t="str">
            <v>A0532</v>
          </cell>
          <cell r="C1568" t="str">
            <v>UEC</v>
          </cell>
          <cell r="D1568" t="str">
            <v>Y</v>
          </cell>
          <cell r="E1568" t="str">
            <v>A</v>
          </cell>
          <cell r="F1568" t="str">
            <v>12/17/1997</v>
          </cell>
        </row>
        <row r="1569">
          <cell r="B1569" t="str">
            <v>A0533</v>
          </cell>
          <cell r="C1569" t="str">
            <v>CIP</v>
          </cell>
          <cell r="D1569" t="str">
            <v>Y</v>
          </cell>
          <cell r="E1569" t="str">
            <v>A</v>
          </cell>
          <cell r="F1569" t="str">
            <v>12/17/1997</v>
          </cell>
        </row>
        <row r="1570">
          <cell r="B1570" t="str">
            <v>A0534</v>
          </cell>
          <cell r="C1570" t="str">
            <v>AME</v>
          </cell>
          <cell r="D1570" t="str">
            <v>Y</v>
          </cell>
          <cell r="E1570" t="str">
            <v>A</v>
          </cell>
          <cell r="F1570" t="str">
            <v>07/17/1998</v>
          </cell>
        </row>
        <row r="1571">
          <cell r="B1571" t="str">
            <v>A0535</v>
          </cell>
          <cell r="C1571" t="str">
            <v>AMC</v>
          </cell>
          <cell r="D1571" t="str">
            <v>Y</v>
          </cell>
          <cell r="E1571" t="str">
            <v>A</v>
          </cell>
          <cell r="F1571" t="str">
            <v>12/17/1997</v>
          </cell>
        </row>
        <row r="1572">
          <cell r="B1572" t="str">
            <v>A0536</v>
          </cell>
          <cell r="C1572"/>
          <cell r="D1572" t="str">
            <v>Y</v>
          </cell>
          <cell r="E1572" t="str">
            <v>A</v>
          </cell>
          <cell r="F1572" t="str">
            <v>12/17/1997</v>
          </cell>
        </row>
        <row r="1573">
          <cell r="B1573" t="str">
            <v>A0537</v>
          </cell>
          <cell r="C1573" t="str">
            <v>UDC</v>
          </cell>
          <cell r="D1573" t="str">
            <v>Y</v>
          </cell>
          <cell r="E1573" t="str">
            <v>A</v>
          </cell>
          <cell r="F1573" t="str">
            <v>12/17/1997</v>
          </cell>
        </row>
        <row r="1574">
          <cell r="B1574" t="str">
            <v>A0543</v>
          </cell>
          <cell r="C1574" t="str">
            <v>003A</v>
          </cell>
          <cell r="D1574" t="str">
            <v>Y</v>
          </cell>
          <cell r="E1574" t="str">
            <v>A</v>
          </cell>
          <cell r="F1574" t="str">
            <v>12/17/1997</v>
          </cell>
        </row>
        <row r="1575">
          <cell r="B1575" t="str">
            <v>A0544</v>
          </cell>
          <cell r="C1575" t="str">
            <v>CIP</v>
          </cell>
          <cell r="D1575" t="str">
            <v>Y</v>
          </cell>
          <cell r="E1575" t="str">
            <v>A</v>
          </cell>
          <cell r="F1575" t="str">
            <v>12/17/1997</v>
          </cell>
        </row>
        <row r="1576">
          <cell r="B1576" t="str">
            <v>A0545</v>
          </cell>
          <cell r="C1576" t="str">
            <v>UEC</v>
          </cell>
          <cell r="D1576" t="str">
            <v>Y</v>
          </cell>
          <cell r="E1576" t="str">
            <v>A</v>
          </cell>
          <cell r="F1576" t="str">
            <v>12/17/1997</v>
          </cell>
        </row>
        <row r="1577">
          <cell r="B1577" t="str">
            <v>A0547</v>
          </cell>
          <cell r="C1577" t="str">
            <v>003A</v>
          </cell>
          <cell r="D1577" t="str">
            <v>Y</v>
          </cell>
          <cell r="E1577" t="str">
            <v>A</v>
          </cell>
          <cell r="F1577" t="str">
            <v>12/17/1997</v>
          </cell>
        </row>
        <row r="1578">
          <cell r="B1578" t="str">
            <v>A0548</v>
          </cell>
          <cell r="C1578"/>
          <cell r="D1578" t="str">
            <v>Y</v>
          </cell>
          <cell r="E1578" t="str">
            <v>A</v>
          </cell>
          <cell r="F1578" t="str">
            <v>10/14/1998</v>
          </cell>
        </row>
        <row r="1579">
          <cell r="B1579" t="str">
            <v>A0551</v>
          </cell>
          <cell r="C1579" t="str">
            <v>UEC</v>
          </cell>
          <cell r="D1579" t="str">
            <v>Y</v>
          </cell>
          <cell r="E1579" t="str">
            <v>A</v>
          </cell>
          <cell r="F1579" t="str">
            <v>12/17/1997</v>
          </cell>
        </row>
        <row r="1580">
          <cell r="B1580" t="str">
            <v>A0552</v>
          </cell>
          <cell r="C1580" t="str">
            <v>CIP</v>
          </cell>
          <cell r="D1580" t="str">
            <v>Y</v>
          </cell>
          <cell r="E1580" t="str">
            <v>A</v>
          </cell>
          <cell r="F1580" t="str">
            <v>12/17/1997</v>
          </cell>
        </row>
        <row r="1581">
          <cell r="B1581" t="str">
            <v>A0555</v>
          </cell>
          <cell r="C1581"/>
          <cell r="D1581" t="str">
            <v>Y</v>
          </cell>
          <cell r="E1581" t="str">
            <v>A</v>
          </cell>
          <cell r="F1581" t="str">
            <v>12/18/1997</v>
          </cell>
        </row>
        <row r="1582">
          <cell r="B1582" t="str">
            <v>A0556</v>
          </cell>
          <cell r="C1582" t="str">
            <v>UEC</v>
          </cell>
          <cell r="D1582" t="str">
            <v>Y</v>
          </cell>
          <cell r="E1582" t="str">
            <v>A</v>
          </cell>
          <cell r="F1582" t="str">
            <v>12/18/1997</v>
          </cell>
        </row>
        <row r="1583">
          <cell r="B1583" t="str">
            <v>A0557</v>
          </cell>
          <cell r="C1583" t="str">
            <v>CIP</v>
          </cell>
          <cell r="D1583" t="str">
            <v>Y</v>
          </cell>
          <cell r="E1583" t="str">
            <v>A</v>
          </cell>
          <cell r="F1583" t="str">
            <v>12/18/1997</v>
          </cell>
        </row>
        <row r="1584">
          <cell r="B1584" t="str">
            <v>A0558</v>
          </cell>
          <cell r="C1584" t="str">
            <v>004A</v>
          </cell>
          <cell r="D1584" t="str">
            <v>Y</v>
          </cell>
          <cell r="E1584" t="str">
            <v>A</v>
          </cell>
          <cell r="F1584" t="str">
            <v>12/18/1997</v>
          </cell>
        </row>
        <row r="1585">
          <cell r="B1585" t="str">
            <v>A0559</v>
          </cell>
          <cell r="C1585"/>
          <cell r="D1585" t="str">
            <v>Y</v>
          </cell>
          <cell r="E1585" t="str">
            <v>A</v>
          </cell>
          <cell r="F1585" t="str">
            <v>12/18/1997</v>
          </cell>
        </row>
        <row r="1586">
          <cell r="B1586" t="str">
            <v>A0560</v>
          </cell>
          <cell r="C1586" t="str">
            <v>UDC</v>
          </cell>
          <cell r="D1586" t="str">
            <v>Y</v>
          </cell>
          <cell r="E1586" t="str">
            <v>A</v>
          </cell>
          <cell r="F1586" t="str">
            <v>12/18/1997</v>
          </cell>
        </row>
        <row r="1587">
          <cell r="B1587" t="str">
            <v>A0561</v>
          </cell>
          <cell r="C1587" t="str">
            <v>AMC</v>
          </cell>
          <cell r="D1587" t="str">
            <v>Y</v>
          </cell>
          <cell r="E1587" t="str">
            <v>A</v>
          </cell>
          <cell r="F1587" t="str">
            <v>12/18/1997</v>
          </cell>
        </row>
        <row r="1588">
          <cell r="B1588" t="str">
            <v>A0562</v>
          </cell>
          <cell r="C1588" t="str">
            <v>AEC</v>
          </cell>
          <cell r="D1588" t="str">
            <v>Y</v>
          </cell>
          <cell r="E1588" t="str">
            <v>A</v>
          </cell>
          <cell r="F1588" t="str">
            <v>08/13/1998</v>
          </cell>
        </row>
        <row r="1589">
          <cell r="B1589" t="str">
            <v>A0564</v>
          </cell>
          <cell r="C1589" t="str">
            <v>AME</v>
          </cell>
          <cell r="D1589" t="str">
            <v>Y</v>
          </cell>
          <cell r="E1589" t="str">
            <v>A</v>
          </cell>
          <cell r="F1589" t="str">
            <v>08/13/1998</v>
          </cell>
        </row>
        <row r="1590">
          <cell r="B1590" t="str">
            <v>A0567</v>
          </cell>
          <cell r="C1590"/>
          <cell r="D1590" t="str">
            <v>Y</v>
          </cell>
          <cell r="E1590" t="str">
            <v>A</v>
          </cell>
          <cell r="F1590" t="str">
            <v>12/19/1997</v>
          </cell>
        </row>
        <row r="1591">
          <cell r="B1591" t="str">
            <v>A0570</v>
          </cell>
          <cell r="C1591" t="str">
            <v>UEC</v>
          </cell>
          <cell r="D1591" t="str">
            <v>Y</v>
          </cell>
          <cell r="E1591" t="str">
            <v>A</v>
          </cell>
          <cell r="F1591" t="str">
            <v>12/19/1997</v>
          </cell>
        </row>
        <row r="1592">
          <cell r="B1592" t="str">
            <v>A0571</v>
          </cell>
          <cell r="C1592" t="str">
            <v>CIP</v>
          </cell>
          <cell r="D1592" t="str">
            <v>Y</v>
          </cell>
          <cell r="E1592" t="str">
            <v>A</v>
          </cell>
          <cell r="F1592" t="str">
            <v>12/19/1997</v>
          </cell>
        </row>
        <row r="1593">
          <cell r="B1593" t="str">
            <v>A0573</v>
          </cell>
          <cell r="C1593" t="str">
            <v>UEC</v>
          </cell>
          <cell r="D1593" t="str">
            <v>Y</v>
          </cell>
          <cell r="E1593" t="str">
            <v>A</v>
          </cell>
          <cell r="F1593" t="str">
            <v>12/19/1997</v>
          </cell>
        </row>
        <row r="1594">
          <cell r="B1594" t="str">
            <v>A0574</v>
          </cell>
          <cell r="C1594" t="str">
            <v>CIP</v>
          </cell>
          <cell r="D1594" t="str">
            <v>Y</v>
          </cell>
          <cell r="E1594" t="str">
            <v>A</v>
          </cell>
          <cell r="F1594" t="str">
            <v>12/19/1997</v>
          </cell>
        </row>
        <row r="1595">
          <cell r="B1595" t="str">
            <v>A0580</v>
          </cell>
          <cell r="C1595" t="str">
            <v>CIP</v>
          </cell>
          <cell r="D1595" t="str">
            <v>Y</v>
          </cell>
          <cell r="E1595" t="str">
            <v>A</v>
          </cell>
          <cell r="F1595" t="str">
            <v>12/19/1997</v>
          </cell>
        </row>
        <row r="1596">
          <cell r="B1596" t="str">
            <v>A0593</v>
          </cell>
          <cell r="C1596" t="str">
            <v>003A</v>
          </cell>
          <cell r="D1596" t="str">
            <v>Y</v>
          </cell>
          <cell r="E1596" t="str">
            <v>A</v>
          </cell>
          <cell r="F1596" t="str">
            <v>12/22/1997</v>
          </cell>
        </row>
        <row r="1597">
          <cell r="B1597" t="str">
            <v>A0594</v>
          </cell>
          <cell r="C1597" t="str">
            <v>003A</v>
          </cell>
          <cell r="D1597" t="str">
            <v>Y</v>
          </cell>
          <cell r="E1597" t="str">
            <v>A</v>
          </cell>
          <cell r="F1597" t="str">
            <v>12/22/1997</v>
          </cell>
        </row>
        <row r="1598">
          <cell r="B1598" t="str">
            <v>A0596</v>
          </cell>
          <cell r="C1598"/>
          <cell r="D1598" t="str">
            <v>Y</v>
          </cell>
          <cell r="E1598" t="str">
            <v>A</v>
          </cell>
          <cell r="F1598" t="str">
            <v>12/23/1997</v>
          </cell>
        </row>
        <row r="1599">
          <cell r="B1599" t="str">
            <v>A0600</v>
          </cell>
          <cell r="C1599"/>
          <cell r="D1599" t="str">
            <v>Y</v>
          </cell>
          <cell r="E1599" t="str">
            <v>A</v>
          </cell>
          <cell r="F1599" t="str">
            <v>12/23/1997</v>
          </cell>
        </row>
        <row r="1600">
          <cell r="B1600" t="str">
            <v>A0613</v>
          </cell>
          <cell r="C1600" t="str">
            <v>UEC</v>
          </cell>
          <cell r="D1600" t="str">
            <v>Y</v>
          </cell>
          <cell r="E1600" t="str">
            <v>A</v>
          </cell>
          <cell r="F1600" t="str">
            <v>12/29/1997</v>
          </cell>
        </row>
        <row r="1601">
          <cell r="B1601" t="str">
            <v>A0622</v>
          </cell>
          <cell r="C1601"/>
          <cell r="D1601" t="str">
            <v>Y</v>
          </cell>
          <cell r="E1601" t="str">
            <v>A</v>
          </cell>
          <cell r="F1601" t="str">
            <v>08/22/1998</v>
          </cell>
        </row>
        <row r="1602">
          <cell r="B1602" t="str">
            <v>A0623</v>
          </cell>
          <cell r="C1602"/>
          <cell r="D1602" t="str">
            <v>Y</v>
          </cell>
          <cell r="E1602" t="str">
            <v>A</v>
          </cell>
          <cell r="F1602" t="str">
            <v>08/22/1998</v>
          </cell>
        </row>
        <row r="1603">
          <cell r="B1603" t="str">
            <v>A0624</v>
          </cell>
          <cell r="C1603"/>
          <cell r="D1603" t="str">
            <v>Y</v>
          </cell>
          <cell r="E1603" t="str">
            <v>A</v>
          </cell>
          <cell r="F1603" t="str">
            <v>08/22/1998</v>
          </cell>
        </row>
        <row r="1604">
          <cell r="B1604" t="str">
            <v>A0625</v>
          </cell>
          <cell r="C1604" t="str">
            <v>016A</v>
          </cell>
          <cell r="D1604" t="str">
            <v>Y</v>
          </cell>
          <cell r="E1604" t="str">
            <v>A</v>
          </cell>
          <cell r="F1604" t="str">
            <v>08/25/1998</v>
          </cell>
        </row>
        <row r="1605">
          <cell r="B1605" t="str">
            <v>A0629</v>
          </cell>
          <cell r="C1605"/>
          <cell r="D1605" t="str">
            <v>Y</v>
          </cell>
          <cell r="E1605" t="str">
            <v>A</v>
          </cell>
          <cell r="F1605" t="str">
            <v>12/29/1997</v>
          </cell>
        </row>
        <row r="1606">
          <cell r="B1606" t="str">
            <v>A0631</v>
          </cell>
          <cell r="C1606"/>
          <cell r="D1606" t="str">
            <v>Y</v>
          </cell>
          <cell r="E1606" t="str">
            <v>A</v>
          </cell>
          <cell r="F1606" t="str">
            <v>12/29/1997</v>
          </cell>
        </row>
        <row r="1607">
          <cell r="B1607" t="str">
            <v>A0633</v>
          </cell>
          <cell r="C1607" t="str">
            <v>UEC</v>
          </cell>
          <cell r="D1607" t="str">
            <v>Y</v>
          </cell>
          <cell r="E1607" t="str">
            <v>A</v>
          </cell>
          <cell r="F1607" t="str">
            <v>12/29/1997</v>
          </cell>
        </row>
        <row r="1608">
          <cell r="B1608" t="str">
            <v>A0647</v>
          </cell>
          <cell r="C1608" t="str">
            <v>CIP</v>
          </cell>
          <cell r="D1608" t="str">
            <v>Y</v>
          </cell>
          <cell r="E1608" t="str">
            <v>A</v>
          </cell>
          <cell r="F1608" t="str">
            <v>12/30/1997</v>
          </cell>
        </row>
        <row r="1609">
          <cell r="B1609" t="str">
            <v>A0648</v>
          </cell>
          <cell r="C1609" t="str">
            <v>UEC</v>
          </cell>
          <cell r="D1609" t="str">
            <v>Y</v>
          </cell>
          <cell r="E1609" t="str">
            <v>A</v>
          </cell>
          <cell r="F1609" t="str">
            <v>12/30/1997</v>
          </cell>
        </row>
        <row r="1610">
          <cell r="B1610" t="str">
            <v>A0654</v>
          </cell>
          <cell r="C1610" t="str">
            <v>UEC</v>
          </cell>
          <cell r="D1610" t="str">
            <v>Y</v>
          </cell>
          <cell r="E1610" t="str">
            <v>A</v>
          </cell>
          <cell r="F1610" t="str">
            <v>12/30/1997</v>
          </cell>
        </row>
        <row r="1611">
          <cell r="B1611" t="str">
            <v>A0657</v>
          </cell>
          <cell r="C1611" t="str">
            <v>CIP</v>
          </cell>
          <cell r="D1611" t="str">
            <v>Y</v>
          </cell>
          <cell r="E1611" t="str">
            <v>A</v>
          </cell>
          <cell r="F1611" t="str">
            <v>12/30/1997</v>
          </cell>
        </row>
        <row r="1612">
          <cell r="B1612" t="str">
            <v>A0662</v>
          </cell>
          <cell r="C1612" t="str">
            <v>UDC</v>
          </cell>
          <cell r="D1612" t="str">
            <v>Y</v>
          </cell>
          <cell r="E1612" t="str">
            <v>A</v>
          </cell>
          <cell r="F1612" t="str">
            <v>12/30/1997</v>
          </cell>
        </row>
        <row r="1613">
          <cell r="B1613" t="str">
            <v>A0664</v>
          </cell>
          <cell r="C1613" t="str">
            <v>002F</v>
          </cell>
          <cell r="D1613" t="str">
            <v>Y</v>
          </cell>
          <cell r="E1613" t="str">
            <v>A</v>
          </cell>
          <cell r="F1613" t="str">
            <v>01/11/1999</v>
          </cell>
        </row>
        <row r="1614">
          <cell r="B1614" t="str">
            <v>A0669</v>
          </cell>
          <cell r="C1614" t="str">
            <v>UEC</v>
          </cell>
          <cell r="D1614" t="str">
            <v>Y</v>
          </cell>
          <cell r="E1614" t="str">
            <v>A</v>
          </cell>
          <cell r="F1614" t="str">
            <v>12/30/1997</v>
          </cell>
        </row>
        <row r="1615">
          <cell r="B1615" t="str">
            <v>A0671</v>
          </cell>
          <cell r="C1615" t="str">
            <v>CIP</v>
          </cell>
          <cell r="D1615" t="str">
            <v>Y</v>
          </cell>
          <cell r="E1615" t="str">
            <v>A</v>
          </cell>
          <cell r="F1615" t="str">
            <v>12/30/1997</v>
          </cell>
        </row>
        <row r="1616">
          <cell r="B1616" t="str">
            <v>A0673</v>
          </cell>
          <cell r="C1616" t="str">
            <v>UEC</v>
          </cell>
          <cell r="D1616" t="str">
            <v>Y</v>
          </cell>
          <cell r="E1616" t="str">
            <v>A</v>
          </cell>
          <cell r="F1616" t="str">
            <v>12/31/1997</v>
          </cell>
        </row>
        <row r="1617">
          <cell r="B1617" t="str">
            <v>A0674</v>
          </cell>
          <cell r="C1617" t="str">
            <v>UEC</v>
          </cell>
          <cell r="D1617" t="str">
            <v>Y</v>
          </cell>
          <cell r="E1617" t="str">
            <v>A</v>
          </cell>
          <cell r="F1617" t="str">
            <v>12/31/1997</v>
          </cell>
        </row>
        <row r="1618">
          <cell r="B1618" t="str">
            <v>A0675</v>
          </cell>
          <cell r="C1618" t="str">
            <v>CIP</v>
          </cell>
          <cell r="D1618" t="str">
            <v>Y</v>
          </cell>
          <cell r="E1618" t="str">
            <v>A</v>
          </cell>
          <cell r="F1618" t="str">
            <v>12/31/1997</v>
          </cell>
        </row>
        <row r="1619">
          <cell r="B1619" t="str">
            <v>A0676</v>
          </cell>
          <cell r="C1619" t="str">
            <v>UEC</v>
          </cell>
          <cell r="D1619" t="str">
            <v>Y</v>
          </cell>
          <cell r="E1619" t="str">
            <v>A</v>
          </cell>
          <cell r="F1619" t="str">
            <v>12/31/1997</v>
          </cell>
        </row>
        <row r="1620">
          <cell r="B1620" t="str">
            <v>A0677</v>
          </cell>
          <cell r="C1620" t="str">
            <v>CIP</v>
          </cell>
          <cell r="D1620" t="str">
            <v>Y</v>
          </cell>
          <cell r="E1620" t="str">
            <v>A</v>
          </cell>
          <cell r="F1620" t="str">
            <v>12/31/1997</v>
          </cell>
        </row>
        <row r="1621">
          <cell r="B1621" t="str">
            <v>A0678</v>
          </cell>
          <cell r="C1621" t="str">
            <v>002L</v>
          </cell>
          <cell r="D1621" t="str">
            <v>Y</v>
          </cell>
          <cell r="E1621" t="str">
            <v>A</v>
          </cell>
          <cell r="F1621" t="str">
            <v>12/31/1997</v>
          </cell>
        </row>
        <row r="1622">
          <cell r="B1622" t="str">
            <v>A0679</v>
          </cell>
          <cell r="C1622" t="str">
            <v>UEC</v>
          </cell>
          <cell r="D1622" t="str">
            <v>Y</v>
          </cell>
          <cell r="E1622" t="str">
            <v>A</v>
          </cell>
          <cell r="F1622" t="str">
            <v>12/31/1997</v>
          </cell>
        </row>
        <row r="1623">
          <cell r="B1623" t="str">
            <v>A0680</v>
          </cell>
          <cell r="C1623" t="str">
            <v>UEC</v>
          </cell>
          <cell r="D1623" t="str">
            <v>Y</v>
          </cell>
          <cell r="E1623" t="str">
            <v>A</v>
          </cell>
          <cell r="F1623" t="str">
            <v>12/31/1997</v>
          </cell>
        </row>
        <row r="1624">
          <cell r="B1624" t="str">
            <v>A0681</v>
          </cell>
          <cell r="C1624" t="str">
            <v>CIP</v>
          </cell>
          <cell r="D1624" t="str">
            <v>Y</v>
          </cell>
          <cell r="E1624" t="str">
            <v>A</v>
          </cell>
          <cell r="F1624" t="str">
            <v>12/31/1997</v>
          </cell>
        </row>
        <row r="1625">
          <cell r="B1625" t="str">
            <v>A0682</v>
          </cell>
          <cell r="C1625" t="str">
            <v>UEC</v>
          </cell>
          <cell r="D1625" t="str">
            <v>Y</v>
          </cell>
          <cell r="E1625" t="str">
            <v>A</v>
          </cell>
          <cell r="F1625" t="str">
            <v>12/31/1997</v>
          </cell>
        </row>
        <row r="1626">
          <cell r="B1626" t="str">
            <v>A0683</v>
          </cell>
          <cell r="C1626" t="str">
            <v>UEC</v>
          </cell>
          <cell r="D1626" t="str">
            <v>Y</v>
          </cell>
          <cell r="E1626" t="str">
            <v>A</v>
          </cell>
          <cell r="F1626" t="str">
            <v>12/31/1997</v>
          </cell>
        </row>
        <row r="1627">
          <cell r="B1627" t="str">
            <v>A0684</v>
          </cell>
          <cell r="C1627" t="str">
            <v>CIP</v>
          </cell>
          <cell r="D1627" t="str">
            <v>Y</v>
          </cell>
          <cell r="E1627" t="str">
            <v>A</v>
          </cell>
          <cell r="F1627" t="str">
            <v>12/31/1997</v>
          </cell>
        </row>
        <row r="1628">
          <cell r="B1628" t="str">
            <v>A0685</v>
          </cell>
          <cell r="C1628" t="str">
            <v>UEC</v>
          </cell>
          <cell r="D1628" t="str">
            <v>N</v>
          </cell>
          <cell r="E1628" t="str">
            <v>A</v>
          </cell>
          <cell r="F1628" t="str">
            <v>12/31/1997</v>
          </cell>
        </row>
        <row r="1629">
          <cell r="B1629" t="str">
            <v>A0686</v>
          </cell>
          <cell r="C1629" t="str">
            <v>UEC</v>
          </cell>
          <cell r="D1629" t="str">
            <v>N</v>
          </cell>
          <cell r="E1629" t="str">
            <v>A</v>
          </cell>
          <cell r="F1629" t="str">
            <v>12/31/1997</v>
          </cell>
        </row>
        <row r="1630">
          <cell r="B1630" t="str">
            <v>A0687</v>
          </cell>
          <cell r="C1630" t="str">
            <v>UEC</v>
          </cell>
          <cell r="D1630" t="str">
            <v>N</v>
          </cell>
          <cell r="E1630" t="str">
            <v>A</v>
          </cell>
          <cell r="F1630" t="str">
            <v>12/31/1997</v>
          </cell>
        </row>
        <row r="1631">
          <cell r="B1631" t="str">
            <v>A0688</v>
          </cell>
          <cell r="C1631" t="str">
            <v>UEC</v>
          </cell>
          <cell r="D1631" t="str">
            <v>N</v>
          </cell>
          <cell r="E1631" t="str">
            <v>A</v>
          </cell>
          <cell r="F1631" t="str">
            <v>12/31/1997</v>
          </cell>
        </row>
        <row r="1632">
          <cell r="B1632" t="str">
            <v>A0689</v>
          </cell>
          <cell r="C1632" t="str">
            <v>UEC</v>
          </cell>
          <cell r="D1632" t="str">
            <v>N</v>
          </cell>
          <cell r="E1632" t="str">
            <v>A</v>
          </cell>
          <cell r="F1632" t="str">
            <v>12/31/1997</v>
          </cell>
        </row>
        <row r="1633">
          <cell r="B1633" t="str">
            <v>A0690</v>
          </cell>
          <cell r="C1633" t="str">
            <v>UEC</v>
          </cell>
          <cell r="D1633" t="str">
            <v>N</v>
          </cell>
          <cell r="E1633" t="str">
            <v>A</v>
          </cell>
          <cell r="F1633" t="str">
            <v>12/31/1997</v>
          </cell>
        </row>
        <row r="1634">
          <cell r="B1634" t="str">
            <v>A0691</v>
          </cell>
          <cell r="C1634" t="str">
            <v>GEN</v>
          </cell>
          <cell r="D1634" t="str">
            <v>N</v>
          </cell>
          <cell r="E1634" t="str">
            <v>A</v>
          </cell>
          <cell r="F1634" t="str">
            <v>01/02/1998</v>
          </cell>
        </row>
        <row r="1635">
          <cell r="B1635" t="str">
            <v>A0692</v>
          </cell>
          <cell r="C1635" t="str">
            <v>GEN</v>
          </cell>
          <cell r="D1635" t="str">
            <v>N</v>
          </cell>
          <cell r="E1635" t="str">
            <v>A</v>
          </cell>
          <cell r="F1635" t="str">
            <v>01/02/1998</v>
          </cell>
        </row>
        <row r="1636">
          <cell r="B1636" t="str">
            <v>A0693</v>
          </cell>
          <cell r="C1636" t="str">
            <v>GEN</v>
          </cell>
          <cell r="D1636" t="str">
            <v>N</v>
          </cell>
          <cell r="E1636" t="str">
            <v>A</v>
          </cell>
          <cell r="F1636" t="str">
            <v>01/02/1998</v>
          </cell>
        </row>
        <row r="1637">
          <cell r="B1637" t="str">
            <v>A0694</v>
          </cell>
          <cell r="C1637" t="str">
            <v>GEN</v>
          </cell>
          <cell r="D1637" t="str">
            <v>N</v>
          </cell>
          <cell r="E1637" t="str">
            <v>A</v>
          </cell>
          <cell r="F1637" t="str">
            <v>01/02/1998</v>
          </cell>
        </row>
        <row r="1638">
          <cell r="B1638" t="str">
            <v>A0695</v>
          </cell>
          <cell r="C1638" t="str">
            <v>GEN</v>
          </cell>
          <cell r="D1638" t="str">
            <v>N</v>
          </cell>
          <cell r="E1638" t="str">
            <v>A</v>
          </cell>
          <cell r="F1638" t="str">
            <v>01/02/1998</v>
          </cell>
        </row>
        <row r="1639">
          <cell r="B1639" t="str">
            <v>A0696</v>
          </cell>
          <cell r="C1639" t="str">
            <v>UEC</v>
          </cell>
          <cell r="D1639" t="str">
            <v>Y</v>
          </cell>
          <cell r="E1639" t="str">
            <v>A</v>
          </cell>
          <cell r="F1639" t="str">
            <v>01/02/1998</v>
          </cell>
        </row>
        <row r="1640">
          <cell r="B1640" t="str">
            <v>A0697</v>
          </cell>
          <cell r="C1640" t="str">
            <v>CIP</v>
          </cell>
          <cell r="D1640" t="str">
            <v>Y</v>
          </cell>
          <cell r="E1640" t="str">
            <v>A</v>
          </cell>
          <cell r="F1640" t="str">
            <v>01/02/1998</v>
          </cell>
        </row>
        <row r="1641">
          <cell r="B1641" t="str">
            <v>A0698</v>
          </cell>
          <cell r="C1641" t="str">
            <v>001G</v>
          </cell>
          <cell r="D1641" t="str">
            <v>Y</v>
          </cell>
          <cell r="E1641" t="str">
            <v>A</v>
          </cell>
          <cell r="F1641" t="str">
            <v>02/05/2001</v>
          </cell>
        </row>
        <row r="1642">
          <cell r="B1642" t="str">
            <v>A0699</v>
          </cell>
          <cell r="C1642" t="str">
            <v>017C</v>
          </cell>
          <cell r="D1642" t="str">
            <v>Y</v>
          </cell>
          <cell r="E1642" t="str">
            <v>A</v>
          </cell>
          <cell r="F1642" t="str">
            <v>01/02/1998</v>
          </cell>
        </row>
        <row r="1643">
          <cell r="B1643" t="str">
            <v>A0700</v>
          </cell>
          <cell r="C1643" t="str">
            <v>CIC</v>
          </cell>
          <cell r="D1643" t="str">
            <v>Y</v>
          </cell>
          <cell r="E1643" t="str">
            <v>A</v>
          </cell>
          <cell r="F1643" t="str">
            <v>01/02/1998</v>
          </cell>
        </row>
        <row r="1644">
          <cell r="B1644" t="str">
            <v>A0701</v>
          </cell>
          <cell r="C1644" t="str">
            <v>UEC</v>
          </cell>
          <cell r="D1644" t="str">
            <v>Y</v>
          </cell>
          <cell r="E1644" t="str">
            <v>A</v>
          </cell>
          <cell r="F1644" t="str">
            <v>01/02/1998</v>
          </cell>
        </row>
        <row r="1645">
          <cell r="B1645" t="str">
            <v>A0702</v>
          </cell>
          <cell r="C1645" t="str">
            <v>CIP</v>
          </cell>
          <cell r="D1645" t="str">
            <v>Y</v>
          </cell>
          <cell r="E1645" t="str">
            <v>A</v>
          </cell>
          <cell r="F1645" t="str">
            <v>01/02/1998</v>
          </cell>
        </row>
        <row r="1646">
          <cell r="B1646" t="str">
            <v>A0703</v>
          </cell>
          <cell r="C1646" t="str">
            <v>UDC</v>
          </cell>
          <cell r="D1646" t="str">
            <v>Y</v>
          </cell>
          <cell r="E1646" t="str">
            <v>A</v>
          </cell>
          <cell r="F1646" t="str">
            <v>01/02/1998</v>
          </cell>
        </row>
        <row r="1647">
          <cell r="B1647" t="str">
            <v>A0705</v>
          </cell>
          <cell r="C1647" t="str">
            <v>007A</v>
          </cell>
          <cell r="D1647" t="str">
            <v>Y</v>
          </cell>
          <cell r="E1647" t="str">
            <v>A</v>
          </cell>
          <cell r="F1647" t="str">
            <v>01/02/1998</v>
          </cell>
        </row>
        <row r="1648">
          <cell r="B1648" t="str">
            <v>A0706</v>
          </cell>
          <cell r="C1648" t="str">
            <v>UEC</v>
          </cell>
          <cell r="D1648" t="str">
            <v>Y</v>
          </cell>
          <cell r="E1648" t="str">
            <v>A</v>
          </cell>
          <cell r="F1648" t="str">
            <v>01/02/1998</v>
          </cell>
        </row>
        <row r="1649">
          <cell r="B1649" t="str">
            <v>A0707</v>
          </cell>
          <cell r="C1649" t="str">
            <v>CIP</v>
          </cell>
          <cell r="D1649" t="str">
            <v>Y</v>
          </cell>
          <cell r="E1649" t="str">
            <v>A</v>
          </cell>
          <cell r="F1649" t="str">
            <v>01/02/1998</v>
          </cell>
        </row>
        <row r="1650">
          <cell r="B1650" t="str">
            <v>A0708</v>
          </cell>
          <cell r="C1650" t="str">
            <v>AEC</v>
          </cell>
          <cell r="D1650" t="str">
            <v>Y</v>
          </cell>
          <cell r="E1650" t="str">
            <v>A</v>
          </cell>
          <cell r="F1650" t="str">
            <v>09/18/1998</v>
          </cell>
        </row>
        <row r="1651">
          <cell r="B1651" t="str">
            <v>A0709</v>
          </cell>
          <cell r="C1651" t="str">
            <v>CIC</v>
          </cell>
          <cell r="D1651" t="str">
            <v>Y</v>
          </cell>
          <cell r="E1651" t="str">
            <v>A</v>
          </cell>
          <cell r="F1651" t="str">
            <v>01/02/1998</v>
          </cell>
        </row>
        <row r="1652">
          <cell r="B1652" t="str">
            <v>A0710</v>
          </cell>
          <cell r="C1652" t="str">
            <v>004A</v>
          </cell>
          <cell r="D1652" t="str">
            <v>Y</v>
          </cell>
          <cell r="E1652" t="str">
            <v>A</v>
          </cell>
          <cell r="F1652" t="str">
            <v>01/02/1998</v>
          </cell>
        </row>
        <row r="1653">
          <cell r="B1653" t="str">
            <v>A0711</v>
          </cell>
          <cell r="C1653" t="str">
            <v>UEC</v>
          </cell>
          <cell r="D1653" t="str">
            <v>Y</v>
          </cell>
          <cell r="E1653" t="str">
            <v>A</v>
          </cell>
          <cell r="F1653" t="str">
            <v>01/02/1998</v>
          </cell>
        </row>
        <row r="1654">
          <cell r="B1654" t="str">
            <v>A0712</v>
          </cell>
          <cell r="C1654" t="str">
            <v>CIP</v>
          </cell>
          <cell r="D1654" t="str">
            <v>Y</v>
          </cell>
          <cell r="E1654" t="str">
            <v>A</v>
          </cell>
          <cell r="F1654" t="str">
            <v>01/02/1998</v>
          </cell>
        </row>
        <row r="1655">
          <cell r="B1655" t="str">
            <v>A0713</v>
          </cell>
          <cell r="C1655" t="str">
            <v>ERC</v>
          </cell>
          <cell r="D1655" t="str">
            <v>Y</v>
          </cell>
          <cell r="E1655" t="str">
            <v>A</v>
          </cell>
          <cell r="F1655" t="str">
            <v>09/18/1998</v>
          </cell>
        </row>
        <row r="1656">
          <cell r="B1656" t="str">
            <v>A0714</v>
          </cell>
          <cell r="C1656" t="str">
            <v>CIC</v>
          </cell>
          <cell r="D1656" t="str">
            <v>Y</v>
          </cell>
          <cell r="E1656" t="str">
            <v>A</v>
          </cell>
          <cell r="F1656" t="str">
            <v>01/02/1998</v>
          </cell>
        </row>
        <row r="1657">
          <cell r="B1657" t="str">
            <v>A0715</v>
          </cell>
          <cell r="C1657" t="str">
            <v>UEC</v>
          </cell>
          <cell r="D1657" t="str">
            <v>Y</v>
          </cell>
          <cell r="E1657" t="str">
            <v>A</v>
          </cell>
          <cell r="F1657" t="str">
            <v>01/02/1998</v>
          </cell>
        </row>
        <row r="1658">
          <cell r="B1658" t="str">
            <v>A0720</v>
          </cell>
          <cell r="C1658" t="str">
            <v>UEC</v>
          </cell>
          <cell r="D1658" t="str">
            <v>Y</v>
          </cell>
          <cell r="E1658" t="str">
            <v>A</v>
          </cell>
          <cell r="F1658" t="str">
            <v>01/02/1998</v>
          </cell>
        </row>
        <row r="1659">
          <cell r="B1659" t="str">
            <v>A0721</v>
          </cell>
          <cell r="C1659" t="str">
            <v>CIP</v>
          </cell>
          <cell r="D1659" t="str">
            <v>Y</v>
          </cell>
          <cell r="E1659" t="str">
            <v>I</v>
          </cell>
          <cell r="F1659" t="str">
            <v>01/05/1998</v>
          </cell>
        </row>
        <row r="1660">
          <cell r="B1660" t="str">
            <v>A0722</v>
          </cell>
          <cell r="C1660" t="str">
            <v>002D</v>
          </cell>
          <cell r="D1660" t="str">
            <v>Y</v>
          </cell>
          <cell r="E1660" t="str">
            <v>A</v>
          </cell>
          <cell r="F1660" t="str">
            <v>01/05/1998</v>
          </cell>
        </row>
        <row r="1661">
          <cell r="B1661" t="str">
            <v>A0723</v>
          </cell>
          <cell r="C1661"/>
          <cell r="D1661" t="str">
            <v>Y</v>
          </cell>
          <cell r="E1661" t="str">
            <v>I</v>
          </cell>
          <cell r="F1661" t="str">
            <v>01/05/1998</v>
          </cell>
        </row>
        <row r="1662">
          <cell r="B1662" t="str">
            <v>A0726</v>
          </cell>
          <cell r="C1662" t="str">
            <v>011B</v>
          </cell>
          <cell r="D1662" t="str">
            <v>N</v>
          </cell>
          <cell r="E1662" t="str">
            <v>A</v>
          </cell>
          <cell r="F1662" t="str">
            <v>01/06/1998</v>
          </cell>
        </row>
        <row r="1663">
          <cell r="B1663" t="str">
            <v>A0727</v>
          </cell>
          <cell r="C1663" t="str">
            <v>CIP</v>
          </cell>
          <cell r="D1663" t="str">
            <v>Y</v>
          </cell>
          <cell r="E1663" t="str">
            <v>A</v>
          </cell>
          <cell r="F1663" t="str">
            <v>01/06/1998</v>
          </cell>
        </row>
        <row r="1664">
          <cell r="B1664" t="str">
            <v>A0728</v>
          </cell>
          <cell r="C1664" t="str">
            <v>012D</v>
          </cell>
          <cell r="D1664" t="str">
            <v>Y</v>
          </cell>
          <cell r="E1664" t="str">
            <v>A</v>
          </cell>
          <cell r="F1664" t="str">
            <v>01/07/1998</v>
          </cell>
        </row>
        <row r="1665">
          <cell r="B1665" t="str">
            <v>A0729</v>
          </cell>
          <cell r="C1665" t="str">
            <v>UEC</v>
          </cell>
          <cell r="D1665" t="str">
            <v>Y</v>
          </cell>
          <cell r="E1665" t="str">
            <v>A</v>
          </cell>
          <cell r="F1665" t="str">
            <v>01/07/1998</v>
          </cell>
        </row>
        <row r="1666">
          <cell r="B1666" t="str">
            <v>A0730</v>
          </cell>
          <cell r="C1666" t="str">
            <v>UEC</v>
          </cell>
          <cell r="D1666" t="str">
            <v>N</v>
          </cell>
          <cell r="E1666" t="str">
            <v>A</v>
          </cell>
          <cell r="F1666" t="str">
            <v>01/08/1998</v>
          </cell>
        </row>
        <row r="1667">
          <cell r="B1667" t="str">
            <v>A0731</v>
          </cell>
          <cell r="C1667" t="str">
            <v>AME</v>
          </cell>
          <cell r="D1667" t="str">
            <v>Y</v>
          </cell>
          <cell r="E1667" t="str">
            <v>A</v>
          </cell>
          <cell r="F1667" t="str">
            <v>09/18/1998</v>
          </cell>
        </row>
        <row r="1668">
          <cell r="B1668" t="str">
            <v>A0732</v>
          </cell>
          <cell r="C1668" t="str">
            <v>002A</v>
          </cell>
          <cell r="D1668" t="str">
            <v>Y</v>
          </cell>
          <cell r="E1668" t="str">
            <v>A</v>
          </cell>
          <cell r="F1668" t="str">
            <v>01/08/1998</v>
          </cell>
        </row>
        <row r="1669">
          <cell r="B1669" t="str">
            <v>A0733</v>
          </cell>
          <cell r="C1669" t="str">
            <v>002A</v>
          </cell>
          <cell r="D1669" t="str">
            <v>Y</v>
          </cell>
          <cell r="E1669" t="str">
            <v>A</v>
          </cell>
          <cell r="F1669" t="str">
            <v>10/14/1998</v>
          </cell>
        </row>
        <row r="1670">
          <cell r="B1670" t="str">
            <v>A0734</v>
          </cell>
          <cell r="C1670" t="str">
            <v>UEC</v>
          </cell>
          <cell r="D1670" t="str">
            <v>Y</v>
          </cell>
          <cell r="E1670" t="str">
            <v>A</v>
          </cell>
          <cell r="F1670" t="str">
            <v>01/08/1998</v>
          </cell>
        </row>
        <row r="1671">
          <cell r="B1671" t="str">
            <v>A0736</v>
          </cell>
          <cell r="C1671"/>
          <cell r="D1671" t="str">
            <v>Y</v>
          </cell>
          <cell r="E1671" t="str">
            <v>A</v>
          </cell>
          <cell r="F1671" t="str">
            <v>10/15/1998</v>
          </cell>
        </row>
        <row r="1672">
          <cell r="B1672" t="str">
            <v>A0737</v>
          </cell>
          <cell r="C1672" t="str">
            <v>CIP</v>
          </cell>
          <cell r="D1672" t="str">
            <v>Y</v>
          </cell>
          <cell r="E1672" t="str">
            <v>A</v>
          </cell>
          <cell r="F1672" t="str">
            <v>01/08/1998</v>
          </cell>
        </row>
        <row r="1673">
          <cell r="B1673" t="str">
            <v>A0738</v>
          </cell>
          <cell r="C1673" t="str">
            <v>AME</v>
          </cell>
          <cell r="D1673" t="str">
            <v>Y</v>
          </cell>
          <cell r="E1673" t="str">
            <v>A</v>
          </cell>
          <cell r="F1673" t="str">
            <v>10/16/1998</v>
          </cell>
        </row>
        <row r="1674">
          <cell r="B1674" t="str">
            <v>A0740</v>
          </cell>
          <cell r="C1674" t="str">
            <v>AMC</v>
          </cell>
          <cell r="D1674" t="str">
            <v>Y</v>
          </cell>
          <cell r="E1674" t="str">
            <v>A</v>
          </cell>
          <cell r="F1674" t="str">
            <v>01/08/1998</v>
          </cell>
        </row>
        <row r="1675">
          <cell r="B1675" t="str">
            <v>A0741</v>
          </cell>
          <cell r="C1675" t="str">
            <v>UEC</v>
          </cell>
          <cell r="D1675" t="str">
            <v>Y</v>
          </cell>
          <cell r="E1675" t="str">
            <v>A</v>
          </cell>
          <cell r="F1675" t="str">
            <v>01/08/1998</v>
          </cell>
        </row>
        <row r="1676">
          <cell r="B1676" t="str">
            <v>A0742</v>
          </cell>
          <cell r="C1676"/>
          <cell r="D1676" t="str">
            <v>Y</v>
          </cell>
          <cell r="E1676" t="str">
            <v>A</v>
          </cell>
          <cell r="F1676" t="str">
            <v>10/22/1998</v>
          </cell>
        </row>
        <row r="1677">
          <cell r="B1677" t="str">
            <v>A0743</v>
          </cell>
          <cell r="C1677" t="str">
            <v>CIP</v>
          </cell>
          <cell r="D1677" t="str">
            <v>Y</v>
          </cell>
          <cell r="E1677" t="str">
            <v>A</v>
          </cell>
          <cell r="F1677" t="str">
            <v>01/08/1998</v>
          </cell>
        </row>
        <row r="1678">
          <cell r="B1678" t="str">
            <v>A0744</v>
          </cell>
          <cell r="C1678" t="str">
            <v>004A</v>
          </cell>
          <cell r="D1678" t="str">
            <v>Y</v>
          </cell>
          <cell r="E1678" t="str">
            <v>A</v>
          </cell>
          <cell r="F1678" t="str">
            <v>01/08/1998</v>
          </cell>
        </row>
        <row r="1679">
          <cell r="B1679" t="str">
            <v>A0745</v>
          </cell>
          <cell r="C1679" t="str">
            <v>GEN</v>
          </cell>
          <cell r="D1679" t="str">
            <v>Y</v>
          </cell>
          <cell r="E1679" t="str">
            <v>A</v>
          </cell>
          <cell r="F1679" t="str">
            <v>10/26/1998</v>
          </cell>
        </row>
        <row r="1680">
          <cell r="B1680" t="str">
            <v>A0746</v>
          </cell>
          <cell r="C1680" t="str">
            <v>UEC</v>
          </cell>
          <cell r="D1680" t="str">
            <v>Y</v>
          </cell>
          <cell r="E1680" t="str">
            <v>A</v>
          </cell>
          <cell r="F1680" t="str">
            <v>01/08/1998</v>
          </cell>
        </row>
        <row r="1681">
          <cell r="B1681" t="str">
            <v>A0748</v>
          </cell>
          <cell r="C1681" t="str">
            <v>CIP</v>
          </cell>
          <cell r="D1681" t="str">
            <v>Y</v>
          </cell>
          <cell r="E1681" t="str">
            <v>A</v>
          </cell>
          <cell r="F1681" t="str">
            <v>01/08/1998</v>
          </cell>
        </row>
        <row r="1682">
          <cell r="B1682" t="str">
            <v>A0749</v>
          </cell>
          <cell r="C1682" t="str">
            <v>002A</v>
          </cell>
          <cell r="D1682" t="str">
            <v>Y</v>
          </cell>
          <cell r="E1682" t="str">
            <v>A</v>
          </cell>
          <cell r="F1682" t="str">
            <v>01/08/1998</v>
          </cell>
        </row>
        <row r="1683">
          <cell r="B1683" t="str">
            <v>A0750</v>
          </cell>
          <cell r="C1683"/>
          <cell r="D1683" t="str">
            <v>Y</v>
          </cell>
          <cell r="E1683" t="str">
            <v>A</v>
          </cell>
          <cell r="F1683" t="str">
            <v>01/08/1998</v>
          </cell>
        </row>
        <row r="1684">
          <cell r="B1684" t="str">
            <v>A0751</v>
          </cell>
          <cell r="C1684" t="str">
            <v>UEC</v>
          </cell>
          <cell r="D1684" t="str">
            <v>Y</v>
          </cell>
          <cell r="E1684" t="str">
            <v>A</v>
          </cell>
          <cell r="F1684" t="str">
            <v>01/09/1998</v>
          </cell>
        </row>
        <row r="1685">
          <cell r="B1685" t="str">
            <v>A0752</v>
          </cell>
          <cell r="C1685" t="str">
            <v>CIP</v>
          </cell>
          <cell r="D1685" t="str">
            <v>N</v>
          </cell>
          <cell r="E1685" t="str">
            <v>A</v>
          </cell>
          <cell r="F1685" t="str">
            <v>01/09/1998</v>
          </cell>
        </row>
        <row r="1686">
          <cell r="B1686" t="str">
            <v>A0753</v>
          </cell>
          <cell r="C1686" t="str">
            <v>UEC</v>
          </cell>
          <cell r="D1686" t="str">
            <v>Y</v>
          </cell>
          <cell r="E1686" t="str">
            <v>A</v>
          </cell>
          <cell r="F1686" t="str">
            <v>10/30/1998</v>
          </cell>
        </row>
        <row r="1687">
          <cell r="B1687" t="str">
            <v>A0754</v>
          </cell>
          <cell r="C1687" t="str">
            <v>001A</v>
          </cell>
          <cell r="D1687" t="str">
            <v>N</v>
          </cell>
          <cell r="E1687" t="str">
            <v>A</v>
          </cell>
          <cell r="F1687" t="str">
            <v>01/09/1998</v>
          </cell>
        </row>
        <row r="1688">
          <cell r="B1688" t="str">
            <v>A0755</v>
          </cell>
          <cell r="C1688" t="str">
            <v>UEC</v>
          </cell>
          <cell r="D1688" t="str">
            <v>N</v>
          </cell>
          <cell r="E1688" t="str">
            <v>A</v>
          </cell>
          <cell r="F1688" t="str">
            <v>01/09/1998</v>
          </cell>
        </row>
        <row r="1689">
          <cell r="B1689" t="str">
            <v>A0756</v>
          </cell>
          <cell r="C1689" t="str">
            <v>UEC</v>
          </cell>
          <cell r="D1689" t="str">
            <v>Y</v>
          </cell>
          <cell r="E1689" t="str">
            <v>A</v>
          </cell>
          <cell r="F1689" t="str">
            <v>01/09/1998</v>
          </cell>
        </row>
        <row r="1690">
          <cell r="B1690" t="str">
            <v>A0757</v>
          </cell>
          <cell r="C1690" t="str">
            <v>CIP</v>
          </cell>
          <cell r="D1690" t="str">
            <v>Y</v>
          </cell>
          <cell r="E1690" t="str">
            <v>A</v>
          </cell>
          <cell r="F1690" t="str">
            <v>10/30/1998</v>
          </cell>
        </row>
        <row r="1691">
          <cell r="B1691" t="str">
            <v>A0758</v>
          </cell>
          <cell r="C1691" t="str">
            <v>CIP</v>
          </cell>
          <cell r="D1691" t="str">
            <v>N</v>
          </cell>
          <cell r="E1691" t="str">
            <v>A</v>
          </cell>
          <cell r="F1691" t="str">
            <v>01/09/1998</v>
          </cell>
        </row>
        <row r="1692">
          <cell r="B1692" t="str">
            <v>A0759</v>
          </cell>
          <cell r="C1692" t="str">
            <v>002F</v>
          </cell>
          <cell r="D1692" t="str">
            <v>Y</v>
          </cell>
          <cell r="E1692" t="str">
            <v>A</v>
          </cell>
          <cell r="F1692" t="str">
            <v>01/11/1999</v>
          </cell>
        </row>
        <row r="1693">
          <cell r="B1693" t="str">
            <v>A0760</v>
          </cell>
          <cell r="C1693" t="str">
            <v>ERC</v>
          </cell>
          <cell r="D1693" t="str">
            <v>Y</v>
          </cell>
          <cell r="E1693" t="str">
            <v>A</v>
          </cell>
          <cell r="F1693" t="str">
            <v>11/02/1998</v>
          </cell>
        </row>
        <row r="1694">
          <cell r="B1694" t="str">
            <v>A0762</v>
          </cell>
          <cell r="C1694" t="str">
            <v>AME</v>
          </cell>
          <cell r="D1694" t="str">
            <v>Y</v>
          </cell>
          <cell r="E1694" t="str">
            <v>A</v>
          </cell>
          <cell r="F1694" t="str">
            <v>11/03/1998</v>
          </cell>
        </row>
        <row r="1695">
          <cell r="B1695" t="str">
            <v>A0763</v>
          </cell>
          <cell r="C1695" t="str">
            <v>CIP</v>
          </cell>
          <cell r="D1695" t="str">
            <v>Y</v>
          </cell>
          <cell r="E1695" t="str">
            <v>A</v>
          </cell>
          <cell r="F1695" t="str">
            <v>01/09/1998</v>
          </cell>
        </row>
        <row r="1696">
          <cell r="B1696" t="str">
            <v>A0764</v>
          </cell>
          <cell r="C1696" t="str">
            <v>002K</v>
          </cell>
          <cell r="D1696" t="str">
            <v>Y</v>
          </cell>
          <cell r="E1696" t="str">
            <v>A</v>
          </cell>
          <cell r="F1696" t="str">
            <v>01/09/1998</v>
          </cell>
        </row>
        <row r="1697">
          <cell r="B1697" t="str">
            <v>A0767</v>
          </cell>
          <cell r="C1697" t="str">
            <v>UEC</v>
          </cell>
          <cell r="D1697" t="str">
            <v>Y</v>
          </cell>
          <cell r="E1697" t="str">
            <v>A</v>
          </cell>
          <cell r="F1697" t="str">
            <v>01/10/1998</v>
          </cell>
        </row>
        <row r="1698">
          <cell r="B1698" t="str">
            <v>A0768</v>
          </cell>
          <cell r="C1698" t="str">
            <v>CIP</v>
          </cell>
          <cell r="D1698" t="str">
            <v>Y</v>
          </cell>
          <cell r="E1698" t="str">
            <v>A</v>
          </cell>
          <cell r="F1698" t="str">
            <v>01/10/1998</v>
          </cell>
        </row>
        <row r="1699">
          <cell r="B1699" t="str">
            <v>A0769</v>
          </cell>
          <cell r="C1699" t="str">
            <v>002L</v>
          </cell>
          <cell r="D1699" t="str">
            <v>Y</v>
          </cell>
          <cell r="E1699" t="str">
            <v>A</v>
          </cell>
          <cell r="F1699" t="str">
            <v>01/10/1998</v>
          </cell>
        </row>
        <row r="1700">
          <cell r="B1700" t="str">
            <v>A0770</v>
          </cell>
          <cell r="C1700" t="str">
            <v>UEC</v>
          </cell>
          <cell r="D1700" t="str">
            <v>Y</v>
          </cell>
          <cell r="E1700" t="str">
            <v>A</v>
          </cell>
          <cell r="F1700" t="str">
            <v>01/10/1998</v>
          </cell>
        </row>
        <row r="1701">
          <cell r="B1701" t="str">
            <v>A0771</v>
          </cell>
          <cell r="C1701" t="str">
            <v>CIP</v>
          </cell>
          <cell r="D1701" t="str">
            <v>Y</v>
          </cell>
          <cell r="E1701" t="str">
            <v>A</v>
          </cell>
          <cell r="F1701" t="str">
            <v>01/10/1998</v>
          </cell>
        </row>
        <row r="1702">
          <cell r="B1702" t="str">
            <v>A0772</v>
          </cell>
          <cell r="C1702" t="str">
            <v>002A</v>
          </cell>
          <cell r="D1702" t="str">
            <v>Y</v>
          </cell>
          <cell r="E1702" t="str">
            <v>A</v>
          </cell>
          <cell r="F1702" t="str">
            <v>01/10/1998</v>
          </cell>
        </row>
        <row r="1703">
          <cell r="B1703" t="str">
            <v>A0773</v>
          </cell>
          <cell r="C1703" t="str">
            <v>UEC</v>
          </cell>
          <cell r="D1703" t="str">
            <v>Y</v>
          </cell>
          <cell r="E1703" t="str">
            <v>A</v>
          </cell>
          <cell r="F1703" t="str">
            <v>01/10/1998</v>
          </cell>
        </row>
        <row r="1704">
          <cell r="B1704" t="str">
            <v>A0774</v>
          </cell>
          <cell r="C1704" t="str">
            <v>CIP</v>
          </cell>
          <cell r="D1704" t="str">
            <v>Y</v>
          </cell>
          <cell r="E1704" t="str">
            <v>A</v>
          </cell>
          <cell r="F1704" t="str">
            <v>01/10/1998</v>
          </cell>
        </row>
        <row r="1705">
          <cell r="B1705" t="str">
            <v>A0776</v>
          </cell>
          <cell r="C1705" t="str">
            <v>UEC</v>
          </cell>
          <cell r="D1705" t="str">
            <v>Y</v>
          </cell>
          <cell r="E1705" t="str">
            <v>A</v>
          </cell>
          <cell r="F1705" t="str">
            <v>01/10/1998</v>
          </cell>
        </row>
        <row r="1706">
          <cell r="B1706" t="str">
            <v>A0777</v>
          </cell>
          <cell r="C1706" t="str">
            <v>CIP</v>
          </cell>
          <cell r="D1706" t="str">
            <v>Y</v>
          </cell>
          <cell r="E1706" t="str">
            <v>A</v>
          </cell>
          <cell r="F1706" t="str">
            <v>01/10/1998</v>
          </cell>
        </row>
        <row r="1707">
          <cell r="B1707" t="str">
            <v>A0778</v>
          </cell>
          <cell r="C1707" t="str">
            <v>004F</v>
          </cell>
          <cell r="D1707" t="str">
            <v>Y</v>
          </cell>
          <cell r="E1707" t="str">
            <v>A</v>
          </cell>
          <cell r="F1707" t="str">
            <v>01/10/1998</v>
          </cell>
        </row>
        <row r="1708">
          <cell r="B1708" t="str">
            <v>A0779</v>
          </cell>
          <cell r="C1708" t="str">
            <v>AME</v>
          </cell>
          <cell r="D1708" t="str">
            <v>Y</v>
          </cell>
          <cell r="E1708" t="str">
            <v>A</v>
          </cell>
          <cell r="F1708" t="str">
            <v>11/03/1998</v>
          </cell>
        </row>
        <row r="1709">
          <cell r="B1709" t="str">
            <v>A0780</v>
          </cell>
          <cell r="C1709" t="str">
            <v>UEC</v>
          </cell>
          <cell r="D1709" t="str">
            <v>Y</v>
          </cell>
          <cell r="E1709" t="str">
            <v>I</v>
          </cell>
          <cell r="F1709" t="str">
            <v>11/04/1998</v>
          </cell>
        </row>
        <row r="1710">
          <cell r="B1710" t="str">
            <v>A0781</v>
          </cell>
          <cell r="C1710" t="str">
            <v>CIP</v>
          </cell>
          <cell r="D1710" t="str">
            <v>Y</v>
          </cell>
          <cell r="E1710" t="str">
            <v>A</v>
          </cell>
          <cell r="F1710" t="str">
            <v>11/04/1998</v>
          </cell>
        </row>
        <row r="1711">
          <cell r="B1711" t="str">
            <v>A0782</v>
          </cell>
          <cell r="C1711" t="str">
            <v>UEC</v>
          </cell>
          <cell r="D1711" t="str">
            <v>Y</v>
          </cell>
          <cell r="E1711" t="str">
            <v>A</v>
          </cell>
          <cell r="F1711" t="str">
            <v>01/12/1998</v>
          </cell>
        </row>
        <row r="1712">
          <cell r="B1712" t="str">
            <v>A0787</v>
          </cell>
          <cell r="C1712" t="str">
            <v>CIP</v>
          </cell>
          <cell r="D1712" t="str">
            <v>Y</v>
          </cell>
          <cell r="E1712" t="str">
            <v>A</v>
          </cell>
          <cell r="F1712" t="str">
            <v>01/12/1998</v>
          </cell>
        </row>
        <row r="1713">
          <cell r="B1713" t="str">
            <v>A0788</v>
          </cell>
          <cell r="C1713" t="str">
            <v>UEC</v>
          </cell>
          <cell r="D1713" t="str">
            <v>Y</v>
          </cell>
          <cell r="E1713" t="str">
            <v>A</v>
          </cell>
          <cell r="F1713" t="str">
            <v>01/12/1998</v>
          </cell>
        </row>
        <row r="1714">
          <cell r="B1714" t="str">
            <v>A0789</v>
          </cell>
          <cell r="C1714" t="str">
            <v>CIP</v>
          </cell>
          <cell r="D1714" t="str">
            <v>Y</v>
          </cell>
          <cell r="E1714" t="str">
            <v>A</v>
          </cell>
          <cell r="F1714" t="str">
            <v>01/12/1998</v>
          </cell>
        </row>
        <row r="1715">
          <cell r="B1715" t="str">
            <v>A0790</v>
          </cell>
          <cell r="C1715" t="str">
            <v>UDC</v>
          </cell>
          <cell r="D1715" t="str">
            <v>N</v>
          </cell>
          <cell r="E1715" t="str">
            <v>A</v>
          </cell>
          <cell r="F1715" t="str">
            <v>01/12/1998</v>
          </cell>
        </row>
        <row r="1716">
          <cell r="B1716" t="str">
            <v>A0791</v>
          </cell>
          <cell r="C1716" t="str">
            <v>001A</v>
          </cell>
          <cell r="D1716" t="str">
            <v>Y</v>
          </cell>
          <cell r="E1716" t="str">
            <v>A</v>
          </cell>
          <cell r="F1716" t="str">
            <v>01/14/1998</v>
          </cell>
        </row>
        <row r="1717">
          <cell r="B1717" t="str">
            <v>A0792</v>
          </cell>
          <cell r="C1717" t="str">
            <v>017A</v>
          </cell>
          <cell r="D1717" t="str">
            <v>Y</v>
          </cell>
          <cell r="E1717" t="str">
            <v>A</v>
          </cell>
          <cell r="F1717" t="str">
            <v>01/14/1998</v>
          </cell>
        </row>
        <row r="1718">
          <cell r="B1718" t="str">
            <v>A0794</v>
          </cell>
          <cell r="C1718" t="str">
            <v>UEC</v>
          </cell>
          <cell r="D1718" t="str">
            <v>Y</v>
          </cell>
          <cell r="E1718" t="str">
            <v>A</v>
          </cell>
          <cell r="F1718" t="str">
            <v>01/15/1998</v>
          </cell>
        </row>
        <row r="1719">
          <cell r="B1719" t="str">
            <v>A0796</v>
          </cell>
          <cell r="C1719" t="str">
            <v>GEN</v>
          </cell>
          <cell r="D1719" t="str">
            <v>Y</v>
          </cell>
          <cell r="E1719" t="str">
            <v>A</v>
          </cell>
          <cell r="F1719" t="str">
            <v>01/16/1998</v>
          </cell>
        </row>
        <row r="1720">
          <cell r="B1720" t="str">
            <v>A0797</v>
          </cell>
          <cell r="C1720" t="str">
            <v>UEC</v>
          </cell>
          <cell r="D1720" t="str">
            <v>N</v>
          </cell>
          <cell r="E1720" t="str">
            <v>A</v>
          </cell>
          <cell r="F1720" t="str">
            <v>01/20/1998</v>
          </cell>
        </row>
        <row r="1721">
          <cell r="B1721" t="str">
            <v>A0798</v>
          </cell>
          <cell r="C1721" t="str">
            <v>UEC</v>
          </cell>
          <cell r="D1721" t="str">
            <v>Y</v>
          </cell>
          <cell r="E1721" t="str">
            <v>A</v>
          </cell>
          <cell r="F1721" t="str">
            <v>01/20/1998</v>
          </cell>
        </row>
        <row r="1722">
          <cell r="B1722" t="str">
            <v>A0800</v>
          </cell>
          <cell r="C1722" t="str">
            <v>AME</v>
          </cell>
          <cell r="D1722" t="str">
            <v>Y</v>
          </cell>
          <cell r="E1722" t="str">
            <v>A</v>
          </cell>
          <cell r="F1722" t="str">
            <v>11/04/1998</v>
          </cell>
        </row>
        <row r="1723">
          <cell r="B1723" t="str">
            <v>A0802</v>
          </cell>
          <cell r="C1723" t="str">
            <v>AME</v>
          </cell>
          <cell r="D1723" t="str">
            <v>Y</v>
          </cell>
          <cell r="E1723" t="str">
            <v>A</v>
          </cell>
          <cell r="F1723" t="str">
            <v>11/04/1998</v>
          </cell>
        </row>
        <row r="1724">
          <cell r="B1724" t="str">
            <v>A0803</v>
          </cell>
          <cell r="C1724"/>
          <cell r="D1724" t="str">
            <v>Y</v>
          </cell>
          <cell r="E1724" t="str">
            <v>A</v>
          </cell>
          <cell r="F1724" t="str">
            <v>01/22/1998</v>
          </cell>
        </row>
        <row r="1725">
          <cell r="B1725" t="str">
            <v>A0804</v>
          </cell>
          <cell r="C1725" t="str">
            <v>AEC</v>
          </cell>
          <cell r="D1725" t="str">
            <v>Y</v>
          </cell>
          <cell r="E1725" t="str">
            <v>A</v>
          </cell>
          <cell r="F1725" t="str">
            <v>11/04/1998</v>
          </cell>
        </row>
        <row r="1726">
          <cell r="B1726" t="str">
            <v>A0805</v>
          </cell>
          <cell r="C1726" t="str">
            <v>004O</v>
          </cell>
          <cell r="D1726" t="str">
            <v>Y</v>
          </cell>
          <cell r="E1726" t="str">
            <v>A</v>
          </cell>
          <cell r="F1726" t="str">
            <v>01/11/1999</v>
          </cell>
        </row>
        <row r="1727">
          <cell r="B1727" t="str">
            <v>A0807</v>
          </cell>
          <cell r="C1727" t="str">
            <v>001A</v>
          </cell>
          <cell r="D1727" t="str">
            <v>Y</v>
          </cell>
          <cell r="E1727" t="str">
            <v>A</v>
          </cell>
          <cell r="F1727" t="str">
            <v>01/12/1999</v>
          </cell>
        </row>
        <row r="1728">
          <cell r="B1728" t="str">
            <v>A0809</v>
          </cell>
          <cell r="C1728" t="str">
            <v>002L</v>
          </cell>
          <cell r="D1728" t="str">
            <v>Y</v>
          </cell>
          <cell r="E1728" t="str">
            <v>A</v>
          </cell>
          <cell r="F1728" t="str">
            <v>11/05/1998</v>
          </cell>
        </row>
        <row r="1729">
          <cell r="B1729" t="str">
            <v>A0812</v>
          </cell>
          <cell r="C1729" t="str">
            <v>UEC</v>
          </cell>
          <cell r="D1729" t="str">
            <v>Y</v>
          </cell>
          <cell r="E1729" t="str">
            <v>I</v>
          </cell>
          <cell r="F1729" t="str">
            <v>01/23/1998</v>
          </cell>
        </row>
        <row r="1730">
          <cell r="B1730" t="str">
            <v>A0813</v>
          </cell>
          <cell r="C1730" t="str">
            <v>UEC</v>
          </cell>
          <cell r="D1730" t="str">
            <v>Y</v>
          </cell>
          <cell r="E1730" t="str">
            <v>A</v>
          </cell>
          <cell r="F1730" t="str">
            <v>01/23/1998</v>
          </cell>
        </row>
        <row r="1731">
          <cell r="B1731" t="str">
            <v>A0814</v>
          </cell>
          <cell r="C1731" t="str">
            <v>UEC</v>
          </cell>
          <cell r="D1731" t="str">
            <v>Y</v>
          </cell>
          <cell r="E1731" t="str">
            <v>A</v>
          </cell>
          <cell r="F1731" t="str">
            <v>01/23/1998</v>
          </cell>
        </row>
        <row r="1732">
          <cell r="B1732" t="str">
            <v>A0815</v>
          </cell>
          <cell r="C1732" t="str">
            <v>002A</v>
          </cell>
          <cell r="D1732" t="str">
            <v>Y</v>
          </cell>
          <cell r="E1732" t="str">
            <v>A</v>
          </cell>
          <cell r="F1732" t="str">
            <v>11/05/1998</v>
          </cell>
        </row>
        <row r="1733">
          <cell r="B1733" t="str">
            <v>A0816</v>
          </cell>
          <cell r="C1733" t="str">
            <v>UEC</v>
          </cell>
          <cell r="D1733" t="str">
            <v>Y</v>
          </cell>
          <cell r="E1733" t="str">
            <v>A</v>
          </cell>
          <cell r="F1733" t="str">
            <v>11/06/1998</v>
          </cell>
        </row>
        <row r="1734">
          <cell r="B1734" t="str">
            <v>A0817</v>
          </cell>
          <cell r="C1734" t="str">
            <v>002D</v>
          </cell>
          <cell r="D1734" t="str">
            <v>Y</v>
          </cell>
          <cell r="E1734" t="str">
            <v>A</v>
          </cell>
          <cell r="F1734" t="str">
            <v>01/23/1998</v>
          </cell>
        </row>
        <row r="1735">
          <cell r="B1735" t="str">
            <v>A0818</v>
          </cell>
          <cell r="C1735" t="str">
            <v>UEC</v>
          </cell>
          <cell r="D1735" t="str">
            <v>Y</v>
          </cell>
          <cell r="E1735" t="str">
            <v>I</v>
          </cell>
          <cell r="F1735" t="str">
            <v>01/27/1998</v>
          </cell>
        </row>
        <row r="1736">
          <cell r="B1736" t="str">
            <v>A0819</v>
          </cell>
          <cell r="C1736"/>
          <cell r="D1736" t="str">
            <v>N</v>
          </cell>
          <cell r="E1736" t="str">
            <v>A</v>
          </cell>
          <cell r="F1736" t="str">
            <v>01/23/1998</v>
          </cell>
        </row>
        <row r="1737">
          <cell r="B1737" t="str">
            <v>A0820</v>
          </cell>
          <cell r="C1737" t="str">
            <v>CIP</v>
          </cell>
          <cell r="D1737" t="str">
            <v>Y</v>
          </cell>
          <cell r="E1737" t="str">
            <v>A</v>
          </cell>
          <cell r="F1737" t="str">
            <v>11/06/1998</v>
          </cell>
        </row>
        <row r="1738">
          <cell r="B1738" t="str">
            <v>A0825</v>
          </cell>
          <cell r="C1738" t="str">
            <v>004A</v>
          </cell>
          <cell r="D1738" t="str">
            <v>Y</v>
          </cell>
          <cell r="E1738" t="str">
            <v>A</v>
          </cell>
          <cell r="F1738" t="str">
            <v>01/12/1999</v>
          </cell>
        </row>
        <row r="1739">
          <cell r="B1739" t="str">
            <v>A0826</v>
          </cell>
          <cell r="C1739" t="str">
            <v>UEC</v>
          </cell>
          <cell r="D1739" t="str">
            <v>Y</v>
          </cell>
          <cell r="E1739" t="str">
            <v>A</v>
          </cell>
          <cell r="F1739" t="str">
            <v>01/31/1998</v>
          </cell>
        </row>
        <row r="1740">
          <cell r="B1740" t="str">
            <v>A0828</v>
          </cell>
          <cell r="C1740" t="str">
            <v>004B</v>
          </cell>
          <cell r="D1740" t="str">
            <v>Y</v>
          </cell>
          <cell r="E1740" t="str">
            <v>A</v>
          </cell>
          <cell r="F1740" t="str">
            <v>01/12/1999</v>
          </cell>
        </row>
        <row r="1741">
          <cell r="B1741" t="str">
            <v>A0832</v>
          </cell>
          <cell r="C1741" t="str">
            <v>UEC</v>
          </cell>
          <cell r="D1741" t="str">
            <v>Y</v>
          </cell>
          <cell r="E1741" t="str">
            <v>I</v>
          </cell>
          <cell r="F1741" t="str">
            <v>01/28/1998</v>
          </cell>
        </row>
        <row r="1742">
          <cell r="B1742" t="str">
            <v>A0833</v>
          </cell>
          <cell r="C1742" t="str">
            <v>CIP</v>
          </cell>
          <cell r="D1742" t="str">
            <v>Y</v>
          </cell>
          <cell r="E1742" t="str">
            <v>A</v>
          </cell>
          <cell r="F1742" t="str">
            <v>01/30/1998</v>
          </cell>
        </row>
        <row r="1743">
          <cell r="B1743" t="str">
            <v>A0834</v>
          </cell>
          <cell r="C1743" t="str">
            <v>CIP</v>
          </cell>
          <cell r="D1743" t="str">
            <v>Y</v>
          </cell>
          <cell r="E1743" t="str">
            <v>A</v>
          </cell>
          <cell r="F1743" t="str">
            <v>02/02/1998</v>
          </cell>
        </row>
        <row r="1744">
          <cell r="B1744" t="str">
            <v>A0835</v>
          </cell>
          <cell r="C1744" t="str">
            <v>UEC</v>
          </cell>
          <cell r="D1744" t="str">
            <v>Y</v>
          </cell>
          <cell r="E1744" t="str">
            <v>A</v>
          </cell>
          <cell r="F1744" t="str">
            <v>02/02/1998</v>
          </cell>
        </row>
        <row r="1745">
          <cell r="B1745" t="str">
            <v>A0837</v>
          </cell>
          <cell r="C1745" t="str">
            <v>001D</v>
          </cell>
          <cell r="D1745" t="str">
            <v>Y</v>
          </cell>
          <cell r="E1745" t="str">
            <v>A</v>
          </cell>
          <cell r="F1745" t="str">
            <v>02/02/1998</v>
          </cell>
        </row>
        <row r="1746">
          <cell r="B1746" t="str">
            <v>A0838</v>
          </cell>
          <cell r="C1746" t="str">
            <v>002D</v>
          </cell>
          <cell r="D1746" t="str">
            <v>Y</v>
          </cell>
          <cell r="E1746" t="str">
            <v>A</v>
          </cell>
          <cell r="F1746" t="str">
            <v>02/02/1998</v>
          </cell>
        </row>
        <row r="1747">
          <cell r="B1747" t="str">
            <v>A0839</v>
          </cell>
          <cell r="C1747" t="str">
            <v>UEC</v>
          </cell>
          <cell r="D1747" t="str">
            <v>Y</v>
          </cell>
          <cell r="E1747" t="str">
            <v>A</v>
          </cell>
          <cell r="F1747" t="str">
            <v>02/02/1998</v>
          </cell>
        </row>
        <row r="1748">
          <cell r="B1748" t="str">
            <v>A0841</v>
          </cell>
          <cell r="C1748" t="str">
            <v>CIP</v>
          </cell>
          <cell r="D1748" t="str">
            <v>Y</v>
          </cell>
          <cell r="E1748" t="str">
            <v>A</v>
          </cell>
          <cell r="F1748" t="str">
            <v>02/02/1998</v>
          </cell>
        </row>
        <row r="1749">
          <cell r="B1749" t="str">
            <v>A0850</v>
          </cell>
          <cell r="C1749"/>
          <cell r="D1749" t="str">
            <v>Y</v>
          </cell>
          <cell r="E1749" t="str">
            <v>A</v>
          </cell>
          <cell r="F1749" t="str">
            <v>02/03/1998</v>
          </cell>
        </row>
        <row r="1750">
          <cell r="B1750" t="str">
            <v>A0852</v>
          </cell>
          <cell r="C1750" t="str">
            <v>004A</v>
          </cell>
          <cell r="D1750" t="str">
            <v>Y</v>
          </cell>
          <cell r="E1750" t="str">
            <v>A</v>
          </cell>
          <cell r="F1750" t="str">
            <v>11/10/1998</v>
          </cell>
        </row>
        <row r="1751">
          <cell r="B1751" t="str">
            <v>A0859</v>
          </cell>
          <cell r="C1751" t="str">
            <v>UEC</v>
          </cell>
          <cell r="D1751" t="str">
            <v>Y</v>
          </cell>
          <cell r="E1751" t="str">
            <v>A</v>
          </cell>
          <cell r="F1751" t="str">
            <v>02/03/1998</v>
          </cell>
        </row>
        <row r="1752">
          <cell r="B1752" t="str">
            <v>A0861</v>
          </cell>
          <cell r="C1752" t="str">
            <v>UEC</v>
          </cell>
          <cell r="D1752" t="str">
            <v>Y</v>
          </cell>
          <cell r="E1752" t="str">
            <v>A</v>
          </cell>
          <cell r="F1752" t="str">
            <v>02/05/1998</v>
          </cell>
        </row>
        <row r="1753">
          <cell r="B1753" t="str">
            <v>A0862</v>
          </cell>
          <cell r="C1753" t="str">
            <v>CIP</v>
          </cell>
          <cell r="D1753" t="str">
            <v>Y</v>
          </cell>
          <cell r="E1753" t="str">
            <v>A</v>
          </cell>
          <cell r="F1753" t="str">
            <v>02/05/1998</v>
          </cell>
        </row>
        <row r="1754">
          <cell r="B1754" t="str">
            <v>A0864</v>
          </cell>
          <cell r="C1754" t="str">
            <v>CIP</v>
          </cell>
          <cell r="D1754" t="str">
            <v>Y</v>
          </cell>
          <cell r="E1754" t="str">
            <v>A</v>
          </cell>
          <cell r="F1754" t="str">
            <v>11/10/1998</v>
          </cell>
        </row>
        <row r="1755">
          <cell r="B1755" t="str">
            <v>A0865</v>
          </cell>
          <cell r="C1755" t="str">
            <v>UEC</v>
          </cell>
          <cell r="D1755" t="str">
            <v>Y</v>
          </cell>
          <cell r="E1755" t="str">
            <v>A</v>
          </cell>
          <cell r="F1755" t="str">
            <v>11/10/1998</v>
          </cell>
        </row>
        <row r="1756">
          <cell r="B1756" t="str">
            <v>A0866</v>
          </cell>
          <cell r="C1756"/>
          <cell r="D1756" t="str">
            <v>N</v>
          </cell>
          <cell r="E1756" t="str">
            <v>A</v>
          </cell>
          <cell r="F1756" t="str">
            <v>02/09/1998</v>
          </cell>
        </row>
        <row r="1757">
          <cell r="B1757" t="str">
            <v>A0868</v>
          </cell>
          <cell r="C1757" t="str">
            <v>UEC</v>
          </cell>
          <cell r="D1757" t="str">
            <v>Y</v>
          </cell>
          <cell r="E1757" t="str">
            <v>A</v>
          </cell>
          <cell r="F1757" t="str">
            <v>02/11/1998</v>
          </cell>
        </row>
        <row r="1758">
          <cell r="B1758" t="str">
            <v>A0869</v>
          </cell>
          <cell r="C1758" t="str">
            <v>004A</v>
          </cell>
          <cell r="D1758" t="str">
            <v>Y</v>
          </cell>
          <cell r="E1758" t="str">
            <v>A</v>
          </cell>
          <cell r="F1758" t="str">
            <v>11/10/1998</v>
          </cell>
        </row>
        <row r="1759">
          <cell r="B1759" t="str">
            <v>A0871</v>
          </cell>
          <cell r="C1759" t="str">
            <v>004F</v>
          </cell>
          <cell r="D1759" t="str">
            <v>Y</v>
          </cell>
          <cell r="E1759" t="str">
            <v>A</v>
          </cell>
          <cell r="F1759" t="str">
            <v>01/22/1999</v>
          </cell>
        </row>
        <row r="1760">
          <cell r="B1760" t="str">
            <v>A0877</v>
          </cell>
          <cell r="C1760" t="str">
            <v>AME</v>
          </cell>
          <cell r="D1760" t="str">
            <v>Y</v>
          </cell>
          <cell r="E1760" t="str">
            <v>A</v>
          </cell>
          <cell r="F1760" t="str">
            <v>12/22/1998</v>
          </cell>
        </row>
        <row r="1761">
          <cell r="B1761" t="str">
            <v>A0878</v>
          </cell>
          <cell r="C1761" t="str">
            <v>004B</v>
          </cell>
          <cell r="D1761" t="str">
            <v>Y</v>
          </cell>
          <cell r="E1761" t="str">
            <v>A</v>
          </cell>
          <cell r="F1761" t="str">
            <v>12/22/1998</v>
          </cell>
        </row>
        <row r="1762">
          <cell r="B1762" t="str">
            <v>A0880</v>
          </cell>
          <cell r="C1762" t="str">
            <v>010A</v>
          </cell>
          <cell r="D1762" t="str">
            <v>N</v>
          </cell>
          <cell r="E1762" t="str">
            <v>A</v>
          </cell>
          <cell r="F1762" t="str">
            <v>02/23/1999</v>
          </cell>
        </row>
        <row r="1763">
          <cell r="B1763" t="str">
            <v>A0881</v>
          </cell>
          <cell r="C1763" t="str">
            <v>AME</v>
          </cell>
          <cell r="D1763" t="str">
            <v>Y</v>
          </cell>
          <cell r="E1763" t="str">
            <v>A</v>
          </cell>
          <cell r="F1763" t="str">
            <v>02/23/1999</v>
          </cell>
        </row>
        <row r="1764">
          <cell r="B1764" t="str">
            <v>A0882</v>
          </cell>
          <cell r="C1764" t="str">
            <v>AMC</v>
          </cell>
          <cell r="D1764" t="str">
            <v>Y</v>
          </cell>
          <cell r="E1764" t="str">
            <v>A</v>
          </cell>
          <cell r="F1764" t="str">
            <v>03/02/1999</v>
          </cell>
        </row>
        <row r="1765">
          <cell r="B1765" t="str">
            <v>A0886</v>
          </cell>
          <cell r="C1765" t="str">
            <v>AME</v>
          </cell>
          <cell r="D1765" t="str">
            <v>Y</v>
          </cell>
          <cell r="E1765" t="str">
            <v>A</v>
          </cell>
          <cell r="F1765" t="str">
            <v>03/19/1999</v>
          </cell>
        </row>
        <row r="1766">
          <cell r="B1766" t="str">
            <v>A0887</v>
          </cell>
          <cell r="C1766" t="str">
            <v>AME</v>
          </cell>
          <cell r="D1766" t="str">
            <v>Y</v>
          </cell>
          <cell r="E1766" t="str">
            <v>A</v>
          </cell>
          <cell r="F1766" t="str">
            <v>03/19/1999</v>
          </cell>
        </row>
        <row r="1767">
          <cell r="B1767" t="str">
            <v>A0889</v>
          </cell>
          <cell r="C1767" t="str">
            <v>ERC</v>
          </cell>
          <cell r="D1767" t="str">
            <v>Y</v>
          </cell>
          <cell r="E1767" t="str">
            <v>A</v>
          </cell>
          <cell r="F1767" t="str">
            <v>04/13/1999</v>
          </cell>
        </row>
        <row r="1768">
          <cell r="B1768" t="str">
            <v>A0894</v>
          </cell>
          <cell r="C1768"/>
          <cell r="D1768" t="str">
            <v>Y</v>
          </cell>
          <cell r="E1768" t="str">
            <v>A</v>
          </cell>
          <cell r="F1768" t="str">
            <v>06/04/1999</v>
          </cell>
        </row>
        <row r="1769">
          <cell r="B1769" t="str">
            <v>A0896</v>
          </cell>
          <cell r="C1769" t="str">
            <v>UEC</v>
          </cell>
          <cell r="D1769" t="str">
            <v>Y</v>
          </cell>
          <cell r="E1769" t="str">
            <v>A</v>
          </cell>
          <cell r="F1769" t="str">
            <v>07/02/1999</v>
          </cell>
        </row>
        <row r="1770">
          <cell r="B1770" t="str">
            <v>A0897</v>
          </cell>
          <cell r="C1770" t="str">
            <v>CIP</v>
          </cell>
          <cell r="D1770" t="str">
            <v>Y</v>
          </cell>
          <cell r="E1770" t="str">
            <v>A</v>
          </cell>
          <cell r="F1770" t="str">
            <v>07/06/1999</v>
          </cell>
        </row>
        <row r="1771">
          <cell r="B1771" t="str">
            <v>A0898</v>
          </cell>
          <cell r="C1771" t="str">
            <v>001A</v>
          </cell>
          <cell r="D1771" t="str">
            <v>Y</v>
          </cell>
          <cell r="E1771" t="str">
            <v>A</v>
          </cell>
          <cell r="F1771" t="str">
            <v>07/06/1999</v>
          </cell>
        </row>
        <row r="1772">
          <cell r="B1772" t="str">
            <v>A0902</v>
          </cell>
          <cell r="C1772" t="str">
            <v>AME</v>
          </cell>
          <cell r="D1772" t="str">
            <v>Y</v>
          </cell>
          <cell r="E1772" t="str">
            <v>A</v>
          </cell>
          <cell r="F1772" t="str">
            <v>07/27/1999</v>
          </cell>
        </row>
        <row r="1773">
          <cell r="B1773" t="str">
            <v>A0904</v>
          </cell>
          <cell r="C1773" t="str">
            <v>AFS</v>
          </cell>
          <cell r="D1773" t="str">
            <v>Y</v>
          </cell>
          <cell r="E1773" t="str">
            <v>A</v>
          </cell>
          <cell r="F1773" t="str">
            <v>07/28/1999</v>
          </cell>
        </row>
        <row r="1774">
          <cell r="B1774" t="str">
            <v>A0906</v>
          </cell>
          <cell r="C1774" t="str">
            <v>AEC</v>
          </cell>
          <cell r="D1774" t="str">
            <v>Y</v>
          </cell>
          <cell r="E1774" t="str">
            <v>A</v>
          </cell>
          <cell r="F1774" t="str">
            <v>07/28/1999</v>
          </cell>
        </row>
        <row r="1775">
          <cell r="B1775" t="str">
            <v>A0910</v>
          </cell>
          <cell r="C1775" t="str">
            <v>AEC</v>
          </cell>
          <cell r="D1775" t="str">
            <v>Y</v>
          </cell>
          <cell r="E1775" t="str">
            <v>A</v>
          </cell>
          <cell r="F1775" t="str">
            <v>08/18/1999</v>
          </cell>
        </row>
        <row r="1776">
          <cell r="B1776" t="str">
            <v>A0912</v>
          </cell>
          <cell r="C1776" t="str">
            <v>AEC</v>
          </cell>
          <cell r="D1776" t="str">
            <v>Y</v>
          </cell>
          <cell r="E1776" t="str">
            <v>A</v>
          </cell>
          <cell r="F1776" t="str">
            <v>09/02/1999</v>
          </cell>
        </row>
        <row r="1777">
          <cell r="B1777" t="str">
            <v>A0926</v>
          </cell>
          <cell r="C1777" t="str">
            <v>010A</v>
          </cell>
          <cell r="D1777" t="str">
            <v>Y</v>
          </cell>
          <cell r="E1777" t="str">
            <v>A</v>
          </cell>
          <cell r="F1777" t="str">
            <v>09/27/1999</v>
          </cell>
        </row>
        <row r="1778">
          <cell r="B1778" t="str">
            <v>A0936</v>
          </cell>
          <cell r="C1778" t="str">
            <v>CIP</v>
          </cell>
          <cell r="D1778" t="str">
            <v>N</v>
          </cell>
          <cell r="E1778" t="str">
            <v>A</v>
          </cell>
          <cell r="F1778" t="str">
            <v>10/22/1999</v>
          </cell>
        </row>
        <row r="1779">
          <cell r="B1779" t="str">
            <v>A0940</v>
          </cell>
          <cell r="C1779" t="str">
            <v>002M</v>
          </cell>
          <cell r="D1779" t="str">
            <v>Y</v>
          </cell>
          <cell r="E1779" t="str">
            <v>A</v>
          </cell>
          <cell r="F1779" t="str">
            <v>10/22/1999</v>
          </cell>
        </row>
        <row r="1780">
          <cell r="B1780" t="str">
            <v>A0948</v>
          </cell>
          <cell r="C1780" t="str">
            <v>UEC</v>
          </cell>
          <cell r="D1780" t="str">
            <v>Y</v>
          </cell>
          <cell r="E1780" t="str">
            <v>A</v>
          </cell>
          <cell r="F1780" t="str">
            <v>11/08/1999</v>
          </cell>
        </row>
        <row r="1781">
          <cell r="B1781" t="str">
            <v>A0950</v>
          </cell>
          <cell r="C1781" t="str">
            <v>IHC</v>
          </cell>
          <cell r="D1781" t="str">
            <v>Y</v>
          </cell>
          <cell r="E1781" t="str">
            <v>A</v>
          </cell>
          <cell r="F1781" t="str">
            <v>11/12/1999</v>
          </cell>
        </row>
        <row r="1782">
          <cell r="B1782" t="str">
            <v>A0953</v>
          </cell>
          <cell r="C1782" t="str">
            <v>002F</v>
          </cell>
          <cell r="D1782" t="str">
            <v>Y</v>
          </cell>
          <cell r="E1782" t="str">
            <v>A</v>
          </cell>
          <cell r="F1782" t="str">
            <v>11/15/1999</v>
          </cell>
        </row>
        <row r="1783">
          <cell r="B1783" t="str">
            <v>A0954</v>
          </cell>
          <cell r="C1783" t="str">
            <v>017B</v>
          </cell>
          <cell r="D1783" t="str">
            <v>Y</v>
          </cell>
          <cell r="E1783" t="str">
            <v>A</v>
          </cell>
          <cell r="F1783" t="str">
            <v>11/19/1999</v>
          </cell>
        </row>
        <row r="1784">
          <cell r="B1784" t="str">
            <v>A0955</v>
          </cell>
          <cell r="C1784" t="str">
            <v>008C</v>
          </cell>
          <cell r="D1784" t="str">
            <v>Y</v>
          </cell>
          <cell r="E1784" t="str">
            <v>A</v>
          </cell>
          <cell r="F1784" t="str">
            <v>11/19/1999</v>
          </cell>
        </row>
        <row r="1785">
          <cell r="B1785" t="str">
            <v>A0957</v>
          </cell>
          <cell r="C1785" t="str">
            <v>007A</v>
          </cell>
          <cell r="D1785" t="str">
            <v>Y</v>
          </cell>
          <cell r="E1785" t="str">
            <v>A</v>
          </cell>
          <cell r="F1785" t="str">
            <v>11/19/1999</v>
          </cell>
        </row>
        <row r="1786">
          <cell r="B1786" t="str">
            <v>A0958</v>
          </cell>
          <cell r="C1786" t="str">
            <v>017A</v>
          </cell>
          <cell r="D1786" t="str">
            <v>Y</v>
          </cell>
          <cell r="E1786" t="str">
            <v>A</v>
          </cell>
          <cell r="F1786" t="str">
            <v>11/19/1999</v>
          </cell>
        </row>
        <row r="1787">
          <cell r="B1787" t="str">
            <v>A0959</v>
          </cell>
          <cell r="C1787" t="str">
            <v>001A</v>
          </cell>
          <cell r="D1787" t="str">
            <v>Y</v>
          </cell>
          <cell r="E1787" t="str">
            <v>A</v>
          </cell>
          <cell r="F1787" t="str">
            <v>11/22/1999</v>
          </cell>
        </row>
        <row r="1788">
          <cell r="B1788" t="str">
            <v>A0960</v>
          </cell>
          <cell r="C1788" t="str">
            <v>017C</v>
          </cell>
          <cell r="D1788" t="str">
            <v>Y</v>
          </cell>
          <cell r="E1788" t="str">
            <v>A</v>
          </cell>
          <cell r="F1788" t="str">
            <v>11/22/1999</v>
          </cell>
        </row>
        <row r="1789">
          <cell r="B1789" t="str">
            <v>A0961</v>
          </cell>
          <cell r="C1789" t="str">
            <v>007A</v>
          </cell>
          <cell r="D1789" t="str">
            <v>Y</v>
          </cell>
          <cell r="E1789" t="str">
            <v>A</v>
          </cell>
          <cell r="F1789" t="str">
            <v>11/22/1999</v>
          </cell>
        </row>
        <row r="1790">
          <cell r="B1790" t="str">
            <v>A0962</v>
          </cell>
          <cell r="C1790" t="str">
            <v>008C</v>
          </cell>
          <cell r="D1790" t="str">
            <v>Y</v>
          </cell>
          <cell r="E1790" t="str">
            <v>A</v>
          </cell>
          <cell r="F1790" t="str">
            <v>11/22/1999</v>
          </cell>
        </row>
        <row r="1791">
          <cell r="B1791" t="str">
            <v>A0963</v>
          </cell>
          <cell r="C1791" t="str">
            <v>015A</v>
          </cell>
          <cell r="D1791" t="str">
            <v>Y</v>
          </cell>
          <cell r="E1791" t="str">
            <v>A</v>
          </cell>
          <cell r="F1791" t="str">
            <v>11/22/1999</v>
          </cell>
        </row>
        <row r="1792">
          <cell r="B1792" t="str">
            <v>A0964</v>
          </cell>
          <cell r="C1792" t="str">
            <v>017C</v>
          </cell>
          <cell r="D1792" t="str">
            <v>Y</v>
          </cell>
          <cell r="E1792" t="str">
            <v>A</v>
          </cell>
          <cell r="F1792" t="str">
            <v>11/22/1999</v>
          </cell>
        </row>
        <row r="1793">
          <cell r="B1793" t="str">
            <v>A0966</v>
          </cell>
          <cell r="C1793" t="str">
            <v>011C</v>
          </cell>
          <cell r="D1793" t="str">
            <v>Y</v>
          </cell>
          <cell r="E1793" t="str">
            <v>A</v>
          </cell>
          <cell r="F1793" t="str">
            <v>11/22/1999</v>
          </cell>
        </row>
        <row r="1794">
          <cell r="B1794" t="str">
            <v>A0967</v>
          </cell>
          <cell r="C1794" t="str">
            <v>004A</v>
          </cell>
          <cell r="D1794" t="str">
            <v>Y</v>
          </cell>
          <cell r="E1794" t="str">
            <v>A</v>
          </cell>
          <cell r="F1794" t="str">
            <v>11/22/1999</v>
          </cell>
        </row>
        <row r="1795">
          <cell r="B1795" t="str">
            <v>A0968</v>
          </cell>
          <cell r="C1795" t="str">
            <v>002L</v>
          </cell>
          <cell r="D1795" t="str">
            <v>Y</v>
          </cell>
          <cell r="E1795" t="str">
            <v>A</v>
          </cell>
          <cell r="F1795" t="str">
            <v>11/22/1999</v>
          </cell>
        </row>
        <row r="1796">
          <cell r="B1796" t="str">
            <v>A0974</v>
          </cell>
          <cell r="C1796"/>
          <cell r="D1796" t="str">
            <v>Y</v>
          </cell>
          <cell r="E1796" t="str">
            <v>A</v>
          </cell>
          <cell r="F1796" t="str">
            <v>11/24/1999</v>
          </cell>
        </row>
        <row r="1797">
          <cell r="B1797" t="str">
            <v>A0975</v>
          </cell>
          <cell r="C1797" t="str">
            <v>003A</v>
          </cell>
          <cell r="D1797" t="str">
            <v>Y</v>
          </cell>
          <cell r="E1797" t="str">
            <v>A</v>
          </cell>
          <cell r="F1797" t="str">
            <v>11/24/1999</v>
          </cell>
        </row>
        <row r="1798">
          <cell r="B1798" t="str">
            <v>A0980</v>
          </cell>
          <cell r="C1798" t="str">
            <v>001A</v>
          </cell>
          <cell r="D1798" t="str">
            <v>N</v>
          </cell>
          <cell r="E1798" t="str">
            <v>A</v>
          </cell>
          <cell r="F1798" t="str">
            <v>11/24/1999</v>
          </cell>
        </row>
        <row r="1799">
          <cell r="B1799" t="str">
            <v>A0981</v>
          </cell>
          <cell r="C1799" t="str">
            <v>001A</v>
          </cell>
          <cell r="D1799" t="str">
            <v>Y</v>
          </cell>
          <cell r="E1799" t="str">
            <v>A</v>
          </cell>
          <cell r="F1799" t="str">
            <v>11/24/1999</v>
          </cell>
        </row>
        <row r="1800">
          <cell r="B1800" t="str">
            <v>A0983</v>
          </cell>
          <cell r="C1800" t="str">
            <v>002L</v>
          </cell>
          <cell r="D1800" t="str">
            <v>Y</v>
          </cell>
          <cell r="E1800" t="str">
            <v>A</v>
          </cell>
          <cell r="F1800" t="str">
            <v>11/26/1999</v>
          </cell>
        </row>
        <row r="1801">
          <cell r="B1801" t="str">
            <v>A0985</v>
          </cell>
          <cell r="C1801" t="str">
            <v>007A</v>
          </cell>
          <cell r="D1801" t="str">
            <v>Y</v>
          </cell>
          <cell r="E1801" t="str">
            <v>A</v>
          </cell>
          <cell r="F1801" t="str">
            <v>11/26/1999</v>
          </cell>
        </row>
        <row r="1802">
          <cell r="B1802" t="str">
            <v>A0986</v>
          </cell>
          <cell r="C1802"/>
          <cell r="D1802" t="str">
            <v>Y</v>
          </cell>
          <cell r="E1802" t="str">
            <v>A</v>
          </cell>
          <cell r="F1802" t="str">
            <v>11/26/1999</v>
          </cell>
        </row>
        <row r="1803">
          <cell r="B1803" t="str">
            <v>A0987</v>
          </cell>
          <cell r="C1803" t="str">
            <v>004A</v>
          </cell>
          <cell r="D1803" t="str">
            <v>Y</v>
          </cell>
          <cell r="E1803" t="str">
            <v>A</v>
          </cell>
          <cell r="F1803" t="str">
            <v>11/26/1999</v>
          </cell>
        </row>
        <row r="1804">
          <cell r="B1804" t="str">
            <v>A0988</v>
          </cell>
          <cell r="C1804" t="str">
            <v>018A</v>
          </cell>
          <cell r="D1804" t="str">
            <v>Y</v>
          </cell>
          <cell r="E1804" t="str">
            <v>A</v>
          </cell>
          <cell r="F1804" t="str">
            <v>11/26/1999</v>
          </cell>
        </row>
        <row r="1805">
          <cell r="B1805" t="str">
            <v>A0992</v>
          </cell>
          <cell r="C1805" t="str">
            <v>004A</v>
          </cell>
          <cell r="D1805" t="str">
            <v>Y</v>
          </cell>
          <cell r="E1805" t="str">
            <v>A</v>
          </cell>
          <cell r="F1805" t="str">
            <v>12/15/1999</v>
          </cell>
        </row>
        <row r="1806">
          <cell r="B1806" t="str">
            <v>A0993</v>
          </cell>
          <cell r="C1806" t="str">
            <v>004A</v>
          </cell>
          <cell r="D1806" t="str">
            <v>Y</v>
          </cell>
          <cell r="E1806" t="str">
            <v>A</v>
          </cell>
          <cell r="F1806" t="str">
            <v>12/15/1999</v>
          </cell>
        </row>
        <row r="1807">
          <cell r="B1807" t="str">
            <v>A0994</v>
          </cell>
          <cell r="C1807" t="str">
            <v>004A</v>
          </cell>
          <cell r="D1807" t="str">
            <v>Y</v>
          </cell>
          <cell r="E1807" t="str">
            <v>A</v>
          </cell>
          <cell r="F1807" t="str">
            <v>12/15/1999</v>
          </cell>
        </row>
        <row r="1808">
          <cell r="B1808" t="str">
            <v>A0999</v>
          </cell>
          <cell r="C1808" t="str">
            <v>004B</v>
          </cell>
          <cell r="D1808" t="str">
            <v>Y</v>
          </cell>
          <cell r="E1808" t="str">
            <v>A</v>
          </cell>
          <cell r="F1808" t="str">
            <v>12/21/1999</v>
          </cell>
        </row>
        <row r="1809">
          <cell r="B1809" t="str">
            <v>A1000</v>
          </cell>
          <cell r="C1809" t="str">
            <v>002A</v>
          </cell>
          <cell r="D1809" t="str">
            <v>Y</v>
          </cell>
          <cell r="E1809" t="str">
            <v>A</v>
          </cell>
          <cell r="F1809" t="str">
            <v>12/21/1999</v>
          </cell>
        </row>
        <row r="1810">
          <cell r="B1810" t="str">
            <v>A1001</v>
          </cell>
          <cell r="C1810" t="str">
            <v>GEN</v>
          </cell>
          <cell r="D1810" t="str">
            <v>Y</v>
          </cell>
          <cell r="E1810" t="str">
            <v>A</v>
          </cell>
          <cell r="F1810" t="str">
            <v>12/21/1999</v>
          </cell>
        </row>
        <row r="1811">
          <cell r="B1811" t="str">
            <v>A1002</v>
          </cell>
          <cell r="C1811" t="str">
            <v>002L</v>
          </cell>
          <cell r="D1811" t="str">
            <v>Y</v>
          </cell>
          <cell r="E1811" t="str">
            <v>A</v>
          </cell>
          <cell r="F1811" t="str">
            <v>12/22/1999</v>
          </cell>
        </row>
        <row r="1812">
          <cell r="B1812" t="str">
            <v>A1005</v>
          </cell>
          <cell r="C1812" t="str">
            <v>UEC</v>
          </cell>
          <cell r="D1812" t="str">
            <v>Y</v>
          </cell>
          <cell r="E1812" t="str">
            <v>A</v>
          </cell>
          <cell r="F1812" t="str">
            <v>12/22/1999</v>
          </cell>
        </row>
        <row r="1813">
          <cell r="B1813" t="str">
            <v>A1006</v>
          </cell>
          <cell r="C1813" t="str">
            <v>CIP</v>
          </cell>
          <cell r="D1813" t="str">
            <v>Y</v>
          </cell>
          <cell r="E1813" t="str">
            <v>A</v>
          </cell>
          <cell r="F1813" t="str">
            <v>12/22/1999</v>
          </cell>
        </row>
        <row r="1814">
          <cell r="B1814" t="str">
            <v>A1007</v>
          </cell>
          <cell r="C1814" t="str">
            <v>UEC</v>
          </cell>
          <cell r="D1814" t="str">
            <v>Y</v>
          </cell>
          <cell r="E1814" t="str">
            <v>A</v>
          </cell>
          <cell r="F1814" t="str">
            <v>12/22/1999</v>
          </cell>
        </row>
        <row r="1815">
          <cell r="B1815" t="str">
            <v>A1008</v>
          </cell>
          <cell r="C1815" t="str">
            <v>002K</v>
          </cell>
          <cell r="D1815" t="str">
            <v>Y</v>
          </cell>
          <cell r="E1815" t="str">
            <v>A</v>
          </cell>
          <cell r="F1815" t="str">
            <v>12/22/1999</v>
          </cell>
        </row>
        <row r="1816">
          <cell r="B1816" t="str">
            <v>A1009</v>
          </cell>
          <cell r="C1816" t="str">
            <v>002L</v>
          </cell>
          <cell r="D1816" t="str">
            <v>Y</v>
          </cell>
          <cell r="E1816" t="str">
            <v>A</v>
          </cell>
          <cell r="F1816" t="str">
            <v>12/22/1999</v>
          </cell>
        </row>
        <row r="1817">
          <cell r="B1817" t="str">
            <v>A1010</v>
          </cell>
          <cell r="C1817" t="str">
            <v>UEC</v>
          </cell>
          <cell r="D1817" t="str">
            <v>Y</v>
          </cell>
          <cell r="E1817" t="str">
            <v>A</v>
          </cell>
          <cell r="F1817" t="str">
            <v>12/22/1999</v>
          </cell>
        </row>
        <row r="1818">
          <cell r="B1818" t="str">
            <v>A1011</v>
          </cell>
          <cell r="C1818" t="str">
            <v>CIP</v>
          </cell>
          <cell r="D1818" t="str">
            <v>Y</v>
          </cell>
          <cell r="E1818" t="str">
            <v>A</v>
          </cell>
          <cell r="F1818" t="str">
            <v>12/22/1999</v>
          </cell>
        </row>
        <row r="1819">
          <cell r="B1819" t="str">
            <v>A1012</v>
          </cell>
          <cell r="C1819" t="str">
            <v>CIP</v>
          </cell>
          <cell r="D1819" t="str">
            <v>Y</v>
          </cell>
          <cell r="E1819" t="str">
            <v>A</v>
          </cell>
          <cell r="F1819" t="str">
            <v>12/22/1999</v>
          </cell>
        </row>
        <row r="1820">
          <cell r="B1820" t="str">
            <v>A1013</v>
          </cell>
          <cell r="C1820" t="str">
            <v>002M</v>
          </cell>
          <cell r="D1820" t="str">
            <v>Y</v>
          </cell>
          <cell r="E1820" t="str">
            <v>A</v>
          </cell>
          <cell r="F1820" t="str">
            <v>12/22/1999</v>
          </cell>
        </row>
        <row r="1821">
          <cell r="B1821" t="str">
            <v>A1014</v>
          </cell>
          <cell r="C1821" t="str">
            <v>002L</v>
          </cell>
          <cell r="D1821" t="str">
            <v>Y</v>
          </cell>
          <cell r="E1821" t="str">
            <v>A</v>
          </cell>
          <cell r="F1821" t="str">
            <v>12/22/1999</v>
          </cell>
        </row>
        <row r="1822">
          <cell r="B1822" t="str">
            <v>A1015</v>
          </cell>
          <cell r="C1822" t="str">
            <v>002F</v>
          </cell>
          <cell r="D1822" t="str">
            <v>Y</v>
          </cell>
          <cell r="E1822" t="str">
            <v>A</v>
          </cell>
          <cell r="F1822" t="str">
            <v>12/22/1999</v>
          </cell>
        </row>
        <row r="1823">
          <cell r="B1823" t="str">
            <v>A1017</v>
          </cell>
          <cell r="C1823" t="str">
            <v>002K</v>
          </cell>
          <cell r="D1823" t="str">
            <v>Y</v>
          </cell>
          <cell r="E1823" t="str">
            <v>A</v>
          </cell>
          <cell r="F1823" t="str">
            <v>01/04/2000</v>
          </cell>
        </row>
        <row r="1824">
          <cell r="B1824" t="str">
            <v>A1019</v>
          </cell>
          <cell r="C1824" t="str">
            <v>001A</v>
          </cell>
          <cell r="D1824" t="str">
            <v>Y</v>
          </cell>
          <cell r="E1824" t="str">
            <v>A</v>
          </cell>
          <cell r="F1824" t="str">
            <v>01/05/2000</v>
          </cell>
        </row>
        <row r="1825">
          <cell r="B1825" t="str">
            <v>A1020</v>
          </cell>
          <cell r="C1825" t="str">
            <v>001A</v>
          </cell>
          <cell r="D1825" t="str">
            <v>Y</v>
          </cell>
          <cell r="E1825" t="str">
            <v>I</v>
          </cell>
          <cell r="F1825" t="str">
            <v>01/05/2000</v>
          </cell>
        </row>
        <row r="1826">
          <cell r="B1826" t="str">
            <v>A1021</v>
          </cell>
          <cell r="C1826" t="str">
            <v>001A</v>
          </cell>
          <cell r="D1826" t="str">
            <v>Y</v>
          </cell>
          <cell r="E1826" t="str">
            <v>I</v>
          </cell>
          <cell r="F1826" t="str">
            <v>01/05/2000</v>
          </cell>
        </row>
        <row r="1827">
          <cell r="B1827" t="str">
            <v>A1022</v>
          </cell>
          <cell r="C1827" t="str">
            <v>001A</v>
          </cell>
          <cell r="D1827" t="str">
            <v>Y</v>
          </cell>
          <cell r="E1827" t="str">
            <v>I</v>
          </cell>
          <cell r="F1827" t="str">
            <v>01/05/2000</v>
          </cell>
        </row>
        <row r="1828">
          <cell r="B1828" t="str">
            <v>A1023</v>
          </cell>
          <cell r="C1828" t="str">
            <v>001A</v>
          </cell>
          <cell r="D1828" t="str">
            <v>Y</v>
          </cell>
          <cell r="E1828" t="str">
            <v>A</v>
          </cell>
          <cell r="F1828" t="str">
            <v>01/05/2000</v>
          </cell>
        </row>
        <row r="1829">
          <cell r="B1829" t="str">
            <v>A1024</v>
          </cell>
          <cell r="C1829" t="str">
            <v>008C</v>
          </cell>
          <cell r="D1829" t="str">
            <v>Y</v>
          </cell>
          <cell r="E1829" t="str">
            <v>A</v>
          </cell>
          <cell r="F1829" t="str">
            <v>01/05/2000</v>
          </cell>
        </row>
        <row r="1830">
          <cell r="B1830" t="str">
            <v>A1025</v>
          </cell>
          <cell r="C1830" t="str">
            <v>018A</v>
          </cell>
          <cell r="D1830" t="str">
            <v>Y</v>
          </cell>
          <cell r="E1830" t="str">
            <v>A</v>
          </cell>
          <cell r="F1830" t="str">
            <v>01/05/2000</v>
          </cell>
        </row>
        <row r="1831">
          <cell r="B1831" t="str">
            <v>A1026</v>
          </cell>
          <cell r="C1831" t="str">
            <v>CIP</v>
          </cell>
          <cell r="D1831" t="str">
            <v>N</v>
          </cell>
          <cell r="E1831" t="str">
            <v>A</v>
          </cell>
          <cell r="F1831" t="str">
            <v>01/05/2000</v>
          </cell>
        </row>
        <row r="1832">
          <cell r="B1832" t="str">
            <v>A1027</v>
          </cell>
          <cell r="C1832" t="str">
            <v>UEC</v>
          </cell>
          <cell r="D1832" t="str">
            <v>N</v>
          </cell>
          <cell r="E1832" t="str">
            <v>A</v>
          </cell>
          <cell r="F1832" t="str">
            <v>01/05/2000</v>
          </cell>
        </row>
        <row r="1833">
          <cell r="B1833" t="str">
            <v>A1028</v>
          </cell>
          <cell r="C1833" t="str">
            <v>UDC</v>
          </cell>
          <cell r="D1833" t="str">
            <v>N</v>
          </cell>
          <cell r="E1833" t="str">
            <v>A</v>
          </cell>
          <cell r="F1833" t="str">
            <v>01/06/2000</v>
          </cell>
        </row>
        <row r="1834">
          <cell r="B1834" t="str">
            <v>A1029</v>
          </cell>
          <cell r="C1834" t="str">
            <v>001A</v>
          </cell>
          <cell r="D1834" t="str">
            <v>N</v>
          </cell>
          <cell r="E1834" t="str">
            <v>A</v>
          </cell>
          <cell r="F1834" t="str">
            <v>01/06/2000</v>
          </cell>
        </row>
        <row r="1835">
          <cell r="B1835" t="str">
            <v>A1030</v>
          </cell>
          <cell r="C1835" t="str">
            <v>CIP</v>
          </cell>
          <cell r="D1835" t="str">
            <v>N</v>
          </cell>
          <cell r="E1835" t="str">
            <v>A</v>
          </cell>
          <cell r="F1835" t="str">
            <v>01/06/2000</v>
          </cell>
        </row>
        <row r="1836">
          <cell r="B1836" t="str">
            <v>A1031</v>
          </cell>
          <cell r="C1836" t="str">
            <v>UEC</v>
          </cell>
          <cell r="D1836" t="str">
            <v>N</v>
          </cell>
          <cell r="E1836" t="str">
            <v>A</v>
          </cell>
          <cell r="F1836" t="str">
            <v>01/06/2000</v>
          </cell>
        </row>
        <row r="1837">
          <cell r="B1837" t="str">
            <v>A1032</v>
          </cell>
          <cell r="C1837" t="str">
            <v>GEN</v>
          </cell>
          <cell r="D1837" t="str">
            <v>N</v>
          </cell>
          <cell r="E1837" t="str">
            <v>A</v>
          </cell>
          <cell r="F1837" t="str">
            <v>01/06/2000</v>
          </cell>
        </row>
        <row r="1838">
          <cell r="B1838" t="str">
            <v>A1033</v>
          </cell>
          <cell r="C1838" t="str">
            <v>UEC</v>
          </cell>
          <cell r="D1838" t="str">
            <v>N</v>
          </cell>
          <cell r="E1838" t="str">
            <v>A</v>
          </cell>
          <cell r="F1838" t="str">
            <v>01/06/2000</v>
          </cell>
        </row>
        <row r="1839">
          <cell r="B1839" t="str">
            <v>A1034</v>
          </cell>
          <cell r="C1839" t="str">
            <v>CIP</v>
          </cell>
          <cell r="D1839" t="str">
            <v>N</v>
          </cell>
          <cell r="E1839" t="str">
            <v>A</v>
          </cell>
          <cell r="F1839" t="str">
            <v>01/06/2000</v>
          </cell>
        </row>
        <row r="1840">
          <cell r="B1840" t="str">
            <v>A1035</v>
          </cell>
          <cell r="C1840" t="str">
            <v>UEC</v>
          </cell>
          <cell r="D1840" t="str">
            <v>N</v>
          </cell>
          <cell r="E1840" t="str">
            <v>A</v>
          </cell>
          <cell r="F1840" t="str">
            <v>01/06/2000</v>
          </cell>
        </row>
        <row r="1841">
          <cell r="B1841" t="str">
            <v>A1036</v>
          </cell>
          <cell r="C1841" t="str">
            <v>001A</v>
          </cell>
          <cell r="D1841" t="str">
            <v>N</v>
          </cell>
          <cell r="E1841" t="str">
            <v>A</v>
          </cell>
          <cell r="F1841" t="str">
            <v>01/06/2000</v>
          </cell>
        </row>
        <row r="1842">
          <cell r="B1842" t="str">
            <v>A1037</v>
          </cell>
          <cell r="C1842" t="str">
            <v>CIP</v>
          </cell>
          <cell r="D1842" t="str">
            <v>N</v>
          </cell>
          <cell r="E1842" t="str">
            <v>A</v>
          </cell>
          <cell r="F1842" t="str">
            <v>01/06/2000</v>
          </cell>
        </row>
        <row r="1843">
          <cell r="B1843" t="str">
            <v>A1038</v>
          </cell>
          <cell r="C1843" t="str">
            <v>UEC</v>
          </cell>
          <cell r="D1843" t="str">
            <v>N</v>
          </cell>
          <cell r="E1843" t="str">
            <v>A</v>
          </cell>
          <cell r="F1843" t="str">
            <v>01/06/2000</v>
          </cell>
        </row>
        <row r="1844">
          <cell r="B1844" t="str">
            <v>A1039</v>
          </cell>
          <cell r="C1844" t="str">
            <v>001A</v>
          </cell>
          <cell r="D1844" t="str">
            <v>N</v>
          </cell>
          <cell r="E1844" t="str">
            <v>A</v>
          </cell>
          <cell r="F1844" t="str">
            <v>01/06/2000</v>
          </cell>
        </row>
        <row r="1845">
          <cell r="B1845" t="str">
            <v>A1040</v>
          </cell>
          <cell r="C1845" t="str">
            <v>CIP</v>
          </cell>
          <cell r="D1845" t="str">
            <v>N</v>
          </cell>
          <cell r="E1845" t="str">
            <v>A</v>
          </cell>
          <cell r="F1845" t="str">
            <v>01/06/2000</v>
          </cell>
        </row>
        <row r="1846">
          <cell r="B1846" t="str">
            <v>A1041</v>
          </cell>
          <cell r="C1846" t="str">
            <v>UEC</v>
          </cell>
          <cell r="D1846" t="str">
            <v>N</v>
          </cell>
          <cell r="E1846" t="str">
            <v>A</v>
          </cell>
          <cell r="F1846" t="str">
            <v>01/06/2000</v>
          </cell>
        </row>
        <row r="1847">
          <cell r="B1847" t="str">
            <v>A1042</v>
          </cell>
          <cell r="C1847" t="str">
            <v>CIP</v>
          </cell>
          <cell r="D1847" t="str">
            <v>N</v>
          </cell>
          <cell r="E1847" t="str">
            <v>A</v>
          </cell>
          <cell r="F1847" t="str">
            <v>01/06/2000</v>
          </cell>
        </row>
        <row r="1848">
          <cell r="B1848" t="str">
            <v>A1043</v>
          </cell>
          <cell r="C1848" t="str">
            <v>UEC</v>
          </cell>
          <cell r="D1848" t="str">
            <v>N</v>
          </cell>
          <cell r="E1848" t="str">
            <v>A</v>
          </cell>
          <cell r="F1848" t="str">
            <v>01/06/2000</v>
          </cell>
        </row>
        <row r="1849">
          <cell r="B1849" t="str">
            <v>A1044</v>
          </cell>
          <cell r="C1849" t="str">
            <v>UEC</v>
          </cell>
          <cell r="D1849" t="str">
            <v>N</v>
          </cell>
          <cell r="E1849" t="str">
            <v>A</v>
          </cell>
          <cell r="F1849" t="str">
            <v>01/06/2000</v>
          </cell>
        </row>
        <row r="1850">
          <cell r="B1850" t="str">
            <v>A1045</v>
          </cell>
          <cell r="C1850" t="str">
            <v>012D</v>
          </cell>
          <cell r="D1850" t="str">
            <v>N</v>
          </cell>
          <cell r="E1850" t="str">
            <v>A</v>
          </cell>
          <cell r="F1850" t="str">
            <v>01/06/2000</v>
          </cell>
        </row>
        <row r="1851">
          <cell r="B1851" t="str">
            <v>A1046</v>
          </cell>
          <cell r="C1851" t="str">
            <v>003A</v>
          </cell>
          <cell r="D1851" t="str">
            <v>N</v>
          </cell>
          <cell r="E1851" t="str">
            <v>A</v>
          </cell>
          <cell r="F1851" t="str">
            <v>01/06/2000</v>
          </cell>
        </row>
        <row r="1852">
          <cell r="B1852" t="str">
            <v>A1047</v>
          </cell>
          <cell r="C1852"/>
          <cell r="D1852" t="str">
            <v>N</v>
          </cell>
          <cell r="E1852" t="str">
            <v>A</v>
          </cell>
          <cell r="F1852" t="str">
            <v>01/06/2000</v>
          </cell>
        </row>
        <row r="1853">
          <cell r="B1853" t="str">
            <v>A1048</v>
          </cell>
          <cell r="C1853" t="str">
            <v>001A</v>
          </cell>
          <cell r="D1853" t="str">
            <v>N</v>
          </cell>
          <cell r="E1853" t="str">
            <v>A</v>
          </cell>
          <cell r="F1853" t="str">
            <v>01/06/2000</v>
          </cell>
        </row>
        <row r="1854">
          <cell r="B1854" t="str">
            <v>A1049</v>
          </cell>
          <cell r="C1854" t="str">
            <v>001A</v>
          </cell>
          <cell r="D1854" t="str">
            <v>Y</v>
          </cell>
          <cell r="E1854" t="str">
            <v>A</v>
          </cell>
          <cell r="F1854" t="str">
            <v>01/06/2000</v>
          </cell>
        </row>
        <row r="1855">
          <cell r="B1855" t="str">
            <v>A1050</v>
          </cell>
          <cell r="C1855" t="str">
            <v>CIP</v>
          </cell>
          <cell r="D1855" t="str">
            <v>Y</v>
          </cell>
          <cell r="E1855" t="str">
            <v>A</v>
          </cell>
          <cell r="F1855" t="str">
            <v>01/06/2000</v>
          </cell>
        </row>
        <row r="1856">
          <cell r="B1856" t="str">
            <v>A1051</v>
          </cell>
          <cell r="C1856" t="str">
            <v>UEC</v>
          </cell>
          <cell r="D1856" t="str">
            <v>Y</v>
          </cell>
          <cell r="E1856" t="str">
            <v>A</v>
          </cell>
          <cell r="F1856" t="str">
            <v>01/06/2000</v>
          </cell>
        </row>
        <row r="1857">
          <cell r="B1857" t="str">
            <v>A1052</v>
          </cell>
          <cell r="C1857" t="str">
            <v>001A</v>
          </cell>
          <cell r="D1857" t="str">
            <v>Y</v>
          </cell>
          <cell r="E1857" t="str">
            <v>A</v>
          </cell>
          <cell r="F1857" t="str">
            <v>01/06/2000</v>
          </cell>
        </row>
        <row r="1858">
          <cell r="B1858" t="str">
            <v>A1054</v>
          </cell>
          <cell r="C1858" t="str">
            <v>IHC</v>
          </cell>
          <cell r="D1858" t="str">
            <v>Y</v>
          </cell>
          <cell r="E1858" t="str">
            <v>A</v>
          </cell>
          <cell r="F1858" t="str">
            <v>01/07/2000</v>
          </cell>
        </row>
        <row r="1859">
          <cell r="B1859" t="str">
            <v>A1055</v>
          </cell>
          <cell r="C1859"/>
          <cell r="D1859" t="str">
            <v>Y</v>
          </cell>
          <cell r="E1859" t="str">
            <v>A</v>
          </cell>
          <cell r="F1859" t="str">
            <v>01/09/2000</v>
          </cell>
        </row>
        <row r="1860">
          <cell r="B1860" t="str">
            <v>A1056</v>
          </cell>
          <cell r="C1860"/>
          <cell r="D1860" t="str">
            <v>Y</v>
          </cell>
          <cell r="E1860" t="str">
            <v>A</v>
          </cell>
          <cell r="F1860" t="str">
            <v>01/09/2000</v>
          </cell>
        </row>
        <row r="1861">
          <cell r="B1861" t="str">
            <v>A1057</v>
          </cell>
          <cell r="C1861"/>
          <cell r="D1861" t="str">
            <v>Y</v>
          </cell>
          <cell r="E1861" t="str">
            <v>A</v>
          </cell>
          <cell r="F1861" t="str">
            <v>01/09/2000</v>
          </cell>
        </row>
        <row r="1862">
          <cell r="B1862" t="str">
            <v>A1059</v>
          </cell>
          <cell r="C1862"/>
          <cell r="D1862" t="str">
            <v>Y</v>
          </cell>
          <cell r="E1862" t="str">
            <v>A</v>
          </cell>
          <cell r="F1862" t="str">
            <v>01/09/2000</v>
          </cell>
        </row>
        <row r="1863">
          <cell r="B1863" t="str">
            <v>A1063</v>
          </cell>
          <cell r="C1863" t="str">
            <v>002L</v>
          </cell>
          <cell r="D1863" t="str">
            <v>Y</v>
          </cell>
          <cell r="E1863" t="str">
            <v>A</v>
          </cell>
          <cell r="F1863" t="str">
            <v>01/12/2000</v>
          </cell>
        </row>
        <row r="1864">
          <cell r="B1864" t="str">
            <v>A1064</v>
          </cell>
          <cell r="C1864" t="str">
            <v>UEC</v>
          </cell>
          <cell r="D1864" t="str">
            <v>Y</v>
          </cell>
          <cell r="E1864" t="str">
            <v>A</v>
          </cell>
          <cell r="F1864" t="str">
            <v>01/12/2000</v>
          </cell>
        </row>
        <row r="1865">
          <cell r="B1865" t="str">
            <v>A1065</v>
          </cell>
          <cell r="C1865" t="str">
            <v>CIP</v>
          </cell>
          <cell r="D1865" t="str">
            <v>N</v>
          </cell>
          <cell r="E1865" t="str">
            <v>A</v>
          </cell>
          <cell r="F1865" t="str">
            <v>01/12/2000</v>
          </cell>
        </row>
        <row r="1866">
          <cell r="B1866" t="str">
            <v>A1066</v>
          </cell>
          <cell r="C1866" t="str">
            <v>017A</v>
          </cell>
          <cell r="D1866" t="str">
            <v>Y</v>
          </cell>
          <cell r="E1866" t="str">
            <v>A</v>
          </cell>
          <cell r="F1866" t="str">
            <v>01/14/2000</v>
          </cell>
        </row>
        <row r="1867">
          <cell r="B1867" t="str">
            <v>A1067</v>
          </cell>
          <cell r="C1867" t="str">
            <v>011C</v>
          </cell>
          <cell r="D1867" t="str">
            <v>Y</v>
          </cell>
          <cell r="E1867" t="str">
            <v>A</v>
          </cell>
          <cell r="F1867" t="str">
            <v>01/14/2000</v>
          </cell>
        </row>
        <row r="1868">
          <cell r="B1868" t="str">
            <v>A1068</v>
          </cell>
          <cell r="C1868" t="str">
            <v>004A</v>
          </cell>
          <cell r="D1868" t="str">
            <v>Y</v>
          </cell>
          <cell r="E1868" t="str">
            <v>A</v>
          </cell>
          <cell r="F1868" t="str">
            <v>01/14/2000</v>
          </cell>
        </row>
        <row r="1869">
          <cell r="B1869" t="str">
            <v>A1069</v>
          </cell>
          <cell r="C1869" t="str">
            <v>002L</v>
          </cell>
          <cell r="D1869" t="str">
            <v>Y</v>
          </cell>
          <cell r="E1869" t="str">
            <v>A</v>
          </cell>
          <cell r="F1869" t="str">
            <v>01/14/2000</v>
          </cell>
        </row>
        <row r="1870">
          <cell r="B1870" t="str">
            <v>A1078</v>
          </cell>
          <cell r="C1870" t="str">
            <v>002L</v>
          </cell>
          <cell r="D1870" t="str">
            <v>Y</v>
          </cell>
          <cell r="E1870" t="str">
            <v>A</v>
          </cell>
          <cell r="F1870" t="str">
            <v>01/20/2000</v>
          </cell>
        </row>
        <row r="1871">
          <cell r="B1871" t="str">
            <v>A1080</v>
          </cell>
          <cell r="C1871" t="str">
            <v>AED</v>
          </cell>
          <cell r="D1871" t="str">
            <v>Y</v>
          </cell>
          <cell r="E1871" t="str">
            <v>A</v>
          </cell>
          <cell r="F1871" t="str">
            <v>01/21/2000</v>
          </cell>
        </row>
        <row r="1872">
          <cell r="B1872" t="str">
            <v>A1081</v>
          </cell>
          <cell r="C1872" t="str">
            <v>UEC</v>
          </cell>
          <cell r="D1872" t="str">
            <v>Y</v>
          </cell>
          <cell r="E1872" t="str">
            <v>A</v>
          </cell>
          <cell r="F1872" t="str">
            <v>01/21/2000</v>
          </cell>
        </row>
        <row r="1873">
          <cell r="B1873" t="str">
            <v>A1084</v>
          </cell>
          <cell r="C1873" t="str">
            <v>GEN</v>
          </cell>
          <cell r="D1873" t="str">
            <v>Y</v>
          </cell>
          <cell r="E1873" t="str">
            <v>A</v>
          </cell>
          <cell r="F1873" t="str">
            <v>01/24/2000</v>
          </cell>
        </row>
        <row r="1874">
          <cell r="B1874" t="str">
            <v>A1085</v>
          </cell>
          <cell r="C1874" t="str">
            <v>011A</v>
          </cell>
          <cell r="D1874" t="str">
            <v>Y</v>
          </cell>
          <cell r="E1874" t="str">
            <v>A</v>
          </cell>
          <cell r="F1874" t="str">
            <v>01/24/2000</v>
          </cell>
        </row>
        <row r="1875">
          <cell r="B1875" t="str">
            <v>A1086</v>
          </cell>
          <cell r="C1875" t="str">
            <v>UEC</v>
          </cell>
          <cell r="D1875" t="str">
            <v>Y</v>
          </cell>
          <cell r="E1875" t="str">
            <v>A</v>
          </cell>
          <cell r="F1875" t="str">
            <v>01/24/2000</v>
          </cell>
        </row>
        <row r="1876">
          <cell r="B1876" t="str">
            <v>A1087</v>
          </cell>
          <cell r="C1876" t="str">
            <v>UEC</v>
          </cell>
          <cell r="D1876" t="str">
            <v>Y</v>
          </cell>
          <cell r="E1876" t="str">
            <v>A</v>
          </cell>
          <cell r="F1876" t="str">
            <v>01/26/2000</v>
          </cell>
        </row>
        <row r="1877">
          <cell r="B1877" t="str">
            <v>A1088</v>
          </cell>
          <cell r="C1877" t="str">
            <v>CIP</v>
          </cell>
          <cell r="D1877" t="str">
            <v>Y</v>
          </cell>
          <cell r="E1877" t="str">
            <v>A</v>
          </cell>
          <cell r="F1877" t="str">
            <v>01/26/2000</v>
          </cell>
        </row>
        <row r="1878">
          <cell r="B1878" t="str">
            <v>A1089</v>
          </cell>
          <cell r="C1878" t="str">
            <v>002L</v>
          </cell>
          <cell r="D1878" t="str">
            <v>Y</v>
          </cell>
          <cell r="E1878" t="str">
            <v>A</v>
          </cell>
          <cell r="F1878" t="str">
            <v>01/26/2000</v>
          </cell>
        </row>
        <row r="1879">
          <cell r="B1879" t="str">
            <v>A1100</v>
          </cell>
          <cell r="C1879" t="str">
            <v>UEC</v>
          </cell>
          <cell r="D1879" t="str">
            <v>Y</v>
          </cell>
          <cell r="E1879" t="str">
            <v>A</v>
          </cell>
          <cell r="F1879" t="str">
            <v>02/02/2000</v>
          </cell>
        </row>
        <row r="1880">
          <cell r="B1880" t="str">
            <v>A1103</v>
          </cell>
          <cell r="C1880" t="str">
            <v>CIP</v>
          </cell>
          <cell r="D1880" t="str">
            <v>Y</v>
          </cell>
          <cell r="E1880" t="str">
            <v>A</v>
          </cell>
          <cell r="F1880" t="str">
            <v>02/03/2000</v>
          </cell>
        </row>
        <row r="1881">
          <cell r="B1881" t="str">
            <v>A1107</v>
          </cell>
          <cell r="C1881" t="str">
            <v>IMS</v>
          </cell>
          <cell r="D1881" t="str">
            <v>Y</v>
          </cell>
          <cell r="E1881" t="str">
            <v>A</v>
          </cell>
          <cell r="F1881" t="str">
            <v>02/17/2000</v>
          </cell>
        </row>
        <row r="1882">
          <cell r="B1882" t="str">
            <v>A1111</v>
          </cell>
          <cell r="C1882" t="str">
            <v>ERC</v>
          </cell>
          <cell r="D1882" t="str">
            <v>Y</v>
          </cell>
          <cell r="E1882" t="str">
            <v>A</v>
          </cell>
          <cell r="F1882" t="str">
            <v>02/22/2000</v>
          </cell>
        </row>
        <row r="1883">
          <cell r="B1883" t="str">
            <v>A1112</v>
          </cell>
          <cell r="C1883" t="str">
            <v>011A</v>
          </cell>
          <cell r="D1883" t="str">
            <v>Y</v>
          </cell>
          <cell r="E1883" t="str">
            <v>A</v>
          </cell>
          <cell r="F1883" t="str">
            <v>02/23/2000</v>
          </cell>
        </row>
        <row r="1884">
          <cell r="B1884" t="str">
            <v>A1113</v>
          </cell>
          <cell r="C1884" t="str">
            <v>003A</v>
          </cell>
          <cell r="D1884" t="str">
            <v>Y</v>
          </cell>
          <cell r="E1884" t="str">
            <v>A</v>
          </cell>
          <cell r="F1884" t="str">
            <v>02/23/2000</v>
          </cell>
        </row>
        <row r="1885">
          <cell r="B1885" t="str">
            <v>A1114</v>
          </cell>
          <cell r="C1885" t="str">
            <v>003A</v>
          </cell>
          <cell r="D1885" t="str">
            <v>Y</v>
          </cell>
          <cell r="E1885" t="str">
            <v>A</v>
          </cell>
          <cell r="F1885" t="str">
            <v>02/23/2000</v>
          </cell>
        </row>
        <row r="1886">
          <cell r="B1886" t="str">
            <v>A1115</v>
          </cell>
          <cell r="C1886" t="str">
            <v>GEN</v>
          </cell>
          <cell r="D1886" t="str">
            <v>Y</v>
          </cell>
          <cell r="E1886" t="str">
            <v>A</v>
          </cell>
          <cell r="F1886" t="str">
            <v>02/23/2000</v>
          </cell>
        </row>
        <row r="1887">
          <cell r="B1887" t="str">
            <v>A1116</v>
          </cell>
          <cell r="C1887" t="str">
            <v>UEC</v>
          </cell>
          <cell r="D1887" t="str">
            <v>Y</v>
          </cell>
          <cell r="E1887" t="str">
            <v>A</v>
          </cell>
          <cell r="F1887" t="str">
            <v>02/24/2000</v>
          </cell>
        </row>
        <row r="1888">
          <cell r="B1888" t="str">
            <v>A1117</v>
          </cell>
          <cell r="C1888" t="str">
            <v>UEC</v>
          </cell>
          <cell r="D1888" t="str">
            <v>Y</v>
          </cell>
          <cell r="E1888" t="str">
            <v>A</v>
          </cell>
          <cell r="F1888" t="str">
            <v>02/24/2000</v>
          </cell>
        </row>
        <row r="1889">
          <cell r="B1889" t="str">
            <v>A1118</v>
          </cell>
          <cell r="C1889" t="str">
            <v>UEC</v>
          </cell>
          <cell r="D1889" t="str">
            <v>Y</v>
          </cell>
          <cell r="E1889" t="str">
            <v>A</v>
          </cell>
          <cell r="F1889" t="str">
            <v>02/24/2000</v>
          </cell>
        </row>
        <row r="1890">
          <cell r="B1890" t="str">
            <v>A1119</v>
          </cell>
          <cell r="C1890" t="str">
            <v>CIP</v>
          </cell>
          <cell r="D1890" t="str">
            <v>Y</v>
          </cell>
          <cell r="E1890" t="str">
            <v>A</v>
          </cell>
          <cell r="F1890" t="str">
            <v>02/24/2000</v>
          </cell>
        </row>
        <row r="1891">
          <cell r="B1891" t="str">
            <v>A1120</v>
          </cell>
          <cell r="C1891" t="str">
            <v>UEC</v>
          </cell>
          <cell r="D1891" t="str">
            <v>Y</v>
          </cell>
          <cell r="E1891" t="str">
            <v>A</v>
          </cell>
          <cell r="F1891" t="str">
            <v>02/24/2000</v>
          </cell>
        </row>
        <row r="1892">
          <cell r="B1892" t="str">
            <v>A1121</v>
          </cell>
          <cell r="C1892" t="str">
            <v>GEN</v>
          </cell>
          <cell r="D1892" t="str">
            <v>Y</v>
          </cell>
          <cell r="E1892" t="str">
            <v>A</v>
          </cell>
          <cell r="F1892" t="str">
            <v>02/24/2000</v>
          </cell>
        </row>
        <row r="1893">
          <cell r="B1893" t="str">
            <v>A1122</v>
          </cell>
          <cell r="C1893" t="str">
            <v>UEC</v>
          </cell>
          <cell r="D1893" t="str">
            <v>Y</v>
          </cell>
          <cell r="E1893" t="str">
            <v>A</v>
          </cell>
          <cell r="F1893" t="str">
            <v>02/24/2000</v>
          </cell>
        </row>
        <row r="1894">
          <cell r="B1894" t="str">
            <v>A1123</v>
          </cell>
          <cell r="C1894" t="str">
            <v>UEC</v>
          </cell>
          <cell r="D1894" t="str">
            <v>Y</v>
          </cell>
          <cell r="E1894" t="str">
            <v>A</v>
          </cell>
          <cell r="F1894" t="str">
            <v>02/24/2000</v>
          </cell>
        </row>
        <row r="1895">
          <cell r="B1895" t="str">
            <v>A1124</v>
          </cell>
          <cell r="C1895" t="str">
            <v>CIP</v>
          </cell>
          <cell r="D1895" t="str">
            <v>Y</v>
          </cell>
          <cell r="E1895" t="str">
            <v>A</v>
          </cell>
          <cell r="F1895" t="str">
            <v>02/24/2000</v>
          </cell>
        </row>
        <row r="1896">
          <cell r="B1896" t="str">
            <v>A1129</v>
          </cell>
          <cell r="C1896" t="str">
            <v>004F</v>
          </cell>
          <cell r="D1896" t="str">
            <v>Y</v>
          </cell>
          <cell r="E1896" t="str">
            <v>A</v>
          </cell>
          <cell r="F1896" t="str">
            <v>03/01/2000</v>
          </cell>
        </row>
        <row r="1897">
          <cell r="B1897" t="str">
            <v>A1134</v>
          </cell>
          <cell r="C1897" t="str">
            <v>002M</v>
          </cell>
          <cell r="D1897" t="str">
            <v>Y</v>
          </cell>
          <cell r="E1897" t="str">
            <v>C</v>
          </cell>
          <cell r="F1897" t="str">
            <v>03/10/2000</v>
          </cell>
        </row>
        <row r="1898">
          <cell r="B1898" t="str">
            <v>A1135</v>
          </cell>
          <cell r="C1898" t="str">
            <v>002M</v>
          </cell>
          <cell r="D1898" t="str">
            <v>Y</v>
          </cell>
          <cell r="E1898" t="str">
            <v>C</v>
          </cell>
          <cell r="F1898" t="str">
            <v>03/10/2000</v>
          </cell>
        </row>
        <row r="1899">
          <cell r="B1899" t="str">
            <v>A1136</v>
          </cell>
          <cell r="C1899" t="str">
            <v>001A</v>
          </cell>
          <cell r="D1899" t="str">
            <v>Y</v>
          </cell>
          <cell r="E1899" t="str">
            <v>A</v>
          </cell>
          <cell r="F1899" t="str">
            <v>03/23/2000</v>
          </cell>
        </row>
        <row r="1900">
          <cell r="B1900" t="str">
            <v>A1138</v>
          </cell>
          <cell r="C1900" t="str">
            <v>ADC</v>
          </cell>
          <cell r="D1900" t="str">
            <v>Y</v>
          </cell>
          <cell r="E1900" t="str">
            <v>A</v>
          </cell>
          <cell r="F1900" t="str">
            <v>04/06/2000</v>
          </cell>
        </row>
        <row r="1901">
          <cell r="B1901" t="str">
            <v>A1147</v>
          </cell>
          <cell r="C1901" t="str">
            <v>AED</v>
          </cell>
          <cell r="D1901" t="str">
            <v>Y</v>
          </cell>
          <cell r="E1901" t="str">
            <v>A</v>
          </cell>
          <cell r="F1901" t="str">
            <v>04/07/2000</v>
          </cell>
        </row>
        <row r="1902">
          <cell r="B1902" t="str">
            <v>A1155</v>
          </cell>
          <cell r="C1902" t="str">
            <v>GEN</v>
          </cell>
          <cell r="D1902" t="str">
            <v>Y</v>
          </cell>
          <cell r="E1902" t="str">
            <v>A</v>
          </cell>
          <cell r="F1902" t="str">
            <v>04/24/2000</v>
          </cell>
        </row>
        <row r="1903">
          <cell r="B1903" t="str">
            <v>A1163</v>
          </cell>
          <cell r="C1903" t="str">
            <v>GMC</v>
          </cell>
          <cell r="D1903" t="str">
            <v>Y</v>
          </cell>
          <cell r="E1903" t="str">
            <v>A</v>
          </cell>
          <cell r="F1903" t="str">
            <v>04/24/2000</v>
          </cell>
        </row>
        <row r="1904">
          <cell r="B1904" t="str">
            <v>A1171</v>
          </cell>
          <cell r="C1904" t="str">
            <v>001A</v>
          </cell>
          <cell r="D1904" t="str">
            <v>Y</v>
          </cell>
          <cell r="E1904" t="str">
            <v>A</v>
          </cell>
          <cell r="F1904" t="str">
            <v>04/26/2000</v>
          </cell>
        </row>
        <row r="1905">
          <cell r="B1905" t="str">
            <v>A1175</v>
          </cell>
          <cell r="C1905" t="str">
            <v>GEN</v>
          </cell>
          <cell r="D1905" t="str">
            <v>Y</v>
          </cell>
          <cell r="E1905" t="str">
            <v>A</v>
          </cell>
          <cell r="F1905" t="str">
            <v>04/27/2000</v>
          </cell>
        </row>
        <row r="1906">
          <cell r="B1906" t="str">
            <v>A1176</v>
          </cell>
          <cell r="C1906" t="str">
            <v>GEN</v>
          </cell>
          <cell r="D1906" t="str">
            <v>Y</v>
          </cell>
          <cell r="E1906" t="str">
            <v>A</v>
          </cell>
          <cell r="F1906" t="str">
            <v>04/27/2000</v>
          </cell>
        </row>
        <row r="1907">
          <cell r="B1907" t="str">
            <v>A1181</v>
          </cell>
          <cell r="C1907" t="str">
            <v>GEN</v>
          </cell>
          <cell r="D1907" t="str">
            <v>N</v>
          </cell>
          <cell r="E1907" t="str">
            <v>A</v>
          </cell>
          <cell r="F1907" t="str">
            <v>04/27/2000</v>
          </cell>
        </row>
        <row r="1908">
          <cell r="B1908" t="str">
            <v>A1182</v>
          </cell>
          <cell r="C1908" t="str">
            <v>GEN</v>
          </cell>
          <cell r="D1908" t="str">
            <v>N</v>
          </cell>
          <cell r="E1908" t="str">
            <v>A</v>
          </cell>
          <cell r="F1908" t="str">
            <v>04/27/2000</v>
          </cell>
        </row>
        <row r="1909">
          <cell r="B1909" t="str">
            <v>A1187</v>
          </cell>
          <cell r="C1909" t="str">
            <v>GMC</v>
          </cell>
          <cell r="D1909" t="str">
            <v>Y</v>
          </cell>
          <cell r="E1909" t="str">
            <v>A</v>
          </cell>
          <cell r="F1909" t="str">
            <v>04/28/2000</v>
          </cell>
        </row>
        <row r="1910">
          <cell r="B1910" t="str">
            <v>A1188</v>
          </cell>
          <cell r="C1910" t="str">
            <v>GEN</v>
          </cell>
          <cell r="D1910" t="str">
            <v>Y</v>
          </cell>
          <cell r="E1910" t="str">
            <v>A</v>
          </cell>
          <cell r="F1910" t="str">
            <v>04/28/2000</v>
          </cell>
        </row>
        <row r="1911">
          <cell r="B1911" t="str">
            <v>A1191</v>
          </cell>
          <cell r="C1911" t="str">
            <v>UEC</v>
          </cell>
          <cell r="D1911" t="str">
            <v>Y</v>
          </cell>
          <cell r="E1911" t="str">
            <v>A</v>
          </cell>
          <cell r="F1911" t="str">
            <v>05/01/2000</v>
          </cell>
        </row>
        <row r="1912">
          <cell r="B1912" t="str">
            <v>A1193</v>
          </cell>
          <cell r="C1912" t="str">
            <v>UEC</v>
          </cell>
          <cell r="D1912" t="str">
            <v>Y</v>
          </cell>
          <cell r="E1912" t="str">
            <v>A</v>
          </cell>
          <cell r="F1912" t="str">
            <v>05/01/2000</v>
          </cell>
        </row>
        <row r="1913">
          <cell r="B1913" t="str">
            <v>A1195</v>
          </cell>
          <cell r="C1913" t="str">
            <v>UEC</v>
          </cell>
          <cell r="D1913" t="str">
            <v>Y</v>
          </cell>
          <cell r="E1913" t="str">
            <v>A</v>
          </cell>
          <cell r="F1913" t="str">
            <v>05/01/2000</v>
          </cell>
        </row>
        <row r="1914">
          <cell r="B1914" t="str">
            <v>A1197</v>
          </cell>
          <cell r="C1914" t="str">
            <v>UEC</v>
          </cell>
          <cell r="D1914" t="str">
            <v>Y</v>
          </cell>
          <cell r="E1914" t="str">
            <v>A</v>
          </cell>
          <cell r="F1914" t="str">
            <v>05/01/2000</v>
          </cell>
        </row>
        <row r="1915">
          <cell r="B1915" t="str">
            <v>A1198</v>
          </cell>
          <cell r="C1915" t="str">
            <v>UEC</v>
          </cell>
          <cell r="D1915" t="str">
            <v>Y</v>
          </cell>
          <cell r="E1915" t="str">
            <v>A</v>
          </cell>
          <cell r="F1915" t="str">
            <v>05/01/2000</v>
          </cell>
        </row>
        <row r="1916">
          <cell r="B1916" t="str">
            <v>A1200</v>
          </cell>
          <cell r="C1916" t="str">
            <v>UEC</v>
          </cell>
          <cell r="D1916" t="str">
            <v>Y</v>
          </cell>
          <cell r="E1916" t="str">
            <v>A</v>
          </cell>
          <cell r="F1916" t="str">
            <v>05/01/2000</v>
          </cell>
        </row>
        <row r="1917">
          <cell r="B1917" t="str">
            <v>A1202</v>
          </cell>
          <cell r="C1917" t="str">
            <v>UEC</v>
          </cell>
          <cell r="D1917" t="str">
            <v>Y</v>
          </cell>
          <cell r="E1917" t="str">
            <v>A</v>
          </cell>
          <cell r="F1917" t="str">
            <v>05/02/2000</v>
          </cell>
        </row>
        <row r="1918">
          <cell r="B1918" t="str">
            <v>A1203</v>
          </cell>
          <cell r="C1918" t="str">
            <v>UEC</v>
          </cell>
          <cell r="D1918" t="str">
            <v>Y</v>
          </cell>
          <cell r="E1918" t="str">
            <v>A</v>
          </cell>
          <cell r="F1918" t="str">
            <v>05/02/2000</v>
          </cell>
        </row>
        <row r="1919">
          <cell r="B1919" t="str">
            <v>A1204</v>
          </cell>
          <cell r="C1919" t="str">
            <v>UEC</v>
          </cell>
          <cell r="D1919" t="str">
            <v>Y</v>
          </cell>
          <cell r="E1919" t="str">
            <v>A</v>
          </cell>
          <cell r="F1919" t="str">
            <v>05/02/2000</v>
          </cell>
        </row>
        <row r="1920">
          <cell r="B1920" t="str">
            <v>A1206</v>
          </cell>
          <cell r="C1920" t="str">
            <v>GEN</v>
          </cell>
          <cell r="D1920" t="str">
            <v>Y</v>
          </cell>
          <cell r="E1920" t="str">
            <v>A</v>
          </cell>
          <cell r="F1920" t="str">
            <v>05/03/2000</v>
          </cell>
        </row>
        <row r="1921">
          <cell r="B1921" t="str">
            <v>A1207</v>
          </cell>
          <cell r="C1921" t="str">
            <v>AED</v>
          </cell>
          <cell r="D1921" t="str">
            <v>Y</v>
          </cell>
          <cell r="E1921" t="str">
            <v>A</v>
          </cell>
          <cell r="F1921" t="str">
            <v>05/03/2000</v>
          </cell>
        </row>
        <row r="1922">
          <cell r="B1922" t="str">
            <v>A1208</v>
          </cell>
          <cell r="C1922" t="str">
            <v>GMC</v>
          </cell>
          <cell r="D1922" t="str">
            <v>Y</v>
          </cell>
          <cell r="E1922" t="str">
            <v>A</v>
          </cell>
          <cell r="F1922" t="str">
            <v>05/03/2000</v>
          </cell>
        </row>
        <row r="1923">
          <cell r="B1923" t="str">
            <v>A1209</v>
          </cell>
          <cell r="C1923" t="str">
            <v>IMS</v>
          </cell>
          <cell r="D1923" t="str">
            <v>Y</v>
          </cell>
          <cell r="E1923" t="str">
            <v>A</v>
          </cell>
          <cell r="F1923" t="str">
            <v>05/04/2000</v>
          </cell>
        </row>
        <row r="1924">
          <cell r="B1924" t="str">
            <v>A1210</v>
          </cell>
          <cell r="C1924" t="str">
            <v>GMC</v>
          </cell>
          <cell r="D1924" t="str">
            <v>Y</v>
          </cell>
          <cell r="E1924" t="str">
            <v>A</v>
          </cell>
          <cell r="F1924" t="str">
            <v>05/04/2000</v>
          </cell>
        </row>
        <row r="1925">
          <cell r="B1925" t="str">
            <v>A1214</v>
          </cell>
          <cell r="C1925" t="str">
            <v>IHC</v>
          </cell>
          <cell r="D1925" t="str">
            <v>Y</v>
          </cell>
          <cell r="E1925" t="str">
            <v>A</v>
          </cell>
          <cell r="F1925" t="str">
            <v>05/08/2000</v>
          </cell>
        </row>
        <row r="1926">
          <cell r="B1926" t="str">
            <v>A1216</v>
          </cell>
          <cell r="C1926" t="str">
            <v>GEN</v>
          </cell>
          <cell r="D1926" t="str">
            <v>Y</v>
          </cell>
          <cell r="E1926" t="str">
            <v>A</v>
          </cell>
          <cell r="F1926" t="str">
            <v>05/08/2000</v>
          </cell>
        </row>
        <row r="1927">
          <cell r="B1927" t="str">
            <v>A1217</v>
          </cell>
          <cell r="C1927" t="str">
            <v>GEN</v>
          </cell>
          <cell r="D1927" t="str">
            <v>Y</v>
          </cell>
          <cell r="E1927" t="str">
            <v>A</v>
          </cell>
          <cell r="F1927" t="str">
            <v>05/08/2000</v>
          </cell>
        </row>
        <row r="1928">
          <cell r="B1928" t="str">
            <v>A1218</v>
          </cell>
          <cell r="C1928" t="str">
            <v>GEN</v>
          </cell>
          <cell r="D1928" t="str">
            <v>Y</v>
          </cell>
          <cell r="E1928" t="str">
            <v>A</v>
          </cell>
          <cell r="F1928" t="str">
            <v>05/08/2000</v>
          </cell>
        </row>
        <row r="1929">
          <cell r="B1929" t="str">
            <v>A1219</v>
          </cell>
          <cell r="C1929" t="str">
            <v>GEN</v>
          </cell>
          <cell r="D1929" t="str">
            <v>Y</v>
          </cell>
          <cell r="E1929" t="str">
            <v>A</v>
          </cell>
          <cell r="F1929" t="str">
            <v>05/08/2000</v>
          </cell>
        </row>
        <row r="1930">
          <cell r="B1930" t="str">
            <v>A1220</v>
          </cell>
          <cell r="C1930" t="str">
            <v>GEN</v>
          </cell>
          <cell r="D1930" t="str">
            <v>Y</v>
          </cell>
          <cell r="E1930" t="str">
            <v>A</v>
          </cell>
          <cell r="F1930" t="str">
            <v>05/08/2000</v>
          </cell>
        </row>
        <row r="1931">
          <cell r="B1931" t="str">
            <v>A1221</v>
          </cell>
          <cell r="C1931" t="str">
            <v>IHC</v>
          </cell>
          <cell r="D1931" t="str">
            <v>Y</v>
          </cell>
          <cell r="E1931" t="str">
            <v>A</v>
          </cell>
          <cell r="F1931" t="str">
            <v>05/08/2000</v>
          </cell>
        </row>
        <row r="1932">
          <cell r="B1932" t="str">
            <v>A1222</v>
          </cell>
          <cell r="C1932" t="str">
            <v>GEN</v>
          </cell>
          <cell r="D1932" t="str">
            <v>N</v>
          </cell>
          <cell r="E1932" t="str">
            <v>A</v>
          </cell>
          <cell r="F1932" t="str">
            <v>05/08/2000</v>
          </cell>
        </row>
        <row r="1933">
          <cell r="B1933" t="str">
            <v>A1223</v>
          </cell>
          <cell r="C1933" t="str">
            <v>GMC</v>
          </cell>
          <cell r="D1933" t="str">
            <v>Y</v>
          </cell>
          <cell r="E1933" t="str">
            <v>A</v>
          </cell>
          <cell r="F1933" t="str">
            <v>05/08/2000</v>
          </cell>
        </row>
        <row r="1934">
          <cell r="B1934" t="str">
            <v>A1224</v>
          </cell>
          <cell r="C1934" t="str">
            <v>GEN</v>
          </cell>
          <cell r="D1934" t="str">
            <v>Y</v>
          </cell>
          <cell r="E1934" t="str">
            <v>A</v>
          </cell>
          <cell r="F1934" t="str">
            <v>05/08/2000</v>
          </cell>
        </row>
        <row r="1935">
          <cell r="B1935" t="str">
            <v>A1225</v>
          </cell>
          <cell r="C1935" t="str">
            <v>IHC</v>
          </cell>
          <cell r="D1935" t="str">
            <v>Y</v>
          </cell>
          <cell r="E1935" t="str">
            <v>A</v>
          </cell>
          <cell r="F1935" t="str">
            <v>05/08/2000</v>
          </cell>
        </row>
        <row r="1936">
          <cell r="B1936" t="str">
            <v>A1226</v>
          </cell>
          <cell r="C1936" t="str">
            <v>AED</v>
          </cell>
          <cell r="D1936" t="str">
            <v>Y</v>
          </cell>
          <cell r="E1936" t="str">
            <v>A</v>
          </cell>
          <cell r="F1936" t="str">
            <v>05/08/2000</v>
          </cell>
        </row>
        <row r="1937">
          <cell r="B1937" t="str">
            <v>A1227</v>
          </cell>
          <cell r="C1937" t="str">
            <v>IMS</v>
          </cell>
          <cell r="D1937" t="str">
            <v>Y</v>
          </cell>
          <cell r="E1937" t="str">
            <v>A</v>
          </cell>
          <cell r="F1937" t="str">
            <v>05/09/2000</v>
          </cell>
        </row>
        <row r="1938">
          <cell r="B1938" t="str">
            <v>A1228</v>
          </cell>
          <cell r="C1938" t="str">
            <v>IHC</v>
          </cell>
          <cell r="D1938" t="str">
            <v>Y</v>
          </cell>
          <cell r="E1938" t="str">
            <v>A</v>
          </cell>
          <cell r="F1938" t="str">
            <v>05/09/2000</v>
          </cell>
        </row>
        <row r="1939">
          <cell r="B1939" t="str">
            <v>A1229</v>
          </cell>
          <cell r="C1939" t="str">
            <v>IHC</v>
          </cell>
          <cell r="D1939" t="str">
            <v>Y</v>
          </cell>
          <cell r="E1939" t="str">
            <v>I</v>
          </cell>
          <cell r="F1939" t="str">
            <v>05/09/2000</v>
          </cell>
        </row>
        <row r="1940">
          <cell r="B1940" t="str">
            <v>A1231</v>
          </cell>
          <cell r="C1940" t="str">
            <v>GEN</v>
          </cell>
          <cell r="D1940" t="str">
            <v>Y</v>
          </cell>
          <cell r="E1940" t="str">
            <v>A</v>
          </cell>
          <cell r="F1940" t="str">
            <v>05/11/2000</v>
          </cell>
        </row>
        <row r="1941">
          <cell r="B1941" t="str">
            <v>A1233</v>
          </cell>
          <cell r="C1941" t="str">
            <v>GEN</v>
          </cell>
          <cell r="D1941" t="str">
            <v>Y</v>
          </cell>
          <cell r="E1941" t="str">
            <v>A</v>
          </cell>
          <cell r="F1941" t="str">
            <v>05/12/2000</v>
          </cell>
        </row>
        <row r="1942">
          <cell r="B1942" t="str">
            <v>A1235</v>
          </cell>
          <cell r="C1942" t="str">
            <v>IHC</v>
          </cell>
          <cell r="D1942" t="str">
            <v>Y</v>
          </cell>
          <cell r="E1942" t="str">
            <v>A</v>
          </cell>
          <cell r="F1942" t="str">
            <v>05/16/2000</v>
          </cell>
        </row>
        <row r="1943">
          <cell r="B1943" t="str">
            <v>A1237</v>
          </cell>
          <cell r="C1943" t="str">
            <v>GEN</v>
          </cell>
          <cell r="D1943" t="str">
            <v>Y</v>
          </cell>
          <cell r="E1943" t="str">
            <v>A</v>
          </cell>
          <cell r="F1943" t="str">
            <v>05/17/2000</v>
          </cell>
        </row>
        <row r="1944">
          <cell r="B1944" t="str">
            <v>A1238</v>
          </cell>
          <cell r="C1944" t="str">
            <v>GMC</v>
          </cell>
          <cell r="D1944" t="str">
            <v>Y</v>
          </cell>
          <cell r="E1944" t="str">
            <v>A</v>
          </cell>
          <cell r="F1944" t="str">
            <v>05/17/2000</v>
          </cell>
        </row>
        <row r="1945">
          <cell r="B1945" t="str">
            <v>A1239</v>
          </cell>
          <cell r="C1945" t="str">
            <v>004C</v>
          </cell>
          <cell r="D1945" t="str">
            <v>N</v>
          </cell>
          <cell r="E1945" t="str">
            <v>A</v>
          </cell>
          <cell r="F1945" t="str">
            <v>05/18/2000</v>
          </cell>
        </row>
        <row r="1946">
          <cell r="B1946" t="str">
            <v>A1247</v>
          </cell>
          <cell r="C1946" t="str">
            <v>004B</v>
          </cell>
          <cell r="D1946" t="str">
            <v>N</v>
          </cell>
          <cell r="E1946" t="str">
            <v>A</v>
          </cell>
          <cell r="F1946" t="str">
            <v>05/18/2000</v>
          </cell>
        </row>
        <row r="1947">
          <cell r="B1947" t="str">
            <v>A1248</v>
          </cell>
          <cell r="C1947" t="str">
            <v>GEN</v>
          </cell>
          <cell r="D1947" t="str">
            <v>Y</v>
          </cell>
          <cell r="E1947" t="str">
            <v>A</v>
          </cell>
          <cell r="F1947" t="str">
            <v>05/22/2000</v>
          </cell>
        </row>
        <row r="1948">
          <cell r="B1948" t="str">
            <v>A1251</v>
          </cell>
          <cell r="C1948" t="str">
            <v>CIP</v>
          </cell>
          <cell r="D1948" t="str">
            <v>Y</v>
          </cell>
          <cell r="E1948" t="str">
            <v>A</v>
          </cell>
          <cell r="F1948" t="str">
            <v>05/25/2000</v>
          </cell>
        </row>
        <row r="1949">
          <cell r="B1949" t="str">
            <v>A1252</v>
          </cell>
          <cell r="C1949" t="str">
            <v>CIP</v>
          </cell>
          <cell r="D1949" t="str">
            <v>Y</v>
          </cell>
          <cell r="E1949" t="str">
            <v>A</v>
          </cell>
          <cell r="F1949" t="str">
            <v>05/25/2000</v>
          </cell>
        </row>
        <row r="1950">
          <cell r="B1950" t="str">
            <v>A1253</v>
          </cell>
          <cell r="C1950" t="str">
            <v>CIP</v>
          </cell>
          <cell r="D1950" t="str">
            <v>Y</v>
          </cell>
          <cell r="E1950" t="str">
            <v>A</v>
          </cell>
          <cell r="F1950" t="str">
            <v>05/25/2000</v>
          </cell>
        </row>
        <row r="1951">
          <cell r="B1951" t="str">
            <v>A1257</v>
          </cell>
          <cell r="C1951" t="str">
            <v>GEN</v>
          </cell>
          <cell r="D1951" t="str">
            <v>Y</v>
          </cell>
          <cell r="E1951" t="str">
            <v>A</v>
          </cell>
          <cell r="F1951" t="str">
            <v>05/25/2000</v>
          </cell>
        </row>
        <row r="1952">
          <cell r="B1952" t="str">
            <v>A1258</v>
          </cell>
          <cell r="C1952" t="str">
            <v>IHC</v>
          </cell>
          <cell r="D1952" t="str">
            <v>Y</v>
          </cell>
          <cell r="E1952" t="str">
            <v>A</v>
          </cell>
          <cell r="F1952" t="str">
            <v>05/25/2000</v>
          </cell>
        </row>
        <row r="1953">
          <cell r="B1953" t="str">
            <v>A1259</v>
          </cell>
          <cell r="C1953" t="str">
            <v>GMC</v>
          </cell>
          <cell r="D1953" t="str">
            <v>Y</v>
          </cell>
          <cell r="E1953" t="str">
            <v>A</v>
          </cell>
          <cell r="F1953" t="str">
            <v>05/25/2000</v>
          </cell>
        </row>
        <row r="1954">
          <cell r="B1954" t="str">
            <v>A1261</v>
          </cell>
          <cell r="C1954" t="str">
            <v>GEN</v>
          </cell>
          <cell r="D1954" t="str">
            <v>Y</v>
          </cell>
          <cell r="E1954" t="str">
            <v>A</v>
          </cell>
          <cell r="F1954" t="str">
            <v>05/25/2000</v>
          </cell>
        </row>
        <row r="1955">
          <cell r="B1955" t="str">
            <v>A1262</v>
          </cell>
          <cell r="C1955" t="str">
            <v>IHC</v>
          </cell>
          <cell r="D1955" t="str">
            <v>Y</v>
          </cell>
          <cell r="E1955" t="str">
            <v>A</v>
          </cell>
          <cell r="F1955" t="str">
            <v>05/25/2000</v>
          </cell>
        </row>
        <row r="1956">
          <cell r="B1956" t="str">
            <v>A1263</v>
          </cell>
          <cell r="C1956" t="str">
            <v>CIP</v>
          </cell>
          <cell r="D1956" t="str">
            <v>Y</v>
          </cell>
          <cell r="E1956" t="str">
            <v>A</v>
          </cell>
          <cell r="F1956" t="str">
            <v>05/30/2000</v>
          </cell>
        </row>
        <row r="1957">
          <cell r="B1957" t="str">
            <v>A1264</v>
          </cell>
          <cell r="C1957" t="str">
            <v>UEC</v>
          </cell>
          <cell r="D1957" t="str">
            <v>Y</v>
          </cell>
          <cell r="E1957" t="str">
            <v>A</v>
          </cell>
          <cell r="F1957" t="str">
            <v>06/07/2000</v>
          </cell>
        </row>
        <row r="1958">
          <cell r="B1958" t="str">
            <v>A1265</v>
          </cell>
          <cell r="C1958" t="str">
            <v>GEN</v>
          </cell>
          <cell r="D1958" t="str">
            <v>Y</v>
          </cell>
          <cell r="E1958" t="str">
            <v>A</v>
          </cell>
          <cell r="F1958" t="str">
            <v>05/30/2000</v>
          </cell>
        </row>
        <row r="1959">
          <cell r="B1959" t="str">
            <v>A1266</v>
          </cell>
          <cell r="C1959" t="str">
            <v>GMC</v>
          </cell>
          <cell r="D1959" t="str">
            <v>Y</v>
          </cell>
          <cell r="E1959" t="str">
            <v>A</v>
          </cell>
          <cell r="F1959" t="str">
            <v>05/30/2000</v>
          </cell>
        </row>
        <row r="1960">
          <cell r="B1960" t="str">
            <v>A1267</v>
          </cell>
          <cell r="C1960" t="str">
            <v>GEN</v>
          </cell>
          <cell r="D1960" t="str">
            <v>Y</v>
          </cell>
          <cell r="E1960" t="str">
            <v>A</v>
          </cell>
          <cell r="F1960" t="str">
            <v>05/30/2000</v>
          </cell>
        </row>
        <row r="1961">
          <cell r="B1961" t="str">
            <v>A1268</v>
          </cell>
          <cell r="C1961" t="str">
            <v>GMC</v>
          </cell>
          <cell r="D1961" t="str">
            <v>Y</v>
          </cell>
          <cell r="E1961" t="str">
            <v>A</v>
          </cell>
          <cell r="F1961" t="str">
            <v>05/30/2000</v>
          </cell>
        </row>
        <row r="1962">
          <cell r="B1962" t="str">
            <v>A1269</v>
          </cell>
          <cell r="C1962" t="str">
            <v>CIP</v>
          </cell>
          <cell r="D1962" t="str">
            <v>Y</v>
          </cell>
          <cell r="E1962" t="str">
            <v>A</v>
          </cell>
          <cell r="F1962" t="str">
            <v>05/30/2000</v>
          </cell>
        </row>
        <row r="1963">
          <cell r="B1963" t="str">
            <v>A1272</v>
          </cell>
          <cell r="C1963" t="str">
            <v>IHC</v>
          </cell>
          <cell r="D1963" t="str">
            <v>Y</v>
          </cell>
          <cell r="E1963" t="str">
            <v>A</v>
          </cell>
          <cell r="F1963" t="str">
            <v>05/31/2000</v>
          </cell>
        </row>
        <row r="1964">
          <cell r="B1964" t="str">
            <v>A1276</v>
          </cell>
          <cell r="C1964" t="str">
            <v>GMC</v>
          </cell>
          <cell r="D1964" t="str">
            <v>Y</v>
          </cell>
          <cell r="E1964" t="str">
            <v>A</v>
          </cell>
          <cell r="F1964" t="str">
            <v>05/31/2000</v>
          </cell>
        </row>
        <row r="1965">
          <cell r="B1965" t="str">
            <v>A1278</v>
          </cell>
          <cell r="C1965" t="str">
            <v>GEN</v>
          </cell>
          <cell r="D1965" t="str">
            <v>Y</v>
          </cell>
          <cell r="E1965" t="str">
            <v>A</v>
          </cell>
          <cell r="F1965" t="str">
            <v>05/31/2000</v>
          </cell>
        </row>
        <row r="1966">
          <cell r="B1966" t="str">
            <v>A1282</v>
          </cell>
          <cell r="C1966" t="str">
            <v>UEC</v>
          </cell>
          <cell r="D1966" t="str">
            <v>Y</v>
          </cell>
          <cell r="E1966" t="str">
            <v>A</v>
          </cell>
          <cell r="F1966" t="str">
            <v>06/07/2000</v>
          </cell>
        </row>
        <row r="1967">
          <cell r="B1967" t="str">
            <v>A1283</v>
          </cell>
          <cell r="C1967" t="str">
            <v>CIP</v>
          </cell>
          <cell r="D1967" t="str">
            <v>Y</v>
          </cell>
          <cell r="E1967" t="str">
            <v>A</v>
          </cell>
          <cell r="F1967" t="str">
            <v>06/07/2000</v>
          </cell>
        </row>
        <row r="1968">
          <cell r="B1968" t="str">
            <v>A1284</v>
          </cell>
          <cell r="C1968" t="str">
            <v>GEN</v>
          </cell>
          <cell r="D1968" t="str">
            <v>Y</v>
          </cell>
          <cell r="E1968" t="str">
            <v>A</v>
          </cell>
          <cell r="F1968" t="str">
            <v>06/07/2000</v>
          </cell>
        </row>
        <row r="1969">
          <cell r="B1969" t="str">
            <v>A1296</v>
          </cell>
          <cell r="C1969" t="str">
            <v>CIP</v>
          </cell>
          <cell r="D1969" t="str">
            <v>Y</v>
          </cell>
          <cell r="E1969" t="str">
            <v>A</v>
          </cell>
          <cell r="F1969" t="str">
            <v>06/15/2000</v>
          </cell>
        </row>
        <row r="1970">
          <cell r="B1970" t="str">
            <v>A1297</v>
          </cell>
          <cell r="C1970" t="str">
            <v>UEC</v>
          </cell>
          <cell r="D1970" t="str">
            <v>Y</v>
          </cell>
          <cell r="E1970" t="str">
            <v>A</v>
          </cell>
          <cell r="F1970" t="str">
            <v>06/15/2000</v>
          </cell>
        </row>
        <row r="1971">
          <cell r="B1971" t="str">
            <v>A1298</v>
          </cell>
          <cell r="C1971" t="str">
            <v>GEN</v>
          </cell>
          <cell r="D1971" t="str">
            <v>Y</v>
          </cell>
          <cell r="E1971" t="str">
            <v>A</v>
          </cell>
          <cell r="F1971" t="str">
            <v>06/15/2000</v>
          </cell>
        </row>
        <row r="1972">
          <cell r="B1972" t="str">
            <v>A1299</v>
          </cell>
          <cell r="C1972" t="str">
            <v>GMC</v>
          </cell>
          <cell r="D1972" t="str">
            <v>Y</v>
          </cell>
          <cell r="E1972" t="str">
            <v>A</v>
          </cell>
          <cell r="F1972" t="str">
            <v>06/15/2000</v>
          </cell>
        </row>
        <row r="1973">
          <cell r="B1973" t="str">
            <v>A1303</v>
          </cell>
          <cell r="C1973" t="str">
            <v>001G</v>
          </cell>
          <cell r="D1973" t="str">
            <v>Y</v>
          </cell>
          <cell r="E1973" t="str">
            <v>A</v>
          </cell>
          <cell r="F1973" t="str">
            <v>06/16/2000</v>
          </cell>
        </row>
        <row r="1974">
          <cell r="B1974" t="str">
            <v>A1307</v>
          </cell>
          <cell r="C1974" t="str">
            <v>GEN</v>
          </cell>
          <cell r="D1974" t="str">
            <v>Y</v>
          </cell>
          <cell r="E1974" t="str">
            <v>A</v>
          </cell>
          <cell r="F1974" t="str">
            <v>06/21/2000</v>
          </cell>
        </row>
        <row r="1975">
          <cell r="B1975" t="str">
            <v>A1308</v>
          </cell>
          <cell r="C1975" t="str">
            <v>IHC</v>
          </cell>
          <cell r="D1975" t="str">
            <v>Y</v>
          </cell>
          <cell r="E1975" t="str">
            <v>A</v>
          </cell>
          <cell r="F1975" t="str">
            <v>06/21/2000</v>
          </cell>
        </row>
        <row r="1976">
          <cell r="B1976" t="str">
            <v>A1309</v>
          </cell>
          <cell r="C1976" t="str">
            <v>IHC</v>
          </cell>
          <cell r="D1976" t="str">
            <v>Y</v>
          </cell>
          <cell r="E1976" t="str">
            <v>A</v>
          </cell>
          <cell r="F1976" t="str">
            <v>06/21/2000</v>
          </cell>
        </row>
        <row r="1977">
          <cell r="B1977" t="str">
            <v>A1310</v>
          </cell>
          <cell r="C1977" t="str">
            <v>GEN</v>
          </cell>
          <cell r="D1977" t="str">
            <v>Y</v>
          </cell>
          <cell r="E1977" t="str">
            <v>A</v>
          </cell>
          <cell r="F1977" t="str">
            <v>06/21/2000</v>
          </cell>
        </row>
        <row r="1978">
          <cell r="B1978" t="str">
            <v>A1316</v>
          </cell>
          <cell r="C1978" t="str">
            <v>UEC</v>
          </cell>
          <cell r="D1978" t="str">
            <v>N</v>
          </cell>
          <cell r="E1978" t="str">
            <v>A</v>
          </cell>
          <cell r="F1978" t="str">
            <v>06/28/2000</v>
          </cell>
        </row>
        <row r="1979">
          <cell r="B1979" t="str">
            <v>A1317</v>
          </cell>
          <cell r="C1979" t="str">
            <v>UEC</v>
          </cell>
          <cell r="D1979" t="str">
            <v>N</v>
          </cell>
          <cell r="E1979" t="str">
            <v>A</v>
          </cell>
          <cell r="F1979" t="str">
            <v>06/28/2000</v>
          </cell>
        </row>
        <row r="1980">
          <cell r="B1980" t="str">
            <v>A2003</v>
          </cell>
          <cell r="C1980" t="str">
            <v>UEC</v>
          </cell>
          <cell r="D1980" t="str">
            <v>Y</v>
          </cell>
          <cell r="E1980" t="str">
            <v>A</v>
          </cell>
          <cell r="F1980" t="str">
            <v>08/15/2000</v>
          </cell>
        </row>
        <row r="1981">
          <cell r="B1981" t="str">
            <v>A2005</v>
          </cell>
          <cell r="C1981" t="str">
            <v>CIP</v>
          </cell>
          <cell r="D1981" t="str">
            <v>Y</v>
          </cell>
          <cell r="E1981" t="str">
            <v>A</v>
          </cell>
          <cell r="F1981" t="str">
            <v>08/15/2000</v>
          </cell>
        </row>
        <row r="1982">
          <cell r="B1982" t="str">
            <v>A2006</v>
          </cell>
          <cell r="C1982" t="str">
            <v>004A</v>
          </cell>
          <cell r="D1982" t="str">
            <v>Y</v>
          </cell>
          <cell r="E1982" t="str">
            <v>A</v>
          </cell>
          <cell r="F1982" t="str">
            <v>08/17/2000</v>
          </cell>
        </row>
        <row r="1983">
          <cell r="B1983" t="str">
            <v>A2009</v>
          </cell>
          <cell r="C1983" t="str">
            <v>UEC</v>
          </cell>
          <cell r="D1983" t="str">
            <v>Y</v>
          </cell>
          <cell r="E1983" t="str">
            <v>I</v>
          </cell>
          <cell r="F1983" t="str">
            <v>08/18/2000</v>
          </cell>
        </row>
        <row r="1984">
          <cell r="B1984" t="str">
            <v>A2010</v>
          </cell>
          <cell r="C1984" t="str">
            <v>002L</v>
          </cell>
          <cell r="D1984" t="str">
            <v>Y</v>
          </cell>
          <cell r="E1984" t="str">
            <v>A</v>
          </cell>
          <cell r="F1984" t="str">
            <v>08/11/2000</v>
          </cell>
        </row>
        <row r="1985">
          <cell r="B1985" t="str">
            <v>A2011</v>
          </cell>
          <cell r="C1985" t="str">
            <v>001A</v>
          </cell>
          <cell r="D1985" t="str">
            <v>Y</v>
          </cell>
          <cell r="E1985" t="str">
            <v>A</v>
          </cell>
          <cell r="F1985" t="str">
            <v>08/11/2000</v>
          </cell>
        </row>
        <row r="1986">
          <cell r="B1986" t="str">
            <v>A2012</v>
          </cell>
          <cell r="C1986" t="str">
            <v>AME</v>
          </cell>
          <cell r="D1986" t="str">
            <v>Y</v>
          </cell>
          <cell r="E1986" t="str">
            <v>A</v>
          </cell>
          <cell r="F1986" t="str">
            <v>08/11/2000</v>
          </cell>
        </row>
        <row r="1987">
          <cell r="B1987" t="str">
            <v>A2013</v>
          </cell>
          <cell r="C1987" t="str">
            <v>GEN</v>
          </cell>
          <cell r="D1987" t="str">
            <v>Y</v>
          </cell>
          <cell r="E1987" t="str">
            <v>I</v>
          </cell>
          <cell r="F1987" t="str">
            <v>08/11/2000</v>
          </cell>
        </row>
        <row r="1988">
          <cell r="B1988" t="str">
            <v>A2014</v>
          </cell>
          <cell r="C1988" t="str">
            <v>GMC</v>
          </cell>
          <cell r="D1988" t="str">
            <v>Y</v>
          </cell>
          <cell r="E1988" t="str">
            <v>A</v>
          </cell>
          <cell r="F1988" t="str">
            <v>08/11/2000</v>
          </cell>
        </row>
        <row r="1989">
          <cell r="B1989" t="str">
            <v>A2015</v>
          </cell>
          <cell r="C1989" t="str">
            <v>UEC</v>
          </cell>
          <cell r="D1989" t="str">
            <v>Y</v>
          </cell>
          <cell r="E1989" t="str">
            <v>I</v>
          </cell>
          <cell r="F1989" t="str">
            <v>08/11/2000</v>
          </cell>
        </row>
        <row r="1990">
          <cell r="B1990" t="str">
            <v>A2016</v>
          </cell>
          <cell r="C1990" t="str">
            <v>CIP</v>
          </cell>
          <cell r="D1990" t="str">
            <v>Y</v>
          </cell>
          <cell r="E1990" t="str">
            <v>I</v>
          </cell>
          <cell r="F1990" t="str">
            <v>08/11/2000</v>
          </cell>
        </row>
        <row r="1991">
          <cell r="B1991" t="str">
            <v>A2017</v>
          </cell>
          <cell r="C1991" t="str">
            <v>002A</v>
          </cell>
          <cell r="D1991" t="str">
            <v>Y</v>
          </cell>
          <cell r="E1991" t="str">
            <v>A</v>
          </cell>
          <cell r="F1991" t="str">
            <v>08/11/2000</v>
          </cell>
        </row>
        <row r="1992">
          <cell r="B1992" t="str">
            <v>A2018</v>
          </cell>
          <cell r="C1992" t="str">
            <v>004A</v>
          </cell>
          <cell r="D1992" t="str">
            <v>Y</v>
          </cell>
          <cell r="E1992" t="str">
            <v>I</v>
          </cell>
          <cell r="F1992" t="str">
            <v>08/11/2000</v>
          </cell>
        </row>
        <row r="1993">
          <cell r="B1993" t="str">
            <v>A2019</v>
          </cell>
          <cell r="C1993" t="str">
            <v>011A</v>
          </cell>
          <cell r="D1993" t="str">
            <v>Y</v>
          </cell>
          <cell r="E1993" t="str">
            <v>A</v>
          </cell>
          <cell r="F1993" t="str">
            <v>08/11/2000</v>
          </cell>
        </row>
        <row r="1994">
          <cell r="B1994" t="str">
            <v>A2020</v>
          </cell>
          <cell r="C1994"/>
          <cell r="D1994" t="str">
            <v>Y</v>
          </cell>
          <cell r="E1994" t="str">
            <v>I</v>
          </cell>
          <cell r="F1994" t="str">
            <v>08/11/2000</v>
          </cell>
        </row>
        <row r="1995">
          <cell r="B1995" t="str">
            <v>A2022</v>
          </cell>
          <cell r="C1995" t="str">
            <v>CIP</v>
          </cell>
          <cell r="D1995" t="str">
            <v>Y</v>
          </cell>
          <cell r="E1995" t="str">
            <v>A</v>
          </cell>
          <cell r="F1995" t="str">
            <v>08/18/2000</v>
          </cell>
        </row>
        <row r="1996">
          <cell r="B1996" t="str">
            <v>A2023</v>
          </cell>
          <cell r="C1996" t="str">
            <v>UEC</v>
          </cell>
          <cell r="D1996" t="str">
            <v>Y</v>
          </cell>
          <cell r="E1996" t="str">
            <v>A</v>
          </cell>
          <cell r="F1996" t="str">
            <v>08/17/2000</v>
          </cell>
        </row>
        <row r="1997">
          <cell r="B1997" t="str">
            <v>A2024</v>
          </cell>
          <cell r="C1997" t="str">
            <v>GEN</v>
          </cell>
          <cell r="D1997" t="str">
            <v>Y</v>
          </cell>
          <cell r="E1997" t="str">
            <v>A</v>
          </cell>
          <cell r="F1997" t="str">
            <v>08/18/2000</v>
          </cell>
        </row>
        <row r="1998">
          <cell r="B1998" t="str">
            <v>A2025</v>
          </cell>
          <cell r="C1998" t="str">
            <v>GEN</v>
          </cell>
          <cell r="D1998" t="str">
            <v>Y</v>
          </cell>
          <cell r="E1998" t="str">
            <v>A</v>
          </cell>
          <cell r="F1998" t="str">
            <v>08/18/2000</v>
          </cell>
        </row>
        <row r="1999">
          <cell r="B1999" t="str">
            <v>A2026</v>
          </cell>
          <cell r="C1999" t="str">
            <v>GEN</v>
          </cell>
          <cell r="D1999" t="str">
            <v>Y</v>
          </cell>
          <cell r="E1999" t="str">
            <v>A</v>
          </cell>
          <cell r="F1999" t="str">
            <v>08/18/2000</v>
          </cell>
        </row>
        <row r="2000">
          <cell r="B2000" t="str">
            <v>A2027</v>
          </cell>
          <cell r="C2000" t="str">
            <v>GEN</v>
          </cell>
          <cell r="D2000" t="str">
            <v>Y</v>
          </cell>
          <cell r="E2000" t="str">
            <v>A</v>
          </cell>
          <cell r="F2000" t="str">
            <v>08/18/2000</v>
          </cell>
        </row>
        <row r="2001">
          <cell r="B2001" t="str">
            <v>A2029</v>
          </cell>
          <cell r="C2001" t="str">
            <v>002L</v>
          </cell>
          <cell r="D2001" t="str">
            <v>Y</v>
          </cell>
          <cell r="E2001" t="str">
            <v>A</v>
          </cell>
          <cell r="F2001" t="str">
            <v>08/16/2000</v>
          </cell>
        </row>
        <row r="2002">
          <cell r="B2002" t="str">
            <v>A2031</v>
          </cell>
          <cell r="C2002" t="str">
            <v>GEN</v>
          </cell>
          <cell r="D2002" t="str">
            <v>Y</v>
          </cell>
          <cell r="E2002" t="str">
            <v>A</v>
          </cell>
          <cell r="F2002" t="str">
            <v>08/18/2000</v>
          </cell>
        </row>
        <row r="2003">
          <cell r="B2003" t="str">
            <v>A2032</v>
          </cell>
          <cell r="C2003" t="str">
            <v>002A</v>
          </cell>
          <cell r="D2003" t="str">
            <v>Y</v>
          </cell>
          <cell r="E2003" t="str">
            <v>A</v>
          </cell>
          <cell r="F2003" t="str">
            <v>08/18/2000</v>
          </cell>
        </row>
        <row r="2004">
          <cell r="B2004" t="str">
            <v>A2033</v>
          </cell>
          <cell r="C2004" t="str">
            <v>011B</v>
          </cell>
          <cell r="D2004" t="str">
            <v>N</v>
          </cell>
          <cell r="E2004" t="str">
            <v>A</v>
          </cell>
          <cell r="F2004" t="str">
            <v>08/21/2000</v>
          </cell>
        </row>
        <row r="2005">
          <cell r="B2005" t="str">
            <v>A2034</v>
          </cell>
          <cell r="C2005" t="str">
            <v>UEC</v>
          </cell>
          <cell r="D2005" t="str">
            <v>N</v>
          </cell>
          <cell r="E2005" t="str">
            <v>A</v>
          </cell>
          <cell r="F2005" t="str">
            <v>08/20/2000</v>
          </cell>
        </row>
        <row r="2006">
          <cell r="B2006" t="str">
            <v>A2035</v>
          </cell>
          <cell r="C2006" t="str">
            <v>UEC</v>
          </cell>
          <cell r="D2006" t="str">
            <v>N</v>
          </cell>
          <cell r="E2006" t="str">
            <v>A</v>
          </cell>
          <cell r="F2006" t="str">
            <v>08/18/2000</v>
          </cell>
        </row>
        <row r="2007">
          <cell r="B2007" t="str">
            <v>A2036</v>
          </cell>
          <cell r="C2007" t="str">
            <v>UEC</v>
          </cell>
          <cell r="D2007" t="str">
            <v>N</v>
          </cell>
          <cell r="E2007" t="str">
            <v>A</v>
          </cell>
          <cell r="F2007" t="str">
            <v>08/20/2000</v>
          </cell>
        </row>
        <row r="2008">
          <cell r="B2008" t="str">
            <v>A2037</v>
          </cell>
          <cell r="C2008" t="str">
            <v>UEC</v>
          </cell>
          <cell r="D2008" t="str">
            <v>N</v>
          </cell>
          <cell r="E2008" t="str">
            <v>A</v>
          </cell>
          <cell r="F2008" t="str">
            <v>08/20/2000</v>
          </cell>
        </row>
        <row r="2009">
          <cell r="B2009" t="str">
            <v>A2038</v>
          </cell>
          <cell r="C2009" t="str">
            <v>UEC</v>
          </cell>
          <cell r="D2009" t="str">
            <v>N</v>
          </cell>
          <cell r="E2009" t="str">
            <v>A</v>
          </cell>
          <cell r="F2009" t="str">
            <v>08/20/2000</v>
          </cell>
        </row>
        <row r="2010">
          <cell r="B2010" t="str">
            <v>A2039</v>
          </cell>
          <cell r="C2010" t="str">
            <v>UEC</v>
          </cell>
          <cell r="D2010" t="str">
            <v>N</v>
          </cell>
          <cell r="E2010" t="str">
            <v>A</v>
          </cell>
          <cell r="F2010" t="str">
            <v>08/20/2000</v>
          </cell>
        </row>
        <row r="2011">
          <cell r="B2011" t="str">
            <v>A2040</v>
          </cell>
          <cell r="C2011" t="str">
            <v>UEC</v>
          </cell>
          <cell r="D2011" t="str">
            <v>N</v>
          </cell>
          <cell r="E2011" t="str">
            <v>A</v>
          </cell>
          <cell r="F2011" t="str">
            <v>08/20/2000</v>
          </cell>
        </row>
        <row r="2012">
          <cell r="B2012" t="str">
            <v>A2041</v>
          </cell>
          <cell r="C2012" t="str">
            <v>UEC</v>
          </cell>
          <cell r="D2012" t="str">
            <v>N</v>
          </cell>
          <cell r="E2012" t="str">
            <v>A</v>
          </cell>
          <cell r="F2012" t="str">
            <v>08/20/2000</v>
          </cell>
        </row>
        <row r="2013">
          <cell r="B2013" t="str">
            <v>A2042</v>
          </cell>
          <cell r="C2013" t="str">
            <v>UEC</v>
          </cell>
          <cell r="D2013" t="str">
            <v>N</v>
          </cell>
          <cell r="E2013" t="str">
            <v>A</v>
          </cell>
          <cell r="F2013" t="str">
            <v>08/20/2000</v>
          </cell>
        </row>
        <row r="2014">
          <cell r="B2014" t="str">
            <v>A2043</v>
          </cell>
          <cell r="C2014" t="str">
            <v>UEC</v>
          </cell>
          <cell r="D2014" t="str">
            <v>N</v>
          </cell>
          <cell r="E2014" t="str">
            <v>A</v>
          </cell>
          <cell r="F2014" t="str">
            <v>08/20/2000</v>
          </cell>
        </row>
        <row r="2015">
          <cell r="B2015" t="str">
            <v>A2044</v>
          </cell>
          <cell r="C2015" t="str">
            <v>GEN</v>
          </cell>
          <cell r="D2015" t="str">
            <v>N</v>
          </cell>
          <cell r="E2015" t="str">
            <v>A</v>
          </cell>
          <cell r="F2015" t="str">
            <v>08/20/2000</v>
          </cell>
        </row>
        <row r="2016">
          <cell r="B2016" t="str">
            <v>A2045</v>
          </cell>
          <cell r="C2016" t="str">
            <v>GEN</v>
          </cell>
          <cell r="D2016" t="str">
            <v>N</v>
          </cell>
          <cell r="E2016" t="str">
            <v>A</v>
          </cell>
          <cell r="F2016" t="str">
            <v>08/20/2000</v>
          </cell>
        </row>
        <row r="2017">
          <cell r="B2017" t="str">
            <v>A2046</v>
          </cell>
          <cell r="C2017" t="str">
            <v>GEN</v>
          </cell>
          <cell r="D2017" t="str">
            <v>N</v>
          </cell>
          <cell r="E2017" t="str">
            <v>A</v>
          </cell>
          <cell r="F2017" t="str">
            <v>08/20/2000</v>
          </cell>
        </row>
        <row r="2018">
          <cell r="B2018" t="str">
            <v>A2047</v>
          </cell>
          <cell r="C2018" t="str">
            <v>GEN</v>
          </cell>
          <cell r="D2018" t="str">
            <v>N</v>
          </cell>
          <cell r="E2018" t="str">
            <v>A</v>
          </cell>
          <cell r="F2018" t="str">
            <v>08/20/2000</v>
          </cell>
        </row>
        <row r="2019">
          <cell r="B2019" t="str">
            <v>A2048</v>
          </cell>
          <cell r="C2019" t="str">
            <v>GEN</v>
          </cell>
          <cell r="D2019" t="str">
            <v>N</v>
          </cell>
          <cell r="E2019" t="str">
            <v>A</v>
          </cell>
          <cell r="F2019" t="str">
            <v>08/20/2000</v>
          </cell>
        </row>
        <row r="2020">
          <cell r="B2020" t="str">
            <v>A2049</v>
          </cell>
          <cell r="C2020" t="str">
            <v>GEN</v>
          </cell>
          <cell r="D2020" t="str">
            <v>N</v>
          </cell>
          <cell r="E2020" t="str">
            <v>A</v>
          </cell>
          <cell r="F2020" t="str">
            <v>08/20/2000</v>
          </cell>
        </row>
        <row r="2021">
          <cell r="B2021" t="str">
            <v>A2050</v>
          </cell>
          <cell r="C2021" t="str">
            <v>GEN</v>
          </cell>
          <cell r="D2021" t="str">
            <v>N</v>
          </cell>
          <cell r="E2021" t="str">
            <v>A</v>
          </cell>
          <cell r="F2021" t="str">
            <v>08/20/2000</v>
          </cell>
        </row>
        <row r="2022">
          <cell r="B2022" t="str">
            <v>A2051</v>
          </cell>
          <cell r="C2022" t="str">
            <v>GEN</v>
          </cell>
          <cell r="D2022" t="str">
            <v>N</v>
          </cell>
          <cell r="E2022" t="str">
            <v>A</v>
          </cell>
          <cell r="F2022" t="str">
            <v>08/20/2000</v>
          </cell>
        </row>
        <row r="2023">
          <cell r="B2023" t="str">
            <v>A2067</v>
          </cell>
          <cell r="C2023" t="str">
            <v>011A</v>
          </cell>
          <cell r="D2023" t="str">
            <v>Y</v>
          </cell>
          <cell r="E2023" t="str">
            <v>A</v>
          </cell>
          <cell r="F2023" t="str">
            <v>08/22/2000</v>
          </cell>
        </row>
        <row r="2024">
          <cell r="B2024" t="str">
            <v>A2074</v>
          </cell>
          <cell r="C2024" t="str">
            <v>AEC</v>
          </cell>
          <cell r="D2024" t="str">
            <v>Y</v>
          </cell>
          <cell r="E2024" t="str">
            <v>A</v>
          </cell>
          <cell r="F2024" t="str">
            <v>09/01/2000</v>
          </cell>
        </row>
        <row r="2025">
          <cell r="B2025" t="str">
            <v>A2078</v>
          </cell>
          <cell r="C2025"/>
          <cell r="D2025" t="str">
            <v>Y</v>
          </cell>
          <cell r="E2025" t="str">
            <v>A</v>
          </cell>
          <cell r="F2025" t="str">
            <v>09/05/2000</v>
          </cell>
        </row>
        <row r="2026">
          <cell r="B2026" t="str">
            <v>A2079</v>
          </cell>
          <cell r="C2026" t="str">
            <v>002A</v>
          </cell>
          <cell r="D2026" t="str">
            <v>Y</v>
          </cell>
          <cell r="E2026" t="str">
            <v>A</v>
          </cell>
          <cell r="F2026" t="str">
            <v>09/07/2000</v>
          </cell>
        </row>
        <row r="2027">
          <cell r="B2027" t="str">
            <v>A2080</v>
          </cell>
          <cell r="C2027" t="str">
            <v>004A</v>
          </cell>
          <cell r="D2027" t="str">
            <v>Y</v>
          </cell>
          <cell r="E2027" t="str">
            <v>A</v>
          </cell>
          <cell r="F2027" t="str">
            <v>09/05/2000</v>
          </cell>
        </row>
        <row r="2028">
          <cell r="B2028" t="str">
            <v>A2081</v>
          </cell>
          <cell r="C2028" t="str">
            <v>GEN</v>
          </cell>
          <cell r="D2028" t="str">
            <v>Y</v>
          </cell>
          <cell r="E2028" t="str">
            <v>A</v>
          </cell>
          <cell r="F2028" t="str">
            <v>09/06/2000</v>
          </cell>
        </row>
        <row r="2029">
          <cell r="B2029" t="str">
            <v>A2084</v>
          </cell>
          <cell r="C2029" t="str">
            <v>001A</v>
          </cell>
          <cell r="D2029" t="str">
            <v>Y</v>
          </cell>
          <cell r="E2029" t="str">
            <v>A</v>
          </cell>
          <cell r="F2029" t="str">
            <v>09/14/2000</v>
          </cell>
        </row>
        <row r="2030">
          <cell r="B2030" t="str">
            <v>A2085</v>
          </cell>
          <cell r="C2030" t="str">
            <v>001A</v>
          </cell>
          <cell r="D2030" t="str">
            <v>Y</v>
          </cell>
          <cell r="E2030" t="str">
            <v>A</v>
          </cell>
          <cell r="F2030" t="str">
            <v>09/12/2000</v>
          </cell>
        </row>
        <row r="2031">
          <cell r="B2031" t="str">
            <v>A2091</v>
          </cell>
          <cell r="C2031" t="str">
            <v>001A</v>
          </cell>
          <cell r="D2031" t="str">
            <v>N</v>
          </cell>
          <cell r="E2031" t="str">
            <v>I</v>
          </cell>
          <cell r="F2031" t="str">
            <v>09/14/2000</v>
          </cell>
        </row>
        <row r="2032">
          <cell r="B2032" t="str">
            <v>A2092</v>
          </cell>
          <cell r="C2032" t="str">
            <v>001A</v>
          </cell>
          <cell r="D2032" t="str">
            <v>Y</v>
          </cell>
          <cell r="E2032" t="str">
            <v>A</v>
          </cell>
          <cell r="F2032" t="str">
            <v>09/14/2000</v>
          </cell>
        </row>
        <row r="2033">
          <cell r="B2033" t="str">
            <v>A2093</v>
          </cell>
          <cell r="C2033" t="str">
            <v>001G</v>
          </cell>
          <cell r="D2033" t="str">
            <v>Y</v>
          </cell>
          <cell r="E2033" t="str">
            <v>I</v>
          </cell>
          <cell r="F2033" t="str">
            <v>09/19/2000</v>
          </cell>
        </row>
        <row r="2034">
          <cell r="B2034" t="str">
            <v>A2094</v>
          </cell>
          <cell r="C2034" t="str">
            <v>AFS</v>
          </cell>
          <cell r="D2034" t="str">
            <v>N</v>
          </cell>
          <cell r="E2034" t="str">
            <v>I</v>
          </cell>
          <cell r="F2034" t="str">
            <v>01/12/2004</v>
          </cell>
        </row>
        <row r="2035">
          <cell r="B2035" t="str">
            <v>A2096</v>
          </cell>
          <cell r="C2035" t="str">
            <v>AFS</v>
          </cell>
          <cell r="D2035" t="str">
            <v>Y</v>
          </cell>
          <cell r="E2035" t="str">
            <v>A</v>
          </cell>
          <cell r="F2035" t="str">
            <v>09/21/2000</v>
          </cell>
        </row>
        <row r="2036">
          <cell r="B2036" t="str">
            <v>A2104</v>
          </cell>
          <cell r="C2036" t="str">
            <v>004A</v>
          </cell>
          <cell r="D2036" t="str">
            <v>Y</v>
          </cell>
          <cell r="E2036" t="str">
            <v>A</v>
          </cell>
          <cell r="F2036" t="str">
            <v>09/22/2000</v>
          </cell>
        </row>
        <row r="2037">
          <cell r="B2037" t="str">
            <v>A2105</v>
          </cell>
          <cell r="C2037" t="str">
            <v>UEC</v>
          </cell>
          <cell r="D2037" t="str">
            <v>Y</v>
          </cell>
          <cell r="E2037" t="str">
            <v>A</v>
          </cell>
          <cell r="F2037" t="str">
            <v>09/22/2000</v>
          </cell>
        </row>
        <row r="2038">
          <cell r="B2038" t="str">
            <v>A2106</v>
          </cell>
          <cell r="C2038" t="str">
            <v>017C</v>
          </cell>
          <cell r="D2038" t="str">
            <v>Y</v>
          </cell>
          <cell r="E2038" t="str">
            <v>A</v>
          </cell>
          <cell r="F2038" t="str">
            <v>09/22/2000</v>
          </cell>
        </row>
        <row r="2039">
          <cell r="B2039" t="str">
            <v>A2107</v>
          </cell>
          <cell r="C2039" t="str">
            <v>001G</v>
          </cell>
          <cell r="D2039" t="str">
            <v>Y</v>
          </cell>
          <cell r="E2039" t="str">
            <v>A</v>
          </cell>
          <cell r="F2039" t="str">
            <v>09/22/2000</v>
          </cell>
        </row>
        <row r="2040">
          <cell r="B2040" t="str">
            <v>A2108</v>
          </cell>
          <cell r="C2040" t="str">
            <v>GEN</v>
          </cell>
          <cell r="D2040" t="str">
            <v>Y</v>
          </cell>
          <cell r="E2040" t="str">
            <v>A</v>
          </cell>
          <cell r="F2040" t="str">
            <v>09/22/2000</v>
          </cell>
        </row>
        <row r="2041">
          <cell r="B2041" t="str">
            <v>A2109</v>
          </cell>
          <cell r="C2041" t="str">
            <v>UEC</v>
          </cell>
          <cell r="D2041" t="str">
            <v>Y</v>
          </cell>
          <cell r="E2041" t="str">
            <v>A</v>
          </cell>
          <cell r="F2041" t="str">
            <v>09/22/2000</v>
          </cell>
        </row>
        <row r="2042">
          <cell r="B2042" t="str">
            <v>A2111</v>
          </cell>
          <cell r="C2042" t="str">
            <v>002K</v>
          </cell>
          <cell r="D2042" t="str">
            <v>Y</v>
          </cell>
          <cell r="E2042" t="str">
            <v>A</v>
          </cell>
          <cell r="F2042" t="str">
            <v>10/09/2000</v>
          </cell>
        </row>
        <row r="2043">
          <cell r="B2043" t="str">
            <v>A2112</v>
          </cell>
          <cell r="C2043" t="str">
            <v>004C</v>
          </cell>
          <cell r="D2043" t="str">
            <v>Y</v>
          </cell>
          <cell r="E2043" t="str">
            <v>A</v>
          </cell>
          <cell r="F2043" t="str">
            <v>10/06/2000</v>
          </cell>
        </row>
        <row r="2044">
          <cell r="B2044" t="str">
            <v>A2113</v>
          </cell>
          <cell r="C2044" t="str">
            <v>004A</v>
          </cell>
          <cell r="D2044" t="str">
            <v>Y</v>
          </cell>
          <cell r="E2044" t="str">
            <v>A</v>
          </cell>
          <cell r="F2044" t="str">
            <v>10/06/2000</v>
          </cell>
        </row>
        <row r="2045">
          <cell r="B2045" t="str">
            <v>A2114</v>
          </cell>
          <cell r="C2045" t="str">
            <v>004A</v>
          </cell>
          <cell r="D2045" t="str">
            <v>Y</v>
          </cell>
          <cell r="E2045" t="str">
            <v>A</v>
          </cell>
          <cell r="F2045" t="str">
            <v>10/06/2000</v>
          </cell>
        </row>
        <row r="2046">
          <cell r="B2046" t="str">
            <v>A2115</v>
          </cell>
          <cell r="C2046" t="str">
            <v>AFS</v>
          </cell>
          <cell r="D2046" t="str">
            <v>Y</v>
          </cell>
          <cell r="E2046" t="str">
            <v>A</v>
          </cell>
          <cell r="F2046" t="str">
            <v>10/03/2000</v>
          </cell>
        </row>
        <row r="2047">
          <cell r="B2047" t="str">
            <v>A2116</v>
          </cell>
          <cell r="C2047" t="str">
            <v>007A</v>
          </cell>
          <cell r="D2047" t="str">
            <v>Y</v>
          </cell>
          <cell r="E2047" t="str">
            <v>A</v>
          </cell>
          <cell r="F2047" t="str">
            <v>01/17/2001</v>
          </cell>
        </row>
        <row r="2048">
          <cell r="B2048" t="str">
            <v>A2122</v>
          </cell>
          <cell r="C2048"/>
          <cell r="D2048" t="str">
            <v>Y</v>
          </cell>
          <cell r="E2048" t="str">
            <v>A</v>
          </cell>
          <cell r="F2048" t="str">
            <v>10/17/2000</v>
          </cell>
        </row>
        <row r="2049">
          <cell r="B2049" t="str">
            <v>A2124</v>
          </cell>
          <cell r="C2049" t="str">
            <v>007A</v>
          </cell>
          <cell r="D2049" t="str">
            <v>Y</v>
          </cell>
          <cell r="E2049" t="str">
            <v>A</v>
          </cell>
          <cell r="F2049" t="str">
            <v>11/08/2000</v>
          </cell>
        </row>
        <row r="2050">
          <cell r="B2050" t="str">
            <v>A2126</v>
          </cell>
          <cell r="C2050" t="str">
            <v>001G</v>
          </cell>
          <cell r="D2050" t="str">
            <v>Y</v>
          </cell>
          <cell r="E2050" t="str">
            <v>A</v>
          </cell>
          <cell r="F2050" t="str">
            <v>11/30/2000</v>
          </cell>
        </row>
        <row r="2051">
          <cell r="B2051" t="str">
            <v>A2127</v>
          </cell>
          <cell r="C2051" t="str">
            <v>UEC</v>
          </cell>
          <cell r="D2051" t="str">
            <v>N</v>
          </cell>
          <cell r="E2051" t="str">
            <v>A</v>
          </cell>
          <cell r="F2051" t="str">
            <v>12/11/2000</v>
          </cell>
        </row>
        <row r="2052">
          <cell r="B2052" t="str">
            <v>A2128</v>
          </cell>
          <cell r="C2052" t="str">
            <v>UEC</v>
          </cell>
          <cell r="D2052" t="str">
            <v>N</v>
          </cell>
          <cell r="E2052" t="str">
            <v>A</v>
          </cell>
          <cell r="F2052" t="str">
            <v>12/11/2000</v>
          </cell>
        </row>
        <row r="2053">
          <cell r="B2053" t="str">
            <v>A2129</v>
          </cell>
          <cell r="C2053" t="str">
            <v>001G</v>
          </cell>
          <cell r="D2053" t="str">
            <v>N</v>
          </cell>
          <cell r="E2053" t="str">
            <v>I</v>
          </cell>
          <cell r="F2053" t="str">
            <v>12/13/2000</v>
          </cell>
        </row>
        <row r="2054">
          <cell r="B2054" t="str">
            <v>A2130</v>
          </cell>
          <cell r="C2054" t="str">
            <v>AFS</v>
          </cell>
          <cell r="D2054" t="str">
            <v>Y</v>
          </cell>
          <cell r="E2054" t="str">
            <v>A</v>
          </cell>
          <cell r="F2054" t="str">
            <v>12/13/2000</v>
          </cell>
        </row>
        <row r="2055">
          <cell r="B2055" t="str">
            <v>A2132</v>
          </cell>
          <cell r="C2055" t="str">
            <v>AFS</v>
          </cell>
          <cell r="D2055" t="str">
            <v>Y</v>
          </cell>
          <cell r="E2055" t="str">
            <v>A</v>
          </cell>
          <cell r="F2055" t="str">
            <v>01/16/2001</v>
          </cell>
        </row>
        <row r="2056">
          <cell r="B2056" t="str">
            <v>A2133</v>
          </cell>
          <cell r="C2056" t="str">
            <v>GEN</v>
          </cell>
          <cell r="D2056" t="str">
            <v>Y</v>
          </cell>
          <cell r="E2056" t="str">
            <v>A</v>
          </cell>
          <cell r="F2056" t="str">
            <v>01/16/2001</v>
          </cell>
        </row>
        <row r="2057">
          <cell r="B2057" t="str">
            <v>A2134</v>
          </cell>
          <cell r="C2057" t="str">
            <v>IMS</v>
          </cell>
          <cell r="D2057" t="str">
            <v>Y</v>
          </cell>
          <cell r="E2057" t="str">
            <v>A</v>
          </cell>
          <cell r="F2057" t="str">
            <v>02/05/2001</v>
          </cell>
        </row>
        <row r="2058">
          <cell r="B2058" t="str">
            <v>A2135</v>
          </cell>
          <cell r="C2058" t="str">
            <v>001G</v>
          </cell>
          <cell r="D2058" t="str">
            <v>Y</v>
          </cell>
          <cell r="E2058" t="str">
            <v>A</v>
          </cell>
          <cell r="F2058" t="str">
            <v>02/06/2001</v>
          </cell>
        </row>
        <row r="2059">
          <cell r="B2059" t="str">
            <v>A2136</v>
          </cell>
          <cell r="C2059" t="str">
            <v>UEC</v>
          </cell>
          <cell r="D2059" t="str">
            <v>N</v>
          </cell>
          <cell r="E2059" t="str">
            <v>A</v>
          </cell>
          <cell r="F2059" t="str">
            <v>02/07/2001</v>
          </cell>
        </row>
        <row r="2060">
          <cell r="B2060" t="str">
            <v>A2139</v>
          </cell>
          <cell r="C2060" t="str">
            <v>001A</v>
          </cell>
          <cell r="D2060" t="str">
            <v>Y</v>
          </cell>
          <cell r="E2060" t="str">
            <v>A</v>
          </cell>
          <cell r="F2060" t="str">
            <v>02/15/2001</v>
          </cell>
        </row>
        <row r="2061">
          <cell r="B2061" t="str">
            <v>A2140</v>
          </cell>
          <cell r="C2061" t="str">
            <v>004A</v>
          </cell>
          <cell r="D2061" t="str">
            <v>Y</v>
          </cell>
          <cell r="E2061" t="str">
            <v>A</v>
          </cell>
          <cell r="F2061" t="str">
            <v>03/07/2001</v>
          </cell>
        </row>
        <row r="2062">
          <cell r="B2062" t="str">
            <v>A2142</v>
          </cell>
          <cell r="C2062" t="str">
            <v>GEN</v>
          </cell>
          <cell r="D2062" t="str">
            <v>Y</v>
          </cell>
          <cell r="E2062" t="str">
            <v>A</v>
          </cell>
          <cell r="F2062" t="str">
            <v>03/14/2001</v>
          </cell>
        </row>
        <row r="2063">
          <cell r="B2063" t="str">
            <v>A2145</v>
          </cell>
          <cell r="C2063" t="str">
            <v>001A</v>
          </cell>
          <cell r="D2063" t="str">
            <v>Y</v>
          </cell>
          <cell r="E2063" t="str">
            <v>A</v>
          </cell>
          <cell r="F2063" t="str">
            <v>04/11/2001</v>
          </cell>
        </row>
        <row r="2064">
          <cell r="B2064" t="str">
            <v>A2148</v>
          </cell>
          <cell r="C2064" t="str">
            <v>007A</v>
          </cell>
          <cell r="D2064" t="str">
            <v>Y</v>
          </cell>
          <cell r="E2064" t="str">
            <v>A</v>
          </cell>
          <cell r="F2064" t="str">
            <v>05/08/2001</v>
          </cell>
        </row>
        <row r="2065">
          <cell r="B2065" t="str">
            <v>A2149</v>
          </cell>
          <cell r="C2065" t="str">
            <v>GMC</v>
          </cell>
          <cell r="D2065" t="str">
            <v>Y</v>
          </cell>
          <cell r="E2065" t="str">
            <v>A</v>
          </cell>
          <cell r="F2065" t="str">
            <v>05/09/2001</v>
          </cell>
        </row>
        <row r="2066">
          <cell r="B2066" t="str">
            <v>A2150</v>
          </cell>
          <cell r="C2066" t="str">
            <v>GEN</v>
          </cell>
          <cell r="D2066" t="str">
            <v>Y</v>
          </cell>
          <cell r="E2066" t="str">
            <v>A</v>
          </cell>
          <cell r="F2066" t="str">
            <v>06/04/2001</v>
          </cell>
        </row>
        <row r="2067">
          <cell r="B2067" t="str">
            <v>A2151</v>
          </cell>
          <cell r="C2067" t="str">
            <v>UEC</v>
          </cell>
          <cell r="D2067" t="str">
            <v>Y</v>
          </cell>
          <cell r="E2067" t="str">
            <v>A</v>
          </cell>
          <cell r="F2067" t="str">
            <v>06/13/2001</v>
          </cell>
        </row>
        <row r="2068">
          <cell r="B2068" t="str">
            <v>A2152</v>
          </cell>
          <cell r="C2068" t="str">
            <v>002K</v>
          </cell>
          <cell r="D2068" t="str">
            <v>Y</v>
          </cell>
          <cell r="E2068" t="str">
            <v>A</v>
          </cell>
          <cell r="F2068" t="str">
            <v>06/13/2001</v>
          </cell>
        </row>
        <row r="2069">
          <cell r="B2069" t="str">
            <v>A2153</v>
          </cell>
          <cell r="C2069" t="str">
            <v>CIP</v>
          </cell>
          <cell r="D2069" t="str">
            <v>Y</v>
          </cell>
          <cell r="E2069" t="str">
            <v>A</v>
          </cell>
          <cell r="F2069" t="str">
            <v>06/13/2001</v>
          </cell>
        </row>
        <row r="2070">
          <cell r="B2070" t="str">
            <v>A2154</v>
          </cell>
          <cell r="C2070" t="str">
            <v>GEN</v>
          </cell>
          <cell r="D2070" t="str">
            <v>N</v>
          </cell>
          <cell r="E2070" t="str">
            <v>A</v>
          </cell>
          <cell r="F2070" t="str">
            <v>06/13/2001</v>
          </cell>
        </row>
        <row r="2071">
          <cell r="B2071" t="str">
            <v>A2155</v>
          </cell>
          <cell r="C2071" t="str">
            <v>UEC</v>
          </cell>
          <cell r="D2071" t="str">
            <v>N</v>
          </cell>
          <cell r="E2071" t="str">
            <v>A</v>
          </cell>
          <cell r="F2071" t="str">
            <v>06/13/2001</v>
          </cell>
        </row>
        <row r="2072">
          <cell r="B2072" t="str">
            <v>A2156</v>
          </cell>
          <cell r="C2072" t="str">
            <v>AED</v>
          </cell>
          <cell r="D2072" t="str">
            <v>N</v>
          </cell>
          <cell r="E2072" t="str">
            <v>A</v>
          </cell>
          <cell r="F2072" t="str">
            <v>06/13/2001</v>
          </cell>
        </row>
        <row r="2073">
          <cell r="B2073" t="str">
            <v>A2158</v>
          </cell>
          <cell r="C2073" t="str">
            <v>001A</v>
          </cell>
          <cell r="D2073" t="str">
            <v>N</v>
          </cell>
          <cell r="E2073" t="str">
            <v>A</v>
          </cell>
          <cell r="F2073" t="str">
            <v>07/10/2001</v>
          </cell>
        </row>
        <row r="2074">
          <cell r="B2074" t="str">
            <v>A2161</v>
          </cell>
          <cell r="C2074" t="str">
            <v>UEC</v>
          </cell>
          <cell r="D2074" t="str">
            <v>Y</v>
          </cell>
          <cell r="E2074" t="str">
            <v>A</v>
          </cell>
          <cell r="F2074" t="str">
            <v>07/17/2001</v>
          </cell>
        </row>
        <row r="2075">
          <cell r="B2075" t="str">
            <v>A2162</v>
          </cell>
          <cell r="C2075" t="str">
            <v>CIP</v>
          </cell>
          <cell r="D2075" t="str">
            <v>Y</v>
          </cell>
          <cell r="E2075" t="str">
            <v>A</v>
          </cell>
          <cell r="F2075" t="str">
            <v>07/17/2001</v>
          </cell>
        </row>
        <row r="2076">
          <cell r="B2076" t="str">
            <v>A2163</v>
          </cell>
          <cell r="C2076" t="str">
            <v>002K</v>
          </cell>
          <cell r="D2076" t="str">
            <v>Y</v>
          </cell>
          <cell r="E2076" t="str">
            <v>A</v>
          </cell>
          <cell r="F2076" t="str">
            <v>07/17/2001</v>
          </cell>
        </row>
        <row r="2077">
          <cell r="B2077" t="str">
            <v>A2164</v>
          </cell>
          <cell r="C2077" t="str">
            <v>UEC</v>
          </cell>
          <cell r="D2077" t="str">
            <v>Y</v>
          </cell>
          <cell r="E2077" t="str">
            <v>A</v>
          </cell>
          <cell r="F2077" t="str">
            <v>07/18/2001</v>
          </cell>
        </row>
        <row r="2078">
          <cell r="B2078" t="str">
            <v>A2165</v>
          </cell>
          <cell r="C2078" t="str">
            <v>CIP</v>
          </cell>
          <cell r="D2078" t="str">
            <v>Y</v>
          </cell>
          <cell r="E2078" t="str">
            <v>A</v>
          </cell>
          <cell r="F2078" t="str">
            <v>07/18/2001</v>
          </cell>
        </row>
        <row r="2079">
          <cell r="B2079" t="str">
            <v>A2166</v>
          </cell>
          <cell r="C2079" t="str">
            <v>002K</v>
          </cell>
          <cell r="D2079" t="str">
            <v>Y</v>
          </cell>
          <cell r="E2079" t="str">
            <v>A</v>
          </cell>
          <cell r="F2079" t="str">
            <v>07/18/2001</v>
          </cell>
        </row>
        <row r="2080">
          <cell r="B2080" t="str">
            <v>A2167</v>
          </cell>
          <cell r="C2080"/>
          <cell r="D2080" t="str">
            <v>Y</v>
          </cell>
          <cell r="E2080" t="str">
            <v>A</v>
          </cell>
          <cell r="F2080" t="str">
            <v>07/17/2001</v>
          </cell>
        </row>
        <row r="2081">
          <cell r="B2081" t="str">
            <v>A2168</v>
          </cell>
          <cell r="C2081" t="str">
            <v>017B</v>
          </cell>
          <cell r="D2081" t="str">
            <v>Y</v>
          </cell>
          <cell r="E2081" t="str">
            <v>A</v>
          </cell>
          <cell r="F2081" t="str">
            <v>07/18/2001</v>
          </cell>
        </row>
        <row r="2082">
          <cell r="B2082" t="str">
            <v>A2173</v>
          </cell>
          <cell r="C2082" t="str">
            <v>007A</v>
          </cell>
          <cell r="D2082" t="str">
            <v>Y</v>
          </cell>
          <cell r="E2082" t="str">
            <v>I</v>
          </cell>
          <cell r="F2082" t="str">
            <v>07/18/2001</v>
          </cell>
        </row>
        <row r="2083">
          <cell r="B2083" t="str">
            <v>A2174</v>
          </cell>
          <cell r="C2083" t="str">
            <v>UEC</v>
          </cell>
          <cell r="D2083" t="str">
            <v>Y</v>
          </cell>
          <cell r="E2083" t="str">
            <v>A</v>
          </cell>
          <cell r="F2083" t="str">
            <v>07/25/2001</v>
          </cell>
        </row>
        <row r="2084">
          <cell r="B2084" t="str">
            <v>A2175</v>
          </cell>
          <cell r="C2084" t="str">
            <v>CIP</v>
          </cell>
          <cell r="D2084" t="str">
            <v>Y</v>
          </cell>
          <cell r="E2084" t="str">
            <v>A</v>
          </cell>
          <cell r="F2084" t="str">
            <v>07/25/2001</v>
          </cell>
        </row>
        <row r="2085">
          <cell r="B2085" t="str">
            <v>A2176</v>
          </cell>
          <cell r="C2085" t="str">
            <v>002K</v>
          </cell>
          <cell r="D2085" t="str">
            <v>Y</v>
          </cell>
          <cell r="E2085" t="str">
            <v>A</v>
          </cell>
          <cell r="F2085" t="str">
            <v>07/25/2001</v>
          </cell>
        </row>
        <row r="2086">
          <cell r="B2086" t="str">
            <v>A2177</v>
          </cell>
          <cell r="C2086" t="str">
            <v>UEC</v>
          </cell>
          <cell r="D2086" t="str">
            <v>Y</v>
          </cell>
          <cell r="E2086" t="str">
            <v>A</v>
          </cell>
          <cell r="F2086" t="str">
            <v>07/17/2001</v>
          </cell>
        </row>
        <row r="2087">
          <cell r="B2087" t="str">
            <v>A2178</v>
          </cell>
          <cell r="C2087" t="str">
            <v>CIP</v>
          </cell>
          <cell r="D2087" t="str">
            <v>Y</v>
          </cell>
          <cell r="E2087" t="str">
            <v>A</v>
          </cell>
          <cell r="F2087" t="str">
            <v>07/17/2001</v>
          </cell>
        </row>
        <row r="2088">
          <cell r="B2088" t="str">
            <v>A2179</v>
          </cell>
          <cell r="C2088" t="str">
            <v>002K</v>
          </cell>
          <cell r="D2088" t="str">
            <v>Y</v>
          </cell>
          <cell r="E2088" t="str">
            <v>A</v>
          </cell>
          <cell r="F2088" t="str">
            <v>07/17/2001</v>
          </cell>
        </row>
        <row r="2089">
          <cell r="B2089" t="str">
            <v>A2181</v>
          </cell>
          <cell r="C2089" t="str">
            <v>002A</v>
          </cell>
          <cell r="D2089" t="str">
            <v>Y</v>
          </cell>
          <cell r="E2089" t="str">
            <v>A</v>
          </cell>
          <cell r="F2089" t="str">
            <v>07/18/2001</v>
          </cell>
        </row>
        <row r="2090">
          <cell r="B2090" t="str">
            <v>A2184</v>
          </cell>
          <cell r="C2090" t="str">
            <v>004A</v>
          </cell>
          <cell r="D2090" t="str">
            <v>Y</v>
          </cell>
          <cell r="E2090" t="str">
            <v>A</v>
          </cell>
          <cell r="F2090" t="str">
            <v>08/17/2001</v>
          </cell>
        </row>
        <row r="2091">
          <cell r="B2091" t="str">
            <v>A2186</v>
          </cell>
          <cell r="C2091" t="str">
            <v>004H</v>
          </cell>
          <cell r="D2091" t="str">
            <v>N</v>
          </cell>
          <cell r="E2091" t="str">
            <v>A</v>
          </cell>
          <cell r="F2091" t="str">
            <v>08/10/2001</v>
          </cell>
        </row>
        <row r="2092">
          <cell r="B2092" t="str">
            <v>A2187</v>
          </cell>
          <cell r="C2092" t="str">
            <v>004I</v>
          </cell>
          <cell r="D2092" t="str">
            <v>N</v>
          </cell>
          <cell r="E2092" t="str">
            <v>A</v>
          </cell>
          <cell r="F2092" t="str">
            <v>08/10/2001</v>
          </cell>
        </row>
        <row r="2093">
          <cell r="B2093" t="str">
            <v>A2188</v>
          </cell>
          <cell r="C2093" t="str">
            <v>004J</v>
          </cell>
          <cell r="D2093" t="str">
            <v>N</v>
          </cell>
          <cell r="E2093" t="str">
            <v>A</v>
          </cell>
          <cell r="F2093" t="str">
            <v>08/10/2001</v>
          </cell>
        </row>
        <row r="2094">
          <cell r="B2094" t="str">
            <v>A2189</v>
          </cell>
          <cell r="C2094" t="str">
            <v>004M</v>
          </cell>
          <cell r="D2094" t="str">
            <v>N</v>
          </cell>
          <cell r="E2094" t="str">
            <v>A</v>
          </cell>
          <cell r="F2094" t="str">
            <v>08/10/2001</v>
          </cell>
        </row>
        <row r="2095">
          <cell r="B2095" t="str">
            <v>A2190</v>
          </cell>
          <cell r="C2095" t="str">
            <v>UEC</v>
          </cell>
          <cell r="D2095" t="str">
            <v>N</v>
          </cell>
          <cell r="E2095" t="str">
            <v>A</v>
          </cell>
          <cell r="F2095" t="str">
            <v>08/10/2001</v>
          </cell>
        </row>
        <row r="2096">
          <cell r="B2096" t="str">
            <v>A2191</v>
          </cell>
          <cell r="C2096" t="str">
            <v>004K</v>
          </cell>
          <cell r="D2096" t="str">
            <v>N</v>
          </cell>
          <cell r="E2096" t="str">
            <v>A</v>
          </cell>
          <cell r="F2096" t="str">
            <v>08/10/2001</v>
          </cell>
        </row>
        <row r="2097">
          <cell r="B2097" t="str">
            <v>A2192</v>
          </cell>
          <cell r="C2097" t="str">
            <v>004L</v>
          </cell>
          <cell r="D2097" t="str">
            <v>N</v>
          </cell>
          <cell r="E2097" t="str">
            <v>A</v>
          </cell>
          <cell r="F2097" t="str">
            <v>08/10/2001</v>
          </cell>
        </row>
        <row r="2098">
          <cell r="B2098" t="str">
            <v>A2193</v>
          </cell>
          <cell r="C2098" t="str">
            <v>002I</v>
          </cell>
          <cell r="D2098" t="str">
            <v>Y</v>
          </cell>
          <cell r="E2098" t="str">
            <v>A</v>
          </cell>
          <cell r="F2098" t="str">
            <v>08/09/2001</v>
          </cell>
        </row>
        <row r="2099">
          <cell r="B2099" t="str">
            <v>A2194</v>
          </cell>
          <cell r="C2099" t="str">
            <v>002F</v>
          </cell>
          <cell r="D2099" t="str">
            <v>Y</v>
          </cell>
          <cell r="E2099" t="str">
            <v>A</v>
          </cell>
          <cell r="F2099" t="str">
            <v>08/09/2001</v>
          </cell>
        </row>
        <row r="2100">
          <cell r="B2100" t="str">
            <v>A2195</v>
          </cell>
          <cell r="C2100" t="str">
            <v>002G</v>
          </cell>
          <cell r="D2100" t="str">
            <v>Y</v>
          </cell>
          <cell r="E2100" t="str">
            <v>A</v>
          </cell>
          <cell r="F2100" t="str">
            <v>08/09/2001</v>
          </cell>
        </row>
        <row r="2101">
          <cell r="B2101" t="str">
            <v>A2196</v>
          </cell>
          <cell r="C2101" t="str">
            <v>UEC</v>
          </cell>
          <cell r="D2101" t="str">
            <v>Y</v>
          </cell>
          <cell r="E2101" t="str">
            <v>A</v>
          </cell>
          <cell r="F2101" t="str">
            <v>08/09/2001</v>
          </cell>
        </row>
        <row r="2102">
          <cell r="B2102" t="str">
            <v>A2197</v>
          </cell>
          <cell r="C2102" t="str">
            <v>UEC</v>
          </cell>
          <cell r="D2102" t="str">
            <v>Y</v>
          </cell>
          <cell r="E2102" t="str">
            <v>A</v>
          </cell>
          <cell r="F2102" t="str">
            <v>08/09/2001</v>
          </cell>
        </row>
        <row r="2103">
          <cell r="B2103" t="str">
            <v>A2198</v>
          </cell>
          <cell r="C2103" t="str">
            <v>CIP</v>
          </cell>
          <cell r="D2103" t="str">
            <v>Y</v>
          </cell>
          <cell r="E2103" t="str">
            <v>A</v>
          </cell>
          <cell r="F2103" t="str">
            <v>08/09/2001</v>
          </cell>
        </row>
        <row r="2104">
          <cell r="B2104" t="str">
            <v>A2199</v>
          </cell>
          <cell r="C2104" t="str">
            <v>CIP</v>
          </cell>
          <cell r="D2104" t="str">
            <v>Y</v>
          </cell>
          <cell r="E2104" t="str">
            <v>A</v>
          </cell>
          <cell r="F2104" t="str">
            <v>08/09/2001</v>
          </cell>
        </row>
        <row r="2105">
          <cell r="B2105" t="str">
            <v>A2201</v>
          </cell>
          <cell r="C2105" t="str">
            <v>UEC</v>
          </cell>
          <cell r="D2105" t="str">
            <v>N</v>
          </cell>
          <cell r="E2105" t="str">
            <v>A</v>
          </cell>
          <cell r="F2105" t="str">
            <v>08/20/2001</v>
          </cell>
        </row>
        <row r="2106">
          <cell r="B2106" t="str">
            <v>A2202</v>
          </cell>
          <cell r="C2106" t="str">
            <v>CIP</v>
          </cell>
          <cell r="D2106" t="str">
            <v>N</v>
          </cell>
          <cell r="E2106" t="str">
            <v>A</v>
          </cell>
          <cell r="F2106" t="str">
            <v>08/21/2001</v>
          </cell>
        </row>
        <row r="2107">
          <cell r="B2107" t="str">
            <v>A2203</v>
          </cell>
          <cell r="C2107" t="str">
            <v>UEC</v>
          </cell>
          <cell r="D2107" t="str">
            <v>N</v>
          </cell>
          <cell r="E2107" t="str">
            <v>A</v>
          </cell>
          <cell r="F2107" t="str">
            <v>08/21/2001</v>
          </cell>
        </row>
        <row r="2108">
          <cell r="B2108" t="str">
            <v>A2206</v>
          </cell>
          <cell r="C2108" t="str">
            <v>GEN</v>
          </cell>
          <cell r="D2108" t="str">
            <v>N</v>
          </cell>
          <cell r="E2108" t="str">
            <v>A</v>
          </cell>
          <cell r="F2108" t="str">
            <v>08/24/2001</v>
          </cell>
        </row>
        <row r="2109">
          <cell r="B2109" t="str">
            <v>A2209</v>
          </cell>
          <cell r="C2109"/>
          <cell r="D2109" t="str">
            <v>Y</v>
          </cell>
          <cell r="E2109" t="str">
            <v>A</v>
          </cell>
          <cell r="F2109" t="str">
            <v>08/30/2001</v>
          </cell>
        </row>
        <row r="2110">
          <cell r="B2110" t="str">
            <v>A2216</v>
          </cell>
          <cell r="C2110" t="str">
            <v>UEC</v>
          </cell>
          <cell r="D2110" t="str">
            <v>Y</v>
          </cell>
          <cell r="E2110" t="str">
            <v>A</v>
          </cell>
          <cell r="F2110" t="str">
            <v>10/23/2001</v>
          </cell>
        </row>
        <row r="2111">
          <cell r="B2111" t="str">
            <v>A2217</v>
          </cell>
          <cell r="C2111" t="str">
            <v>CIP</v>
          </cell>
          <cell r="D2111" t="str">
            <v>Y</v>
          </cell>
          <cell r="E2111" t="str">
            <v>A</v>
          </cell>
          <cell r="F2111" t="str">
            <v>10/23/2001</v>
          </cell>
        </row>
        <row r="2112">
          <cell r="B2112" t="str">
            <v>A2220</v>
          </cell>
          <cell r="C2112" t="str">
            <v>UEC</v>
          </cell>
          <cell r="D2112" t="str">
            <v>Y</v>
          </cell>
          <cell r="E2112" t="str">
            <v>A</v>
          </cell>
          <cell r="F2112" t="str">
            <v>12/04/2001</v>
          </cell>
        </row>
        <row r="2113">
          <cell r="B2113" t="str">
            <v>A2223</v>
          </cell>
          <cell r="C2113" t="str">
            <v>CIC</v>
          </cell>
          <cell r="D2113" t="str">
            <v>N</v>
          </cell>
          <cell r="E2113" t="str">
            <v>A</v>
          </cell>
          <cell r="F2113" t="str">
            <v>01/06/2002</v>
          </cell>
        </row>
        <row r="2114">
          <cell r="B2114" t="str">
            <v>A2224</v>
          </cell>
          <cell r="C2114" t="str">
            <v>001A</v>
          </cell>
          <cell r="D2114" t="str">
            <v>Y</v>
          </cell>
          <cell r="E2114" t="str">
            <v>A</v>
          </cell>
          <cell r="F2114" t="str">
            <v>12/13/2001</v>
          </cell>
        </row>
        <row r="2115">
          <cell r="B2115" t="str">
            <v>A2225</v>
          </cell>
          <cell r="C2115" t="str">
            <v>UEC</v>
          </cell>
          <cell r="D2115" t="str">
            <v>Y</v>
          </cell>
          <cell r="E2115" t="str">
            <v>A</v>
          </cell>
          <cell r="F2115" t="str">
            <v>01/14/2002</v>
          </cell>
        </row>
        <row r="2116">
          <cell r="B2116" t="str">
            <v>A2226</v>
          </cell>
          <cell r="C2116" t="str">
            <v>CIP</v>
          </cell>
          <cell r="D2116" t="str">
            <v>Y</v>
          </cell>
          <cell r="E2116" t="str">
            <v>A</v>
          </cell>
          <cell r="F2116" t="str">
            <v>01/24/2002</v>
          </cell>
        </row>
        <row r="2117">
          <cell r="B2117" t="str">
            <v>A2227</v>
          </cell>
          <cell r="C2117" t="str">
            <v>AMC</v>
          </cell>
          <cell r="D2117" t="str">
            <v>Y</v>
          </cell>
          <cell r="E2117" t="str">
            <v>A</v>
          </cell>
          <cell r="F2117" t="str">
            <v>01/24/2002</v>
          </cell>
        </row>
        <row r="2118">
          <cell r="B2118" t="str">
            <v>A2228</v>
          </cell>
          <cell r="C2118" t="str">
            <v>IMS</v>
          </cell>
          <cell r="D2118" t="str">
            <v>Y</v>
          </cell>
          <cell r="E2118" t="str">
            <v>A</v>
          </cell>
          <cell r="F2118" t="str">
            <v>12/18/2001</v>
          </cell>
        </row>
        <row r="2119">
          <cell r="B2119" t="str">
            <v>A2230</v>
          </cell>
          <cell r="C2119" t="str">
            <v>GMC</v>
          </cell>
          <cell r="D2119" t="str">
            <v>Y</v>
          </cell>
          <cell r="E2119" t="str">
            <v>A</v>
          </cell>
          <cell r="F2119" t="str">
            <v>12/27/2001</v>
          </cell>
        </row>
        <row r="2120">
          <cell r="B2120" t="str">
            <v>A2231</v>
          </cell>
          <cell r="C2120" t="str">
            <v>GMC</v>
          </cell>
          <cell r="D2120" t="str">
            <v>Y</v>
          </cell>
          <cell r="E2120" t="str">
            <v>A</v>
          </cell>
          <cell r="F2120" t="str">
            <v>01/02/2002</v>
          </cell>
        </row>
        <row r="2121">
          <cell r="B2121" t="str">
            <v>A2232</v>
          </cell>
          <cell r="C2121" t="str">
            <v>GMC</v>
          </cell>
          <cell r="D2121" t="str">
            <v>Y</v>
          </cell>
          <cell r="E2121" t="str">
            <v>A</v>
          </cell>
          <cell r="F2121" t="str">
            <v>01/02/2002</v>
          </cell>
        </row>
        <row r="2122">
          <cell r="B2122" t="str">
            <v>A2233</v>
          </cell>
          <cell r="C2122" t="str">
            <v>GMC</v>
          </cell>
          <cell r="D2122" t="str">
            <v>Y</v>
          </cell>
          <cell r="E2122" t="str">
            <v>A</v>
          </cell>
          <cell r="F2122" t="str">
            <v>01/02/2002</v>
          </cell>
        </row>
        <row r="2123">
          <cell r="B2123" t="str">
            <v>A2234</v>
          </cell>
          <cell r="C2123" t="str">
            <v>GMC</v>
          </cell>
          <cell r="D2123" t="str">
            <v>Y</v>
          </cell>
          <cell r="E2123" t="str">
            <v>A</v>
          </cell>
          <cell r="F2123" t="str">
            <v>01/02/2002</v>
          </cell>
        </row>
        <row r="2124">
          <cell r="B2124" t="str">
            <v>A2235</v>
          </cell>
          <cell r="C2124" t="str">
            <v>GMC</v>
          </cell>
          <cell r="D2124" t="str">
            <v>Y</v>
          </cell>
          <cell r="E2124" t="str">
            <v>A</v>
          </cell>
          <cell r="F2124" t="str">
            <v>01/02/2002</v>
          </cell>
        </row>
        <row r="2125">
          <cell r="B2125" t="str">
            <v>A2236</v>
          </cell>
          <cell r="C2125" t="str">
            <v>GMC</v>
          </cell>
          <cell r="D2125" t="str">
            <v>Y</v>
          </cell>
          <cell r="E2125" t="str">
            <v>A</v>
          </cell>
          <cell r="F2125" t="str">
            <v>01/02/2002</v>
          </cell>
        </row>
        <row r="2126">
          <cell r="B2126" t="str">
            <v>A2237</v>
          </cell>
          <cell r="C2126" t="str">
            <v>GMC</v>
          </cell>
          <cell r="D2126" t="str">
            <v>Y</v>
          </cell>
          <cell r="E2126" t="str">
            <v>A</v>
          </cell>
          <cell r="F2126" t="str">
            <v>01/02/2002</v>
          </cell>
        </row>
        <row r="2127">
          <cell r="B2127" t="str">
            <v>A2238</v>
          </cell>
          <cell r="C2127" t="str">
            <v>GMC</v>
          </cell>
          <cell r="D2127" t="str">
            <v>Y</v>
          </cell>
          <cell r="E2127" t="str">
            <v>A</v>
          </cell>
          <cell r="F2127" t="str">
            <v>01/02/2002</v>
          </cell>
        </row>
        <row r="2128">
          <cell r="B2128" t="str">
            <v>A2239</v>
          </cell>
          <cell r="C2128" t="str">
            <v>IHC</v>
          </cell>
          <cell r="D2128" t="str">
            <v>Y</v>
          </cell>
          <cell r="E2128" t="str">
            <v>A</v>
          </cell>
          <cell r="F2128" t="str">
            <v>01/02/2002</v>
          </cell>
        </row>
        <row r="2129">
          <cell r="B2129" t="str">
            <v>A2240</v>
          </cell>
          <cell r="C2129" t="str">
            <v>IHC</v>
          </cell>
          <cell r="D2129" t="str">
            <v>Y</v>
          </cell>
          <cell r="E2129" t="str">
            <v>A</v>
          </cell>
          <cell r="F2129" t="str">
            <v>01/02/2002</v>
          </cell>
        </row>
        <row r="2130">
          <cell r="B2130" t="str">
            <v>A2241</v>
          </cell>
          <cell r="C2130" t="str">
            <v>IHC</v>
          </cell>
          <cell r="D2130" t="str">
            <v>Y</v>
          </cell>
          <cell r="E2130" t="str">
            <v>A</v>
          </cell>
          <cell r="F2130" t="str">
            <v>01/02/2002</v>
          </cell>
        </row>
        <row r="2131">
          <cell r="B2131" t="str">
            <v>A2242</v>
          </cell>
          <cell r="C2131" t="str">
            <v>AED</v>
          </cell>
          <cell r="D2131" t="str">
            <v>Y</v>
          </cell>
          <cell r="E2131" t="str">
            <v>A</v>
          </cell>
          <cell r="F2131" t="str">
            <v>01/02/2002</v>
          </cell>
        </row>
        <row r="2132">
          <cell r="B2132" t="str">
            <v>A2243</v>
          </cell>
          <cell r="C2132" t="str">
            <v>GMC</v>
          </cell>
          <cell r="D2132" t="str">
            <v>Y</v>
          </cell>
          <cell r="E2132" t="str">
            <v>A</v>
          </cell>
          <cell r="F2132" t="str">
            <v>01/02/2002</v>
          </cell>
        </row>
        <row r="2133">
          <cell r="B2133" t="str">
            <v>A2244</v>
          </cell>
          <cell r="C2133" t="str">
            <v>GMC</v>
          </cell>
          <cell r="D2133" t="str">
            <v>Y</v>
          </cell>
          <cell r="E2133" t="str">
            <v>A</v>
          </cell>
          <cell r="F2133" t="str">
            <v>01/02/2002</v>
          </cell>
        </row>
        <row r="2134">
          <cell r="B2134" t="str">
            <v>A2245</v>
          </cell>
          <cell r="C2134" t="str">
            <v>GMC</v>
          </cell>
          <cell r="D2134" t="str">
            <v>Y</v>
          </cell>
          <cell r="E2134" t="str">
            <v>A</v>
          </cell>
          <cell r="F2134" t="str">
            <v>01/02/2002</v>
          </cell>
        </row>
        <row r="2135">
          <cell r="B2135" t="str">
            <v>A2246</v>
          </cell>
          <cell r="C2135" t="str">
            <v>AME</v>
          </cell>
          <cell r="D2135" t="str">
            <v>Y</v>
          </cell>
          <cell r="E2135" t="str">
            <v>A</v>
          </cell>
          <cell r="F2135" t="str">
            <v>01/02/2002</v>
          </cell>
        </row>
        <row r="2136">
          <cell r="B2136" t="str">
            <v>A2247</v>
          </cell>
          <cell r="C2136" t="str">
            <v>AME</v>
          </cell>
          <cell r="D2136" t="str">
            <v>Y</v>
          </cell>
          <cell r="E2136" t="str">
            <v>A</v>
          </cell>
          <cell r="F2136" t="str">
            <v>01/02/2002</v>
          </cell>
        </row>
        <row r="2137">
          <cell r="B2137" t="str">
            <v>A2248</v>
          </cell>
          <cell r="C2137" t="str">
            <v>AME</v>
          </cell>
          <cell r="D2137" t="str">
            <v>Y</v>
          </cell>
          <cell r="E2137" t="str">
            <v>A</v>
          </cell>
          <cell r="F2137" t="str">
            <v>01/02/2002</v>
          </cell>
        </row>
        <row r="2138">
          <cell r="B2138" t="str">
            <v>A2249</v>
          </cell>
          <cell r="C2138" t="str">
            <v>AME</v>
          </cell>
          <cell r="D2138" t="str">
            <v>Y</v>
          </cell>
          <cell r="E2138" t="str">
            <v>A</v>
          </cell>
          <cell r="F2138" t="str">
            <v>01/02/2002</v>
          </cell>
        </row>
        <row r="2139">
          <cell r="B2139" t="str">
            <v>A2250</v>
          </cell>
          <cell r="C2139" t="str">
            <v>AME</v>
          </cell>
          <cell r="D2139" t="str">
            <v>Y</v>
          </cell>
          <cell r="E2139" t="str">
            <v>A</v>
          </cell>
          <cell r="F2139" t="str">
            <v>01/02/2002</v>
          </cell>
        </row>
        <row r="2140">
          <cell r="B2140" t="str">
            <v>A2251</v>
          </cell>
          <cell r="C2140" t="str">
            <v>AFS</v>
          </cell>
          <cell r="D2140" t="str">
            <v>Y</v>
          </cell>
          <cell r="E2140" t="str">
            <v>A</v>
          </cell>
          <cell r="F2140" t="str">
            <v>01/02/2002</v>
          </cell>
        </row>
        <row r="2141">
          <cell r="B2141" t="str">
            <v>A2257</v>
          </cell>
          <cell r="C2141" t="str">
            <v>004A</v>
          </cell>
          <cell r="D2141" t="str">
            <v>Y</v>
          </cell>
          <cell r="E2141" t="str">
            <v>A</v>
          </cell>
          <cell r="F2141" t="str">
            <v>01/18/2002</v>
          </cell>
        </row>
        <row r="2142">
          <cell r="B2142" t="str">
            <v>A2258</v>
          </cell>
          <cell r="C2142" t="str">
            <v>AME</v>
          </cell>
          <cell r="D2142" t="str">
            <v>Y</v>
          </cell>
          <cell r="E2142" t="str">
            <v>A</v>
          </cell>
          <cell r="F2142" t="str">
            <v>01/24/2002</v>
          </cell>
        </row>
        <row r="2143">
          <cell r="B2143" t="str">
            <v>A2263</v>
          </cell>
          <cell r="C2143" t="str">
            <v>GEN</v>
          </cell>
          <cell r="D2143" t="str">
            <v>Y</v>
          </cell>
          <cell r="E2143" t="str">
            <v>A</v>
          </cell>
          <cell r="F2143" t="str">
            <v>02/06/2002</v>
          </cell>
        </row>
        <row r="2144">
          <cell r="B2144" t="str">
            <v>A2264</v>
          </cell>
          <cell r="C2144" t="str">
            <v>UEC</v>
          </cell>
          <cell r="D2144" t="str">
            <v>N</v>
          </cell>
          <cell r="E2144" t="str">
            <v>A</v>
          </cell>
          <cell r="F2144" t="str">
            <v>02/05/2002</v>
          </cell>
        </row>
        <row r="2145">
          <cell r="B2145" t="str">
            <v>A2265</v>
          </cell>
          <cell r="C2145" t="str">
            <v>002L</v>
          </cell>
          <cell r="D2145" t="str">
            <v>N</v>
          </cell>
          <cell r="E2145" t="str">
            <v>A</v>
          </cell>
          <cell r="F2145" t="str">
            <v>02/05/2002</v>
          </cell>
        </row>
        <row r="2146">
          <cell r="B2146" t="str">
            <v>A2266</v>
          </cell>
          <cell r="C2146" t="str">
            <v>GEN</v>
          </cell>
          <cell r="D2146" t="str">
            <v>Y</v>
          </cell>
          <cell r="E2146" t="str">
            <v>A</v>
          </cell>
          <cell r="F2146" t="str">
            <v>02/12/2002</v>
          </cell>
        </row>
        <row r="2147">
          <cell r="B2147" t="str">
            <v>A2268</v>
          </cell>
          <cell r="C2147" t="str">
            <v>GMC</v>
          </cell>
          <cell r="D2147" t="str">
            <v>Y</v>
          </cell>
          <cell r="E2147" t="str">
            <v>A</v>
          </cell>
          <cell r="F2147" t="str">
            <v>02/13/2002</v>
          </cell>
        </row>
        <row r="2148">
          <cell r="B2148" t="str">
            <v>A2269</v>
          </cell>
          <cell r="C2148" t="str">
            <v>AFS</v>
          </cell>
          <cell r="D2148" t="str">
            <v>Y</v>
          </cell>
          <cell r="E2148" t="str">
            <v>A</v>
          </cell>
          <cell r="F2148" t="str">
            <v>02/13/2002</v>
          </cell>
        </row>
        <row r="2149">
          <cell r="B2149" t="str">
            <v>A2271</v>
          </cell>
          <cell r="C2149" t="str">
            <v>010A</v>
          </cell>
          <cell r="D2149" t="str">
            <v>Y</v>
          </cell>
          <cell r="E2149" t="str">
            <v>A</v>
          </cell>
          <cell r="F2149" t="str">
            <v>02/20/2002</v>
          </cell>
        </row>
        <row r="2150">
          <cell r="B2150" t="str">
            <v>A2272</v>
          </cell>
          <cell r="C2150" t="str">
            <v>001A</v>
          </cell>
          <cell r="D2150" t="str">
            <v>Y</v>
          </cell>
          <cell r="E2150" t="str">
            <v>I</v>
          </cell>
          <cell r="F2150" t="str">
            <v>03/08/2002</v>
          </cell>
        </row>
        <row r="2151">
          <cell r="B2151" t="str">
            <v>A2274</v>
          </cell>
          <cell r="C2151" t="str">
            <v>001A</v>
          </cell>
          <cell r="D2151" t="str">
            <v>Y</v>
          </cell>
          <cell r="E2151" t="str">
            <v>A</v>
          </cell>
          <cell r="F2151" t="str">
            <v>03/20/2002</v>
          </cell>
        </row>
        <row r="2152">
          <cell r="B2152" t="str">
            <v>A2275</v>
          </cell>
          <cell r="C2152" t="str">
            <v>002A</v>
          </cell>
          <cell r="D2152" t="str">
            <v>Y</v>
          </cell>
          <cell r="E2152" t="str">
            <v>A</v>
          </cell>
          <cell r="F2152" t="str">
            <v>03/20/2002</v>
          </cell>
        </row>
        <row r="2153">
          <cell r="B2153" t="str">
            <v>A2276</v>
          </cell>
          <cell r="C2153" t="str">
            <v>001A</v>
          </cell>
          <cell r="D2153" t="str">
            <v>Y</v>
          </cell>
          <cell r="E2153" t="str">
            <v>A</v>
          </cell>
          <cell r="F2153" t="str">
            <v>03/20/2002</v>
          </cell>
        </row>
        <row r="2154">
          <cell r="B2154" t="str">
            <v>A2278</v>
          </cell>
          <cell r="C2154" t="str">
            <v>AFS</v>
          </cell>
          <cell r="D2154" t="str">
            <v>Y</v>
          </cell>
          <cell r="E2154" t="str">
            <v>A</v>
          </cell>
          <cell r="F2154" t="str">
            <v>05/07/2002</v>
          </cell>
        </row>
        <row r="2155">
          <cell r="B2155" t="str">
            <v>A2280</v>
          </cell>
          <cell r="C2155" t="str">
            <v>AMC</v>
          </cell>
          <cell r="D2155" t="str">
            <v>Y</v>
          </cell>
          <cell r="E2155" t="str">
            <v>A</v>
          </cell>
          <cell r="F2155" t="str">
            <v>05/07/2002</v>
          </cell>
        </row>
        <row r="2156">
          <cell r="B2156" t="str">
            <v>A2282</v>
          </cell>
          <cell r="C2156" t="str">
            <v>IMS</v>
          </cell>
          <cell r="D2156" t="str">
            <v>Y</v>
          </cell>
          <cell r="E2156" t="str">
            <v>A</v>
          </cell>
          <cell r="F2156" t="str">
            <v>05/10/2002</v>
          </cell>
        </row>
        <row r="2157">
          <cell r="B2157" t="str">
            <v>A2284</v>
          </cell>
          <cell r="C2157" t="str">
            <v>GEN</v>
          </cell>
          <cell r="D2157" t="str">
            <v>Y</v>
          </cell>
          <cell r="E2157" t="str">
            <v>A</v>
          </cell>
          <cell r="F2157" t="str">
            <v>05/09/2002</v>
          </cell>
        </row>
        <row r="2158">
          <cell r="B2158" t="str">
            <v>A2285</v>
          </cell>
          <cell r="C2158" t="str">
            <v>GEN</v>
          </cell>
          <cell r="D2158" t="str">
            <v>Y</v>
          </cell>
          <cell r="E2158" t="str">
            <v>A</v>
          </cell>
          <cell r="F2158" t="str">
            <v>05/14/2002</v>
          </cell>
        </row>
        <row r="2159">
          <cell r="B2159" t="str">
            <v>A2286</v>
          </cell>
          <cell r="C2159" t="str">
            <v>AFS</v>
          </cell>
          <cell r="D2159" t="str">
            <v>Y</v>
          </cell>
          <cell r="E2159" t="str">
            <v>A</v>
          </cell>
          <cell r="F2159" t="str">
            <v>05/14/2002</v>
          </cell>
        </row>
        <row r="2160">
          <cell r="B2160" t="str">
            <v>A2287</v>
          </cell>
          <cell r="C2160" t="str">
            <v>GMC</v>
          </cell>
          <cell r="D2160" t="str">
            <v>Y</v>
          </cell>
          <cell r="E2160" t="str">
            <v>A</v>
          </cell>
          <cell r="F2160" t="str">
            <v>05/17/2002</v>
          </cell>
        </row>
        <row r="2161">
          <cell r="B2161" t="str">
            <v>A2288</v>
          </cell>
          <cell r="C2161" t="str">
            <v>GEN</v>
          </cell>
          <cell r="D2161" t="str">
            <v>Y</v>
          </cell>
          <cell r="E2161" t="str">
            <v>A</v>
          </cell>
          <cell r="F2161" t="str">
            <v>05/24/2002</v>
          </cell>
        </row>
        <row r="2162">
          <cell r="B2162" t="str">
            <v>A2289</v>
          </cell>
          <cell r="C2162" t="str">
            <v>CIP</v>
          </cell>
          <cell r="D2162" t="str">
            <v>Y</v>
          </cell>
          <cell r="E2162" t="str">
            <v>A</v>
          </cell>
          <cell r="F2162" t="str">
            <v>05/24/2002</v>
          </cell>
        </row>
        <row r="2163">
          <cell r="B2163" t="str">
            <v>A2290</v>
          </cell>
          <cell r="C2163" t="str">
            <v>CIP</v>
          </cell>
          <cell r="D2163" t="str">
            <v>Y</v>
          </cell>
          <cell r="E2163" t="str">
            <v>A</v>
          </cell>
          <cell r="F2163" t="str">
            <v>05/31/2002</v>
          </cell>
        </row>
        <row r="2164">
          <cell r="B2164" t="str">
            <v>A2291</v>
          </cell>
          <cell r="C2164" t="str">
            <v>UEC</v>
          </cell>
          <cell r="D2164" t="str">
            <v>Y</v>
          </cell>
          <cell r="E2164" t="str">
            <v>A</v>
          </cell>
          <cell r="F2164" t="str">
            <v>05/31/2002</v>
          </cell>
        </row>
        <row r="2165">
          <cell r="B2165" t="str">
            <v>A2292</v>
          </cell>
          <cell r="C2165" t="str">
            <v>001D</v>
          </cell>
          <cell r="D2165" t="str">
            <v>Y</v>
          </cell>
          <cell r="E2165" t="str">
            <v>A</v>
          </cell>
          <cell r="F2165" t="str">
            <v>05/31/2002</v>
          </cell>
        </row>
        <row r="2166">
          <cell r="B2166" t="str">
            <v>A2293</v>
          </cell>
          <cell r="C2166" t="str">
            <v>UEC</v>
          </cell>
          <cell r="D2166" t="str">
            <v>Y</v>
          </cell>
          <cell r="E2166" t="str">
            <v>A</v>
          </cell>
          <cell r="F2166" t="str">
            <v>06/10/2002</v>
          </cell>
        </row>
        <row r="2167">
          <cell r="B2167" t="str">
            <v>A2294</v>
          </cell>
          <cell r="C2167" t="str">
            <v>UEC</v>
          </cell>
          <cell r="D2167" t="str">
            <v>Y</v>
          </cell>
          <cell r="E2167" t="str">
            <v>A</v>
          </cell>
          <cell r="F2167" t="str">
            <v>06/11/2002</v>
          </cell>
        </row>
        <row r="2168">
          <cell r="B2168" t="str">
            <v>A2295</v>
          </cell>
          <cell r="C2168" t="str">
            <v>AFS</v>
          </cell>
          <cell r="D2168" t="str">
            <v>N</v>
          </cell>
          <cell r="E2168" t="str">
            <v>A</v>
          </cell>
          <cell r="F2168" t="str">
            <v>06/17/2002</v>
          </cell>
        </row>
        <row r="2169">
          <cell r="B2169" t="str">
            <v>A2296</v>
          </cell>
          <cell r="C2169" t="str">
            <v>002L</v>
          </cell>
          <cell r="D2169" t="str">
            <v>Y</v>
          </cell>
          <cell r="E2169" t="str">
            <v>A</v>
          </cell>
          <cell r="F2169" t="str">
            <v>06/26/2002</v>
          </cell>
        </row>
        <row r="2170">
          <cell r="B2170" t="str">
            <v>A2297</v>
          </cell>
          <cell r="C2170" t="str">
            <v>010A</v>
          </cell>
          <cell r="D2170" t="str">
            <v>Y</v>
          </cell>
          <cell r="E2170" t="str">
            <v>A</v>
          </cell>
          <cell r="F2170" t="str">
            <v>06/26/2002</v>
          </cell>
        </row>
        <row r="2171">
          <cell r="B2171" t="str">
            <v>A2298</v>
          </cell>
          <cell r="C2171" t="str">
            <v>AFS</v>
          </cell>
          <cell r="D2171" t="str">
            <v>Y</v>
          </cell>
          <cell r="E2171" t="str">
            <v>A</v>
          </cell>
          <cell r="F2171" t="str">
            <v>06/27/2002</v>
          </cell>
        </row>
        <row r="2172">
          <cell r="B2172" t="str">
            <v>A2299</v>
          </cell>
          <cell r="C2172" t="str">
            <v>AMC</v>
          </cell>
          <cell r="D2172" t="str">
            <v>Y</v>
          </cell>
          <cell r="E2172" t="str">
            <v>A</v>
          </cell>
          <cell r="F2172" t="str">
            <v>06/27/2002</v>
          </cell>
        </row>
        <row r="2173">
          <cell r="B2173" t="str">
            <v>A2300</v>
          </cell>
          <cell r="C2173" t="str">
            <v>002L</v>
          </cell>
          <cell r="D2173" t="str">
            <v>Y</v>
          </cell>
          <cell r="E2173" t="str">
            <v>A</v>
          </cell>
          <cell r="F2173" t="str">
            <v>07/01/2002</v>
          </cell>
        </row>
        <row r="2174">
          <cell r="B2174" t="str">
            <v>A2301</v>
          </cell>
          <cell r="C2174"/>
          <cell r="D2174" t="str">
            <v>Y</v>
          </cell>
          <cell r="E2174" t="str">
            <v>A</v>
          </cell>
          <cell r="F2174" t="str">
            <v>07/09/2002</v>
          </cell>
        </row>
        <row r="2175">
          <cell r="B2175" t="str">
            <v>A2302</v>
          </cell>
          <cell r="C2175"/>
          <cell r="D2175" t="str">
            <v>Y</v>
          </cell>
          <cell r="E2175" t="str">
            <v>A</v>
          </cell>
          <cell r="F2175" t="str">
            <v>07/11/2002</v>
          </cell>
        </row>
        <row r="2176">
          <cell r="B2176" t="str">
            <v>A2303</v>
          </cell>
          <cell r="C2176" t="str">
            <v>CIP</v>
          </cell>
          <cell r="D2176" t="str">
            <v>Y</v>
          </cell>
          <cell r="E2176" t="str">
            <v>A</v>
          </cell>
          <cell r="F2176" t="str">
            <v>07/11/2002</v>
          </cell>
        </row>
        <row r="2177">
          <cell r="B2177" t="str">
            <v>A2304</v>
          </cell>
          <cell r="C2177" t="str">
            <v>001A</v>
          </cell>
          <cell r="D2177" t="str">
            <v>Y</v>
          </cell>
          <cell r="E2177" t="str">
            <v>A</v>
          </cell>
          <cell r="F2177" t="str">
            <v>07/19/2002</v>
          </cell>
        </row>
        <row r="2178">
          <cell r="B2178" t="str">
            <v>A2305</v>
          </cell>
          <cell r="C2178" t="str">
            <v>GEN</v>
          </cell>
          <cell r="D2178" t="str">
            <v>N</v>
          </cell>
          <cell r="E2178" t="str">
            <v>A</v>
          </cell>
          <cell r="F2178" t="str">
            <v>07/30/2002</v>
          </cell>
        </row>
        <row r="2179">
          <cell r="B2179" t="str">
            <v>A2306</v>
          </cell>
          <cell r="C2179" t="str">
            <v>UEC</v>
          </cell>
          <cell r="D2179" t="str">
            <v>N</v>
          </cell>
          <cell r="E2179" t="str">
            <v>A</v>
          </cell>
          <cell r="F2179" t="str">
            <v>07/30/2002</v>
          </cell>
        </row>
        <row r="2180">
          <cell r="B2180" t="str">
            <v>A2307</v>
          </cell>
          <cell r="C2180" t="str">
            <v>002L</v>
          </cell>
          <cell r="D2180" t="str">
            <v>Y</v>
          </cell>
          <cell r="E2180" t="str">
            <v>A</v>
          </cell>
          <cell r="F2180" t="str">
            <v>08/06/2002</v>
          </cell>
        </row>
        <row r="2181">
          <cell r="B2181" t="str">
            <v>A2308</v>
          </cell>
          <cell r="C2181" t="str">
            <v>001A</v>
          </cell>
          <cell r="D2181" t="str">
            <v>Y</v>
          </cell>
          <cell r="E2181" t="str">
            <v>A</v>
          </cell>
          <cell r="F2181" t="str">
            <v>08/09/2002</v>
          </cell>
        </row>
        <row r="2182">
          <cell r="B2182" t="str">
            <v>A2309</v>
          </cell>
          <cell r="C2182" t="str">
            <v>004A</v>
          </cell>
          <cell r="D2182" t="str">
            <v>Y</v>
          </cell>
          <cell r="E2182" t="str">
            <v>A</v>
          </cell>
          <cell r="F2182" t="str">
            <v>08/13/2002</v>
          </cell>
        </row>
        <row r="2183">
          <cell r="B2183" t="str">
            <v>A2310</v>
          </cell>
          <cell r="C2183" t="str">
            <v>CIC</v>
          </cell>
          <cell r="D2183" t="str">
            <v>N</v>
          </cell>
          <cell r="E2183" t="str">
            <v>I</v>
          </cell>
          <cell r="F2183" t="str">
            <v>08/16/2002</v>
          </cell>
        </row>
        <row r="2184">
          <cell r="B2184" t="str">
            <v>A2312</v>
          </cell>
          <cell r="C2184" t="str">
            <v>010A</v>
          </cell>
          <cell r="D2184" t="str">
            <v>Y</v>
          </cell>
          <cell r="E2184" t="str">
            <v>A</v>
          </cell>
          <cell r="F2184" t="str">
            <v>08/16/2002</v>
          </cell>
        </row>
        <row r="2185">
          <cell r="B2185" t="str">
            <v>A2316</v>
          </cell>
          <cell r="C2185" t="str">
            <v>IHC</v>
          </cell>
          <cell r="D2185" t="str">
            <v>Y</v>
          </cell>
          <cell r="E2185" t="str">
            <v>A</v>
          </cell>
          <cell r="F2185" t="str">
            <v>08/27/2002</v>
          </cell>
        </row>
        <row r="2186">
          <cell r="B2186" t="str">
            <v>A2317</v>
          </cell>
          <cell r="C2186" t="str">
            <v>IHC</v>
          </cell>
          <cell r="D2186" t="str">
            <v>Y</v>
          </cell>
          <cell r="E2186" t="str">
            <v>A</v>
          </cell>
          <cell r="F2186" t="str">
            <v>08/30/2002</v>
          </cell>
        </row>
        <row r="2187">
          <cell r="B2187" t="str">
            <v>A2321</v>
          </cell>
          <cell r="C2187"/>
          <cell r="D2187" t="str">
            <v>Y</v>
          </cell>
          <cell r="E2187" t="str">
            <v>A</v>
          </cell>
          <cell r="F2187" t="str">
            <v>10/07/2002</v>
          </cell>
        </row>
        <row r="2188">
          <cell r="B2188" t="str">
            <v>A2322</v>
          </cell>
          <cell r="C2188" t="str">
            <v>003A</v>
          </cell>
          <cell r="D2188" t="str">
            <v>Y</v>
          </cell>
          <cell r="E2188" t="str">
            <v>I</v>
          </cell>
          <cell r="F2188" t="str">
            <v>09/18/2002</v>
          </cell>
        </row>
        <row r="2189">
          <cell r="B2189" t="str">
            <v>A2323</v>
          </cell>
          <cell r="C2189" t="str">
            <v>IHC</v>
          </cell>
          <cell r="D2189" t="str">
            <v>Y</v>
          </cell>
          <cell r="E2189" t="str">
            <v>A</v>
          </cell>
          <cell r="F2189" t="str">
            <v>09/19/2002</v>
          </cell>
        </row>
        <row r="2190">
          <cell r="B2190" t="str">
            <v>A2324</v>
          </cell>
          <cell r="C2190" t="str">
            <v>GMC</v>
          </cell>
          <cell r="D2190" t="str">
            <v>Y</v>
          </cell>
          <cell r="E2190" t="str">
            <v>A</v>
          </cell>
          <cell r="F2190" t="str">
            <v>09/19/2002</v>
          </cell>
        </row>
        <row r="2191">
          <cell r="B2191" t="str">
            <v>A2325</v>
          </cell>
          <cell r="C2191" t="str">
            <v>AME</v>
          </cell>
          <cell r="D2191" t="str">
            <v>Y</v>
          </cell>
          <cell r="E2191" t="str">
            <v>A</v>
          </cell>
          <cell r="F2191" t="str">
            <v>09/19/2002</v>
          </cell>
        </row>
        <row r="2192">
          <cell r="B2192" t="str">
            <v>A2326</v>
          </cell>
          <cell r="C2192" t="str">
            <v>AFS</v>
          </cell>
          <cell r="D2192" t="str">
            <v>Y</v>
          </cell>
          <cell r="E2192" t="str">
            <v>A</v>
          </cell>
          <cell r="F2192" t="str">
            <v>09/19/2002</v>
          </cell>
        </row>
        <row r="2193">
          <cell r="B2193" t="str">
            <v>A2327</v>
          </cell>
          <cell r="C2193" t="str">
            <v>GEN</v>
          </cell>
          <cell r="D2193" t="str">
            <v>Y</v>
          </cell>
          <cell r="E2193" t="str">
            <v>A</v>
          </cell>
          <cell r="F2193" t="str">
            <v>09/25/2002</v>
          </cell>
        </row>
        <row r="2194">
          <cell r="B2194" t="str">
            <v>A2328</v>
          </cell>
          <cell r="C2194" t="str">
            <v>004A</v>
          </cell>
          <cell r="D2194" t="str">
            <v>Y</v>
          </cell>
          <cell r="E2194" t="str">
            <v>I</v>
          </cell>
          <cell r="F2194" t="str">
            <v>10/25/2002</v>
          </cell>
        </row>
        <row r="2195">
          <cell r="B2195" t="str">
            <v>A2329</v>
          </cell>
          <cell r="C2195" t="str">
            <v>004A</v>
          </cell>
          <cell r="D2195" t="str">
            <v>Y</v>
          </cell>
          <cell r="E2195" t="str">
            <v>I</v>
          </cell>
          <cell r="F2195" t="str">
            <v>10/29/2002</v>
          </cell>
        </row>
        <row r="2196">
          <cell r="B2196" t="str">
            <v>A2330</v>
          </cell>
          <cell r="C2196" t="str">
            <v>015A</v>
          </cell>
          <cell r="D2196" t="str">
            <v>N</v>
          </cell>
          <cell r="E2196" t="str">
            <v>A</v>
          </cell>
          <cell r="F2196" t="str">
            <v>11/05/2002</v>
          </cell>
        </row>
        <row r="2197">
          <cell r="B2197" t="str">
            <v>A2331</v>
          </cell>
          <cell r="C2197" t="str">
            <v>UEC</v>
          </cell>
          <cell r="D2197" t="str">
            <v>Y</v>
          </cell>
          <cell r="E2197" t="str">
            <v>A</v>
          </cell>
          <cell r="F2197" t="str">
            <v>11/05/2002</v>
          </cell>
        </row>
        <row r="2198">
          <cell r="B2198" t="str">
            <v>A2332</v>
          </cell>
          <cell r="C2198" t="str">
            <v>UEC</v>
          </cell>
          <cell r="D2198" t="str">
            <v>Y</v>
          </cell>
          <cell r="E2198" t="str">
            <v>A</v>
          </cell>
          <cell r="F2198" t="str">
            <v>11/05/2002</v>
          </cell>
        </row>
        <row r="2199">
          <cell r="B2199" t="str">
            <v>A2333</v>
          </cell>
          <cell r="C2199" t="str">
            <v>UEC</v>
          </cell>
          <cell r="D2199" t="str">
            <v>Y</v>
          </cell>
          <cell r="E2199" t="str">
            <v>A</v>
          </cell>
          <cell r="F2199" t="str">
            <v>11/05/2002</v>
          </cell>
        </row>
        <row r="2200">
          <cell r="B2200" t="str">
            <v>A2334</v>
          </cell>
          <cell r="C2200" t="str">
            <v>UEC</v>
          </cell>
          <cell r="D2200" t="str">
            <v>Y</v>
          </cell>
          <cell r="E2200" t="str">
            <v>A</v>
          </cell>
          <cell r="F2200" t="str">
            <v>11/05/2002</v>
          </cell>
        </row>
        <row r="2201">
          <cell r="B2201" t="str">
            <v>A2335</v>
          </cell>
          <cell r="C2201" t="str">
            <v>CIP</v>
          </cell>
          <cell r="D2201" t="str">
            <v>Y</v>
          </cell>
          <cell r="E2201" t="str">
            <v>I</v>
          </cell>
          <cell r="F2201" t="str">
            <v>11/05/2002</v>
          </cell>
        </row>
        <row r="2202">
          <cell r="B2202" t="str">
            <v>A2336</v>
          </cell>
          <cell r="C2202" t="str">
            <v>CIP</v>
          </cell>
          <cell r="D2202" t="str">
            <v>Y</v>
          </cell>
          <cell r="E2202" t="str">
            <v>I</v>
          </cell>
          <cell r="F2202" t="str">
            <v>11/05/2002</v>
          </cell>
        </row>
        <row r="2203">
          <cell r="B2203" t="str">
            <v>A2337</v>
          </cell>
          <cell r="C2203" t="str">
            <v>002M</v>
          </cell>
          <cell r="D2203" t="str">
            <v>Y</v>
          </cell>
          <cell r="E2203" t="str">
            <v>A</v>
          </cell>
          <cell r="F2203" t="str">
            <v>11/12/2002</v>
          </cell>
        </row>
        <row r="2204">
          <cell r="B2204" t="str">
            <v>A2338</v>
          </cell>
          <cell r="C2204" t="str">
            <v>002M</v>
          </cell>
          <cell r="D2204" t="str">
            <v>Y</v>
          </cell>
          <cell r="E2204" t="str">
            <v>A</v>
          </cell>
          <cell r="F2204" t="str">
            <v>11/13/2002</v>
          </cell>
        </row>
        <row r="2205">
          <cell r="B2205" t="str">
            <v>A2339</v>
          </cell>
          <cell r="C2205" t="str">
            <v>011A</v>
          </cell>
          <cell r="D2205" t="str">
            <v>Y</v>
          </cell>
          <cell r="E2205" t="str">
            <v>A</v>
          </cell>
          <cell r="F2205" t="str">
            <v>11/13/2002</v>
          </cell>
        </row>
        <row r="2206">
          <cell r="B2206" t="str">
            <v>A2340</v>
          </cell>
          <cell r="C2206" t="str">
            <v>010A</v>
          </cell>
          <cell r="D2206" t="str">
            <v>Y</v>
          </cell>
          <cell r="E2206" t="str">
            <v>A</v>
          </cell>
          <cell r="F2206" t="str">
            <v>11/13/2002</v>
          </cell>
        </row>
        <row r="2207">
          <cell r="B2207" t="str">
            <v>A2341</v>
          </cell>
          <cell r="C2207" t="str">
            <v>002D</v>
          </cell>
          <cell r="D2207" t="str">
            <v>Y</v>
          </cell>
          <cell r="E2207" t="str">
            <v>A</v>
          </cell>
          <cell r="F2207" t="str">
            <v>11/13/2002</v>
          </cell>
        </row>
        <row r="2208">
          <cell r="B2208" t="str">
            <v>A2342</v>
          </cell>
          <cell r="C2208" t="str">
            <v>UEC</v>
          </cell>
          <cell r="D2208" t="str">
            <v>Y</v>
          </cell>
          <cell r="E2208" t="str">
            <v>A</v>
          </cell>
          <cell r="F2208" t="str">
            <v>11/19/2002</v>
          </cell>
        </row>
        <row r="2209">
          <cell r="B2209" t="str">
            <v>A2343</v>
          </cell>
          <cell r="C2209" t="str">
            <v>CIP</v>
          </cell>
          <cell r="D2209" t="str">
            <v>Y</v>
          </cell>
          <cell r="E2209" t="str">
            <v>A</v>
          </cell>
          <cell r="F2209" t="str">
            <v>11/19/2002</v>
          </cell>
        </row>
        <row r="2210">
          <cell r="B2210" t="str">
            <v>A2344</v>
          </cell>
          <cell r="C2210" t="str">
            <v>002K</v>
          </cell>
          <cell r="D2210" t="str">
            <v>Y</v>
          </cell>
          <cell r="E2210" t="str">
            <v>A</v>
          </cell>
          <cell r="F2210" t="str">
            <v>11/19/2002</v>
          </cell>
        </row>
        <row r="2211">
          <cell r="B2211" t="str">
            <v>A2345</v>
          </cell>
          <cell r="C2211" t="str">
            <v>CIL</v>
          </cell>
          <cell r="D2211" t="str">
            <v>Y</v>
          </cell>
          <cell r="E2211" t="str">
            <v>A</v>
          </cell>
          <cell r="F2211" t="str">
            <v>12/16/2002</v>
          </cell>
        </row>
        <row r="2212">
          <cell r="B2212" t="str">
            <v>A2347</v>
          </cell>
          <cell r="C2212"/>
          <cell r="D2212" t="str">
            <v>Y</v>
          </cell>
          <cell r="E2212" t="str">
            <v>A</v>
          </cell>
          <cell r="F2212" t="str">
            <v>01/10/2003</v>
          </cell>
        </row>
        <row r="2213">
          <cell r="B2213" t="str">
            <v>A2348</v>
          </cell>
          <cell r="C2213" t="str">
            <v>GMC</v>
          </cell>
          <cell r="D2213" t="str">
            <v>Y</v>
          </cell>
          <cell r="E2213" t="str">
            <v>A</v>
          </cell>
          <cell r="F2213" t="str">
            <v>01/22/2003</v>
          </cell>
        </row>
        <row r="2214">
          <cell r="B2214" t="str">
            <v>A2349</v>
          </cell>
          <cell r="C2214" t="str">
            <v>UEC</v>
          </cell>
          <cell r="D2214" t="str">
            <v>Y</v>
          </cell>
          <cell r="E2214" t="str">
            <v>A</v>
          </cell>
          <cell r="F2214" t="str">
            <v>01/24/2003</v>
          </cell>
        </row>
        <row r="2215">
          <cell r="B2215" t="str">
            <v>A2350</v>
          </cell>
          <cell r="C2215" t="str">
            <v>001G</v>
          </cell>
          <cell r="D2215" t="str">
            <v>Y</v>
          </cell>
          <cell r="E2215" t="str">
            <v>A</v>
          </cell>
          <cell r="F2215" t="str">
            <v>01/27/2003</v>
          </cell>
        </row>
        <row r="2216">
          <cell r="B2216" t="str">
            <v>A2351</v>
          </cell>
          <cell r="C2216" t="str">
            <v>CIL</v>
          </cell>
          <cell r="D2216" t="str">
            <v>Y</v>
          </cell>
          <cell r="E2216" t="str">
            <v>A</v>
          </cell>
          <cell r="F2216" t="str">
            <v>02/03/2003</v>
          </cell>
        </row>
        <row r="2217">
          <cell r="B2217" t="str">
            <v>A2352</v>
          </cell>
          <cell r="C2217" t="str">
            <v>CIL</v>
          </cell>
          <cell r="D2217" t="str">
            <v>Y</v>
          </cell>
          <cell r="E2217" t="str">
            <v>A</v>
          </cell>
          <cell r="F2217" t="str">
            <v>02/03/2003</v>
          </cell>
        </row>
        <row r="2218">
          <cell r="B2218" t="str">
            <v>A2353</v>
          </cell>
          <cell r="C2218" t="str">
            <v>CIL</v>
          </cell>
          <cell r="D2218" t="str">
            <v>Y</v>
          </cell>
          <cell r="E2218" t="str">
            <v>A</v>
          </cell>
          <cell r="F2218" t="str">
            <v>02/04/2003</v>
          </cell>
        </row>
        <row r="2219">
          <cell r="B2219" t="str">
            <v>A2354</v>
          </cell>
          <cell r="C2219" t="str">
            <v>CIL</v>
          </cell>
          <cell r="D2219" t="str">
            <v>Y</v>
          </cell>
          <cell r="E2219" t="str">
            <v>A</v>
          </cell>
          <cell r="F2219" t="str">
            <v>02/11/2003</v>
          </cell>
        </row>
        <row r="2220">
          <cell r="B2220" t="str">
            <v>A2355</v>
          </cell>
          <cell r="C2220" t="str">
            <v>ARG</v>
          </cell>
          <cell r="D2220" t="str">
            <v>N</v>
          </cell>
          <cell r="E2220" t="str">
            <v>A</v>
          </cell>
          <cell r="F2220" t="str">
            <v>02/05/2003</v>
          </cell>
        </row>
        <row r="2221">
          <cell r="B2221" t="str">
            <v>A2356</v>
          </cell>
          <cell r="C2221" t="str">
            <v>ARG</v>
          </cell>
          <cell r="D2221" t="str">
            <v>N</v>
          </cell>
          <cell r="E2221" t="str">
            <v>A</v>
          </cell>
          <cell r="F2221" t="str">
            <v>02/05/2003</v>
          </cell>
        </row>
        <row r="2222">
          <cell r="B2222" t="str">
            <v>A2357</v>
          </cell>
          <cell r="C2222" t="str">
            <v>CIL</v>
          </cell>
          <cell r="D2222" t="str">
            <v>N</v>
          </cell>
          <cell r="E2222" t="str">
            <v>A</v>
          </cell>
          <cell r="F2222" t="str">
            <v>02/05/2003</v>
          </cell>
        </row>
        <row r="2223">
          <cell r="B2223" t="str">
            <v>A2358</v>
          </cell>
          <cell r="C2223" t="str">
            <v>CIL</v>
          </cell>
          <cell r="D2223" t="str">
            <v>N</v>
          </cell>
          <cell r="E2223" t="str">
            <v>A</v>
          </cell>
          <cell r="F2223" t="str">
            <v>02/06/2003</v>
          </cell>
        </row>
        <row r="2224">
          <cell r="B2224" t="str">
            <v>A2359</v>
          </cell>
          <cell r="C2224" t="str">
            <v>CIL</v>
          </cell>
          <cell r="D2224" t="str">
            <v>N</v>
          </cell>
          <cell r="E2224" t="str">
            <v>A</v>
          </cell>
          <cell r="F2224" t="str">
            <v>03/12/2003</v>
          </cell>
        </row>
        <row r="2225">
          <cell r="B2225" t="str">
            <v>A2360</v>
          </cell>
          <cell r="C2225" t="str">
            <v>UEC</v>
          </cell>
          <cell r="D2225" t="str">
            <v>N</v>
          </cell>
          <cell r="E2225" t="str">
            <v>A</v>
          </cell>
          <cell r="F2225" t="str">
            <v>02/07/2003</v>
          </cell>
        </row>
        <row r="2226">
          <cell r="B2226" t="str">
            <v>A2361</v>
          </cell>
          <cell r="C2226" t="str">
            <v>CIP</v>
          </cell>
          <cell r="D2226" t="str">
            <v>N</v>
          </cell>
          <cell r="E2226" t="str">
            <v>A</v>
          </cell>
          <cell r="F2226" t="str">
            <v>02/07/2003</v>
          </cell>
        </row>
        <row r="2227">
          <cell r="B2227" t="str">
            <v>A2362</v>
          </cell>
          <cell r="C2227" t="str">
            <v>CIL</v>
          </cell>
          <cell r="D2227" t="str">
            <v>N</v>
          </cell>
          <cell r="E2227" t="str">
            <v>A</v>
          </cell>
          <cell r="F2227" t="str">
            <v>09/19/2003</v>
          </cell>
        </row>
        <row r="2228">
          <cell r="B2228" t="str">
            <v>A2363</v>
          </cell>
          <cell r="C2228" t="str">
            <v>UEC</v>
          </cell>
          <cell r="D2228" t="str">
            <v>Y</v>
          </cell>
          <cell r="E2228" t="str">
            <v>A</v>
          </cell>
          <cell r="F2228" t="str">
            <v>02/07/2003</v>
          </cell>
        </row>
        <row r="2229">
          <cell r="B2229" t="str">
            <v>A2364</v>
          </cell>
          <cell r="C2229" t="str">
            <v>UEC</v>
          </cell>
          <cell r="D2229" t="str">
            <v>Y</v>
          </cell>
          <cell r="E2229" t="str">
            <v>A</v>
          </cell>
          <cell r="F2229" t="str">
            <v>02/07/2003</v>
          </cell>
        </row>
        <row r="2230">
          <cell r="B2230" t="str">
            <v>A2365</v>
          </cell>
          <cell r="C2230" t="str">
            <v>UEC</v>
          </cell>
          <cell r="D2230" t="str">
            <v>Y</v>
          </cell>
          <cell r="E2230" t="str">
            <v>A</v>
          </cell>
          <cell r="F2230" t="str">
            <v>02/07/2003</v>
          </cell>
        </row>
        <row r="2231">
          <cell r="B2231" t="str">
            <v>A2366</v>
          </cell>
          <cell r="C2231" t="str">
            <v>002I</v>
          </cell>
          <cell r="D2231" t="str">
            <v>Y</v>
          </cell>
          <cell r="E2231" t="str">
            <v>A</v>
          </cell>
          <cell r="F2231" t="str">
            <v>02/25/2003</v>
          </cell>
        </row>
        <row r="2232">
          <cell r="B2232" t="str">
            <v>A2367</v>
          </cell>
          <cell r="C2232" t="str">
            <v>CIL</v>
          </cell>
          <cell r="D2232" t="str">
            <v>Y</v>
          </cell>
          <cell r="E2232" t="str">
            <v>A</v>
          </cell>
          <cell r="F2232" t="str">
            <v>02/25/2003</v>
          </cell>
        </row>
        <row r="2233">
          <cell r="B2233" t="str">
            <v>A2368</v>
          </cell>
          <cell r="C2233" t="str">
            <v>CIL</v>
          </cell>
          <cell r="D2233" t="str">
            <v>Y</v>
          </cell>
          <cell r="E2233" t="str">
            <v>A</v>
          </cell>
          <cell r="F2233" t="str">
            <v>02/14/2003</v>
          </cell>
        </row>
        <row r="2234">
          <cell r="B2234" t="str">
            <v>A2369</v>
          </cell>
          <cell r="C2234" t="str">
            <v>CIL</v>
          </cell>
          <cell r="D2234" t="str">
            <v>Y</v>
          </cell>
          <cell r="E2234" t="str">
            <v>A</v>
          </cell>
          <cell r="F2234" t="str">
            <v>02/14/2003</v>
          </cell>
        </row>
        <row r="2235">
          <cell r="B2235" t="str">
            <v>A2370</v>
          </cell>
          <cell r="C2235" t="str">
            <v>UEC</v>
          </cell>
          <cell r="D2235" t="str">
            <v>Y</v>
          </cell>
          <cell r="E2235" t="str">
            <v>I</v>
          </cell>
          <cell r="F2235" t="str">
            <v>02/14/2003</v>
          </cell>
        </row>
        <row r="2236">
          <cell r="B2236" t="str">
            <v>A2371</v>
          </cell>
          <cell r="C2236" t="str">
            <v>CIP</v>
          </cell>
          <cell r="D2236" t="str">
            <v>Y</v>
          </cell>
          <cell r="E2236" t="str">
            <v>I</v>
          </cell>
          <cell r="F2236" t="str">
            <v>02/14/2003</v>
          </cell>
        </row>
        <row r="2237">
          <cell r="B2237" t="str">
            <v>A2372</v>
          </cell>
          <cell r="C2237" t="str">
            <v>CIL</v>
          </cell>
          <cell r="D2237" t="str">
            <v>Y</v>
          </cell>
          <cell r="E2237" t="str">
            <v>A</v>
          </cell>
          <cell r="F2237" t="str">
            <v>02/21/2003</v>
          </cell>
        </row>
        <row r="2238">
          <cell r="B2238" t="str">
            <v>A2373</v>
          </cell>
          <cell r="C2238" t="str">
            <v>UEC</v>
          </cell>
          <cell r="D2238" t="str">
            <v>Y</v>
          </cell>
          <cell r="E2238" t="str">
            <v>A</v>
          </cell>
          <cell r="F2238" t="str">
            <v>02/20/2003</v>
          </cell>
        </row>
        <row r="2239">
          <cell r="B2239" t="str">
            <v>A2374</v>
          </cell>
          <cell r="C2239" t="str">
            <v>CIL</v>
          </cell>
          <cell r="D2239" t="str">
            <v>Y</v>
          </cell>
          <cell r="E2239" t="str">
            <v>A</v>
          </cell>
          <cell r="F2239" t="str">
            <v>02/20/2003</v>
          </cell>
        </row>
        <row r="2240">
          <cell r="B2240" t="str">
            <v>A2375</v>
          </cell>
          <cell r="C2240" t="str">
            <v>CIL</v>
          </cell>
          <cell r="D2240" t="str">
            <v>Y</v>
          </cell>
          <cell r="E2240" t="str">
            <v>I</v>
          </cell>
          <cell r="F2240" t="str">
            <v>03/04/2003</v>
          </cell>
        </row>
        <row r="2241">
          <cell r="B2241" t="str">
            <v>A2376</v>
          </cell>
          <cell r="C2241" t="str">
            <v>CIL</v>
          </cell>
          <cell r="D2241" t="str">
            <v>Y</v>
          </cell>
          <cell r="E2241" t="str">
            <v>I</v>
          </cell>
          <cell r="F2241" t="str">
            <v>03/04/2003</v>
          </cell>
        </row>
        <row r="2242">
          <cell r="B2242" t="str">
            <v>A2377</v>
          </cell>
          <cell r="C2242" t="str">
            <v>CIL</v>
          </cell>
          <cell r="D2242" t="str">
            <v>Y</v>
          </cell>
          <cell r="E2242" t="str">
            <v>I</v>
          </cell>
          <cell r="F2242" t="str">
            <v>03/04/2003</v>
          </cell>
        </row>
        <row r="2243">
          <cell r="B2243" t="str">
            <v>A2378</v>
          </cell>
          <cell r="C2243" t="str">
            <v>CIL</v>
          </cell>
          <cell r="D2243" t="str">
            <v>Y</v>
          </cell>
          <cell r="E2243" t="str">
            <v>A</v>
          </cell>
          <cell r="F2243" t="str">
            <v>03/04/2003</v>
          </cell>
        </row>
        <row r="2244">
          <cell r="B2244" t="str">
            <v>A2379</v>
          </cell>
          <cell r="C2244" t="str">
            <v>ARG</v>
          </cell>
          <cell r="D2244" t="str">
            <v>Y</v>
          </cell>
          <cell r="E2244" t="str">
            <v>A</v>
          </cell>
          <cell r="F2244" t="str">
            <v>03/04/2003</v>
          </cell>
        </row>
        <row r="2245">
          <cell r="B2245" t="str">
            <v>A2380</v>
          </cell>
          <cell r="C2245" t="str">
            <v>CIL</v>
          </cell>
          <cell r="D2245" t="str">
            <v>Y</v>
          </cell>
          <cell r="E2245" t="str">
            <v>A</v>
          </cell>
          <cell r="F2245" t="str">
            <v>03/04/2003</v>
          </cell>
        </row>
        <row r="2246">
          <cell r="B2246" t="str">
            <v>A2381</v>
          </cell>
          <cell r="C2246" t="str">
            <v>MV1</v>
          </cell>
          <cell r="D2246" t="str">
            <v>Y</v>
          </cell>
          <cell r="E2246" t="str">
            <v>A</v>
          </cell>
          <cell r="F2246" t="str">
            <v>10/16/2003</v>
          </cell>
        </row>
        <row r="2247">
          <cell r="B2247" t="str">
            <v>A2382</v>
          </cell>
          <cell r="C2247" t="str">
            <v>CIL</v>
          </cell>
          <cell r="D2247" t="str">
            <v>Y</v>
          </cell>
          <cell r="E2247" t="str">
            <v>I</v>
          </cell>
          <cell r="F2247" t="str">
            <v>03/04/2003</v>
          </cell>
        </row>
        <row r="2248">
          <cell r="B2248" t="str">
            <v>A2383</v>
          </cell>
          <cell r="C2248" t="str">
            <v>CIL</v>
          </cell>
          <cell r="D2248" t="str">
            <v>Y</v>
          </cell>
          <cell r="E2248" t="str">
            <v>A</v>
          </cell>
          <cell r="F2248" t="str">
            <v>03/04/2003</v>
          </cell>
        </row>
        <row r="2249">
          <cell r="B2249" t="str">
            <v>A2384</v>
          </cell>
          <cell r="C2249" t="str">
            <v>UEC</v>
          </cell>
          <cell r="D2249" t="str">
            <v>N</v>
          </cell>
          <cell r="E2249" t="str">
            <v>I</v>
          </cell>
          <cell r="F2249" t="str">
            <v>01/05/2004</v>
          </cell>
        </row>
        <row r="2250">
          <cell r="B2250" t="str">
            <v>A2385</v>
          </cell>
          <cell r="C2250" t="str">
            <v>CIP</v>
          </cell>
          <cell r="D2250" t="str">
            <v>N</v>
          </cell>
          <cell r="E2250" t="str">
            <v>I</v>
          </cell>
          <cell r="F2250" t="str">
            <v>01/05/2004</v>
          </cell>
        </row>
        <row r="2251">
          <cell r="B2251" t="str">
            <v>A2386</v>
          </cell>
          <cell r="C2251" t="str">
            <v>002L</v>
          </cell>
          <cell r="D2251" t="str">
            <v>N</v>
          </cell>
          <cell r="E2251" t="str">
            <v>I</v>
          </cell>
          <cell r="F2251" t="str">
            <v>01/05/2004</v>
          </cell>
        </row>
        <row r="2252">
          <cell r="B2252" t="str">
            <v>A2389</v>
          </cell>
          <cell r="C2252" t="str">
            <v>CIL</v>
          </cell>
          <cell r="D2252" t="str">
            <v>Y</v>
          </cell>
          <cell r="E2252" t="str">
            <v>A</v>
          </cell>
          <cell r="F2252" t="str">
            <v>02/26/2003</v>
          </cell>
        </row>
        <row r="2253">
          <cell r="B2253" t="str">
            <v>A2391</v>
          </cell>
          <cell r="C2253" t="str">
            <v>CIL</v>
          </cell>
          <cell r="D2253" t="str">
            <v>Y</v>
          </cell>
          <cell r="E2253" t="str">
            <v>I</v>
          </cell>
          <cell r="F2253" t="str">
            <v>02/26/2003</v>
          </cell>
        </row>
        <row r="2254">
          <cell r="B2254" t="str">
            <v>A2392</v>
          </cell>
          <cell r="C2254" t="str">
            <v>UEC</v>
          </cell>
          <cell r="D2254" t="str">
            <v>Y</v>
          </cell>
          <cell r="E2254" t="str">
            <v>A</v>
          </cell>
          <cell r="F2254" t="str">
            <v>07/30/2003</v>
          </cell>
        </row>
        <row r="2255">
          <cell r="B2255" t="str">
            <v>A2393</v>
          </cell>
          <cell r="C2255" t="str">
            <v>CIP</v>
          </cell>
          <cell r="D2255" t="str">
            <v>Y</v>
          </cell>
          <cell r="E2255" t="str">
            <v>A</v>
          </cell>
          <cell r="F2255" t="str">
            <v>07/30/2003</v>
          </cell>
        </row>
        <row r="2256">
          <cell r="B2256" t="str">
            <v>A2394</v>
          </cell>
          <cell r="C2256" t="str">
            <v>002L</v>
          </cell>
          <cell r="D2256" t="str">
            <v>Y</v>
          </cell>
          <cell r="E2256" t="str">
            <v>A</v>
          </cell>
          <cell r="F2256" t="str">
            <v>07/30/2003</v>
          </cell>
        </row>
        <row r="2257">
          <cell r="B2257" t="str">
            <v>A2395</v>
          </cell>
          <cell r="C2257" t="str">
            <v>CIP</v>
          </cell>
          <cell r="D2257" t="str">
            <v>Y</v>
          </cell>
          <cell r="E2257" t="str">
            <v>A</v>
          </cell>
          <cell r="F2257" t="str">
            <v>03/03/2003</v>
          </cell>
        </row>
        <row r="2258">
          <cell r="B2258" t="str">
            <v>A2396</v>
          </cell>
          <cell r="C2258" t="str">
            <v>CIP</v>
          </cell>
          <cell r="D2258" t="str">
            <v>Y</v>
          </cell>
          <cell r="E2258" t="str">
            <v>A</v>
          </cell>
          <cell r="F2258" t="str">
            <v>03/03/2003</v>
          </cell>
        </row>
        <row r="2259">
          <cell r="B2259" t="str">
            <v>A2397</v>
          </cell>
          <cell r="C2259"/>
          <cell r="D2259" t="str">
            <v>Y</v>
          </cell>
          <cell r="E2259" t="str">
            <v>A</v>
          </cell>
          <cell r="F2259" t="str">
            <v>03/04/2003</v>
          </cell>
        </row>
        <row r="2260">
          <cell r="B2260" t="str">
            <v>A2398</v>
          </cell>
          <cell r="C2260" t="str">
            <v>CIL</v>
          </cell>
          <cell r="D2260" t="str">
            <v>Y</v>
          </cell>
          <cell r="E2260" t="str">
            <v>A</v>
          </cell>
          <cell r="F2260" t="str">
            <v>03/04/2003</v>
          </cell>
        </row>
        <row r="2261">
          <cell r="B2261" t="str">
            <v>A2399</v>
          </cell>
          <cell r="C2261" t="str">
            <v>004A</v>
          </cell>
          <cell r="D2261" t="str">
            <v>Y</v>
          </cell>
          <cell r="E2261" t="str">
            <v>A</v>
          </cell>
          <cell r="F2261" t="str">
            <v>03/06/2003</v>
          </cell>
        </row>
        <row r="2262">
          <cell r="B2262" t="str">
            <v>A2400</v>
          </cell>
          <cell r="C2262" t="str">
            <v>004A</v>
          </cell>
          <cell r="D2262" t="str">
            <v>Y</v>
          </cell>
          <cell r="E2262" t="str">
            <v>A</v>
          </cell>
          <cell r="F2262" t="str">
            <v>03/06/2003</v>
          </cell>
        </row>
        <row r="2263">
          <cell r="B2263" t="str">
            <v>A2401</v>
          </cell>
          <cell r="C2263" t="str">
            <v>CIL</v>
          </cell>
          <cell r="D2263" t="str">
            <v>Y</v>
          </cell>
          <cell r="E2263" t="str">
            <v>A</v>
          </cell>
          <cell r="F2263" t="str">
            <v>03/06/2003</v>
          </cell>
        </row>
        <row r="2264">
          <cell r="B2264" t="str">
            <v>A2403</v>
          </cell>
          <cell r="C2264" t="str">
            <v>CIP</v>
          </cell>
          <cell r="D2264" t="str">
            <v>Y</v>
          </cell>
          <cell r="E2264" t="str">
            <v>A</v>
          </cell>
          <cell r="F2264" t="str">
            <v>03/12/2003</v>
          </cell>
        </row>
        <row r="2265">
          <cell r="B2265" t="str">
            <v>A2404</v>
          </cell>
          <cell r="C2265" t="str">
            <v>CIP</v>
          </cell>
          <cell r="D2265" t="str">
            <v>Y</v>
          </cell>
          <cell r="E2265" t="str">
            <v>A</v>
          </cell>
          <cell r="F2265" t="str">
            <v>03/12/2003</v>
          </cell>
        </row>
        <row r="2266">
          <cell r="B2266" t="str">
            <v>A2405</v>
          </cell>
          <cell r="C2266" t="str">
            <v>002I</v>
          </cell>
          <cell r="D2266" t="str">
            <v>Y</v>
          </cell>
          <cell r="E2266" t="str">
            <v>A</v>
          </cell>
          <cell r="F2266" t="str">
            <v>03/12/2003</v>
          </cell>
        </row>
        <row r="2267">
          <cell r="B2267" t="str">
            <v>A2408</v>
          </cell>
          <cell r="C2267" t="str">
            <v>CIL</v>
          </cell>
          <cell r="D2267" t="str">
            <v>Y</v>
          </cell>
          <cell r="E2267" t="str">
            <v>I</v>
          </cell>
          <cell r="F2267" t="str">
            <v>03/12/2003</v>
          </cell>
        </row>
        <row r="2268">
          <cell r="B2268" t="str">
            <v>A2409</v>
          </cell>
          <cell r="C2268" t="str">
            <v>CIL</v>
          </cell>
          <cell r="D2268" t="str">
            <v>Y</v>
          </cell>
          <cell r="E2268" t="str">
            <v>A</v>
          </cell>
          <cell r="F2268" t="str">
            <v>03/12/2003</v>
          </cell>
        </row>
        <row r="2269">
          <cell r="B2269" t="str">
            <v>A2411</v>
          </cell>
          <cell r="C2269" t="str">
            <v>CIL</v>
          </cell>
          <cell r="D2269" t="str">
            <v>N</v>
          </cell>
          <cell r="E2269" t="str">
            <v>A</v>
          </cell>
          <cell r="F2269" t="str">
            <v>10/27/2003</v>
          </cell>
        </row>
        <row r="2270">
          <cell r="B2270" t="str">
            <v>A2412</v>
          </cell>
          <cell r="C2270" t="str">
            <v>CIL</v>
          </cell>
          <cell r="D2270" t="str">
            <v>Y</v>
          </cell>
          <cell r="E2270" t="str">
            <v>A</v>
          </cell>
          <cell r="F2270" t="str">
            <v>04/01/2003</v>
          </cell>
        </row>
        <row r="2271">
          <cell r="B2271" t="str">
            <v>A2413</v>
          </cell>
          <cell r="C2271" t="str">
            <v>MV1</v>
          </cell>
          <cell r="D2271" t="str">
            <v>Y</v>
          </cell>
          <cell r="E2271" t="str">
            <v>A</v>
          </cell>
          <cell r="F2271" t="str">
            <v>04/01/2003</v>
          </cell>
        </row>
        <row r="2272">
          <cell r="B2272" t="str">
            <v>A2414</v>
          </cell>
          <cell r="C2272" t="str">
            <v>MV1</v>
          </cell>
          <cell r="D2272" t="str">
            <v>Y</v>
          </cell>
          <cell r="E2272" t="str">
            <v>A</v>
          </cell>
          <cell r="F2272" t="str">
            <v>04/22/2003</v>
          </cell>
        </row>
        <row r="2273">
          <cell r="B2273" t="str">
            <v>A2416</v>
          </cell>
          <cell r="C2273" t="str">
            <v>AMC</v>
          </cell>
          <cell r="D2273" t="str">
            <v>Y</v>
          </cell>
          <cell r="E2273" t="str">
            <v>A</v>
          </cell>
          <cell r="F2273" t="str">
            <v>04/16/2003</v>
          </cell>
        </row>
        <row r="2274">
          <cell r="B2274" t="str">
            <v>A2417</v>
          </cell>
          <cell r="C2274" t="str">
            <v>CIL</v>
          </cell>
          <cell r="D2274" t="str">
            <v>Y</v>
          </cell>
          <cell r="E2274" t="str">
            <v>A</v>
          </cell>
          <cell r="F2274" t="str">
            <v>04/16/2003</v>
          </cell>
        </row>
        <row r="2275">
          <cell r="B2275" t="str">
            <v>A2418</v>
          </cell>
          <cell r="C2275" t="str">
            <v>CIL</v>
          </cell>
          <cell r="D2275" t="str">
            <v>Y</v>
          </cell>
          <cell r="E2275" t="str">
            <v>A</v>
          </cell>
          <cell r="F2275" t="str">
            <v>04/16/2003</v>
          </cell>
        </row>
        <row r="2276">
          <cell r="B2276" t="str">
            <v>A2419</v>
          </cell>
          <cell r="C2276" t="str">
            <v>CIL</v>
          </cell>
          <cell r="D2276" t="str">
            <v>N</v>
          </cell>
          <cell r="E2276" t="str">
            <v>A</v>
          </cell>
          <cell r="F2276" t="str">
            <v>04/23/2003</v>
          </cell>
        </row>
        <row r="2277">
          <cell r="B2277" t="str">
            <v>A2420</v>
          </cell>
          <cell r="C2277" t="str">
            <v>CIL</v>
          </cell>
          <cell r="D2277" t="str">
            <v>N</v>
          </cell>
          <cell r="E2277" t="str">
            <v>A</v>
          </cell>
          <cell r="F2277" t="str">
            <v>05/06/2003</v>
          </cell>
        </row>
        <row r="2278">
          <cell r="B2278" t="str">
            <v>A2421</v>
          </cell>
          <cell r="C2278" t="str">
            <v>CIL</v>
          </cell>
          <cell r="D2278" t="str">
            <v>Y</v>
          </cell>
          <cell r="E2278" t="str">
            <v>A</v>
          </cell>
          <cell r="F2278" t="str">
            <v>05/08/2003</v>
          </cell>
        </row>
        <row r="2279">
          <cell r="B2279" t="str">
            <v>A2422</v>
          </cell>
          <cell r="C2279" t="str">
            <v>CIL</v>
          </cell>
          <cell r="D2279" t="str">
            <v>Y</v>
          </cell>
          <cell r="E2279" t="str">
            <v>A</v>
          </cell>
          <cell r="F2279" t="str">
            <v>05/08/2003</v>
          </cell>
        </row>
        <row r="2280">
          <cell r="B2280" t="str">
            <v>A2426</v>
          </cell>
          <cell r="C2280" t="str">
            <v>002D</v>
          </cell>
          <cell r="D2280" t="str">
            <v>Y</v>
          </cell>
          <cell r="E2280" t="str">
            <v>A</v>
          </cell>
          <cell r="F2280" t="str">
            <v>05/30/2003</v>
          </cell>
        </row>
        <row r="2281">
          <cell r="B2281" t="str">
            <v>A2427</v>
          </cell>
          <cell r="C2281" t="str">
            <v>UEC</v>
          </cell>
          <cell r="D2281" t="str">
            <v>Y</v>
          </cell>
          <cell r="E2281" t="str">
            <v>A</v>
          </cell>
          <cell r="F2281" t="str">
            <v>06/25/2003</v>
          </cell>
        </row>
        <row r="2282">
          <cell r="B2282" t="str">
            <v>A2429</v>
          </cell>
          <cell r="C2282" t="str">
            <v>004B</v>
          </cell>
          <cell r="D2282" t="str">
            <v>Y</v>
          </cell>
          <cell r="E2282" t="str">
            <v>A</v>
          </cell>
          <cell r="F2282" t="str">
            <v>07/02/2003</v>
          </cell>
        </row>
        <row r="2283">
          <cell r="B2283" t="str">
            <v>A2430</v>
          </cell>
          <cell r="C2283" t="str">
            <v>CIL</v>
          </cell>
          <cell r="D2283" t="str">
            <v>Y</v>
          </cell>
          <cell r="E2283" t="str">
            <v>A</v>
          </cell>
          <cell r="F2283" t="str">
            <v>01/05/2004</v>
          </cell>
        </row>
        <row r="2284">
          <cell r="B2284" t="str">
            <v>A2431</v>
          </cell>
          <cell r="C2284" t="str">
            <v>CIL</v>
          </cell>
          <cell r="D2284" t="str">
            <v>Y</v>
          </cell>
          <cell r="E2284" t="str">
            <v>A</v>
          </cell>
          <cell r="F2284" t="str">
            <v>09/03/2003</v>
          </cell>
        </row>
        <row r="2285">
          <cell r="B2285" t="str">
            <v>A2432</v>
          </cell>
          <cell r="C2285" t="str">
            <v>CIL</v>
          </cell>
          <cell r="D2285" t="str">
            <v>Y</v>
          </cell>
          <cell r="E2285" t="str">
            <v>A</v>
          </cell>
          <cell r="F2285" t="str">
            <v>09/03/2003</v>
          </cell>
        </row>
        <row r="2286">
          <cell r="B2286" t="str">
            <v>A2434</v>
          </cell>
          <cell r="C2286" t="str">
            <v>CIL</v>
          </cell>
          <cell r="D2286" t="str">
            <v>Y</v>
          </cell>
          <cell r="E2286" t="str">
            <v>A</v>
          </cell>
          <cell r="F2286" t="str">
            <v>09/03/2003</v>
          </cell>
        </row>
        <row r="2287">
          <cell r="B2287" t="str">
            <v>A2435</v>
          </cell>
          <cell r="C2287" t="str">
            <v>CIL</v>
          </cell>
          <cell r="D2287" t="str">
            <v>Y</v>
          </cell>
          <cell r="E2287" t="str">
            <v>A</v>
          </cell>
          <cell r="F2287" t="str">
            <v>09/03/2003</v>
          </cell>
        </row>
        <row r="2288">
          <cell r="B2288" t="str">
            <v>A2436</v>
          </cell>
          <cell r="C2288" t="str">
            <v>CIL</v>
          </cell>
          <cell r="D2288" t="str">
            <v>Y</v>
          </cell>
          <cell r="E2288" t="str">
            <v>A</v>
          </cell>
          <cell r="F2288" t="str">
            <v>09/04/2003</v>
          </cell>
        </row>
        <row r="2289">
          <cell r="B2289" t="str">
            <v>A2437</v>
          </cell>
          <cell r="C2289" t="str">
            <v>CIL</v>
          </cell>
          <cell r="D2289" t="str">
            <v>Y</v>
          </cell>
          <cell r="E2289" t="str">
            <v>A</v>
          </cell>
          <cell r="F2289" t="str">
            <v>01/20/2004</v>
          </cell>
        </row>
        <row r="2290">
          <cell r="B2290" t="str">
            <v>A2439</v>
          </cell>
          <cell r="C2290" t="str">
            <v>CIL</v>
          </cell>
          <cell r="D2290" t="str">
            <v>Y</v>
          </cell>
          <cell r="E2290" t="str">
            <v>A</v>
          </cell>
          <cell r="F2290" t="str">
            <v>09/03/2003</v>
          </cell>
        </row>
        <row r="2291">
          <cell r="B2291" t="str">
            <v>A2440</v>
          </cell>
          <cell r="C2291" t="str">
            <v>CIL</v>
          </cell>
          <cell r="D2291" t="str">
            <v>Y</v>
          </cell>
          <cell r="E2291" t="str">
            <v>A</v>
          </cell>
          <cell r="F2291" t="str">
            <v>09/03/2003</v>
          </cell>
        </row>
        <row r="2292">
          <cell r="B2292" t="str">
            <v>A2441</v>
          </cell>
          <cell r="C2292" t="str">
            <v>CIL</v>
          </cell>
          <cell r="D2292" t="str">
            <v>Y</v>
          </cell>
          <cell r="E2292" t="str">
            <v>A</v>
          </cell>
          <cell r="F2292" t="str">
            <v>09/03/2003</v>
          </cell>
        </row>
        <row r="2293">
          <cell r="B2293" t="str">
            <v>A2442</v>
          </cell>
          <cell r="C2293" t="str">
            <v>CIL</v>
          </cell>
          <cell r="D2293" t="str">
            <v>Y</v>
          </cell>
          <cell r="E2293" t="str">
            <v>A</v>
          </cell>
          <cell r="F2293" t="str">
            <v>09/03/2003</v>
          </cell>
        </row>
        <row r="2294">
          <cell r="B2294" t="str">
            <v>A2443</v>
          </cell>
          <cell r="C2294" t="str">
            <v>CIL</v>
          </cell>
          <cell r="D2294" t="str">
            <v>Y</v>
          </cell>
          <cell r="E2294" t="str">
            <v>A</v>
          </cell>
          <cell r="F2294" t="str">
            <v>09/04/2003</v>
          </cell>
        </row>
        <row r="2295">
          <cell r="B2295" t="str">
            <v>A2444</v>
          </cell>
          <cell r="C2295" t="str">
            <v>CIP</v>
          </cell>
          <cell r="D2295" t="str">
            <v>Y</v>
          </cell>
          <cell r="E2295" t="str">
            <v>A</v>
          </cell>
          <cell r="F2295" t="str">
            <v>10/01/2003</v>
          </cell>
        </row>
        <row r="2296">
          <cell r="B2296" t="str">
            <v>A2445</v>
          </cell>
          <cell r="C2296" t="str">
            <v>CIL</v>
          </cell>
          <cell r="D2296" t="str">
            <v>Y</v>
          </cell>
          <cell r="E2296" t="str">
            <v>A</v>
          </cell>
          <cell r="F2296" t="str">
            <v>09/04/2003</v>
          </cell>
        </row>
        <row r="2297">
          <cell r="B2297" t="str">
            <v>A2446</v>
          </cell>
          <cell r="C2297" t="str">
            <v>CIL</v>
          </cell>
          <cell r="D2297" t="str">
            <v>Y</v>
          </cell>
          <cell r="E2297" t="str">
            <v>A</v>
          </cell>
          <cell r="F2297" t="str">
            <v>09/04/2003</v>
          </cell>
        </row>
        <row r="2298">
          <cell r="B2298" t="str">
            <v>A2447</v>
          </cell>
          <cell r="C2298" t="str">
            <v>CIL</v>
          </cell>
          <cell r="D2298" t="str">
            <v>Y</v>
          </cell>
          <cell r="E2298" t="str">
            <v>A</v>
          </cell>
          <cell r="F2298" t="str">
            <v>09/04/2003</v>
          </cell>
        </row>
        <row r="2299">
          <cell r="B2299" t="str">
            <v>A2448</v>
          </cell>
          <cell r="C2299" t="str">
            <v>CIL</v>
          </cell>
          <cell r="D2299" t="str">
            <v>Y</v>
          </cell>
          <cell r="E2299" t="str">
            <v>A</v>
          </cell>
          <cell r="F2299" t="str">
            <v>09/03/2003</v>
          </cell>
        </row>
        <row r="2300">
          <cell r="B2300" t="str">
            <v>A2449</v>
          </cell>
          <cell r="C2300" t="str">
            <v>CIL</v>
          </cell>
          <cell r="D2300" t="str">
            <v>Y</v>
          </cell>
          <cell r="E2300" t="str">
            <v>A</v>
          </cell>
          <cell r="F2300" t="str">
            <v>09/03/2003</v>
          </cell>
        </row>
        <row r="2301">
          <cell r="B2301" t="str">
            <v>A2450</v>
          </cell>
          <cell r="C2301" t="str">
            <v>CIL</v>
          </cell>
          <cell r="D2301" t="str">
            <v>Y</v>
          </cell>
          <cell r="E2301" t="str">
            <v>A</v>
          </cell>
          <cell r="F2301" t="str">
            <v>09/03/2003</v>
          </cell>
        </row>
        <row r="2302">
          <cell r="B2302" t="str">
            <v>A2451</v>
          </cell>
          <cell r="C2302" t="str">
            <v>CIL</v>
          </cell>
          <cell r="D2302" t="str">
            <v>Y</v>
          </cell>
          <cell r="E2302" t="str">
            <v>A</v>
          </cell>
          <cell r="F2302" t="str">
            <v>09/03/2003</v>
          </cell>
        </row>
        <row r="2303">
          <cell r="B2303" t="str">
            <v>A2452</v>
          </cell>
          <cell r="C2303" t="str">
            <v>CIL</v>
          </cell>
          <cell r="D2303" t="str">
            <v>Y</v>
          </cell>
          <cell r="E2303" t="str">
            <v>A</v>
          </cell>
          <cell r="F2303" t="str">
            <v>09/03/2003</v>
          </cell>
        </row>
        <row r="2304">
          <cell r="B2304" t="str">
            <v>A2455</v>
          </cell>
          <cell r="C2304" t="str">
            <v>CIL</v>
          </cell>
          <cell r="D2304" t="str">
            <v>Y</v>
          </cell>
          <cell r="E2304" t="str">
            <v>A</v>
          </cell>
          <cell r="F2304" t="str">
            <v>09/03/2003</v>
          </cell>
        </row>
        <row r="2305">
          <cell r="B2305" t="str">
            <v>A2456</v>
          </cell>
          <cell r="C2305" t="str">
            <v>CIL</v>
          </cell>
          <cell r="D2305" t="str">
            <v>Y</v>
          </cell>
          <cell r="E2305" t="str">
            <v>A</v>
          </cell>
          <cell r="F2305" t="str">
            <v>09/03/2003</v>
          </cell>
        </row>
        <row r="2306">
          <cell r="B2306" t="str">
            <v>A2457</v>
          </cell>
          <cell r="C2306" t="str">
            <v>CIL</v>
          </cell>
          <cell r="D2306" t="str">
            <v>Y</v>
          </cell>
          <cell r="E2306" t="str">
            <v>A</v>
          </cell>
          <cell r="F2306" t="str">
            <v>09/04/2003</v>
          </cell>
        </row>
        <row r="2307">
          <cell r="B2307" t="str">
            <v>A2459</v>
          </cell>
          <cell r="C2307" t="str">
            <v>CIL</v>
          </cell>
          <cell r="D2307" t="str">
            <v>Y</v>
          </cell>
          <cell r="E2307" t="str">
            <v>A</v>
          </cell>
          <cell r="F2307" t="str">
            <v>09/03/2003</v>
          </cell>
        </row>
        <row r="2308">
          <cell r="B2308" t="str">
            <v>A2460</v>
          </cell>
          <cell r="C2308" t="str">
            <v>CIL</v>
          </cell>
          <cell r="D2308" t="str">
            <v>Y</v>
          </cell>
          <cell r="E2308" t="str">
            <v>A</v>
          </cell>
          <cell r="F2308" t="str">
            <v>09/03/2003</v>
          </cell>
        </row>
        <row r="2309">
          <cell r="B2309" t="str">
            <v>A2461</v>
          </cell>
          <cell r="C2309" t="str">
            <v>CIL</v>
          </cell>
          <cell r="D2309" t="str">
            <v>Y</v>
          </cell>
          <cell r="E2309" t="str">
            <v>A</v>
          </cell>
          <cell r="F2309" t="str">
            <v>09/03/2003</v>
          </cell>
        </row>
        <row r="2310">
          <cell r="B2310" t="str">
            <v>A2462</v>
          </cell>
          <cell r="C2310" t="str">
            <v>CIL</v>
          </cell>
          <cell r="D2310" t="str">
            <v>Y</v>
          </cell>
          <cell r="E2310" t="str">
            <v>A</v>
          </cell>
          <cell r="F2310" t="str">
            <v>09/03/2003</v>
          </cell>
        </row>
        <row r="2311">
          <cell r="B2311" t="str">
            <v>A2465</v>
          </cell>
          <cell r="C2311" t="str">
            <v>CIL</v>
          </cell>
          <cell r="D2311" t="str">
            <v>Y</v>
          </cell>
          <cell r="E2311" t="str">
            <v>A</v>
          </cell>
          <cell r="F2311" t="str">
            <v>09/03/2003</v>
          </cell>
        </row>
        <row r="2312">
          <cell r="B2312" t="str">
            <v>A2466</v>
          </cell>
          <cell r="C2312" t="str">
            <v>CIL</v>
          </cell>
          <cell r="D2312" t="str">
            <v>N</v>
          </cell>
          <cell r="E2312" t="str">
            <v>A</v>
          </cell>
          <cell r="F2312" t="str">
            <v>08/01/2003</v>
          </cell>
        </row>
        <row r="2313">
          <cell r="B2313" t="str">
            <v>A2467</v>
          </cell>
          <cell r="C2313" t="str">
            <v>CIL</v>
          </cell>
          <cell r="D2313" t="str">
            <v>N</v>
          </cell>
          <cell r="E2313" t="str">
            <v>A</v>
          </cell>
          <cell r="F2313" t="str">
            <v>08/01/2003</v>
          </cell>
        </row>
        <row r="2314">
          <cell r="B2314" t="str">
            <v>A2468</v>
          </cell>
          <cell r="C2314" t="str">
            <v>CIL</v>
          </cell>
          <cell r="D2314" t="str">
            <v>N</v>
          </cell>
          <cell r="E2314" t="str">
            <v>A</v>
          </cell>
          <cell r="F2314" t="str">
            <v>08/07/2003</v>
          </cell>
        </row>
        <row r="2315">
          <cell r="B2315" t="str">
            <v>A2469</v>
          </cell>
          <cell r="C2315" t="str">
            <v>MV1</v>
          </cell>
          <cell r="D2315" t="str">
            <v>N</v>
          </cell>
          <cell r="E2315" t="str">
            <v>A</v>
          </cell>
          <cell r="F2315" t="str">
            <v>08/07/2003</v>
          </cell>
        </row>
        <row r="2316">
          <cell r="B2316" t="str">
            <v>A2470</v>
          </cell>
          <cell r="C2316" t="str">
            <v>CIS</v>
          </cell>
          <cell r="D2316" t="str">
            <v>N</v>
          </cell>
          <cell r="E2316" t="str">
            <v>A</v>
          </cell>
          <cell r="F2316" t="str">
            <v>08/07/2003</v>
          </cell>
        </row>
        <row r="2317">
          <cell r="B2317" t="str">
            <v>A2471</v>
          </cell>
          <cell r="C2317" t="str">
            <v>CIL</v>
          </cell>
          <cell r="D2317" t="str">
            <v>Y</v>
          </cell>
          <cell r="E2317" t="str">
            <v>A</v>
          </cell>
          <cell r="F2317" t="str">
            <v>09/18/2003</v>
          </cell>
        </row>
        <row r="2318">
          <cell r="B2318" t="str">
            <v>A2472</v>
          </cell>
          <cell r="C2318" t="str">
            <v>CIL</v>
          </cell>
          <cell r="D2318" t="str">
            <v>Y</v>
          </cell>
          <cell r="E2318" t="str">
            <v>A</v>
          </cell>
          <cell r="F2318" t="str">
            <v>09/18/2003</v>
          </cell>
        </row>
        <row r="2319">
          <cell r="B2319" t="str">
            <v>A2473</v>
          </cell>
          <cell r="C2319" t="str">
            <v>CIL</v>
          </cell>
          <cell r="D2319" t="str">
            <v>N</v>
          </cell>
          <cell r="E2319" t="str">
            <v>A</v>
          </cell>
          <cell r="F2319" t="str">
            <v>08/07/2003</v>
          </cell>
        </row>
        <row r="2320">
          <cell r="B2320" t="str">
            <v>A2474</v>
          </cell>
          <cell r="C2320" t="str">
            <v>CIL</v>
          </cell>
          <cell r="D2320" t="str">
            <v>N</v>
          </cell>
          <cell r="E2320" t="str">
            <v>A</v>
          </cell>
          <cell r="F2320" t="str">
            <v>08/07/2003</v>
          </cell>
        </row>
        <row r="2321">
          <cell r="B2321" t="str">
            <v>A2475</v>
          </cell>
          <cell r="C2321" t="str">
            <v>CIL</v>
          </cell>
          <cell r="D2321" t="str">
            <v>Y</v>
          </cell>
          <cell r="E2321" t="str">
            <v>A</v>
          </cell>
          <cell r="F2321" t="str">
            <v>08/06/2003</v>
          </cell>
        </row>
        <row r="2322">
          <cell r="B2322" t="str">
            <v>A2476</v>
          </cell>
          <cell r="C2322" t="str">
            <v>CIL</v>
          </cell>
          <cell r="D2322" t="str">
            <v>Y</v>
          </cell>
          <cell r="E2322" t="str">
            <v>A</v>
          </cell>
          <cell r="F2322" t="str">
            <v>08/06/2003</v>
          </cell>
        </row>
        <row r="2323">
          <cell r="B2323" t="str">
            <v>A2477</v>
          </cell>
          <cell r="C2323" t="str">
            <v>UEC</v>
          </cell>
          <cell r="D2323" t="str">
            <v>Y</v>
          </cell>
          <cell r="E2323" t="str">
            <v>A</v>
          </cell>
          <cell r="F2323" t="str">
            <v>08/07/2003</v>
          </cell>
        </row>
        <row r="2324">
          <cell r="B2324" t="str">
            <v>A2478</v>
          </cell>
          <cell r="C2324" t="str">
            <v>CIP</v>
          </cell>
          <cell r="D2324" t="str">
            <v>Y</v>
          </cell>
          <cell r="E2324" t="str">
            <v>A</v>
          </cell>
          <cell r="F2324" t="str">
            <v>08/07/2003</v>
          </cell>
        </row>
        <row r="2325">
          <cell r="B2325" t="str">
            <v>A2479</v>
          </cell>
          <cell r="C2325" t="str">
            <v>CIL</v>
          </cell>
          <cell r="D2325" t="str">
            <v>Y</v>
          </cell>
          <cell r="E2325" t="str">
            <v>A</v>
          </cell>
          <cell r="F2325" t="str">
            <v>08/07/2003</v>
          </cell>
        </row>
        <row r="2326">
          <cell r="B2326" t="str">
            <v>A2481</v>
          </cell>
          <cell r="C2326" t="str">
            <v>CIL</v>
          </cell>
          <cell r="D2326" t="str">
            <v>Y</v>
          </cell>
          <cell r="E2326" t="str">
            <v>A</v>
          </cell>
          <cell r="F2326" t="str">
            <v>08/18/2003</v>
          </cell>
        </row>
        <row r="2327">
          <cell r="B2327" t="str">
            <v>A2482</v>
          </cell>
          <cell r="C2327" t="str">
            <v>CIL</v>
          </cell>
          <cell r="D2327" t="str">
            <v>Y</v>
          </cell>
          <cell r="E2327" t="str">
            <v>A</v>
          </cell>
          <cell r="F2327" t="str">
            <v>08/26/2003</v>
          </cell>
        </row>
        <row r="2328">
          <cell r="B2328" t="str">
            <v>A2483</v>
          </cell>
          <cell r="C2328" t="str">
            <v>CIL</v>
          </cell>
          <cell r="D2328" t="str">
            <v>Y</v>
          </cell>
          <cell r="E2328" t="str">
            <v>A</v>
          </cell>
          <cell r="F2328" t="str">
            <v>12/31/2003</v>
          </cell>
        </row>
        <row r="2329">
          <cell r="B2329" t="str">
            <v>A2484</v>
          </cell>
          <cell r="C2329" t="str">
            <v>CIL</v>
          </cell>
          <cell r="D2329" t="str">
            <v>Y</v>
          </cell>
          <cell r="E2329" t="str">
            <v>A</v>
          </cell>
          <cell r="F2329" t="str">
            <v>12/31/2003</v>
          </cell>
        </row>
        <row r="2330">
          <cell r="B2330" t="str">
            <v>A2485</v>
          </cell>
          <cell r="C2330" t="str">
            <v>CIL</v>
          </cell>
          <cell r="D2330" t="str">
            <v>Y</v>
          </cell>
          <cell r="E2330" t="str">
            <v>A</v>
          </cell>
          <cell r="F2330" t="str">
            <v>12/31/2003</v>
          </cell>
        </row>
        <row r="2331">
          <cell r="B2331" t="str">
            <v>A2486</v>
          </cell>
          <cell r="C2331" t="str">
            <v>CIL</v>
          </cell>
          <cell r="D2331" t="str">
            <v>Y</v>
          </cell>
          <cell r="E2331" t="str">
            <v>A</v>
          </cell>
          <cell r="F2331" t="str">
            <v>09/04/2003</v>
          </cell>
        </row>
        <row r="2332">
          <cell r="B2332" t="str">
            <v>A2487</v>
          </cell>
          <cell r="C2332" t="str">
            <v>CIL</v>
          </cell>
          <cell r="D2332" t="str">
            <v>N</v>
          </cell>
          <cell r="E2332" t="str">
            <v>A</v>
          </cell>
          <cell r="F2332" t="str">
            <v>08/19/2003</v>
          </cell>
        </row>
        <row r="2333">
          <cell r="B2333" t="str">
            <v>A2488</v>
          </cell>
          <cell r="C2333" t="str">
            <v>CIL</v>
          </cell>
          <cell r="D2333" t="str">
            <v>Y</v>
          </cell>
          <cell r="E2333" t="str">
            <v>A</v>
          </cell>
          <cell r="F2333" t="str">
            <v>10/27/2003</v>
          </cell>
        </row>
        <row r="2334">
          <cell r="B2334" t="str">
            <v>A2489</v>
          </cell>
          <cell r="C2334" t="str">
            <v>CCP</v>
          </cell>
          <cell r="D2334" t="str">
            <v>Y</v>
          </cell>
          <cell r="E2334" t="str">
            <v>A</v>
          </cell>
          <cell r="F2334" t="str">
            <v>08/29/2003</v>
          </cell>
        </row>
        <row r="2335">
          <cell r="B2335" t="str">
            <v>A2490</v>
          </cell>
          <cell r="C2335" t="str">
            <v>CIL</v>
          </cell>
          <cell r="D2335" t="str">
            <v>Y</v>
          </cell>
          <cell r="E2335" t="str">
            <v>A</v>
          </cell>
          <cell r="F2335" t="str">
            <v>08/29/2003</v>
          </cell>
        </row>
        <row r="2336">
          <cell r="B2336" t="str">
            <v>A2491</v>
          </cell>
          <cell r="C2336" t="str">
            <v>CCP</v>
          </cell>
          <cell r="D2336" t="str">
            <v>Y</v>
          </cell>
          <cell r="E2336" t="str">
            <v>A</v>
          </cell>
          <cell r="F2336" t="str">
            <v>08/28/2003</v>
          </cell>
        </row>
        <row r="2337">
          <cell r="B2337" t="str">
            <v>A2492</v>
          </cell>
          <cell r="C2337" t="str">
            <v>CIL</v>
          </cell>
          <cell r="D2337" t="str">
            <v>Y</v>
          </cell>
          <cell r="E2337" t="str">
            <v>A</v>
          </cell>
          <cell r="F2337" t="str">
            <v>08/28/2003</v>
          </cell>
        </row>
        <row r="2338">
          <cell r="B2338" t="str">
            <v>A2493</v>
          </cell>
          <cell r="C2338" t="str">
            <v>CCP</v>
          </cell>
          <cell r="D2338" t="str">
            <v>Y</v>
          </cell>
          <cell r="E2338" t="str">
            <v>A</v>
          </cell>
          <cell r="F2338" t="str">
            <v>08/28/2003</v>
          </cell>
        </row>
        <row r="2339">
          <cell r="B2339" t="str">
            <v>A2494</v>
          </cell>
          <cell r="C2339" t="str">
            <v>CIL</v>
          </cell>
          <cell r="D2339" t="str">
            <v>Y</v>
          </cell>
          <cell r="E2339" t="str">
            <v>A</v>
          </cell>
          <cell r="F2339" t="str">
            <v>08/28/2003</v>
          </cell>
        </row>
        <row r="2340">
          <cell r="B2340" t="str">
            <v>A2495</v>
          </cell>
          <cell r="C2340" t="str">
            <v>002M</v>
          </cell>
          <cell r="D2340" t="str">
            <v>Y</v>
          </cell>
          <cell r="E2340" t="str">
            <v>A</v>
          </cell>
          <cell r="F2340" t="str">
            <v>08/28/2003</v>
          </cell>
        </row>
        <row r="2341">
          <cell r="B2341" t="str">
            <v>A2496</v>
          </cell>
          <cell r="C2341" t="str">
            <v>CIM</v>
          </cell>
          <cell r="D2341" t="str">
            <v>Y</v>
          </cell>
          <cell r="E2341" t="str">
            <v>A</v>
          </cell>
          <cell r="F2341" t="str">
            <v>08/28/2003</v>
          </cell>
        </row>
        <row r="2342">
          <cell r="B2342" t="str">
            <v>A2497</v>
          </cell>
          <cell r="C2342" t="str">
            <v>ARG</v>
          </cell>
          <cell r="D2342" t="str">
            <v>Y</v>
          </cell>
          <cell r="E2342" t="str">
            <v>A</v>
          </cell>
          <cell r="F2342" t="str">
            <v>08/28/2003</v>
          </cell>
        </row>
        <row r="2343">
          <cell r="B2343" t="str">
            <v>A2498</v>
          </cell>
          <cell r="C2343" t="str">
            <v>011A</v>
          </cell>
          <cell r="D2343" t="str">
            <v>Y</v>
          </cell>
          <cell r="E2343" t="str">
            <v>I</v>
          </cell>
          <cell r="F2343" t="str">
            <v>09/08/2003</v>
          </cell>
        </row>
        <row r="2344">
          <cell r="B2344" t="str">
            <v>A2499</v>
          </cell>
          <cell r="C2344" t="str">
            <v>004A</v>
          </cell>
          <cell r="D2344" t="str">
            <v>Y</v>
          </cell>
          <cell r="E2344" t="str">
            <v>I</v>
          </cell>
          <cell r="F2344" t="str">
            <v>09/08/2003</v>
          </cell>
        </row>
        <row r="2345">
          <cell r="B2345" t="str">
            <v>A2500</v>
          </cell>
          <cell r="C2345" t="str">
            <v>002K</v>
          </cell>
          <cell r="D2345" t="str">
            <v>Y</v>
          </cell>
          <cell r="E2345" t="str">
            <v>I</v>
          </cell>
          <cell r="F2345" t="str">
            <v>09/08/2003</v>
          </cell>
        </row>
        <row r="2346">
          <cell r="B2346" t="str">
            <v>A2501</v>
          </cell>
          <cell r="C2346" t="str">
            <v>002D</v>
          </cell>
          <cell r="D2346" t="str">
            <v>Y</v>
          </cell>
          <cell r="E2346" t="str">
            <v>I</v>
          </cell>
          <cell r="F2346" t="str">
            <v>09/08/2003</v>
          </cell>
        </row>
        <row r="2347">
          <cell r="B2347" t="str">
            <v>A2502</v>
          </cell>
          <cell r="C2347" t="str">
            <v>AFS</v>
          </cell>
          <cell r="D2347" t="str">
            <v>Y</v>
          </cell>
          <cell r="E2347" t="str">
            <v>I</v>
          </cell>
          <cell r="F2347" t="str">
            <v>09/08/2003</v>
          </cell>
        </row>
        <row r="2348">
          <cell r="B2348" t="str">
            <v>A2503</v>
          </cell>
          <cell r="C2348" t="str">
            <v>007A</v>
          </cell>
          <cell r="D2348" t="str">
            <v>Y</v>
          </cell>
          <cell r="E2348" t="str">
            <v>I</v>
          </cell>
          <cell r="F2348" t="str">
            <v>09/08/2003</v>
          </cell>
        </row>
        <row r="2349">
          <cell r="B2349" t="str">
            <v>A2504</v>
          </cell>
          <cell r="C2349" t="str">
            <v>004A</v>
          </cell>
          <cell r="D2349" t="str">
            <v>Y</v>
          </cell>
          <cell r="E2349" t="str">
            <v>I</v>
          </cell>
          <cell r="F2349" t="str">
            <v>09/08/2003</v>
          </cell>
        </row>
        <row r="2350">
          <cell r="B2350" t="str">
            <v>A2505</v>
          </cell>
          <cell r="C2350" t="str">
            <v>004A</v>
          </cell>
          <cell r="D2350" t="str">
            <v>Y</v>
          </cell>
          <cell r="E2350" t="str">
            <v>I</v>
          </cell>
          <cell r="F2350" t="str">
            <v>09/08/2003</v>
          </cell>
        </row>
        <row r="2351">
          <cell r="B2351" t="str">
            <v>A2506</v>
          </cell>
          <cell r="C2351"/>
          <cell r="D2351" t="str">
            <v>Y</v>
          </cell>
          <cell r="E2351" t="str">
            <v>I</v>
          </cell>
          <cell r="F2351" t="str">
            <v>09/09/2003</v>
          </cell>
        </row>
        <row r="2352">
          <cell r="B2352" t="str">
            <v>A2507</v>
          </cell>
          <cell r="C2352" t="str">
            <v>004A</v>
          </cell>
          <cell r="D2352" t="str">
            <v>Y</v>
          </cell>
          <cell r="E2352" t="str">
            <v>I</v>
          </cell>
          <cell r="F2352" t="str">
            <v>09/09/2003</v>
          </cell>
        </row>
        <row r="2353">
          <cell r="B2353" t="str">
            <v>A2508</v>
          </cell>
          <cell r="C2353" t="str">
            <v>009A</v>
          </cell>
          <cell r="D2353" t="str">
            <v>Y</v>
          </cell>
          <cell r="E2353" t="str">
            <v>I</v>
          </cell>
          <cell r="F2353" t="str">
            <v>09/09/2003</v>
          </cell>
        </row>
        <row r="2354">
          <cell r="B2354" t="str">
            <v>A2509</v>
          </cell>
          <cell r="C2354" t="str">
            <v>MV1</v>
          </cell>
          <cell r="D2354" t="str">
            <v>N</v>
          </cell>
          <cell r="E2354" t="str">
            <v>A</v>
          </cell>
          <cell r="F2354" t="str">
            <v>09/22/2003</v>
          </cell>
        </row>
        <row r="2355">
          <cell r="B2355" t="str">
            <v>A2510</v>
          </cell>
          <cell r="C2355" t="str">
            <v>012B</v>
          </cell>
          <cell r="D2355" t="str">
            <v>Y</v>
          </cell>
          <cell r="E2355" t="str">
            <v>A</v>
          </cell>
          <cell r="F2355" t="str">
            <v>10/03/2003</v>
          </cell>
        </row>
        <row r="2356">
          <cell r="B2356" t="str">
            <v>A2511</v>
          </cell>
          <cell r="C2356" t="str">
            <v>CIS</v>
          </cell>
          <cell r="D2356" t="str">
            <v>Y</v>
          </cell>
          <cell r="E2356" t="str">
            <v>A</v>
          </cell>
          <cell r="F2356" t="str">
            <v>10/07/2003</v>
          </cell>
        </row>
        <row r="2357">
          <cell r="B2357" t="str">
            <v>A2513</v>
          </cell>
          <cell r="C2357" t="str">
            <v>ARG</v>
          </cell>
          <cell r="D2357" t="str">
            <v>Y</v>
          </cell>
          <cell r="E2357" t="str">
            <v>I</v>
          </cell>
          <cell r="F2357" t="str">
            <v>10/16/2003</v>
          </cell>
        </row>
        <row r="2358">
          <cell r="B2358" t="str">
            <v>A2514</v>
          </cell>
          <cell r="C2358" t="str">
            <v>GEN</v>
          </cell>
          <cell r="D2358" t="str">
            <v>Y</v>
          </cell>
          <cell r="E2358" t="str">
            <v>A</v>
          </cell>
          <cell r="F2358" t="str">
            <v>10/21/2003</v>
          </cell>
        </row>
        <row r="2359">
          <cell r="B2359" t="str">
            <v>A2515</v>
          </cell>
          <cell r="C2359" t="str">
            <v>ARG</v>
          </cell>
          <cell r="D2359" t="str">
            <v>Y</v>
          </cell>
          <cell r="E2359" t="str">
            <v>A</v>
          </cell>
          <cell r="F2359" t="str">
            <v>10/21/2003</v>
          </cell>
        </row>
        <row r="2360">
          <cell r="B2360" t="str">
            <v>A2516</v>
          </cell>
          <cell r="C2360" t="str">
            <v>ARG</v>
          </cell>
          <cell r="D2360" t="str">
            <v>Y</v>
          </cell>
          <cell r="E2360" t="str">
            <v>A</v>
          </cell>
          <cell r="F2360" t="str">
            <v>10/21/2003</v>
          </cell>
        </row>
        <row r="2361">
          <cell r="B2361" t="str">
            <v>A2517</v>
          </cell>
          <cell r="C2361" t="str">
            <v>UEC</v>
          </cell>
          <cell r="D2361" t="str">
            <v>Y</v>
          </cell>
          <cell r="E2361" t="str">
            <v>A</v>
          </cell>
          <cell r="F2361" t="str">
            <v>10/21/2003</v>
          </cell>
        </row>
        <row r="2362">
          <cell r="B2362" t="str">
            <v>A2518</v>
          </cell>
          <cell r="C2362" t="str">
            <v>ARG</v>
          </cell>
          <cell r="D2362" t="str">
            <v>Y</v>
          </cell>
          <cell r="E2362" t="str">
            <v>A</v>
          </cell>
          <cell r="F2362" t="str">
            <v>10/30/2003</v>
          </cell>
        </row>
        <row r="2363">
          <cell r="B2363" t="str">
            <v>A2519</v>
          </cell>
          <cell r="C2363" t="str">
            <v>ARG</v>
          </cell>
          <cell r="D2363" t="str">
            <v>Y</v>
          </cell>
          <cell r="E2363" t="str">
            <v>A</v>
          </cell>
          <cell r="F2363" t="str">
            <v>10/30/2003</v>
          </cell>
        </row>
        <row r="2364">
          <cell r="B2364" t="str">
            <v>A2520</v>
          </cell>
          <cell r="C2364" t="str">
            <v>ARG</v>
          </cell>
          <cell r="D2364" t="str">
            <v>Y</v>
          </cell>
          <cell r="E2364" t="str">
            <v>A</v>
          </cell>
          <cell r="F2364" t="str">
            <v>10/30/2003</v>
          </cell>
        </row>
        <row r="2365">
          <cell r="B2365" t="str">
            <v>A2521</v>
          </cell>
          <cell r="C2365" t="str">
            <v>ARG</v>
          </cell>
          <cell r="D2365" t="str">
            <v>Y</v>
          </cell>
          <cell r="E2365" t="str">
            <v>I</v>
          </cell>
          <cell r="F2365" t="str">
            <v>10/30/2003</v>
          </cell>
        </row>
        <row r="2366">
          <cell r="B2366" t="str">
            <v>A2522</v>
          </cell>
          <cell r="C2366" t="str">
            <v>011B</v>
          </cell>
          <cell r="D2366" t="str">
            <v>Y</v>
          </cell>
          <cell r="E2366" t="str">
            <v>A</v>
          </cell>
          <cell r="F2366" t="str">
            <v>11/14/2003</v>
          </cell>
        </row>
        <row r="2367">
          <cell r="B2367" t="str">
            <v>A2523</v>
          </cell>
          <cell r="C2367" t="str">
            <v>ARG</v>
          </cell>
          <cell r="D2367" t="str">
            <v>Y</v>
          </cell>
          <cell r="E2367" t="str">
            <v>A</v>
          </cell>
          <cell r="F2367" t="str">
            <v>11/14/2003</v>
          </cell>
        </row>
        <row r="2368">
          <cell r="B2368" t="str">
            <v>A2524</v>
          </cell>
          <cell r="C2368" t="str">
            <v>UEC</v>
          </cell>
          <cell r="D2368" t="str">
            <v>Y</v>
          </cell>
          <cell r="E2368" t="str">
            <v>A</v>
          </cell>
          <cell r="F2368" t="str">
            <v>11/17/2003</v>
          </cell>
        </row>
        <row r="2369">
          <cell r="B2369" t="str">
            <v>A2531</v>
          </cell>
          <cell r="C2369" t="str">
            <v>CIL</v>
          </cell>
          <cell r="D2369" t="str">
            <v>Y</v>
          </cell>
          <cell r="E2369" t="str">
            <v>A</v>
          </cell>
          <cell r="F2369" t="str">
            <v>12/03/2003</v>
          </cell>
        </row>
        <row r="2370">
          <cell r="B2370" t="str">
            <v>A2532</v>
          </cell>
          <cell r="C2370" t="str">
            <v>ARG</v>
          </cell>
          <cell r="D2370" t="str">
            <v>Y</v>
          </cell>
          <cell r="E2370" t="str">
            <v>A</v>
          </cell>
          <cell r="F2370" t="str">
            <v>12/04/2003</v>
          </cell>
        </row>
        <row r="2371">
          <cell r="B2371" t="str">
            <v>A2533</v>
          </cell>
          <cell r="C2371" t="str">
            <v>CIL</v>
          </cell>
          <cell r="D2371" t="str">
            <v>N</v>
          </cell>
          <cell r="E2371" t="str">
            <v>A</v>
          </cell>
          <cell r="F2371" t="str">
            <v>01/02/2004</v>
          </cell>
        </row>
        <row r="2372">
          <cell r="B2372" t="str">
            <v>A2534</v>
          </cell>
          <cell r="C2372" t="str">
            <v>ARG</v>
          </cell>
          <cell r="D2372" t="str">
            <v>N</v>
          </cell>
          <cell r="E2372" t="str">
            <v>A</v>
          </cell>
          <cell r="F2372" t="str">
            <v>01/05/2004</v>
          </cell>
        </row>
        <row r="2373">
          <cell r="B2373" t="str">
            <v>A2535</v>
          </cell>
          <cell r="C2373" t="str">
            <v>ARG</v>
          </cell>
          <cell r="D2373" t="str">
            <v>Y</v>
          </cell>
          <cell r="E2373" t="str">
            <v>I</v>
          </cell>
          <cell r="F2373" t="str">
            <v>01/21/2004</v>
          </cell>
        </row>
        <row r="2374">
          <cell r="B2374" t="str">
            <v>A2536</v>
          </cell>
          <cell r="C2374" t="str">
            <v>MV1</v>
          </cell>
          <cell r="D2374" t="str">
            <v>Y</v>
          </cell>
          <cell r="E2374" t="str">
            <v>A</v>
          </cell>
          <cell r="F2374" t="str">
            <v>01/21/2004</v>
          </cell>
        </row>
        <row r="2375">
          <cell r="B2375" t="str">
            <v>A2537</v>
          </cell>
          <cell r="C2375" t="str">
            <v>UEC</v>
          </cell>
          <cell r="D2375" t="str">
            <v>Y</v>
          </cell>
          <cell r="E2375" t="str">
            <v>A</v>
          </cell>
          <cell r="F2375" t="str">
            <v>01/15/2004</v>
          </cell>
        </row>
        <row r="2376">
          <cell r="B2376" t="str">
            <v>A2538</v>
          </cell>
          <cell r="C2376" t="str">
            <v>007A</v>
          </cell>
          <cell r="D2376" t="str">
            <v>Y</v>
          </cell>
          <cell r="E2376" t="str">
            <v>A</v>
          </cell>
          <cell r="F2376" t="str">
            <v>01/22/2004</v>
          </cell>
        </row>
        <row r="2377">
          <cell r="B2377" t="str">
            <v>A2539</v>
          </cell>
          <cell r="C2377" t="str">
            <v>CIM</v>
          </cell>
          <cell r="D2377" t="str">
            <v>Y</v>
          </cell>
          <cell r="E2377" t="str">
            <v>I</v>
          </cell>
          <cell r="F2377" t="str">
            <v>01/23/2004</v>
          </cell>
        </row>
        <row r="2378">
          <cell r="B2378" t="str">
            <v>AXA11</v>
          </cell>
          <cell r="C2378"/>
          <cell r="D2378" t="str">
            <v>Y</v>
          </cell>
          <cell r="E2378" t="str">
            <v>A</v>
          </cell>
          <cell r="F2378" t="str">
            <v>12/15/1997</v>
          </cell>
        </row>
        <row r="2379">
          <cell r="B2379" t="str">
            <v>AXA1F</v>
          </cell>
          <cell r="C2379" t="str">
            <v>AFS</v>
          </cell>
          <cell r="D2379" t="str">
            <v>Y</v>
          </cell>
          <cell r="E2379" t="str">
            <v>A</v>
          </cell>
          <cell r="F2379" t="str">
            <v>12/07/2000</v>
          </cell>
        </row>
        <row r="2380">
          <cell r="B2380" t="str">
            <v>AXA21</v>
          </cell>
          <cell r="C2380" t="str">
            <v>UEC</v>
          </cell>
          <cell r="D2380" t="str">
            <v>Y</v>
          </cell>
          <cell r="E2380" t="str">
            <v>A</v>
          </cell>
          <cell r="F2380" t="str">
            <v>12/21/1997</v>
          </cell>
        </row>
        <row r="2381">
          <cell r="B2381" t="str">
            <v>AXA41</v>
          </cell>
          <cell r="C2381" t="str">
            <v>CIP</v>
          </cell>
          <cell r="D2381" t="str">
            <v>Y</v>
          </cell>
          <cell r="E2381" t="str">
            <v>A</v>
          </cell>
          <cell r="F2381" t="str">
            <v>12/21/1997</v>
          </cell>
        </row>
        <row r="2382">
          <cell r="B2382" t="str">
            <v>AXB10</v>
          </cell>
          <cell r="C2382" t="str">
            <v>AMC</v>
          </cell>
          <cell r="D2382" t="str">
            <v>Y</v>
          </cell>
          <cell r="E2382" t="str">
            <v>A</v>
          </cell>
          <cell r="F2382" t="str">
            <v>12/26/1997</v>
          </cell>
        </row>
        <row r="2383">
          <cell r="B2383" t="str">
            <v>AXB11</v>
          </cell>
          <cell r="C2383"/>
          <cell r="D2383" t="str">
            <v>Y</v>
          </cell>
          <cell r="E2383" t="str">
            <v>A</v>
          </cell>
          <cell r="F2383" t="str">
            <v>12/26/1997</v>
          </cell>
        </row>
        <row r="2384">
          <cell r="B2384" t="str">
            <v>AXB12</v>
          </cell>
          <cell r="C2384" t="str">
            <v>AEC</v>
          </cell>
          <cell r="D2384" t="str">
            <v>Y</v>
          </cell>
          <cell r="E2384" t="str">
            <v>A</v>
          </cell>
          <cell r="F2384" t="str">
            <v>10/13/1998</v>
          </cell>
        </row>
        <row r="2385">
          <cell r="B2385" t="str">
            <v>AXB13</v>
          </cell>
          <cell r="C2385" t="str">
            <v>CIC</v>
          </cell>
          <cell r="D2385" t="str">
            <v>Y</v>
          </cell>
          <cell r="E2385" t="str">
            <v>A</v>
          </cell>
          <cell r="F2385" t="str">
            <v>12/26/1997</v>
          </cell>
        </row>
        <row r="2386">
          <cell r="B2386" t="str">
            <v>AXB14</v>
          </cell>
          <cell r="C2386" t="str">
            <v>UDC</v>
          </cell>
          <cell r="D2386" t="str">
            <v>Y</v>
          </cell>
          <cell r="E2386" t="str">
            <v>A</v>
          </cell>
          <cell r="F2386" t="str">
            <v>12/26/1997</v>
          </cell>
        </row>
        <row r="2387">
          <cell r="B2387" t="str">
            <v>AXB16</v>
          </cell>
          <cell r="C2387" t="str">
            <v>AME</v>
          </cell>
          <cell r="D2387" t="str">
            <v>Y</v>
          </cell>
          <cell r="E2387" t="str">
            <v>A</v>
          </cell>
          <cell r="F2387" t="str">
            <v>10/13/1998</v>
          </cell>
        </row>
        <row r="2388">
          <cell r="B2388" t="str">
            <v>AXB18</v>
          </cell>
          <cell r="C2388" t="str">
            <v>ERC</v>
          </cell>
          <cell r="D2388" t="str">
            <v>Y</v>
          </cell>
          <cell r="E2388" t="str">
            <v>A</v>
          </cell>
          <cell r="F2388" t="str">
            <v>04/28/1998</v>
          </cell>
        </row>
        <row r="2389">
          <cell r="B2389" t="str">
            <v>AXB1D</v>
          </cell>
          <cell r="C2389" t="str">
            <v>AED</v>
          </cell>
          <cell r="D2389" t="str">
            <v>Y</v>
          </cell>
          <cell r="E2389" t="str">
            <v>A</v>
          </cell>
          <cell r="F2389" t="str">
            <v>05/12/2000</v>
          </cell>
        </row>
        <row r="2390">
          <cell r="B2390" t="str">
            <v>AXB1G</v>
          </cell>
          <cell r="C2390" t="str">
            <v>GMC</v>
          </cell>
          <cell r="D2390" t="str">
            <v>Y</v>
          </cell>
          <cell r="E2390" t="str">
            <v>A</v>
          </cell>
          <cell r="F2390" t="str">
            <v>05/29/2000</v>
          </cell>
        </row>
        <row r="2391">
          <cell r="B2391" t="str">
            <v>AXB1H</v>
          </cell>
          <cell r="C2391" t="str">
            <v>IHC</v>
          </cell>
          <cell r="D2391" t="str">
            <v>Y</v>
          </cell>
          <cell r="E2391" t="str">
            <v>A</v>
          </cell>
          <cell r="F2391" t="str">
            <v>12/20/1999</v>
          </cell>
        </row>
        <row r="2392">
          <cell r="B2392" t="str">
            <v>AXB1M</v>
          </cell>
          <cell r="C2392" t="str">
            <v>IMS</v>
          </cell>
          <cell r="D2392" t="str">
            <v>Y</v>
          </cell>
          <cell r="E2392" t="str">
            <v>A</v>
          </cell>
          <cell r="F2392" t="str">
            <v>05/29/2000</v>
          </cell>
        </row>
        <row r="2393">
          <cell r="B2393" t="str">
            <v>AXB21</v>
          </cell>
          <cell r="C2393" t="str">
            <v>UEC</v>
          </cell>
          <cell r="D2393" t="str">
            <v>Y</v>
          </cell>
          <cell r="E2393" t="str">
            <v>A</v>
          </cell>
          <cell r="F2393" t="str">
            <v>12/26/1997</v>
          </cell>
        </row>
        <row r="2394">
          <cell r="B2394" t="str">
            <v>AXB41</v>
          </cell>
          <cell r="C2394" t="str">
            <v>CIP</v>
          </cell>
          <cell r="D2394" t="str">
            <v>Y</v>
          </cell>
          <cell r="E2394" t="str">
            <v>A</v>
          </cell>
          <cell r="F2394" t="str">
            <v>12/26/1997</v>
          </cell>
        </row>
        <row r="2395">
          <cell r="B2395" t="str">
            <v>AXB90</v>
          </cell>
          <cell r="C2395" t="str">
            <v>GEN</v>
          </cell>
          <cell r="D2395" t="str">
            <v>Y</v>
          </cell>
          <cell r="E2395" t="str">
            <v>A</v>
          </cell>
          <cell r="F2395" t="str">
            <v>05/29/2000</v>
          </cell>
        </row>
        <row r="2396">
          <cell r="B2396" t="str">
            <v>C0012</v>
          </cell>
          <cell r="C2396" t="str">
            <v>CIP</v>
          </cell>
          <cell r="D2396" t="str">
            <v>N</v>
          </cell>
          <cell r="E2396" t="str">
            <v>A</v>
          </cell>
          <cell r="F2396" t="str">
            <v>01/31/2002</v>
          </cell>
        </row>
        <row r="2397">
          <cell r="B2397" t="str">
            <v>C0022</v>
          </cell>
          <cell r="C2397" t="str">
            <v>CIP</v>
          </cell>
          <cell r="D2397" t="str">
            <v>N</v>
          </cell>
          <cell r="E2397" t="str">
            <v>A</v>
          </cell>
          <cell r="F2397" t="str">
            <v>05/30/2002</v>
          </cell>
        </row>
        <row r="2398">
          <cell r="B2398" t="str">
            <v>C0023</v>
          </cell>
          <cell r="C2398" t="str">
            <v>CIP</v>
          </cell>
          <cell r="D2398" t="str">
            <v>N</v>
          </cell>
          <cell r="E2398" t="str">
            <v>I</v>
          </cell>
          <cell r="F2398" t="str">
            <v>09/18/2002</v>
          </cell>
        </row>
        <row r="2399">
          <cell r="B2399" t="str">
            <v>C0025</v>
          </cell>
          <cell r="C2399" t="str">
            <v>CIP</v>
          </cell>
          <cell r="D2399" t="str">
            <v>N</v>
          </cell>
          <cell r="E2399" t="str">
            <v>A</v>
          </cell>
          <cell r="F2399" t="str">
            <v>01/13/1998</v>
          </cell>
        </row>
        <row r="2400">
          <cell r="B2400" t="str">
            <v>C0030</v>
          </cell>
          <cell r="C2400" t="str">
            <v>CIP</v>
          </cell>
          <cell r="D2400" t="str">
            <v>N</v>
          </cell>
          <cell r="E2400" t="str">
            <v>A</v>
          </cell>
          <cell r="F2400" t="str">
            <v>05/04/1999</v>
          </cell>
        </row>
        <row r="2401">
          <cell r="B2401" t="str">
            <v>C0032</v>
          </cell>
          <cell r="C2401" t="str">
            <v>CIP</v>
          </cell>
          <cell r="D2401" t="str">
            <v>N</v>
          </cell>
          <cell r="E2401" t="str">
            <v>A</v>
          </cell>
          <cell r="F2401" t="str">
            <v>01/06/1998</v>
          </cell>
        </row>
        <row r="2402">
          <cell r="B2402" t="str">
            <v>C0101</v>
          </cell>
          <cell r="C2402" t="str">
            <v>CIP</v>
          </cell>
          <cell r="D2402" t="str">
            <v>N</v>
          </cell>
          <cell r="E2402" t="str">
            <v>A</v>
          </cell>
          <cell r="F2402" t="str">
            <v>01/12/1998</v>
          </cell>
        </row>
        <row r="2403">
          <cell r="B2403" t="str">
            <v>C0102</v>
          </cell>
          <cell r="C2403" t="str">
            <v>CIP</v>
          </cell>
          <cell r="D2403" t="str">
            <v>N</v>
          </cell>
          <cell r="E2403" t="str">
            <v>A</v>
          </cell>
          <cell r="F2403" t="str">
            <v>01/12/1998</v>
          </cell>
        </row>
        <row r="2404">
          <cell r="B2404" t="str">
            <v>C0103</v>
          </cell>
          <cell r="C2404" t="str">
            <v>CIP</v>
          </cell>
          <cell r="D2404" t="str">
            <v>N</v>
          </cell>
          <cell r="E2404" t="str">
            <v>A</v>
          </cell>
          <cell r="F2404" t="str">
            <v>01/12/1998</v>
          </cell>
        </row>
        <row r="2405">
          <cell r="B2405" t="str">
            <v>C0105</v>
          </cell>
          <cell r="C2405" t="str">
            <v>CIP</v>
          </cell>
          <cell r="D2405" t="str">
            <v>N</v>
          </cell>
          <cell r="E2405" t="str">
            <v>A</v>
          </cell>
          <cell r="F2405" t="str">
            <v>01/12/1998</v>
          </cell>
        </row>
        <row r="2406">
          <cell r="B2406" t="str">
            <v>C0111</v>
          </cell>
          <cell r="C2406" t="str">
            <v>CIP</v>
          </cell>
          <cell r="D2406" t="str">
            <v>N</v>
          </cell>
          <cell r="E2406" t="str">
            <v>A</v>
          </cell>
          <cell r="F2406" t="str">
            <v>12/07/1997</v>
          </cell>
        </row>
        <row r="2407">
          <cell r="B2407" t="str">
            <v>C0113</v>
          </cell>
          <cell r="C2407" t="str">
            <v>CIP</v>
          </cell>
          <cell r="D2407" t="str">
            <v>N</v>
          </cell>
          <cell r="E2407" t="str">
            <v>A</v>
          </cell>
          <cell r="F2407" t="str">
            <v>12/07/1997</v>
          </cell>
        </row>
        <row r="2408">
          <cell r="B2408" t="str">
            <v>C0114</v>
          </cell>
          <cell r="C2408" t="str">
            <v>CIP</v>
          </cell>
          <cell r="D2408" t="str">
            <v>N</v>
          </cell>
          <cell r="E2408" t="str">
            <v>A</v>
          </cell>
          <cell r="F2408" t="str">
            <v>08/02/2003</v>
          </cell>
        </row>
        <row r="2409">
          <cell r="B2409" t="str">
            <v>C0201</v>
          </cell>
          <cell r="C2409" t="str">
            <v>CIP</v>
          </cell>
          <cell r="D2409" t="str">
            <v>N</v>
          </cell>
          <cell r="E2409" t="str">
            <v>A</v>
          </cell>
          <cell r="F2409" t="str">
            <v>12/07/1997</v>
          </cell>
        </row>
        <row r="2410">
          <cell r="B2410" t="str">
            <v>C0202</v>
          </cell>
          <cell r="C2410" t="str">
            <v>CIP</v>
          </cell>
          <cell r="D2410" t="str">
            <v>N</v>
          </cell>
          <cell r="E2410" t="str">
            <v>A</v>
          </cell>
          <cell r="F2410" t="str">
            <v>12/07/1997</v>
          </cell>
        </row>
        <row r="2411">
          <cell r="B2411" t="str">
            <v>C0203</v>
          </cell>
          <cell r="C2411" t="str">
            <v>CIP</v>
          </cell>
          <cell r="D2411" t="str">
            <v>N</v>
          </cell>
          <cell r="E2411" t="str">
            <v>A</v>
          </cell>
          <cell r="F2411" t="str">
            <v>12/07/1997</v>
          </cell>
        </row>
        <row r="2412">
          <cell r="B2412" t="str">
            <v>C0204</v>
          </cell>
          <cell r="C2412" t="str">
            <v>CIP</v>
          </cell>
          <cell r="D2412" t="str">
            <v>N</v>
          </cell>
          <cell r="E2412" t="str">
            <v>I</v>
          </cell>
          <cell r="F2412" t="str">
            <v>12/07/1997</v>
          </cell>
        </row>
        <row r="2413">
          <cell r="B2413" t="str">
            <v>C0205</v>
          </cell>
          <cell r="C2413" t="str">
            <v>CIP</v>
          </cell>
          <cell r="D2413" t="str">
            <v>N</v>
          </cell>
          <cell r="E2413" t="str">
            <v>I</v>
          </cell>
          <cell r="F2413" t="str">
            <v>12/07/1997</v>
          </cell>
        </row>
        <row r="2414">
          <cell r="B2414" t="str">
            <v>C0211</v>
          </cell>
          <cell r="C2414" t="str">
            <v>CIP</v>
          </cell>
          <cell r="D2414" t="str">
            <v>N</v>
          </cell>
          <cell r="E2414" t="str">
            <v>A</v>
          </cell>
          <cell r="F2414" t="str">
            <v>12/07/1997</v>
          </cell>
        </row>
        <row r="2415">
          <cell r="B2415" t="str">
            <v>C0213</v>
          </cell>
          <cell r="C2415" t="str">
            <v>CIP</v>
          </cell>
          <cell r="D2415" t="str">
            <v>N</v>
          </cell>
          <cell r="E2415" t="str">
            <v>A</v>
          </cell>
          <cell r="F2415" t="str">
            <v>12/07/1997</v>
          </cell>
        </row>
        <row r="2416">
          <cell r="B2416" t="str">
            <v>C0214</v>
          </cell>
          <cell r="C2416" t="str">
            <v>CIP</v>
          </cell>
          <cell r="D2416" t="str">
            <v>N</v>
          </cell>
          <cell r="E2416" t="str">
            <v>A</v>
          </cell>
          <cell r="F2416" t="str">
            <v>12/07/1997</v>
          </cell>
        </row>
        <row r="2417">
          <cell r="B2417" t="str">
            <v>C0301</v>
          </cell>
          <cell r="C2417" t="str">
            <v>CIP</v>
          </cell>
          <cell r="D2417" t="str">
            <v>N</v>
          </cell>
          <cell r="E2417" t="str">
            <v>A</v>
          </cell>
          <cell r="F2417" t="str">
            <v>12/07/1997</v>
          </cell>
        </row>
        <row r="2418">
          <cell r="B2418" t="str">
            <v>C0302</v>
          </cell>
          <cell r="C2418" t="str">
            <v>CIP</v>
          </cell>
          <cell r="D2418" t="str">
            <v>N</v>
          </cell>
          <cell r="E2418" t="str">
            <v>A</v>
          </cell>
          <cell r="F2418" t="str">
            <v>12/07/1997</v>
          </cell>
        </row>
        <row r="2419">
          <cell r="B2419" t="str">
            <v>C0303</v>
          </cell>
          <cell r="C2419" t="str">
            <v>CIP</v>
          </cell>
          <cell r="D2419" t="str">
            <v>N</v>
          </cell>
          <cell r="E2419" t="str">
            <v>A</v>
          </cell>
          <cell r="F2419" t="str">
            <v>12/07/1997</v>
          </cell>
        </row>
        <row r="2420">
          <cell r="B2420" t="str">
            <v>C0305</v>
          </cell>
          <cell r="C2420" t="str">
            <v>CIP</v>
          </cell>
          <cell r="D2420" t="str">
            <v>N</v>
          </cell>
          <cell r="E2420" t="str">
            <v>A</v>
          </cell>
          <cell r="F2420" t="str">
            <v>12/07/1997</v>
          </cell>
        </row>
        <row r="2421">
          <cell r="B2421" t="str">
            <v>C0311</v>
          </cell>
          <cell r="C2421" t="str">
            <v>CIP</v>
          </cell>
          <cell r="D2421" t="str">
            <v>N</v>
          </cell>
          <cell r="E2421" t="str">
            <v>A</v>
          </cell>
          <cell r="F2421" t="str">
            <v>12/07/1997</v>
          </cell>
        </row>
        <row r="2422">
          <cell r="B2422" t="str">
            <v>C0313</v>
          </cell>
          <cell r="C2422" t="str">
            <v>CIP</v>
          </cell>
          <cell r="D2422" t="str">
            <v>N</v>
          </cell>
          <cell r="E2422" t="str">
            <v>A</v>
          </cell>
          <cell r="F2422" t="str">
            <v>12/07/1997</v>
          </cell>
        </row>
        <row r="2423">
          <cell r="B2423" t="str">
            <v>C0314</v>
          </cell>
          <cell r="C2423" t="str">
            <v>CIP</v>
          </cell>
          <cell r="D2423" t="str">
            <v>N</v>
          </cell>
          <cell r="E2423" t="str">
            <v>A</v>
          </cell>
          <cell r="F2423" t="str">
            <v>12/07/1997</v>
          </cell>
        </row>
        <row r="2424">
          <cell r="B2424" t="str">
            <v>C0401</v>
          </cell>
          <cell r="C2424" t="str">
            <v>CIP</v>
          </cell>
          <cell r="D2424" t="str">
            <v>N</v>
          </cell>
          <cell r="E2424" t="str">
            <v>A</v>
          </cell>
          <cell r="F2424" t="str">
            <v>12/07/1997</v>
          </cell>
        </row>
        <row r="2425">
          <cell r="B2425" t="str">
            <v>C0402</v>
          </cell>
          <cell r="C2425" t="str">
            <v>CIP</v>
          </cell>
          <cell r="D2425" t="str">
            <v>N</v>
          </cell>
          <cell r="E2425" t="str">
            <v>A</v>
          </cell>
          <cell r="F2425" t="str">
            <v>12/07/1997</v>
          </cell>
        </row>
        <row r="2426">
          <cell r="B2426" t="str">
            <v>C0403</v>
          </cell>
          <cell r="C2426" t="str">
            <v>CIP</v>
          </cell>
          <cell r="D2426" t="str">
            <v>N</v>
          </cell>
          <cell r="E2426" t="str">
            <v>A</v>
          </cell>
          <cell r="F2426" t="str">
            <v>12/07/1997</v>
          </cell>
        </row>
        <row r="2427">
          <cell r="B2427" t="str">
            <v>C0407</v>
          </cell>
          <cell r="C2427" t="str">
            <v>CIP</v>
          </cell>
          <cell r="D2427" t="str">
            <v>N</v>
          </cell>
          <cell r="E2427" t="str">
            <v>A</v>
          </cell>
          <cell r="F2427" t="str">
            <v>06/26/1998</v>
          </cell>
        </row>
        <row r="2428">
          <cell r="B2428" t="str">
            <v>C0411</v>
          </cell>
          <cell r="C2428" t="str">
            <v>CIP</v>
          </cell>
          <cell r="D2428" t="str">
            <v>N</v>
          </cell>
          <cell r="E2428" t="str">
            <v>A</v>
          </cell>
          <cell r="F2428" t="str">
            <v>12/07/1997</v>
          </cell>
        </row>
        <row r="2429">
          <cell r="B2429" t="str">
            <v>C0413</v>
          </cell>
          <cell r="C2429" t="str">
            <v>CIP</v>
          </cell>
          <cell r="D2429" t="str">
            <v>N</v>
          </cell>
          <cell r="E2429" t="str">
            <v>A</v>
          </cell>
          <cell r="F2429" t="str">
            <v>12/07/1997</v>
          </cell>
        </row>
        <row r="2430">
          <cell r="B2430" t="str">
            <v>C0414</v>
          </cell>
          <cell r="C2430" t="str">
            <v>CIP</v>
          </cell>
          <cell r="D2430" t="str">
            <v>N</v>
          </cell>
          <cell r="E2430" t="str">
            <v>A</v>
          </cell>
          <cell r="F2430" t="str">
            <v>12/07/1997</v>
          </cell>
        </row>
        <row r="2431">
          <cell r="B2431" t="str">
            <v>C0701</v>
          </cell>
          <cell r="C2431" t="str">
            <v>CIP</v>
          </cell>
          <cell r="D2431" t="str">
            <v>N</v>
          </cell>
          <cell r="E2431" t="str">
            <v>A</v>
          </cell>
          <cell r="F2431" t="str">
            <v>12/07/1997</v>
          </cell>
        </row>
        <row r="2432">
          <cell r="B2432" t="str">
            <v>C0702</v>
          </cell>
          <cell r="C2432" t="str">
            <v>CIP</v>
          </cell>
          <cell r="D2432" t="str">
            <v>N</v>
          </cell>
          <cell r="E2432" t="str">
            <v>A</v>
          </cell>
          <cell r="F2432" t="str">
            <v>12/07/1997</v>
          </cell>
        </row>
        <row r="2433">
          <cell r="B2433" t="str">
            <v>C0703</v>
          </cell>
          <cell r="C2433" t="str">
            <v>CIP</v>
          </cell>
          <cell r="D2433" t="str">
            <v>N</v>
          </cell>
          <cell r="E2433" t="str">
            <v>A</v>
          </cell>
          <cell r="F2433" t="str">
            <v>12/07/1997</v>
          </cell>
        </row>
        <row r="2434">
          <cell r="B2434" t="str">
            <v>C0711</v>
          </cell>
          <cell r="C2434" t="str">
            <v>CIP</v>
          </cell>
          <cell r="D2434" t="str">
            <v>N</v>
          </cell>
          <cell r="E2434" t="str">
            <v>A</v>
          </cell>
          <cell r="F2434" t="str">
            <v>12/07/1997</v>
          </cell>
        </row>
        <row r="2435">
          <cell r="B2435" t="str">
            <v>C0713</v>
          </cell>
          <cell r="C2435" t="str">
            <v>CIP</v>
          </cell>
          <cell r="D2435" t="str">
            <v>N</v>
          </cell>
          <cell r="E2435" t="str">
            <v>A</v>
          </cell>
          <cell r="F2435" t="str">
            <v>12/07/1997</v>
          </cell>
        </row>
        <row r="2436">
          <cell r="B2436" t="str">
            <v>C0801</v>
          </cell>
          <cell r="C2436" t="str">
            <v>CIP</v>
          </cell>
          <cell r="D2436" t="str">
            <v>N</v>
          </cell>
          <cell r="E2436" t="str">
            <v>A</v>
          </cell>
          <cell r="F2436" t="str">
            <v>12/07/1997</v>
          </cell>
        </row>
        <row r="2437">
          <cell r="B2437" t="str">
            <v>C0802</v>
          </cell>
          <cell r="C2437" t="str">
            <v>CIP</v>
          </cell>
          <cell r="D2437" t="str">
            <v>N</v>
          </cell>
          <cell r="E2437" t="str">
            <v>A</v>
          </cell>
          <cell r="F2437" t="str">
            <v>12/07/1997</v>
          </cell>
        </row>
        <row r="2438">
          <cell r="B2438" t="str">
            <v>C0803</v>
          </cell>
          <cell r="C2438" t="str">
            <v>CIP</v>
          </cell>
          <cell r="D2438" t="str">
            <v>N</v>
          </cell>
          <cell r="E2438" t="str">
            <v>A</v>
          </cell>
          <cell r="F2438" t="str">
            <v>12/07/1997</v>
          </cell>
        </row>
        <row r="2439">
          <cell r="B2439" t="str">
            <v>C0805</v>
          </cell>
          <cell r="C2439" t="str">
            <v>CIP</v>
          </cell>
          <cell r="D2439" t="str">
            <v>N</v>
          </cell>
          <cell r="E2439" t="str">
            <v>A</v>
          </cell>
          <cell r="F2439" t="str">
            <v>12/07/1997</v>
          </cell>
        </row>
        <row r="2440">
          <cell r="B2440" t="str">
            <v>C0811</v>
          </cell>
          <cell r="C2440" t="str">
            <v>CIP</v>
          </cell>
          <cell r="D2440" t="str">
            <v>N</v>
          </cell>
          <cell r="E2440" t="str">
            <v>A</v>
          </cell>
          <cell r="F2440" t="str">
            <v>12/07/1997</v>
          </cell>
        </row>
        <row r="2441">
          <cell r="B2441" t="str">
            <v>C0813</v>
          </cell>
          <cell r="C2441" t="str">
            <v>CIP</v>
          </cell>
          <cell r="D2441" t="str">
            <v>N</v>
          </cell>
          <cell r="E2441" t="str">
            <v>A</v>
          </cell>
          <cell r="F2441" t="str">
            <v>12/07/1997</v>
          </cell>
        </row>
        <row r="2442">
          <cell r="B2442" t="str">
            <v>C0920</v>
          </cell>
          <cell r="C2442" t="str">
            <v>GEN</v>
          </cell>
          <cell r="D2442" t="str">
            <v>N</v>
          </cell>
          <cell r="E2442" t="str">
            <v>A</v>
          </cell>
          <cell r="F2442" t="str">
            <v>01/12/1998</v>
          </cell>
        </row>
        <row r="2443">
          <cell r="B2443" t="str">
            <v>C0930</v>
          </cell>
          <cell r="C2443" t="str">
            <v>GEN</v>
          </cell>
          <cell r="D2443" t="str">
            <v>N</v>
          </cell>
          <cell r="E2443" t="str">
            <v>A</v>
          </cell>
          <cell r="F2443" t="str">
            <v>01/12/1998</v>
          </cell>
        </row>
        <row r="2444">
          <cell r="B2444" t="str">
            <v>C0940</v>
          </cell>
          <cell r="C2444" t="str">
            <v>GEN</v>
          </cell>
          <cell r="D2444" t="str">
            <v>N</v>
          </cell>
          <cell r="E2444" t="str">
            <v>A</v>
          </cell>
          <cell r="F2444" t="str">
            <v>01/12/1998</v>
          </cell>
        </row>
        <row r="2445">
          <cell r="B2445" t="str">
            <v>C0950</v>
          </cell>
          <cell r="C2445" t="str">
            <v>GEN</v>
          </cell>
          <cell r="D2445" t="str">
            <v>N</v>
          </cell>
          <cell r="E2445" t="str">
            <v>A</v>
          </cell>
          <cell r="F2445" t="str">
            <v>01/12/1998</v>
          </cell>
        </row>
        <row r="2446">
          <cell r="B2446" t="str">
            <v>C0992</v>
          </cell>
          <cell r="C2446" t="str">
            <v>CIP</v>
          </cell>
          <cell r="D2446" t="str">
            <v>N</v>
          </cell>
          <cell r="E2446" t="str">
            <v>A</v>
          </cell>
          <cell r="F2446" t="str">
            <v>05/09/2003</v>
          </cell>
        </row>
        <row r="2447">
          <cell r="B2447" t="str">
            <v>C1201</v>
          </cell>
          <cell r="C2447" t="str">
            <v>CIL</v>
          </cell>
          <cell r="D2447" t="str">
            <v>N</v>
          </cell>
          <cell r="E2447" t="str">
            <v>A</v>
          </cell>
          <cell r="F2447" t="str">
            <v>11/17/2003</v>
          </cell>
        </row>
        <row r="2448">
          <cell r="B2448" t="str">
            <v>C1209</v>
          </cell>
          <cell r="C2448" t="str">
            <v>CIL</v>
          </cell>
          <cell r="D2448" t="str">
            <v>N</v>
          </cell>
          <cell r="E2448" t="str">
            <v>A</v>
          </cell>
          <cell r="F2448" t="str">
            <v>01/05/2004</v>
          </cell>
        </row>
        <row r="2449">
          <cell r="B2449" t="str">
            <v>C1209</v>
          </cell>
          <cell r="C2449" t="str">
            <v>CIL</v>
          </cell>
          <cell r="D2449" t="str">
            <v>N</v>
          </cell>
          <cell r="E2449" t="str">
            <v>A</v>
          </cell>
          <cell r="F2449" t="str">
            <v>01/05/2004</v>
          </cell>
        </row>
        <row r="2450">
          <cell r="B2450" t="str">
            <v>C1220</v>
          </cell>
          <cell r="C2450" t="str">
            <v>CIL</v>
          </cell>
          <cell r="D2450" t="str">
            <v>N</v>
          </cell>
          <cell r="E2450" t="str">
            <v>A</v>
          </cell>
          <cell r="F2450" t="str">
            <v>12/21/2003</v>
          </cell>
        </row>
        <row r="2451">
          <cell r="B2451" t="str">
            <v>C1250</v>
          </cell>
          <cell r="C2451" t="str">
            <v>CIL</v>
          </cell>
          <cell r="D2451" t="str">
            <v>N</v>
          </cell>
          <cell r="E2451" t="str">
            <v>A</v>
          </cell>
          <cell r="F2451" t="str">
            <v>12/21/2003</v>
          </cell>
        </row>
        <row r="2452">
          <cell r="B2452" t="str">
            <v>C1250</v>
          </cell>
          <cell r="C2452" t="str">
            <v>CIL</v>
          </cell>
          <cell r="D2452" t="str">
            <v>N</v>
          </cell>
          <cell r="E2452" t="str">
            <v>A</v>
          </cell>
          <cell r="F2452" t="str">
            <v>12/21/2003</v>
          </cell>
        </row>
        <row r="2453">
          <cell r="B2453" t="str">
            <v>C1310</v>
          </cell>
          <cell r="C2453" t="str">
            <v>CIL</v>
          </cell>
          <cell r="D2453" t="str">
            <v>N</v>
          </cell>
          <cell r="E2453" t="str">
            <v>A</v>
          </cell>
          <cell r="F2453" t="str">
            <v>12/21/2003</v>
          </cell>
        </row>
        <row r="2454">
          <cell r="B2454" t="str">
            <v>C2023</v>
          </cell>
          <cell r="C2454" t="str">
            <v>CIL</v>
          </cell>
          <cell r="D2454" t="str">
            <v>N</v>
          </cell>
          <cell r="E2454" t="str">
            <v>A</v>
          </cell>
          <cell r="F2454" t="str">
            <v>12/21/2003</v>
          </cell>
        </row>
        <row r="2455">
          <cell r="B2455" t="str">
            <v>CIL01</v>
          </cell>
          <cell r="C2455" t="str">
            <v>CIL</v>
          </cell>
          <cell r="D2455" t="str">
            <v>N</v>
          </cell>
          <cell r="E2455" t="str">
            <v>A</v>
          </cell>
          <cell r="F2455" t="str">
            <v>01/06/2004</v>
          </cell>
        </row>
        <row r="2456">
          <cell r="B2456" t="str">
            <v>CIP01</v>
          </cell>
          <cell r="C2456" t="str">
            <v>CIP</v>
          </cell>
          <cell r="D2456" t="str">
            <v>N</v>
          </cell>
          <cell r="E2456" t="str">
            <v>A</v>
          </cell>
          <cell r="F2456" t="str">
            <v>01/12/2001</v>
          </cell>
        </row>
        <row r="2457">
          <cell r="B2457" t="str">
            <v>GEN03</v>
          </cell>
          <cell r="C2457" t="str">
            <v>GEN</v>
          </cell>
          <cell r="D2457" t="str">
            <v>N</v>
          </cell>
          <cell r="E2457" t="str">
            <v>A</v>
          </cell>
          <cell r="F2457" t="str">
            <v>01/12/2001</v>
          </cell>
        </row>
        <row r="2458">
          <cell r="B2458" t="str">
            <v>UEC01</v>
          </cell>
          <cell r="C2458" t="str">
            <v>UEC</v>
          </cell>
          <cell r="D2458" t="str">
            <v>N</v>
          </cell>
          <cell r="E2458" t="str">
            <v>A</v>
          </cell>
          <cell r="F2458" t="str">
            <v>01/12/2001</v>
          </cell>
        </row>
        <row r="2459">
          <cell r="B2459" t="str">
            <v>UEC03</v>
          </cell>
          <cell r="C2459" t="str">
            <v>UEC</v>
          </cell>
          <cell r="D2459" t="str">
            <v>N</v>
          </cell>
          <cell r="E2459" t="str">
            <v>A</v>
          </cell>
          <cell r="F2459" t="str">
            <v>01/12/2001</v>
          </cell>
        </row>
        <row r="2460">
          <cell r="B2460" t="str">
            <v>X9998</v>
          </cell>
          <cell r="C2460" t="str">
            <v>CIP</v>
          </cell>
          <cell r="D2460" t="str">
            <v>N</v>
          </cell>
          <cell r="E2460" t="str">
            <v>A</v>
          </cell>
          <cell r="F2460" t="str">
            <v>01/15/1998</v>
          </cell>
        </row>
        <row r="2461">
          <cell r="B2461" t="str">
            <v>X9999</v>
          </cell>
          <cell r="C2461" t="str">
            <v>UEC</v>
          </cell>
          <cell r="D2461" t="str">
            <v>N</v>
          </cell>
          <cell r="E2461" t="str">
            <v>A</v>
          </cell>
          <cell r="F2461" t="str">
            <v>01/15/1998</v>
          </cell>
        </row>
      </sheetData>
      <sheetData sheetId="12" refreshError="1"/>
      <sheetData sheetId="13" refreshError="1"/>
      <sheetData sheetId="1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Print"/>
      <sheetName val="Sch A-1"/>
      <sheetName val="Sch A-2"/>
      <sheetName val="Sch A-2.1"/>
      <sheetName val="Sch A-3"/>
      <sheetName val="Sch A-4"/>
      <sheetName val="Sch A-5 RB"/>
      <sheetName val="Sch A-5 Exp"/>
      <sheetName val="WPA-5"/>
      <sheetName val="WPA-5.2"/>
      <sheetName val="Sch B-1"/>
      <sheetName val="Sch B-2"/>
      <sheetName val="Sch B-2.1"/>
      <sheetName val="Sch B-2.2"/>
      <sheetName val="WPB-2.2a"/>
      <sheetName val="WPB-2.2b"/>
      <sheetName val="Sch B-2.3"/>
      <sheetName val="WPB-2.3"/>
      <sheetName val="Sch B-2.4"/>
      <sheetName val="WPB-2.4"/>
      <sheetName val="Sch B-2.5"/>
      <sheetName val="WPB-2.5a"/>
      <sheetName val="Sch B-2.6"/>
      <sheetName val="WPB-2.6"/>
      <sheetName val="Sch B-3"/>
      <sheetName val="Sch B-4"/>
      <sheetName val="Sch B-5"/>
      <sheetName val="WPB-5"/>
      <sheetName val="Sch B-5.1"/>
      <sheetName val="Sch B-6"/>
      <sheetName val="Sch B-7.2"/>
      <sheetName val="Sch B-7.2a"/>
      <sheetName val="Sch B-8"/>
      <sheetName val="Sch B-8.1"/>
      <sheetName val="WPB-8.1a"/>
      <sheetName val="Sch B-9"/>
      <sheetName val="WPB-9"/>
      <sheetName val="WPB-9a"/>
      <sheetName val="WPB-9b"/>
      <sheetName val="Sch B-9.1"/>
      <sheetName val="Sch B-13"/>
      <sheetName val="WPB-13a"/>
      <sheetName val="Sch B-14"/>
      <sheetName val="Sch C-1"/>
      <sheetName val="Sch C-2"/>
      <sheetName val="Sch C-2.1"/>
      <sheetName val="WPC-2.1"/>
      <sheetName val="Sch C-2.2"/>
      <sheetName val="WPC-2.2"/>
      <sheetName val="Sch C-2.3"/>
      <sheetName val="WPC-2.3"/>
      <sheetName val="WPC-2.3.3 Annualized Detail"/>
      <sheetName val="Sch C-2.4"/>
      <sheetName val="Sch C-2.5"/>
      <sheetName val="WPC-2.5"/>
      <sheetName val="Sch C-2.6"/>
      <sheetName val="WPC-2.6"/>
      <sheetName val="Sch C-2.7"/>
      <sheetName val="Sch C-2.8"/>
      <sheetName val="Sch C-2.9"/>
      <sheetName val="Sch C-2.10"/>
      <sheetName val="WPC-2.10"/>
      <sheetName val="Sch C-2.11"/>
      <sheetName val="WPC-2.11"/>
      <sheetName val="Sch C-2.12"/>
      <sheetName val="WPC-2.12"/>
      <sheetName val="Sch C-2.13"/>
      <sheetName val="WPC-2.13"/>
      <sheetName val="Sch C-2.14"/>
      <sheetName val="WPC-2.14"/>
      <sheetName val="WPC-2.14a"/>
      <sheetName val="Sch C-2.15"/>
      <sheetName val="Sch C-2.16"/>
      <sheetName val="Sch C-2.17"/>
      <sheetName val="Sch C-2.18"/>
      <sheetName val="Sch C-2.19"/>
      <sheetName val="WPC-2.19"/>
      <sheetName val="Sch C-2.20"/>
      <sheetName val="WPC-2.20"/>
      <sheetName val="Sch C-2.21"/>
      <sheetName val="WPC-2.21"/>
      <sheetName val="Sch C-2.22"/>
      <sheetName val="Sch C-2.23"/>
      <sheetName val="WPC-2.23"/>
      <sheetName val="Sch C-2.24"/>
      <sheetName val="Sch C-3"/>
      <sheetName val="Sch C-4"/>
      <sheetName val="Sch C-5a"/>
      <sheetName val="Sch C-5b"/>
      <sheetName val="Sch C-5.1"/>
      <sheetName val="Sch C-5.2"/>
      <sheetName val="Sch C-5.3"/>
      <sheetName val="Sch C-5.4"/>
      <sheetName val="WPC-5.4"/>
      <sheetName val="Sch C-6"/>
      <sheetName val="Sch C-6.1"/>
      <sheetName val="Sch C-6.2"/>
      <sheetName val="Sch C-7"/>
      <sheetName val="Schedule C-7"/>
      <sheetName val="Sch C-8"/>
      <sheetName val="Sch C-9"/>
      <sheetName val="Sch C-10"/>
      <sheetName val="WPC-10"/>
      <sheetName val="Sch C-10.1"/>
      <sheetName val="Sch C-11.1"/>
      <sheetName val="WPC-11.1"/>
      <sheetName val="Sch C-11.2a"/>
      <sheetName val="Sch C-11.2b"/>
      <sheetName val="Sch C-11.2c"/>
      <sheetName val="Sch C-11.2d"/>
      <sheetName val="Sch C-11.2e"/>
      <sheetName val="Sch C-11.2f"/>
      <sheetName val="Sch C-11.2g"/>
      <sheetName val="Sch C-11.2h"/>
      <sheetName val="Sch C-11.3"/>
      <sheetName val="WPC-11.3"/>
      <sheetName val="WPC-11.3a"/>
      <sheetName val="WPC-11.3b"/>
      <sheetName val="WPC-11.3c"/>
      <sheetName val="Sch C-12"/>
      <sheetName val="WPC-12"/>
      <sheetName val="Sch C-13"/>
      <sheetName val="Sch C-14"/>
      <sheetName val="WPC-14"/>
      <sheetName val="Sch C-16 OLD-Replaced 12.12.05"/>
      <sheetName val="WPC-16a"/>
      <sheetName val="Sch C-16"/>
      <sheetName val="Sch C-17 2004"/>
      <sheetName val="Sch C-17 2004 to Sept"/>
      <sheetName val="Sch C-17 2003"/>
      <sheetName val="Sch C-17 2002"/>
      <sheetName val="Sch C-17 2001"/>
      <sheetName val="Sch C-18"/>
      <sheetName val="WPC-18a"/>
      <sheetName val="WPC-18b"/>
      <sheetName val="WPC-18c"/>
      <sheetName val="Sch C-19"/>
      <sheetName val="Sch C-21"/>
      <sheetName val="Sch C-22"/>
      <sheetName val="Sch C-23"/>
      <sheetName val="WPC-23"/>
      <sheetName val="Sch C-25"/>
      <sheetName val="Sch C-26"/>
      <sheetName val="Sch C-29"/>
      <sheetName val="Sch C-31"/>
      <sheetName val="Sch C-32"/>
      <sheetName val="WPC-4"/>
      <sheetName val="WPA-5.1.4 Func Factors"/>
      <sheetName val="WPB-1 Cust Adv"/>
      <sheetName val="WPB-2.2.3"/>
      <sheetName val="WPB-2.4.2 Int Plt Gross - AMS"/>
      <sheetName val="WPB-2.4.3 Int Plt Reserve - AMS"/>
      <sheetName val="WPB-2.4.4 Int Plt Net - AMS"/>
      <sheetName val="WPB-2.4.5 Gen Plt Gross -AMS"/>
      <sheetName val="WPB-2.4.6 Gen Plt Reserve - AMS"/>
      <sheetName val="WPB-2.4.7 Gen Plt Net - AMS"/>
      <sheetName val="Sch B-5.2 Merged or Acq Prop"/>
      <sheetName val="Sch B-5.3 Leased Prop"/>
      <sheetName val="Sch B-7 CWIP"/>
      <sheetName val="Sch B-7.1 CWIP % Complete"/>
      <sheetName val="WPB-8.1b"/>
      <sheetName val="Construction"/>
      <sheetName val="GPROD"/>
      <sheetName val="ETRANS"/>
      <sheetName val="GTRANS"/>
      <sheetName val="EDISTR"/>
      <sheetName val="GDISTR"/>
      <sheetName val="DistrMisc"/>
      <sheetName val="Other"/>
      <sheetName val="Sch B-10 Def Charges"/>
      <sheetName val="Sch B-11 PHFFU"/>
      <sheetName val="Sch B-12 Analysis of PHFFU"/>
      <sheetName val="WPC-2.2.2"/>
      <sheetName val="WPC-2.2.3"/>
      <sheetName val="WPC-2.2.4"/>
      <sheetName val="WPC-2.2.5"/>
      <sheetName val="WPC-2.2.6"/>
      <sheetName val="WPC-2.2.7"/>
      <sheetName val="WPC-2.3.4 IP 04-05"/>
      <sheetName val="WPC-2.3.5 IP 05-05"/>
      <sheetName val="WPC-2.3.6 IP 06-05"/>
      <sheetName val="WPC-2.3.6 IP 07-05"/>
      <sheetName val="WPC-2.8"/>
      <sheetName val="WPC-2.13.3"/>
      <sheetName val="WPC-2.13.4"/>
      <sheetName val="WPC-2.13.5"/>
      <sheetName val="WPC-2.13.6"/>
      <sheetName val="WPC-2.13.7"/>
      <sheetName val="WPC-2.13.8"/>
      <sheetName val="WPC-2.13.9"/>
      <sheetName val="WPC-2.13.10"/>
      <sheetName val="WPC-2.13.11"/>
      <sheetName val="WPC-2.13.12"/>
      <sheetName val="WPC-2.22"/>
      <sheetName val="Sch C-5.5 ITC &amp; Job Dev. Cr"/>
      <sheetName val="WPC-6.1"/>
      <sheetName val="WPC-6.1 2004"/>
      <sheetName val="WPC-6.1 2003"/>
      <sheetName val="WPC-6.1 2002"/>
      <sheetName val="WPC-6.1 2001"/>
      <sheetName val="WPC-6.2"/>
      <sheetName val="Sheet2"/>
      <sheetName val="WPC-7"/>
      <sheetName val="WPC-8"/>
      <sheetName val="WPC-9"/>
      <sheetName val="WPC-11.1a"/>
      <sheetName val="Sch 11.4 Recon Est Ovrhd"/>
      <sheetName val="WPC-13.1 Affl Int Trans"/>
      <sheetName val="WPC-14a"/>
      <sheetName val="WPC-14b"/>
      <sheetName val="WPC-14c"/>
      <sheetName val="WPC-14d"/>
      <sheetName val="WPC-14e"/>
      <sheetName val="Sch C-15 Major Maint Proj"/>
      <sheetName val="WPC-16"/>
      <sheetName val="WPC-18b Accr Prop Tax"/>
      <sheetName val="WPC-18a 2004"/>
      <sheetName val="Sch C-18a Oth Tx 2003"/>
      <sheetName val="WPC-18a 2003"/>
      <sheetName val="Sch C-18a Oth Tx 2002"/>
      <sheetName val="WPC-18a Oth Tx 2002"/>
      <sheetName val="WPC-18a 2001"/>
      <sheetName val="Sch C-20 Local Tx"/>
      <sheetName val="Sch C-24 Legal Exp &amp; Res"/>
      <sheetName val="WPC-25"/>
      <sheetName val="Sch C-27 Fuel Adj Rev &amp; Exp"/>
      <sheetName val="Sch C-28 Fuel Transp Exp"/>
      <sheetName val="Sch C-30 PGA Rev &amp; Exp"/>
      <sheetName val="Sch C-33 Billing Exper"/>
      <sheetName val="Comm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row r="36">
          <cell r="H36">
            <v>0.67503999999999997</v>
          </cell>
        </row>
        <row r="57">
          <cell r="J57">
            <v>0.87614000000000003</v>
          </cell>
        </row>
        <row r="65">
          <cell r="H65">
            <v>0.66896999999999995</v>
          </cell>
        </row>
        <row r="86">
          <cell r="J86">
            <v>0.87372000000000005</v>
          </cell>
        </row>
        <row r="94">
          <cell r="H94">
            <v>0.66110999999999998</v>
          </cell>
        </row>
        <row r="115">
          <cell r="J115">
            <v>0.85875000000000001</v>
          </cell>
        </row>
        <row r="123">
          <cell r="H123">
            <v>0.66471999999999998</v>
          </cell>
        </row>
      </sheetData>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refreshError="1">
        <row r="6">
          <cell r="B6" t="str">
            <v>As of December 31, 2004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 - April 23, 2004"/>
      <sheetName val="#REF"/>
    </sheetNames>
    <sheetDataSet>
      <sheetData sheetId="0" refreshError="1"/>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rint"/>
      <sheetName val="Sch A-1"/>
      <sheetName val="Sch A-2"/>
      <sheetName val="Sch A-2.1"/>
      <sheetName val="Sch A-3"/>
      <sheetName val="Sch A-4"/>
      <sheetName val="Sch A-5 RB"/>
      <sheetName val="Sch A-5 Exp"/>
      <sheetName val="WPA-5"/>
      <sheetName val="Sch B-1"/>
      <sheetName val="Sch B-2"/>
      <sheetName val="Sch B-2.1"/>
      <sheetName val="Sch B-2.2"/>
      <sheetName val="WPB-2.2a"/>
      <sheetName val="WPB-2.2b"/>
      <sheetName val="Sch B-2.3"/>
      <sheetName val="WPB-2.3"/>
      <sheetName val="Sch B-2.4"/>
      <sheetName val="WPB-2.4"/>
      <sheetName val="Sch B-2.5"/>
      <sheetName val="WPB-2.5a"/>
      <sheetName val="Sch B-2.6"/>
      <sheetName val="WPB-2.6"/>
      <sheetName val="Sch B-3"/>
      <sheetName val="Sch B-4"/>
      <sheetName val="Sch B-5"/>
      <sheetName val="WPB-5"/>
      <sheetName val="Sch B-5.1"/>
      <sheetName val="Sch B-6"/>
      <sheetName val="Sch B-7.2"/>
      <sheetName val="Sch B-7.2a"/>
      <sheetName val="Sch B-8"/>
      <sheetName val="Sch B-8.1"/>
      <sheetName val="WPB-8.1a"/>
      <sheetName val="Sch B-9"/>
      <sheetName val="WPB-9"/>
      <sheetName val="WPB-9a"/>
      <sheetName val="WPB-9b"/>
      <sheetName val="Sch B-9.1"/>
      <sheetName val="Sch B-13"/>
      <sheetName val="WPB-13a"/>
      <sheetName val="Sch B-14"/>
      <sheetName val="Sch C-1"/>
      <sheetName val="Sch C-2"/>
      <sheetName val="Sch C-2.1"/>
      <sheetName val="WPC-2.1"/>
      <sheetName val="Sch C-2.2"/>
      <sheetName val="WPC-2.2"/>
      <sheetName val="Sch C-2.3"/>
      <sheetName val="WPC-2.3"/>
      <sheetName val="WPC-2.3.3 Annualized Detail"/>
      <sheetName val="Sch C-2.4"/>
      <sheetName val="Sch C-2.5"/>
      <sheetName val="WPC-2.5"/>
      <sheetName val="Sch C-2.6"/>
      <sheetName val="WPC-2.6"/>
      <sheetName val="Sch C-2.7"/>
      <sheetName val="Sch C-2.8"/>
      <sheetName val="Sch C-2.9"/>
      <sheetName val="Sch C-2.10"/>
      <sheetName val="WPC-2.10"/>
      <sheetName val="Sch C-2.11"/>
      <sheetName val="WPC-2.11"/>
      <sheetName val="Sch C-2.12"/>
      <sheetName val="WPC-2.12"/>
      <sheetName val="Sch C-2.13"/>
      <sheetName val="WPC-2.13"/>
      <sheetName val="Sch C-2.14"/>
      <sheetName val="WPC-2.14"/>
      <sheetName val="WPC-2.14a"/>
      <sheetName val="Sch C-2.15"/>
      <sheetName val="Sch C-2.16"/>
      <sheetName val="Sch C-2.17"/>
      <sheetName val="Sch C-2.18"/>
      <sheetName val="Sch C-2.19"/>
      <sheetName val="WPC-2.19"/>
      <sheetName val="Sch C-2.20"/>
      <sheetName val="WPC-2.20"/>
      <sheetName val="Sch C-2.21"/>
      <sheetName val="WPC-2.21"/>
      <sheetName val="Sch C-2.22"/>
      <sheetName val="Sch C-2.23"/>
      <sheetName val="WPC-2.23"/>
      <sheetName val="Sch C-2.24"/>
      <sheetName val="Sch C-3"/>
      <sheetName val="Sch C-4"/>
      <sheetName val="Sch C-5a"/>
      <sheetName val="Sch C-5b"/>
      <sheetName val="Sch C-5.1"/>
      <sheetName val="Sch C-5.2"/>
      <sheetName val="Sch C-5.3"/>
      <sheetName val="Sch C-5.4"/>
      <sheetName val="WPC-5.4"/>
      <sheetName val="Sch C-6"/>
      <sheetName val="Sch C-6.1"/>
      <sheetName val="Sch C-6.2"/>
      <sheetName val="Sch C-7"/>
      <sheetName val="Sch C-8"/>
      <sheetName val="Sch C-9"/>
      <sheetName val="Sch C-10"/>
      <sheetName val="WPC-10"/>
      <sheetName val="Sch C-10.1"/>
      <sheetName val="Sch C-11.1"/>
      <sheetName val="WPC-11.1"/>
      <sheetName val="Sch C-11.2a"/>
      <sheetName val="Sch C-11.2b"/>
      <sheetName val="Sch C-11.2c"/>
      <sheetName val="Sch C-11.2d"/>
      <sheetName val="Sch C-11.2e"/>
      <sheetName val="Sch C-11.2f"/>
      <sheetName val="Sch C-11.2g"/>
      <sheetName val="Sch C-11.2h"/>
      <sheetName val="Sch C-11.3"/>
      <sheetName val="WPC-11.3"/>
      <sheetName val="WPC-11.3a"/>
      <sheetName val="WPC-11.3b"/>
      <sheetName val="WPC-11.3c"/>
      <sheetName val="Sch C-12"/>
      <sheetName val="WPC-12"/>
      <sheetName val="Sch C-13"/>
      <sheetName val="Sch C-14"/>
      <sheetName val="WPC-14"/>
      <sheetName val="Sch C-16 OLD-Replaced 12.12.05"/>
      <sheetName val="WPC-16a"/>
      <sheetName val="Sch C-16"/>
      <sheetName val="Sch C-17 2004"/>
      <sheetName val="Sch C-17 2004 to Sept"/>
      <sheetName val="Sch C-17 2003"/>
      <sheetName val="Sch C-17 2002"/>
      <sheetName val="Sch C-17 2001"/>
      <sheetName val="Sch C-18"/>
      <sheetName val="WPC-18a"/>
      <sheetName val="WPC-18b"/>
      <sheetName val="WPC-18c"/>
      <sheetName val="Sch C-19"/>
      <sheetName val="Sch C-21"/>
      <sheetName val="Sch C-22"/>
      <sheetName val="Sch C-23"/>
      <sheetName val="WPC-23"/>
      <sheetName val="Sch C-25"/>
      <sheetName val="Sch C-26"/>
      <sheetName val="Sch C-29"/>
      <sheetName val="Sch C-31"/>
      <sheetName val="Sch C-32"/>
      <sheetName val="WPC-4"/>
      <sheetName val="WPA-5.2"/>
      <sheetName val="WPA-5.1.4 Func Factors"/>
      <sheetName val="WPB-1 Cust Adv"/>
      <sheetName val="WPB-2.2.3"/>
      <sheetName val="WPB-2.4.2 Int Plt Gross - AMS"/>
      <sheetName val="WPB-2.4.3 Int Plt Reserve - AMS"/>
      <sheetName val="WPB-2.4.4 Int Plt Net - AMS"/>
      <sheetName val="WPB-2.4.5 Gen Plt Gross -AMS"/>
      <sheetName val="WPB-2.4.6 Gen Plt Reserve - AMS"/>
      <sheetName val="WPB-2.4.7 Gen Plt Net - AMS"/>
      <sheetName val="Sch B-5.2 Merged or Acq Prop"/>
      <sheetName val="Sch B-5.3 Leased Prop"/>
      <sheetName val="Sch B-7 CWIP"/>
      <sheetName val="Sch B-7.1 CWIP % Complete"/>
      <sheetName val="WPB-8.1b"/>
      <sheetName val="Construction"/>
      <sheetName val="GPROD"/>
      <sheetName val="ETRANS"/>
      <sheetName val="GTRANS"/>
      <sheetName val="EDISTR"/>
      <sheetName val="GDISTR"/>
      <sheetName val="DistrMisc"/>
      <sheetName val="Other"/>
      <sheetName val="Sch B-10 Def Charges"/>
      <sheetName val="Sch B-11 PHFFU"/>
      <sheetName val="Sch B-12 Analysis of PHFFU"/>
      <sheetName val="WPC-2.2.2"/>
      <sheetName val="WPC-2.2.3"/>
      <sheetName val="WPC-2.2.4"/>
      <sheetName val="WPC-2.2.5"/>
      <sheetName val="WPC-2.2.6"/>
      <sheetName val="WPC-2.2.7"/>
      <sheetName val="WPC-2.3.4 IP 04-05"/>
      <sheetName val="WPC-2.3.5 IP 05-05"/>
      <sheetName val="WPC-2.3.6 IP 06-05"/>
      <sheetName val="WPC-2.3.6 IP 07-05"/>
      <sheetName val="WPC-2.8"/>
      <sheetName val="WPC-2.13.3"/>
      <sheetName val="WPC-2.13.4"/>
      <sheetName val="WPC-2.13.5"/>
      <sheetName val="WPC-2.13.6"/>
      <sheetName val="WPC-2.13.7"/>
      <sheetName val="WPC-2.13.8"/>
      <sheetName val="WPC-2.13.9"/>
      <sheetName val="WPC-2.13.10"/>
      <sheetName val="WPC-2.13.11"/>
      <sheetName val="WPC-2.13.12"/>
      <sheetName val="WPC-2.22"/>
      <sheetName val="Sch C-5.5 ITC &amp; Job Dev. Cr"/>
      <sheetName val="WPC-6.1"/>
      <sheetName val="WPC-6.1 2004"/>
      <sheetName val="WPC-6.1 2003"/>
      <sheetName val="WPC-6.1 2002"/>
      <sheetName val="WPC-6.1 2001"/>
      <sheetName val="WPC-6.2"/>
      <sheetName val="WPC-7"/>
      <sheetName val="WPC-8"/>
      <sheetName val="WPC-9"/>
      <sheetName val="WPC-11.1a"/>
      <sheetName val="Sch 11.4 Recon Est Ovrhd"/>
      <sheetName val="WPC-13.1 Affl Int Trans"/>
      <sheetName val="WPC-14a"/>
      <sheetName val="WPC-14b"/>
      <sheetName val="WPC-14c"/>
      <sheetName val="WPC-14d"/>
      <sheetName val="WPC-14e"/>
      <sheetName val="Sch C-15 Major Maint Proj"/>
      <sheetName val="WPC-16"/>
      <sheetName val="WPC-18b Accr Prop Tax"/>
      <sheetName val="WPC-18a 2004"/>
      <sheetName val="Sch C-18a Oth Tx 2003"/>
      <sheetName val="WPC-18a 2003"/>
      <sheetName val="Sch C-18a Oth Tx 2002"/>
      <sheetName val="WPC-18a Oth Tx 2002"/>
      <sheetName val="WPC-18a 2001"/>
      <sheetName val="Sch C-20 Local Tx"/>
      <sheetName val="Sch C-24 Legal Exp &amp; Res"/>
      <sheetName val="WPC-25"/>
      <sheetName val="Sch C-27 Fuel Adj Rev &amp; Exp"/>
      <sheetName val="Sch C-28 Fuel Transp Exp"/>
      <sheetName val="Sch C-30 PGA Rev &amp; Exp"/>
      <sheetName val="Sch C-33 Billing Exper"/>
      <sheetName val="Comm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row r="26">
          <cell r="J26">
            <v>0.88519099999999995</v>
          </cell>
        </row>
      </sheetData>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Print"/>
      <sheetName val="A - 1"/>
      <sheetName val="A - 2"/>
      <sheetName val="A - 2.1"/>
      <sheetName val="A - 3"/>
      <sheetName val="WPA - 3a"/>
      <sheetName val="WPA - 3b"/>
      <sheetName val="A - 4"/>
      <sheetName val="A - 5a"/>
      <sheetName val="A - 5b"/>
      <sheetName val="WPA - 5"/>
      <sheetName val="DefResp-3a"/>
      <sheetName val="DefResp-3b"/>
      <sheetName val="WPA - 5c"/>
      <sheetName val="B - 1"/>
      <sheetName val="WPB - 1"/>
      <sheetName val="B - 2"/>
      <sheetName val="B - 2.1"/>
      <sheetName val="WPB - 2.1b"/>
      <sheetName val="WPB - 2.1c"/>
      <sheetName val="WPB - 2.1d"/>
      <sheetName val="WPB - 2.1e"/>
      <sheetName val="WPB - 2.1a"/>
      <sheetName val="B - 3a"/>
      <sheetName val="B - 3b"/>
      <sheetName val="B - 4"/>
      <sheetName val="WPB - 4"/>
      <sheetName val="B - 5"/>
      <sheetName val="WPB - 5a"/>
      <sheetName val="WPB - 5b"/>
      <sheetName val="WPB - 5c"/>
      <sheetName val="B - 5.1"/>
      <sheetName val="B - 5.2"/>
      <sheetName val="B - 6"/>
      <sheetName val="WPB - 6a"/>
      <sheetName val="WPB - 6b"/>
      <sheetName val="WPB - 6c"/>
      <sheetName val="B - 7.2a1"/>
      <sheetName val="B - 7.2a2"/>
      <sheetName val="B - 7.2b1"/>
      <sheetName val="WPB - 7.2UEC"/>
      <sheetName val="B - 7.2b2"/>
      <sheetName val="B - 8"/>
      <sheetName val="Workpaper"/>
      <sheetName val="B - 8.1"/>
      <sheetName val="WPB - 8.1a"/>
      <sheetName val="WPB - 8.1b"/>
      <sheetName val="B - 9"/>
      <sheetName val="WPB - 9a"/>
      <sheetName val="WPB - 9b"/>
      <sheetName val="B - 9.1"/>
      <sheetName val="WPB - 9.1a"/>
      <sheetName val="WPB - 9.1b"/>
      <sheetName val="B - 13"/>
      <sheetName val="WPB - 13a"/>
      <sheetName val="WPB - 13b"/>
      <sheetName val="WPB - 13c"/>
      <sheetName val="B - 14"/>
      <sheetName val="WPB - 14"/>
      <sheetName val="C - 1"/>
      <sheetName val="C - 2"/>
      <sheetName val="C - 2.1"/>
      <sheetName val="WPC - 2.1"/>
      <sheetName val="C - 2.2"/>
      <sheetName val="C - 2.3"/>
      <sheetName val="C - 2.4"/>
      <sheetName val="WPC - 2.4a"/>
      <sheetName val="WPC - 2.4b"/>
      <sheetName val="C - 2.5"/>
      <sheetName val="WPC - 2.5"/>
      <sheetName val="C - 2.6"/>
      <sheetName val="WPC - 2.6a"/>
      <sheetName val="C - 2.6 NOT USED"/>
      <sheetName val="WPC - 2.6a NOT USED"/>
      <sheetName val="WPC - 2.6b"/>
      <sheetName val="C - 2.7"/>
      <sheetName val="WPC - 2.7"/>
      <sheetName val="C - 2.7b"/>
      <sheetName val="WPC - 2.7b"/>
      <sheetName val="WPC - 2.7c"/>
      <sheetName val="C - 2.7d"/>
      <sheetName val="C - 2.7e"/>
      <sheetName val="C - 2.7f"/>
      <sheetName val="WPC - 2.7d"/>
      <sheetName val="WPC - 2.7e"/>
      <sheetName val="C - 2.7i"/>
      <sheetName val="C - 2.7j"/>
      <sheetName val="C - 2.8"/>
      <sheetName val="C - 2.9"/>
      <sheetName val="C - 2.10"/>
      <sheetName val="C - 2.11"/>
      <sheetName val="WPC - 2.11"/>
      <sheetName val="C - 2.12"/>
      <sheetName val="WPC - 2.12"/>
      <sheetName val="C - 2.13"/>
      <sheetName val="C - 2.14"/>
      <sheetName val="C - 2.15"/>
      <sheetName val="WPC - 2.15"/>
      <sheetName val="C - 2.16"/>
      <sheetName val="WPC - 2.16a"/>
      <sheetName val="WPC - 2.16b"/>
      <sheetName val="WPC - 2.16c"/>
      <sheetName val="C - 2.17"/>
      <sheetName val="C - 3"/>
      <sheetName val="WPC - 3a"/>
      <sheetName val="WPC - 3b"/>
      <sheetName val="C - 4"/>
      <sheetName val="WPC - 4a"/>
      <sheetName val="WPC - 4b"/>
      <sheetName val="WPC - 4c"/>
      <sheetName val="WPC - 4d"/>
      <sheetName val="C - 5"/>
      <sheetName val="WPC - 5a"/>
      <sheetName val="WPC - 5b"/>
      <sheetName val="C - 5b"/>
      <sheetName val="C - 5.1"/>
      <sheetName val="C - 5.2"/>
      <sheetName val="WPC - 5.2a"/>
      <sheetName val="WPC - 5.2b"/>
      <sheetName val="C - 5.3"/>
      <sheetName val="WPC - 5.3a"/>
      <sheetName val="WPC - 5.3b"/>
      <sheetName val="C - 5.4"/>
      <sheetName val="WPC - 5.4"/>
      <sheetName val="C - 5.5"/>
      <sheetName val="WPC - 5.5a"/>
      <sheetName val="WPC - 5.5b"/>
      <sheetName val="C - 6"/>
      <sheetName val="WPC - 6"/>
      <sheetName val="C - 6.1"/>
      <sheetName val="WPC - 6.1"/>
      <sheetName val="C - 6.2a"/>
      <sheetName val="C - 6.2b"/>
      <sheetName val="C - 7a"/>
      <sheetName val="C - 7b"/>
      <sheetName val="C - 8"/>
      <sheetName val="WPC - 8"/>
      <sheetName val="C - 9"/>
      <sheetName val="WPC - 9"/>
      <sheetName val="C - 10"/>
      <sheetName val="WPC - 10"/>
      <sheetName val="C - 10.1"/>
      <sheetName val="C - 11.1"/>
      <sheetName val="WPC - 11.1a"/>
      <sheetName val="WPC - 11.1b"/>
      <sheetName val="WPC - 11.1c"/>
      <sheetName val="WPC - 11.1d"/>
      <sheetName val="C - 11.2a"/>
      <sheetName val="C - 11.2b"/>
      <sheetName val="C - 11.2c"/>
      <sheetName val="C - 11.2d"/>
      <sheetName val="C - 11.2e"/>
      <sheetName val="C - 11.2f"/>
      <sheetName val="C - 11.2g"/>
      <sheetName val="C - 11.2h"/>
      <sheetName val="C - 11.2i"/>
      <sheetName val="C - 11.2j"/>
      <sheetName val="C - 11.2k"/>
      <sheetName val="C - 11.2l"/>
      <sheetName val="C - 11.2m"/>
      <sheetName val="C - 11.2n"/>
      <sheetName val="C - 11.2o"/>
      <sheetName val="C - 11.2p"/>
      <sheetName val="C - 11.3"/>
      <sheetName val="WPC - 11.3a"/>
      <sheetName val="WPC - 11.3b"/>
      <sheetName val="WPC - 11.3c"/>
      <sheetName val="WPC - 11.3d"/>
      <sheetName val="C - 12"/>
      <sheetName val="WPC - 12a"/>
      <sheetName val="WPC - 12b"/>
      <sheetName val="C - 13"/>
      <sheetName val="C - 14"/>
      <sheetName val="WPC - 14a"/>
      <sheetName val="WPC - 14b"/>
      <sheetName val="C - 16"/>
      <sheetName val="WPC-16a"/>
      <sheetName val="WPC-16b"/>
      <sheetName val="C - 17a"/>
      <sheetName val="C - 17b"/>
      <sheetName val="C - 17c"/>
      <sheetName val="C - 17d"/>
      <sheetName val="C - 18"/>
      <sheetName val="WPC - 18a"/>
      <sheetName val="WPC - 18b"/>
      <sheetName val="WPC - 18c1"/>
      <sheetName val="WPC - 18c"/>
      <sheetName val="C - 19"/>
      <sheetName val="C - 21"/>
      <sheetName val="WPC - 21a"/>
      <sheetName val="WPC - 21b"/>
      <sheetName val="C - 23 (1)"/>
      <sheetName val="C - 23"/>
      <sheetName val="WPC - 23a"/>
      <sheetName val="WPC - 23b"/>
      <sheetName val="WPC - 23c"/>
      <sheetName val="WPC - 23d"/>
      <sheetName val="C - 25"/>
    </sheetNames>
    <sheetDataSet>
      <sheetData sheetId="0" refreshError="1">
        <row r="217">
          <cell r="B217" t="str">
            <v>AmerenCIPS</v>
          </cell>
        </row>
        <row r="218">
          <cell r="B218" t="str">
            <v>AmerenUE Illinois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 - April 23, 2004"/>
      <sheetName val="#REF"/>
    </sheetNames>
    <sheetDataSet>
      <sheetData sheetId="0" refreshError="1"/>
      <sheetData sheetId="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 - 1"/>
      <sheetName val="A - 2"/>
      <sheetName val="A - 2.1"/>
      <sheetName val="A - 3"/>
      <sheetName val="A - 4"/>
      <sheetName val="A - 5a"/>
      <sheetName val="A - 5b"/>
      <sheetName val="WPA - 5a"/>
      <sheetName val="WPA - 5b"/>
      <sheetName val="B-1"/>
      <sheetName val="WPB - 1.1"/>
      <sheetName val="WPB - 1.2"/>
      <sheetName val="B - 2"/>
      <sheetName val="B - 2.1"/>
      <sheetName val="WPB - 2.1"/>
      <sheetName val="B - 2.2"/>
      <sheetName val="B-3"/>
      <sheetName val="B - 4"/>
      <sheetName val="B-5"/>
      <sheetName val="B - 6a"/>
      <sheetName val="B - 6b"/>
      <sheetName val="B - 8(alt)"/>
      <sheetName val="B - 8"/>
      <sheetName val="B - 8.1"/>
      <sheetName val="WPB - 8.1a"/>
      <sheetName val="WPB - 8.1b"/>
      <sheetName val="B-9"/>
      <sheetName val="WPB - 9a"/>
      <sheetName val="WPB - 9b"/>
      <sheetName val="B - 13"/>
      <sheetName val="WPB - 13a"/>
      <sheetName val="WPB - 13b"/>
      <sheetName val="WPB - 13c"/>
      <sheetName val="B - 14"/>
      <sheetName val="WPB - 14"/>
      <sheetName val="C - 1"/>
      <sheetName val="C - 2"/>
      <sheetName val="C - 2.1"/>
      <sheetName val="C - 2.2"/>
      <sheetName val="C - 2.3"/>
      <sheetName val="y"/>
      <sheetName val="C - 2.4"/>
      <sheetName val="C - 2.5"/>
      <sheetName val="C - 2.6"/>
      <sheetName val="WPC-2.6a"/>
      <sheetName val="WPC-2.6b"/>
      <sheetName val="C-2.7"/>
      <sheetName val="C-2.8"/>
      <sheetName val="WPC-2.8"/>
      <sheetName val="C-2.9"/>
      <sheetName val="WPC-2.9"/>
      <sheetName val="C-2.10"/>
      <sheetName val="WPC-2.10"/>
      <sheetName val="C-2.11"/>
      <sheetName val="C-2.12"/>
      <sheetName val="C-2.13"/>
      <sheetName val="C - 3"/>
      <sheetName val="C-4"/>
      <sheetName val="C-5"/>
      <sheetName val="C - 5b"/>
      <sheetName val="C - 5.1"/>
      <sheetName val="C-5.2 "/>
      <sheetName val="C-5.3"/>
      <sheetName val="C-5.5"/>
      <sheetName val="C - 5.4"/>
      <sheetName val="WPC - 5.4"/>
      <sheetName val="C - 6"/>
      <sheetName val="C - 6.1"/>
      <sheetName val="C - 7"/>
      <sheetName val="C - 8"/>
      <sheetName val="WPC - 8"/>
      <sheetName val="C - 9"/>
      <sheetName val="C - 10"/>
      <sheetName val="WPC - 10"/>
      <sheetName val="C - 10.1"/>
      <sheetName val="C-11.1"/>
      <sheetName val="WPC-11.1"/>
      <sheetName val="C-11.2a"/>
      <sheetName val="C-11.2b"/>
      <sheetName val="C-11.2c"/>
      <sheetName val="C-11.2d"/>
      <sheetName val="C-11.2e"/>
      <sheetName val="C-11.2f"/>
      <sheetName val="C-11.2g"/>
      <sheetName val="C-11.2h"/>
      <sheetName val="C - 11.3"/>
      <sheetName val="Sheet2"/>
      <sheetName val="WPC-11.3a"/>
      <sheetName val="WPC-11.3b"/>
      <sheetName val="WPC-11.3c"/>
      <sheetName val="WPC-11.3d"/>
      <sheetName val="C - 12"/>
      <sheetName val="WPC - 12a"/>
      <sheetName val="WPC - 12b"/>
      <sheetName val="WPC - 12c"/>
      <sheetName val="C - 13a"/>
      <sheetName val="C - 13b"/>
      <sheetName val="C - 14"/>
      <sheetName val="WPC - 14"/>
      <sheetName val="C - 16"/>
      <sheetName val="WPC-16"/>
      <sheetName val="C - 17a"/>
      <sheetName val="C - 17b"/>
      <sheetName val="C - 17c"/>
      <sheetName val="C - 17d"/>
      <sheetName val="C - 18"/>
      <sheetName val="WPC-18a"/>
      <sheetName val="WPC-18b"/>
      <sheetName val="WPC-18b Accr Prop Tax"/>
      <sheetName val="WPC - 18c"/>
      <sheetName val="C - 19"/>
      <sheetName val="C - 21"/>
      <sheetName val="C - 22"/>
      <sheetName val="C - 23"/>
      <sheetName val="C - 25"/>
      <sheetName val="C - 26"/>
      <sheetName val="C - 30"/>
    </sheetNames>
    <sheetDataSet>
      <sheetData sheetId="0">
        <row r="136">
          <cell r="B136" t="str">
            <v>AmerenIP</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S Charges by Target"/>
      <sheetName val="PivotByMajMin"/>
      <sheetName val="AMS Charges by RT-All"/>
      <sheetName val="Pivot-CILCO"/>
      <sheetName val="CILCO"/>
      <sheetName val="CIPS"/>
      <sheetName val="IPC"/>
      <sheetName val="Projects 2006"/>
      <sheetName val="RMC-Descrip"/>
      <sheetName val="Resource Types"/>
      <sheetName val="Functions"/>
      <sheetName val="2005-SR-AllocFactors"/>
      <sheetName val="AllocFactors"/>
      <sheetName val="UnknownProj#"/>
      <sheetName val="IndirectAllocFa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Print"/>
      <sheetName val="A - 1"/>
      <sheetName val="A - 2"/>
      <sheetName val="A - 2.1"/>
      <sheetName val="A - 3"/>
      <sheetName val="A - 4"/>
      <sheetName val="A - 5a"/>
      <sheetName val="A - 5b"/>
      <sheetName val="WPA - 5a"/>
      <sheetName val="WPA - 5b"/>
      <sheetName val="WPA - 5c"/>
      <sheetName val="B - 1"/>
      <sheetName val="WPB - 1"/>
      <sheetName val="B - 2"/>
      <sheetName val="B - 2.1"/>
      <sheetName val="B - 2.2"/>
      <sheetName val="WPB - 2.2"/>
      <sheetName val="B - 2.3"/>
      <sheetName val="B - 3a"/>
      <sheetName val="B - 3b"/>
      <sheetName val="B - 4"/>
      <sheetName val="B - 5"/>
      <sheetName val="WPB - 5a"/>
      <sheetName val="WPB - 5b"/>
      <sheetName val="WPB - 5c"/>
      <sheetName val="B - 5.2"/>
      <sheetName val="B - 6"/>
      <sheetName val="WPB - 6a"/>
      <sheetName val="WPB - 6b"/>
      <sheetName val="B - 7.2a"/>
      <sheetName val="B - 7.2b"/>
      <sheetName val="B - 8"/>
      <sheetName val="B - 8.1"/>
      <sheetName val="WPB - 8.1a"/>
      <sheetName val="WPB - 8.1b"/>
      <sheetName val="B - 9"/>
      <sheetName val="WPB - 9a"/>
      <sheetName val="WPB - 9b"/>
      <sheetName val="B - 9.1"/>
      <sheetName val="B - 13"/>
      <sheetName val="WPB - 13a"/>
      <sheetName val="WPB - 13b"/>
      <sheetName val="WPB - 13c"/>
      <sheetName val="B - 14"/>
      <sheetName val="WPB - 14"/>
      <sheetName val="C - 1"/>
      <sheetName val="C - 2"/>
      <sheetName val="C - 2.1"/>
      <sheetName val="WPC - 2.1"/>
      <sheetName val="C - 2.2"/>
      <sheetName val="C - 2.3"/>
      <sheetName val="WPC - 2.3a"/>
      <sheetName val="WPC - 2.3b"/>
      <sheetName val="C - 2.4"/>
      <sheetName val="WPC - 2.4"/>
      <sheetName val="C - 2.5"/>
      <sheetName val="WPC - 2.5a"/>
      <sheetName val="WPC - 2.5b"/>
      <sheetName val="C - 2.6"/>
      <sheetName val="WPC - 2.6"/>
      <sheetName val="C - 2.7"/>
      <sheetName val="WPC - 2.7"/>
      <sheetName val="C - 2.8"/>
      <sheetName val="WPC - 2.8"/>
      <sheetName val="C - 2.9"/>
      <sheetName val="C - 2.10"/>
      <sheetName val="C - 2.11"/>
      <sheetName val="WPC - 2.11"/>
      <sheetName val="C - 2.12"/>
      <sheetName val="C - 2.14"/>
      <sheetName val="WPC - 2.14"/>
      <sheetName val="C - 2.15"/>
      <sheetName val="WPC - 2.15a"/>
      <sheetName val="WPC - 2.15b"/>
      <sheetName val="C - 2.16"/>
      <sheetName val="C - 2.18"/>
      <sheetName val="WPC - 2.18a"/>
      <sheetName val="WPC - 2.18b"/>
      <sheetName val="C - 2.20"/>
      <sheetName val="C - 3"/>
      <sheetName val="WPC - 3a"/>
      <sheetName val="WPC - 3b"/>
      <sheetName val="C - 4"/>
      <sheetName val="WPC - 4a"/>
      <sheetName val="WPC - 4b"/>
      <sheetName val="WPC - 4c"/>
      <sheetName val="WPC - 4d"/>
      <sheetName val="C - 5"/>
      <sheetName val="C - 5b"/>
      <sheetName val="C - 5.1"/>
      <sheetName val="C - 5.2"/>
      <sheetName val="C - 5.3"/>
      <sheetName val="C - 5.4"/>
      <sheetName val="WPC - 5.4"/>
      <sheetName val="C - 5.5"/>
      <sheetName val="WPC - 5.5"/>
      <sheetName val="C - 6"/>
      <sheetName val="WPC - 6"/>
      <sheetName val="C - 6.1"/>
      <sheetName val="WPC - 6.1"/>
      <sheetName val="C - 6.2"/>
      <sheetName val="C - 7"/>
      <sheetName val="WPC - 7"/>
      <sheetName val="C - 8"/>
      <sheetName val="WPC - 8"/>
      <sheetName val="C - 9"/>
      <sheetName val="WPC - 9"/>
      <sheetName val="C - 10"/>
      <sheetName val="WPC - 10"/>
      <sheetName val="C - 10.1"/>
      <sheetName val="C - 11.1"/>
      <sheetName val="WPC - 11.1a"/>
      <sheetName val="WPC - 11.1b"/>
      <sheetName val="WPC - 11.1c"/>
      <sheetName val="WPC - 11.1d"/>
      <sheetName val="C - 11.2a 2001"/>
      <sheetName val="C - 11.2b 2002"/>
      <sheetName val="C - 11.2a"/>
      <sheetName val="C - 11.2b"/>
      <sheetName val="C - 11.2e 2001"/>
      <sheetName val="C - 11.2f 2002"/>
      <sheetName val="C - 11.2c"/>
      <sheetName val="C - 11.2d"/>
      <sheetName val="C - 11.2e"/>
      <sheetName val="C - 11.2f"/>
      <sheetName val="C - 11.2i 2001"/>
      <sheetName val="C - 11.2j 2002"/>
      <sheetName val="C - 11.2g"/>
      <sheetName val="C - 11.2h"/>
      <sheetName val="C - 11.2m 2001"/>
      <sheetName val="C - 11.2n 2002"/>
      <sheetName val="C - 11.3"/>
      <sheetName val="WPC - 11.3a"/>
      <sheetName val="WPC - 11.3b"/>
      <sheetName val="C - 12"/>
      <sheetName val="WPC - 12a"/>
      <sheetName val="WPC - 12b"/>
      <sheetName val="WPC - 12c"/>
      <sheetName val="C - 13"/>
      <sheetName val="C - 14"/>
      <sheetName val="WPC - 14a"/>
      <sheetName val="WPC - 14b"/>
      <sheetName val="C - 16"/>
      <sheetName val="C - 17a"/>
      <sheetName val="C - 17b"/>
      <sheetName val="C - 17c"/>
      <sheetName val="C - 17d"/>
      <sheetName val="C - 17 - 2002"/>
      <sheetName val="C - 17 - 2001"/>
      <sheetName val="C - 18"/>
      <sheetName val="WPC - 18a"/>
      <sheetName val="WPC - 18b"/>
      <sheetName val="WPC - 18c"/>
      <sheetName val="WPC - 18d"/>
      <sheetName val="WPC - 18e"/>
      <sheetName val="WPC - 18f"/>
      <sheetName val="C - 19"/>
      <sheetName val="C - 21"/>
      <sheetName val="WPC - 21"/>
      <sheetName val="WPC - 21b"/>
      <sheetName val="C - 23"/>
      <sheetName val="WPC - 23a"/>
      <sheetName val="WPC - 23b"/>
      <sheetName val="WPC - 23c"/>
      <sheetName val="C - 25"/>
      <sheetName val="C - 26"/>
    </sheetNames>
    <sheetDataSet>
      <sheetData sheetId="0">
        <row r="187">
          <cell r="C187" t="str">
            <v>AmerenUE Illinois</v>
          </cell>
        </row>
        <row r="194">
          <cell r="C194" t="str">
            <v>For the Twelve Months Ended December 31,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 - April 23, 2004"/>
      <sheetName val="#REF"/>
    </sheetNames>
    <sheetDataSet>
      <sheetData sheetId="0" refreshError="1"/>
      <sheetData sheetId="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A - 1"/>
      <sheetName val="A - 2"/>
      <sheetName val="A - 2.1"/>
      <sheetName val="A - 4"/>
      <sheetName val="A - 5a"/>
      <sheetName val="A - 5b"/>
      <sheetName val="WPA - 5a"/>
      <sheetName val="WPA - 5b"/>
      <sheetName val="B - 1"/>
      <sheetName val="WPB-1.1"/>
      <sheetName val="WPB-1.2"/>
      <sheetName val="B  - 2"/>
      <sheetName val="B - 2.1"/>
      <sheetName val="B - 2.2"/>
      <sheetName val="B - 3"/>
      <sheetName val="B - 4"/>
      <sheetName val="B - 5"/>
      <sheetName val="B - 6a"/>
      <sheetName val="B - 6b"/>
      <sheetName val="B - 7.2a"/>
      <sheetName val="B - 7.2b"/>
      <sheetName val="B - 8 (alt)"/>
      <sheetName val="B - 8"/>
      <sheetName val="B - 8.1"/>
      <sheetName val="WPB - 8.1"/>
      <sheetName val="B - 9"/>
      <sheetName val="WPB - 9"/>
      <sheetName val="B - 13"/>
      <sheetName val="WPB - 13a"/>
      <sheetName val="WPB - 13b"/>
      <sheetName val="WPB - 13c"/>
      <sheetName val="2003 - B - 13"/>
      <sheetName val="2003 - WPB - 13"/>
      <sheetName val="B - 14"/>
      <sheetName val="WPB - 14"/>
      <sheetName val="C - 1"/>
      <sheetName val="C - 2"/>
      <sheetName val="C - 2.1"/>
      <sheetName val="C - 2.2"/>
      <sheetName val="C - 2.3"/>
      <sheetName val="C - 2.4moot"/>
      <sheetName val="C-2.4"/>
      <sheetName val="C-2.5"/>
      <sheetName val="C-2.6"/>
      <sheetName val="WPC-2.6a"/>
      <sheetName val="WPC-2.6b"/>
      <sheetName val="C-2.7"/>
      <sheetName val="C-2.8"/>
      <sheetName val="WPC-2.8"/>
      <sheetName val="C-2.9"/>
      <sheetName val="WPC-2.9"/>
      <sheetName val="C-2.10"/>
      <sheetName val="WPC-2.10a"/>
      <sheetName val="WPC - 2.10b"/>
      <sheetName val="C-2.11"/>
      <sheetName val="C-2.12"/>
      <sheetName val="WPC-2.12"/>
      <sheetName val="C-2.13"/>
      <sheetName val="C-2.14"/>
      <sheetName val="C - 3"/>
      <sheetName val="C - 4"/>
      <sheetName val="WPC - 4"/>
      <sheetName val="C-5"/>
      <sheetName val="C - 5b"/>
      <sheetName val="C - 5.1"/>
      <sheetName val="C-5.2"/>
      <sheetName val="C - 5.3"/>
      <sheetName val="C - 5.4"/>
      <sheetName val="WPC - 5.4"/>
      <sheetName val="C - 5.5"/>
      <sheetName val="C - 6"/>
      <sheetName val="C - 6.1"/>
      <sheetName val="C - 6.2"/>
      <sheetName val="C - 7"/>
      <sheetName val="C - 8"/>
      <sheetName val="WPC - 8"/>
      <sheetName val="C - 9"/>
      <sheetName val="C - 10"/>
      <sheetName val="WPC-10"/>
      <sheetName val="C - 10.1"/>
      <sheetName val="C - 11.1"/>
      <sheetName val="WPC - 11.1"/>
      <sheetName val="C-11.2a"/>
      <sheetName val="WPC-11.2a"/>
      <sheetName val="C-11.2b"/>
      <sheetName val="C-11.2c"/>
      <sheetName val="C-11.2d"/>
      <sheetName val="C-11.2e"/>
      <sheetName val="C-11.2f"/>
      <sheetName val="C-11.2g"/>
      <sheetName val="C-11.2h"/>
      <sheetName val="C - 11.3"/>
      <sheetName val="WPC - 11.3"/>
      <sheetName val="C - 12"/>
      <sheetName val="WPC - 12a"/>
      <sheetName val="WPC - 12b"/>
      <sheetName val="WPC - 12c"/>
      <sheetName val="C-13"/>
      <sheetName val="C - 14"/>
      <sheetName val="WPC - 14"/>
      <sheetName val="C - 16"/>
      <sheetName val="WPC-16"/>
      <sheetName val="C - 17a"/>
      <sheetName val="C - 17b"/>
      <sheetName val="C - 17c"/>
      <sheetName val="C - 17d"/>
      <sheetName val="C-18"/>
      <sheetName val="WPC - 18a"/>
      <sheetName val="WPC - 18b"/>
      <sheetName val="WPC - 18c"/>
      <sheetName val="C - 19"/>
      <sheetName val="C - 21"/>
      <sheetName val="C - 23"/>
      <sheetName val="WPC - 23"/>
      <sheetName val="C - 25"/>
      <sheetName val="C - 26"/>
      <sheetName val="C - 30"/>
    </sheetNames>
    <sheetDataSet>
      <sheetData sheetId="0">
        <row r="109">
          <cell r="C109" t="str">
            <v>AmerenCILCO</v>
          </cell>
        </row>
        <row r="110">
          <cell r="C110" t="str">
            <v>As of December 31, 2006</v>
          </cell>
        </row>
        <row r="111">
          <cell r="C111" t="str">
            <v>As of December 31,</v>
          </cell>
        </row>
        <row r="112">
          <cell r="C112" t="str">
            <v>For the Twelve Months Ended December 31, 2006</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rint"/>
      <sheetName val="Sch A-1"/>
      <sheetName val="Sch A-2"/>
      <sheetName val="Sch A-2.1"/>
      <sheetName val="Sch A-3"/>
      <sheetName val="Sch A-4"/>
      <sheetName val="Sch A-5 RB"/>
      <sheetName val="Sch A-5 Exp"/>
      <sheetName val="WPA-5"/>
      <sheetName val="Sch B-1"/>
      <sheetName val="Sch B-2"/>
      <sheetName val="Sch B-2.1"/>
      <sheetName val="Sch B-2.2"/>
      <sheetName val="WPB-2.2a"/>
      <sheetName val="WPB-2.2b"/>
      <sheetName val="Sch B-2.3"/>
      <sheetName val="WPB-2.3"/>
      <sheetName val="Sch B-2.4"/>
      <sheetName val="WPB-2.4"/>
      <sheetName val="Sch B-2.5"/>
      <sheetName val="WPB-2.5a"/>
      <sheetName val="Sch B-2.6"/>
      <sheetName val="WPB-2.6"/>
      <sheetName val="Sch B-3"/>
      <sheetName val="Sch B-4"/>
      <sheetName val="Sch B-5"/>
      <sheetName val="WPB-5"/>
      <sheetName val="Sch B-5.1"/>
      <sheetName val="Sch B-6"/>
      <sheetName val="Sch B-7.2"/>
      <sheetName val="Sch B-7.2a"/>
      <sheetName val="Sch B-8"/>
      <sheetName val="Sch B-8.1"/>
      <sheetName val="WPB-8.1a"/>
      <sheetName val="Sch B-9"/>
      <sheetName val="WPB-9"/>
      <sheetName val="WPB-9a"/>
      <sheetName val="WPB-9b"/>
      <sheetName val="Sch B-9.1"/>
      <sheetName val="Sch B-13"/>
      <sheetName val="WPB-13a"/>
      <sheetName val="Sch B-14"/>
      <sheetName val="Sch C-1"/>
      <sheetName val="Sch C-2"/>
      <sheetName val="Sch C-2.1"/>
      <sheetName val="WPC-2.1"/>
      <sheetName val="Sch C-2.2"/>
      <sheetName val="WPC-2.2"/>
      <sheetName val="Sch C-2.3"/>
      <sheetName val="WPC-2.3"/>
      <sheetName val="WPC-2.3.3 Annualized Detail"/>
      <sheetName val="Sch C-2.4"/>
      <sheetName val="Sch C-2.5"/>
      <sheetName val="WPC-2.5"/>
      <sheetName val="Sch C-2.6"/>
      <sheetName val="WPC-2.6"/>
      <sheetName val="Sch C-2.7"/>
      <sheetName val="Sch C-2.8"/>
      <sheetName val="Sch C-2.9"/>
      <sheetName val="Sch C-2.10"/>
      <sheetName val="WPC-2.10"/>
      <sheetName val="Sch C-2.11"/>
      <sheetName val="WPC-2.11"/>
      <sheetName val="Sch C-2.12"/>
      <sheetName val="WPC-2.12"/>
      <sheetName val="Sch C-2.13"/>
      <sheetName val="WPC-2.13"/>
      <sheetName val="Sch C-2.14"/>
      <sheetName val="WPC-2.14"/>
      <sheetName val="WPC-2.14a"/>
      <sheetName val="Sch C-2.15"/>
      <sheetName val="Sch C-2.16"/>
      <sheetName val="Sch C-2.17"/>
      <sheetName val="Sch C-2.18"/>
      <sheetName val="Sch C-2.19"/>
      <sheetName val="WPC-2.19"/>
      <sheetName val="Sch C-2.20"/>
      <sheetName val="WPC-2.20"/>
      <sheetName val="Sch C-2.21"/>
      <sheetName val="WPC-2.21"/>
      <sheetName val="Sch C-2.22"/>
      <sheetName val="Sch C-2.23"/>
      <sheetName val="WPC-2.23"/>
      <sheetName val="Sch C-2.24"/>
      <sheetName val="Sch C-3"/>
      <sheetName val="Sch C-4"/>
      <sheetName val="Sch C-5a"/>
      <sheetName val="Sch C-5b"/>
      <sheetName val="Sch C-5.1"/>
      <sheetName val="Sch C-5.2"/>
      <sheetName val="Sch C-5.3"/>
      <sheetName val="Sch C-5.4"/>
      <sheetName val="WPC-5.4"/>
      <sheetName val="Sch C-6"/>
      <sheetName val="Sch C-6.1"/>
      <sheetName val="Sch C-6.2"/>
      <sheetName val="Sch C-7"/>
      <sheetName val="Sch C-8"/>
      <sheetName val="Sch C-9"/>
      <sheetName val="Sch C-10"/>
      <sheetName val="WPC-10"/>
      <sheetName val="Sch C-10.1"/>
      <sheetName val="Sch C-11.1"/>
      <sheetName val="WPC-11.1"/>
      <sheetName val="Sch C-11.2a"/>
      <sheetName val="Sch C-11.2b"/>
      <sheetName val="Sch C-11.2c"/>
      <sheetName val="Sch C-11.2d"/>
      <sheetName val="Sch C-11.2e"/>
      <sheetName val="Sch C-11.2f"/>
      <sheetName val="Sch C-11.2g"/>
      <sheetName val="Sch C-11.2h"/>
      <sheetName val="Sch C-11.3"/>
      <sheetName val="WPC-11.3"/>
      <sheetName val="WPC-11.3a"/>
      <sheetName val="WPC-11.3b"/>
      <sheetName val="WPC-11.3c"/>
      <sheetName val="Sch C-12"/>
      <sheetName val="WPC-12"/>
      <sheetName val="Sch C-13"/>
      <sheetName val="Sch C-14"/>
      <sheetName val="WPC-14"/>
      <sheetName val="Sch C-16 OLD-Replaced 12.12.05"/>
      <sheetName val="WPC-16a"/>
      <sheetName val="Sch C-16"/>
      <sheetName val="Sch C-17 2004"/>
      <sheetName val="Sch C-17 2004 to Sept"/>
      <sheetName val="Sch C-17 2003"/>
      <sheetName val="Sch C-17 2002"/>
      <sheetName val="Sch C-17 2001"/>
      <sheetName val="Sch C-18"/>
      <sheetName val="WPC-18a"/>
      <sheetName val="WPC-18b"/>
      <sheetName val="WPC-18c"/>
      <sheetName val="Sch C-19"/>
      <sheetName val="Sch C-21"/>
      <sheetName val="Sch C-22"/>
      <sheetName val="Sch C-23"/>
      <sheetName val="WPC-23"/>
      <sheetName val="Sch C-25"/>
      <sheetName val="Sch C-26"/>
      <sheetName val="Sch C-29"/>
      <sheetName val="Sch C-31"/>
      <sheetName val="Sch C-32"/>
      <sheetName val="WPC-4"/>
      <sheetName val="WPA-5.2"/>
      <sheetName val="WPA-5.1.4 Func Factors"/>
      <sheetName val="WPB-1 Cust Adv"/>
      <sheetName val="WPB-2.2.3"/>
      <sheetName val="WPB-2.4.2 Int Plt Gross - AMS"/>
      <sheetName val="WPB-2.4.3 Int Plt Reserve - AMS"/>
      <sheetName val="WPB-2.4.4 Int Plt Net - AMS"/>
      <sheetName val="WPB-2.4.5 Gen Plt Gross -AMS"/>
      <sheetName val="WPB-2.4.6 Gen Plt Reserve - AMS"/>
      <sheetName val="WPB-2.4.7 Gen Plt Net - AMS"/>
      <sheetName val="Sch B-5.2 Merged or Acq Prop"/>
      <sheetName val="Sch B-5.3 Leased Prop"/>
      <sheetName val="Sch B-7 CWIP"/>
      <sheetName val="Sch B-7.1 CWIP % Complete"/>
      <sheetName val="WPB-8.1b"/>
      <sheetName val="Construction"/>
      <sheetName val="GPROD"/>
      <sheetName val="ETRANS"/>
      <sheetName val="GTRANS"/>
      <sheetName val="EDISTR"/>
      <sheetName val="GDISTR"/>
      <sheetName val="DistrMisc"/>
      <sheetName val="Other"/>
      <sheetName val="Sch B-10 Def Charges"/>
      <sheetName val="Sch B-11 PHFFU"/>
      <sheetName val="Sch B-12 Analysis of PHFFU"/>
      <sheetName val="WPC-2.2.2"/>
      <sheetName val="WPC-2.2.3"/>
      <sheetName val="WPC-2.2.4"/>
      <sheetName val="WPC-2.2.5"/>
      <sheetName val="WPC-2.2.6"/>
      <sheetName val="WPC-2.2.7"/>
      <sheetName val="WPC-2.3.4 IP 04-05"/>
      <sheetName val="WPC-2.3.5 IP 05-05"/>
      <sheetName val="WPC-2.3.6 IP 06-05"/>
      <sheetName val="WPC-2.3.6 IP 07-05"/>
      <sheetName val="WPC-2.8"/>
      <sheetName val="WPC-2.13.3"/>
      <sheetName val="WPC-2.13.4"/>
      <sheetName val="WPC-2.13.5"/>
      <sheetName val="WPC-2.13.6"/>
      <sheetName val="WPC-2.13.7"/>
      <sheetName val="WPC-2.13.8"/>
      <sheetName val="WPC-2.13.9"/>
      <sheetName val="WPC-2.13.10"/>
      <sheetName val="WPC-2.13.11"/>
      <sheetName val="WPC-2.13.12"/>
      <sheetName val="WPC-2.22"/>
      <sheetName val="Sch C-5.5 ITC &amp; Job Dev. Cr"/>
      <sheetName val="WPC-6.1"/>
      <sheetName val="WPC-6.1 2004"/>
      <sheetName val="WPC-6.1 2003"/>
      <sheetName val="WPC-6.1 2002"/>
      <sheetName val="WPC-6.1 2001"/>
      <sheetName val="WPC-6.2"/>
      <sheetName val="WPC-7"/>
      <sheetName val="WPC-8"/>
      <sheetName val="WPC-9"/>
      <sheetName val="WPC-11.1a"/>
      <sheetName val="Sch 11.4 Recon Est Ovrhd"/>
      <sheetName val="WPC-13.1 Affl Int Trans"/>
      <sheetName val="WPC-14a"/>
      <sheetName val="WPC-14b"/>
      <sheetName val="WPC-14c"/>
      <sheetName val="WPC-14d"/>
      <sheetName val="WPC-14e"/>
      <sheetName val="Sch C-15 Major Maint Proj"/>
      <sheetName val="WPC-16"/>
      <sheetName val="WPC-18b Accr Prop Tax"/>
      <sheetName val="WPC-18a 2004"/>
      <sheetName val="Sch C-18a Oth Tx 2003"/>
      <sheetName val="WPC-18a 2003"/>
      <sheetName val="Sch C-18a Oth Tx 2002"/>
      <sheetName val="WPC-18a Oth Tx 2002"/>
      <sheetName val="WPC-18a 2001"/>
      <sheetName val="Sch C-20 Local Tx"/>
      <sheetName val="Sch C-24 Legal Exp &amp; Res"/>
      <sheetName val="WPC-25"/>
      <sheetName val="Sch C-27 Fuel Adj Rev &amp; Exp"/>
      <sheetName val="Sch C-28 Fuel Transp Exp"/>
      <sheetName val="Sch C-30 PGA Rev &amp; Exp"/>
      <sheetName val="Sch C-33 Billing Exper"/>
      <sheetName val="Comm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row r="26">
          <cell r="J26">
            <v>0.88519099999999995</v>
          </cell>
        </row>
      </sheetData>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row r="2">
          <cell r="B2" t="str">
            <v>AmerenIP</v>
          </cell>
        </row>
        <row r="10">
          <cell r="B10" t="str">
            <v>For the Twelve Months Ended December 31, 2004</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Print"/>
      <sheetName val="A - 1"/>
      <sheetName val="A - 2"/>
      <sheetName val="A - 2.1"/>
      <sheetName val="A - 3"/>
      <sheetName val="WPA - 3a"/>
      <sheetName val="WPA - 3b"/>
      <sheetName val="A - 4"/>
      <sheetName val="A - 5a"/>
      <sheetName val="A - 5b"/>
      <sheetName val="WPA - 5"/>
      <sheetName val="DefResp-3a"/>
      <sheetName val="DefResp-3b"/>
      <sheetName val="WPA - 5c"/>
      <sheetName val="B - 1"/>
      <sheetName val="WPB - 1"/>
      <sheetName val="B - 2"/>
      <sheetName val="B - 2.1"/>
      <sheetName val="WPB - 2.1b"/>
      <sheetName val="WPB - 2.1c"/>
      <sheetName val="WPB - 2.1d"/>
      <sheetName val="WPB - 2.1e"/>
      <sheetName val="WPB - 2.1a"/>
      <sheetName val="B - 3a"/>
      <sheetName val="B - 3b"/>
      <sheetName val="B - 4"/>
      <sheetName val="WPB - 4"/>
      <sheetName val="B - 5"/>
      <sheetName val="WPB - 5a"/>
      <sheetName val="WPB - 5b"/>
      <sheetName val="WPB - 5c"/>
      <sheetName val="B - 5.1"/>
      <sheetName val="B - 5.2"/>
      <sheetName val="B - 6"/>
      <sheetName val="WPB - 6a"/>
      <sheetName val="WPB - 6b"/>
      <sheetName val="WPB - 6c"/>
      <sheetName val="B - 7.2a1"/>
      <sheetName val="B - 7.2a2"/>
      <sheetName val="B - 7.2b1"/>
      <sheetName val="WPB - 7.2UEC"/>
      <sheetName val="B - 7.2b2"/>
      <sheetName val="B - 8"/>
      <sheetName val="Workpaper"/>
      <sheetName val="B - 8.1"/>
      <sheetName val="WPB - 8.1a"/>
      <sheetName val="WPB - 8.1b"/>
      <sheetName val="B - 9"/>
      <sheetName val="WPB - 9a"/>
      <sheetName val="WPB - 9b"/>
      <sheetName val="B - 9.1"/>
      <sheetName val="WPB - 9.1a"/>
      <sheetName val="WPB - 9.1b"/>
      <sheetName val="B - 13"/>
      <sheetName val="WPB - 13a"/>
      <sheetName val="WPB - 13b"/>
      <sheetName val="WPB - 13c"/>
      <sheetName val="B - 14"/>
      <sheetName val="WPB - 14"/>
      <sheetName val="C - 1"/>
      <sheetName val="C - 2"/>
      <sheetName val="C - 2.1"/>
      <sheetName val="WPC - 2.1"/>
      <sheetName val="C - 2.2"/>
      <sheetName val="C - 2.3"/>
      <sheetName val="C - 2.4"/>
      <sheetName val="WPC - 2.4a"/>
      <sheetName val="WPC - 2.4b"/>
      <sheetName val="C - 2.5"/>
      <sheetName val="WPC - 2.5"/>
      <sheetName val="C - 2.6"/>
      <sheetName val="WPC - 2.6a"/>
      <sheetName val="C - 2.6 NOT USED"/>
      <sheetName val="WPC - 2.6a NOT USED"/>
      <sheetName val="WPC - 2.6b"/>
      <sheetName val="C - 2.7"/>
      <sheetName val="WPC - 2.7"/>
      <sheetName val="C - 2.7b"/>
      <sheetName val="WPC - 2.7b"/>
      <sheetName val="WPC - 2.7c"/>
      <sheetName val="C - 2.7d"/>
      <sheetName val="C - 2.7e"/>
      <sheetName val="C - 2.7f"/>
      <sheetName val="WPC - 2.7d"/>
      <sheetName val="WPC - 2.7e"/>
      <sheetName val="C - 2.7i"/>
      <sheetName val="C - 2.7j"/>
      <sheetName val="C - 2.8"/>
      <sheetName val="C - 2.9"/>
      <sheetName val="C - 2.10"/>
      <sheetName val="C - 2.11"/>
      <sheetName val="WPC - 2.11"/>
      <sheetName val="C - 2.12"/>
      <sheetName val="WPC - 2.12"/>
      <sheetName val="C - 2.13"/>
      <sheetName val="C - 2.14"/>
      <sheetName val="C - 2.15"/>
      <sheetName val="WPC - 2.15"/>
      <sheetName val="C - 2.16"/>
      <sheetName val="WPC - 2.16a"/>
      <sheetName val="WPC - 2.16b"/>
      <sheetName val="WPC - 2.16c"/>
      <sheetName val="C - 2.17"/>
      <sheetName val="C - 3"/>
      <sheetName val="WPC - 3a"/>
      <sheetName val="WPC - 3b"/>
      <sheetName val="C - 4"/>
      <sheetName val="WPC - 4a"/>
      <sheetName val="WPC - 4b"/>
      <sheetName val="WPC - 4c"/>
      <sheetName val="WPC - 4d"/>
      <sheetName val="C - 5"/>
      <sheetName val="WPC - 5a"/>
      <sheetName val="WPC - 5b"/>
      <sheetName val="C - 5b"/>
      <sheetName val="C - 5.1"/>
      <sheetName val="C - 5.2"/>
      <sheetName val="WPC - 5.2a"/>
      <sheetName val="WPC - 5.2b"/>
      <sheetName val="C - 5.3"/>
      <sheetName val="WPC - 5.3a"/>
      <sheetName val="WPC - 5.3b"/>
      <sheetName val="C - 5.4"/>
      <sheetName val="WPC - 5.4"/>
      <sheetName val="C - 5.5"/>
      <sheetName val="WPC - 5.5a"/>
      <sheetName val="WPC - 5.5b"/>
      <sheetName val="C - 6"/>
      <sheetName val="WPC - 6"/>
      <sheetName val="C - 6.1"/>
      <sheetName val="WPC - 6.1"/>
      <sheetName val="C - 6.2a"/>
      <sheetName val="C - 6.2b"/>
      <sheetName val="C - 7a"/>
      <sheetName val="C - 7b"/>
      <sheetName val="C - 8"/>
      <sheetName val="WPC - 8"/>
      <sheetName val="C - 9"/>
      <sheetName val="WPC - 9"/>
      <sheetName val="C - 10"/>
      <sheetName val="WPC - 10"/>
      <sheetName val="C - 10.1"/>
      <sheetName val="C - 11.1"/>
      <sheetName val="WPC - 11.1a"/>
      <sheetName val="WPC - 11.1b"/>
      <sheetName val="WPC - 11.1c"/>
      <sheetName val="WPC - 11.1d"/>
      <sheetName val="C - 11.2a"/>
      <sheetName val="C - 11.2b"/>
      <sheetName val="C - 11.2c"/>
      <sheetName val="C - 11.2d"/>
      <sheetName val="C - 11.2e"/>
      <sheetName val="C - 11.2f"/>
      <sheetName val="C - 11.2g"/>
      <sheetName val="C - 11.2h"/>
      <sheetName val="C - 11.2i"/>
      <sheetName val="C - 11.2j"/>
      <sheetName val="C - 11.2k"/>
      <sheetName val="C - 11.2l"/>
      <sheetName val="C - 11.2m"/>
      <sheetName val="C - 11.2n"/>
      <sheetName val="C - 11.2o"/>
      <sheetName val="C - 11.2p"/>
      <sheetName val="C - 11.3"/>
      <sheetName val="WPC - 11.3a"/>
      <sheetName val="WPC - 11.3b"/>
      <sheetName val="WPC - 11.3c"/>
      <sheetName val="WPC - 11.3d"/>
      <sheetName val="C - 12"/>
      <sheetName val="WPC - 12a"/>
      <sheetName val="WPC - 12b"/>
      <sheetName val="C - 13"/>
      <sheetName val="C - 14"/>
      <sheetName val="WPC - 14a"/>
      <sheetName val="WPC - 14b"/>
      <sheetName val="C - 16"/>
      <sheetName val="WPC-16a"/>
      <sheetName val="WPC-16b"/>
      <sheetName val="C - 17a"/>
      <sheetName val="C - 17b"/>
      <sheetName val="C - 17c"/>
      <sheetName val="C - 17d"/>
      <sheetName val="C - 18"/>
      <sheetName val="WPC - 18a"/>
      <sheetName val="WPC - 18b"/>
      <sheetName val="WPC - 18c1"/>
      <sheetName val="WPC - 18c"/>
      <sheetName val="C - 19"/>
      <sheetName val="C - 21"/>
      <sheetName val="WPC - 21a"/>
      <sheetName val="WPC - 21b"/>
      <sheetName val="C - 23 (1)"/>
      <sheetName val="C - 23"/>
      <sheetName val="WPC - 23a"/>
      <sheetName val="WPC - 23b"/>
      <sheetName val="WPC - 23c"/>
      <sheetName val="WPC - 23d"/>
      <sheetName val="C - 25"/>
    </sheetNames>
    <sheetDataSet>
      <sheetData sheetId="0" refreshError="1">
        <row r="217">
          <cell r="B217" t="str">
            <v>AmerenCIPS</v>
          </cell>
        </row>
        <row r="218">
          <cell r="B218" t="str">
            <v>AmerenUE Illinois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Print"/>
      <sheetName val="A - 1"/>
      <sheetName val="A - 2"/>
      <sheetName val="A - 2.1"/>
      <sheetName val="A - 3"/>
      <sheetName val="WPA - 3a"/>
      <sheetName val="WPA - 3b"/>
      <sheetName val="A - 4"/>
      <sheetName val="A - 5a"/>
      <sheetName val="A - 5b"/>
      <sheetName val="WPA - 5"/>
      <sheetName val="DefResp-3a"/>
      <sheetName val="DefResp-3b"/>
      <sheetName val="WPA - 5c"/>
      <sheetName val="B - 1"/>
      <sheetName val="WPB - 1"/>
      <sheetName val="B - 2"/>
      <sheetName val="B - 2.1"/>
      <sheetName val="WPB - 2.1b"/>
      <sheetName val="WPB - 2.1c"/>
      <sheetName val="WPB - 2.1d"/>
      <sheetName val="WPB - 2.1e"/>
      <sheetName val="WPB - 2.1a"/>
      <sheetName val="B - 3a"/>
      <sheetName val="B - 3b"/>
      <sheetName val="B - 4"/>
      <sheetName val="WPB - 4"/>
      <sheetName val="B - 5"/>
      <sheetName val="WPB - 5a"/>
      <sheetName val="WPB - 5b"/>
      <sheetName val="WPB - 5c"/>
      <sheetName val="B - 5.1"/>
      <sheetName val="B - 5.2"/>
      <sheetName val="B - 6"/>
      <sheetName val="WPB - 6a"/>
      <sheetName val="WPB - 6b"/>
      <sheetName val="WPB - 6c"/>
      <sheetName val="B - 7.2a1"/>
      <sheetName val="B - 7.2a2"/>
      <sheetName val="B - 7.2b1"/>
      <sheetName val="WPB - 7.2UEC"/>
      <sheetName val="B - 7.2b2"/>
      <sheetName val="B - 8"/>
      <sheetName val="Workpaper"/>
      <sheetName val="B - 8.1"/>
      <sheetName val="WPB - 8.1a"/>
      <sheetName val="WPB - 8.1b"/>
      <sheetName val="B - 9"/>
      <sheetName val="WPB - 9a"/>
      <sheetName val="WPB - 9b"/>
      <sheetName val="B - 9.1"/>
      <sheetName val="WPB - 9.1a"/>
      <sheetName val="WPB - 9.1b"/>
      <sheetName val="B - 13"/>
      <sheetName val="WPB - 13a"/>
      <sheetName val="WPB - 13b"/>
      <sheetName val="WPB - 13c"/>
      <sheetName val="B - 14"/>
      <sheetName val="WPB - 14"/>
      <sheetName val="C - 1"/>
      <sheetName val="C - 2"/>
      <sheetName val="C - 2.1"/>
      <sheetName val="WPC - 2.1"/>
      <sheetName val="C - 2.2"/>
      <sheetName val="C - 2.3"/>
      <sheetName val="C - 2.4"/>
      <sheetName val="WPC - 2.4a"/>
      <sheetName val="WPC - 2.4b"/>
      <sheetName val="C - 2.5"/>
      <sheetName val="WPC - 2.5"/>
      <sheetName val="C - 2.6"/>
      <sheetName val="WPC - 2.6a"/>
      <sheetName val="C - 2.6 NOT USED"/>
      <sheetName val="WPC - 2.6a NOT USED"/>
      <sheetName val="WPC - 2.6b"/>
      <sheetName val="C - 2.7"/>
      <sheetName val="WPC - 2.7"/>
      <sheetName val="C - 2.7b"/>
      <sheetName val="WPC - 2.7b"/>
      <sheetName val="WPC - 2.7c"/>
      <sheetName val="C - 2.7d"/>
      <sheetName val="C - 2.7e"/>
      <sheetName val="C - 2.7f"/>
      <sheetName val="WPC - 2.7d"/>
      <sheetName val="WPC - 2.7e"/>
      <sheetName val="C - 2.7i"/>
      <sheetName val="C - 2.7j"/>
      <sheetName val="C - 2.8"/>
      <sheetName val="C - 2.9"/>
      <sheetName val="C - 2.10"/>
      <sheetName val="C - 2.11"/>
      <sheetName val="WPC - 2.11"/>
      <sheetName val="C - 2.12"/>
      <sheetName val="WPC - 2.12"/>
      <sheetName val="C - 2.13"/>
      <sheetName val="C - 2.14"/>
      <sheetName val="C - 2.15"/>
      <sheetName val="WPC - 2.15"/>
      <sheetName val="C - 2.16"/>
      <sheetName val="WPC - 2.16a"/>
      <sheetName val="WPC - 2.16b"/>
      <sheetName val="WPC - 2.16c"/>
      <sheetName val="C - 2.17"/>
      <sheetName val="C - 3"/>
      <sheetName val="WPC - 3a"/>
      <sheetName val="WPC - 3b"/>
      <sheetName val="C - 4"/>
      <sheetName val="WPC - 4a"/>
      <sheetName val="WPC - 4b"/>
      <sheetName val="WPC - 4c"/>
      <sheetName val="WPC - 4d"/>
      <sheetName val="C - 5"/>
      <sheetName val="WPC - 5a"/>
      <sheetName val="WPC - 5b"/>
      <sheetName val="C - 5b"/>
      <sheetName val="C - 5.1"/>
      <sheetName val="C - 5.2"/>
      <sheetName val="WPC - 5.2a"/>
      <sheetName val="WPC - 5.2b"/>
      <sheetName val="C - 5.3"/>
      <sheetName val="WPC - 5.3a"/>
      <sheetName val="WPC - 5.3b"/>
      <sheetName val="C - 5.4"/>
      <sheetName val="WPC - 5.4"/>
      <sheetName val="C - 5.5"/>
      <sheetName val="WPC - 5.5a"/>
      <sheetName val="WPC - 5.5b"/>
      <sheetName val="C - 6"/>
      <sheetName val="WPC - 6"/>
      <sheetName val="C - 6.1"/>
      <sheetName val="WPC - 6.1"/>
      <sheetName val="C - 6.2a"/>
      <sheetName val="C - 6.2b"/>
      <sheetName val="C - 7a"/>
      <sheetName val="C - 7b"/>
      <sheetName val="C - 8"/>
      <sheetName val="WPC - 8"/>
      <sheetName val="C - 9"/>
      <sheetName val="WPC - 9"/>
      <sheetName val="C - 10"/>
      <sheetName val="WPC - 10"/>
      <sheetName val="C - 10.1"/>
      <sheetName val="C - 11.1"/>
      <sheetName val="WPC - 11.1a"/>
      <sheetName val="WPC - 11.1b"/>
      <sheetName val="WPC - 11.1c"/>
      <sheetName val="WPC - 11.1d"/>
      <sheetName val="C - 11.2a"/>
      <sheetName val="C - 11.2b"/>
      <sheetName val="C - 11.2c"/>
      <sheetName val="C - 11.2d"/>
      <sheetName val="C - 11.2e"/>
      <sheetName val="C - 11.2f"/>
      <sheetName val="C - 11.2g"/>
      <sheetName val="C - 11.2h"/>
      <sheetName val="C - 11.2i"/>
      <sheetName val="C - 11.2j"/>
      <sheetName val="C - 11.2k"/>
      <sheetName val="C - 11.2l"/>
      <sheetName val="C - 11.2m"/>
      <sheetName val="C - 11.2n"/>
      <sheetName val="C - 11.2o"/>
      <sheetName val="C - 11.2p"/>
      <sheetName val="C - 11.3"/>
      <sheetName val="WPC - 11.3a"/>
      <sheetName val="WPC - 11.3b"/>
      <sheetName val="WPC - 11.3c"/>
      <sheetName val="WPC - 11.3d"/>
      <sheetName val="C - 12"/>
      <sheetName val="WPC - 12a"/>
      <sheetName val="WPC - 12b"/>
      <sheetName val="C - 13"/>
      <sheetName val="C - 14"/>
      <sheetName val="WPC - 14a"/>
      <sheetName val="WPC - 14b"/>
      <sheetName val="C - 16"/>
      <sheetName val="WPC-16a"/>
      <sheetName val="WPC-16b"/>
      <sheetName val="C - 17a"/>
      <sheetName val="C - 17b"/>
      <sheetName val="C - 17c"/>
      <sheetName val="C - 17d"/>
      <sheetName val="C - 18"/>
      <sheetName val="WPC - 18a"/>
      <sheetName val="WPC - 18b"/>
      <sheetName val="WPC - 18c1"/>
      <sheetName val="WPC - 18c"/>
      <sheetName val="C - 19"/>
      <sheetName val="C - 21"/>
      <sheetName val="WPC - 21a"/>
      <sheetName val="WPC - 21b"/>
      <sheetName val="C - 23 (1)"/>
      <sheetName val="C - 23"/>
      <sheetName val="WPC - 23a"/>
      <sheetName val="WPC - 23b"/>
      <sheetName val="WPC - 23c"/>
      <sheetName val="WPC - 23d"/>
      <sheetName val="C - 25"/>
    </sheetNames>
    <sheetDataSet>
      <sheetData sheetId="0" refreshError="1">
        <row r="217">
          <cell r="B217" t="str">
            <v>AmerenCIPS</v>
          </cell>
        </row>
        <row r="218">
          <cell r="B218" t="str">
            <v>AmerenUE Illinois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A - 1"/>
      <sheetName val="A - 2"/>
      <sheetName val="A - 2.1"/>
      <sheetName val="A - 3"/>
      <sheetName val="WPA-3a"/>
      <sheetName val="WPA-3b"/>
      <sheetName val="A-4"/>
      <sheetName val="A - 5a"/>
      <sheetName val="A - 5b"/>
      <sheetName val="WPA - 5"/>
      <sheetName val="WPA - 5a"/>
      <sheetName val="WPA - 5b"/>
      <sheetName val="WPA - 5c"/>
      <sheetName val="B - 1"/>
      <sheetName val="WPB - 1"/>
      <sheetName val="B-2"/>
      <sheetName val="B - 2.1"/>
      <sheetName val="WPB - 2.1a"/>
      <sheetName val="WPB - 2.1b"/>
      <sheetName val="WPB - 2.1c"/>
      <sheetName val="WPB - 2.1d"/>
      <sheetName val="WPB - 2.1e"/>
      <sheetName val="B - 3a"/>
      <sheetName val="B - 3b"/>
      <sheetName val="B - 4"/>
      <sheetName val="WPB - 4"/>
      <sheetName val="B - 5"/>
      <sheetName val="WPB - 5a"/>
      <sheetName val="WPB - 5b"/>
      <sheetName val="WPB - 5c"/>
      <sheetName val="B - 5.1"/>
      <sheetName val="B - 5.2"/>
      <sheetName val="B - 6"/>
      <sheetName val="WPB - 6a"/>
      <sheetName val="WPB - 6b"/>
      <sheetName val="WPB - 6c"/>
      <sheetName val="B - 7.2a"/>
      <sheetName val="B - 7.2b"/>
      <sheetName val="WPB - 7.2UEC"/>
      <sheetName val="B - 8"/>
      <sheetName val="Workpaper"/>
      <sheetName val="B - 8.1"/>
      <sheetName val="WPB - 8.1a"/>
      <sheetName val="WPB - 8.1b"/>
      <sheetName val="B - 9"/>
      <sheetName val="WPB - 9a"/>
      <sheetName val="WPB - 9b"/>
      <sheetName val="B - 9.1"/>
      <sheetName val="WPB - 9.1a"/>
      <sheetName val="WPB - 9.1b"/>
      <sheetName val="B - 13"/>
      <sheetName val="WPB-13a"/>
      <sheetName val="WPB -13b"/>
      <sheetName val="WPB - 13c"/>
      <sheetName val="B - 14"/>
      <sheetName val="WPB - 14"/>
      <sheetName val="C-1"/>
      <sheetName val="C - 2"/>
      <sheetName val="C - 2.1"/>
      <sheetName val="WPC-2.1"/>
      <sheetName val="C - 2.2"/>
      <sheetName val="C - 2.3"/>
      <sheetName val="C - 2.4"/>
      <sheetName val="WPC - 2.4a"/>
      <sheetName val="WPC - 2.4b"/>
      <sheetName val="C - 2.5"/>
      <sheetName val="WPC - 2.5"/>
      <sheetName val="C - 2.6"/>
      <sheetName val="WPC - 2.6a"/>
      <sheetName val="WPC - 2.6b"/>
      <sheetName val="C - 2.7"/>
      <sheetName val="WPC - 2.7a"/>
      <sheetName val="C - 2.7b"/>
      <sheetName val="WPC - 2.7b"/>
      <sheetName val="WPC - 2.7c"/>
      <sheetName val="C - 2.7d"/>
      <sheetName val="C - 2.7e"/>
      <sheetName val="C - 2.7f"/>
      <sheetName val="WPC - 2.7d"/>
      <sheetName val="WPC - 2.7e"/>
      <sheetName val="C - 2.7i"/>
      <sheetName val="C - 2.7j"/>
      <sheetName val="C - 2.8"/>
      <sheetName val="C - 2.9"/>
      <sheetName val="C - 2.10"/>
      <sheetName val="C - 2.11"/>
      <sheetName val="WPC - 2.11"/>
      <sheetName val="C - 2.12"/>
      <sheetName val="WPC - 2.12"/>
      <sheetName val="C - 2.13"/>
      <sheetName val="WPC - 2.13"/>
      <sheetName val="C - 2.14"/>
      <sheetName val="WPC - 2.14"/>
      <sheetName val="C - 2.15"/>
      <sheetName val="C - 3"/>
      <sheetName val="WPC - 3a"/>
      <sheetName val="WPC - 3b"/>
      <sheetName val="C-4"/>
      <sheetName val="WPC - 4a"/>
      <sheetName val="WPC - 4b"/>
      <sheetName val="WPC - 4c"/>
      <sheetName val="WPC - 4d"/>
      <sheetName val="WPC-4e"/>
      <sheetName val="C - 5"/>
      <sheetName val="WPC - 5a"/>
      <sheetName val="WPC - 5b"/>
      <sheetName val="C - 5.1"/>
      <sheetName val="C - 5.2"/>
      <sheetName val="WPC - 5.2a"/>
      <sheetName val="WPC - 5.2b"/>
      <sheetName val="C - 5.3"/>
      <sheetName val="WPC - 5.3a"/>
      <sheetName val="WPC - 5.3b"/>
      <sheetName val="C - 5.4"/>
      <sheetName val="WPC - 5.4"/>
      <sheetName val="C - 5.5"/>
      <sheetName val="WPC - 5.5a"/>
      <sheetName val="WPC - 5.5b"/>
      <sheetName val="C - 6"/>
      <sheetName val="WPC - 6"/>
      <sheetName val="C - 6.1"/>
      <sheetName val="WPC-6.1"/>
      <sheetName val="C - 6.2a"/>
      <sheetName val="C - 6.2b"/>
      <sheetName val="C - 7a"/>
      <sheetName val="C - 7b"/>
      <sheetName val="C - 8"/>
      <sheetName val="WPC - 8"/>
      <sheetName val="C - 9"/>
      <sheetName val="WPC-9"/>
      <sheetName val="C - 10"/>
      <sheetName val="WPC - 10"/>
      <sheetName val="C - 10.1"/>
      <sheetName val="C - 11.1"/>
      <sheetName val="WPC - 11.1a"/>
      <sheetName val="WPC - 11.1b"/>
      <sheetName val="WPC - 11.1c"/>
      <sheetName val="WPC-11.1d"/>
      <sheetName val="C - 11.2a"/>
      <sheetName val="C - 11.2b"/>
      <sheetName val="C - 11.2c"/>
      <sheetName val="C - 11.2d"/>
      <sheetName val="C - 11.2e"/>
      <sheetName val="C - 11.2f"/>
      <sheetName val="C - 11.2g"/>
      <sheetName val="C - 11.2h"/>
      <sheetName val="C - 11.2i"/>
      <sheetName val="C - 11.2j"/>
      <sheetName val="C - 11.2k"/>
      <sheetName val="C - 11.2l"/>
      <sheetName val="C - 11.2m"/>
      <sheetName val="C - 11.2n"/>
      <sheetName val="C - 11.2o"/>
      <sheetName val="C - 11.2p"/>
      <sheetName val="C - 11.3"/>
      <sheetName val="WPC - 11.3a"/>
      <sheetName val="WPC - 11.3b"/>
      <sheetName val="WPC-11.3c"/>
      <sheetName val="WPC-11.3d"/>
      <sheetName val="C - 12"/>
      <sheetName val="WPC - 12a"/>
      <sheetName val="WPC - 12b"/>
      <sheetName val="C - 13"/>
      <sheetName val="C - 14"/>
      <sheetName val="WPC - 14a"/>
      <sheetName val="WPC - 14b"/>
      <sheetName val="C - 16"/>
      <sheetName val="WPC-16a"/>
      <sheetName val="WPC-16b"/>
      <sheetName val="C - 17a"/>
      <sheetName val="C - 17b"/>
      <sheetName val="C - 17c"/>
      <sheetName val="C - 17d"/>
      <sheetName val="C - 18"/>
      <sheetName val="WPC - 18a"/>
      <sheetName val="WPC - 18b"/>
      <sheetName val="WPC - 18c"/>
      <sheetName val="WPC - 18d"/>
      <sheetName val="C - 19"/>
      <sheetName val="C-21"/>
      <sheetName val="WPC-21a"/>
      <sheetName val="WPC - 21b"/>
      <sheetName val="C - 23"/>
      <sheetName val="WPC - 23a"/>
      <sheetName val="WPC - 23b"/>
      <sheetName val="WPC - 23c"/>
      <sheetName val="WPC - 23d"/>
      <sheetName val="C - 25"/>
    </sheetNames>
    <sheetDataSet>
      <sheetData sheetId="0" refreshError="1">
        <row r="209">
          <cell r="B209" t="str">
            <v>AmerenCIPS (Including AmerenUE Illinois)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 - 1"/>
      <sheetName val="A - 2"/>
      <sheetName val="A - 2.1"/>
      <sheetName val="A - 4"/>
      <sheetName val="A - 5a"/>
      <sheetName val="A - 5b"/>
      <sheetName val="WPA - 5a"/>
      <sheetName val="WPA - 5b"/>
      <sheetName val="WPA - 5c"/>
      <sheetName val="B - 1"/>
      <sheetName val="WPB - 1a"/>
      <sheetName val="WPB - 1b"/>
      <sheetName val="B - 2"/>
      <sheetName val="B - 2.1"/>
      <sheetName val="B - 2.2"/>
      <sheetName val="WPB - 2.2"/>
      <sheetName val="B - 2.3"/>
      <sheetName val="B - 2.4"/>
      <sheetName val="B-2.5"/>
      <sheetName val="WPB-2.5"/>
      <sheetName val="B - 3a"/>
      <sheetName val="B - 3b"/>
      <sheetName val="B - 4"/>
      <sheetName val="B - 5"/>
      <sheetName val="WPB - 5a"/>
      <sheetName val="WPB - 5b"/>
      <sheetName val="WPB - 5c"/>
      <sheetName val="B - 5.2"/>
      <sheetName val="B - 6a"/>
      <sheetName val="WPB - 6a"/>
      <sheetName val="B - 6b"/>
      <sheetName val="B - 7.2a"/>
      <sheetName val="B - 7.2b"/>
      <sheetName val="B - 8(alt)"/>
      <sheetName val="B - 8"/>
      <sheetName val="B - 8.1"/>
      <sheetName val="WPB - 8.1"/>
      <sheetName val="B-9"/>
      <sheetName val="WPB - 9"/>
      <sheetName val="B - 9.1"/>
      <sheetName val="B - 13"/>
      <sheetName val="WPB - 13a"/>
      <sheetName val="WPB - 13b"/>
      <sheetName val="WPB - 13c"/>
      <sheetName val="B-14"/>
      <sheetName val="WPB - 14"/>
      <sheetName val="C - 1"/>
      <sheetName val="C - 2"/>
      <sheetName val="C - 2.1"/>
      <sheetName val="C - 2.2"/>
      <sheetName val="C - 2.3"/>
      <sheetName val="C - 2.4"/>
      <sheetName val="C-2.4"/>
      <sheetName val="C-2.5"/>
      <sheetName val="C-2.6"/>
      <sheetName val="WPC-2.6a"/>
      <sheetName val="WPC-2.6b"/>
      <sheetName val="C-2.7"/>
      <sheetName val="C-2.8"/>
      <sheetName val="WPC-2.8"/>
      <sheetName val="C-2.9"/>
      <sheetName val="WPC-2.9"/>
      <sheetName val="C-2.10"/>
      <sheetName val="WPC-2.10"/>
      <sheetName val="C-2.11"/>
      <sheetName val="C-2.12"/>
      <sheetName val="C-2.13"/>
      <sheetName val="C-2.14"/>
      <sheetName val="WPC-2.14"/>
      <sheetName val="C - 3"/>
      <sheetName val="WPC - 3a"/>
      <sheetName val="WPC - 3b"/>
      <sheetName val="C - 4"/>
      <sheetName val="WPC - 4a"/>
      <sheetName val="WPC - 4b"/>
      <sheetName val="WPC - 4c"/>
      <sheetName val="C-5"/>
      <sheetName val="C - 5b"/>
      <sheetName val="C - 5.1"/>
      <sheetName val="C-5.2"/>
      <sheetName val="C-5.3"/>
      <sheetName val="C - 5.4"/>
      <sheetName val="WPC - 5.4"/>
      <sheetName val="C-5.5"/>
      <sheetName val="C - 6"/>
      <sheetName val="C - 6.1"/>
      <sheetName val="C - 6.2"/>
      <sheetName val="C - 7"/>
      <sheetName val="C - 8"/>
      <sheetName val="WPC - 8"/>
      <sheetName val="C - 9"/>
      <sheetName val="C - 10"/>
      <sheetName val="WPC - 10"/>
      <sheetName val="C - 10.1"/>
      <sheetName val="C - 11.1"/>
      <sheetName val="WPC - 11.1a"/>
      <sheetName val="WPC - 11.1b"/>
      <sheetName val="WPC - 11.1c"/>
      <sheetName val="WPC - 11.1d"/>
      <sheetName val="C-11.2a"/>
      <sheetName val="C-11.2b"/>
      <sheetName val="C-11.2c"/>
      <sheetName val="C-11.2d"/>
      <sheetName val="C-11.2e"/>
      <sheetName val="C-11.2f"/>
      <sheetName val="C-11.2g"/>
      <sheetName val="C-11.2h"/>
      <sheetName val="C - 11.3"/>
      <sheetName val="WPC - 11.3a"/>
      <sheetName val="WPC - 11.3b"/>
      <sheetName val="C - 12"/>
      <sheetName val="WPC - 12a"/>
      <sheetName val="WPC - 12b"/>
      <sheetName val="WPC-12c"/>
      <sheetName val="WPC - 12d"/>
      <sheetName val="C - 13"/>
      <sheetName val="C - 14"/>
      <sheetName val="WPC-14a"/>
      <sheetName val="WPC-14b"/>
      <sheetName val="C - 16"/>
      <sheetName val="C - 17a"/>
      <sheetName val="C - 17b"/>
      <sheetName val="C - 17c"/>
      <sheetName val="C - 17d"/>
      <sheetName val="C - 18"/>
      <sheetName val="WPC - 18a"/>
      <sheetName val="WPC - 18b"/>
      <sheetName val="WPC - 18c"/>
      <sheetName val="C - 19"/>
      <sheetName val="C - 21"/>
      <sheetName val="WPC - 21a"/>
      <sheetName val="WPC - 21b"/>
      <sheetName val="C - 23"/>
      <sheetName val="WPC - 23a"/>
      <sheetName val="WPC - 23b"/>
      <sheetName val="WPC - 23c"/>
      <sheetName val="WPC - 23d"/>
      <sheetName val="C - 25"/>
      <sheetName val="C - 26"/>
      <sheetName val="C - 30"/>
    </sheetNames>
    <sheetDataSet>
      <sheetData sheetId="0" refreshError="1">
        <row r="154">
          <cell r="B154" t="str">
            <v>AmerenCIPS</v>
          </cell>
        </row>
        <row r="159">
          <cell r="B159" t="str">
            <v>For the Twelve Months Ended December 31,</v>
          </cell>
        </row>
        <row r="160">
          <cell r="B160" t="str">
            <v>(000s)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 - April 23, 2004"/>
      <sheetName val="#REF"/>
    </sheetNames>
    <sheetDataSet>
      <sheetData sheetId="0" refreshError="1"/>
      <sheetData sheetId="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A - 1"/>
      <sheetName val="A - 2"/>
      <sheetName val="A - 2.1"/>
      <sheetName val="A - 4"/>
      <sheetName val="A - 5a"/>
      <sheetName val="A - 5b"/>
      <sheetName val="WPA - 5a"/>
      <sheetName val="WPA - 5b"/>
      <sheetName val="B - 1"/>
      <sheetName val="WPB-1.1"/>
      <sheetName val="WPB-1.2"/>
      <sheetName val="B  - 2"/>
      <sheetName val="B - 2.1"/>
      <sheetName val="B - 2.2"/>
      <sheetName val="B - 3"/>
      <sheetName val="B - 4"/>
      <sheetName val="B - 5"/>
      <sheetName val="B - 6a"/>
      <sheetName val="B - 6b"/>
      <sheetName val="B - 7.2a"/>
      <sheetName val="B - 7.2b"/>
      <sheetName val="B - 8 (alt)"/>
      <sheetName val="B - 8"/>
      <sheetName val="B - 8.1"/>
      <sheetName val="WPB - 8.1"/>
      <sheetName val="B - 9"/>
      <sheetName val="WPB - 9"/>
      <sheetName val="B - 13"/>
      <sheetName val="WPB - 13a"/>
      <sheetName val="WPB - 13b"/>
      <sheetName val="WPB - 13c"/>
      <sheetName val="2003 - B - 13"/>
      <sheetName val="2003 - WPB - 13"/>
      <sheetName val="B - 14"/>
      <sheetName val="WPB - 14"/>
      <sheetName val="C - 1"/>
      <sheetName val="C - 2"/>
      <sheetName val="C - 2.1"/>
      <sheetName val="C - 2.2"/>
      <sheetName val="C - 2.3"/>
      <sheetName val="C - 2.4moot"/>
      <sheetName val="C-2.4"/>
      <sheetName val="C-2.5"/>
      <sheetName val="C-2.6"/>
      <sheetName val="WPC-2.6a"/>
      <sheetName val="WPC-2.6b"/>
      <sheetName val="C-2.7"/>
      <sheetName val="C-2.8"/>
      <sheetName val="WPC-2.8"/>
      <sheetName val="C-2.9"/>
      <sheetName val="WPC-2.9"/>
      <sheetName val="C-2.10"/>
      <sheetName val="WPC-2.10a"/>
      <sheetName val="WPC - 2.10b"/>
      <sheetName val="C-2.11"/>
      <sheetName val="C-2.12"/>
      <sheetName val="WPC-2.12"/>
      <sheetName val="C-2.13"/>
      <sheetName val="C-2.14"/>
      <sheetName val="C - 3"/>
      <sheetName val="C - 4"/>
      <sheetName val="WPC - 4"/>
      <sheetName val="C-5"/>
      <sheetName val="C - 5b"/>
      <sheetName val="C - 5.1"/>
      <sheetName val="C-5.2"/>
      <sheetName val="C - 5.3"/>
      <sheetName val="C - 5.4"/>
      <sheetName val="WPC - 5.4"/>
      <sheetName val="C - 5.5"/>
      <sheetName val="C - 6"/>
      <sheetName val="C - 6.1"/>
      <sheetName val="C - 6.2"/>
      <sheetName val="C - 7"/>
      <sheetName val="C - 8"/>
      <sheetName val="WPC - 8"/>
      <sheetName val="C - 9"/>
      <sheetName val="C - 10"/>
      <sheetName val="WPC-10"/>
      <sheetName val="C - 10.1"/>
      <sheetName val="C - 11.1"/>
      <sheetName val="WPC - 11.1"/>
      <sheetName val="C-11.2a"/>
      <sheetName val="WPC-11.2a"/>
      <sheetName val="C-11.2b"/>
      <sheetName val="C-11.2c"/>
      <sheetName val="C-11.2d"/>
      <sheetName val="C-11.2e"/>
      <sheetName val="C-11.2f"/>
      <sheetName val="C-11.2g"/>
      <sheetName val="C-11.2h"/>
      <sheetName val="C - 11.3"/>
      <sheetName val="WPC - 11.3"/>
      <sheetName val="C - 12"/>
      <sheetName val="WPC - 12a"/>
      <sheetName val="WPC - 12b"/>
      <sheetName val="WPC - 12c"/>
      <sheetName val="C-13"/>
      <sheetName val="C - 14"/>
      <sheetName val="WPC - 14"/>
      <sheetName val="C - 16"/>
      <sheetName val="WPC-16"/>
      <sheetName val="C - 17a"/>
      <sheetName val="C - 17b"/>
      <sheetName val="C - 17c"/>
      <sheetName val="C - 17d"/>
      <sheetName val="C-18"/>
      <sheetName val="WPC - 18a"/>
      <sheetName val="WPC - 18b"/>
      <sheetName val="WPC - 18c"/>
      <sheetName val="C - 19"/>
      <sheetName val="C - 21"/>
      <sheetName val="C - 23"/>
      <sheetName val="WPC - 23"/>
      <sheetName val="C - 25"/>
      <sheetName val="C - 26"/>
      <sheetName val="C - 30"/>
    </sheetNames>
    <sheetDataSet>
      <sheetData sheetId="0" refreshError="1">
        <row r="109">
          <cell r="C109" t="str">
            <v>AmerenCILCO</v>
          </cell>
        </row>
        <row r="110">
          <cell r="C110" t="str">
            <v>As of December 31, 2006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S Charges by Target"/>
      <sheetName val="PivotByMajMin"/>
      <sheetName val="AMS Charges by RT-All"/>
      <sheetName val="Pivot-CILCO"/>
      <sheetName val="CILCO"/>
      <sheetName val="CIPS"/>
      <sheetName val="IPC"/>
      <sheetName val="Projects 2006"/>
      <sheetName val="RMC-Descrip"/>
      <sheetName val="Resource Types"/>
      <sheetName val="Functions"/>
      <sheetName val="2005-SR-AllocFactors"/>
      <sheetName val="AllocFactors"/>
      <sheetName val="UnknownProj#"/>
      <sheetName val="IndirectAllocFa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Print"/>
      <sheetName val="Sch A-1"/>
      <sheetName val="Sch A-2"/>
      <sheetName val="Sch A-2.1"/>
      <sheetName val="Sch A-3"/>
      <sheetName val="Sch A-4"/>
      <sheetName val="Sch A-5 RB"/>
      <sheetName val="Sch A-5 Exp"/>
      <sheetName val="WPA-5"/>
      <sheetName val="WPA-5.2"/>
      <sheetName val="Sch B-1"/>
      <sheetName val="Sch B-2"/>
      <sheetName val="Sch B-2.1"/>
      <sheetName val="Sch B-2.2"/>
      <sheetName val="WPB-2.2a"/>
      <sheetName val="WPB-2.2b"/>
      <sheetName val="Sch B-2.3"/>
      <sheetName val="WPB-2.3"/>
      <sheetName val="Sch B-2.4"/>
      <sheetName val="WPB-2.4"/>
      <sheetName val="Sch B-2.5"/>
      <sheetName val="WPB-2.5a"/>
      <sheetName val="Sch B-2.6"/>
      <sheetName val="WPB-2.6"/>
      <sheetName val="Sch B-3"/>
      <sheetName val="Sch B-4"/>
      <sheetName val="Sch B-5"/>
      <sheetName val="WPB-5"/>
      <sheetName val="Sch B-5.1"/>
      <sheetName val="Sch B-6"/>
      <sheetName val="Sch B-7.2"/>
      <sheetName val="Sch B-7.2a"/>
      <sheetName val="Sch B-8"/>
      <sheetName val="Sch B-8.1"/>
      <sheetName val="WPB-8.1a"/>
      <sheetName val="Sch B-9"/>
      <sheetName val="WPB-9"/>
      <sheetName val="WPB-9a"/>
      <sheetName val="WPB-9b"/>
      <sheetName val="Sch B-9.1"/>
      <sheetName val="Sch B-13"/>
      <sheetName val="WPB-13a"/>
      <sheetName val="Sch B-14"/>
      <sheetName val="Sch C-1"/>
      <sheetName val="Sch C-2"/>
      <sheetName val="Sch C-2.1"/>
      <sheetName val="WPC-2.1"/>
      <sheetName val="Sch C-2.2"/>
      <sheetName val="WPC-2.2"/>
      <sheetName val="Sch C-2.3"/>
      <sheetName val="WPC-2.3"/>
      <sheetName val="WPC-2.3.3 Annualized Detail"/>
      <sheetName val="Sch C-2.4"/>
      <sheetName val="Sch C-2.5"/>
      <sheetName val="WPC-2.5"/>
      <sheetName val="Sch C-2.6"/>
      <sheetName val="WPC-2.6"/>
      <sheetName val="Sch C-2.7"/>
      <sheetName val="Sch C-2.8"/>
      <sheetName val="Sch C-2.9"/>
      <sheetName val="Sch C-2.10"/>
      <sheetName val="WPC-2.10"/>
      <sheetName val="Sch C-2.11"/>
      <sheetName val="WPC-2.11"/>
      <sheetName val="Sch C-2.12"/>
      <sheetName val="WPC-2.12"/>
      <sheetName val="Sch C-2.13"/>
      <sheetName val="WPC-2.13"/>
      <sheetName val="Sch C-2.14"/>
      <sheetName val="WPC-2.14"/>
      <sheetName val="WPC-2.14a"/>
      <sheetName val="Sch C-2.15"/>
      <sheetName val="Sch C-2.16"/>
      <sheetName val="Sch C-2.17"/>
      <sheetName val="Sch C-2.18"/>
      <sheetName val="Sch C-2.19"/>
      <sheetName val="WPC-2.19"/>
      <sheetName val="Sch C-2.20"/>
      <sheetName val="WPC-2.20"/>
      <sheetName val="Sch C-2.21"/>
      <sheetName val="WPC-2.21"/>
      <sheetName val="Sch C-2.22"/>
      <sheetName val="Sch C-2.23"/>
      <sheetName val="WPC-2.23"/>
      <sheetName val="Sch C-2.24"/>
      <sheetName val="Sch C-3"/>
      <sheetName val="Sch C-4"/>
      <sheetName val="Sch C-5a"/>
      <sheetName val="Sch C-5b"/>
      <sheetName val="Sch C-5.1"/>
      <sheetName val="Sch C-5.2"/>
      <sheetName val="Sch C-5.3"/>
      <sheetName val="Sch C-5.4"/>
      <sheetName val="WPC-5.4"/>
      <sheetName val="Sch C-6"/>
      <sheetName val="Sch C-6.1"/>
      <sheetName val="Sch C-6.2"/>
      <sheetName val="Sch C-7"/>
      <sheetName val="Schedule C-7"/>
      <sheetName val="Sch C-8"/>
      <sheetName val="Sch C-9"/>
      <sheetName val="Sch C-10"/>
      <sheetName val="WPC-10"/>
      <sheetName val="Sch C-10.1"/>
      <sheetName val="Sch C-11.1"/>
      <sheetName val="WPC-11.1"/>
      <sheetName val="Sch C-11.2a"/>
      <sheetName val="Sch C-11.2b"/>
      <sheetName val="Sch C-11.2c"/>
      <sheetName val="Sch C-11.2d"/>
      <sheetName val="Sch C-11.2e"/>
      <sheetName val="Sch C-11.2f"/>
      <sheetName val="Sch C-11.2g"/>
      <sheetName val="Sch C-11.2h"/>
      <sheetName val="Sch C-11.3"/>
      <sheetName val="WPC-11.3"/>
      <sheetName val="WPC-11.3a"/>
      <sheetName val="WPC-11.3b"/>
      <sheetName val="WPC-11.3c"/>
      <sheetName val="Sch C-12"/>
      <sheetName val="WPC-12"/>
      <sheetName val="Sch C-13"/>
      <sheetName val="Sch C-14"/>
      <sheetName val="WPC-14"/>
      <sheetName val="Sch C-16 OLD-Replaced 12.12.05"/>
      <sheetName val="WPC-16a"/>
      <sheetName val="Sch C-16"/>
      <sheetName val="Sch C-17 2004"/>
      <sheetName val="Sch C-17 2004 to Sept"/>
      <sheetName val="Sch C-17 2003"/>
      <sheetName val="Sch C-17 2002"/>
      <sheetName val="Sch C-17 2001"/>
      <sheetName val="Sch C-18"/>
      <sheetName val="WPC-18a"/>
      <sheetName val="WPC-18b"/>
      <sheetName val="WPC-18c"/>
      <sheetName val="Sch C-19"/>
      <sheetName val="Sch C-21"/>
      <sheetName val="Sch C-22"/>
      <sheetName val="Sch C-23"/>
      <sheetName val="WPC-23"/>
      <sheetName val="Sch C-25"/>
      <sheetName val="Sch C-26"/>
      <sheetName val="Sch C-29"/>
      <sheetName val="Sch C-31"/>
      <sheetName val="Sch C-32"/>
      <sheetName val="WPC-4"/>
      <sheetName val="WPA-5.1.4 Func Factors"/>
      <sheetName val="WPB-1 Cust Adv"/>
      <sheetName val="WPB-2.2.3"/>
      <sheetName val="WPB-2.4.2 Int Plt Gross - AMS"/>
      <sheetName val="WPB-2.4.3 Int Plt Reserve - AMS"/>
      <sheetName val="WPB-2.4.4 Int Plt Net - AMS"/>
      <sheetName val="WPB-2.4.5 Gen Plt Gross -AMS"/>
      <sheetName val="WPB-2.4.6 Gen Plt Reserve - AMS"/>
      <sheetName val="WPB-2.4.7 Gen Plt Net - AMS"/>
      <sheetName val="Sch B-5.2 Merged or Acq Prop"/>
      <sheetName val="Sch B-5.3 Leased Prop"/>
      <sheetName val="Sch B-7 CWIP"/>
      <sheetName val="Sch B-7.1 CWIP % Complete"/>
      <sheetName val="WPB-8.1b"/>
      <sheetName val="Construction"/>
      <sheetName val="GPROD"/>
      <sheetName val="ETRANS"/>
      <sheetName val="GTRANS"/>
      <sheetName val="EDISTR"/>
      <sheetName val="GDISTR"/>
      <sheetName val="DistrMisc"/>
      <sheetName val="Other"/>
      <sheetName val="Sch B-10 Def Charges"/>
      <sheetName val="Sch B-11 PHFFU"/>
      <sheetName val="Sch B-12 Analysis of PHFFU"/>
      <sheetName val="WPC-2.2.2"/>
      <sheetName val="WPC-2.2.3"/>
      <sheetName val="WPC-2.2.4"/>
      <sheetName val="WPC-2.2.5"/>
      <sheetName val="WPC-2.2.6"/>
      <sheetName val="WPC-2.2.7"/>
      <sheetName val="WPC-2.3.4 IP 04-05"/>
      <sheetName val="WPC-2.3.5 IP 05-05"/>
      <sheetName val="WPC-2.3.6 IP 06-05"/>
      <sheetName val="WPC-2.3.6 IP 07-05"/>
      <sheetName val="WPC-2.8"/>
      <sheetName val="WPC-2.13.3"/>
      <sheetName val="WPC-2.13.4"/>
      <sheetName val="WPC-2.13.5"/>
      <sheetName val="WPC-2.13.6"/>
      <sheetName val="WPC-2.13.7"/>
      <sheetName val="WPC-2.13.8"/>
      <sheetName val="WPC-2.13.9"/>
      <sheetName val="WPC-2.13.10"/>
      <sheetName val="WPC-2.13.11"/>
      <sheetName val="WPC-2.13.12"/>
      <sheetName val="WPC-2.22"/>
      <sheetName val="Sch C-5.5 ITC &amp; Job Dev. Cr"/>
      <sheetName val="WPC-6.1"/>
      <sheetName val="WPC-6.1 2004"/>
      <sheetName val="WPC-6.1 2003"/>
      <sheetName val="WPC-6.1 2002"/>
      <sheetName val="WPC-6.1 2001"/>
      <sheetName val="WPC-6.2"/>
      <sheetName val="Sheet2"/>
      <sheetName val="WPC-7"/>
      <sheetName val="WPC-8"/>
      <sheetName val="WPC-9"/>
      <sheetName val="WPC-11.1a"/>
      <sheetName val="Sch 11.4 Recon Est Ovrhd"/>
      <sheetName val="WPC-13.1 Affl Int Trans"/>
      <sheetName val="WPC-14a"/>
      <sheetName val="WPC-14b"/>
      <sheetName val="WPC-14c"/>
      <sheetName val="WPC-14d"/>
      <sheetName val="WPC-14e"/>
      <sheetName val="Sch C-15 Major Maint Proj"/>
      <sheetName val="WPC-16"/>
      <sheetName val="WPC-18b Accr Prop Tax"/>
      <sheetName val="WPC-18a 2004"/>
      <sheetName val="Sch C-18a Oth Tx 2003"/>
      <sheetName val="WPC-18a 2003"/>
      <sheetName val="Sch C-18a Oth Tx 2002"/>
      <sheetName val="WPC-18a Oth Tx 2002"/>
      <sheetName val="WPC-18a 2001"/>
      <sheetName val="Sch C-20 Local Tx"/>
      <sheetName val="Sch C-24 Legal Exp &amp; Res"/>
      <sheetName val="WPC-25"/>
      <sheetName val="Sch C-27 Fuel Adj Rev &amp; Exp"/>
      <sheetName val="Sch C-28 Fuel Transp Exp"/>
      <sheetName val="Sch C-30 PGA Rev &amp; Exp"/>
      <sheetName val="Sch C-33 Billing Exper"/>
      <sheetName val="Comm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row r="26">
          <cell r="J26">
            <v>0.88519099999999995</v>
          </cell>
        </row>
        <row r="36">
          <cell r="H36">
            <v>0.67503999999999997</v>
          </cell>
        </row>
        <row r="57">
          <cell r="J57">
            <v>0.87614000000000003</v>
          </cell>
        </row>
        <row r="65">
          <cell r="H65">
            <v>0.66896999999999995</v>
          </cell>
        </row>
        <row r="86">
          <cell r="J86">
            <v>0.87372000000000005</v>
          </cell>
        </row>
        <row r="94">
          <cell r="H94">
            <v>0.66110999999999998</v>
          </cell>
        </row>
        <row r="115">
          <cell r="J115">
            <v>0.85875000000000001</v>
          </cell>
        </row>
        <row r="123">
          <cell r="H123">
            <v>0.66471999999999998</v>
          </cell>
        </row>
      </sheetData>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rint"/>
      <sheetName val="Sch A-1"/>
      <sheetName val="Sch A-2"/>
      <sheetName val="Sch A-2.1"/>
      <sheetName val="Sch A-3"/>
      <sheetName val="Sch A-4"/>
      <sheetName val="Sch A-5 RB"/>
      <sheetName val="Sch A-5 Exp"/>
      <sheetName val="WPA-5"/>
      <sheetName val="Sch B-1"/>
      <sheetName val="Sch B-2"/>
      <sheetName val="Sch B-2.1"/>
      <sheetName val="Sch B-2.2"/>
      <sheetName val="WPB-2.2a"/>
      <sheetName val="WPB-2.2b"/>
      <sheetName val="Sch B-2.3"/>
      <sheetName val="WPB-2.3"/>
      <sheetName val="Sch B-2.4"/>
      <sheetName val="WPB-2.4"/>
      <sheetName val="Sch B-2.5"/>
      <sheetName val="WPB-2.5a"/>
      <sheetName val="Sch B-2.6"/>
      <sheetName val="WPB-2.6"/>
      <sheetName val="Sch B-3"/>
      <sheetName val="Sch B-4"/>
      <sheetName val="Sch B-5"/>
      <sheetName val="WPB-5"/>
      <sheetName val="Sch B-5.1"/>
      <sheetName val="Sch B-6"/>
      <sheetName val="Sch B-7.2"/>
      <sheetName val="Sch B-7.2a"/>
      <sheetName val="Sch B-8"/>
      <sheetName val="Sch B-8.1"/>
      <sheetName val="WPB-8.1a"/>
      <sheetName val="Sch B-9"/>
      <sheetName val="WPB-9"/>
      <sheetName val="WPB-9a"/>
      <sheetName val="WPB-9b"/>
      <sheetName val="Sch B-9.1"/>
      <sheetName val="Sch B-13"/>
      <sheetName val="WPB-13a"/>
      <sheetName val="Sch B-14"/>
      <sheetName val="Sch C-1"/>
      <sheetName val="Sch C-2"/>
      <sheetName val="Sch C-2.1"/>
      <sheetName val="WPC-2.1"/>
      <sheetName val="Sch C-2.2"/>
      <sheetName val="WPC-2.2"/>
      <sheetName val="Sch C-2.3"/>
      <sheetName val="WPC-2.3"/>
      <sheetName val="WPC-2.3.3 Annualized Detail"/>
      <sheetName val="Sch C-2.4"/>
      <sheetName val="Sch C-2.5"/>
      <sheetName val="WPC-2.5"/>
      <sheetName val="Sch C-2.6"/>
      <sheetName val="WPC-2.6"/>
      <sheetName val="Sch C-2.7"/>
      <sheetName val="Sch C-2.8"/>
      <sheetName val="Sch C-2.9"/>
      <sheetName val="Sch C-2.10"/>
      <sheetName val="WPC-2.10"/>
      <sheetName val="Sch C-2.11"/>
      <sheetName val="WPC-2.11"/>
      <sheetName val="Sch C-2.12"/>
      <sheetName val="WPC-2.12"/>
      <sheetName val="Sch C-2.13"/>
      <sheetName val="WPC-2.13"/>
      <sheetName val="Sch C-2.14"/>
      <sheetName val="WPC-2.14"/>
      <sheetName val="WPC-2.14a"/>
      <sheetName val="Sch C-2.15"/>
      <sheetName val="Sch C-2.16"/>
      <sheetName val="Sch C-2.17"/>
      <sheetName val="Sch C-2.18"/>
      <sheetName val="Sch C-2.19"/>
      <sheetName val="WPC-2.19"/>
      <sheetName val="Sch C-2.20"/>
      <sheetName val="WPC-2.20"/>
      <sheetName val="Sch C-2.21"/>
      <sheetName val="WPC-2.21"/>
      <sheetName val="Sch C-2.22"/>
      <sheetName val="Sch C-2.23"/>
      <sheetName val="WPC-2.23"/>
      <sheetName val="Sch C-2.24"/>
      <sheetName val="Sch C-3"/>
      <sheetName val="Sch C-4"/>
      <sheetName val="Sch C-5a"/>
      <sheetName val="Sch C-5b"/>
      <sheetName val="Sch C-5.1"/>
      <sheetName val="Sch C-5.2"/>
      <sheetName val="Sch C-5.3"/>
      <sheetName val="Sch C-5.4"/>
      <sheetName val="WPC-5.4"/>
      <sheetName val="Sch C-6"/>
      <sheetName val="Sch C-6.1"/>
      <sheetName val="Sch C-6.2"/>
      <sheetName val="Sch C-7"/>
      <sheetName val="Sch C-8"/>
      <sheetName val="Sch C-9"/>
      <sheetName val="Sch C-10"/>
      <sheetName val="WPC-10"/>
      <sheetName val="Sch C-10.1"/>
      <sheetName val="Sch C-11.1"/>
      <sheetName val="WPC-11.1"/>
      <sheetName val="Sch C-11.2a"/>
      <sheetName val="Sch C-11.2b"/>
      <sheetName val="Sch C-11.2c"/>
      <sheetName val="Sch C-11.2d"/>
      <sheetName val="Sch C-11.2e"/>
      <sheetName val="Sch C-11.2f"/>
      <sheetName val="Sch C-11.2g"/>
      <sheetName val="Sch C-11.2h"/>
      <sheetName val="Sch C-11.3"/>
      <sheetName val="WPC-11.3"/>
      <sheetName val="WPC-11.3a"/>
      <sheetName val="WPC-11.3b"/>
      <sheetName val="WPC-11.3c"/>
      <sheetName val="Sch C-12"/>
      <sheetName val="WPC-12"/>
      <sheetName val="Sch C-13"/>
      <sheetName val="Sch C-14"/>
      <sheetName val="WPC-14"/>
      <sheetName val="Sch C-16 OLD-Replaced 12.12.05"/>
      <sheetName val="WPC-16a"/>
      <sheetName val="Sch C-16"/>
      <sheetName val="Sch C-17 2004"/>
      <sheetName val="Sch C-17 2004 to Sept"/>
      <sheetName val="Sch C-17 2003"/>
      <sheetName val="Sch C-17 2002"/>
      <sheetName val="Sch C-17 2001"/>
      <sheetName val="Sch C-18"/>
      <sheetName val="WPC-18a"/>
      <sheetName val="WPC-18b"/>
      <sheetName val="WPC-18c"/>
      <sheetName val="Sch C-19"/>
      <sheetName val="Sch C-21"/>
      <sheetName val="Sch C-22"/>
      <sheetName val="Sch C-23"/>
      <sheetName val="WPC-23"/>
      <sheetName val="Sch C-25"/>
      <sheetName val="Sch C-26"/>
      <sheetName val="Sch C-29"/>
      <sheetName val="Sch C-31"/>
      <sheetName val="Sch C-32"/>
      <sheetName val="WPC-4"/>
      <sheetName val="WPA-5.2"/>
      <sheetName val="WPA-5.1.4 Func Factors"/>
      <sheetName val="WPB-1 Cust Adv"/>
      <sheetName val="WPB-2.2.3"/>
      <sheetName val="WPB-2.4.2 Int Plt Gross - AMS"/>
      <sheetName val="WPB-2.4.3 Int Plt Reserve - AMS"/>
      <sheetName val="WPB-2.4.4 Int Plt Net - AMS"/>
      <sheetName val="WPB-2.4.5 Gen Plt Gross -AMS"/>
      <sheetName val="WPB-2.4.6 Gen Plt Reserve - AMS"/>
      <sheetName val="WPB-2.4.7 Gen Plt Net - AMS"/>
      <sheetName val="Sch B-5.2 Merged or Acq Prop"/>
      <sheetName val="Sch B-5.3 Leased Prop"/>
      <sheetName val="Sch B-7 CWIP"/>
      <sheetName val="Sch B-7.1 CWIP % Complete"/>
      <sheetName val="WPB-8.1b"/>
      <sheetName val="Construction"/>
      <sheetName val="GPROD"/>
      <sheetName val="ETRANS"/>
      <sheetName val="GTRANS"/>
      <sheetName val="EDISTR"/>
      <sheetName val="GDISTR"/>
      <sheetName val="DistrMisc"/>
      <sheetName val="Other"/>
      <sheetName val="Sch B-10 Def Charges"/>
      <sheetName val="Sch B-11 PHFFU"/>
      <sheetName val="Sch B-12 Analysis of PHFFU"/>
      <sheetName val="WPC-2.2.2"/>
      <sheetName val="WPC-2.2.3"/>
      <sheetName val="WPC-2.2.4"/>
      <sheetName val="WPC-2.2.5"/>
      <sheetName val="WPC-2.2.6"/>
      <sheetName val="WPC-2.2.7"/>
      <sheetName val="WPC-2.3.4 IP 04-05"/>
      <sheetName val="WPC-2.3.5 IP 05-05"/>
      <sheetName val="WPC-2.3.6 IP 06-05"/>
      <sheetName val="WPC-2.3.6 IP 07-05"/>
      <sheetName val="WPC-2.8"/>
      <sheetName val="WPC-2.13.3"/>
      <sheetName val="WPC-2.13.4"/>
      <sheetName val="WPC-2.13.5"/>
      <sheetName val="WPC-2.13.6"/>
      <sheetName val="WPC-2.13.7"/>
      <sheetName val="WPC-2.13.8"/>
      <sheetName val="WPC-2.13.9"/>
      <sheetName val="WPC-2.13.10"/>
      <sheetName val="WPC-2.13.11"/>
      <sheetName val="WPC-2.13.12"/>
      <sheetName val="WPC-2.22"/>
      <sheetName val="Sch C-5.5 ITC &amp; Job Dev. Cr"/>
      <sheetName val="WPC-6.1"/>
      <sheetName val="WPC-6.1 2004"/>
      <sheetName val="WPC-6.1 2003"/>
      <sheetName val="WPC-6.1 2002"/>
      <sheetName val="WPC-6.1 2001"/>
      <sheetName val="WPC-6.2"/>
      <sheetName val="WPC-7"/>
      <sheetName val="WPC-8"/>
      <sheetName val="WPC-9"/>
      <sheetName val="WPC-11.1a"/>
      <sheetName val="Sch 11.4 Recon Est Ovrhd"/>
      <sheetName val="WPC-13.1 Affl Int Trans"/>
      <sheetName val="WPC-14a"/>
      <sheetName val="WPC-14b"/>
      <sheetName val="WPC-14c"/>
      <sheetName val="WPC-14d"/>
      <sheetName val="WPC-14e"/>
      <sheetName val="Sch C-15 Major Maint Proj"/>
      <sheetName val="WPC-16"/>
      <sheetName val="WPC-18b Accr Prop Tax"/>
      <sheetName val="WPC-18a 2004"/>
      <sheetName val="Sch C-18a Oth Tx 2003"/>
      <sheetName val="WPC-18a 2003"/>
      <sheetName val="Sch C-18a Oth Tx 2002"/>
      <sheetName val="WPC-18a Oth Tx 2002"/>
      <sheetName val="WPC-18a 2001"/>
      <sheetName val="Sch C-20 Local Tx"/>
      <sheetName val="Sch C-24 Legal Exp &amp; Res"/>
      <sheetName val="WPC-25"/>
      <sheetName val="Sch C-27 Fuel Adj Rev &amp; Exp"/>
      <sheetName val="Sch C-28 Fuel Transp Exp"/>
      <sheetName val="Sch C-30 PGA Rev &amp; Exp"/>
      <sheetName val="Sch C-33 Billing Exper"/>
      <sheetName val="Comm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row r="26">
          <cell r="J26">
            <v>0.88519099999999995</v>
          </cell>
        </row>
      </sheetData>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A - 1"/>
      <sheetName val="A - 2"/>
      <sheetName val="A - 2.1"/>
      <sheetName val="A - 3"/>
      <sheetName val="A - 4"/>
      <sheetName val="A - 5a"/>
      <sheetName val="A - 5b"/>
      <sheetName val="WPA - 5a"/>
      <sheetName val="WPA - 5b"/>
      <sheetName val="B - 1"/>
      <sheetName val="WPB-1.1"/>
      <sheetName val="WPB-1.2"/>
      <sheetName val="B  - 2"/>
      <sheetName val="B - 2.1"/>
      <sheetName val="B - 2.2"/>
      <sheetName val="B - 3"/>
      <sheetName val="B - 4"/>
      <sheetName val="B - 5"/>
      <sheetName val="WPB - 5"/>
      <sheetName val="B - 6a"/>
      <sheetName val="B - 6b"/>
      <sheetName val="B - 7.2a"/>
      <sheetName val="B - 7.2b"/>
      <sheetName val="EXH-1"/>
      <sheetName val="B-8"/>
      <sheetName val="B - 8.1"/>
      <sheetName val="WPB - 8.1"/>
      <sheetName val="B - 9"/>
      <sheetName val="WPB - 9"/>
      <sheetName val="B - 9.1"/>
      <sheetName val="B - 13"/>
      <sheetName val="WPB - 13a"/>
      <sheetName val="WPB - 13b"/>
      <sheetName val="WPB - 13c"/>
      <sheetName val="2003 - B - 13"/>
      <sheetName val="2003 - WPB - 13"/>
      <sheetName val="B - 14"/>
      <sheetName val="WPB - 14"/>
      <sheetName val="C - 1"/>
      <sheetName val="C - 2"/>
      <sheetName val="C - 2.1"/>
      <sheetName val="C - 2.2"/>
      <sheetName val="WPC - 2.2"/>
      <sheetName val="C - 2.3"/>
      <sheetName val="C - 2.4"/>
      <sheetName val="C - 2.4moot"/>
      <sheetName val="C - 2.5"/>
      <sheetName val="WPC - 2.5"/>
      <sheetName val="C - 2.6"/>
      <sheetName val="WPC - 2.6"/>
      <sheetName val="C - 2.7"/>
      <sheetName val="WPC - 2.7"/>
      <sheetName val="C - 2.8"/>
      <sheetName val="C - 2.9"/>
      <sheetName val="C - 2.10"/>
      <sheetName val="WPC - 2.10"/>
      <sheetName val="C - 2.11"/>
      <sheetName val="WPC - 2.11a"/>
      <sheetName val="WPC - 2.11b"/>
      <sheetName val="C - 2.12"/>
      <sheetName val="WPC - 2.12a"/>
      <sheetName val="WPC - 2.12b"/>
      <sheetName val="C - 2.13"/>
      <sheetName val="C - 2.14"/>
      <sheetName val="WPC - 2.14a"/>
      <sheetName val="WPC-2.9b"/>
      <sheetName val="WPC - 2.14b"/>
      <sheetName val="C - 3"/>
      <sheetName val="C - 4"/>
      <sheetName val="WPC - 4"/>
      <sheetName val="C-5"/>
      <sheetName val="C - 5b"/>
      <sheetName val="C - 5.1"/>
      <sheetName val="C-5.2"/>
      <sheetName val="C - 5.3"/>
      <sheetName val="C - 5.4"/>
      <sheetName val="WPC - 5.4"/>
      <sheetName val="C - 5.5"/>
      <sheetName val="C - 6"/>
      <sheetName val="C - 6.1"/>
      <sheetName val="C - 6.2"/>
      <sheetName val="C - 7"/>
      <sheetName val="C - 8"/>
      <sheetName val="WPC - 8"/>
      <sheetName val="C - 9"/>
      <sheetName val="C - 10"/>
      <sheetName val="WPC-10"/>
      <sheetName val="C - 10.1"/>
      <sheetName val="C - 11.1"/>
      <sheetName val="WPC - 11.1"/>
      <sheetName val="C-11.2a"/>
      <sheetName val="WPC-11.2a"/>
      <sheetName val="C-11.2b"/>
      <sheetName val="C-11.2c"/>
      <sheetName val="C-11.2d"/>
      <sheetName val="C-11.2e"/>
      <sheetName val="C-11.2f"/>
      <sheetName val="C-11.2g"/>
      <sheetName val="C-11.2h"/>
      <sheetName val="C - 11.3"/>
      <sheetName val="WPC - 11.3"/>
      <sheetName val="C - 12"/>
      <sheetName val="WPC - 12a"/>
      <sheetName val="WPC - 12c"/>
      <sheetName val="C-13"/>
      <sheetName val="C - 14"/>
      <sheetName val="WPC - 14"/>
      <sheetName val="C - 16"/>
      <sheetName val="WPC-16"/>
      <sheetName val="C - 17a"/>
      <sheetName val="C - 17b"/>
      <sheetName val="C - 17c"/>
      <sheetName val="C - 17d"/>
      <sheetName val="C-18"/>
      <sheetName val="WPC - 18a"/>
      <sheetName val="WPC - 18b"/>
      <sheetName val="WPC - 18c"/>
      <sheetName val="C - 19"/>
      <sheetName val="C - 21"/>
      <sheetName val="C - 23"/>
      <sheetName val="WPC - 23"/>
      <sheetName val="C - 25"/>
      <sheetName val="C - 26"/>
      <sheetName val="C - 30"/>
    </sheetNames>
    <sheetDataSet>
      <sheetData sheetId="0">
        <row r="135">
          <cell r="C135" t="str">
            <v>AmerenCILCO</v>
          </cell>
        </row>
        <row r="139">
          <cell r="C139" t="str">
            <v>For the Twelve Months Ended December 31,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Print"/>
      <sheetName val="A - 2"/>
      <sheetName val="A - 1"/>
      <sheetName val="A - 2.1"/>
      <sheetName val="A - 3"/>
      <sheetName val="A - 4"/>
      <sheetName val="A - 5a"/>
      <sheetName val="A - 5b"/>
      <sheetName val="WPA - 5"/>
      <sheetName val="DefResp-3a"/>
      <sheetName val="WPA - 5a"/>
      <sheetName val="DefResp-3b"/>
      <sheetName val="B - 1"/>
      <sheetName val="WPB - 1"/>
      <sheetName val="B - 2"/>
      <sheetName val="B - 2.1"/>
      <sheetName val="WPB - 2.1a"/>
      <sheetName val="WPB - 2.1b"/>
      <sheetName val="WPB - 2.1c"/>
      <sheetName val="WPB - 2.1d"/>
      <sheetName val="WPB - 2.1e"/>
      <sheetName val="B - 3"/>
      <sheetName val="B - 4"/>
      <sheetName val="WPB - 4"/>
      <sheetName val="B - 5"/>
      <sheetName val="WPB - 5"/>
      <sheetName val="B - 6a"/>
      <sheetName val="B - 6b"/>
      <sheetName val="B - 7.2a"/>
      <sheetName val="B - 7.2b"/>
      <sheetName val="B - 8"/>
      <sheetName val="CWC"/>
      <sheetName val="B - 8.1"/>
      <sheetName val="WPB-8.1asub"/>
      <sheetName val="WPB - 8.1a"/>
      <sheetName val="WPB - 8.1b"/>
      <sheetName val="WPB - 8.1c"/>
      <sheetName val="B-9sub"/>
      <sheetName val="B-9"/>
      <sheetName val="B-9 Sub"/>
      <sheetName val="WPB - 9a"/>
      <sheetName val="WPB - 9b"/>
      <sheetName val="B - 9.1"/>
      <sheetName val="B - 13"/>
      <sheetName val="WPB - 13a"/>
      <sheetName val="WPB - 13b"/>
      <sheetName val="WPB - 13c"/>
      <sheetName val="B - 14"/>
      <sheetName val="WPB - 14"/>
      <sheetName val="C - 1"/>
      <sheetName val="C - 2"/>
      <sheetName val="C - 2 sub"/>
      <sheetName val="C - 2.1"/>
      <sheetName val="WPC - 2.1"/>
      <sheetName val="C - 2.2"/>
      <sheetName val="C - 2.3"/>
      <sheetName val="WPC - 2.3a"/>
      <sheetName val="WPC - 2.3b"/>
      <sheetName val="C - 2.4"/>
      <sheetName val="WPC - 2.4"/>
      <sheetName val="C - 2.5"/>
      <sheetName val="WPC - 2.5"/>
      <sheetName val="C - 2.6"/>
      <sheetName val="WPC - 2.6a"/>
      <sheetName val="C - 2.6 NOT USED"/>
      <sheetName val="WPC - 2.6a NOT USED"/>
      <sheetName val="WPC - 2.6b"/>
      <sheetName val="C - 2.7"/>
      <sheetName val="WPC - 2.7"/>
      <sheetName val="WPC - 2.7a"/>
      <sheetName val="WPC - 2.7b"/>
      <sheetName val="WPC - 2.7c"/>
      <sheetName val="WPC - 2.7d"/>
      <sheetName val="WPC - 2.7e"/>
      <sheetName val="C - 2.8"/>
      <sheetName val="C - 2.9"/>
      <sheetName val="C - 2.10"/>
      <sheetName val="C - 2.11"/>
      <sheetName val="WPC - 2.11"/>
      <sheetName val="C - 2.12"/>
      <sheetName val="WPC - 2.12"/>
      <sheetName val="C - 2.13"/>
      <sheetName val="C - 2.14"/>
      <sheetName val="WPC - 2.14"/>
      <sheetName val="C - 2.15"/>
      <sheetName val="WPC - 2.15a"/>
      <sheetName val="WPC - 2.15b"/>
      <sheetName val="C - 2.16"/>
      <sheetName val="C - 3"/>
      <sheetName val="C - 4"/>
      <sheetName val="WPC - 4"/>
      <sheetName val="WPC - 4dup"/>
      <sheetName val="C - 5"/>
      <sheetName val="C - 5b"/>
      <sheetName val="C - 5.1"/>
      <sheetName val="C - 5.2"/>
      <sheetName val="C - 5.3"/>
      <sheetName val="C - 5.4"/>
      <sheetName val="WPC - 5.4"/>
      <sheetName val="C - 5.5"/>
      <sheetName val="C - 6"/>
      <sheetName val="C - 6.1"/>
      <sheetName val="C - 6.2"/>
      <sheetName val="C - 7"/>
      <sheetName val="C - 8"/>
      <sheetName val="WPC - 8"/>
      <sheetName val="C - 9"/>
      <sheetName val="C - 10"/>
      <sheetName val="WPC - 10"/>
      <sheetName val="C - 10.1"/>
      <sheetName val="C - 11.1"/>
      <sheetName val="WPC - 11.1"/>
      <sheetName val="C - 11.2a"/>
      <sheetName val="C - 11.2b"/>
      <sheetName val="C - 11.2e"/>
      <sheetName val="C - 11.2f"/>
      <sheetName val="C - 11.3"/>
      <sheetName val="WPC - 11.3a"/>
      <sheetName val="WPC - 11.3b"/>
      <sheetName val="WPC - 11.3c"/>
      <sheetName val="WPC - 11.3d"/>
      <sheetName val="C-11.2a"/>
      <sheetName val="WPC-11.2a"/>
      <sheetName val="C-11.2b"/>
      <sheetName val="C-11.2c"/>
      <sheetName val="C-11.2d"/>
      <sheetName val="C-11.2e"/>
      <sheetName val="C-11.2f"/>
      <sheetName val="C-11.2g"/>
      <sheetName val="C-11.2h"/>
      <sheetName val="C - 12"/>
      <sheetName val="WPC - 12"/>
      <sheetName val="C - 13a"/>
      <sheetName val="C - 13b"/>
      <sheetName val="C - 14"/>
      <sheetName val="WPC - 14"/>
      <sheetName val="C - 16"/>
      <sheetName val="WPC - 16"/>
      <sheetName val="C - 17a"/>
      <sheetName val="C - 17b"/>
      <sheetName val="C - 17c"/>
      <sheetName val="C - 17d"/>
      <sheetName val="C - 18"/>
      <sheetName val="WPC-18a"/>
      <sheetName val="WPC-18b"/>
      <sheetName val="WPC - 18b"/>
      <sheetName val="C - 19"/>
      <sheetName val="C - 21"/>
      <sheetName val="C - 23"/>
      <sheetName val="WPC - 23"/>
      <sheetName val="C - 25"/>
      <sheetName val="Schedule C-30"/>
      <sheetName val="WPC-30a"/>
      <sheetName val="WPC-30b"/>
      <sheetName val="WPC-30c"/>
      <sheetName val="WPC-30d"/>
      <sheetName val="WPC-30e"/>
      <sheetName val="C - 31"/>
      <sheetName val="B - 9"/>
      <sheetName val="WPB - 13"/>
      <sheetName val="C - 11.2c"/>
      <sheetName val="C - 11.2d"/>
      <sheetName val="C - 11.2g"/>
      <sheetName val="C - 11.2h"/>
    </sheetNames>
    <sheetDataSet>
      <sheetData sheetId="0" refreshError="1">
        <row r="154">
          <cell r="C154" t="str">
            <v>AmerenCILCO</v>
          </cell>
        </row>
        <row r="156">
          <cell r="C156" t="str">
            <v>As of December 31,</v>
          </cell>
        </row>
        <row r="158">
          <cell r="C158" t="str">
            <v>For the Twelve Months Ended December 31,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A - 1"/>
      <sheetName val="A - 2"/>
      <sheetName val="A - 2.1"/>
      <sheetName val="A - 4"/>
      <sheetName val="A - 5a"/>
      <sheetName val="A - 5b"/>
      <sheetName val="WPA-5"/>
      <sheetName val="WPA - 5a"/>
      <sheetName val="WPA - 5b"/>
      <sheetName val="B - 1"/>
      <sheetName val="B - 2"/>
      <sheetName val="B - 2.1"/>
      <sheetName val="WPB-2.1.1"/>
      <sheetName val="WPB - 2.1a"/>
      <sheetName val="WPB - 2.1b"/>
      <sheetName val="WPB - 2.1c"/>
      <sheetName val="WPB - 2.1d"/>
      <sheetName val="B - 3"/>
      <sheetName val="B - 4"/>
      <sheetName val="WPB - 4"/>
      <sheetName val="B - 5"/>
      <sheetName val="WPB - 5"/>
      <sheetName val="B - 6a"/>
      <sheetName val="B - 6b"/>
      <sheetName val="B - 7.2"/>
      <sheetName val="B - 8"/>
      <sheetName val="B - 8.1"/>
      <sheetName val="WPB - 8.1a1"/>
      <sheetName val="WPB - 8.1a2"/>
      <sheetName val="WPB - 8.1b"/>
      <sheetName val="B - 9"/>
      <sheetName val="WPB - 9a"/>
      <sheetName val="WPB - 9b"/>
      <sheetName val="B - 9.1"/>
      <sheetName val="B - 13"/>
      <sheetName val="WPB - 13.1"/>
      <sheetName val="WPB - 13b"/>
      <sheetName val="B - 14"/>
      <sheetName val="WPB - 14"/>
      <sheetName val="C - 1"/>
      <sheetName val="C - 2"/>
      <sheetName val="C - 2.1"/>
      <sheetName val="WPC - 2.1"/>
      <sheetName val="C - 2.2"/>
      <sheetName val="C - 2.3"/>
      <sheetName val="WPC - 2.3.1"/>
      <sheetName val="WPC - 2.3.2"/>
      <sheetName val="C - 2.4"/>
      <sheetName val="C - 2.5"/>
      <sheetName val="WPC - 2.5"/>
      <sheetName val="C - 2.6"/>
      <sheetName val="WPC - 2.6"/>
      <sheetName val="C - 2.7"/>
      <sheetName val="WPC - 2.7.1"/>
      <sheetName val="WPC - 2.7a"/>
      <sheetName val="WPC - 2.7.2"/>
      <sheetName val="WPC - 2.7.3"/>
      <sheetName val="WPC - 2.7d"/>
      <sheetName val="WPC - 2.7e"/>
      <sheetName val="C-2.8"/>
      <sheetName val="C - 2.9"/>
      <sheetName val="C - 2.10"/>
      <sheetName val="C - 2.11"/>
      <sheetName val="WPC - 2.11"/>
      <sheetName val="C - 2.12"/>
      <sheetName val="WPC - 2.12"/>
      <sheetName val="C - 2.13"/>
      <sheetName val="WPC - 2.13"/>
      <sheetName val="C - 3"/>
      <sheetName val="C - 4"/>
      <sheetName val="WPC - 4"/>
      <sheetName val="C - 5"/>
      <sheetName val="C - 5.1"/>
      <sheetName val="C - 5.2"/>
      <sheetName val="C - 5.3"/>
      <sheetName val="C - 5.4"/>
      <sheetName val="WPC - 5.4"/>
      <sheetName val="C - 5.5"/>
      <sheetName val="C - 6"/>
      <sheetName val="C - 6.1"/>
      <sheetName val="C - 6.2"/>
      <sheetName val="C - 7"/>
      <sheetName val="C - 8"/>
      <sheetName val="WPC - 8"/>
      <sheetName val="C - 9"/>
      <sheetName val="C - 10"/>
      <sheetName val="WPC - 10"/>
      <sheetName val="C - 10.1"/>
      <sheetName val="C - 11.1"/>
      <sheetName val="WPC - 11.1"/>
      <sheetName val="C - 11.2a"/>
      <sheetName val="C - 11.2b"/>
      <sheetName val="C - 11.2c"/>
      <sheetName val="C - 11.2d"/>
      <sheetName val="C - 11.2e"/>
      <sheetName val="C - 11.2f"/>
      <sheetName val="C - 11.2g"/>
      <sheetName val="C - 11.2h"/>
      <sheetName val="C - 11.3"/>
      <sheetName val="WPC - 11.3.1"/>
      <sheetName val="WPC - 11.3.2"/>
      <sheetName val="WPC - 11.3.3"/>
      <sheetName val="WPC - 11.3.4"/>
      <sheetName val="C - 12"/>
      <sheetName val="C - 13"/>
      <sheetName val="C - 14"/>
      <sheetName val="WPC - 14"/>
      <sheetName val="C - 16"/>
      <sheetName val="WPC - 16"/>
      <sheetName val="C - 17a"/>
      <sheetName val="C - 17b"/>
      <sheetName val="C - 17c"/>
      <sheetName val="C - 17d"/>
      <sheetName val="C - 18"/>
      <sheetName val="WPC-18a"/>
      <sheetName val="WPC-18b"/>
      <sheetName val="WPC-18c"/>
      <sheetName val="C - 19"/>
      <sheetName val="C-21"/>
      <sheetName val="C - 23"/>
      <sheetName val="WPC - 23"/>
      <sheetName val="C - 25"/>
      <sheetName val="C - 31"/>
    </sheetNames>
    <sheetDataSet>
      <sheetData sheetId="0" refreshError="1">
        <row r="89">
          <cell r="C89" t="str">
            <v>AmerenCILCO</v>
          </cell>
        </row>
        <row r="96">
          <cell r="C96" t="str">
            <v>For the Twelve Months Ended December 31, 2004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A - 1"/>
      <sheetName val="A - 2"/>
      <sheetName val="A - 2.1"/>
      <sheetName val="A - 3"/>
      <sheetName val="WPA-3a"/>
      <sheetName val="WPA-3b"/>
      <sheetName val="A-4"/>
      <sheetName val="A - 5a"/>
      <sheetName val="A - 5b"/>
      <sheetName val="WPA - 5"/>
      <sheetName val="WPA - 5a"/>
      <sheetName val="WPA - 5b"/>
      <sheetName val="WPA - 5c"/>
      <sheetName val="B - 1"/>
      <sheetName val="WPB - 1"/>
      <sheetName val="B-2"/>
      <sheetName val="B - 2.1"/>
      <sheetName val="WPB - 2.1a"/>
      <sheetName val="WPB - 2.1b"/>
      <sheetName val="WPB - 2.1c"/>
      <sheetName val="WPB - 2.1d"/>
      <sheetName val="WPB - 2.1e"/>
      <sheetName val="B - 3a"/>
      <sheetName val="B - 3b"/>
      <sheetName val="B - 4"/>
      <sheetName val="WPB - 4"/>
      <sheetName val="B - 5"/>
      <sheetName val="WPB - 5a"/>
      <sheetName val="WPB - 5b"/>
      <sheetName val="WPB - 5c"/>
      <sheetName val="B - 5.1"/>
      <sheetName val="B - 5.2"/>
      <sheetName val="B - 6"/>
      <sheetName val="WPB - 6a"/>
      <sheetName val="WPB - 6b"/>
      <sheetName val="WPB - 6c"/>
      <sheetName val="B - 7.2a"/>
      <sheetName val="B - 7.2b"/>
      <sheetName val="WPB - 7.2UEC"/>
      <sheetName val="B - 8"/>
      <sheetName val="Workpaper"/>
      <sheetName val="B - 8.1"/>
      <sheetName val="WPB - 8.1a"/>
      <sheetName val="WPB - 8.1b"/>
      <sheetName val="B - 9"/>
      <sheetName val="WPB - 9a"/>
      <sheetName val="WPB - 9b"/>
      <sheetName val="B - 9.1"/>
      <sheetName val="WPB - 9.1a"/>
      <sheetName val="WPB - 9.1b"/>
      <sheetName val="B - 13"/>
      <sheetName val="WPB-13a"/>
      <sheetName val="WPB -13b"/>
      <sheetName val="WPB - 13c"/>
      <sheetName val="B - 14"/>
      <sheetName val="WPB - 14"/>
      <sheetName val="C-1"/>
      <sheetName val="C - 2"/>
      <sheetName val="C - 2.1"/>
      <sheetName val="WPC-2.1"/>
      <sheetName val="C - 2.2"/>
      <sheetName val="C - 2.3"/>
      <sheetName val="C - 2.4"/>
      <sheetName val="WPC - 2.4a"/>
      <sheetName val="WPC - 2.4b"/>
      <sheetName val="C - 2.5"/>
      <sheetName val="WPC - 2.5"/>
      <sheetName val="C - 2.6"/>
      <sheetName val="WPC - 2.6a"/>
      <sheetName val="WPC - 2.6b"/>
      <sheetName val="C - 2.7"/>
      <sheetName val="WPC - 2.7a"/>
      <sheetName val="C - 2.7b"/>
      <sheetName val="WPC - 2.7b"/>
      <sheetName val="WPC - 2.7c"/>
      <sheetName val="C - 2.7d"/>
      <sheetName val="C - 2.7e"/>
      <sheetName val="C - 2.7f"/>
      <sheetName val="WPC - 2.7d"/>
      <sheetName val="WPC - 2.7e"/>
      <sheetName val="C - 2.7i"/>
      <sheetName val="C - 2.7j"/>
      <sheetName val="C - 2.8"/>
      <sheetName val="C - 2.9"/>
      <sheetName val="C - 2.10"/>
      <sheetName val="C - 2.11"/>
      <sheetName val="WPC - 2.11"/>
      <sheetName val="C - 2.12"/>
      <sheetName val="WPC - 2.12"/>
      <sheetName val="C - 2.13"/>
      <sheetName val="WPC - 2.13"/>
      <sheetName val="C - 2.14"/>
      <sheetName val="WPC - 2.14"/>
      <sheetName val="C - 2.15"/>
      <sheetName val="C - 3"/>
      <sheetName val="WPC - 3a"/>
      <sheetName val="WPC - 3b"/>
      <sheetName val="C-4"/>
      <sheetName val="WPC - 4a"/>
      <sheetName val="WPC - 4b"/>
      <sheetName val="WPC - 4c"/>
      <sheetName val="WPC - 4d"/>
      <sheetName val="WPC-4e"/>
      <sheetName val="C - 5"/>
      <sheetName val="WPC - 5a"/>
      <sheetName val="WPC - 5b"/>
      <sheetName val="C - 5.1"/>
      <sheetName val="C - 5.2"/>
      <sheetName val="WPC - 5.2a"/>
      <sheetName val="WPC - 5.2b"/>
      <sheetName val="C - 5.3"/>
      <sheetName val="WPC - 5.3a"/>
      <sheetName val="WPC - 5.3b"/>
      <sheetName val="C - 5.4"/>
      <sheetName val="WPC - 5.4"/>
      <sheetName val="C - 5.5"/>
      <sheetName val="WPC - 5.5a"/>
      <sheetName val="WPC - 5.5b"/>
      <sheetName val="C - 6"/>
      <sheetName val="WPC - 6"/>
      <sheetName val="C - 6.1"/>
      <sheetName val="WPC-6.1"/>
      <sheetName val="C - 6.2a"/>
      <sheetName val="C - 6.2b"/>
      <sheetName val="C - 7a"/>
      <sheetName val="C - 7b"/>
      <sheetName val="C - 8"/>
      <sheetName val="WPC - 8"/>
      <sheetName val="C - 9"/>
      <sheetName val="WPC-9"/>
      <sheetName val="C - 10"/>
      <sheetName val="WPC - 10"/>
      <sheetName val="C - 10.1"/>
      <sheetName val="C - 11.1"/>
      <sheetName val="WPC - 11.1a"/>
      <sheetName val="WPC - 11.1b"/>
      <sheetName val="WPC - 11.1c"/>
      <sheetName val="WPC-11.1d"/>
      <sheetName val="C - 11.2a"/>
      <sheetName val="C - 11.2b"/>
      <sheetName val="C - 11.2c"/>
      <sheetName val="C - 11.2d"/>
      <sheetName val="C - 11.2e"/>
      <sheetName val="C - 11.2f"/>
      <sheetName val="C - 11.2g"/>
      <sheetName val="C - 11.2h"/>
      <sheetName val="C - 11.2i"/>
      <sheetName val="C - 11.2j"/>
      <sheetName val="C - 11.2k"/>
      <sheetName val="C - 11.2l"/>
      <sheetName val="C - 11.2m"/>
      <sheetName val="C - 11.2n"/>
      <sheetName val="C - 11.2o"/>
      <sheetName val="C - 11.2p"/>
      <sheetName val="C - 11.3"/>
      <sheetName val="WPC - 11.3a"/>
      <sheetName val="WPC - 11.3b"/>
      <sheetName val="WPC-11.3c"/>
      <sheetName val="WPC-11.3d"/>
      <sheetName val="C - 12"/>
      <sheetName val="WPC - 12a"/>
      <sheetName val="WPC - 12b"/>
      <sheetName val="C - 13"/>
      <sheetName val="C - 14"/>
      <sheetName val="WPC - 14a"/>
      <sheetName val="WPC - 14b"/>
      <sheetName val="C - 16"/>
      <sheetName val="WPC-16a"/>
      <sheetName val="WPC-16b"/>
      <sheetName val="C - 17a"/>
      <sheetName val="C - 17b"/>
      <sheetName val="C - 17c"/>
      <sheetName val="C - 17d"/>
      <sheetName val="C - 18"/>
      <sheetName val="WPC - 18a"/>
      <sheetName val="WPC - 18b"/>
      <sheetName val="WPC - 18c"/>
      <sheetName val="WPC - 18d"/>
      <sheetName val="C - 19"/>
      <sheetName val="C-21"/>
      <sheetName val="WPC-21a"/>
      <sheetName val="WPC - 21b"/>
      <sheetName val="C - 23"/>
      <sheetName val="WPC - 23a"/>
      <sheetName val="WPC - 23b"/>
      <sheetName val="WPC - 23c"/>
      <sheetName val="WPC - 23d"/>
      <sheetName val="C - 25"/>
    </sheetNames>
    <sheetDataSet>
      <sheetData sheetId="0" refreshError="1">
        <row r="209">
          <cell r="B209" t="str">
            <v>AmerenCIPS (Including AmerenUE Illinois)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Print"/>
      <sheetName val="A - 1"/>
      <sheetName val="A - 2"/>
      <sheetName val="A - 2.1"/>
      <sheetName val="A - 3"/>
      <sheetName val="A - 4"/>
      <sheetName val="A - 5a"/>
      <sheetName val="A - 5b"/>
      <sheetName val="WPA - 5"/>
      <sheetName val="DefResp-3a"/>
      <sheetName val="WPA - 5a"/>
      <sheetName val="DefResp-3b"/>
      <sheetName val="B - 1"/>
      <sheetName val="WPB - 1"/>
      <sheetName val="B - 2"/>
      <sheetName val="B - 2.1"/>
      <sheetName val="WPB - 2.1a"/>
      <sheetName val="WPB - 2.1b"/>
      <sheetName val="WPB - 2.1c"/>
      <sheetName val="WPB - 2.1d"/>
      <sheetName val="WPB - 2.1e"/>
      <sheetName val="B - 3"/>
      <sheetName val="B - 4"/>
      <sheetName val="WPB - 4"/>
      <sheetName val="B - 5"/>
      <sheetName val="WPB - 5"/>
      <sheetName val="B - 6a"/>
      <sheetName val="B - 6b"/>
      <sheetName val="B - 7.2a"/>
      <sheetName val="B - 7.2b"/>
      <sheetName val="B - 8"/>
      <sheetName val="CWC"/>
      <sheetName val="B - 8.1"/>
      <sheetName val="WPB-8.1asub"/>
      <sheetName val="WPB - 8.1a"/>
      <sheetName val="WPB - 8.1b"/>
      <sheetName val="WPB - 8.1c"/>
      <sheetName val="B - 9"/>
      <sheetName val="B-9sub"/>
      <sheetName val="WPB - 9a"/>
      <sheetName val="WPB - 9b"/>
      <sheetName val="B - 9.1"/>
      <sheetName val="B - 13"/>
      <sheetName val="WPB - 13"/>
      <sheetName val="B - 14"/>
      <sheetName val="WPB - 14"/>
      <sheetName val="C - 1"/>
      <sheetName val="C - 2"/>
      <sheetName val="C - 2 sub"/>
      <sheetName val="C - 2.1"/>
      <sheetName val="WPC - 2.1"/>
      <sheetName val="C - 2.2"/>
      <sheetName val="C - 2.3"/>
      <sheetName val="WPC - 2.3a"/>
      <sheetName val="WPC - 2.3b"/>
      <sheetName val="C - 2.4"/>
      <sheetName val="WPC - 2.4"/>
      <sheetName val="C - 2.5"/>
      <sheetName val="WPC - 2.5"/>
      <sheetName val="C - 2.6"/>
      <sheetName val="WPC - 2.6a"/>
      <sheetName val="C - 2.6 NOT USED"/>
      <sheetName val="WPC - 2.6a NOT USED"/>
      <sheetName val="WPC - 2.6b"/>
      <sheetName val="C - 2.7"/>
      <sheetName val="WPC - 2.7"/>
      <sheetName val="WPC - 2.7a"/>
      <sheetName val="WPC - 2.7b"/>
      <sheetName val="WPC - 2.7c"/>
      <sheetName val="WPC - 2.7d"/>
      <sheetName val="WPC - 2.7e"/>
      <sheetName val="C - 2.8"/>
      <sheetName val="C - 2.9"/>
      <sheetName val="C - 2.10"/>
      <sheetName val="C - 2.11"/>
      <sheetName val="WPC - 2.11"/>
      <sheetName val="C - 2.12"/>
      <sheetName val="WPC - 2.12"/>
      <sheetName val="C - 2.13"/>
      <sheetName val="C - 2.14"/>
      <sheetName val="WPC - 2.14"/>
      <sheetName val="C - 2.15"/>
      <sheetName val="WPC - 2.15a"/>
      <sheetName val="WPC - 2.15b"/>
      <sheetName val="C - 2.16"/>
      <sheetName val="C - 3"/>
      <sheetName val="C - 4"/>
      <sheetName val="WPC - 4"/>
      <sheetName val="WPC - 4dup"/>
      <sheetName val="C - 5"/>
      <sheetName val="C - 5b"/>
      <sheetName val="C - 5.1"/>
      <sheetName val="C - 5.2"/>
      <sheetName val="C - 5.3"/>
      <sheetName val="C - 5.4"/>
      <sheetName val="WPC - 5.4"/>
      <sheetName val="C - 5.5"/>
      <sheetName val="C - 6"/>
      <sheetName val="C - 6.1"/>
      <sheetName val="C - 6.2"/>
      <sheetName val="C - 7"/>
      <sheetName val="C - 8"/>
      <sheetName val="WPC - 8"/>
      <sheetName val="C - 9"/>
      <sheetName val="C - 10"/>
      <sheetName val="WPC - 10"/>
      <sheetName val="C - 10.1"/>
      <sheetName val="C - 11.1"/>
      <sheetName val="WPC - 11.1"/>
      <sheetName val="C - 11.2a"/>
      <sheetName val="C - 11.2b"/>
      <sheetName val="C - 11.2c"/>
      <sheetName val="C - 11.2d"/>
      <sheetName val="C - 11.2e"/>
      <sheetName val="C - 11.2f"/>
      <sheetName val="C - 11.2g"/>
      <sheetName val="C - 11.2h"/>
      <sheetName val="C - 11.3"/>
      <sheetName val="WPC - 11.3a"/>
      <sheetName val="WPC - 11.3b"/>
      <sheetName val="WPC - 11.3c"/>
      <sheetName val="WPC - 11.3d"/>
      <sheetName val="C - 12"/>
      <sheetName val="WPC - 12"/>
      <sheetName val="C - 13a"/>
      <sheetName val="C - 13b"/>
      <sheetName val="C - 14"/>
      <sheetName val="WPC - 14"/>
      <sheetName val="C - 16"/>
      <sheetName val="WPC - 16"/>
      <sheetName val="C - 17a"/>
      <sheetName val="C - 17b"/>
      <sheetName val="C - 17c"/>
      <sheetName val="C - 17d"/>
      <sheetName val="C - 18"/>
      <sheetName val="WPC - 18a p1"/>
      <sheetName val="WPC - 18a p2"/>
      <sheetName val="WPC - 18b"/>
      <sheetName val="C - 19"/>
      <sheetName val="C - 21"/>
      <sheetName val="C - 23"/>
      <sheetName val="WPC - 23"/>
      <sheetName val="C - 25"/>
      <sheetName val="C - 31"/>
    </sheetNames>
    <sheetDataSet>
      <sheetData sheetId="0">
        <row r="154">
          <cell r="C154" t="str">
            <v>AmerenCILCO</v>
          </cell>
        </row>
        <row r="157">
          <cell r="C157" t="str">
            <v>As Of December 31, 2004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Menu"/>
      <sheetName val="Macro Tables"/>
      <sheetName val="Print"/>
      <sheetName val="Exec Summ Grph"/>
      <sheetName val="Model"/>
      <sheetName val="AIRC"/>
      <sheetName val="Gross_Rec"/>
      <sheetName val="Total CA QREs"/>
      <sheetName val="CA Wages"/>
      <sheetName val="QRE's"/>
      <sheetName val="QRE Charts"/>
      <sheetName val="Comparison"/>
      <sheetName val="Sens_Model"/>
      <sheetName val="Sens_G_R"/>
      <sheetName val="Sen_GR_Factor"/>
      <sheetName val="Sens_QRE's"/>
      <sheetName val="Sens_QRE_Factor"/>
      <sheetName val="ORIGINAL CLAIM"/>
      <sheetName val="PHASE II"/>
      <sheetName val="B_U_3"/>
      <sheetName val="B_U_4"/>
      <sheetName val="B_U_5"/>
      <sheetName val="B_U_6"/>
      <sheetName val="B_U_7"/>
      <sheetName val="B_U_8"/>
      <sheetName val="B_U_9"/>
      <sheetName val="B_U_10"/>
      <sheetName val="B_U_11"/>
      <sheetName val="B_U_12"/>
      <sheetName val="B_U_13"/>
      <sheetName val="B_U_14"/>
      <sheetName val="B_U_15"/>
      <sheetName val="B_U_16"/>
      <sheetName val="B_U_17"/>
      <sheetName val="B_U_18"/>
      <sheetName val="B_U_19"/>
      <sheetName val="B_U_20"/>
      <sheetName val="B_U_21"/>
      <sheetName val="B_U_22"/>
      <sheetName val="B_U_23"/>
      <sheetName val="Gas by major 2018-21"/>
    </sheetNames>
    <sheetDataSet>
      <sheetData sheetId="0"/>
      <sheetData sheetId="1" refreshError="1">
        <row r="11">
          <cell r="I11" t="str">
            <v>Agouron Pharmaceuticals, Inc.</v>
          </cell>
        </row>
      </sheetData>
      <sheetData sheetId="2" refreshError="1">
        <row r="5">
          <cell r="B5" t="str">
            <v>&amp;Model</v>
          </cell>
          <cell r="E5" t="str">
            <v>&amp;QRE's</v>
          </cell>
          <cell r="I5" t="str">
            <v>&amp;Wages by B/U by Year</v>
          </cell>
          <cell r="N5" t="str">
            <v>&amp;SBU Worksheet Help</v>
          </cell>
        </row>
        <row r="6">
          <cell r="B6" t="str">
            <v>&amp;QRE's</v>
          </cell>
          <cell r="E6" t="str">
            <v>&amp;Model</v>
          </cell>
          <cell r="I6" t="str">
            <v>&amp;Supplies by B/U by Year</v>
          </cell>
          <cell r="N6" t="str">
            <v>&amp;QRE Help</v>
          </cell>
        </row>
        <row r="7">
          <cell r="B7" t="str">
            <v>&amp;Gross Receipts</v>
          </cell>
          <cell r="E7" t="str">
            <v>&amp;Gross Receipts</v>
          </cell>
          <cell r="I7" t="str">
            <v>&amp;Contracts by B/U by Year</v>
          </cell>
          <cell r="N7" t="str">
            <v>&amp;Phase I vs Phase II Mode Help</v>
          </cell>
        </row>
        <row r="8">
          <cell r="B8" t="str">
            <v>&amp;Comparison</v>
          </cell>
          <cell r="E8" t="str">
            <v>&amp;Sensitivity QRE's</v>
          </cell>
          <cell r="I8" t="str">
            <v>&amp;QRE's by Type</v>
          </cell>
          <cell r="N8" t="str">
            <v>Help Topic 4</v>
          </cell>
        </row>
        <row r="9">
          <cell r="B9" t="str">
            <v>Report 5</v>
          </cell>
          <cell r="E9" t="str">
            <v>S&amp;ensitivity Model</v>
          </cell>
          <cell r="I9" t="str">
            <v>&amp;Total QRE's by Company</v>
          </cell>
          <cell r="N9" t="str">
            <v>Help Topic 5</v>
          </cell>
        </row>
        <row r="10">
          <cell r="B10" t="str">
            <v>Report 6</v>
          </cell>
          <cell r="E10" t="str">
            <v>Se&amp;nsitivity Gross Receipts</v>
          </cell>
          <cell r="I10" t="str">
            <v>Tax Credit by &amp;Year</v>
          </cell>
          <cell r="N10" t="str">
            <v>Help Topic 6</v>
          </cell>
        </row>
        <row r="11">
          <cell r="B11" t="str">
            <v>Report 7</v>
          </cell>
          <cell r="E11" t="str">
            <v>Sensitivity QRE &amp;Factor</v>
          </cell>
          <cell r="I11" t="str">
            <v>Sensitivity &amp;Analysis</v>
          </cell>
          <cell r="N11" t="str">
            <v>Help Topic 7</v>
          </cell>
        </row>
        <row r="12">
          <cell r="B12" t="str">
            <v>Report 8</v>
          </cell>
          <cell r="E12" t="str">
            <v>Sens Gross Rec. F&amp;actor</v>
          </cell>
          <cell r="I12" t="str">
            <v>Sensitivity Wa&amp;ges</v>
          </cell>
          <cell r="N12" t="str">
            <v>Help Topic 8</v>
          </cell>
        </row>
        <row r="13">
          <cell r="B13" t="str">
            <v>Report 9</v>
          </cell>
          <cell r="E13" t="str">
            <v>Worksheet 9</v>
          </cell>
          <cell r="I13" t="str">
            <v>Chart 9</v>
          </cell>
          <cell r="N13" t="str">
            <v>Help Topic 9</v>
          </cell>
        </row>
        <row r="14">
          <cell r="B14" t="str">
            <v>Report 10</v>
          </cell>
          <cell r="E14" t="str">
            <v>Worksheet 10</v>
          </cell>
          <cell r="I14" t="str">
            <v>Chart 10</v>
          </cell>
          <cell r="N14" t="str">
            <v>Help Topic 10</v>
          </cell>
        </row>
        <row r="15">
          <cell r="B15" t="str">
            <v>Report 11</v>
          </cell>
          <cell r="E15" t="str">
            <v>Worksheet 11</v>
          </cell>
          <cell r="I15" t="str">
            <v>Chart 11</v>
          </cell>
          <cell r="N15" t="str">
            <v>Help Topic 11</v>
          </cell>
        </row>
        <row r="16">
          <cell r="B16" t="str">
            <v>Report 12</v>
          </cell>
          <cell r="E16" t="str">
            <v>Worksheet 12</v>
          </cell>
          <cell r="I16" t="str">
            <v>Chart 12</v>
          </cell>
          <cell r="N16" t="str">
            <v>Help Topic 12</v>
          </cell>
        </row>
        <row r="21">
          <cell r="C21">
            <v>1</v>
          </cell>
          <cell r="F21">
            <v>2</v>
          </cell>
        </row>
        <row r="22">
          <cell r="C22" t="str">
            <v>FACTOR_.75</v>
          </cell>
        </row>
        <row r="23">
          <cell r="C23" t="str">
            <v>0.75</v>
          </cell>
        </row>
        <row r="27">
          <cell r="B27" t="str">
            <v>FACTOR_.75</v>
          </cell>
          <cell r="C27">
            <v>0.75</v>
          </cell>
        </row>
        <row r="28">
          <cell r="B28" t="str">
            <v>FACTOR_.80</v>
          </cell>
          <cell r="C28">
            <v>0.8</v>
          </cell>
        </row>
        <row r="29">
          <cell r="B29" t="str">
            <v>FACTOR_.85</v>
          </cell>
          <cell r="C29">
            <v>0.85</v>
          </cell>
        </row>
        <row r="30">
          <cell r="B30" t="str">
            <v>FACTOR_.90</v>
          </cell>
          <cell r="C30">
            <v>0.9</v>
          </cell>
        </row>
        <row r="31">
          <cell r="B31" t="str">
            <v>FACTOR_.95</v>
          </cell>
          <cell r="C31">
            <v>0.95</v>
          </cell>
        </row>
        <row r="32">
          <cell r="B32" t="str">
            <v>FACTOR_1</v>
          </cell>
          <cell r="C32">
            <v>1</v>
          </cell>
        </row>
        <row r="33">
          <cell r="B33" t="str">
            <v>FACTOR_1.05</v>
          </cell>
          <cell r="C33">
            <v>1.05</v>
          </cell>
        </row>
        <row r="34">
          <cell r="B34" t="str">
            <v>FACTOR_1.1</v>
          </cell>
          <cell r="C34">
            <v>1.1000000000000001</v>
          </cell>
        </row>
        <row r="35">
          <cell r="B35" t="str">
            <v>FACTOR_1.15</v>
          </cell>
          <cell r="C35">
            <v>1.1499999999999999</v>
          </cell>
        </row>
        <row r="36">
          <cell r="B36" t="str">
            <v>FACTOR_1.2</v>
          </cell>
          <cell r="C36">
            <v>1.2</v>
          </cell>
        </row>
        <row r="37">
          <cell r="B37" t="str">
            <v>FACTOR_1.25</v>
          </cell>
          <cell r="C37">
            <v>1.25</v>
          </cell>
        </row>
      </sheetData>
      <sheetData sheetId="3" refreshError="1">
        <row r="8">
          <cell r="A8">
            <v>1998</v>
          </cell>
          <cell r="C8">
            <v>10504391</v>
          </cell>
          <cell r="E8">
            <v>0</v>
          </cell>
          <cell r="G8">
            <v>3547208.5504999999</v>
          </cell>
        </row>
        <row r="18">
          <cell r="I18">
            <v>0.11</v>
          </cell>
        </row>
        <row r="20">
          <cell r="I20">
            <v>772837.97527749999</v>
          </cell>
        </row>
        <row r="22">
          <cell r="G22" t="str">
            <v>280C Reduced CA R&amp;D Credit (at 91.16%)</v>
          </cell>
          <cell r="I22">
            <v>704519.09826296894</v>
          </cell>
        </row>
        <row r="31">
          <cell r="C31">
            <v>1994</v>
          </cell>
          <cell r="E31">
            <v>1995</v>
          </cell>
          <cell r="G31">
            <v>1996</v>
          </cell>
          <cell r="I31">
            <v>1997</v>
          </cell>
        </row>
        <row r="32">
          <cell r="C32">
            <v>81903401</v>
          </cell>
          <cell r="E32">
            <v>68045552</v>
          </cell>
          <cell r="G32">
            <v>76597856.979284361</v>
          </cell>
          <cell r="I32">
            <v>73305142</v>
          </cell>
        </row>
        <row r="41">
          <cell r="C41">
            <v>1655205</v>
          </cell>
          <cell r="E41">
            <v>547263</v>
          </cell>
          <cell r="G41">
            <v>915000</v>
          </cell>
          <cell r="I41">
            <v>915000</v>
          </cell>
          <cell r="K41">
            <v>1798000</v>
          </cell>
        </row>
        <row r="48">
          <cell r="C48">
            <v>41166843</v>
          </cell>
          <cell r="E48">
            <v>52148995</v>
          </cell>
          <cell r="G48">
            <v>54699776</v>
          </cell>
          <cell r="I48">
            <v>64438385</v>
          </cell>
          <cell r="K48">
            <v>67069226</v>
          </cell>
        </row>
      </sheetData>
      <sheetData sheetId="4"/>
      <sheetData sheetId="5" refreshError="1">
        <row r="1">
          <cell r="P1">
            <v>36599.437053703703</v>
          </cell>
          <cell r="Q1">
            <v>36599.437053703703</v>
          </cell>
        </row>
        <row r="2">
          <cell r="A2" t="str">
            <v>Agouron Pharmaceuticals, Inc.</v>
          </cell>
        </row>
        <row r="3">
          <cell r="A3" t="str">
            <v>1990-98 CA R&amp;D Credit Calculation</v>
          </cell>
        </row>
        <row r="4">
          <cell r="A4" t="str">
            <v>Calculation of Gross Receipts (GR) by Year</v>
          </cell>
        </row>
        <row r="6">
          <cell r="A6" t="str">
            <v>GROSS RECEIPTS (GR)</v>
          </cell>
          <cell r="B6" t="str">
            <v>W/P Ref</v>
          </cell>
          <cell r="C6" t="str">
            <v>1984</v>
          </cell>
          <cell r="D6" t="str">
            <v>1985</v>
          </cell>
          <cell r="E6" t="str">
            <v>1986</v>
          </cell>
          <cell r="F6" t="str">
            <v>1987</v>
          </cell>
          <cell r="G6" t="str">
            <v>1988</v>
          </cell>
          <cell r="H6" t="str">
            <v>1989</v>
          </cell>
          <cell r="I6" t="str">
            <v>1990</v>
          </cell>
          <cell r="J6" t="str">
            <v>1991</v>
          </cell>
          <cell r="K6" t="str">
            <v>1992</v>
          </cell>
          <cell r="L6" t="str">
            <v>1993</v>
          </cell>
          <cell r="M6" t="str">
            <v>1994</v>
          </cell>
          <cell r="N6" t="str">
            <v>1995</v>
          </cell>
          <cell r="O6" t="str">
            <v>1996</v>
          </cell>
          <cell r="P6" t="str">
            <v>1997</v>
          </cell>
          <cell r="Q6" t="str">
            <v>1998</v>
          </cell>
        </row>
        <row r="7">
          <cell r="A7" t="str">
            <v>Per Supporting Schedule</v>
          </cell>
          <cell r="B7" t="str">
            <v>GR1</v>
          </cell>
          <cell r="C7">
            <v>90000</v>
          </cell>
          <cell r="D7">
            <v>318000</v>
          </cell>
          <cell r="E7">
            <v>442000</v>
          </cell>
          <cell r="F7">
            <v>1116901</v>
          </cell>
          <cell r="G7">
            <v>2552332</v>
          </cell>
          <cell r="H7">
            <v>2546075</v>
          </cell>
          <cell r="I7">
            <v>4736970</v>
          </cell>
          <cell r="J7">
            <v>5908119</v>
          </cell>
          <cell r="K7">
            <v>8087866</v>
          </cell>
          <cell r="L7">
            <v>20292732</v>
          </cell>
          <cell r="M7">
            <v>25649583</v>
          </cell>
          <cell r="N7">
            <v>61615795</v>
          </cell>
          <cell r="O7">
            <v>18804582</v>
          </cell>
          <cell r="P7">
            <v>62236360</v>
          </cell>
          <cell r="Q7">
            <v>0</v>
          </cell>
        </row>
        <row r="8">
          <cell r="A8" t="str">
            <v xml:space="preserve">  Adjustments:</v>
          </cell>
        </row>
        <row r="11">
          <cell r="A11" t="str">
            <v>Total before Year by Year Adj</v>
          </cell>
          <cell r="C11">
            <v>90000</v>
          </cell>
          <cell r="D11">
            <v>318000</v>
          </cell>
          <cell r="E11">
            <v>442000</v>
          </cell>
          <cell r="F11">
            <v>1116901</v>
          </cell>
          <cell r="G11">
            <v>2552332</v>
          </cell>
          <cell r="H11">
            <v>2546075</v>
          </cell>
          <cell r="I11">
            <v>4736970</v>
          </cell>
          <cell r="J11">
            <v>5908119</v>
          </cell>
          <cell r="K11">
            <v>8087866</v>
          </cell>
          <cell r="L11">
            <v>20292732</v>
          </cell>
          <cell r="M11">
            <v>25649583</v>
          </cell>
          <cell r="N11">
            <v>61615795</v>
          </cell>
          <cell r="O11">
            <v>18804582</v>
          </cell>
          <cell r="P11">
            <v>62236360</v>
          </cell>
          <cell r="Q11">
            <v>0</v>
          </cell>
        </row>
        <row r="12">
          <cell r="A12" t="str">
            <v xml:space="preserve">  Adjustments:</v>
          </cell>
        </row>
        <row r="15">
          <cell r="A15" t="str">
            <v>Total for 1990 Calculation</v>
          </cell>
          <cell r="C15">
            <v>90000</v>
          </cell>
          <cell r="D15">
            <v>318000</v>
          </cell>
          <cell r="E15">
            <v>442000</v>
          </cell>
          <cell r="F15">
            <v>1116901</v>
          </cell>
          <cell r="G15">
            <v>2552332</v>
          </cell>
          <cell r="H15">
            <v>2546075</v>
          </cell>
          <cell r="I15">
            <v>4736970</v>
          </cell>
          <cell r="J15">
            <v>5908119</v>
          </cell>
          <cell r="K15">
            <v>8087866</v>
          </cell>
          <cell r="L15">
            <v>20292732</v>
          </cell>
          <cell r="M15">
            <v>25649583</v>
          </cell>
          <cell r="N15">
            <v>61615795</v>
          </cell>
          <cell r="O15">
            <v>18804582</v>
          </cell>
          <cell r="P15">
            <v>62236360</v>
          </cell>
          <cell r="Q15">
            <v>0</v>
          </cell>
        </row>
        <row r="16">
          <cell r="A16" t="str">
            <v xml:space="preserve">  Adjustments:</v>
          </cell>
        </row>
        <row r="19">
          <cell r="A19" t="str">
            <v>Total For 1991</v>
          </cell>
          <cell r="C19">
            <v>90000</v>
          </cell>
          <cell r="D19">
            <v>318000</v>
          </cell>
          <cell r="E19">
            <v>442000</v>
          </cell>
          <cell r="F19">
            <v>1116901</v>
          </cell>
          <cell r="G19">
            <v>2552332</v>
          </cell>
          <cell r="H19">
            <v>2546075</v>
          </cell>
          <cell r="I19">
            <v>4736970</v>
          </cell>
          <cell r="J19">
            <v>5908119</v>
          </cell>
          <cell r="K19">
            <v>8087866</v>
          </cell>
          <cell r="L19">
            <v>20292732</v>
          </cell>
          <cell r="M19">
            <v>25649583</v>
          </cell>
          <cell r="N19">
            <v>61615795</v>
          </cell>
          <cell r="O19">
            <v>18804582</v>
          </cell>
          <cell r="P19">
            <v>62236360</v>
          </cell>
          <cell r="Q19">
            <v>0</v>
          </cell>
        </row>
        <row r="20">
          <cell r="A20" t="str">
            <v xml:space="preserve">  Adjustments:</v>
          </cell>
        </row>
        <row r="23">
          <cell r="A23" t="str">
            <v>Total For 1992</v>
          </cell>
          <cell r="C23">
            <v>90000</v>
          </cell>
          <cell r="D23">
            <v>318000</v>
          </cell>
          <cell r="E23">
            <v>442000</v>
          </cell>
          <cell r="F23">
            <v>1116901</v>
          </cell>
          <cell r="G23">
            <v>2552332</v>
          </cell>
          <cell r="H23">
            <v>2546075</v>
          </cell>
          <cell r="I23">
            <v>4736970</v>
          </cell>
          <cell r="J23">
            <v>5908119</v>
          </cell>
          <cell r="K23">
            <v>8087866</v>
          </cell>
          <cell r="L23">
            <v>20292732</v>
          </cell>
          <cell r="M23">
            <v>25649583</v>
          </cell>
          <cell r="N23">
            <v>61615795</v>
          </cell>
          <cell r="O23">
            <v>18804582</v>
          </cell>
          <cell r="P23">
            <v>62236360</v>
          </cell>
          <cell r="Q23">
            <v>0</v>
          </cell>
        </row>
        <row r="24">
          <cell r="A24" t="str">
            <v xml:space="preserve">  Adjustments:</v>
          </cell>
        </row>
        <row r="26">
          <cell r="A26" t="str">
            <v>Total For 1993</v>
          </cell>
          <cell r="C26">
            <v>90000</v>
          </cell>
          <cell r="D26">
            <v>318000</v>
          </cell>
          <cell r="E26">
            <v>442000</v>
          </cell>
          <cell r="F26">
            <v>1116901</v>
          </cell>
          <cell r="G26">
            <v>2552332</v>
          </cell>
          <cell r="H26">
            <v>2546075</v>
          </cell>
          <cell r="I26">
            <v>4736970</v>
          </cell>
          <cell r="J26">
            <v>5908119</v>
          </cell>
          <cell r="K26">
            <v>8087866</v>
          </cell>
          <cell r="L26">
            <v>20292732</v>
          </cell>
          <cell r="M26">
            <v>25649583</v>
          </cell>
          <cell r="N26">
            <v>61615795</v>
          </cell>
          <cell r="O26">
            <v>18804582</v>
          </cell>
          <cell r="P26">
            <v>62236360</v>
          </cell>
          <cell r="Q26">
            <v>0</v>
          </cell>
        </row>
        <row r="27">
          <cell r="A27" t="str">
            <v xml:space="preserve">  Adjustments:</v>
          </cell>
        </row>
        <row r="30">
          <cell r="A30" t="str">
            <v>Total For 1994</v>
          </cell>
          <cell r="C30">
            <v>90000</v>
          </cell>
          <cell r="D30">
            <v>318000</v>
          </cell>
          <cell r="E30">
            <v>442000</v>
          </cell>
          <cell r="F30">
            <v>1116901</v>
          </cell>
          <cell r="G30">
            <v>2552332</v>
          </cell>
          <cell r="H30">
            <v>2546075</v>
          </cell>
          <cell r="I30">
            <v>4736970</v>
          </cell>
          <cell r="J30">
            <v>5908119</v>
          </cell>
          <cell r="K30">
            <v>8087866</v>
          </cell>
          <cell r="L30">
            <v>20292732</v>
          </cell>
          <cell r="M30">
            <v>25649583</v>
          </cell>
          <cell r="N30">
            <v>61615795</v>
          </cell>
          <cell r="O30">
            <v>18804582</v>
          </cell>
          <cell r="P30">
            <v>62236360</v>
          </cell>
          <cell r="Q30">
            <v>0</v>
          </cell>
        </row>
        <row r="31">
          <cell r="A31" t="str">
            <v xml:space="preserve">  Adjustments:</v>
          </cell>
        </row>
        <row r="34">
          <cell r="A34" t="str">
            <v>Total For 1995</v>
          </cell>
          <cell r="C34">
            <v>90000</v>
          </cell>
          <cell r="D34">
            <v>318000</v>
          </cell>
          <cell r="E34">
            <v>442000</v>
          </cell>
          <cell r="F34">
            <v>1116901</v>
          </cell>
          <cell r="G34">
            <v>2552332</v>
          </cell>
          <cell r="H34">
            <v>2546075</v>
          </cell>
          <cell r="I34">
            <v>4736970</v>
          </cell>
          <cell r="J34">
            <v>5908119</v>
          </cell>
          <cell r="K34">
            <v>8087866</v>
          </cell>
          <cell r="L34">
            <v>20292732</v>
          </cell>
          <cell r="M34">
            <v>25649583</v>
          </cell>
          <cell r="N34">
            <v>61615795</v>
          </cell>
          <cell r="O34">
            <v>18804582</v>
          </cell>
          <cell r="P34">
            <v>62236360</v>
          </cell>
          <cell r="Q34">
            <v>0</v>
          </cell>
        </row>
        <row r="35">
          <cell r="A35" t="str">
            <v xml:space="preserve">  Adjustments:</v>
          </cell>
        </row>
        <row r="36">
          <cell r="A36" t="str">
            <v xml:space="preserve"> </v>
          </cell>
          <cell r="C36">
            <v>0</v>
          </cell>
          <cell r="D36">
            <v>0</v>
          </cell>
          <cell r="E36">
            <v>0</v>
          </cell>
          <cell r="F36">
            <v>0</v>
          </cell>
          <cell r="G36">
            <v>0</v>
          </cell>
          <cell r="K36">
            <v>0</v>
          </cell>
          <cell r="L36">
            <v>0</v>
          </cell>
          <cell r="M36">
            <v>0</v>
          </cell>
          <cell r="N36">
            <v>0</v>
          </cell>
        </row>
        <row r="38">
          <cell r="A38" t="str">
            <v>Total For 1996</v>
          </cell>
          <cell r="C38">
            <v>90000</v>
          </cell>
          <cell r="D38">
            <v>318000</v>
          </cell>
          <cell r="E38">
            <v>442000</v>
          </cell>
          <cell r="F38">
            <v>1116901</v>
          </cell>
          <cell r="G38">
            <v>2552332</v>
          </cell>
          <cell r="H38">
            <v>2546075</v>
          </cell>
          <cell r="I38">
            <v>4736970</v>
          </cell>
          <cell r="J38">
            <v>5908119</v>
          </cell>
          <cell r="K38">
            <v>8087866</v>
          </cell>
          <cell r="L38">
            <v>20292732</v>
          </cell>
          <cell r="M38">
            <v>25649583</v>
          </cell>
          <cell r="N38">
            <v>61615795</v>
          </cell>
          <cell r="O38">
            <v>18804582</v>
          </cell>
          <cell r="P38">
            <v>62236360</v>
          </cell>
          <cell r="Q38">
            <v>0</v>
          </cell>
        </row>
        <row r="39">
          <cell r="A39" t="str">
            <v xml:space="preserve">  Adjustments:</v>
          </cell>
        </row>
        <row r="40">
          <cell r="C40">
            <v>0</v>
          </cell>
          <cell r="D40">
            <v>0</v>
          </cell>
          <cell r="E40">
            <v>0</v>
          </cell>
          <cell r="F40">
            <v>0</v>
          </cell>
          <cell r="G40">
            <v>0</v>
          </cell>
          <cell r="K40">
            <v>0</v>
          </cell>
          <cell r="L40">
            <v>0</v>
          </cell>
          <cell r="M40">
            <v>0</v>
          </cell>
          <cell r="N40">
            <v>0</v>
          </cell>
          <cell r="O40">
            <v>0</v>
          </cell>
          <cell r="P40" t="str">
            <v xml:space="preserve"> </v>
          </cell>
        </row>
        <row r="41">
          <cell r="C41">
            <v>0</v>
          </cell>
          <cell r="D41">
            <v>0</v>
          </cell>
          <cell r="E41">
            <v>0</v>
          </cell>
          <cell r="F41">
            <v>0</v>
          </cell>
          <cell r="G41">
            <v>0</v>
          </cell>
          <cell r="K41">
            <v>0</v>
          </cell>
          <cell r="L41">
            <v>0</v>
          </cell>
          <cell r="M41">
            <v>0</v>
          </cell>
          <cell r="N41">
            <v>0</v>
          </cell>
          <cell r="O41">
            <v>0</v>
          </cell>
          <cell r="P41">
            <v>0</v>
          </cell>
        </row>
        <row r="42">
          <cell r="C42">
            <v>0</v>
          </cell>
          <cell r="D42">
            <v>0</v>
          </cell>
          <cell r="E42">
            <v>0</v>
          </cell>
          <cell r="F42">
            <v>0</v>
          </cell>
          <cell r="G42">
            <v>0</v>
          </cell>
          <cell r="K42">
            <v>0</v>
          </cell>
          <cell r="L42">
            <v>0</v>
          </cell>
          <cell r="M42">
            <v>0</v>
          </cell>
          <cell r="N42">
            <v>0</v>
          </cell>
          <cell r="O42">
            <v>0</v>
          </cell>
          <cell r="P42">
            <v>0</v>
          </cell>
        </row>
        <row r="44">
          <cell r="A44" t="str">
            <v>Total For 1997</v>
          </cell>
          <cell r="C44">
            <v>90000</v>
          </cell>
          <cell r="D44">
            <v>318000</v>
          </cell>
          <cell r="E44">
            <v>442000</v>
          </cell>
          <cell r="F44">
            <v>1116901</v>
          </cell>
          <cell r="G44">
            <v>2552332</v>
          </cell>
          <cell r="H44">
            <v>2546075</v>
          </cell>
          <cell r="I44">
            <v>4736970</v>
          </cell>
          <cell r="J44">
            <v>5908119</v>
          </cell>
          <cell r="K44">
            <v>8087866</v>
          </cell>
          <cell r="L44">
            <v>20292732</v>
          </cell>
          <cell r="M44">
            <v>25649583</v>
          </cell>
          <cell r="N44">
            <v>61615795</v>
          </cell>
          <cell r="O44">
            <v>18804582</v>
          </cell>
          <cell r="P44">
            <v>62236360</v>
          </cell>
          <cell r="Q44">
            <v>0</v>
          </cell>
        </row>
        <row r="45">
          <cell r="A45" t="str">
            <v xml:space="preserve">  Adjustments:</v>
          </cell>
        </row>
        <row r="46">
          <cell r="B46" t="str">
            <v xml:space="preserve"> </v>
          </cell>
        </row>
        <row r="47">
          <cell r="A47" t="str">
            <v>Total For 1998</v>
          </cell>
          <cell r="C47">
            <v>90000</v>
          </cell>
          <cell r="D47">
            <v>318000</v>
          </cell>
          <cell r="E47">
            <v>442000</v>
          </cell>
          <cell r="F47">
            <v>1116901</v>
          </cell>
          <cell r="G47">
            <v>2552332</v>
          </cell>
          <cell r="H47">
            <v>2546075</v>
          </cell>
          <cell r="I47">
            <v>4736970</v>
          </cell>
          <cell r="J47">
            <v>5908119</v>
          </cell>
          <cell r="K47">
            <v>8087866</v>
          </cell>
          <cell r="L47">
            <v>20292732</v>
          </cell>
          <cell r="M47">
            <v>25649583</v>
          </cell>
          <cell r="N47">
            <v>61615795</v>
          </cell>
          <cell r="O47">
            <v>18804582</v>
          </cell>
          <cell r="P47">
            <v>62236360</v>
          </cell>
          <cell r="Q47">
            <v>0</v>
          </cell>
        </row>
        <row r="49">
          <cell r="A49" t="str">
            <v>Base Period Gross Receipts:</v>
          </cell>
          <cell r="I49" t="str">
            <v>1990</v>
          </cell>
          <cell r="J49" t="str">
            <v>1991</v>
          </cell>
          <cell r="K49" t="str">
            <v>1992</v>
          </cell>
          <cell r="L49" t="str">
            <v>1993</v>
          </cell>
          <cell r="M49" t="str">
            <v>1994</v>
          </cell>
          <cell r="N49" t="str">
            <v>1995</v>
          </cell>
          <cell r="O49" t="str">
            <v>1996</v>
          </cell>
          <cell r="P49" t="str">
            <v>1997</v>
          </cell>
          <cell r="Q49" t="str">
            <v>1998</v>
          </cell>
        </row>
        <row r="50">
          <cell r="A50" t="str">
            <v>1984</v>
          </cell>
          <cell r="B50" t="str">
            <v>Above</v>
          </cell>
          <cell r="I50">
            <v>90000</v>
          </cell>
          <cell r="J50">
            <v>90000</v>
          </cell>
          <cell r="K50">
            <v>90000</v>
          </cell>
          <cell r="L50">
            <v>90000</v>
          </cell>
          <cell r="M50">
            <v>90000</v>
          </cell>
          <cell r="N50">
            <v>90000</v>
          </cell>
          <cell r="O50">
            <v>90000</v>
          </cell>
          <cell r="P50">
            <v>90000</v>
          </cell>
          <cell r="Q50">
            <v>90000</v>
          </cell>
        </row>
        <row r="51">
          <cell r="A51" t="str">
            <v>1985</v>
          </cell>
          <cell r="B51" t="str">
            <v>Above</v>
          </cell>
          <cell r="I51">
            <v>318000</v>
          </cell>
          <cell r="J51">
            <v>318000</v>
          </cell>
          <cell r="K51">
            <v>318000</v>
          </cell>
          <cell r="L51">
            <v>318000</v>
          </cell>
          <cell r="M51">
            <v>318000</v>
          </cell>
          <cell r="N51">
            <v>318000</v>
          </cell>
          <cell r="O51">
            <v>318000</v>
          </cell>
          <cell r="P51">
            <v>318000</v>
          </cell>
          <cell r="Q51">
            <v>318000</v>
          </cell>
        </row>
        <row r="52">
          <cell r="A52" t="str">
            <v>1986</v>
          </cell>
          <cell r="B52" t="str">
            <v>Above</v>
          </cell>
          <cell r="I52">
            <v>442000</v>
          </cell>
          <cell r="J52">
            <v>442000</v>
          </cell>
          <cell r="K52">
            <v>442000</v>
          </cell>
          <cell r="L52">
            <v>442000</v>
          </cell>
          <cell r="M52">
            <v>442000</v>
          </cell>
          <cell r="N52">
            <v>442000</v>
          </cell>
          <cell r="O52">
            <v>442000</v>
          </cell>
          <cell r="P52">
            <v>442000</v>
          </cell>
          <cell r="Q52">
            <v>442000</v>
          </cell>
        </row>
        <row r="53">
          <cell r="A53" t="str">
            <v>1987</v>
          </cell>
          <cell r="B53" t="str">
            <v>Above</v>
          </cell>
          <cell r="I53">
            <v>1116901</v>
          </cell>
          <cell r="J53">
            <v>1116901</v>
          </cell>
          <cell r="K53">
            <v>1116901</v>
          </cell>
          <cell r="L53">
            <v>1116901</v>
          </cell>
          <cell r="M53">
            <v>1116901</v>
          </cell>
          <cell r="N53">
            <v>1116901</v>
          </cell>
          <cell r="O53">
            <v>1116901</v>
          </cell>
          <cell r="P53">
            <v>1116901</v>
          </cell>
          <cell r="Q53">
            <v>1116901</v>
          </cell>
        </row>
        <row r="54">
          <cell r="A54" t="str">
            <v>1988</v>
          </cell>
          <cell r="B54" t="str">
            <v>Above</v>
          </cell>
          <cell r="I54">
            <v>2552332</v>
          </cell>
          <cell r="J54">
            <v>2552332</v>
          </cell>
          <cell r="K54">
            <v>2552332</v>
          </cell>
          <cell r="L54">
            <v>2552332</v>
          </cell>
          <cell r="M54">
            <v>2552332</v>
          </cell>
          <cell r="N54">
            <v>2552332</v>
          </cell>
          <cell r="O54">
            <v>2552332</v>
          </cell>
          <cell r="P54">
            <v>2552332</v>
          </cell>
          <cell r="Q54">
            <v>2552332</v>
          </cell>
        </row>
        <row r="55">
          <cell r="A55" t="str">
            <v xml:space="preserve">     Total</v>
          </cell>
          <cell r="I55">
            <v>4519233</v>
          </cell>
          <cell r="J55">
            <v>4519233</v>
          </cell>
          <cell r="K55">
            <v>4519233</v>
          </cell>
          <cell r="L55">
            <v>4519233</v>
          </cell>
          <cell r="M55">
            <v>4519233</v>
          </cell>
          <cell r="N55">
            <v>4519233</v>
          </cell>
          <cell r="O55">
            <v>4519233</v>
          </cell>
          <cell r="P55">
            <v>4519233</v>
          </cell>
          <cell r="Q55">
            <v>4519233</v>
          </cell>
        </row>
        <row r="57">
          <cell r="A57" t="str">
            <v>Average Gross Receipts:</v>
          </cell>
        </row>
        <row r="58">
          <cell r="A58" t="str">
            <v>1986</v>
          </cell>
          <cell r="B58" t="str">
            <v>Above</v>
          </cell>
          <cell r="I58">
            <v>442000</v>
          </cell>
        </row>
        <row r="59">
          <cell r="A59" t="str">
            <v>1987</v>
          </cell>
          <cell r="B59" t="str">
            <v>Above</v>
          </cell>
          <cell r="I59">
            <v>1116901</v>
          </cell>
          <cell r="J59">
            <v>1116901</v>
          </cell>
        </row>
        <row r="60">
          <cell r="A60" t="str">
            <v>1988</v>
          </cell>
          <cell r="B60" t="str">
            <v>Above</v>
          </cell>
          <cell r="I60">
            <v>2552332</v>
          </cell>
          <cell r="J60">
            <v>2552332</v>
          </cell>
          <cell r="K60">
            <v>2552332</v>
          </cell>
        </row>
        <row r="61">
          <cell r="A61" t="str">
            <v>1989</v>
          </cell>
          <cell r="B61" t="str">
            <v>Above</v>
          </cell>
          <cell r="I61">
            <v>2546075</v>
          </cell>
          <cell r="J61">
            <v>2546075</v>
          </cell>
          <cell r="K61">
            <v>2546075</v>
          </cell>
          <cell r="L61">
            <v>2546075</v>
          </cell>
        </row>
        <row r="62">
          <cell r="A62" t="str">
            <v>1990</v>
          </cell>
          <cell r="B62" t="str">
            <v>Above</v>
          </cell>
          <cell r="J62">
            <v>4736970</v>
          </cell>
          <cell r="K62">
            <v>4736970</v>
          </cell>
          <cell r="L62">
            <v>4736970</v>
          </cell>
          <cell r="M62">
            <v>4736970</v>
          </cell>
        </row>
        <row r="63">
          <cell r="A63" t="str">
            <v>1991</v>
          </cell>
          <cell r="B63" t="str">
            <v>Above</v>
          </cell>
          <cell r="K63">
            <v>5908119</v>
          </cell>
          <cell r="L63">
            <v>5908119</v>
          </cell>
          <cell r="M63">
            <v>5908119</v>
          </cell>
          <cell r="N63">
            <v>5908119</v>
          </cell>
        </row>
        <row r="64">
          <cell r="A64" t="str">
            <v>1992</v>
          </cell>
          <cell r="B64" t="str">
            <v>Above</v>
          </cell>
          <cell r="L64">
            <v>8087866</v>
          </cell>
          <cell r="M64">
            <v>8087866</v>
          </cell>
          <cell r="N64">
            <v>8087866</v>
          </cell>
          <cell r="O64">
            <v>8087866</v>
          </cell>
        </row>
        <row r="65">
          <cell r="A65" t="str">
            <v>1993</v>
          </cell>
          <cell r="B65" t="str">
            <v>Above</v>
          </cell>
          <cell r="M65">
            <v>20292732</v>
          </cell>
          <cell r="N65">
            <v>20292732</v>
          </cell>
          <cell r="O65">
            <v>20292732</v>
          </cell>
          <cell r="P65">
            <v>20292732</v>
          </cell>
        </row>
        <row r="66">
          <cell r="A66" t="str">
            <v>1994</v>
          </cell>
          <cell r="B66" t="str">
            <v>Above</v>
          </cell>
          <cell r="N66">
            <v>25649583</v>
          </cell>
          <cell r="O66">
            <v>25649583</v>
          </cell>
          <cell r="P66">
            <v>25649583</v>
          </cell>
          <cell r="Q66">
            <v>25649583</v>
          </cell>
        </row>
        <row r="67">
          <cell r="A67" t="str">
            <v>1995</v>
          </cell>
          <cell r="B67" t="str">
            <v>Above</v>
          </cell>
          <cell r="O67">
            <v>61615795</v>
          </cell>
          <cell r="P67">
            <v>61615795</v>
          </cell>
          <cell r="Q67">
            <v>61615795</v>
          </cell>
        </row>
        <row r="68">
          <cell r="A68" t="str">
            <v>1996</v>
          </cell>
          <cell r="B68" t="str">
            <v>Above</v>
          </cell>
          <cell r="P68">
            <v>18804582</v>
          </cell>
          <cell r="Q68">
            <v>18804582</v>
          </cell>
        </row>
        <row r="69">
          <cell r="A69" t="str">
            <v>1997</v>
          </cell>
          <cell r="B69" t="str">
            <v>Above</v>
          </cell>
          <cell r="Q69">
            <v>62236360</v>
          </cell>
        </row>
        <row r="70">
          <cell r="A70">
            <v>1998</v>
          </cell>
          <cell r="B70" t="str">
            <v>Above</v>
          </cell>
        </row>
        <row r="71">
          <cell r="A71" t="str">
            <v xml:space="preserve">     Total</v>
          </cell>
          <cell r="I71">
            <v>6657308</v>
          </cell>
          <cell r="J71">
            <v>10952278</v>
          </cell>
          <cell r="K71">
            <v>15743496</v>
          </cell>
          <cell r="L71">
            <v>21279030</v>
          </cell>
          <cell r="M71">
            <v>39025687</v>
          </cell>
          <cell r="N71">
            <v>59938300</v>
          </cell>
          <cell r="O71">
            <v>115645976</v>
          </cell>
          <cell r="P71">
            <v>126362692</v>
          </cell>
          <cell r="Q71">
            <v>168306320</v>
          </cell>
        </row>
        <row r="72">
          <cell r="A72" t="str">
            <v>Average Gross Receipts (/4)</v>
          </cell>
          <cell r="I72">
            <v>1664327</v>
          </cell>
          <cell r="J72">
            <v>2738069.5</v>
          </cell>
          <cell r="K72">
            <v>3935874</v>
          </cell>
          <cell r="L72">
            <v>5319757.5</v>
          </cell>
          <cell r="M72">
            <v>9756421.75</v>
          </cell>
          <cell r="N72">
            <v>14984575</v>
          </cell>
          <cell r="O72">
            <v>28911494</v>
          </cell>
          <cell r="P72">
            <v>31590673</v>
          </cell>
          <cell r="Q72">
            <v>42076580</v>
          </cell>
        </row>
        <row r="74">
          <cell r="A74" t="str">
            <v xml:space="preserve"> </v>
          </cell>
        </row>
        <row r="75">
          <cell r="A75" t="str">
            <v xml:space="preserve"> </v>
          </cell>
        </row>
        <row r="76">
          <cell r="A76" t="str">
            <v>Schedule CC2</v>
          </cell>
          <cell r="P76">
            <v>36599.437053703703</v>
          </cell>
          <cell r="Q76">
            <v>36599.437053703703</v>
          </cell>
        </row>
        <row r="77">
          <cell r="A77" t="str">
            <v>Agouron Pharmaceuticals, Inc.</v>
          </cell>
        </row>
        <row r="78">
          <cell r="A78" t="str">
            <v>1998 CA R&amp;D Credit Calculation</v>
          </cell>
        </row>
        <row r="79">
          <cell r="A79" t="str">
            <v>Calculation of R&amp;D Expenditures (QRE) by Year</v>
          </cell>
        </row>
        <row r="81">
          <cell r="A81" t="str">
            <v>R&amp;D EXPENDITURES (QRE)</v>
          </cell>
          <cell r="B81" t="str">
            <v>W/P Ref</v>
          </cell>
          <cell r="C81" t="str">
            <v>1984</v>
          </cell>
          <cell r="D81" t="str">
            <v>1985</v>
          </cell>
          <cell r="E81" t="str">
            <v>1986</v>
          </cell>
          <cell r="F81" t="str">
            <v>1987</v>
          </cell>
          <cell r="G81" t="str">
            <v>1988</v>
          </cell>
          <cell r="H81" t="str">
            <v>1989</v>
          </cell>
          <cell r="I81" t="str">
            <v>1990</v>
          </cell>
          <cell r="J81" t="str">
            <v>1991</v>
          </cell>
          <cell r="K81" t="str">
            <v>1992</v>
          </cell>
          <cell r="L81" t="str">
            <v>1993</v>
          </cell>
          <cell r="M81" t="str">
            <v>1994</v>
          </cell>
          <cell r="N81" t="str">
            <v>1995</v>
          </cell>
          <cell r="O81" t="str">
            <v>1996</v>
          </cell>
          <cell r="P81" t="str">
            <v>1997</v>
          </cell>
          <cell r="Q81" t="str">
            <v>1998</v>
          </cell>
        </row>
        <row r="82">
          <cell r="A82" t="str">
            <v>Per Supporting Schedule</v>
          </cell>
          <cell r="B82" t="str">
            <v>QRE1</v>
          </cell>
          <cell r="C82">
            <v>20127</v>
          </cell>
          <cell r="D82">
            <v>63138</v>
          </cell>
          <cell r="E82">
            <v>500401</v>
          </cell>
          <cell r="F82">
            <v>1329416</v>
          </cell>
          <cell r="G82">
            <v>3373992</v>
          </cell>
          <cell r="H82">
            <v>3881959</v>
          </cell>
          <cell r="I82">
            <v>3454243.852</v>
          </cell>
          <cell r="J82">
            <v>5569741.7879999997</v>
          </cell>
          <cell r="K82">
            <v>7927846.0099999998</v>
          </cell>
          <cell r="L82">
            <v>11613530.587000001</v>
          </cell>
          <cell r="M82">
            <v>19707135.007000003</v>
          </cell>
          <cell r="N82">
            <v>35935120.957800001</v>
          </cell>
          <cell r="O82">
            <v>25478958.238794774</v>
          </cell>
          <cell r="P82">
            <v>58157347.527499996</v>
          </cell>
          <cell r="Q82">
            <v>56448709.302500002</v>
          </cell>
        </row>
        <row r="83">
          <cell r="A83" t="str">
            <v xml:space="preserve">  Adjustments:</v>
          </cell>
        </row>
        <row r="86">
          <cell r="A86" t="str">
            <v>Total before Yr by Yr Adj</v>
          </cell>
          <cell r="C86">
            <v>20127</v>
          </cell>
          <cell r="D86">
            <v>63138</v>
          </cell>
          <cell r="E86">
            <v>500401</v>
          </cell>
          <cell r="F86">
            <v>1329416</v>
          </cell>
          <cell r="G86">
            <v>3373992</v>
          </cell>
          <cell r="H86">
            <v>3881959</v>
          </cell>
          <cell r="I86">
            <v>3454243.852</v>
          </cell>
          <cell r="J86">
            <v>5569741.7879999997</v>
          </cell>
          <cell r="K86">
            <v>7927846.0099999998</v>
          </cell>
          <cell r="L86">
            <v>11613530.587000001</v>
          </cell>
          <cell r="M86">
            <v>19707135.007000003</v>
          </cell>
          <cell r="N86">
            <v>35935120.957800001</v>
          </cell>
          <cell r="O86">
            <v>25478958.238794774</v>
          </cell>
          <cell r="P86">
            <v>58157347.527499996</v>
          </cell>
          <cell r="Q86">
            <v>56448709.302500002</v>
          </cell>
        </row>
        <row r="87">
          <cell r="A87" t="str">
            <v xml:space="preserve">  Adjustments:</v>
          </cell>
        </row>
        <row r="90">
          <cell r="A90" t="str">
            <v>Total for 1990</v>
          </cell>
          <cell r="C90">
            <v>20127</v>
          </cell>
          <cell r="D90">
            <v>63138</v>
          </cell>
          <cell r="E90">
            <v>500401</v>
          </cell>
          <cell r="F90">
            <v>1329416</v>
          </cell>
          <cell r="G90">
            <v>3373992</v>
          </cell>
          <cell r="H90">
            <v>3881959</v>
          </cell>
          <cell r="I90">
            <v>3454243.852</v>
          </cell>
          <cell r="J90">
            <v>5569741.7879999997</v>
          </cell>
          <cell r="K90">
            <v>7927846.0099999998</v>
          </cell>
          <cell r="L90">
            <v>11613530.587000001</v>
          </cell>
          <cell r="M90">
            <v>19707135.007000003</v>
          </cell>
          <cell r="N90">
            <v>35935120.957800001</v>
          </cell>
          <cell r="O90">
            <v>25478958.238794774</v>
          </cell>
          <cell r="P90">
            <v>58157347.527499996</v>
          </cell>
          <cell r="Q90">
            <v>56448709.302500002</v>
          </cell>
        </row>
        <row r="91">
          <cell r="A91" t="str">
            <v xml:space="preserve">  Adjustments:</v>
          </cell>
        </row>
        <row r="94">
          <cell r="A94" t="str">
            <v>Total For  1991</v>
          </cell>
          <cell r="C94">
            <v>20127</v>
          </cell>
          <cell r="D94">
            <v>63138</v>
          </cell>
          <cell r="E94">
            <v>500401</v>
          </cell>
          <cell r="F94">
            <v>1329416</v>
          </cell>
          <cell r="G94">
            <v>3373992</v>
          </cell>
          <cell r="H94">
            <v>3881959</v>
          </cell>
          <cell r="I94">
            <v>3454243.852</v>
          </cell>
          <cell r="J94">
            <v>5569741.7879999997</v>
          </cell>
          <cell r="K94">
            <v>7927846.0099999998</v>
          </cell>
          <cell r="L94">
            <v>11613530.587000001</v>
          </cell>
          <cell r="M94">
            <v>19707135.007000003</v>
          </cell>
          <cell r="N94">
            <v>35935120.957800001</v>
          </cell>
          <cell r="O94">
            <v>25478958.238794774</v>
          </cell>
          <cell r="P94">
            <v>58157347.527499996</v>
          </cell>
          <cell r="Q94">
            <v>56448709.302500002</v>
          </cell>
        </row>
        <row r="95">
          <cell r="A95" t="str">
            <v xml:space="preserve">  Adjustments:</v>
          </cell>
        </row>
        <row r="98">
          <cell r="A98" t="str">
            <v>Total For 1992</v>
          </cell>
          <cell r="C98">
            <v>20127</v>
          </cell>
          <cell r="D98">
            <v>63138</v>
          </cell>
          <cell r="E98">
            <v>500401</v>
          </cell>
          <cell r="F98">
            <v>1329416</v>
          </cell>
          <cell r="G98">
            <v>3373992</v>
          </cell>
          <cell r="H98">
            <v>3881959</v>
          </cell>
          <cell r="I98">
            <v>3454243.852</v>
          </cell>
          <cell r="J98">
            <v>5569741.7879999997</v>
          </cell>
          <cell r="K98">
            <v>7927846.0099999998</v>
          </cell>
          <cell r="L98">
            <v>11613530.587000001</v>
          </cell>
          <cell r="M98">
            <v>19707135.007000003</v>
          </cell>
          <cell r="N98">
            <v>35935120.957800001</v>
          </cell>
          <cell r="O98">
            <v>25478958.238794774</v>
          </cell>
          <cell r="P98">
            <v>58157347.527499996</v>
          </cell>
          <cell r="Q98">
            <v>56448709.302500002</v>
          </cell>
        </row>
        <row r="99">
          <cell r="A99" t="str">
            <v xml:space="preserve">  Adjustments:</v>
          </cell>
        </row>
        <row r="101">
          <cell r="A101" t="str">
            <v>Total For 1993</v>
          </cell>
          <cell r="C101">
            <v>20127</v>
          </cell>
          <cell r="D101">
            <v>63138</v>
          </cell>
          <cell r="E101">
            <v>500401</v>
          </cell>
          <cell r="F101">
            <v>1329416</v>
          </cell>
          <cell r="G101">
            <v>3373992</v>
          </cell>
          <cell r="H101">
            <v>3881959</v>
          </cell>
          <cell r="I101">
            <v>3454243.852</v>
          </cell>
          <cell r="J101">
            <v>5569741.7879999997</v>
          </cell>
          <cell r="K101">
            <v>7927846.0099999998</v>
          </cell>
          <cell r="L101">
            <v>11613530.587000001</v>
          </cell>
          <cell r="M101">
            <v>19707135.007000003</v>
          </cell>
          <cell r="N101">
            <v>35935120.957800001</v>
          </cell>
          <cell r="O101">
            <v>25478958.238794774</v>
          </cell>
          <cell r="P101">
            <v>58157347.527499996</v>
          </cell>
          <cell r="Q101">
            <v>56448709.302500002</v>
          </cell>
        </row>
        <row r="102">
          <cell r="A102" t="str">
            <v xml:space="preserve">  Adjustments:</v>
          </cell>
        </row>
        <row r="105">
          <cell r="A105" t="str">
            <v>Total For 1994</v>
          </cell>
          <cell r="C105">
            <v>20127</v>
          </cell>
          <cell r="D105">
            <v>63138</v>
          </cell>
          <cell r="E105">
            <v>500401</v>
          </cell>
          <cell r="F105">
            <v>1329416</v>
          </cell>
          <cell r="G105">
            <v>3373992</v>
          </cell>
          <cell r="H105">
            <v>3881959</v>
          </cell>
          <cell r="I105">
            <v>3454243.852</v>
          </cell>
          <cell r="J105">
            <v>5569741.7879999997</v>
          </cell>
          <cell r="K105">
            <v>7927846.0099999998</v>
          </cell>
          <cell r="L105">
            <v>11613530.587000001</v>
          </cell>
          <cell r="M105">
            <v>19707135.007000003</v>
          </cell>
          <cell r="N105">
            <v>35935120.957800001</v>
          </cell>
          <cell r="O105">
            <v>25478958.238794774</v>
          </cell>
          <cell r="P105">
            <v>58157347.527499996</v>
          </cell>
          <cell r="Q105">
            <v>56448709.302500002</v>
          </cell>
        </row>
        <row r="106">
          <cell r="A106" t="str">
            <v xml:space="preserve">  Adjustments:</v>
          </cell>
        </row>
        <row r="109">
          <cell r="A109" t="str">
            <v>Total For 1995</v>
          </cell>
          <cell r="C109">
            <v>20127</v>
          </cell>
          <cell r="D109">
            <v>63138</v>
          </cell>
          <cell r="E109">
            <v>500401</v>
          </cell>
          <cell r="F109">
            <v>1329416</v>
          </cell>
          <cell r="G109">
            <v>3373992</v>
          </cell>
          <cell r="H109">
            <v>3881959</v>
          </cell>
          <cell r="I109">
            <v>3454243.852</v>
          </cell>
          <cell r="J109">
            <v>5569741.7879999997</v>
          </cell>
          <cell r="K109">
            <v>7927846.0099999998</v>
          </cell>
          <cell r="L109">
            <v>11613530.587000001</v>
          </cell>
          <cell r="M109">
            <v>19707135.007000003</v>
          </cell>
          <cell r="N109">
            <v>35935120.957800001</v>
          </cell>
          <cell r="O109">
            <v>25478958.238794774</v>
          </cell>
          <cell r="P109">
            <v>58157347.527499996</v>
          </cell>
          <cell r="Q109">
            <v>56448709.302500002</v>
          </cell>
        </row>
        <row r="110">
          <cell r="A110" t="str">
            <v xml:space="preserve">  Adjustments:</v>
          </cell>
        </row>
        <row r="111">
          <cell r="A111" t="str">
            <v>REIS</v>
          </cell>
          <cell r="C111">
            <v>0</v>
          </cell>
          <cell r="D111">
            <v>0</v>
          </cell>
          <cell r="E111">
            <v>0</v>
          </cell>
          <cell r="F111">
            <v>0</v>
          </cell>
          <cell r="G111">
            <v>0</v>
          </cell>
        </row>
        <row r="113">
          <cell r="A113" t="str">
            <v>Total For 1996</v>
          </cell>
          <cell r="C113">
            <v>20127</v>
          </cell>
          <cell r="D113">
            <v>63138</v>
          </cell>
          <cell r="E113">
            <v>500401</v>
          </cell>
          <cell r="F113">
            <v>1329416</v>
          </cell>
          <cell r="G113">
            <v>3373992</v>
          </cell>
          <cell r="H113">
            <v>3881959</v>
          </cell>
          <cell r="I113">
            <v>3454243.852</v>
          </cell>
          <cell r="J113">
            <v>5569741.7879999997</v>
          </cell>
          <cell r="K113">
            <v>7927846.0099999998</v>
          </cell>
          <cell r="L113">
            <v>11613530.587000001</v>
          </cell>
          <cell r="M113">
            <v>19707135.007000003</v>
          </cell>
          <cell r="N113">
            <v>35935120.957800001</v>
          </cell>
          <cell r="O113">
            <v>25478958.238794774</v>
          </cell>
          <cell r="P113">
            <v>58157347.527499996</v>
          </cell>
          <cell r="Q113">
            <v>56448709.302500002</v>
          </cell>
        </row>
        <row r="114">
          <cell r="A114" t="str">
            <v xml:space="preserve">  Adjustments:</v>
          </cell>
        </row>
        <row r="115">
          <cell r="A115" t="str">
            <v>REIS</v>
          </cell>
          <cell r="C115">
            <v>0</v>
          </cell>
          <cell r="D115">
            <v>0</v>
          </cell>
          <cell r="E115">
            <v>0</v>
          </cell>
          <cell r="F115">
            <v>0</v>
          </cell>
          <cell r="G115">
            <v>0</v>
          </cell>
        </row>
        <row r="116">
          <cell r="A116" t="str">
            <v>DMT</v>
          </cell>
          <cell r="C116">
            <v>0</v>
          </cell>
          <cell r="D116">
            <v>0</v>
          </cell>
          <cell r="E116">
            <v>0</v>
          </cell>
          <cell r="F116">
            <v>0</v>
          </cell>
          <cell r="G116">
            <v>0</v>
          </cell>
          <cell r="O116">
            <v>0</v>
          </cell>
          <cell r="P116">
            <v>0</v>
          </cell>
          <cell r="Q116">
            <v>0</v>
          </cell>
        </row>
        <row r="117">
          <cell r="A117" t="str">
            <v>BRIGAR</v>
          </cell>
          <cell r="C117">
            <v>0</v>
          </cell>
          <cell r="D117">
            <v>0</v>
          </cell>
          <cell r="E117">
            <v>0</v>
          </cell>
          <cell r="F117">
            <v>0</v>
          </cell>
          <cell r="G117">
            <v>0</v>
          </cell>
          <cell r="O117">
            <v>0</v>
          </cell>
          <cell r="P117">
            <v>0</v>
          </cell>
          <cell r="Q117">
            <v>0</v>
          </cell>
        </row>
        <row r="119">
          <cell r="A119" t="str">
            <v>Total For 1997</v>
          </cell>
          <cell r="C119">
            <v>20127</v>
          </cell>
          <cell r="D119">
            <v>63138</v>
          </cell>
          <cell r="E119">
            <v>500401</v>
          </cell>
          <cell r="F119">
            <v>1329416</v>
          </cell>
          <cell r="G119">
            <v>3373992</v>
          </cell>
          <cell r="H119">
            <v>3881959</v>
          </cell>
          <cell r="I119">
            <v>3454243.852</v>
          </cell>
          <cell r="J119">
            <v>5569741.7879999997</v>
          </cell>
          <cell r="K119">
            <v>7927846.0099999998</v>
          </cell>
          <cell r="L119">
            <v>11613530.587000001</v>
          </cell>
          <cell r="M119">
            <v>19707135.007000003</v>
          </cell>
          <cell r="N119">
            <v>35935120.957800001</v>
          </cell>
          <cell r="O119">
            <v>25478958.238794774</v>
          </cell>
          <cell r="P119">
            <v>58157347.527499996</v>
          </cell>
          <cell r="Q119">
            <v>56448709.302500002</v>
          </cell>
        </row>
        <row r="120">
          <cell r="A120" t="str">
            <v xml:space="preserve">  Adjustments:</v>
          </cell>
        </row>
        <row r="121">
          <cell r="A121" t="str">
            <v>Metromail</v>
          </cell>
          <cell r="C121">
            <v>0</v>
          </cell>
          <cell r="D121">
            <v>0</v>
          </cell>
          <cell r="E121">
            <v>0</v>
          </cell>
          <cell r="F121">
            <v>0</v>
          </cell>
          <cell r="G121">
            <v>0</v>
          </cell>
        </row>
        <row r="123">
          <cell r="A123" t="str">
            <v>Total For 1998</v>
          </cell>
          <cell r="C123">
            <v>20127</v>
          </cell>
          <cell r="D123">
            <v>63138</v>
          </cell>
          <cell r="E123">
            <v>500401</v>
          </cell>
          <cell r="F123">
            <v>1329416</v>
          </cell>
          <cell r="G123">
            <v>3373992</v>
          </cell>
          <cell r="H123">
            <v>3881959</v>
          </cell>
          <cell r="I123">
            <v>3454243.852</v>
          </cell>
          <cell r="J123">
            <v>5569741.7879999997</v>
          </cell>
          <cell r="K123">
            <v>7927846.0099999998</v>
          </cell>
          <cell r="L123">
            <v>11613530.587000001</v>
          </cell>
          <cell r="M123">
            <v>19707135.007000003</v>
          </cell>
          <cell r="N123">
            <v>35935120.957800001</v>
          </cell>
          <cell r="O123">
            <v>25478958.238794774</v>
          </cell>
          <cell r="P123">
            <v>58157347.527499996</v>
          </cell>
          <cell r="Q123">
            <v>56448709.302500002</v>
          </cell>
        </row>
        <row r="125">
          <cell r="A125" t="str">
            <v>Base Period QRE:</v>
          </cell>
          <cell r="I125" t="str">
            <v>1990</v>
          </cell>
          <cell r="J125" t="str">
            <v>1991</v>
          </cell>
          <cell r="K125" t="str">
            <v>1992</v>
          </cell>
          <cell r="L125" t="str">
            <v>1993</v>
          </cell>
          <cell r="M125" t="str">
            <v>1994</v>
          </cell>
          <cell r="N125" t="str">
            <v>1995</v>
          </cell>
          <cell r="O125" t="str">
            <v>1996</v>
          </cell>
          <cell r="P125" t="str">
            <v>1997</v>
          </cell>
          <cell r="Q125" t="str">
            <v>1998</v>
          </cell>
        </row>
        <row r="126">
          <cell r="A126" t="str">
            <v>1984</v>
          </cell>
          <cell r="B126" t="str">
            <v>Above</v>
          </cell>
          <cell r="I126">
            <v>20127</v>
          </cell>
          <cell r="J126">
            <v>20127</v>
          </cell>
          <cell r="K126">
            <v>20127</v>
          </cell>
          <cell r="L126">
            <v>20127</v>
          </cell>
          <cell r="M126">
            <v>20127</v>
          </cell>
          <cell r="N126">
            <v>20127</v>
          </cell>
          <cell r="O126">
            <v>20127</v>
          </cell>
          <cell r="P126">
            <v>20127</v>
          </cell>
          <cell r="Q126">
            <v>20127</v>
          </cell>
        </row>
        <row r="127">
          <cell r="A127" t="str">
            <v>1985</v>
          </cell>
          <cell r="B127" t="str">
            <v>Above</v>
          </cell>
          <cell r="I127">
            <v>63138</v>
          </cell>
          <cell r="J127">
            <v>63138</v>
          </cell>
          <cell r="K127">
            <v>63138</v>
          </cell>
          <cell r="L127">
            <v>63138</v>
          </cell>
          <cell r="M127">
            <v>63138</v>
          </cell>
          <cell r="N127">
            <v>63138</v>
          </cell>
          <cell r="O127">
            <v>63138</v>
          </cell>
          <cell r="P127">
            <v>63138</v>
          </cell>
          <cell r="Q127">
            <v>63138</v>
          </cell>
        </row>
        <row r="128">
          <cell r="A128" t="str">
            <v>1986</v>
          </cell>
          <cell r="B128" t="str">
            <v>Above</v>
          </cell>
          <cell r="I128">
            <v>500401</v>
          </cell>
          <cell r="J128">
            <v>500401</v>
          </cell>
          <cell r="K128">
            <v>500401</v>
          </cell>
          <cell r="L128">
            <v>500401</v>
          </cell>
          <cell r="M128">
            <v>500401</v>
          </cell>
          <cell r="N128">
            <v>500401</v>
          </cell>
          <cell r="O128">
            <v>500401</v>
          </cell>
          <cell r="P128">
            <v>500401</v>
          </cell>
          <cell r="Q128">
            <v>500401</v>
          </cell>
        </row>
        <row r="129">
          <cell r="A129" t="str">
            <v>1987</v>
          </cell>
          <cell r="B129" t="str">
            <v>Above</v>
          </cell>
          <cell r="I129">
            <v>1329416</v>
          </cell>
          <cell r="J129">
            <v>1329416</v>
          </cell>
          <cell r="K129">
            <v>1329416</v>
          </cell>
          <cell r="L129">
            <v>1329416</v>
          </cell>
          <cell r="M129">
            <v>1329416</v>
          </cell>
          <cell r="N129">
            <v>1329416</v>
          </cell>
          <cell r="O129">
            <v>1329416</v>
          </cell>
          <cell r="P129">
            <v>1329416</v>
          </cell>
          <cell r="Q129">
            <v>1329416</v>
          </cell>
        </row>
        <row r="130">
          <cell r="A130" t="str">
            <v>1988</v>
          </cell>
          <cell r="B130" t="str">
            <v>Above</v>
          </cell>
          <cell r="I130">
            <v>3373992</v>
          </cell>
          <cell r="J130">
            <v>3373992</v>
          </cell>
          <cell r="K130">
            <v>3373992</v>
          </cell>
          <cell r="L130">
            <v>3373992</v>
          </cell>
          <cell r="M130">
            <v>3373992</v>
          </cell>
          <cell r="N130">
            <v>3373992</v>
          </cell>
          <cell r="O130">
            <v>3373992</v>
          </cell>
          <cell r="P130">
            <v>3373992</v>
          </cell>
          <cell r="Q130">
            <v>3373992</v>
          </cell>
        </row>
        <row r="131">
          <cell r="A131" t="str">
            <v xml:space="preserve">     Total</v>
          </cell>
          <cell r="I131">
            <v>5287074</v>
          </cell>
          <cell r="J131">
            <v>5287074</v>
          </cell>
          <cell r="K131">
            <v>5287074</v>
          </cell>
          <cell r="L131">
            <v>5287074</v>
          </cell>
          <cell r="M131">
            <v>5287074</v>
          </cell>
          <cell r="N131">
            <v>5287074</v>
          </cell>
          <cell r="O131">
            <v>5287074</v>
          </cell>
          <cell r="P131">
            <v>5287074</v>
          </cell>
          <cell r="Q131">
            <v>5287074</v>
          </cell>
        </row>
        <row r="134">
          <cell r="A134" t="str">
            <v>Fixed Base Percentage:</v>
          </cell>
        </row>
        <row r="135">
          <cell r="A135" t="str">
            <v xml:space="preserve">  Base Period QRE</v>
          </cell>
          <cell r="B135" t="str">
            <v>Above</v>
          </cell>
          <cell r="I135">
            <v>5287074</v>
          </cell>
          <cell r="J135">
            <v>5287074</v>
          </cell>
          <cell r="K135">
            <v>5287074</v>
          </cell>
          <cell r="L135">
            <v>5287074</v>
          </cell>
          <cell r="M135">
            <v>5287074</v>
          </cell>
          <cell r="N135">
            <v>5287074</v>
          </cell>
          <cell r="O135">
            <v>5287074</v>
          </cell>
          <cell r="P135">
            <v>5287074</v>
          </cell>
          <cell r="Q135">
            <v>5287074</v>
          </cell>
        </row>
        <row r="136">
          <cell r="A136" t="str">
            <v xml:space="preserve">  Base Period Gr Rec</v>
          </cell>
          <cell r="B136" t="str">
            <v>CC1</v>
          </cell>
          <cell r="I136">
            <v>4519233</v>
          </cell>
          <cell r="J136">
            <v>4519233</v>
          </cell>
          <cell r="K136">
            <v>4519233</v>
          </cell>
          <cell r="L136">
            <v>4519233</v>
          </cell>
          <cell r="M136">
            <v>4519233</v>
          </cell>
          <cell r="N136">
            <v>4519233</v>
          </cell>
          <cell r="O136">
            <v>4519233</v>
          </cell>
          <cell r="P136">
            <v>4519233</v>
          </cell>
          <cell r="Q136">
            <v>4519233</v>
          </cell>
        </row>
        <row r="137">
          <cell r="A137" t="str">
            <v xml:space="preserve">     Fixed Base % (QRE/GR)</v>
          </cell>
          <cell r="B137" t="str">
            <v>(A)</v>
          </cell>
          <cell r="C137" t="str">
            <v>(Note:  The FB% is automatically limited to the maximum of 16%.)</v>
          </cell>
          <cell r="I137">
            <v>0.16</v>
          </cell>
          <cell r="J137">
            <v>0.16</v>
          </cell>
          <cell r="K137">
            <v>0.16</v>
          </cell>
          <cell r="L137">
            <v>0.16</v>
          </cell>
          <cell r="M137">
            <v>0.16</v>
          </cell>
          <cell r="N137">
            <v>0.16</v>
          </cell>
          <cell r="O137">
            <v>0.16</v>
          </cell>
          <cell r="P137">
            <v>0.03</v>
          </cell>
          <cell r="Q137">
            <v>0.03</v>
          </cell>
        </row>
        <row r="140">
          <cell r="A140" t="str">
            <v>Fixed Base Amount:</v>
          </cell>
        </row>
        <row r="141">
          <cell r="A141" t="str">
            <v xml:space="preserve">  Avg Gross Receipts</v>
          </cell>
          <cell r="B141" t="str">
            <v>CC1</v>
          </cell>
          <cell r="I141">
            <v>1664327</v>
          </cell>
          <cell r="J141">
            <v>2738069.5</v>
          </cell>
          <cell r="K141">
            <v>3935874</v>
          </cell>
          <cell r="L141">
            <v>5319757.5</v>
          </cell>
          <cell r="M141">
            <v>9756421.75</v>
          </cell>
          <cell r="N141">
            <v>14984575</v>
          </cell>
          <cell r="O141">
            <v>28911494</v>
          </cell>
          <cell r="P141">
            <v>31590673</v>
          </cell>
          <cell r="Q141">
            <v>42076580</v>
          </cell>
        </row>
        <row r="142">
          <cell r="A142" t="str">
            <v xml:space="preserve">  Fixed Base % (above)</v>
          </cell>
          <cell r="B142" t="str">
            <v>(A)</v>
          </cell>
          <cell r="I142">
            <v>0.16</v>
          </cell>
          <cell r="J142">
            <v>0.16</v>
          </cell>
          <cell r="K142">
            <v>0.16</v>
          </cell>
          <cell r="L142">
            <v>0.16</v>
          </cell>
          <cell r="M142">
            <v>0.16</v>
          </cell>
          <cell r="N142">
            <v>0.16</v>
          </cell>
          <cell r="O142">
            <v>0.16</v>
          </cell>
          <cell r="P142">
            <v>0.03</v>
          </cell>
          <cell r="Q142">
            <v>0.03</v>
          </cell>
        </row>
        <row r="143">
          <cell r="A143" t="str">
            <v xml:space="preserve">    Base Amt (AGR*FB%)</v>
          </cell>
          <cell r="I143">
            <v>266292.32</v>
          </cell>
          <cell r="J143">
            <v>438091.12</v>
          </cell>
          <cell r="K143">
            <v>629739.84</v>
          </cell>
          <cell r="L143">
            <v>851161.20000000007</v>
          </cell>
          <cell r="M143">
            <v>1561027.48</v>
          </cell>
          <cell r="N143">
            <v>2397532</v>
          </cell>
          <cell r="O143">
            <v>4625839.04</v>
          </cell>
          <cell r="P143">
            <v>947720.19</v>
          </cell>
          <cell r="Q143">
            <v>1262297.3999999999</v>
          </cell>
        </row>
        <row r="145">
          <cell r="A145" t="str">
            <v xml:space="preserve"> *** C A U T I O N *** :  ALL TOTALS AND SUBTOTALS ARE SENSITIVE TO EXISTING LOCATIONS OF ROWS AND COLUMNS !!!</v>
          </cell>
        </row>
        <row r="146">
          <cell r="A146" t="str">
            <v xml:space="preserve">                                       IF ANY ELEMENTS OF EXISTING FORMATS ARE CHANGED, ALL TOTALS AND SUBTOTALS MUST BE CHECKED !!!</v>
          </cell>
        </row>
        <row r="152">
          <cell r="A152">
            <v>0</v>
          </cell>
          <cell r="P152">
            <v>36599.437053703703</v>
          </cell>
          <cell r="Q152">
            <v>36599.437053703703</v>
          </cell>
        </row>
        <row r="153">
          <cell r="A153" t="str">
            <v>Agouron Pharmaceuticals, Inc.</v>
          </cell>
        </row>
        <row r="154">
          <cell r="A154" t="str">
            <v>R&amp;D Credit Calculation</v>
          </cell>
        </row>
        <row r="155">
          <cell r="A155" t="str">
            <v>Gross/Net Credit</v>
          </cell>
        </row>
        <row r="157">
          <cell r="A157" t="str">
            <v>R&amp;D TAX CREDIT:</v>
          </cell>
          <cell r="B157" t="str">
            <v>W/P Ref</v>
          </cell>
          <cell r="C157" t="str">
            <v>1984</v>
          </cell>
          <cell r="D157" t="str">
            <v>1985</v>
          </cell>
          <cell r="E157" t="str">
            <v>1986</v>
          </cell>
          <cell r="F157" t="str">
            <v>1987</v>
          </cell>
          <cell r="G157" t="str">
            <v>1988</v>
          </cell>
          <cell r="H157" t="str">
            <v>1989</v>
          </cell>
          <cell r="I157" t="str">
            <v>1990</v>
          </cell>
          <cell r="J157" t="str">
            <v>1991</v>
          </cell>
          <cell r="K157" t="str">
            <v>1992</v>
          </cell>
          <cell r="L157" t="str">
            <v>1993</v>
          </cell>
          <cell r="M157" t="str">
            <v>1994</v>
          </cell>
          <cell r="N157" t="str">
            <v>1995</v>
          </cell>
          <cell r="O157" t="str">
            <v>1996</v>
          </cell>
          <cell r="P157" t="str">
            <v>1997</v>
          </cell>
          <cell r="Q157" t="str">
            <v>1998</v>
          </cell>
        </row>
        <row r="158">
          <cell r="A158" t="str">
            <v>Current Yr QRE: (Post 1989)</v>
          </cell>
          <cell r="B158" t="str">
            <v>CC2</v>
          </cell>
          <cell r="I158">
            <v>3454243.852</v>
          </cell>
          <cell r="J158">
            <v>5569741.7879999997</v>
          </cell>
          <cell r="K158">
            <v>7927846.0099999998</v>
          </cell>
          <cell r="L158">
            <v>11613530.587000001</v>
          </cell>
          <cell r="M158">
            <v>19707135.007000003</v>
          </cell>
          <cell r="N158">
            <v>35935120.957800001</v>
          </cell>
          <cell r="O158">
            <v>25478958.238794774</v>
          </cell>
          <cell r="P158">
            <v>58157347.527499996</v>
          </cell>
          <cell r="Q158">
            <v>56448709.302500002</v>
          </cell>
        </row>
        <row r="160">
          <cell r="A160" t="str">
            <v xml:space="preserve">                               (Pre-1990)</v>
          </cell>
          <cell r="C160">
            <v>0</v>
          </cell>
          <cell r="D160">
            <v>0</v>
          </cell>
          <cell r="E160">
            <v>0</v>
          </cell>
          <cell r="F160">
            <v>0</v>
          </cell>
          <cell r="G160">
            <v>0</v>
          </cell>
          <cell r="H160">
            <v>0</v>
          </cell>
        </row>
        <row r="161">
          <cell r="A161" t="str">
            <v xml:space="preserve">Less Base Amount:  </v>
          </cell>
          <cell r="B161" t="str">
            <v>CC2</v>
          </cell>
          <cell r="I161">
            <v>266292.32</v>
          </cell>
          <cell r="J161">
            <v>438091.12</v>
          </cell>
          <cell r="K161">
            <v>629739.84</v>
          </cell>
          <cell r="L161">
            <v>851161.20000000007</v>
          </cell>
          <cell r="M161">
            <v>1561027.48</v>
          </cell>
          <cell r="N161">
            <v>2397532</v>
          </cell>
          <cell r="O161">
            <v>2451947.4692896176</v>
          </cell>
          <cell r="P161">
            <v>947720.19</v>
          </cell>
          <cell r="Q161">
            <v>1262297.3999999999</v>
          </cell>
        </row>
        <row r="162">
          <cell r="A162" t="str">
            <v xml:space="preserve">  1981 QREs</v>
          </cell>
          <cell r="C162">
            <v>0</v>
          </cell>
        </row>
        <row r="163">
          <cell r="A163" t="str">
            <v xml:space="preserve">  1982 QREs</v>
          </cell>
          <cell r="C163">
            <v>0</v>
          </cell>
          <cell r="D163">
            <v>0</v>
          </cell>
        </row>
        <row r="164">
          <cell r="A164" t="str">
            <v xml:space="preserve">  1983 QREs</v>
          </cell>
          <cell r="C164">
            <v>0</v>
          </cell>
          <cell r="D164">
            <v>0</v>
          </cell>
          <cell r="E164">
            <v>0</v>
          </cell>
        </row>
        <row r="165">
          <cell r="A165" t="str">
            <v xml:space="preserve">  1984 QREs</v>
          </cell>
          <cell r="D165">
            <v>0</v>
          </cell>
          <cell r="E165">
            <v>0</v>
          </cell>
          <cell r="F165">
            <v>0</v>
          </cell>
        </row>
        <row r="166">
          <cell r="A166" t="str">
            <v xml:space="preserve">  1985 QREs</v>
          </cell>
          <cell r="E166">
            <v>0</v>
          </cell>
          <cell r="F166">
            <v>0</v>
          </cell>
          <cell r="G166">
            <v>0</v>
          </cell>
        </row>
        <row r="167">
          <cell r="A167" t="str">
            <v xml:space="preserve">  1986 QREs</v>
          </cell>
          <cell r="F167">
            <v>0</v>
          </cell>
          <cell r="G167">
            <v>0</v>
          </cell>
          <cell r="H167">
            <v>0</v>
          </cell>
        </row>
        <row r="168">
          <cell r="A168" t="str">
            <v xml:space="preserve">  1987 QREs</v>
          </cell>
          <cell r="G168">
            <v>0</v>
          </cell>
          <cell r="H168">
            <v>0</v>
          </cell>
        </row>
        <row r="169">
          <cell r="A169" t="str">
            <v xml:space="preserve">  1988 QREs</v>
          </cell>
          <cell r="H169">
            <v>0</v>
          </cell>
        </row>
        <row r="170">
          <cell r="A170" t="str">
            <v xml:space="preserve">     Total</v>
          </cell>
          <cell r="C170">
            <v>0</v>
          </cell>
          <cell r="D170">
            <v>0</v>
          </cell>
          <cell r="E170">
            <v>0</v>
          </cell>
          <cell r="F170">
            <v>0</v>
          </cell>
          <cell r="G170">
            <v>0</v>
          </cell>
          <cell r="H170">
            <v>0</v>
          </cell>
        </row>
        <row r="171">
          <cell r="A171" t="str">
            <v>Base Amount (/ 3 THRU '89)</v>
          </cell>
          <cell r="C171">
            <v>0</v>
          </cell>
          <cell r="D171">
            <v>0</v>
          </cell>
          <cell r="E171">
            <v>0</v>
          </cell>
          <cell r="F171">
            <v>0</v>
          </cell>
          <cell r="G171">
            <v>0</v>
          </cell>
          <cell r="H171">
            <v>0</v>
          </cell>
          <cell r="I171">
            <v>266292.32</v>
          </cell>
          <cell r="J171">
            <v>438091.12</v>
          </cell>
          <cell r="K171">
            <v>629739.84</v>
          </cell>
          <cell r="L171">
            <v>851161.20000000007</v>
          </cell>
          <cell r="M171">
            <v>1561027.48</v>
          </cell>
          <cell r="N171">
            <v>2397532</v>
          </cell>
          <cell r="O171">
            <v>2451947.4692896176</v>
          </cell>
          <cell r="P171">
            <v>947720.19</v>
          </cell>
          <cell r="Q171">
            <v>1262297.3999999999</v>
          </cell>
        </row>
        <row r="172">
          <cell r="A172" t="str">
            <v>Curr Yr Less Base Amt      (X)</v>
          </cell>
          <cell r="C172">
            <v>0</v>
          </cell>
          <cell r="D172">
            <v>0</v>
          </cell>
          <cell r="E172">
            <v>0</v>
          </cell>
          <cell r="F172">
            <v>0</v>
          </cell>
          <cell r="G172">
            <v>0</v>
          </cell>
          <cell r="H172">
            <v>0</v>
          </cell>
          <cell r="I172">
            <v>3187951.5320000001</v>
          </cell>
          <cell r="J172">
            <v>5131650.6679999996</v>
          </cell>
          <cell r="K172">
            <v>7298106.1699999999</v>
          </cell>
          <cell r="L172">
            <v>10762369.387000002</v>
          </cell>
          <cell r="M172">
            <v>18146107.527000003</v>
          </cell>
          <cell r="N172">
            <v>33537588.957800001</v>
          </cell>
          <cell r="O172">
            <v>23027010.769505158</v>
          </cell>
          <cell r="P172">
            <v>57209627.337499999</v>
          </cell>
          <cell r="Q172">
            <v>55186411.902500004</v>
          </cell>
        </row>
        <row r="173">
          <cell r="A173" t="str">
            <v>50% of Current Year          (Y)</v>
          </cell>
          <cell r="C173">
            <v>0</v>
          </cell>
          <cell r="D173">
            <v>0</v>
          </cell>
          <cell r="E173">
            <v>0</v>
          </cell>
          <cell r="F173">
            <v>0</v>
          </cell>
          <cell r="G173">
            <v>0</v>
          </cell>
          <cell r="H173">
            <v>0</v>
          </cell>
          <cell r="I173">
            <v>1727121.926</v>
          </cell>
          <cell r="J173">
            <v>2784870.8939999999</v>
          </cell>
          <cell r="K173">
            <v>3963923.0049999999</v>
          </cell>
          <cell r="L173">
            <v>5806765.2935000006</v>
          </cell>
          <cell r="M173">
            <v>9853567.5035000015</v>
          </cell>
          <cell r="N173">
            <v>17967560.4789</v>
          </cell>
          <cell r="O173">
            <v>12739479.119397387</v>
          </cell>
          <cell r="P173">
            <v>29078673.763749998</v>
          </cell>
          <cell r="Q173">
            <v>28224354.651250001</v>
          </cell>
        </row>
        <row r="174">
          <cell r="A174" t="str">
            <v>Creditable Amt &lt; of (X) or (Y)</v>
          </cell>
          <cell r="C174">
            <v>0</v>
          </cell>
          <cell r="D174">
            <v>0</v>
          </cell>
          <cell r="E174">
            <v>0</v>
          </cell>
          <cell r="F174">
            <v>0</v>
          </cell>
          <cell r="G174">
            <v>0</v>
          </cell>
          <cell r="H174">
            <v>0</v>
          </cell>
          <cell r="I174">
            <v>1727121.926</v>
          </cell>
          <cell r="J174">
            <v>2784870.8939999999</v>
          </cell>
          <cell r="K174">
            <v>3963923.0049999999</v>
          </cell>
          <cell r="L174">
            <v>5806765.2935000006</v>
          </cell>
          <cell r="M174">
            <v>9853567.5035000015</v>
          </cell>
          <cell r="N174">
            <v>17967560.4789</v>
          </cell>
          <cell r="O174">
            <v>12739479.119397387</v>
          </cell>
          <cell r="P174">
            <v>29078673.763749998</v>
          </cell>
          <cell r="Q174">
            <v>28224354.651250001</v>
          </cell>
        </row>
        <row r="175">
          <cell r="A175" t="str">
            <v>Credit Rate</v>
          </cell>
          <cell r="C175">
            <v>0</v>
          </cell>
          <cell r="D175">
            <v>0</v>
          </cell>
          <cell r="E175">
            <v>0</v>
          </cell>
          <cell r="F175">
            <v>0</v>
          </cell>
          <cell r="G175">
            <v>0</v>
          </cell>
          <cell r="H175">
            <v>0</v>
          </cell>
          <cell r="I175">
            <v>0.08</v>
          </cell>
          <cell r="J175">
            <v>0.08</v>
          </cell>
          <cell r="K175">
            <v>0.08</v>
          </cell>
          <cell r="L175">
            <v>0.08</v>
          </cell>
          <cell r="M175">
            <v>0.08</v>
          </cell>
          <cell r="N175">
            <v>0.08</v>
          </cell>
          <cell r="O175">
            <v>0.08</v>
          </cell>
          <cell r="P175">
            <v>0.11</v>
          </cell>
          <cell r="Q175">
            <v>0.11</v>
          </cell>
        </row>
        <row r="176">
          <cell r="A176" t="str">
            <v>California R&amp;D Tax Credit</v>
          </cell>
          <cell r="C176">
            <v>0</v>
          </cell>
          <cell r="D176">
            <v>0</v>
          </cell>
          <cell r="E176">
            <v>0</v>
          </cell>
          <cell r="F176">
            <v>0</v>
          </cell>
          <cell r="G176">
            <v>0</v>
          </cell>
          <cell r="H176">
            <v>0</v>
          </cell>
          <cell r="I176">
            <v>138169.75408000001</v>
          </cell>
          <cell r="J176">
            <v>222789.67152</v>
          </cell>
          <cell r="K176">
            <v>317113.84039999999</v>
          </cell>
          <cell r="L176">
            <v>464541.22348000004</v>
          </cell>
          <cell r="M176">
            <v>788285.40028000018</v>
          </cell>
          <cell r="N176">
            <v>1437404.838312</v>
          </cell>
          <cell r="O176">
            <v>1019158.329551791</v>
          </cell>
          <cell r="P176">
            <v>3198654.1140124998</v>
          </cell>
          <cell r="Q176">
            <v>3104679.0116375</v>
          </cell>
        </row>
        <row r="181">
          <cell r="G181" t="str">
            <v>California</v>
          </cell>
          <cell r="H181" t="str">
            <v xml:space="preserve">Incremental </v>
          </cell>
        </row>
        <row r="182">
          <cell r="A182" t="str">
            <v>TAX CREDIT SUMMARY:</v>
          </cell>
          <cell r="C182" t="str">
            <v>Gross</v>
          </cell>
          <cell r="D182" t="str">
            <v>280C Reduction</v>
          </cell>
          <cell r="E182" t="str">
            <v>280C Reduced Credit</v>
          </cell>
          <cell r="G182" t="str">
            <v>Credit as Filed</v>
          </cell>
          <cell r="H182" t="str">
            <v>Benefit</v>
          </cell>
        </row>
        <row r="184">
          <cell r="A184" t="str">
            <v>1984</v>
          </cell>
          <cell r="B184" t="str">
            <v>Above</v>
          </cell>
          <cell r="C184">
            <v>0</v>
          </cell>
          <cell r="D184" t="str">
            <v>none</v>
          </cell>
          <cell r="E184">
            <v>0</v>
          </cell>
        </row>
        <row r="185">
          <cell r="A185" t="str">
            <v>1985</v>
          </cell>
          <cell r="B185" t="str">
            <v>Above</v>
          </cell>
          <cell r="C185">
            <v>0</v>
          </cell>
          <cell r="D185" t="str">
            <v>none</v>
          </cell>
          <cell r="E185">
            <v>0</v>
          </cell>
        </row>
        <row r="186">
          <cell r="A186" t="str">
            <v>1986</v>
          </cell>
          <cell r="B186" t="str">
            <v>Above</v>
          </cell>
          <cell r="C186">
            <v>0</v>
          </cell>
          <cell r="D186" t="str">
            <v>none</v>
          </cell>
          <cell r="E186">
            <v>0</v>
          </cell>
        </row>
        <row r="187">
          <cell r="A187" t="str">
            <v>1987</v>
          </cell>
          <cell r="B187" t="str">
            <v>Above</v>
          </cell>
          <cell r="C187">
            <v>0</v>
          </cell>
          <cell r="D187" t="str">
            <v>none</v>
          </cell>
          <cell r="E187">
            <v>0</v>
          </cell>
          <cell r="G187" t="str">
            <v xml:space="preserve"> </v>
          </cell>
        </row>
        <row r="188">
          <cell r="A188" t="str">
            <v>1988</v>
          </cell>
          <cell r="B188" t="str">
            <v>Above</v>
          </cell>
          <cell r="C188">
            <v>0</v>
          </cell>
          <cell r="D188" t="str">
            <v>none</v>
          </cell>
          <cell r="E188">
            <v>0</v>
          </cell>
          <cell r="G188" t="str">
            <v xml:space="preserve"> </v>
          </cell>
        </row>
        <row r="189">
          <cell r="A189" t="str">
            <v>1989</v>
          </cell>
          <cell r="B189" t="str">
            <v>Above</v>
          </cell>
          <cell r="C189">
            <v>0</v>
          </cell>
          <cell r="D189" t="str">
            <v>none</v>
          </cell>
          <cell r="E189">
            <v>0</v>
          </cell>
          <cell r="G189" t="str">
            <v xml:space="preserve"> </v>
          </cell>
        </row>
        <row r="190">
          <cell r="A190" t="str">
            <v>1990</v>
          </cell>
          <cell r="B190" t="str">
            <v>Above</v>
          </cell>
          <cell r="C190">
            <v>138169.75408000001</v>
          </cell>
          <cell r="D190" t="str">
            <v>90.7% of full credit</v>
          </cell>
          <cell r="E190">
            <v>125319.96695056002</v>
          </cell>
          <cell r="G190">
            <v>129856</v>
          </cell>
          <cell r="H190">
            <v>-4536.0330494399823</v>
          </cell>
        </row>
        <row r="191">
          <cell r="A191" t="str">
            <v>1991</v>
          </cell>
          <cell r="B191" t="str">
            <v>Above</v>
          </cell>
          <cell r="C191">
            <v>222789.67152</v>
          </cell>
          <cell r="D191" t="str">
            <v>90.7% of full credit</v>
          </cell>
          <cell r="E191">
            <v>202070.23206864001</v>
          </cell>
          <cell r="G191">
            <v>203230</v>
          </cell>
          <cell r="H191">
            <v>-1159.7679313599947</v>
          </cell>
        </row>
        <row r="192">
          <cell r="A192" t="str">
            <v>1992</v>
          </cell>
          <cell r="B192" t="str">
            <v>Above</v>
          </cell>
          <cell r="C192">
            <v>317113.84039999999</v>
          </cell>
          <cell r="D192" t="str">
            <v>90.7% of full credit</v>
          </cell>
          <cell r="E192">
            <v>287622.25324280001</v>
          </cell>
          <cell r="G192">
            <v>175281</v>
          </cell>
          <cell r="H192">
            <v>112341.25324280001</v>
          </cell>
        </row>
        <row r="193">
          <cell r="A193" t="str">
            <v>1993</v>
          </cell>
          <cell r="B193" t="str">
            <v>Above</v>
          </cell>
          <cell r="C193">
            <v>464541.22348000004</v>
          </cell>
          <cell r="D193" t="str">
            <v>90.7% of full credit</v>
          </cell>
          <cell r="E193">
            <v>421338.88969636004</v>
          </cell>
          <cell r="G193">
            <v>294709</v>
          </cell>
          <cell r="H193">
            <v>126629.88969636004</v>
          </cell>
        </row>
        <row r="194">
          <cell r="A194" t="str">
            <v>1994</v>
          </cell>
          <cell r="B194" t="str">
            <v>Above</v>
          </cell>
          <cell r="C194">
            <v>788285.40028000018</v>
          </cell>
          <cell r="D194" t="str">
            <v>90.7% of full credit</v>
          </cell>
          <cell r="E194">
            <v>714974.85805396014</v>
          </cell>
          <cell r="G194">
            <v>340813</v>
          </cell>
          <cell r="H194">
            <v>374161.85805396014</v>
          </cell>
        </row>
        <row r="195">
          <cell r="A195" t="str">
            <v>1995</v>
          </cell>
          <cell r="B195" t="str">
            <v>Above</v>
          </cell>
          <cell r="C195">
            <v>1437404.838312</v>
          </cell>
          <cell r="D195" t="str">
            <v>90.7% of full credit</v>
          </cell>
          <cell r="E195">
            <v>1303726.1883489841</v>
          </cell>
          <cell r="G195">
            <v>582317</v>
          </cell>
          <cell r="H195">
            <v>721409.18834898411</v>
          </cell>
        </row>
        <row r="196">
          <cell r="A196" t="str">
            <v>1996</v>
          </cell>
          <cell r="B196" t="str">
            <v>Above</v>
          </cell>
          <cell r="C196">
            <v>1019158.329551791</v>
          </cell>
          <cell r="D196" t="str">
            <v>90.7% of full credit</v>
          </cell>
          <cell r="E196">
            <v>924376.60490347445</v>
          </cell>
          <cell r="G196">
            <v>926500</v>
          </cell>
          <cell r="H196">
            <v>-2123.3950965255499</v>
          </cell>
        </row>
        <row r="197">
          <cell r="A197" t="str">
            <v>1997</v>
          </cell>
          <cell r="B197" t="str">
            <v>Above</v>
          </cell>
          <cell r="C197">
            <v>3198654.1140124998</v>
          </cell>
          <cell r="D197" t="str">
            <v>91.16% of full credit</v>
          </cell>
          <cell r="E197">
            <v>2915893.0903337947</v>
          </cell>
          <cell r="G197">
            <v>2876621</v>
          </cell>
          <cell r="H197">
            <v>39272.090333794709</v>
          </cell>
        </row>
        <row r="198">
          <cell r="A198" t="str">
            <v>1998</v>
          </cell>
          <cell r="B198" t="str">
            <v>Above</v>
          </cell>
          <cell r="C198">
            <v>3104679.0116375</v>
          </cell>
          <cell r="D198" t="str">
            <v>91.16% of full credit</v>
          </cell>
          <cell r="E198">
            <v>2830225.3870087448</v>
          </cell>
          <cell r="G198">
            <v>3568615</v>
          </cell>
          <cell r="H198">
            <v>-738389.61299125524</v>
          </cell>
        </row>
        <row r="200">
          <cell r="A200" t="str">
            <v xml:space="preserve">     Total</v>
          </cell>
          <cell r="C200">
            <v>10690796.18327379</v>
          </cell>
          <cell r="E200">
            <v>9725547.470607318</v>
          </cell>
          <cell r="G200">
            <v>9097942</v>
          </cell>
          <cell r="H200">
            <v>627605.47060731798</v>
          </cell>
        </row>
        <row r="202">
          <cell r="A202" t="str">
            <v xml:space="preserve">  NOTE 1 : **CAUTION**  For 1984-1989 calculations: </v>
          </cell>
        </row>
        <row r="203">
          <cell r="A203" t="str">
            <v xml:space="preserve">    1. Current and base year expenditures must be entered in the appropriate cells, and</v>
          </cell>
        </row>
        <row r="204">
          <cell r="A204" t="str">
            <v xml:space="preserve">    2. Current and base year amounts must be adjusted for Acq/Disp.</v>
          </cell>
        </row>
        <row r="206">
          <cell r="A206" t="str">
            <v xml:space="preserve"> **C A U T I O N** :  ALL TOTALS AND SUBTOTALS ARE SENSITIVE TO EXISTING LOCATIONS OF ROWS AND COLUMNS !!!</v>
          </cell>
        </row>
        <row r="207">
          <cell r="A207" t="str">
            <v xml:space="preserve">                                  IF ANY ELEMENTS OF EXISTING FORMATS ARE CHANGED, ALL TOTALS AND SUBTOTALS MUST BE CHECKED !!!</v>
          </cell>
        </row>
      </sheetData>
      <sheetData sheetId="6" refreshError="1">
        <row r="15">
          <cell r="B15" t="str">
            <v>Qualifying Research</v>
          </cell>
          <cell r="C15">
            <v>25478958.238794774</v>
          </cell>
        </row>
      </sheetData>
      <sheetData sheetId="7" refreshError="1">
        <row r="2">
          <cell r="B2" t="str">
            <v>Agouron Pharmaceuticals, Inc.</v>
          </cell>
        </row>
        <row r="3">
          <cell r="B3" t="str">
            <v>1998 CA R&amp;D Credit Calculation</v>
          </cell>
        </row>
        <row r="4">
          <cell r="B4" t="str">
            <v>Gross Receipts (GR) Detail</v>
          </cell>
        </row>
        <row r="6">
          <cell r="B6" t="str">
            <v>DESCRIPTION</v>
          </cell>
          <cell r="C6" t="str">
            <v>W/P Ref</v>
          </cell>
          <cell r="D6">
            <v>1984</v>
          </cell>
          <cell r="E6">
            <v>1985</v>
          </cell>
          <cell r="F6">
            <v>1986</v>
          </cell>
          <cell r="G6">
            <v>1987</v>
          </cell>
          <cell r="H6">
            <v>1988</v>
          </cell>
          <cell r="I6">
            <v>1989</v>
          </cell>
          <cell r="J6">
            <v>1990</v>
          </cell>
          <cell r="K6">
            <v>1991</v>
          </cell>
          <cell r="L6">
            <v>1992</v>
          </cell>
          <cell r="M6">
            <v>1993</v>
          </cell>
        </row>
        <row r="7">
          <cell r="C7" t="str">
            <v xml:space="preserve"> </v>
          </cell>
        </row>
        <row r="8">
          <cell r="A8"/>
          <cell r="B8" t="str">
            <v>Agouron Pharmaceuticals, Inc.</v>
          </cell>
          <cell r="D8">
            <v>90000</v>
          </cell>
          <cell r="E8">
            <v>318000</v>
          </cell>
          <cell r="F8">
            <v>442000</v>
          </cell>
          <cell r="G8">
            <v>1116901</v>
          </cell>
          <cell r="H8">
            <v>2552332</v>
          </cell>
          <cell r="I8">
            <v>2546075</v>
          </cell>
          <cell r="J8">
            <v>4736970</v>
          </cell>
          <cell r="K8">
            <v>5908119</v>
          </cell>
          <cell r="L8">
            <v>8087866</v>
          </cell>
          <cell r="M8">
            <v>20292732</v>
          </cell>
          <cell r="N8">
            <v>25649583</v>
          </cell>
          <cell r="O8">
            <v>61615795</v>
          </cell>
          <cell r="P8">
            <v>18804582</v>
          </cell>
          <cell r="Q8">
            <v>62236360</v>
          </cell>
        </row>
        <row r="9">
          <cell r="A9" t="str">
            <v>||</v>
          </cell>
          <cell r="B9" t="str">
            <v xml:space="preserve"> </v>
          </cell>
        </row>
        <row r="10">
          <cell r="A10" t="str">
            <v>||</v>
          </cell>
          <cell r="B10" t="str">
            <v xml:space="preserve"> </v>
          </cell>
        </row>
        <row r="11">
          <cell r="A11" t="str">
            <v>||</v>
          </cell>
          <cell r="B11" t="str">
            <v xml:space="preserve"> </v>
          </cell>
        </row>
        <row r="12">
          <cell r="A12" t="str">
            <v>||</v>
          </cell>
          <cell r="B12" t="str">
            <v xml:space="preserve"> </v>
          </cell>
        </row>
        <row r="13">
          <cell r="A13" t="str">
            <v>||</v>
          </cell>
          <cell r="B13" t="str">
            <v xml:space="preserve"> </v>
          </cell>
        </row>
        <row r="14">
          <cell r="A14" t="str">
            <v>||</v>
          </cell>
          <cell r="B14" t="str">
            <v xml:space="preserve"> </v>
          </cell>
        </row>
        <row r="15">
          <cell r="A15" t="str">
            <v>||</v>
          </cell>
          <cell r="B15" t="str">
            <v>&lt;&lt;&lt;Company N&gt;&gt;&gt;</v>
          </cell>
          <cell r="R15" t="str">
            <v xml:space="preserve"> </v>
          </cell>
        </row>
        <row r="16">
          <cell r="A16" t="str">
            <v>||</v>
          </cell>
          <cell r="B16" t="str">
            <v>&lt;&lt;&lt;Company O&gt;&gt;&gt;</v>
          </cell>
        </row>
        <row r="17">
          <cell r="A17" t="str">
            <v>||</v>
          </cell>
          <cell r="B17" t="str">
            <v>&lt;&lt;&lt;Company P&gt;&gt;&gt;</v>
          </cell>
        </row>
        <row r="18">
          <cell r="A18" t="str">
            <v>||</v>
          </cell>
          <cell r="B18" t="str">
            <v>&lt;&lt;&lt;Company Q&gt;&gt;&gt;</v>
          </cell>
        </row>
        <row r="19">
          <cell r="A19" t="str">
            <v>||</v>
          </cell>
          <cell r="B19" t="str">
            <v>&lt;&lt;&lt;Company R&gt;&gt;&gt;</v>
          </cell>
        </row>
        <row r="20">
          <cell r="A20" t="str">
            <v>||</v>
          </cell>
          <cell r="B20" t="str">
            <v>&lt;&lt;&lt;Company S&gt;&gt;&gt;</v>
          </cell>
        </row>
        <row r="21">
          <cell r="A21" t="str">
            <v>||</v>
          </cell>
          <cell r="B21" t="str">
            <v>&lt;&lt;&lt;Company T&gt;&gt;&gt;</v>
          </cell>
        </row>
        <row r="22">
          <cell r="A22" t="str">
            <v>||</v>
          </cell>
          <cell r="B22" t="str">
            <v>&lt;&lt;&lt;Company U&gt;&gt;&gt;</v>
          </cell>
        </row>
        <row r="23">
          <cell r="A23" t="str">
            <v>||</v>
          </cell>
          <cell r="B23" t="str">
            <v>&lt;&lt;&lt;Company V&gt;&gt;&gt;</v>
          </cell>
        </row>
        <row r="24">
          <cell r="A24" t="str">
            <v>||</v>
          </cell>
          <cell r="B24" t="str">
            <v>&lt;&lt;&lt;Company W&gt;&gt;&gt;</v>
          </cell>
        </row>
        <row r="25">
          <cell r="A25" t="str">
            <v>||</v>
          </cell>
          <cell r="B25" t="str">
            <v>&lt;&lt;&lt;Company X&gt;&gt;&gt;</v>
          </cell>
        </row>
        <row r="26">
          <cell r="B26" t="str">
            <v>&lt;&lt;&lt;Company Y&gt;&gt;&gt;</v>
          </cell>
        </row>
        <row r="27">
          <cell r="B27" t="str">
            <v>&lt;&lt;&lt;Company Z&gt;&gt;&gt;</v>
          </cell>
        </row>
        <row r="28">
          <cell r="B28" t="str">
            <v>Total Gross Receipts Per 1120s</v>
          </cell>
          <cell r="D28">
            <v>90000</v>
          </cell>
          <cell r="E28">
            <v>318000</v>
          </cell>
          <cell r="F28">
            <v>442000</v>
          </cell>
          <cell r="G28">
            <v>1116901</v>
          </cell>
          <cell r="H28">
            <v>2552332</v>
          </cell>
          <cell r="I28">
            <v>2546075</v>
          </cell>
          <cell r="J28">
            <v>4736970</v>
          </cell>
          <cell r="K28">
            <v>5908119</v>
          </cell>
          <cell r="L28">
            <v>8087866</v>
          </cell>
          <cell r="M28">
            <v>20292732</v>
          </cell>
          <cell r="N28">
            <v>25649583</v>
          </cell>
          <cell r="O28">
            <v>61615795</v>
          </cell>
          <cell r="P28">
            <v>18804582</v>
          </cell>
          <cell r="Q28">
            <v>62236360</v>
          </cell>
        </row>
        <row r="30">
          <cell r="B30" t="str">
            <v xml:space="preserve">  Tax Return Adjustments:</v>
          </cell>
        </row>
        <row r="31">
          <cell r="B31" t="str">
            <v xml:space="preserve">    Amendments</v>
          </cell>
        </row>
        <row r="32">
          <cell r="B32" t="str">
            <v xml:space="preserve">    IRS Adjustments</v>
          </cell>
        </row>
        <row r="34">
          <cell r="B34" t="str">
            <v>Total Adjusted Gross Receipts Per 1120s</v>
          </cell>
          <cell r="D34">
            <v>90000</v>
          </cell>
          <cell r="E34">
            <v>318000</v>
          </cell>
          <cell r="F34">
            <v>442000</v>
          </cell>
          <cell r="G34">
            <v>1116901</v>
          </cell>
          <cell r="H34">
            <v>2552332</v>
          </cell>
          <cell r="I34">
            <v>2546075</v>
          </cell>
          <cell r="J34">
            <v>4736970</v>
          </cell>
          <cell r="K34">
            <v>5908119</v>
          </cell>
          <cell r="L34">
            <v>8087866</v>
          </cell>
          <cell r="M34">
            <v>20292732</v>
          </cell>
          <cell r="N34">
            <v>25649583</v>
          </cell>
          <cell r="O34">
            <v>61615795</v>
          </cell>
          <cell r="P34">
            <v>18804582</v>
          </cell>
          <cell r="Q34">
            <v>62236360</v>
          </cell>
          <cell r="R34" t="str">
            <v xml:space="preserve"> </v>
          </cell>
        </row>
        <row r="36">
          <cell r="B36" t="str">
            <v xml:space="preserve">  Other Adjustments:</v>
          </cell>
        </row>
        <row r="37">
          <cell r="A37" t="str">
            <v>||</v>
          </cell>
          <cell r="B37" t="str">
            <v xml:space="preserve">    Tax Exempt Interest</v>
          </cell>
        </row>
        <row r="38">
          <cell r="A38" t="str">
            <v>||</v>
          </cell>
        </row>
        <row r="39">
          <cell r="A39" t="str">
            <v>||</v>
          </cell>
        </row>
        <row r="40">
          <cell r="A40" t="str">
            <v>||</v>
          </cell>
        </row>
        <row r="41">
          <cell r="A41" t="str">
            <v>||</v>
          </cell>
        </row>
        <row r="42">
          <cell r="A42" t="str">
            <v>||</v>
          </cell>
        </row>
        <row r="43">
          <cell r="A43" t="str">
            <v>||</v>
          </cell>
        </row>
        <row r="44">
          <cell r="A44" t="str">
            <v>||</v>
          </cell>
        </row>
        <row r="45">
          <cell r="A45" t="str">
            <v>||</v>
          </cell>
        </row>
        <row r="46">
          <cell r="A46" t="str">
            <v>||</v>
          </cell>
        </row>
        <row r="47">
          <cell r="A47" t="str">
            <v>||</v>
          </cell>
        </row>
        <row r="48">
          <cell r="A48" t="str">
            <v>||</v>
          </cell>
        </row>
        <row r="49">
          <cell r="B49" t="str">
            <v>Adjusted Gross Receipts</v>
          </cell>
          <cell r="D49">
            <v>90000</v>
          </cell>
          <cell r="E49">
            <v>318000</v>
          </cell>
          <cell r="F49">
            <v>442000</v>
          </cell>
          <cell r="G49">
            <v>1116901</v>
          </cell>
          <cell r="H49">
            <v>2552332</v>
          </cell>
          <cell r="I49">
            <v>2546075</v>
          </cell>
          <cell r="J49">
            <v>4736970</v>
          </cell>
          <cell r="K49">
            <v>5908119</v>
          </cell>
          <cell r="L49">
            <v>8087866</v>
          </cell>
          <cell r="M49">
            <v>20292732</v>
          </cell>
          <cell r="N49">
            <v>25649583</v>
          </cell>
          <cell r="O49">
            <v>61615795</v>
          </cell>
          <cell r="P49">
            <v>18804582</v>
          </cell>
          <cell r="Q49">
            <v>62236360</v>
          </cell>
          <cell r="R49">
            <v>0</v>
          </cell>
        </row>
        <row r="51">
          <cell r="B51" t="str">
            <v xml:space="preserve"> </v>
          </cell>
        </row>
        <row r="52">
          <cell r="B52" t="str">
            <v xml:space="preserve"> </v>
          </cell>
        </row>
      </sheetData>
      <sheetData sheetId="8"/>
      <sheetData sheetId="9"/>
      <sheetData sheetId="10" refreshError="1">
        <row r="1">
          <cell r="Q1">
            <v>36599.437053703703</v>
          </cell>
          <cell r="R1">
            <v>36599.437053703703</v>
          </cell>
        </row>
        <row r="6">
          <cell r="D6">
            <v>1984</v>
          </cell>
          <cell r="E6">
            <v>1985</v>
          </cell>
          <cell r="F6">
            <v>1986</v>
          </cell>
          <cell r="G6">
            <v>1987</v>
          </cell>
          <cell r="H6">
            <v>1988</v>
          </cell>
          <cell r="I6">
            <v>1989</v>
          </cell>
          <cell r="J6">
            <v>1990</v>
          </cell>
          <cell r="K6">
            <v>1991</v>
          </cell>
          <cell r="L6">
            <v>1992</v>
          </cell>
          <cell r="M6">
            <v>1993</v>
          </cell>
          <cell r="N6">
            <v>1994</v>
          </cell>
          <cell r="O6">
            <v>1995</v>
          </cell>
          <cell r="P6">
            <v>1996</v>
          </cell>
          <cell r="Q6">
            <v>1997</v>
          </cell>
          <cell r="R6">
            <v>1998</v>
          </cell>
        </row>
        <row r="7">
          <cell r="A7"/>
          <cell r="B7" t="str">
            <v>&lt;&lt;California Phase II QRE Findings&gt;&gt;</v>
          </cell>
          <cell r="C7" t="str">
            <v>'[california Agouron Supermodel@10%.xls]PHASE II'!$B$2</v>
          </cell>
        </row>
        <row r="8">
          <cell r="A8"/>
          <cell r="B8" t="str">
            <v xml:space="preserve">  Qualifying Wages</v>
          </cell>
          <cell r="C8" t="str">
            <v>BU1</v>
          </cell>
          <cell r="D8">
            <v>11087</v>
          </cell>
          <cell r="E8">
            <v>50015</v>
          </cell>
          <cell r="F8">
            <v>323590</v>
          </cell>
          <cell r="G8">
            <v>899647</v>
          </cell>
          <cell r="H8">
            <v>2067727</v>
          </cell>
          <cell r="I8">
            <v>2741619</v>
          </cell>
          <cell r="J8">
            <v>2299558.0019999999</v>
          </cell>
          <cell r="K8">
            <v>3542463.7879999997</v>
          </cell>
          <cell r="L8">
            <v>5126210.5599999996</v>
          </cell>
          <cell r="M8">
            <v>7134127.5369999995</v>
          </cell>
          <cell r="N8">
            <v>9257454.4570000004</v>
          </cell>
          <cell r="O8">
            <v>17917881</v>
          </cell>
          <cell r="P8">
            <v>29938649</v>
          </cell>
          <cell r="Q8">
            <v>50930323</v>
          </cell>
          <cell r="R8">
            <v>49405882</v>
          </cell>
        </row>
        <row r="9">
          <cell r="A9"/>
          <cell r="B9" t="str">
            <v xml:space="preserve">  Qualifying Supplies</v>
          </cell>
          <cell r="C9" t="str">
            <v>BU1</v>
          </cell>
          <cell r="D9">
            <v>5472</v>
          </cell>
          <cell r="E9">
            <v>12863</v>
          </cell>
          <cell r="F9">
            <v>125054</v>
          </cell>
          <cell r="G9">
            <v>256771</v>
          </cell>
          <cell r="H9">
            <v>535563</v>
          </cell>
          <cell r="I9">
            <v>808521</v>
          </cell>
          <cell r="J9">
            <v>710184</v>
          </cell>
          <cell r="K9">
            <v>1384519</v>
          </cell>
          <cell r="L9">
            <v>1667156</v>
          </cell>
          <cell r="M9">
            <v>2705568</v>
          </cell>
          <cell r="N9">
            <v>7703244</v>
          </cell>
          <cell r="O9">
            <v>13677482.189999999</v>
          </cell>
          <cell r="P9">
            <v>2205524.4</v>
          </cell>
          <cell r="Q9">
            <v>6259486.3000000007</v>
          </cell>
          <cell r="R9">
            <v>7163698.8000000007</v>
          </cell>
        </row>
        <row r="10">
          <cell r="A10"/>
          <cell r="B10" t="str">
            <v xml:space="preserve">  Qualifying Contract (@65%)</v>
          </cell>
          <cell r="C10" t="str">
            <v>BU1</v>
          </cell>
          <cell r="D10">
            <v>3568</v>
          </cell>
          <cell r="E10">
            <v>260</v>
          </cell>
          <cell r="F10">
            <v>51757</v>
          </cell>
          <cell r="G10">
            <v>172998</v>
          </cell>
          <cell r="H10">
            <v>770702</v>
          </cell>
          <cell r="I10">
            <v>331819</v>
          </cell>
          <cell r="J10">
            <v>444501.85</v>
          </cell>
          <cell r="K10">
            <v>642759</v>
          </cell>
          <cell r="L10">
            <v>1134479.4500000002</v>
          </cell>
          <cell r="M10">
            <v>1773835.05</v>
          </cell>
          <cell r="N10">
            <v>2746436.55</v>
          </cell>
          <cell r="O10">
            <v>4339757.7677999996</v>
          </cell>
          <cell r="P10">
            <v>-6665215.1612052238</v>
          </cell>
          <cell r="Q10">
            <v>967538.2274999998</v>
          </cell>
          <cell r="R10">
            <v>-120871.49749999781</v>
          </cell>
        </row>
        <row r="11">
          <cell r="A11" t="str">
            <v>||</v>
          </cell>
          <cell r="B11" t="str">
            <v>B_U_3</v>
          </cell>
          <cell r="C11" t="str">
            <v>'[california Agouron Supermodel@10%.xls]B_U_3'!$B$2</v>
          </cell>
        </row>
        <row r="12">
          <cell r="A12" t="str">
            <v>||</v>
          </cell>
          <cell r="B12" t="str">
            <v xml:space="preserve">  Qualifying Wages</v>
          </cell>
          <cell r="C12" t="str">
            <v>BU3</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row>
        <row r="13">
          <cell r="A13" t="str">
            <v>||</v>
          </cell>
          <cell r="B13" t="str">
            <v xml:space="preserve">  Qualifying Supplies</v>
          </cell>
          <cell r="C13" t="str">
            <v>BU3</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row>
        <row r="14">
          <cell r="A14" t="str">
            <v>||</v>
          </cell>
          <cell r="B14" t="str">
            <v xml:space="preserve">  Qualifying Contract (@65%)</v>
          </cell>
          <cell r="C14" t="str">
            <v>BU3</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row>
        <row r="15">
          <cell r="A15" t="str">
            <v>||</v>
          </cell>
          <cell r="B15" t="str">
            <v xml:space="preserve"> </v>
          </cell>
          <cell r="C15" t="str">
            <v>'[california Agouron Supermodel@10%.xls]B_U_4'!$B$2</v>
          </cell>
        </row>
        <row r="16">
          <cell r="A16" t="str">
            <v>||</v>
          </cell>
          <cell r="B16" t="str">
            <v xml:space="preserve">  Qualifying Wages</v>
          </cell>
          <cell r="C16" t="str">
            <v>BU4</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row>
        <row r="17">
          <cell r="A17" t="str">
            <v>||</v>
          </cell>
          <cell r="B17" t="str">
            <v xml:space="preserve">  Qualifying Supplies</v>
          </cell>
          <cell r="C17" t="str">
            <v>BU4</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row>
        <row r="18">
          <cell r="A18" t="str">
            <v>||</v>
          </cell>
          <cell r="B18" t="str">
            <v xml:space="preserve">  Qualifying Contract (@65%)</v>
          </cell>
          <cell r="C18" t="str">
            <v>BU4</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row>
        <row r="19">
          <cell r="A19" t="str">
            <v>||</v>
          </cell>
          <cell r="B19" t="str">
            <v>B_U_5</v>
          </cell>
          <cell r="C19" t="str">
            <v>'[california Agouron Supermodel@10%.xls]B_U_5'!$B$2</v>
          </cell>
        </row>
        <row r="20">
          <cell r="A20" t="str">
            <v>||</v>
          </cell>
          <cell r="B20" t="str">
            <v xml:space="preserve">  Qualifying Wages</v>
          </cell>
          <cell r="C20" t="str">
            <v>BU5</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row>
        <row r="21">
          <cell r="A21" t="str">
            <v>||</v>
          </cell>
          <cell r="B21" t="str">
            <v xml:space="preserve">  Qualifying Supplies</v>
          </cell>
          <cell r="C21" t="str">
            <v>BU5</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row>
        <row r="22">
          <cell r="A22" t="str">
            <v>||</v>
          </cell>
          <cell r="B22" t="str">
            <v xml:space="preserve">  Qualifying Contract (@65%)</v>
          </cell>
          <cell r="C22" t="str">
            <v>BU5</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row>
        <row r="23">
          <cell r="A23" t="str">
            <v>||</v>
          </cell>
          <cell r="B23" t="str">
            <v>B_U_6</v>
          </cell>
          <cell r="C23" t="str">
            <v>'[california Agouron Supermodel@10%.xls]B_U_6'!$B$2</v>
          </cell>
        </row>
        <row r="24">
          <cell r="A24" t="str">
            <v>||</v>
          </cell>
          <cell r="B24" t="str">
            <v xml:space="preserve">  Qualifying Wages</v>
          </cell>
          <cell r="C24" t="str">
            <v>BU6</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row>
        <row r="25">
          <cell r="A25" t="str">
            <v>||</v>
          </cell>
          <cell r="B25" t="str">
            <v xml:space="preserve">  Qualifying Supplies</v>
          </cell>
          <cell r="C25" t="str">
            <v>BU6</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row>
        <row r="26">
          <cell r="A26" t="str">
            <v>||</v>
          </cell>
          <cell r="B26" t="str">
            <v xml:space="preserve">  Qualifying Contract (@65%)</v>
          </cell>
          <cell r="C26" t="str">
            <v>BU6</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row>
        <row r="27">
          <cell r="A27" t="str">
            <v>||</v>
          </cell>
          <cell r="B27" t="str">
            <v xml:space="preserve"> </v>
          </cell>
          <cell r="C27" t="str">
            <v>'[california Agouron Supermodel@10%.xls]B_U_7'!$B$2</v>
          </cell>
        </row>
        <row r="28">
          <cell r="A28" t="str">
            <v>||</v>
          </cell>
          <cell r="B28" t="str">
            <v xml:space="preserve">  Qualifying Wages</v>
          </cell>
          <cell r="C28" t="str">
            <v>BU7</v>
          </cell>
          <cell r="D28">
            <v>0</v>
          </cell>
          <cell r="E28">
            <v>0</v>
          </cell>
          <cell r="F28">
            <v>0</v>
          </cell>
          <cell r="G28">
            <v>0</v>
          </cell>
          <cell r="H28">
            <v>0</v>
          </cell>
          <cell r="I28">
            <v>0</v>
          </cell>
          <cell r="J28">
            <v>0</v>
          </cell>
          <cell r="K28">
            <v>0</v>
          </cell>
          <cell r="L28">
            <v>0</v>
          </cell>
          <cell r="M28">
            <v>0</v>
          </cell>
          <cell r="N28">
            <v>0</v>
          </cell>
          <cell r="O28">
            <v>0</v>
          </cell>
          <cell r="P28" t="str">
            <v xml:space="preserve"> </v>
          </cell>
          <cell r="Q28">
            <v>0</v>
          </cell>
          <cell r="R28">
            <v>0</v>
          </cell>
        </row>
        <row r="29">
          <cell r="A29" t="str">
            <v>||</v>
          </cell>
          <cell r="B29" t="str">
            <v xml:space="preserve">  Qualifying Supplies</v>
          </cell>
          <cell r="C29" t="str">
            <v>BU7</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row>
        <row r="30">
          <cell r="A30" t="str">
            <v>||</v>
          </cell>
          <cell r="B30" t="str">
            <v xml:space="preserve">  Qualifying Contract (@65%)</v>
          </cell>
          <cell r="C30" t="str">
            <v>BU7</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row>
        <row r="31">
          <cell r="A31" t="str">
            <v>||</v>
          </cell>
          <cell r="B31" t="str">
            <v>B_U_8</v>
          </cell>
          <cell r="C31" t="str">
            <v>'[california Agouron Supermodel@10%.xls]B_U_8'!$B$2</v>
          </cell>
        </row>
        <row r="32">
          <cell r="A32" t="str">
            <v>||</v>
          </cell>
          <cell r="B32" t="str">
            <v xml:space="preserve">  Qualifying Wages</v>
          </cell>
          <cell r="C32" t="str">
            <v>BU8</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row>
        <row r="33">
          <cell r="A33" t="str">
            <v>||</v>
          </cell>
          <cell r="B33" t="str">
            <v xml:space="preserve">  Qualifying Supplies</v>
          </cell>
          <cell r="C33" t="str">
            <v>BU8</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row>
        <row r="34">
          <cell r="A34" t="str">
            <v>||</v>
          </cell>
          <cell r="B34" t="str">
            <v xml:space="preserve">  Qualifying Contract (@65%)</v>
          </cell>
          <cell r="C34" t="str">
            <v>BU8</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row>
        <row r="35">
          <cell r="A35" t="str">
            <v>||</v>
          </cell>
          <cell r="B35" t="str">
            <v>B_U_9</v>
          </cell>
          <cell r="C35" t="str">
            <v>'[california Agouron Supermodel@10%.xls]B_U_9'!$B$2</v>
          </cell>
        </row>
        <row r="36">
          <cell r="A36" t="str">
            <v>||</v>
          </cell>
          <cell r="B36" t="str">
            <v xml:space="preserve">  Qualifying Wages</v>
          </cell>
          <cell r="C36" t="str">
            <v>BU9</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row>
        <row r="37">
          <cell r="A37" t="str">
            <v>||</v>
          </cell>
          <cell r="B37" t="str">
            <v xml:space="preserve">  Qualifying Supplies</v>
          </cell>
          <cell r="C37" t="str">
            <v>BU9</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row>
        <row r="38">
          <cell r="A38" t="str">
            <v>||</v>
          </cell>
          <cell r="B38" t="str">
            <v xml:space="preserve">  Qualifying Contract (@65%)</v>
          </cell>
          <cell r="C38" t="str">
            <v>BU9</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row>
        <row r="39">
          <cell r="A39" t="str">
            <v>||</v>
          </cell>
          <cell r="B39" t="str">
            <v>B_U_10</v>
          </cell>
          <cell r="C39" t="str">
            <v>'[california Agouron Supermodel@10%.xls]B_U_10'!$B$2</v>
          </cell>
        </row>
        <row r="40">
          <cell r="A40" t="str">
            <v>||</v>
          </cell>
          <cell r="B40" t="str">
            <v xml:space="preserve">  Qualifying Wages</v>
          </cell>
          <cell r="C40" t="str">
            <v>BU10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row>
        <row r="41">
          <cell r="A41" t="str">
            <v>||</v>
          </cell>
          <cell r="B41" t="str">
            <v xml:space="preserve">  Qualifying Supplies</v>
          </cell>
          <cell r="C41" t="str">
            <v>BU10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row>
        <row r="42">
          <cell r="A42" t="str">
            <v>||</v>
          </cell>
          <cell r="B42" t="str">
            <v xml:space="preserve">  Qualifying Contract (@65%)</v>
          </cell>
          <cell r="C42" t="str">
            <v>BU10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row>
        <row r="43">
          <cell r="A43" t="str">
            <v>||</v>
          </cell>
          <cell r="B43" t="str">
            <v>B_U_11</v>
          </cell>
          <cell r="C43" t="str">
            <v>'[california Agouron Supermodel@10%.xls]B_U_11'!$B$2</v>
          </cell>
        </row>
        <row r="44">
          <cell r="A44" t="str">
            <v>||</v>
          </cell>
          <cell r="B44" t="str">
            <v xml:space="preserve">  Qualifying Wages</v>
          </cell>
          <cell r="C44" t="str">
            <v>BU11</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row>
        <row r="45">
          <cell r="A45" t="str">
            <v>||</v>
          </cell>
          <cell r="B45" t="str">
            <v xml:space="preserve">  Qualifying Supplies</v>
          </cell>
          <cell r="C45" t="str">
            <v>BU11</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row>
        <row r="46">
          <cell r="A46" t="str">
            <v>||</v>
          </cell>
          <cell r="B46" t="str">
            <v xml:space="preserve">  Qualifying Contract (@65%)</v>
          </cell>
          <cell r="C46" t="str">
            <v>BU11</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row>
        <row r="47">
          <cell r="A47" t="str">
            <v>||</v>
          </cell>
          <cell r="B47" t="str">
            <v>B_U_12</v>
          </cell>
          <cell r="C47" t="str">
            <v>'[california Agouron Supermodel@10%.xls]B_U_12'!$B$2</v>
          </cell>
        </row>
        <row r="48">
          <cell r="A48" t="str">
            <v>||</v>
          </cell>
          <cell r="B48" t="str">
            <v xml:space="preserve">  Qualifying Wages</v>
          </cell>
          <cell r="C48" t="str">
            <v>BU12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row>
        <row r="49">
          <cell r="A49" t="str">
            <v>||</v>
          </cell>
          <cell r="B49" t="str">
            <v xml:space="preserve">  Qualifying Supplies</v>
          </cell>
          <cell r="C49" t="str">
            <v>BU12</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row>
        <row r="50">
          <cell r="A50" t="str">
            <v>||</v>
          </cell>
          <cell r="B50" t="str">
            <v xml:space="preserve">  Qualifying Contract (@65%)</v>
          </cell>
          <cell r="C50" t="str">
            <v>BU12</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row>
        <row r="51">
          <cell r="A51" t="str">
            <v>||</v>
          </cell>
          <cell r="B51" t="str">
            <v>B_U_13</v>
          </cell>
          <cell r="C51" t="str">
            <v>'[california Agouron Supermodel@10%.xls]B_U_13'!$B$2</v>
          </cell>
        </row>
        <row r="52">
          <cell r="A52" t="str">
            <v>||</v>
          </cell>
          <cell r="B52" t="str">
            <v xml:space="preserve">  Qualifying Wages</v>
          </cell>
          <cell r="C52" t="str">
            <v>BU13</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row>
        <row r="53">
          <cell r="A53" t="str">
            <v>||</v>
          </cell>
          <cell r="B53" t="str">
            <v xml:space="preserve">  Qualifying Supplies</v>
          </cell>
          <cell r="C53" t="str">
            <v>BU13</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row>
        <row r="54">
          <cell r="A54" t="str">
            <v>||</v>
          </cell>
          <cell r="B54" t="str">
            <v xml:space="preserve">  Qualifying Contract (@65%)</v>
          </cell>
          <cell r="C54" t="str">
            <v>BU13</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row>
        <row r="55">
          <cell r="A55" t="str">
            <v>||</v>
          </cell>
          <cell r="B55" t="str">
            <v>B_U_14</v>
          </cell>
          <cell r="C55" t="str">
            <v>'[california Agouron Supermodel@10%.xls]B_U_14'!$B$2</v>
          </cell>
        </row>
        <row r="56">
          <cell r="A56" t="str">
            <v>||</v>
          </cell>
          <cell r="B56" t="str">
            <v xml:space="preserve">  Qualifying Wages</v>
          </cell>
          <cell r="C56" t="str">
            <v>BU14</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row>
        <row r="57">
          <cell r="A57" t="str">
            <v>||</v>
          </cell>
          <cell r="B57" t="str">
            <v xml:space="preserve">  Qualifying Supplies</v>
          </cell>
          <cell r="C57" t="str">
            <v>BU14</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row>
        <row r="58">
          <cell r="A58" t="str">
            <v>||</v>
          </cell>
          <cell r="B58" t="str">
            <v xml:space="preserve">  Qualifying Contract (@65%)</v>
          </cell>
          <cell r="C58" t="str">
            <v>BU14</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row>
        <row r="59">
          <cell r="A59" t="str">
            <v>||</v>
          </cell>
          <cell r="B59" t="str">
            <v>B_U_15</v>
          </cell>
          <cell r="C59" t="str">
            <v>'[california Agouron Supermodel@10%.xls]B_U_15'!$B$2</v>
          </cell>
        </row>
        <row r="60">
          <cell r="A60" t="str">
            <v>||</v>
          </cell>
          <cell r="B60" t="str">
            <v xml:space="preserve">  Qualifying Wages</v>
          </cell>
          <cell r="C60" t="str">
            <v>BU15</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row>
        <row r="61">
          <cell r="A61" t="str">
            <v>||</v>
          </cell>
          <cell r="B61" t="str">
            <v xml:space="preserve">  Qualifying Supplies</v>
          </cell>
          <cell r="C61" t="str">
            <v>BU15</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row>
        <row r="62">
          <cell r="A62" t="str">
            <v>||</v>
          </cell>
          <cell r="B62" t="str">
            <v xml:space="preserve">  Qualifying Contract (@65%)</v>
          </cell>
          <cell r="C62" t="str">
            <v>BU15</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row>
        <row r="63">
          <cell r="A63" t="str">
            <v>||</v>
          </cell>
          <cell r="B63" t="str">
            <v>B_U_16</v>
          </cell>
          <cell r="C63" t="str">
            <v>'[california Agouron Supermodel@10%.xls]B_U_16'!$B$2</v>
          </cell>
        </row>
        <row r="64">
          <cell r="A64" t="str">
            <v>||</v>
          </cell>
          <cell r="B64" t="str">
            <v xml:space="preserve">  Qualifying Wages</v>
          </cell>
          <cell r="C64" t="str">
            <v>BU16</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row>
        <row r="65">
          <cell r="A65" t="str">
            <v>||</v>
          </cell>
          <cell r="B65" t="str">
            <v xml:space="preserve">  Qualifying Supplies</v>
          </cell>
          <cell r="C65" t="str">
            <v>BU16</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row>
        <row r="66">
          <cell r="A66" t="str">
            <v>||</v>
          </cell>
          <cell r="B66" t="str">
            <v xml:space="preserve">  Qualifying Contract (@65%)</v>
          </cell>
          <cell r="C66" t="str">
            <v>BU16</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row>
        <row r="67">
          <cell r="A67" t="str">
            <v>||</v>
          </cell>
          <cell r="B67" t="str">
            <v>B_U_17</v>
          </cell>
          <cell r="C67" t="str">
            <v>'[california Agouron Supermodel@10%.xls]B_U_17'!$B$2</v>
          </cell>
        </row>
        <row r="68">
          <cell r="A68" t="str">
            <v>||</v>
          </cell>
          <cell r="B68" t="str">
            <v xml:space="preserve">  Qualifying Wages</v>
          </cell>
          <cell r="C68" t="str">
            <v>BU17</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row>
        <row r="69">
          <cell r="A69" t="str">
            <v>||</v>
          </cell>
          <cell r="B69" t="str">
            <v xml:space="preserve">  Qualifying Supplies</v>
          </cell>
          <cell r="C69" t="str">
            <v>BU17</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row>
        <row r="70">
          <cell r="A70" t="str">
            <v>||</v>
          </cell>
          <cell r="B70" t="str">
            <v xml:space="preserve">  Qualifying Contract (@65%)</v>
          </cell>
          <cell r="C70" t="str">
            <v>BU17</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row>
        <row r="71">
          <cell r="A71" t="str">
            <v>||</v>
          </cell>
          <cell r="B71" t="str">
            <v>B_U_18</v>
          </cell>
          <cell r="C71" t="str">
            <v>'[california Agouron Supermodel@10%.xls]B_U_18'!$B$2</v>
          </cell>
        </row>
        <row r="72">
          <cell r="A72" t="str">
            <v>||</v>
          </cell>
          <cell r="B72" t="str">
            <v xml:space="preserve">  Qualifying Wages</v>
          </cell>
          <cell r="C72" t="str">
            <v>BU18</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row>
        <row r="73">
          <cell r="A73" t="str">
            <v>||</v>
          </cell>
          <cell r="B73" t="str">
            <v xml:space="preserve">  Qualifying Supplies</v>
          </cell>
          <cell r="C73" t="str">
            <v>BU18</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row>
        <row r="74">
          <cell r="A74" t="str">
            <v>||</v>
          </cell>
          <cell r="B74" t="str">
            <v xml:space="preserve">  Qualifying Contract (@65%)</v>
          </cell>
          <cell r="C74" t="str">
            <v>BU18</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row>
        <row r="75">
          <cell r="A75" t="str">
            <v>||</v>
          </cell>
          <cell r="B75" t="str">
            <v>B_U_19</v>
          </cell>
          <cell r="C75" t="str">
            <v>'[california Agouron Supermodel@10%.xls]B_U_19'!$B$2</v>
          </cell>
        </row>
        <row r="76">
          <cell r="A76" t="str">
            <v>||</v>
          </cell>
          <cell r="B76" t="str">
            <v xml:space="preserve">  Qualifying Wages</v>
          </cell>
          <cell r="C76" t="str">
            <v>BU19</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row>
        <row r="77">
          <cell r="A77" t="str">
            <v>||</v>
          </cell>
          <cell r="B77" t="str">
            <v xml:space="preserve">  Qualifying Supplies</v>
          </cell>
          <cell r="C77" t="str">
            <v>BU19</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row>
        <row r="78">
          <cell r="A78" t="str">
            <v>||</v>
          </cell>
          <cell r="B78" t="str">
            <v xml:space="preserve">  Qualifying Contract (@65%)</v>
          </cell>
          <cell r="C78" t="str">
            <v>BU19</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row>
        <row r="79">
          <cell r="A79" t="str">
            <v>||</v>
          </cell>
          <cell r="B79" t="str">
            <v>B_U_20</v>
          </cell>
          <cell r="C79" t="str">
            <v>'[california Agouron Supermodel@10%.xls]B_U_20'!$B$2</v>
          </cell>
        </row>
        <row r="80">
          <cell r="A80" t="str">
            <v>||</v>
          </cell>
          <cell r="B80" t="str">
            <v xml:space="preserve">  Qualifying Wages</v>
          </cell>
          <cell r="C80" t="str">
            <v>BU20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row>
        <row r="81">
          <cell r="A81" t="str">
            <v>||</v>
          </cell>
          <cell r="B81" t="str">
            <v xml:space="preserve">  Qualifying Supplies</v>
          </cell>
          <cell r="C81" t="str">
            <v>BU20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row>
        <row r="82">
          <cell r="A82" t="str">
            <v>||</v>
          </cell>
          <cell r="B82" t="str">
            <v xml:space="preserve">  Qualifying Contract (@65%)</v>
          </cell>
          <cell r="C82" t="str">
            <v>BU20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row>
        <row r="83">
          <cell r="A83" t="str">
            <v>||</v>
          </cell>
          <cell r="B83" t="str">
            <v>B_U_21</v>
          </cell>
          <cell r="C83" t="str">
            <v>'[california Agouron Supermodel@10%.xls]B_U_21'!$B$2</v>
          </cell>
        </row>
        <row r="84">
          <cell r="A84" t="str">
            <v>||</v>
          </cell>
          <cell r="B84" t="str">
            <v xml:space="preserve">  Qualifying Wages</v>
          </cell>
          <cell r="C84" t="str">
            <v>BU21</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row>
        <row r="85">
          <cell r="A85" t="str">
            <v>||</v>
          </cell>
          <cell r="B85" t="str">
            <v xml:space="preserve">  Qualifying Supplies</v>
          </cell>
          <cell r="C85" t="str">
            <v>BU21</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row>
        <row r="86">
          <cell r="A86" t="str">
            <v>||</v>
          </cell>
          <cell r="B86" t="str">
            <v xml:space="preserve">  Qualifying Contract (@65%)</v>
          </cell>
          <cell r="C86" t="str">
            <v>BU21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row>
        <row r="87">
          <cell r="A87" t="str">
            <v>||</v>
          </cell>
          <cell r="B87" t="str">
            <v>B_U_22</v>
          </cell>
          <cell r="C87" t="str">
            <v>'[california Agouron Supermodel@10%.xls]B_U_22'!$B$2</v>
          </cell>
        </row>
        <row r="88">
          <cell r="A88" t="str">
            <v>||</v>
          </cell>
          <cell r="B88" t="str">
            <v xml:space="preserve">  Qualifying Wages</v>
          </cell>
          <cell r="C88" t="str">
            <v>BU22</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row>
        <row r="89">
          <cell r="A89" t="str">
            <v>||</v>
          </cell>
          <cell r="B89" t="str">
            <v xml:space="preserve">  Qualifying Supplies</v>
          </cell>
          <cell r="C89" t="str">
            <v>BU22</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row>
        <row r="90">
          <cell r="A90" t="str">
            <v>||</v>
          </cell>
          <cell r="B90" t="str">
            <v xml:space="preserve">  Qualifying Contract (@65%)</v>
          </cell>
          <cell r="C90" t="str">
            <v>BU22</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row>
        <row r="91">
          <cell r="A91" t="str">
            <v>||</v>
          </cell>
          <cell r="B91" t="str">
            <v>B_U_23</v>
          </cell>
          <cell r="C91" t="str">
            <v>'[california Agouron Supermodel@10%.xls]B_U_23'!$B$2</v>
          </cell>
        </row>
        <row r="92">
          <cell r="A92" t="str">
            <v>||</v>
          </cell>
          <cell r="B92" t="str">
            <v xml:space="preserve">  Qualifying Wages</v>
          </cell>
          <cell r="C92" t="str">
            <v>BU23</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row>
        <row r="93">
          <cell r="A93" t="str">
            <v>||</v>
          </cell>
          <cell r="B93" t="str">
            <v xml:space="preserve">  Qualifying Supplies</v>
          </cell>
          <cell r="C93" t="str">
            <v>BU23</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row>
        <row r="94">
          <cell r="A94" t="str">
            <v>||</v>
          </cell>
          <cell r="B94" t="str">
            <v xml:space="preserve">  Qualifying Contract (@65%)</v>
          </cell>
          <cell r="C94" t="str">
            <v>BU23</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row>
        <row r="96">
          <cell r="B96" t="str">
            <v>Totals</v>
          </cell>
          <cell r="D96">
            <v>20127</v>
          </cell>
          <cell r="E96">
            <v>63138</v>
          </cell>
          <cell r="F96">
            <v>500401</v>
          </cell>
          <cell r="G96">
            <v>1329416</v>
          </cell>
          <cell r="H96">
            <v>3373992</v>
          </cell>
          <cell r="I96">
            <v>3881959</v>
          </cell>
          <cell r="J96">
            <v>3454243.852</v>
          </cell>
          <cell r="K96">
            <v>5569741.7879999997</v>
          </cell>
          <cell r="L96">
            <v>7927846.0099999998</v>
          </cell>
          <cell r="M96">
            <v>11613530.587000001</v>
          </cell>
          <cell r="N96">
            <v>19707135.007000003</v>
          </cell>
          <cell r="O96">
            <v>35935120.957800001</v>
          </cell>
          <cell r="P96">
            <v>25478958.238794774</v>
          </cell>
          <cell r="Q96">
            <v>58157347.527499996</v>
          </cell>
          <cell r="R96">
            <v>56448709.302500002</v>
          </cell>
        </row>
        <row r="98">
          <cell r="B98" t="str">
            <v>PHASE II Summary:</v>
          </cell>
        </row>
        <row r="99">
          <cell r="B99" t="str">
            <v>Total Qualifying Wages</v>
          </cell>
          <cell r="D99">
            <v>11087</v>
          </cell>
          <cell r="E99">
            <v>50015</v>
          </cell>
          <cell r="F99">
            <v>323590</v>
          </cell>
          <cell r="G99">
            <v>899647</v>
          </cell>
          <cell r="H99">
            <v>2067727</v>
          </cell>
          <cell r="I99">
            <v>2741619</v>
          </cell>
          <cell r="J99">
            <v>2299558.0019999999</v>
          </cell>
          <cell r="K99">
            <v>3542463.7879999997</v>
          </cell>
          <cell r="L99">
            <v>5126210.5599999996</v>
          </cell>
          <cell r="M99">
            <v>7134127.5369999995</v>
          </cell>
          <cell r="N99">
            <v>9257454.4570000004</v>
          </cell>
          <cell r="O99">
            <v>17917881</v>
          </cell>
          <cell r="P99">
            <v>29938649</v>
          </cell>
          <cell r="Q99">
            <v>50930323</v>
          </cell>
          <cell r="R99">
            <v>49405882</v>
          </cell>
        </row>
        <row r="100">
          <cell r="B100" t="str">
            <v>Total Qualifying Supplies</v>
          </cell>
          <cell r="D100">
            <v>5472</v>
          </cell>
          <cell r="E100">
            <v>12863</v>
          </cell>
          <cell r="F100">
            <v>125054</v>
          </cell>
          <cell r="G100">
            <v>256771</v>
          </cell>
          <cell r="H100">
            <v>535563</v>
          </cell>
          <cell r="I100">
            <v>808521</v>
          </cell>
          <cell r="J100">
            <v>710184</v>
          </cell>
          <cell r="K100">
            <v>1384519</v>
          </cell>
          <cell r="L100">
            <v>1667156</v>
          </cell>
          <cell r="M100">
            <v>2705568</v>
          </cell>
          <cell r="N100">
            <v>7703244</v>
          </cell>
          <cell r="O100">
            <v>13677482.189999999</v>
          </cell>
          <cell r="P100">
            <v>2205524.4</v>
          </cell>
          <cell r="Q100">
            <v>6259486.3000000007</v>
          </cell>
          <cell r="R100">
            <v>7163698.8000000007</v>
          </cell>
        </row>
        <row r="101">
          <cell r="B101" t="str">
            <v>Total Qualifying Contract (@65%)</v>
          </cell>
          <cell r="D101">
            <v>3568</v>
          </cell>
          <cell r="E101">
            <v>260</v>
          </cell>
          <cell r="F101">
            <v>51757</v>
          </cell>
          <cell r="G101">
            <v>172998</v>
          </cell>
          <cell r="H101">
            <v>770702</v>
          </cell>
          <cell r="I101">
            <v>331819</v>
          </cell>
          <cell r="J101">
            <v>444501.85</v>
          </cell>
          <cell r="K101">
            <v>642759</v>
          </cell>
          <cell r="L101">
            <v>1134479.4500000002</v>
          </cell>
          <cell r="M101">
            <v>1773835.05</v>
          </cell>
          <cell r="N101">
            <v>2746436.55</v>
          </cell>
          <cell r="O101">
            <v>4339757.7677999996</v>
          </cell>
          <cell r="P101">
            <v>-6665215.1612052238</v>
          </cell>
          <cell r="Q101">
            <v>967538.2274999998</v>
          </cell>
          <cell r="R101">
            <v>-120871.49749999781</v>
          </cell>
        </row>
        <row r="102">
          <cell r="B102" t="str">
            <v xml:space="preserve">  Total Qualifying Expenses</v>
          </cell>
          <cell r="D102">
            <v>20127</v>
          </cell>
          <cell r="E102">
            <v>63138</v>
          </cell>
          <cell r="F102">
            <v>500401</v>
          </cell>
          <cell r="G102">
            <v>1329416</v>
          </cell>
          <cell r="H102">
            <v>3373992</v>
          </cell>
          <cell r="I102">
            <v>3881959</v>
          </cell>
          <cell r="J102">
            <v>3454243.852</v>
          </cell>
          <cell r="K102">
            <v>5569741.7879999997</v>
          </cell>
          <cell r="L102">
            <v>7927846.0099999998</v>
          </cell>
          <cell r="M102">
            <v>11613530.587000001</v>
          </cell>
          <cell r="N102">
            <v>19707135.007000003</v>
          </cell>
          <cell r="O102">
            <v>35935120.957800001</v>
          </cell>
          <cell r="P102">
            <v>25478958.238794774</v>
          </cell>
          <cell r="Q102">
            <v>58157347.527499996</v>
          </cell>
          <cell r="R102">
            <v>56448709.302500002</v>
          </cell>
        </row>
        <row r="103">
          <cell r="B103" t="str">
            <v xml:space="preserve"> </v>
          </cell>
          <cell r="D103"/>
          <cell r="E103"/>
          <cell r="F103"/>
          <cell r="G103"/>
          <cell r="H103"/>
          <cell r="I103"/>
          <cell r="J103"/>
          <cell r="K103"/>
          <cell r="L103"/>
          <cell r="M103"/>
          <cell r="N103"/>
          <cell r="O103"/>
          <cell r="P103"/>
          <cell r="Q103"/>
          <cell r="R103"/>
        </row>
        <row r="104">
          <cell r="B104" t="str">
            <v xml:space="preserve"> *** C A U T I O N *** :  ALL TOTALS AND SUBTOTALS ARE SENSITIVE TO EXISTING LOCATIONS OF ROWS AND COLUMNS !!!</v>
          </cell>
          <cell r="I104" t="str">
            <v xml:space="preserve"> </v>
          </cell>
          <cell r="J104" t="str">
            <v xml:space="preserve"> </v>
          </cell>
          <cell r="K104" t="str">
            <v xml:space="preserve"> </v>
          </cell>
          <cell r="L104" t="str">
            <v xml:space="preserve"> </v>
          </cell>
          <cell r="M104" t="str">
            <v xml:space="preserve"> </v>
          </cell>
          <cell r="N104" t="str">
            <v xml:space="preserve"> </v>
          </cell>
        </row>
        <row r="105">
          <cell r="B105" t="str">
            <v xml:space="preserve">                                       IF ANY ELEMENTS OF EXISTING FORMATS ARE CHANGED, ALL TOTALS AND SUBTOTALS MUST BE CHECKED !!!</v>
          </cell>
        </row>
        <row r="108">
          <cell r="C108" t="str">
            <v>W/P Ref</v>
          </cell>
          <cell r="D108">
            <v>1984</v>
          </cell>
          <cell r="E108">
            <v>1985</v>
          </cell>
          <cell r="F108">
            <v>1986</v>
          </cell>
          <cell r="G108">
            <v>1987</v>
          </cell>
          <cell r="H108">
            <v>1988</v>
          </cell>
          <cell r="I108">
            <v>1989</v>
          </cell>
          <cell r="J108">
            <v>1990</v>
          </cell>
          <cell r="K108">
            <v>1991</v>
          </cell>
          <cell r="L108">
            <v>1992</v>
          </cell>
          <cell r="M108">
            <v>1993</v>
          </cell>
          <cell r="N108">
            <v>1994</v>
          </cell>
          <cell r="O108">
            <v>1995</v>
          </cell>
          <cell r="P108">
            <v>1996</v>
          </cell>
          <cell r="Q108">
            <v>1997</v>
          </cell>
          <cell r="R108">
            <v>1998</v>
          </cell>
        </row>
        <row r="109">
          <cell r="B109" t="str">
            <v>Total Qualifying Wages</v>
          </cell>
          <cell r="D109">
            <v>11087</v>
          </cell>
          <cell r="E109">
            <v>50015</v>
          </cell>
          <cell r="F109">
            <v>323590</v>
          </cell>
          <cell r="G109">
            <v>899647</v>
          </cell>
          <cell r="H109">
            <v>2067727</v>
          </cell>
          <cell r="I109">
            <v>2741619</v>
          </cell>
          <cell r="J109">
            <v>2299558.0019999999</v>
          </cell>
          <cell r="K109">
            <v>3542463.7879999997</v>
          </cell>
          <cell r="L109">
            <v>5126210.5599999996</v>
          </cell>
          <cell r="M109">
            <v>7134127.5369999995</v>
          </cell>
          <cell r="N109">
            <v>9257454.4570000004</v>
          </cell>
          <cell r="O109">
            <v>17917881</v>
          </cell>
          <cell r="P109">
            <v>29938649</v>
          </cell>
          <cell r="Q109">
            <v>50930323</v>
          </cell>
          <cell r="R109">
            <v>49405882</v>
          </cell>
        </row>
        <row r="110">
          <cell r="B110" t="str">
            <v>Total Qualifying Supplies</v>
          </cell>
          <cell r="D110">
            <v>5472</v>
          </cell>
          <cell r="E110">
            <v>12863</v>
          </cell>
          <cell r="F110">
            <v>125054</v>
          </cell>
          <cell r="G110">
            <v>256771</v>
          </cell>
          <cell r="H110">
            <v>535563</v>
          </cell>
          <cell r="I110">
            <v>808521</v>
          </cell>
          <cell r="J110">
            <v>710184</v>
          </cell>
          <cell r="K110">
            <v>1384519</v>
          </cell>
          <cell r="L110">
            <v>1667156</v>
          </cell>
          <cell r="M110">
            <v>2705568</v>
          </cell>
          <cell r="N110">
            <v>7703244</v>
          </cell>
          <cell r="O110">
            <v>13677482.189999999</v>
          </cell>
          <cell r="P110">
            <v>2205524.4</v>
          </cell>
          <cell r="Q110">
            <v>6259486.3000000007</v>
          </cell>
          <cell r="R110">
            <v>7163698.8000000007</v>
          </cell>
        </row>
        <row r="111">
          <cell r="B111" t="str">
            <v>Total Qualifying Contract (@65%)</v>
          </cell>
          <cell r="D111">
            <v>3568</v>
          </cell>
          <cell r="E111">
            <v>260</v>
          </cell>
          <cell r="F111">
            <v>51757</v>
          </cell>
          <cell r="G111">
            <v>172998</v>
          </cell>
          <cell r="H111">
            <v>770702</v>
          </cell>
          <cell r="I111">
            <v>331819</v>
          </cell>
          <cell r="J111">
            <v>444501.85</v>
          </cell>
          <cell r="K111">
            <v>642759</v>
          </cell>
          <cell r="L111">
            <v>1134479.4500000002</v>
          </cell>
          <cell r="M111">
            <v>1773835.05</v>
          </cell>
          <cell r="N111">
            <v>2746436.55</v>
          </cell>
          <cell r="O111">
            <v>4339757.7677999996</v>
          </cell>
          <cell r="P111">
            <v>-6665215.1612052238</v>
          </cell>
          <cell r="Q111">
            <v>967538.2274999998</v>
          </cell>
          <cell r="R111">
            <v>-120871.49749999781</v>
          </cell>
        </row>
        <row r="112">
          <cell r="B112" t="str">
            <v xml:space="preserve">  Total Qualifying Expenses</v>
          </cell>
          <cell r="D112">
            <v>20127</v>
          </cell>
          <cell r="E112">
            <v>63138</v>
          </cell>
          <cell r="F112">
            <v>500401</v>
          </cell>
          <cell r="G112">
            <v>1329416</v>
          </cell>
          <cell r="H112">
            <v>3373992</v>
          </cell>
          <cell r="I112">
            <v>3881959</v>
          </cell>
          <cell r="J112">
            <v>3454243.852</v>
          </cell>
          <cell r="K112">
            <v>5569741.7879999997</v>
          </cell>
          <cell r="L112">
            <v>7927846.0099999998</v>
          </cell>
          <cell r="M112">
            <v>11613530.587000001</v>
          </cell>
          <cell r="N112">
            <v>19707135.007000003</v>
          </cell>
          <cell r="O112">
            <v>35935120.957800001</v>
          </cell>
          <cell r="P112">
            <v>25478958.238794774</v>
          </cell>
          <cell r="Q112">
            <v>58157347.527499996</v>
          </cell>
          <cell r="R112">
            <v>56448709.302500002</v>
          </cell>
        </row>
        <row r="115">
          <cell r="D115">
            <v>84</v>
          </cell>
          <cell r="E115">
            <v>85</v>
          </cell>
          <cell r="F115">
            <v>86</v>
          </cell>
          <cell r="G115">
            <v>87</v>
          </cell>
          <cell r="H115">
            <v>88</v>
          </cell>
          <cell r="I115">
            <v>89</v>
          </cell>
          <cell r="J115">
            <v>90</v>
          </cell>
          <cell r="K115">
            <v>91</v>
          </cell>
          <cell r="L115">
            <v>92</v>
          </cell>
          <cell r="M115">
            <v>93</v>
          </cell>
          <cell r="N115">
            <v>94</v>
          </cell>
          <cell r="O115">
            <v>95</v>
          </cell>
          <cell r="P115">
            <v>96</v>
          </cell>
          <cell r="Q115">
            <v>97</v>
          </cell>
          <cell r="R115">
            <v>98</v>
          </cell>
        </row>
        <row r="116">
          <cell r="D116">
            <v>20127</v>
          </cell>
          <cell r="E116">
            <v>63138</v>
          </cell>
          <cell r="F116">
            <v>500401</v>
          </cell>
          <cell r="G116">
            <v>1329416</v>
          </cell>
          <cell r="H116">
            <v>3373992</v>
          </cell>
          <cell r="I116">
            <v>3881959</v>
          </cell>
          <cell r="J116">
            <v>3454243.852</v>
          </cell>
          <cell r="K116">
            <v>5569741.7879999997</v>
          </cell>
          <cell r="L116">
            <v>7927846.0099999998</v>
          </cell>
          <cell r="M116">
            <v>11613530.587000001</v>
          </cell>
          <cell r="N116">
            <v>19707135.007000003</v>
          </cell>
          <cell r="O116">
            <v>35935120.957800001</v>
          </cell>
          <cell r="P116">
            <v>25478958.238794774</v>
          </cell>
          <cell r="Q116">
            <v>58157347.527499996</v>
          </cell>
          <cell r="R116">
            <v>56448709.302500002</v>
          </cell>
        </row>
      </sheetData>
      <sheetData sheetId="11" refreshError="1">
        <row r="216">
          <cell r="D216">
            <v>1984</v>
          </cell>
          <cell r="E216">
            <v>1985</v>
          </cell>
          <cell r="F216">
            <v>1986</v>
          </cell>
          <cell r="G216">
            <v>1987</v>
          </cell>
          <cell r="H216">
            <v>1988</v>
          </cell>
          <cell r="I216">
            <v>1989</v>
          </cell>
          <cell r="J216">
            <v>1990</v>
          </cell>
          <cell r="K216">
            <v>1991</v>
          </cell>
          <cell r="L216">
            <v>1992</v>
          </cell>
          <cell r="M216">
            <v>1993</v>
          </cell>
          <cell r="N216">
            <v>1994</v>
          </cell>
          <cell r="O216">
            <v>1995</v>
          </cell>
          <cell r="P216">
            <v>1996</v>
          </cell>
          <cell r="Q216">
            <v>1997</v>
          </cell>
          <cell r="R216">
            <v>1998</v>
          </cell>
        </row>
        <row r="217">
          <cell r="C217" t="str">
            <v>Wages</v>
          </cell>
          <cell r="D217">
            <v>11.087</v>
          </cell>
          <cell r="E217">
            <v>50.015000000000001</v>
          </cell>
          <cell r="F217">
            <v>323.58999999999997</v>
          </cell>
          <cell r="G217">
            <v>899.64700000000005</v>
          </cell>
          <cell r="H217">
            <v>2067.7269999999999</v>
          </cell>
          <cell r="I217">
            <v>2741.6190000000001</v>
          </cell>
          <cell r="J217">
            <v>2299.5580019999998</v>
          </cell>
          <cell r="K217">
            <v>3542.4637879999996</v>
          </cell>
          <cell r="L217">
            <v>5126.2105599999995</v>
          </cell>
          <cell r="M217">
            <v>7134.1275369999994</v>
          </cell>
          <cell r="N217">
            <v>9257.4544569999998</v>
          </cell>
          <cell r="O217">
            <v>17917.881000000001</v>
          </cell>
          <cell r="P217">
            <v>29938.649000000001</v>
          </cell>
          <cell r="Q217">
            <v>50930.322999999997</v>
          </cell>
          <cell r="R217">
            <v>49405.881999999998</v>
          </cell>
        </row>
        <row r="218">
          <cell r="C218" t="str">
            <v>Supplies</v>
          </cell>
          <cell r="D218">
            <v>5.4720000000000004</v>
          </cell>
          <cell r="E218">
            <v>12.863</v>
          </cell>
          <cell r="F218">
            <v>125.054</v>
          </cell>
          <cell r="G218">
            <v>256.77100000000002</v>
          </cell>
          <cell r="H218">
            <v>535.56299999999999</v>
          </cell>
          <cell r="I218">
            <v>808.52099999999996</v>
          </cell>
          <cell r="J218">
            <v>710.18399999999997</v>
          </cell>
          <cell r="K218">
            <v>1384.519</v>
          </cell>
          <cell r="L218">
            <v>1667.1559999999999</v>
          </cell>
          <cell r="M218">
            <v>2705.5680000000002</v>
          </cell>
          <cell r="N218">
            <v>7703.2439999999997</v>
          </cell>
          <cell r="O218">
            <v>13677.482189999999</v>
          </cell>
          <cell r="P218">
            <v>2205.5243999999998</v>
          </cell>
          <cell r="Q218">
            <v>6259.4863000000005</v>
          </cell>
          <cell r="R218">
            <v>7163.698800000001</v>
          </cell>
        </row>
        <row r="219">
          <cell r="C219" t="str">
            <v>Contracts</v>
          </cell>
          <cell r="D219">
            <v>3.5680000000000001</v>
          </cell>
          <cell r="E219">
            <v>0.26</v>
          </cell>
          <cell r="F219">
            <v>51.756999999999998</v>
          </cell>
          <cell r="G219">
            <v>172.99799999999999</v>
          </cell>
          <cell r="H219">
            <v>770.702</v>
          </cell>
          <cell r="I219">
            <v>331.81900000000002</v>
          </cell>
          <cell r="J219">
            <v>444.50184999999999</v>
          </cell>
          <cell r="K219">
            <v>642.75900000000001</v>
          </cell>
          <cell r="L219">
            <v>1134.4794500000003</v>
          </cell>
          <cell r="M219">
            <v>1773.8350500000001</v>
          </cell>
          <cell r="N219">
            <v>2746.4365499999999</v>
          </cell>
          <cell r="O219">
            <v>4339.7577677999998</v>
          </cell>
          <cell r="P219">
            <v>-6665.2151612052239</v>
          </cell>
          <cell r="Q219">
            <v>967.53822749999983</v>
          </cell>
          <cell r="R219">
            <v>-120.87149749999782</v>
          </cell>
        </row>
        <row r="222">
          <cell r="D222">
            <v>1984</v>
          </cell>
          <cell r="E222">
            <v>1985</v>
          </cell>
          <cell r="F222">
            <v>1986</v>
          </cell>
          <cell r="G222">
            <v>1987</v>
          </cell>
          <cell r="H222">
            <v>1988</v>
          </cell>
          <cell r="I222">
            <v>1989</v>
          </cell>
          <cell r="J222">
            <v>1990</v>
          </cell>
          <cell r="K222">
            <v>1991</v>
          </cell>
          <cell r="L222">
            <v>1992</v>
          </cell>
          <cell r="M222">
            <v>1993</v>
          </cell>
          <cell r="N222">
            <v>1994</v>
          </cell>
          <cell r="O222">
            <v>1995</v>
          </cell>
          <cell r="P222">
            <v>1996</v>
          </cell>
          <cell r="Q222">
            <v>1997</v>
          </cell>
          <cell r="R222">
            <v>1998</v>
          </cell>
        </row>
        <row r="223">
          <cell r="C223" t="str">
            <v>Phase II Findings</v>
          </cell>
          <cell r="D223">
            <v>11.087</v>
          </cell>
          <cell r="E223">
            <v>50.015000000000001</v>
          </cell>
          <cell r="F223">
            <v>323.58999999999997</v>
          </cell>
          <cell r="G223">
            <v>899.64700000000005</v>
          </cell>
          <cell r="H223">
            <v>2067.7269999999999</v>
          </cell>
          <cell r="I223">
            <v>2741.6190000000001</v>
          </cell>
          <cell r="J223">
            <v>2299.5580019999998</v>
          </cell>
          <cell r="K223">
            <v>3542.4637879999996</v>
          </cell>
          <cell r="L223">
            <v>5126.2105599999995</v>
          </cell>
          <cell r="M223">
            <v>7134.1275369999994</v>
          </cell>
          <cell r="N223">
            <v>9257.4544569999998</v>
          </cell>
          <cell r="O223">
            <v>17917.881000000001</v>
          </cell>
          <cell r="P223">
            <v>29938.649000000001</v>
          </cell>
          <cell r="Q223">
            <v>50930.322999999997</v>
          </cell>
          <cell r="R223">
            <v>49405.881999999998</v>
          </cell>
        </row>
        <row r="224">
          <cell r="C224" t="str">
            <v xml:space="preserve">As Filed QRE </v>
          </cell>
          <cell r="D224" t="e">
            <v>#REF!</v>
          </cell>
          <cell r="E224" t="e">
            <v>#REF!</v>
          </cell>
          <cell r="F224" t="e">
            <v>#REF!</v>
          </cell>
          <cell r="G224" t="e">
            <v>#REF!</v>
          </cell>
          <cell r="H224" t="e">
            <v>#REF!</v>
          </cell>
          <cell r="I224" t="e">
            <v>#REF!</v>
          </cell>
          <cell r="J224" t="e">
            <v>#REF!</v>
          </cell>
          <cell r="K224" t="e">
            <v>#REF!</v>
          </cell>
          <cell r="L224" t="e">
            <v>#REF!</v>
          </cell>
          <cell r="M224" t="e">
            <v>#REF!</v>
          </cell>
          <cell r="N224" t="e">
            <v>#REF!</v>
          </cell>
          <cell r="O224" t="e">
            <v>#REF!</v>
          </cell>
          <cell r="P224" t="e">
            <v>#REF!</v>
          </cell>
          <cell r="Q224" t="e">
            <v>#REF!</v>
          </cell>
          <cell r="R224" t="e">
            <v>#REF!</v>
          </cell>
        </row>
        <row r="225">
          <cell r="C225"/>
          <cell r="D225"/>
          <cell r="E225"/>
          <cell r="F225"/>
          <cell r="G225"/>
          <cell r="H225"/>
          <cell r="I225"/>
          <cell r="J225"/>
          <cell r="K225"/>
          <cell r="L225"/>
          <cell r="M225"/>
          <cell r="N225"/>
          <cell r="O225"/>
          <cell r="P225"/>
          <cell r="Q225"/>
          <cell r="R225"/>
        </row>
        <row r="226">
          <cell r="C226"/>
          <cell r="D226"/>
          <cell r="E226"/>
          <cell r="F226"/>
          <cell r="G226"/>
          <cell r="H226"/>
          <cell r="I226"/>
          <cell r="J226"/>
          <cell r="K226"/>
          <cell r="L226"/>
          <cell r="M226"/>
          <cell r="N226"/>
          <cell r="O226"/>
          <cell r="P226"/>
          <cell r="Q226"/>
          <cell r="R226"/>
        </row>
        <row r="227">
          <cell r="C227"/>
          <cell r="D227"/>
          <cell r="E227"/>
          <cell r="F227"/>
          <cell r="G227"/>
          <cell r="H227"/>
          <cell r="I227"/>
          <cell r="J227"/>
          <cell r="K227"/>
          <cell r="L227"/>
          <cell r="M227"/>
          <cell r="N227"/>
          <cell r="O227"/>
          <cell r="P227"/>
          <cell r="Q227"/>
          <cell r="R227"/>
        </row>
        <row r="228">
          <cell r="C228"/>
          <cell r="D228"/>
          <cell r="E228"/>
          <cell r="F228"/>
          <cell r="G228"/>
          <cell r="H228"/>
          <cell r="I228"/>
          <cell r="J228"/>
          <cell r="K228"/>
          <cell r="L228"/>
          <cell r="M228"/>
          <cell r="N228"/>
          <cell r="O228"/>
          <cell r="P228"/>
          <cell r="Q228"/>
          <cell r="R228"/>
        </row>
        <row r="229">
          <cell r="C229"/>
          <cell r="D229"/>
          <cell r="E229"/>
          <cell r="F229"/>
          <cell r="G229"/>
          <cell r="H229"/>
          <cell r="I229"/>
          <cell r="J229"/>
          <cell r="K229"/>
          <cell r="L229"/>
          <cell r="M229"/>
          <cell r="N229"/>
          <cell r="O229"/>
          <cell r="P229"/>
          <cell r="Q229"/>
          <cell r="R229"/>
        </row>
        <row r="230">
          <cell r="C230"/>
          <cell r="D230"/>
          <cell r="E230"/>
          <cell r="F230"/>
          <cell r="G230"/>
          <cell r="H230"/>
          <cell r="I230"/>
          <cell r="J230"/>
          <cell r="K230"/>
          <cell r="L230"/>
          <cell r="M230"/>
          <cell r="N230"/>
          <cell r="O230"/>
          <cell r="P230"/>
          <cell r="Q230"/>
          <cell r="R230"/>
        </row>
        <row r="231">
          <cell r="C231"/>
          <cell r="D231"/>
          <cell r="E231"/>
          <cell r="F231"/>
          <cell r="G231"/>
          <cell r="H231"/>
          <cell r="I231"/>
          <cell r="J231"/>
          <cell r="K231"/>
          <cell r="L231"/>
          <cell r="M231"/>
          <cell r="N231"/>
          <cell r="O231"/>
          <cell r="P231"/>
          <cell r="Q231"/>
          <cell r="R231"/>
        </row>
        <row r="232">
          <cell r="C232"/>
          <cell r="D232"/>
          <cell r="E232"/>
          <cell r="F232"/>
          <cell r="G232"/>
          <cell r="H232"/>
          <cell r="I232"/>
          <cell r="J232"/>
          <cell r="K232"/>
          <cell r="L232"/>
          <cell r="M232"/>
          <cell r="N232"/>
          <cell r="O232"/>
          <cell r="P232"/>
          <cell r="Q232"/>
          <cell r="R232"/>
        </row>
        <row r="233">
          <cell r="C233"/>
          <cell r="D233"/>
          <cell r="E233"/>
          <cell r="F233"/>
          <cell r="G233"/>
          <cell r="H233"/>
          <cell r="I233"/>
          <cell r="J233"/>
          <cell r="K233"/>
          <cell r="L233"/>
          <cell r="M233"/>
          <cell r="N233"/>
          <cell r="O233"/>
          <cell r="P233"/>
          <cell r="Q233"/>
          <cell r="R233"/>
        </row>
        <row r="234">
          <cell r="C234"/>
          <cell r="D234"/>
          <cell r="E234"/>
          <cell r="F234"/>
          <cell r="G234"/>
          <cell r="H234"/>
          <cell r="I234"/>
          <cell r="J234"/>
          <cell r="K234"/>
          <cell r="L234"/>
          <cell r="M234"/>
          <cell r="N234"/>
          <cell r="O234"/>
          <cell r="P234"/>
          <cell r="Q234"/>
          <cell r="R234"/>
        </row>
        <row r="235">
          <cell r="C235"/>
          <cell r="D235"/>
          <cell r="E235"/>
          <cell r="F235"/>
          <cell r="G235"/>
          <cell r="H235"/>
          <cell r="I235"/>
          <cell r="J235"/>
          <cell r="K235"/>
          <cell r="L235"/>
          <cell r="M235"/>
          <cell r="N235"/>
          <cell r="O235"/>
          <cell r="P235"/>
          <cell r="Q235"/>
          <cell r="R235"/>
        </row>
        <row r="236">
          <cell r="C236"/>
          <cell r="D236"/>
          <cell r="E236"/>
          <cell r="F236"/>
          <cell r="G236"/>
          <cell r="H236"/>
          <cell r="I236"/>
          <cell r="J236"/>
          <cell r="K236"/>
          <cell r="L236"/>
          <cell r="M236"/>
          <cell r="N236"/>
          <cell r="O236"/>
          <cell r="P236"/>
          <cell r="Q236"/>
          <cell r="R236"/>
        </row>
        <row r="237">
          <cell r="C237"/>
          <cell r="D237"/>
          <cell r="E237"/>
          <cell r="F237"/>
          <cell r="G237"/>
          <cell r="H237"/>
          <cell r="I237"/>
          <cell r="J237"/>
          <cell r="K237"/>
          <cell r="L237"/>
          <cell r="M237"/>
          <cell r="N237"/>
          <cell r="O237"/>
          <cell r="P237"/>
          <cell r="Q237"/>
          <cell r="R237"/>
        </row>
        <row r="238">
          <cell r="C238"/>
          <cell r="D238"/>
          <cell r="E238"/>
          <cell r="F238"/>
          <cell r="G238"/>
          <cell r="H238"/>
          <cell r="I238"/>
          <cell r="J238"/>
          <cell r="K238"/>
          <cell r="L238"/>
          <cell r="M238"/>
          <cell r="N238"/>
          <cell r="O238"/>
          <cell r="P238"/>
          <cell r="Q238"/>
          <cell r="R238"/>
        </row>
        <row r="239">
          <cell r="C239"/>
          <cell r="D239"/>
          <cell r="E239"/>
          <cell r="F239"/>
          <cell r="G239"/>
          <cell r="H239"/>
          <cell r="I239"/>
          <cell r="J239"/>
          <cell r="K239"/>
          <cell r="L239"/>
          <cell r="M239"/>
          <cell r="N239"/>
          <cell r="O239"/>
          <cell r="P239"/>
          <cell r="Q239"/>
          <cell r="R239"/>
        </row>
        <row r="240">
          <cell r="C240"/>
          <cell r="D240"/>
          <cell r="E240"/>
          <cell r="F240"/>
          <cell r="G240"/>
          <cell r="H240"/>
          <cell r="I240"/>
          <cell r="J240"/>
          <cell r="K240"/>
          <cell r="L240"/>
          <cell r="M240"/>
          <cell r="N240"/>
          <cell r="O240"/>
          <cell r="P240"/>
          <cell r="Q240"/>
          <cell r="R240"/>
        </row>
        <row r="241">
          <cell r="C241"/>
          <cell r="D241"/>
          <cell r="E241"/>
          <cell r="F241"/>
          <cell r="G241"/>
          <cell r="H241"/>
          <cell r="I241"/>
          <cell r="J241"/>
          <cell r="K241"/>
          <cell r="L241"/>
          <cell r="M241"/>
          <cell r="N241"/>
          <cell r="O241"/>
          <cell r="P241"/>
          <cell r="Q241"/>
          <cell r="R241"/>
        </row>
        <row r="242">
          <cell r="C242"/>
          <cell r="D242"/>
          <cell r="E242"/>
          <cell r="F242"/>
          <cell r="G242"/>
          <cell r="H242"/>
          <cell r="I242"/>
          <cell r="J242"/>
          <cell r="K242"/>
          <cell r="L242"/>
          <cell r="M242"/>
          <cell r="N242"/>
          <cell r="O242"/>
          <cell r="P242"/>
          <cell r="Q242"/>
          <cell r="R242"/>
        </row>
        <row r="243">
          <cell r="C243"/>
          <cell r="D243"/>
          <cell r="E243"/>
          <cell r="F243"/>
          <cell r="G243"/>
          <cell r="H243"/>
          <cell r="I243"/>
          <cell r="J243"/>
          <cell r="K243"/>
          <cell r="L243"/>
          <cell r="M243"/>
          <cell r="N243"/>
          <cell r="O243"/>
          <cell r="P243"/>
          <cell r="Q243"/>
          <cell r="R243"/>
        </row>
        <row r="244">
          <cell r="C244"/>
          <cell r="D244"/>
          <cell r="E244"/>
          <cell r="F244"/>
          <cell r="G244"/>
          <cell r="H244"/>
          <cell r="I244"/>
          <cell r="J244"/>
          <cell r="K244"/>
          <cell r="L244"/>
          <cell r="M244"/>
          <cell r="N244"/>
          <cell r="O244"/>
          <cell r="P244"/>
          <cell r="Q244"/>
          <cell r="R244"/>
        </row>
        <row r="245">
          <cell r="C245"/>
          <cell r="D245"/>
          <cell r="E245"/>
          <cell r="F245"/>
          <cell r="G245"/>
          <cell r="H245"/>
          <cell r="I245"/>
          <cell r="J245"/>
          <cell r="K245"/>
          <cell r="L245"/>
          <cell r="M245"/>
          <cell r="N245"/>
          <cell r="O245"/>
          <cell r="P245"/>
          <cell r="Q245"/>
          <cell r="R245"/>
        </row>
        <row r="248">
          <cell r="D248">
            <v>1984</v>
          </cell>
          <cell r="E248">
            <v>1985</v>
          </cell>
          <cell r="F248">
            <v>1986</v>
          </cell>
          <cell r="G248">
            <v>1987</v>
          </cell>
          <cell r="H248">
            <v>1988</v>
          </cell>
          <cell r="I248">
            <v>1989</v>
          </cell>
          <cell r="J248">
            <v>1990</v>
          </cell>
          <cell r="K248">
            <v>1991</v>
          </cell>
          <cell r="L248">
            <v>1992</v>
          </cell>
          <cell r="M248">
            <v>1993</v>
          </cell>
          <cell r="N248">
            <v>1994</v>
          </cell>
          <cell r="O248">
            <v>1995</v>
          </cell>
          <cell r="P248">
            <v>1996</v>
          </cell>
          <cell r="Q248">
            <v>1997</v>
          </cell>
          <cell r="R248">
            <v>1998</v>
          </cell>
        </row>
        <row r="249">
          <cell r="C249" t="str">
            <v>Phase II Findings</v>
          </cell>
          <cell r="D249">
            <v>5.4720000000000004</v>
          </cell>
          <cell r="E249">
            <v>12.863</v>
          </cell>
          <cell r="F249">
            <v>125.054</v>
          </cell>
          <cell r="G249">
            <v>256.77100000000002</v>
          </cell>
          <cell r="H249">
            <v>535.56299999999999</v>
          </cell>
          <cell r="I249">
            <v>808.52099999999996</v>
          </cell>
          <cell r="J249">
            <v>710.18399999999997</v>
          </cell>
          <cell r="K249">
            <v>1384.519</v>
          </cell>
          <cell r="L249">
            <v>1667.1559999999999</v>
          </cell>
          <cell r="M249">
            <v>2705.5680000000002</v>
          </cell>
          <cell r="N249">
            <v>7703.2439999999997</v>
          </cell>
          <cell r="O249">
            <v>13677.482189999999</v>
          </cell>
          <cell r="P249">
            <v>2205.5243999999998</v>
          </cell>
          <cell r="Q249">
            <v>6259.4863000000005</v>
          </cell>
          <cell r="R249">
            <v>7163.698800000001</v>
          </cell>
        </row>
        <row r="250">
          <cell r="C250" t="str">
            <v xml:space="preserve">As Filed QRE </v>
          </cell>
          <cell r="D250" t="e">
            <v>#REF!</v>
          </cell>
          <cell r="E250" t="e">
            <v>#REF!</v>
          </cell>
          <cell r="F250" t="e">
            <v>#REF!</v>
          </cell>
          <cell r="G250" t="e">
            <v>#REF!</v>
          </cell>
          <cell r="H250" t="e">
            <v>#REF!</v>
          </cell>
          <cell r="I250" t="e">
            <v>#REF!</v>
          </cell>
          <cell r="J250" t="e">
            <v>#REF!</v>
          </cell>
          <cell r="K250" t="e">
            <v>#REF!</v>
          </cell>
          <cell r="L250" t="e">
            <v>#REF!</v>
          </cell>
          <cell r="M250" t="e">
            <v>#REF!</v>
          </cell>
          <cell r="N250" t="e">
            <v>#REF!</v>
          </cell>
          <cell r="O250" t="e">
            <v>#REF!</v>
          </cell>
          <cell r="P250" t="e">
            <v>#REF!</v>
          </cell>
          <cell r="Q250" t="e">
            <v>#REF!</v>
          </cell>
          <cell r="R250" t="e">
            <v>#REF!</v>
          </cell>
        </row>
        <row r="251">
          <cell r="C251"/>
          <cell r="D251"/>
          <cell r="E251"/>
          <cell r="F251"/>
          <cell r="G251"/>
          <cell r="H251"/>
          <cell r="I251"/>
          <cell r="J251"/>
          <cell r="K251"/>
          <cell r="L251"/>
          <cell r="M251"/>
          <cell r="N251"/>
          <cell r="O251"/>
          <cell r="P251"/>
          <cell r="Q251"/>
          <cell r="R251"/>
        </row>
        <row r="252">
          <cell r="C252"/>
          <cell r="D252"/>
          <cell r="E252"/>
          <cell r="F252"/>
          <cell r="G252"/>
          <cell r="H252"/>
          <cell r="I252"/>
          <cell r="J252"/>
          <cell r="K252"/>
          <cell r="L252"/>
          <cell r="M252"/>
          <cell r="N252"/>
          <cell r="O252"/>
          <cell r="P252"/>
          <cell r="Q252"/>
          <cell r="R252"/>
        </row>
        <row r="253">
          <cell r="C253"/>
          <cell r="D253"/>
          <cell r="E253"/>
          <cell r="F253"/>
          <cell r="G253"/>
          <cell r="H253"/>
          <cell r="I253"/>
          <cell r="J253"/>
          <cell r="K253"/>
          <cell r="L253"/>
          <cell r="M253"/>
          <cell r="N253"/>
          <cell r="O253"/>
          <cell r="P253"/>
          <cell r="Q253"/>
          <cell r="R253"/>
        </row>
        <row r="254">
          <cell r="C254"/>
          <cell r="D254"/>
          <cell r="E254"/>
          <cell r="F254"/>
          <cell r="G254"/>
          <cell r="H254"/>
          <cell r="I254"/>
          <cell r="J254"/>
          <cell r="K254"/>
          <cell r="L254"/>
          <cell r="M254"/>
          <cell r="N254"/>
          <cell r="O254"/>
          <cell r="P254"/>
          <cell r="Q254"/>
          <cell r="R254"/>
        </row>
        <row r="255">
          <cell r="C255"/>
          <cell r="D255"/>
          <cell r="E255"/>
          <cell r="F255"/>
          <cell r="G255"/>
          <cell r="H255"/>
          <cell r="I255"/>
          <cell r="J255"/>
          <cell r="K255"/>
          <cell r="L255"/>
          <cell r="M255"/>
          <cell r="N255"/>
          <cell r="O255"/>
          <cell r="P255"/>
          <cell r="Q255"/>
          <cell r="R255"/>
        </row>
        <row r="256">
          <cell r="C256"/>
          <cell r="D256"/>
          <cell r="E256"/>
          <cell r="F256"/>
          <cell r="G256"/>
          <cell r="H256"/>
          <cell r="I256"/>
          <cell r="J256"/>
          <cell r="K256"/>
          <cell r="L256"/>
          <cell r="M256"/>
          <cell r="N256"/>
          <cell r="O256"/>
          <cell r="P256"/>
          <cell r="Q256"/>
          <cell r="R256"/>
        </row>
        <row r="257">
          <cell r="C257"/>
          <cell r="D257"/>
          <cell r="E257"/>
          <cell r="F257"/>
          <cell r="G257"/>
          <cell r="H257"/>
          <cell r="I257"/>
          <cell r="J257"/>
          <cell r="K257"/>
          <cell r="L257"/>
          <cell r="M257"/>
          <cell r="N257"/>
          <cell r="O257"/>
          <cell r="P257"/>
          <cell r="Q257"/>
          <cell r="R257"/>
        </row>
        <row r="258">
          <cell r="C258"/>
          <cell r="D258"/>
          <cell r="E258"/>
          <cell r="F258"/>
          <cell r="G258"/>
          <cell r="H258"/>
          <cell r="I258"/>
          <cell r="J258"/>
          <cell r="K258"/>
          <cell r="L258"/>
          <cell r="M258"/>
          <cell r="N258"/>
          <cell r="O258"/>
          <cell r="P258"/>
          <cell r="Q258"/>
          <cell r="R258"/>
        </row>
        <row r="259">
          <cell r="C259"/>
          <cell r="D259"/>
          <cell r="E259"/>
          <cell r="F259"/>
          <cell r="G259"/>
          <cell r="H259"/>
          <cell r="I259"/>
          <cell r="J259"/>
          <cell r="K259"/>
          <cell r="L259"/>
          <cell r="M259"/>
          <cell r="N259"/>
          <cell r="O259"/>
          <cell r="P259"/>
          <cell r="Q259"/>
          <cell r="R259"/>
        </row>
        <row r="260">
          <cell r="C260"/>
          <cell r="D260"/>
          <cell r="E260"/>
          <cell r="F260"/>
          <cell r="G260"/>
          <cell r="H260"/>
          <cell r="I260"/>
          <cell r="J260"/>
          <cell r="K260"/>
          <cell r="L260"/>
          <cell r="M260"/>
          <cell r="N260"/>
          <cell r="O260"/>
          <cell r="P260"/>
          <cell r="Q260"/>
          <cell r="R260"/>
        </row>
        <row r="261">
          <cell r="C261"/>
          <cell r="D261"/>
          <cell r="E261"/>
          <cell r="F261"/>
          <cell r="G261"/>
          <cell r="H261"/>
          <cell r="I261"/>
          <cell r="J261"/>
          <cell r="K261"/>
          <cell r="L261"/>
          <cell r="M261"/>
          <cell r="N261"/>
          <cell r="O261"/>
          <cell r="P261"/>
          <cell r="Q261"/>
          <cell r="R261"/>
        </row>
        <row r="262">
          <cell r="C262"/>
          <cell r="D262"/>
          <cell r="E262"/>
          <cell r="F262"/>
          <cell r="G262"/>
          <cell r="H262"/>
          <cell r="I262"/>
          <cell r="J262"/>
          <cell r="K262"/>
          <cell r="L262"/>
          <cell r="M262"/>
          <cell r="N262"/>
          <cell r="O262"/>
          <cell r="P262"/>
          <cell r="Q262"/>
          <cell r="R262"/>
        </row>
        <row r="263">
          <cell r="C263"/>
          <cell r="D263"/>
          <cell r="E263"/>
          <cell r="F263"/>
          <cell r="G263"/>
          <cell r="H263"/>
          <cell r="I263"/>
          <cell r="J263"/>
          <cell r="K263"/>
          <cell r="L263"/>
          <cell r="M263"/>
          <cell r="N263"/>
          <cell r="O263"/>
          <cell r="P263"/>
          <cell r="Q263"/>
          <cell r="R263"/>
        </row>
        <row r="264">
          <cell r="C264"/>
          <cell r="D264"/>
          <cell r="E264"/>
          <cell r="F264"/>
          <cell r="G264"/>
          <cell r="H264"/>
          <cell r="I264"/>
          <cell r="J264"/>
          <cell r="K264"/>
          <cell r="L264"/>
          <cell r="M264"/>
          <cell r="N264"/>
          <cell r="O264"/>
          <cell r="P264"/>
          <cell r="Q264"/>
          <cell r="R264"/>
        </row>
        <row r="265">
          <cell r="C265"/>
          <cell r="D265"/>
          <cell r="E265"/>
          <cell r="F265"/>
          <cell r="G265"/>
          <cell r="H265"/>
          <cell r="I265"/>
          <cell r="J265"/>
          <cell r="K265"/>
          <cell r="L265"/>
          <cell r="M265"/>
          <cell r="N265"/>
          <cell r="O265"/>
          <cell r="P265"/>
          <cell r="Q265"/>
          <cell r="R265"/>
        </row>
        <row r="266">
          <cell r="C266"/>
          <cell r="D266"/>
          <cell r="E266"/>
          <cell r="F266"/>
          <cell r="G266"/>
          <cell r="H266"/>
          <cell r="I266"/>
          <cell r="J266"/>
          <cell r="K266"/>
          <cell r="L266"/>
          <cell r="M266"/>
          <cell r="N266"/>
          <cell r="O266"/>
          <cell r="P266"/>
          <cell r="Q266"/>
          <cell r="R266"/>
        </row>
        <row r="267">
          <cell r="C267"/>
          <cell r="D267"/>
          <cell r="E267"/>
          <cell r="F267"/>
          <cell r="G267"/>
          <cell r="H267"/>
          <cell r="I267"/>
          <cell r="J267"/>
          <cell r="K267"/>
          <cell r="L267"/>
          <cell r="M267"/>
          <cell r="N267"/>
          <cell r="O267"/>
          <cell r="P267"/>
          <cell r="Q267"/>
          <cell r="R267"/>
        </row>
        <row r="268">
          <cell r="C268"/>
          <cell r="D268"/>
          <cell r="E268"/>
          <cell r="F268"/>
          <cell r="G268"/>
          <cell r="H268"/>
          <cell r="I268"/>
          <cell r="J268"/>
          <cell r="K268"/>
          <cell r="L268"/>
          <cell r="M268"/>
          <cell r="N268"/>
          <cell r="O268"/>
          <cell r="P268"/>
          <cell r="Q268"/>
          <cell r="R268"/>
        </row>
        <row r="269">
          <cell r="C269"/>
          <cell r="D269"/>
          <cell r="E269"/>
          <cell r="F269"/>
          <cell r="G269"/>
          <cell r="H269"/>
          <cell r="I269"/>
          <cell r="J269"/>
          <cell r="K269"/>
          <cell r="L269"/>
          <cell r="M269"/>
          <cell r="N269"/>
          <cell r="O269"/>
          <cell r="P269"/>
          <cell r="Q269"/>
          <cell r="R269"/>
        </row>
        <row r="270">
          <cell r="C270"/>
          <cell r="D270"/>
          <cell r="E270"/>
          <cell r="F270"/>
          <cell r="G270"/>
          <cell r="H270"/>
          <cell r="I270"/>
          <cell r="J270"/>
          <cell r="K270"/>
          <cell r="L270"/>
          <cell r="M270"/>
          <cell r="N270"/>
          <cell r="O270"/>
          <cell r="P270"/>
          <cell r="Q270"/>
          <cell r="R270"/>
        </row>
        <row r="271">
          <cell r="C271"/>
          <cell r="D271"/>
          <cell r="E271"/>
          <cell r="F271"/>
          <cell r="G271"/>
          <cell r="H271"/>
          <cell r="I271"/>
          <cell r="J271"/>
          <cell r="K271"/>
          <cell r="L271"/>
          <cell r="M271"/>
          <cell r="N271"/>
          <cell r="O271"/>
          <cell r="P271"/>
          <cell r="Q271"/>
          <cell r="R271"/>
        </row>
        <row r="274">
          <cell r="D274">
            <v>1984</v>
          </cell>
          <cell r="E274">
            <v>1985</v>
          </cell>
          <cell r="F274">
            <v>1986</v>
          </cell>
          <cell r="G274">
            <v>1987</v>
          </cell>
          <cell r="H274">
            <v>1988</v>
          </cell>
          <cell r="I274">
            <v>1989</v>
          </cell>
          <cell r="J274">
            <v>1990</v>
          </cell>
          <cell r="K274">
            <v>1991</v>
          </cell>
          <cell r="L274">
            <v>1992</v>
          </cell>
          <cell r="M274">
            <v>1993</v>
          </cell>
          <cell r="N274">
            <v>1994</v>
          </cell>
          <cell r="O274">
            <v>1995</v>
          </cell>
          <cell r="P274">
            <v>1996</v>
          </cell>
          <cell r="Q274">
            <v>1997</v>
          </cell>
          <cell r="R274">
            <v>1998</v>
          </cell>
        </row>
        <row r="275">
          <cell r="C275" t="str">
            <v>Phase II Findings</v>
          </cell>
          <cell r="D275">
            <v>3.5680000000000001</v>
          </cell>
          <cell r="E275">
            <v>0.26</v>
          </cell>
          <cell r="F275">
            <v>51.756999999999998</v>
          </cell>
          <cell r="G275">
            <v>172.99799999999999</v>
          </cell>
          <cell r="H275">
            <v>770.702</v>
          </cell>
          <cell r="I275">
            <v>331.81900000000002</v>
          </cell>
          <cell r="J275">
            <v>444.50184999999999</v>
          </cell>
          <cell r="K275">
            <v>642.75900000000001</v>
          </cell>
          <cell r="L275">
            <v>1134.4794500000003</v>
          </cell>
          <cell r="M275">
            <v>1773.8350500000001</v>
          </cell>
          <cell r="N275">
            <v>2746.4365499999999</v>
          </cell>
          <cell r="O275">
            <v>4339.7577677999998</v>
          </cell>
          <cell r="P275">
            <v>-6665.2151612052239</v>
          </cell>
          <cell r="Q275">
            <v>967.53822749999983</v>
          </cell>
          <cell r="R275">
            <v>-120.87149749999782</v>
          </cell>
        </row>
        <row r="276">
          <cell r="C276" t="str">
            <v xml:space="preserve">As Filed QRE </v>
          </cell>
          <cell r="D276" t="e">
            <v>#REF!</v>
          </cell>
          <cell r="E276" t="e">
            <v>#REF!</v>
          </cell>
          <cell r="F276" t="e">
            <v>#REF!</v>
          </cell>
          <cell r="G276" t="e">
            <v>#REF!</v>
          </cell>
          <cell r="H276" t="e">
            <v>#REF!</v>
          </cell>
          <cell r="I276" t="e">
            <v>#REF!</v>
          </cell>
          <cell r="J276" t="e">
            <v>#REF!</v>
          </cell>
          <cell r="K276" t="e">
            <v>#REF!</v>
          </cell>
          <cell r="L276" t="e">
            <v>#REF!</v>
          </cell>
          <cell r="M276" t="e">
            <v>#REF!</v>
          </cell>
          <cell r="N276" t="e">
            <v>#REF!</v>
          </cell>
          <cell r="O276" t="e">
            <v>#REF!</v>
          </cell>
          <cell r="P276" t="e">
            <v>#REF!</v>
          </cell>
          <cell r="Q276" t="e">
            <v>#REF!</v>
          </cell>
          <cell r="R276" t="e">
            <v>#REF!</v>
          </cell>
        </row>
        <row r="277">
          <cell r="C277"/>
          <cell r="D277"/>
          <cell r="E277"/>
          <cell r="F277"/>
          <cell r="G277"/>
          <cell r="H277"/>
          <cell r="I277"/>
          <cell r="J277"/>
          <cell r="K277"/>
          <cell r="L277"/>
          <cell r="M277"/>
          <cell r="N277"/>
          <cell r="O277"/>
          <cell r="P277"/>
          <cell r="Q277"/>
          <cell r="R277"/>
        </row>
        <row r="278">
          <cell r="C278"/>
          <cell r="D278"/>
          <cell r="E278"/>
          <cell r="F278"/>
          <cell r="G278"/>
          <cell r="H278"/>
          <cell r="I278"/>
          <cell r="J278"/>
          <cell r="K278"/>
          <cell r="L278"/>
          <cell r="M278"/>
          <cell r="N278"/>
          <cell r="O278"/>
          <cell r="P278"/>
          <cell r="Q278"/>
          <cell r="R278"/>
        </row>
        <row r="279">
          <cell r="C279"/>
          <cell r="D279"/>
          <cell r="E279"/>
          <cell r="F279"/>
          <cell r="G279"/>
          <cell r="H279"/>
          <cell r="I279"/>
          <cell r="J279"/>
          <cell r="K279"/>
          <cell r="L279"/>
          <cell r="M279"/>
          <cell r="N279"/>
          <cell r="O279"/>
          <cell r="P279"/>
          <cell r="Q279"/>
          <cell r="R279"/>
        </row>
        <row r="280">
          <cell r="C280"/>
          <cell r="D280"/>
          <cell r="E280"/>
          <cell r="F280"/>
          <cell r="G280"/>
          <cell r="H280"/>
          <cell r="I280"/>
          <cell r="J280"/>
          <cell r="K280"/>
          <cell r="L280"/>
          <cell r="M280"/>
          <cell r="N280"/>
          <cell r="O280"/>
          <cell r="P280"/>
          <cell r="Q280"/>
          <cell r="R280"/>
        </row>
        <row r="281">
          <cell r="C281"/>
          <cell r="D281"/>
          <cell r="E281"/>
          <cell r="F281"/>
          <cell r="G281"/>
          <cell r="H281"/>
          <cell r="I281"/>
          <cell r="J281"/>
          <cell r="K281"/>
          <cell r="L281"/>
          <cell r="M281"/>
          <cell r="N281"/>
          <cell r="O281"/>
          <cell r="P281"/>
          <cell r="Q281"/>
          <cell r="R281"/>
        </row>
        <row r="282">
          <cell r="C282"/>
          <cell r="D282"/>
          <cell r="E282"/>
          <cell r="F282"/>
          <cell r="G282"/>
          <cell r="H282"/>
          <cell r="I282"/>
          <cell r="J282"/>
          <cell r="K282"/>
          <cell r="L282"/>
          <cell r="M282"/>
          <cell r="N282"/>
          <cell r="O282"/>
          <cell r="P282"/>
          <cell r="Q282"/>
          <cell r="R282"/>
        </row>
        <row r="283">
          <cell r="C283"/>
          <cell r="D283"/>
          <cell r="E283"/>
          <cell r="F283"/>
          <cell r="G283"/>
          <cell r="H283"/>
          <cell r="I283"/>
          <cell r="J283"/>
          <cell r="K283"/>
          <cell r="L283"/>
          <cell r="M283"/>
          <cell r="N283"/>
          <cell r="O283"/>
          <cell r="P283"/>
          <cell r="Q283"/>
          <cell r="R283"/>
        </row>
        <row r="284">
          <cell r="C284"/>
          <cell r="D284"/>
          <cell r="E284"/>
          <cell r="F284"/>
          <cell r="G284"/>
          <cell r="H284"/>
          <cell r="I284"/>
          <cell r="J284"/>
          <cell r="K284"/>
          <cell r="L284"/>
          <cell r="M284"/>
          <cell r="N284"/>
          <cell r="O284"/>
          <cell r="P284"/>
          <cell r="Q284"/>
          <cell r="R284"/>
        </row>
        <row r="285">
          <cell r="C285"/>
          <cell r="D285"/>
          <cell r="E285"/>
          <cell r="F285"/>
          <cell r="G285"/>
          <cell r="H285"/>
          <cell r="I285"/>
          <cell r="J285"/>
          <cell r="K285"/>
          <cell r="L285"/>
          <cell r="M285"/>
          <cell r="N285"/>
          <cell r="O285"/>
          <cell r="P285"/>
          <cell r="Q285"/>
          <cell r="R285"/>
        </row>
        <row r="286">
          <cell r="C286"/>
          <cell r="D286"/>
          <cell r="E286"/>
          <cell r="F286"/>
          <cell r="G286"/>
          <cell r="H286"/>
          <cell r="I286"/>
          <cell r="J286"/>
          <cell r="K286"/>
          <cell r="L286"/>
          <cell r="M286"/>
          <cell r="N286"/>
          <cell r="O286"/>
          <cell r="P286"/>
          <cell r="Q286"/>
          <cell r="R286"/>
        </row>
        <row r="287">
          <cell r="C287"/>
          <cell r="D287"/>
          <cell r="E287"/>
          <cell r="F287"/>
          <cell r="G287"/>
          <cell r="H287"/>
          <cell r="I287"/>
          <cell r="J287"/>
          <cell r="K287"/>
          <cell r="L287"/>
          <cell r="M287"/>
          <cell r="N287"/>
          <cell r="O287"/>
          <cell r="P287"/>
          <cell r="Q287"/>
          <cell r="R287"/>
        </row>
        <row r="288">
          <cell r="C288"/>
          <cell r="D288"/>
          <cell r="E288"/>
          <cell r="F288"/>
          <cell r="G288"/>
          <cell r="H288"/>
          <cell r="I288"/>
          <cell r="J288"/>
          <cell r="K288"/>
          <cell r="L288"/>
          <cell r="M288"/>
          <cell r="N288"/>
          <cell r="O288"/>
          <cell r="P288"/>
          <cell r="Q288"/>
          <cell r="R288"/>
        </row>
        <row r="289">
          <cell r="C289"/>
          <cell r="D289"/>
          <cell r="E289"/>
          <cell r="F289"/>
          <cell r="G289"/>
          <cell r="H289"/>
          <cell r="I289"/>
          <cell r="J289"/>
          <cell r="K289"/>
          <cell r="L289"/>
          <cell r="M289"/>
          <cell r="N289"/>
          <cell r="O289"/>
          <cell r="P289"/>
          <cell r="Q289"/>
          <cell r="R289"/>
        </row>
        <row r="290">
          <cell r="C290"/>
          <cell r="D290"/>
          <cell r="E290"/>
          <cell r="F290"/>
          <cell r="G290"/>
          <cell r="H290"/>
          <cell r="I290"/>
          <cell r="J290"/>
          <cell r="K290"/>
          <cell r="L290"/>
          <cell r="M290"/>
          <cell r="N290"/>
          <cell r="O290"/>
          <cell r="P290"/>
          <cell r="Q290"/>
          <cell r="R290"/>
        </row>
        <row r="291">
          <cell r="C291"/>
          <cell r="D291"/>
          <cell r="E291"/>
          <cell r="F291"/>
          <cell r="G291"/>
          <cell r="H291"/>
          <cell r="I291"/>
          <cell r="J291"/>
          <cell r="K291"/>
          <cell r="L291"/>
          <cell r="M291"/>
          <cell r="N291"/>
          <cell r="O291"/>
          <cell r="P291"/>
          <cell r="Q291"/>
          <cell r="R291"/>
        </row>
        <row r="292">
          <cell r="C292"/>
          <cell r="D292"/>
          <cell r="E292"/>
          <cell r="F292"/>
          <cell r="G292"/>
          <cell r="H292"/>
          <cell r="I292"/>
          <cell r="J292"/>
          <cell r="K292"/>
          <cell r="L292"/>
          <cell r="M292"/>
          <cell r="N292"/>
          <cell r="O292"/>
          <cell r="P292"/>
          <cell r="Q292"/>
          <cell r="R292"/>
        </row>
        <row r="293">
          <cell r="C293"/>
          <cell r="D293"/>
          <cell r="E293"/>
          <cell r="F293"/>
          <cell r="G293"/>
          <cell r="H293"/>
          <cell r="I293"/>
          <cell r="J293"/>
          <cell r="K293"/>
          <cell r="L293"/>
          <cell r="M293"/>
          <cell r="N293"/>
          <cell r="O293"/>
          <cell r="P293"/>
          <cell r="Q293"/>
          <cell r="R293"/>
        </row>
        <row r="294">
          <cell r="C294"/>
          <cell r="D294"/>
          <cell r="E294"/>
          <cell r="F294"/>
          <cell r="G294"/>
          <cell r="H294"/>
          <cell r="I294"/>
          <cell r="J294"/>
          <cell r="K294"/>
          <cell r="L294"/>
          <cell r="M294"/>
          <cell r="N294"/>
          <cell r="O294"/>
          <cell r="P294"/>
          <cell r="Q294"/>
          <cell r="R294"/>
        </row>
        <row r="295">
          <cell r="C295"/>
          <cell r="D295"/>
          <cell r="E295"/>
          <cell r="F295"/>
          <cell r="G295"/>
          <cell r="H295"/>
          <cell r="I295"/>
          <cell r="J295"/>
          <cell r="K295"/>
          <cell r="L295"/>
          <cell r="M295"/>
          <cell r="N295"/>
          <cell r="O295"/>
          <cell r="P295"/>
          <cell r="Q295"/>
          <cell r="R295"/>
        </row>
        <row r="296">
          <cell r="C296"/>
          <cell r="D296"/>
          <cell r="E296"/>
          <cell r="F296"/>
          <cell r="G296"/>
          <cell r="H296"/>
          <cell r="I296"/>
          <cell r="J296"/>
          <cell r="K296"/>
          <cell r="L296"/>
          <cell r="M296"/>
          <cell r="N296"/>
          <cell r="O296"/>
          <cell r="P296"/>
          <cell r="Q296"/>
          <cell r="R296"/>
        </row>
        <row r="297">
          <cell r="C297"/>
          <cell r="D297"/>
          <cell r="E297"/>
          <cell r="F297"/>
          <cell r="G297"/>
          <cell r="H297"/>
          <cell r="I297"/>
          <cell r="J297"/>
          <cell r="K297"/>
          <cell r="L297"/>
          <cell r="M297"/>
          <cell r="N297"/>
          <cell r="O297"/>
          <cell r="P297"/>
          <cell r="Q297"/>
          <cell r="R297"/>
        </row>
        <row r="300">
          <cell r="D300">
            <v>1984</v>
          </cell>
          <cell r="E300">
            <v>1985</v>
          </cell>
          <cell r="F300">
            <v>1986</v>
          </cell>
          <cell r="G300">
            <v>1987</v>
          </cell>
          <cell r="H300">
            <v>1988</v>
          </cell>
          <cell r="I300">
            <v>1989</v>
          </cell>
          <cell r="J300">
            <v>1990</v>
          </cell>
          <cell r="K300">
            <v>1991</v>
          </cell>
          <cell r="L300">
            <v>1992</v>
          </cell>
          <cell r="M300">
            <v>1993</v>
          </cell>
          <cell r="N300">
            <v>1994</v>
          </cell>
          <cell r="O300">
            <v>1995</v>
          </cell>
          <cell r="P300">
            <v>1996</v>
          </cell>
          <cell r="Q300">
            <v>1997</v>
          </cell>
          <cell r="R300">
            <v>1998</v>
          </cell>
        </row>
        <row r="301">
          <cell r="C301" t="str">
            <v>Phase II Findings</v>
          </cell>
          <cell r="D301">
            <v>20.127000000000002</v>
          </cell>
          <cell r="E301">
            <v>63.137999999999998</v>
          </cell>
          <cell r="F301">
            <v>500.40100000000001</v>
          </cell>
          <cell r="G301">
            <v>1329.4160000000002</v>
          </cell>
          <cell r="H301">
            <v>3373.9920000000002</v>
          </cell>
          <cell r="I301">
            <v>3881.9590000000003</v>
          </cell>
          <cell r="J301">
            <v>3454.2438520000001</v>
          </cell>
          <cell r="K301">
            <v>5569.7417879999994</v>
          </cell>
          <cell r="L301">
            <v>7927.8460099999993</v>
          </cell>
          <cell r="M301">
            <v>11613.530586999999</v>
          </cell>
          <cell r="N301">
            <v>19707.135006999997</v>
          </cell>
          <cell r="O301">
            <v>35935.120957799998</v>
          </cell>
          <cell r="P301">
            <v>25478.958238794774</v>
          </cell>
          <cell r="Q301">
            <v>58157.347527499995</v>
          </cell>
          <cell r="R301">
            <v>56448.709302499999</v>
          </cell>
        </row>
        <row r="302">
          <cell r="C302" t="str">
            <v xml:space="preserve">As Filed QRE </v>
          </cell>
          <cell r="D302" t="e">
            <v>#REF!</v>
          </cell>
          <cell r="E302" t="e">
            <v>#REF!</v>
          </cell>
          <cell r="F302" t="e">
            <v>#REF!</v>
          </cell>
          <cell r="G302" t="e">
            <v>#REF!</v>
          </cell>
          <cell r="H302" t="e">
            <v>#REF!</v>
          </cell>
          <cell r="I302" t="e">
            <v>#REF!</v>
          </cell>
          <cell r="J302" t="e">
            <v>#REF!</v>
          </cell>
          <cell r="K302" t="e">
            <v>#REF!</v>
          </cell>
          <cell r="L302" t="e">
            <v>#REF!</v>
          </cell>
          <cell r="M302" t="e">
            <v>#REF!</v>
          </cell>
          <cell r="N302" t="e">
            <v>#REF!</v>
          </cell>
          <cell r="O302" t="e">
            <v>#REF!</v>
          </cell>
          <cell r="P302" t="e">
            <v>#REF!</v>
          </cell>
          <cell r="Q302" t="e">
            <v>#REF!</v>
          </cell>
          <cell r="R302" t="e">
            <v>#REF!</v>
          </cell>
        </row>
        <row r="303">
          <cell r="C303"/>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row>
        <row r="304">
          <cell r="C304"/>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row>
        <row r="305">
          <cell r="C305"/>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row>
        <row r="306">
          <cell r="C306"/>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row>
        <row r="307">
          <cell r="C307"/>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row>
        <row r="308">
          <cell r="C308"/>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row>
        <row r="309">
          <cell r="C309"/>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row>
        <row r="310">
          <cell r="C310"/>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row>
        <row r="311">
          <cell r="C311"/>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row>
        <row r="312">
          <cell r="C312"/>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row>
        <row r="313">
          <cell r="C313"/>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row>
        <row r="314">
          <cell r="C314"/>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row>
        <row r="315">
          <cell r="C315"/>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row>
        <row r="316">
          <cell r="C316"/>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row>
        <row r="317">
          <cell r="C317"/>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row>
        <row r="318">
          <cell r="C318"/>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row>
        <row r="319">
          <cell r="C319"/>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row>
        <row r="320">
          <cell r="C320"/>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row>
        <row r="321">
          <cell r="C321"/>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row>
        <row r="322">
          <cell r="C322"/>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row>
        <row r="323">
          <cell r="C323"/>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row>
        <row r="327">
          <cell r="D327" t="str">
            <v>Gross</v>
          </cell>
          <cell r="E327" t="str">
            <v>Reduced</v>
          </cell>
        </row>
        <row r="328">
          <cell r="C328" t="str">
            <v>1987</v>
          </cell>
          <cell r="D328" t="e">
            <v>#REF!</v>
          </cell>
          <cell r="E328" t="e">
            <v>#REF!</v>
          </cell>
        </row>
        <row r="329">
          <cell r="C329" t="str">
            <v>1988</v>
          </cell>
          <cell r="D329" t="e">
            <v>#REF!</v>
          </cell>
          <cell r="E329" t="e">
            <v>#REF!</v>
          </cell>
        </row>
        <row r="330">
          <cell r="C330" t="str">
            <v>1989</v>
          </cell>
          <cell r="D330" t="e">
            <v>#REF!</v>
          </cell>
          <cell r="E330" t="e">
            <v>#REF!</v>
          </cell>
        </row>
        <row r="331">
          <cell r="C331" t="str">
            <v>1990</v>
          </cell>
          <cell r="D331" t="e">
            <v>#REF!</v>
          </cell>
          <cell r="E331" t="e">
            <v>#REF!</v>
          </cell>
        </row>
        <row r="332">
          <cell r="C332" t="str">
            <v>1991</v>
          </cell>
          <cell r="D332">
            <v>222.78967152000001</v>
          </cell>
          <cell r="E332">
            <v>202.07023206864</v>
          </cell>
        </row>
        <row r="333">
          <cell r="C333" t="str">
            <v>1992</v>
          </cell>
          <cell r="D333">
            <v>317.11384039999996</v>
          </cell>
          <cell r="E333">
            <v>287.62225324280001</v>
          </cell>
        </row>
        <row r="334">
          <cell r="C334" t="str">
            <v>1993</v>
          </cell>
          <cell r="D334">
            <v>464.54122348000004</v>
          </cell>
          <cell r="E334">
            <v>421.33888969636007</v>
          </cell>
        </row>
        <row r="335">
          <cell r="C335" t="str">
            <v>1994</v>
          </cell>
          <cell r="D335">
            <v>788.2854002800002</v>
          </cell>
          <cell r="E335">
            <v>714.97485805396013</v>
          </cell>
        </row>
        <row r="336">
          <cell r="C336" t="str">
            <v>1995</v>
          </cell>
          <cell r="D336">
            <v>1437.404838312</v>
          </cell>
          <cell r="E336">
            <v>1303.7261883489841</v>
          </cell>
        </row>
        <row r="337">
          <cell r="C337" t="str">
            <v>1996</v>
          </cell>
          <cell r="D337">
            <v>1019.158329551791</v>
          </cell>
          <cell r="E337">
            <v>924.37660490347446</v>
          </cell>
        </row>
        <row r="338">
          <cell r="C338" t="str">
            <v>1997</v>
          </cell>
          <cell r="D338">
            <v>3198.6541140125</v>
          </cell>
          <cell r="E338">
            <v>2915.8930903337946</v>
          </cell>
        </row>
        <row r="339">
          <cell r="C339" t="str">
            <v>1998</v>
          </cell>
          <cell r="D339">
            <v>3104.6790116375</v>
          </cell>
          <cell r="E339">
            <v>2830.2253870087447</v>
          </cell>
        </row>
        <row r="340">
          <cell r="C340">
            <v>0</v>
          </cell>
          <cell r="D340">
            <v>0</v>
          </cell>
          <cell r="E340">
            <v>0</v>
          </cell>
        </row>
        <row r="341">
          <cell r="C341" t="str">
            <v xml:space="preserve">     Total</v>
          </cell>
          <cell r="D341">
            <v>10690.796183273791</v>
          </cell>
          <cell r="E341">
            <v>9725.5474706073182</v>
          </cell>
        </row>
        <row r="342">
          <cell r="C342">
            <v>0</v>
          </cell>
          <cell r="D342">
            <v>0</v>
          </cell>
          <cell r="E342">
            <v>0</v>
          </cell>
        </row>
        <row r="365">
          <cell r="E365">
            <v>11922041.689999999</v>
          </cell>
          <cell r="F365">
            <v>12694779.039999999</v>
          </cell>
          <cell r="G365">
            <v>13456633.050000001</v>
          </cell>
          <cell r="H365">
            <v>14229370.390000001</v>
          </cell>
          <cell r="I365">
            <v>14996093.039999999</v>
          </cell>
          <cell r="J365">
            <v>15763961.75</v>
          </cell>
          <cell r="K365">
            <v>16653546.26</v>
          </cell>
          <cell r="L365">
            <v>18240241.77</v>
          </cell>
          <cell r="M365">
            <v>19826937.280000001</v>
          </cell>
          <cell r="N365">
            <v>21376616.960000001</v>
          </cell>
          <cell r="O365">
            <v>22870053.800000001</v>
          </cell>
        </row>
        <row r="366">
          <cell r="E366">
            <v>19227246.629999999</v>
          </cell>
          <cell r="F366">
            <v>18774650.579999998</v>
          </cell>
          <cell r="G366">
            <v>18140893.010000002</v>
          </cell>
          <cell r="H366">
            <v>17402761.41</v>
          </cell>
          <cell r="I366">
            <v>16582788.550000001</v>
          </cell>
          <cell r="J366">
            <v>15763961.75</v>
          </cell>
          <cell r="K366">
            <v>15066850.75</v>
          </cell>
          <cell r="L366">
            <v>15066850.75</v>
          </cell>
          <cell r="M366">
            <v>15066850.75</v>
          </cell>
          <cell r="N366">
            <v>15066850.75</v>
          </cell>
          <cell r="O366">
            <v>15066850.75</v>
          </cell>
        </row>
        <row r="367">
          <cell r="E367">
            <v>7727806.9100000001</v>
          </cell>
          <cell r="F367">
            <v>9417179.7200000007</v>
          </cell>
          <cell r="G367">
            <v>11003875.23</v>
          </cell>
          <cell r="H367">
            <v>12590570.74</v>
          </cell>
          <cell r="I367">
            <v>14177266.25</v>
          </cell>
          <cell r="J367">
            <v>15763961.75</v>
          </cell>
          <cell r="K367">
            <v>17350657.260000002</v>
          </cell>
          <cell r="L367">
            <v>18937352.77</v>
          </cell>
          <cell r="M367">
            <v>20478366.350000001</v>
          </cell>
          <cell r="N367">
            <v>21960539.43</v>
          </cell>
          <cell r="O367">
            <v>23371872.800000001</v>
          </cell>
        </row>
        <row r="372">
          <cell r="E372">
            <v>-0.25</v>
          </cell>
          <cell r="F372">
            <v>-0.2</v>
          </cell>
          <cell r="G372">
            <v>-0.15</v>
          </cell>
          <cell r="H372">
            <v>-0.1</v>
          </cell>
          <cell r="I372">
            <v>-0.05</v>
          </cell>
          <cell r="J372">
            <v>0</v>
          </cell>
          <cell r="K372">
            <v>0.05</v>
          </cell>
          <cell r="L372">
            <v>0.1</v>
          </cell>
          <cell r="M372">
            <v>0.15</v>
          </cell>
          <cell r="N372">
            <v>0.2</v>
          </cell>
          <cell r="O372">
            <v>0.25</v>
          </cell>
        </row>
        <row r="373">
          <cell r="D373" t="str">
            <v>All QREs</v>
          </cell>
          <cell r="E373">
            <v>11922.04169</v>
          </cell>
          <cell r="F373">
            <v>12694.779039999999</v>
          </cell>
          <cell r="G373">
            <v>13456.63305</v>
          </cell>
          <cell r="H373">
            <v>14229.37039</v>
          </cell>
          <cell r="I373">
            <v>14996.09304</v>
          </cell>
          <cell r="J373">
            <v>15763.96175</v>
          </cell>
          <cell r="K373">
            <v>16653.546259999999</v>
          </cell>
          <cell r="L373">
            <v>18240.241770000001</v>
          </cell>
          <cell r="M373">
            <v>19826.937280000002</v>
          </cell>
          <cell r="N373">
            <v>21376.616959999999</v>
          </cell>
          <cell r="O373">
            <v>22870.053800000002</v>
          </cell>
        </row>
        <row r="374">
          <cell r="D374" t="str">
            <v>Base Year QREs</v>
          </cell>
          <cell r="E374">
            <v>19227.246629999998</v>
          </cell>
          <cell r="F374">
            <v>18774.650579999998</v>
          </cell>
          <cell r="G374">
            <v>18140.893010000003</v>
          </cell>
          <cell r="H374">
            <v>17402.761409999999</v>
          </cell>
          <cell r="I374">
            <v>16582.788550000001</v>
          </cell>
          <cell r="J374">
            <v>15763.96175</v>
          </cell>
          <cell r="K374">
            <v>15066.85075</v>
          </cell>
          <cell r="L374">
            <v>15066.85075</v>
          </cell>
          <cell r="M374">
            <v>15066.85075</v>
          </cell>
          <cell r="N374">
            <v>15066.85075</v>
          </cell>
          <cell r="O374">
            <v>15066.85075</v>
          </cell>
        </row>
        <row r="375">
          <cell r="D375" t="str">
            <v>Cur. Year QREs</v>
          </cell>
          <cell r="E375">
            <v>7727.8069100000002</v>
          </cell>
          <cell r="F375">
            <v>9417.1797200000001</v>
          </cell>
          <cell r="G375">
            <v>11003.87523</v>
          </cell>
          <cell r="H375">
            <v>12590.570740000001</v>
          </cell>
          <cell r="I375">
            <v>14177.266250000001</v>
          </cell>
          <cell r="J375">
            <v>15763.96175</v>
          </cell>
          <cell r="K375">
            <v>17350.65726</v>
          </cell>
          <cell r="L375">
            <v>18937.352770000001</v>
          </cell>
          <cell r="M375">
            <v>20478.36635</v>
          </cell>
          <cell r="N375">
            <v>21960.539430000001</v>
          </cell>
          <cell r="O375">
            <v>23371.872800000001</v>
          </cell>
        </row>
      </sheetData>
      <sheetData sheetId="12" refreshError="1">
        <row r="8">
          <cell r="B8"/>
        </row>
        <row r="9">
          <cell r="B9"/>
          <cell r="E9">
            <v>11087</v>
          </cell>
          <cell r="F9">
            <v>11087</v>
          </cell>
          <cell r="I9">
            <v>50015</v>
          </cell>
          <cell r="J9">
            <v>50015</v>
          </cell>
          <cell r="M9">
            <v>323590</v>
          </cell>
          <cell r="N9">
            <v>323590</v>
          </cell>
          <cell r="Q9">
            <v>899647</v>
          </cell>
          <cell r="R9">
            <v>899647</v>
          </cell>
          <cell r="U9">
            <v>2067727</v>
          </cell>
          <cell r="V9">
            <v>2067727</v>
          </cell>
          <cell r="W9">
            <v>0</v>
          </cell>
          <cell r="X9">
            <v>0</v>
          </cell>
          <cell r="Y9">
            <v>3352066</v>
          </cell>
          <cell r="Z9">
            <v>3352066</v>
          </cell>
          <cell r="AA9">
            <v>0</v>
          </cell>
          <cell r="AB9">
            <v>1</v>
          </cell>
          <cell r="AD9">
            <v>2741619</v>
          </cell>
          <cell r="AE9">
            <v>2741619</v>
          </cell>
          <cell r="AF9">
            <v>1</v>
          </cell>
          <cell r="AH9">
            <v>2364968.878</v>
          </cell>
          <cell r="AI9">
            <v>2299558.0019999999</v>
          </cell>
          <cell r="AJ9">
            <v>1</v>
          </cell>
          <cell r="AL9">
            <v>3426032.9020000002</v>
          </cell>
          <cell r="AM9">
            <v>3542463.7879999997</v>
          </cell>
          <cell r="AN9">
            <v>1</v>
          </cell>
          <cell r="AP9">
            <v>4621040.9079999998</v>
          </cell>
          <cell r="AQ9">
            <v>5126210.5599999996</v>
          </cell>
          <cell r="AR9">
            <v>1</v>
          </cell>
          <cell r="AT9">
            <v>7353704.7200000007</v>
          </cell>
          <cell r="AU9">
            <v>7134127.5369999995</v>
          </cell>
          <cell r="AV9">
            <v>1</v>
          </cell>
          <cell r="AX9">
            <v>9134388.2870000005</v>
          </cell>
          <cell r="AY9">
            <v>9257454.4570000004</v>
          </cell>
          <cell r="AZ9">
            <v>1</v>
          </cell>
          <cell r="BB9">
            <v>17761685.096699994</v>
          </cell>
          <cell r="BC9">
            <v>17917881</v>
          </cell>
          <cell r="BF9">
            <v>29422280.493699975</v>
          </cell>
          <cell r="BG9">
            <v>29938649</v>
          </cell>
          <cell r="BJ9">
            <v>50557924.736599997</v>
          </cell>
          <cell r="BK9">
            <v>50930323</v>
          </cell>
          <cell r="BN9">
            <v>49233100.005600043</v>
          </cell>
          <cell r="BO9">
            <v>49405882</v>
          </cell>
          <cell r="BP9">
            <v>7</v>
          </cell>
          <cell r="BQ9">
            <v>0</v>
          </cell>
          <cell r="BR9">
            <v>176616745.02760002</v>
          </cell>
          <cell r="BS9">
            <v>178294168.34399998</v>
          </cell>
          <cell r="BT9">
            <v>1677423.3163999617</v>
          </cell>
        </row>
        <row r="10">
          <cell r="B10"/>
          <cell r="E10">
            <v>5472</v>
          </cell>
          <cell r="F10">
            <v>5472</v>
          </cell>
          <cell r="I10">
            <v>12863</v>
          </cell>
          <cell r="J10">
            <v>12863</v>
          </cell>
          <cell r="M10">
            <v>125054</v>
          </cell>
          <cell r="N10">
            <v>125054</v>
          </cell>
          <cell r="Q10">
            <v>256771</v>
          </cell>
          <cell r="R10">
            <v>256771</v>
          </cell>
          <cell r="U10">
            <v>535563</v>
          </cell>
          <cell r="V10">
            <v>535563</v>
          </cell>
          <cell r="W10">
            <v>0</v>
          </cell>
          <cell r="X10">
            <v>0</v>
          </cell>
          <cell r="Y10">
            <v>935723</v>
          </cell>
          <cell r="Z10">
            <v>935723</v>
          </cell>
          <cell r="AA10">
            <v>0</v>
          </cell>
          <cell r="AD10">
            <v>808521</v>
          </cell>
          <cell r="AE10">
            <v>808521</v>
          </cell>
          <cell r="AH10">
            <v>714239</v>
          </cell>
          <cell r="AI10">
            <v>710184</v>
          </cell>
          <cell r="AL10">
            <v>1397172</v>
          </cell>
          <cell r="AM10">
            <v>1384519</v>
          </cell>
          <cell r="AP10">
            <v>1683615</v>
          </cell>
          <cell r="AQ10">
            <v>1667156</v>
          </cell>
          <cell r="AT10">
            <v>2726531</v>
          </cell>
          <cell r="AU10">
            <v>2705568</v>
          </cell>
          <cell r="AX10">
            <v>7723880</v>
          </cell>
          <cell r="AY10">
            <v>7703244</v>
          </cell>
          <cell r="BB10">
            <v>24610983</v>
          </cell>
          <cell r="BC10">
            <v>13677482.189999999</v>
          </cell>
          <cell r="BF10">
            <v>2232470.7999999998</v>
          </cell>
          <cell r="BG10">
            <v>2205524.4</v>
          </cell>
          <cell r="BJ10">
            <v>8856932.6999999993</v>
          </cell>
          <cell r="BK10">
            <v>6259486.3000000007</v>
          </cell>
          <cell r="BN10">
            <v>13919145</v>
          </cell>
          <cell r="BO10">
            <v>7163698.8000000007</v>
          </cell>
          <cell r="BP10">
            <v>0</v>
          </cell>
          <cell r="BQ10">
            <v>0</v>
          </cell>
          <cell r="BR10">
            <v>64673489.5</v>
          </cell>
          <cell r="BS10">
            <v>44285383.689999998</v>
          </cell>
          <cell r="BT10">
            <v>-20388105.810000002</v>
          </cell>
        </row>
        <row r="11">
          <cell r="B11"/>
          <cell r="E11">
            <v>3568</v>
          </cell>
          <cell r="F11">
            <v>3568</v>
          </cell>
          <cell r="I11">
            <v>260</v>
          </cell>
          <cell r="J11">
            <v>260</v>
          </cell>
          <cell r="M11">
            <v>51757</v>
          </cell>
          <cell r="N11">
            <v>51757</v>
          </cell>
          <cell r="Q11">
            <v>172998</v>
          </cell>
          <cell r="R11">
            <v>172998</v>
          </cell>
          <cell r="U11">
            <v>770702</v>
          </cell>
          <cell r="V11">
            <v>770702</v>
          </cell>
          <cell r="W11">
            <v>0</v>
          </cell>
          <cell r="X11">
            <v>0</v>
          </cell>
          <cell r="Y11">
            <v>999285</v>
          </cell>
          <cell r="Z11">
            <v>999285</v>
          </cell>
          <cell r="AA11">
            <v>0</v>
          </cell>
          <cell r="AD11">
            <v>331819</v>
          </cell>
          <cell r="AE11">
            <v>331819</v>
          </cell>
          <cell r="AH11">
            <v>363805.65</v>
          </cell>
          <cell r="AI11">
            <v>444501.85</v>
          </cell>
          <cell r="AL11">
            <v>464111.05</v>
          </cell>
          <cell r="AM11">
            <v>642759</v>
          </cell>
          <cell r="AP11">
            <v>759462.6</v>
          </cell>
          <cell r="AQ11">
            <v>1134479.4500000002</v>
          </cell>
          <cell r="AT11">
            <v>1383510.05</v>
          </cell>
          <cell r="AU11">
            <v>1773835.05</v>
          </cell>
          <cell r="AX11">
            <v>2427295</v>
          </cell>
          <cell r="AY11">
            <v>2746436.55</v>
          </cell>
          <cell r="BB11">
            <v>5976756.6377999987</v>
          </cell>
          <cell r="BC11">
            <v>4339757.7677999996</v>
          </cell>
          <cell r="BF11">
            <v>6597332.0587947778</v>
          </cell>
          <cell r="BG11">
            <v>-6665215.1612052238</v>
          </cell>
          <cell r="BJ11">
            <v>11089853.157499999</v>
          </cell>
          <cell r="BK11">
            <v>967538.2274999998</v>
          </cell>
          <cell r="BN11">
            <v>10010021.612500001</v>
          </cell>
          <cell r="BO11">
            <v>-120871.49749999781</v>
          </cell>
          <cell r="BP11">
            <v>0</v>
          </cell>
          <cell r="BQ11">
            <v>0</v>
          </cell>
          <cell r="BR11">
            <v>39403966.816594779</v>
          </cell>
          <cell r="BS11">
            <v>5595040.2365947785</v>
          </cell>
          <cell r="BT11">
            <v>-33808926.579999998</v>
          </cell>
        </row>
        <row r="12">
          <cell r="B12"/>
          <cell r="W12">
            <v>0</v>
          </cell>
          <cell r="X12">
            <v>0</v>
          </cell>
          <cell r="Y12">
            <v>0</v>
          </cell>
          <cell r="Z12">
            <v>0</v>
          </cell>
          <cell r="AA12">
            <v>0</v>
          </cell>
          <cell r="BP12">
            <v>0</v>
          </cell>
          <cell r="BQ12">
            <v>0</v>
          </cell>
          <cell r="BR12">
            <v>0</v>
          </cell>
          <cell r="BS12">
            <v>0</v>
          </cell>
          <cell r="BT12">
            <v>0</v>
          </cell>
        </row>
        <row r="13">
          <cell r="B13"/>
          <cell r="C13">
            <v>0</v>
          </cell>
          <cell r="D13">
            <v>0</v>
          </cell>
          <cell r="E13">
            <v>20127</v>
          </cell>
          <cell r="F13">
            <v>20127</v>
          </cell>
          <cell r="G13">
            <v>0</v>
          </cell>
          <cell r="H13">
            <v>0</v>
          </cell>
          <cell r="I13">
            <v>63138</v>
          </cell>
          <cell r="J13">
            <v>63138</v>
          </cell>
          <cell r="K13">
            <v>0</v>
          </cell>
          <cell r="L13">
            <v>0</v>
          </cell>
          <cell r="M13">
            <v>500401</v>
          </cell>
          <cell r="N13">
            <v>500401</v>
          </cell>
          <cell r="O13">
            <v>0</v>
          </cell>
          <cell r="P13">
            <v>0</v>
          </cell>
          <cell r="Q13">
            <v>1329416</v>
          </cell>
          <cell r="R13">
            <v>1329416</v>
          </cell>
          <cell r="S13">
            <v>0</v>
          </cell>
          <cell r="T13">
            <v>0</v>
          </cell>
          <cell r="U13">
            <v>3373992</v>
          </cell>
          <cell r="V13">
            <v>3373992</v>
          </cell>
          <cell r="W13">
            <v>0</v>
          </cell>
          <cell r="X13">
            <v>0</v>
          </cell>
          <cell r="Y13">
            <v>5287074</v>
          </cell>
          <cell r="Z13">
            <v>5287074</v>
          </cell>
          <cell r="AA13">
            <v>0</v>
          </cell>
          <cell r="AB13">
            <v>1</v>
          </cell>
          <cell r="AC13">
            <v>0</v>
          </cell>
          <cell r="AD13">
            <v>3881959</v>
          </cell>
          <cell r="AE13">
            <v>3881959</v>
          </cell>
          <cell r="AF13">
            <v>1</v>
          </cell>
          <cell r="AG13">
            <v>0</v>
          </cell>
          <cell r="AH13">
            <v>3443013.5279999999</v>
          </cell>
          <cell r="AI13">
            <v>3454243.852</v>
          </cell>
          <cell r="AJ13">
            <v>1</v>
          </cell>
          <cell r="AK13">
            <v>0</v>
          </cell>
          <cell r="AL13">
            <v>5287315.9520000005</v>
          </cell>
          <cell r="AM13">
            <v>5569741.7879999997</v>
          </cell>
          <cell r="AN13">
            <v>1</v>
          </cell>
          <cell r="AO13">
            <v>0</v>
          </cell>
          <cell r="AP13">
            <v>7064118.5079999994</v>
          </cell>
          <cell r="AQ13">
            <v>7927846.0099999998</v>
          </cell>
          <cell r="AR13">
            <v>1</v>
          </cell>
          <cell r="AS13">
            <v>0</v>
          </cell>
          <cell r="AT13">
            <v>11463745.770000001</v>
          </cell>
          <cell r="AU13">
            <v>11613530.587000001</v>
          </cell>
          <cell r="AV13">
            <v>1</v>
          </cell>
          <cell r="AW13">
            <v>0</v>
          </cell>
          <cell r="AX13">
            <v>19285563.287</v>
          </cell>
          <cell r="AY13">
            <v>19707135.007000003</v>
          </cell>
          <cell r="AZ13">
            <v>1</v>
          </cell>
          <cell r="BA13">
            <v>0</v>
          </cell>
          <cell r="BB13">
            <v>48349424.734499998</v>
          </cell>
          <cell r="BC13">
            <v>35935120.957800001</v>
          </cell>
          <cell r="BD13">
            <v>0</v>
          </cell>
          <cell r="BE13">
            <v>0</v>
          </cell>
          <cell r="BF13">
            <v>38252083.352494754</v>
          </cell>
          <cell r="BG13">
            <v>25478958.238794774</v>
          </cell>
          <cell r="BH13">
            <v>0</v>
          </cell>
          <cell r="BI13">
            <v>0</v>
          </cell>
          <cell r="BJ13">
            <v>70504710.594099998</v>
          </cell>
          <cell r="BK13">
            <v>58157347.527499996</v>
          </cell>
          <cell r="BL13">
            <v>0</v>
          </cell>
          <cell r="BM13">
            <v>0</v>
          </cell>
          <cell r="BN13">
            <v>73162266.618100047</v>
          </cell>
          <cell r="BO13">
            <v>56448709.302500002</v>
          </cell>
          <cell r="BP13">
            <v>7</v>
          </cell>
          <cell r="BQ13">
            <v>0</v>
          </cell>
          <cell r="BR13">
            <v>280694201.34419477</v>
          </cell>
          <cell r="BS13">
            <v>228174592.27059475</v>
          </cell>
          <cell r="BT13">
            <v>-52519609.073600039</v>
          </cell>
        </row>
        <row r="14">
          <cell r="B14"/>
        </row>
        <row r="15">
          <cell r="B15" t="e">
            <v>#REF!</v>
          </cell>
        </row>
        <row r="16">
          <cell r="B16" t="e">
            <v>#REF!</v>
          </cell>
          <cell r="E16">
            <v>11087</v>
          </cell>
          <cell r="F16" t="e">
            <v>#REF!</v>
          </cell>
          <cell r="I16">
            <v>50015</v>
          </cell>
          <cell r="J16" t="e">
            <v>#REF!</v>
          </cell>
          <cell r="M16">
            <v>323590</v>
          </cell>
          <cell r="N16" t="e">
            <v>#REF!</v>
          </cell>
          <cell r="Q16">
            <v>899647</v>
          </cell>
          <cell r="R16" t="e">
            <v>#REF!</v>
          </cell>
          <cell r="U16">
            <v>2067727</v>
          </cell>
          <cell r="V16" t="e">
            <v>#REF!</v>
          </cell>
          <cell r="W16">
            <v>0</v>
          </cell>
          <cell r="X16">
            <v>0</v>
          </cell>
          <cell r="Y16">
            <v>3352066</v>
          </cell>
          <cell r="Z16" t="e">
            <v>#REF!</v>
          </cell>
          <cell r="AA16" t="e">
            <v>#REF!</v>
          </cell>
          <cell r="AD16">
            <v>2741619</v>
          </cell>
          <cell r="AE16" t="e">
            <v>#REF!</v>
          </cell>
          <cell r="AH16">
            <v>2809588</v>
          </cell>
          <cell r="AI16" t="e">
            <v>#REF!</v>
          </cell>
          <cell r="AL16">
            <v>4377397</v>
          </cell>
          <cell r="AM16" t="e">
            <v>#REF!</v>
          </cell>
          <cell r="AP16">
            <v>4698444</v>
          </cell>
          <cell r="AQ16" t="e">
            <v>#REF!</v>
          </cell>
          <cell r="AT16">
            <v>4319648</v>
          </cell>
          <cell r="AU16" t="e">
            <v>#REF!</v>
          </cell>
          <cell r="AX16">
            <v>5302315</v>
          </cell>
          <cell r="AY16" t="e">
            <v>#REF!</v>
          </cell>
          <cell r="BB16">
            <v>9586719</v>
          </cell>
          <cell r="BC16" t="e">
            <v>#REF!</v>
          </cell>
          <cell r="BF16">
            <v>13854048</v>
          </cell>
          <cell r="BG16" t="e">
            <v>#REF!</v>
          </cell>
          <cell r="BJ16">
            <v>33436790</v>
          </cell>
          <cell r="BK16" t="e">
            <v>#REF!</v>
          </cell>
          <cell r="BN16">
            <v>51732983</v>
          </cell>
          <cell r="BO16" t="e">
            <v>#REF!</v>
          </cell>
          <cell r="BP16">
            <v>0</v>
          </cell>
          <cell r="BQ16">
            <v>0</v>
          </cell>
          <cell r="BR16">
            <v>132859551</v>
          </cell>
          <cell r="BS16" t="e">
            <v>#REF!</v>
          </cell>
          <cell r="BT16" t="e">
            <v>#REF!</v>
          </cell>
        </row>
        <row r="17">
          <cell r="B17" t="e">
            <v>#REF!</v>
          </cell>
          <cell r="E17">
            <v>5472</v>
          </cell>
          <cell r="F17" t="e">
            <v>#REF!</v>
          </cell>
          <cell r="I17">
            <v>12863</v>
          </cell>
          <cell r="J17" t="e">
            <v>#REF!</v>
          </cell>
          <cell r="M17">
            <v>125054</v>
          </cell>
          <cell r="N17" t="e">
            <v>#REF!</v>
          </cell>
          <cell r="Q17">
            <v>256771</v>
          </cell>
          <cell r="R17" t="e">
            <v>#REF!</v>
          </cell>
          <cell r="U17">
            <v>535563</v>
          </cell>
          <cell r="V17" t="e">
            <v>#REF!</v>
          </cell>
          <cell r="W17">
            <v>0</v>
          </cell>
          <cell r="X17">
            <v>0</v>
          </cell>
          <cell r="Y17">
            <v>935723</v>
          </cell>
          <cell r="Z17" t="e">
            <v>#REF!</v>
          </cell>
          <cell r="AA17" t="e">
            <v>#REF!</v>
          </cell>
          <cell r="AD17">
            <v>808521</v>
          </cell>
          <cell r="AE17" t="e">
            <v>#REF!</v>
          </cell>
          <cell r="AH17">
            <v>827290</v>
          </cell>
          <cell r="AI17" t="e">
            <v>#REF!</v>
          </cell>
          <cell r="AL17">
            <v>1405466</v>
          </cell>
          <cell r="AM17" t="e">
            <v>#REF!</v>
          </cell>
          <cell r="AP17">
            <v>1631124</v>
          </cell>
          <cell r="AQ17" t="e">
            <v>#REF!</v>
          </cell>
          <cell r="AT17">
            <v>1155473</v>
          </cell>
          <cell r="AU17" t="e">
            <v>#REF!</v>
          </cell>
          <cell r="AX17">
            <v>1311723</v>
          </cell>
          <cell r="AY17" t="e">
            <v>#REF!</v>
          </cell>
          <cell r="BB17">
            <v>1387634</v>
          </cell>
          <cell r="BC17" t="e">
            <v>#REF!</v>
          </cell>
          <cell r="BF17">
            <v>3296508</v>
          </cell>
          <cell r="BG17" t="e">
            <v>#REF!</v>
          </cell>
          <cell r="BJ17">
            <v>6844107</v>
          </cell>
          <cell r="BK17" t="e">
            <v>#REF!</v>
          </cell>
          <cell r="BN17">
            <v>6280173</v>
          </cell>
          <cell r="BO17" t="e">
            <v>#REF!</v>
          </cell>
          <cell r="BP17">
            <v>0</v>
          </cell>
          <cell r="BQ17">
            <v>0</v>
          </cell>
          <cell r="BR17">
            <v>24948019</v>
          </cell>
          <cell r="BS17" t="e">
            <v>#REF!</v>
          </cell>
          <cell r="BT17" t="e">
            <v>#REF!</v>
          </cell>
        </row>
        <row r="18">
          <cell r="B18" t="e">
            <v>#REF!</v>
          </cell>
          <cell r="E18">
            <v>3568</v>
          </cell>
          <cell r="F18" t="e">
            <v>#REF!</v>
          </cell>
          <cell r="I18">
            <v>260</v>
          </cell>
          <cell r="J18" t="e">
            <v>#REF!</v>
          </cell>
          <cell r="M18">
            <v>51757</v>
          </cell>
          <cell r="N18" t="e">
            <v>#REF!</v>
          </cell>
          <cell r="Q18">
            <v>172998</v>
          </cell>
          <cell r="R18" t="e">
            <v>#REF!</v>
          </cell>
          <cell r="U18">
            <v>770702</v>
          </cell>
          <cell r="V18" t="e">
            <v>#REF!</v>
          </cell>
          <cell r="W18">
            <v>0</v>
          </cell>
          <cell r="X18">
            <v>0</v>
          </cell>
          <cell r="Y18">
            <v>999285</v>
          </cell>
          <cell r="Z18" t="e">
            <v>#REF!</v>
          </cell>
          <cell r="AA18" t="e">
            <v>#REF!</v>
          </cell>
          <cell r="AD18">
            <v>331819</v>
          </cell>
          <cell r="AE18" t="e">
            <v>#REF!</v>
          </cell>
          <cell r="AH18">
            <v>380220</v>
          </cell>
          <cell r="AI18" t="e">
            <v>#REF!</v>
          </cell>
          <cell r="AL18">
            <v>566408</v>
          </cell>
          <cell r="AM18" t="e">
            <v>#REF!</v>
          </cell>
          <cell r="AP18">
            <v>835546</v>
          </cell>
          <cell r="AQ18" t="e">
            <v>#REF!</v>
          </cell>
          <cell r="AT18">
            <v>1892597</v>
          </cell>
          <cell r="AU18" t="e">
            <v>#REF!</v>
          </cell>
          <cell r="AX18">
            <v>1906287</v>
          </cell>
          <cell r="AY18" t="e">
            <v>#REF!</v>
          </cell>
          <cell r="BB18">
            <v>3583572</v>
          </cell>
          <cell r="BC18" t="e">
            <v>#REF!</v>
          </cell>
          <cell r="BF18">
            <v>8386911</v>
          </cell>
          <cell r="BG18" t="e">
            <v>#REF!</v>
          </cell>
          <cell r="BJ18">
            <v>12021298</v>
          </cell>
          <cell r="BK18" t="e">
            <v>#REF!</v>
          </cell>
          <cell r="BN18">
            <v>13162696</v>
          </cell>
          <cell r="BO18" t="e">
            <v>#REF!</v>
          </cell>
          <cell r="BP18">
            <v>0</v>
          </cell>
          <cell r="BQ18">
            <v>0</v>
          </cell>
          <cell r="BR18">
            <v>43067354</v>
          </cell>
          <cell r="BS18" t="e">
            <v>#REF!</v>
          </cell>
          <cell r="BT18" t="e">
            <v>#REF!</v>
          </cell>
        </row>
        <row r="19">
          <cell r="B19" t="e">
            <v>#REF!</v>
          </cell>
          <cell r="W19">
            <v>0</v>
          </cell>
          <cell r="X19">
            <v>0</v>
          </cell>
          <cell r="Y19">
            <v>0</v>
          </cell>
          <cell r="Z19">
            <v>0</v>
          </cell>
          <cell r="AA19">
            <v>0</v>
          </cell>
          <cell r="BP19">
            <v>0</v>
          </cell>
          <cell r="BQ19">
            <v>0</v>
          </cell>
          <cell r="BR19">
            <v>0</v>
          </cell>
          <cell r="BS19">
            <v>0</v>
          </cell>
          <cell r="BT19">
            <v>0</v>
          </cell>
        </row>
        <row r="20">
          <cell r="B20" t="e">
            <v>#REF!</v>
          </cell>
          <cell r="C20">
            <v>0</v>
          </cell>
          <cell r="D20">
            <v>0</v>
          </cell>
          <cell r="E20">
            <v>20127</v>
          </cell>
          <cell r="F20" t="e">
            <v>#REF!</v>
          </cell>
          <cell r="G20">
            <v>0</v>
          </cell>
          <cell r="H20">
            <v>0</v>
          </cell>
          <cell r="I20">
            <v>63138</v>
          </cell>
          <cell r="J20" t="e">
            <v>#REF!</v>
          </cell>
          <cell r="K20">
            <v>0</v>
          </cell>
          <cell r="L20">
            <v>0</v>
          </cell>
          <cell r="M20">
            <v>500401</v>
          </cell>
          <cell r="N20" t="e">
            <v>#REF!</v>
          </cell>
          <cell r="O20">
            <v>0</v>
          </cell>
          <cell r="P20">
            <v>0</v>
          </cell>
          <cell r="Q20">
            <v>1329416</v>
          </cell>
          <cell r="R20" t="e">
            <v>#REF!</v>
          </cell>
          <cell r="S20">
            <v>0</v>
          </cell>
          <cell r="T20">
            <v>0</v>
          </cell>
          <cell r="U20">
            <v>3373992</v>
          </cell>
          <cell r="V20" t="e">
            <v>#REF!</v>
          </cell>
          <cell r="W20">
            <v>0</v>
          </cell>
          <cell r="X20">
            <v>0</v>
          </cell>
          <cell r="Y20">
            <v>5287074</v>
          </cell>
          <cell r="Z20" t="e">
            <v>#REF!</v>
          </cell>
          <cell r="AA20" t="e">
            <v>#REF!</v>
          </cell>
          <cell r="AB20">
            <v>0</v>
          </cell>
          <cell r="AC20">
            <v>0</v>
          </cell>
          <cell r="AD20">
            <v>3881959</v>
          </cell>
          <cell r="AE20" t="e">
            <v>#REF!</v>
          </cell>
          <cell r="AF20">
            <v>0</v>
          </cell>
          <cell r="AG20">
            <v>0</v>
          </cell>
          <cell r="AH20">
            <v>4017098</v>
          </cell>
          <cell r="AI20" t="e">
            <v>#REF!</v>
          </cell>
          <cell r="AJ20">
            <v>0</v>
          </cell>
          <cell r="AK20">
            <v>0</v>
          </cell>
          <cell r="AL20">
            <v>6349271</v>
          </cell>
          <cell r="AM20" t="e">
            <v>#REF!</v>
          </cell>
          <cell r="AN20">
            <v>0</v>
          </cell>
          <cell r="AO20">
            <v>0</v>
          </cell>
          <cell r="AP20">
            <v>7165114</v>
          </cell>
          <cell r="AQ20" t="e">
            <v>#REF!</v>
          </cell>
          <cell r="AR20">
            <v>0</v>
          </cell>
          <cell r="AS20">
            <v>0</v>
          </cell>
          <cell r="AT20">
            <v>7367718</v>
          </cell>
          <cell r="AU20" t="e">
            <v>#REF!</v>
          </cell>
          <cell r="AV20">
            <v>0</v>
          </cell>
          <cell r="AW20">
            <v>0</v>
          </cell>
          <cell r="AX20">
            <v>8520325</v>
          </cell>
          <cell r="AY20" t="e">
            <v>#REF!</v>
          </cell>
          <cell r="AZ20">
            <v>0</v>
          </cell>
          <cell r="BA20">
            <v>0</v>
          </cell>
          <cell r="BB20">
            <v>14557925</v>
          </cell>
          <cell r="BC20" t="e">
            <v>#REF!</v>
          </cell>
          <cell r="BD20">
            <v>0</v>
          </cell>
          <cell r="BE20">
            <v>0</v>
          </cell>
          <cell r="BF20">
            <v>25537467</v>
          </cell>
          <cell r="BG20" t="e">
            <v>#REF!</v>
          </cell>
          <cell r="BH20">
            <v>0</v>
          </cell>
          <cell r="BI20">
            <v>0</v>
          </cell>
          <cell r="BJ20">
            <v>52302195</v>
          </cell>
          <cell r="BK20" t="e">
            <v>#REF!</v>
          </cell>
          <cell r="BL20">
            <v>0</v>
          </cell>
          <cell r="BM20">
            <v>0</v>
          </cell>
          <cell r="BN20">
            <v>71175852</v>
          </cell>
          <cell r="BO20" t="e">
            <v>#REF!</v>
          </cell>
          <cell r="BP20">
            <v>0</v>
          </cell>
          <cell r="BQ20">
            <v>0</v>
          </cell>
          <cell r="BR20">
            <v>200874924</v>
          </cell>
          <cell r="BS20" t="e">
            <v>#REF!</v>
          </cell>
          <cell r="BT20" t="e">
            <v>#REF!</v>
          </cell>
        </row>
        <row r="21">
          <cell r="B21" t="e">
            <v>#REF!</v>
          </cell>
        </row>
        <row r="22">
          <cell r="B22" t="str">
            <v>||</v>
          </cell>
        </row>
        <row r="23">
          <cell r="B23" t="str">
            <v>||</v>
          </cell>
          <cell r="E23">
            <v>0</v>
          </cell>
          <cell r="F23">
            <v>0</v>
          </cell>
          <cell r="I23">
            <v>0</v>
          </cell>
          <cell r="J23">
            <v>0</v>
          </cell>
          <cell r="M23">
            <v>0</v>
          </cell>
          <cell r="N23">
            <v>0</v>
          </cell>
          <cell r="Q23">
            <v>0</v>
          </cell>
          <cell r="R23">
            <v>0</v>
          </cell>
          <cell r="U23">
            <v>0</v>
          </cell>
          <cell r="V23">
            <v>0</v>
          </cell>
          <cell r="W23">
            <v>0</v>
          </cell>
          <cell r="X23">
            <v>0</v>
          </cell>
          <cell r="Y23">
            <v>0</v>
          </cell>
          <cell r="Z23">
            <v>0</v>
          </cell>
          <cell r="AA23">
            <v>0</v>
          </cell>
          <cell r="AD23">
            <v>0</v>
          </cell>
          <cell r="AE23">
            <v>0</v>
          </cell>
          <cell r="AH23">
            <v>0</v>
          </cell>
          <cell r="AI23">
            <v>0</v>
          </cell>
          <cell r="AL23">
            <v>0</v>
          </cell>
          <cell r="AM23">
            <v>0</v>
          </cell>
          <cell r="AP23">
            <v>0</v>
          </cell>
          <cell r="AQ23">
            <v>0</v>
          </cell>
          <cell r="AT23">
            <v>0</v>
          </cell>
          <cell r="AU23">
            <v>0</v>
          </cell>
          <cell r="AX23">
            <v>0</v>
          </cell>
          <cell r="AY23">
            <v>0</v>
          </cell>
          <cell r="BB23">
            <v>0</v>
          </cell>
          <cell r="BC23">
            <v>0</v>
          </cell>
          <cell r="BF23">
            <v>0</v>
          </cell>
          <cell r="BG23">
            <v>0</v>
          </cell>
          <cell r="BJ23">
            <v>0</v>
          </cell>
          <cell r="BK23">
            <v>0</v>
          </cell>
          <cell r="BN23">
            <v>0</v>
          </cell>
          <cell r="BO23">
            <v>0</v>
          </cell>
          <cell r="BP23">
            <v>0</v>
          </cell>
          <cell r="BQ23">
            <v>0</v>
          </cell>
          <cell r="BR23">
            <v>0</v>
          </cell>
          <cell r="BS23">
            <v>0</v>
          </cell>
          <cell r="BT23">
            <v>0</v>
          </cell>
        </row>
        <row r="24">
          <cell r="B24" t="str">
            <v>||</v>
          </cell>
          <cell r="E24">
            <v>0</v>
          </cell>
          <cell r="F24">
            <v>0</v>
          </cell>
          <cell r="I24">
            <v>0</v>
          </cell>
          <cell r="J24">
            <v>0</v>
          </cell>
          <cell r="M24">
            <v>0</v>
          </cell>
          <cell r="N24">
            <v>0</v>
          </cell>
          <cell r="Q24">
            <v>0</v>
          </cell>
          <cell r="R24">
            <v>0</v>
          </cell>
          <cell r="U24">
            <v>0</v>
          </cell>
          <cell r="V24">
            <v>0</v>
          </cell>
          <cell r="W24">
            <v>0</v>
          </cell>
          <cell r="X24">
            <v>0</v>
          </cell>
          <cell r="Y24">
            <v>0</v>
          </cell>
          <cell r="Z24">
            <v>0</v>
          </cell>
          <cell r="AA24">
            <v>0</v>
          </cell>
          <cell r="AD24">
            <v>0</v>
          </cell>
          <cell r="AE24">
            <v>0</v>
          </cell>
          <cell r="AH24">
            <v>0</v>
          </cell>
          <cell r="AI24">
            <v>0</v>
          </cell>
          <cell r="AL24">
            <v>0</v>
          </cell>
          <cell r="AM24">
            <v>0</v>
          </cell>
          <cell r="AP24">
            <v>0</v>
          </cell>
          <cell r="AQ24">
            <v>0</v>
          </cell>
          <cell r="AT24">
            <v>0</v>
          </cell>
          <cell r="AU24">
            <v>0</v>
          </cell>
          <cell r="AX24">
            <v>0</v>
          </cell>
          <cell r="AY24">
            <v>0</v>
          </cell>
          <cell r="BB24">
            <v>0</v>
          </cell>
          <cell r="BC24">
            <v>0</v>
          </cell>
          <cell r="BF24">
            <v>0</v>
          </cell>
          <cell r="BG24">
            <v>0</v>
          </cell>
          <cell r="BJ24">
            <v>0</v>
          </cell>
          <cell r="BK24">
            <v>0</v>
          </cell>
          <cell r="BN24">
            <v>0</v>
          </cell>
          <cell r="BO24">
            <v>0</v>
          </cell>
          <cell r="BP24">
            <v>0</v>
          </cell>
          <cell r="BQ24">
            <v>0</v>
          </cell>
          <cell r="BR24">
            <v>0</v>
          </cell>
          <cell r="BS24">
            <v>0</v>
          </cell>
          <cell r="BT24">
            <v>0</v>
          </cell>
        </row>
        <row r="25">
          <cell r="B25" t="str">
            <v>||</v>
          </cell>
          <cell r="E25">
            <v>0</v>
          </cell>
          <cell r="F25">
            <v>0</v>
          </cell>
          <cell r="I25">
            <v>0</v>
          </cell>
          <cell r="J25">
            <v>0</v>
          </cell>
          <cell r="M25">
            <v>0</v>
          </cell>
          <cell r="N25">
            <v>0</v>
          </cell>
          <cell r="Q25">
            <v>0</v>
          </cell>
          <cell r="R25">
            <v>0</v>
          </cell>
          <cell r="U25">
            <v>0</v>
          </cell>
          <cell r="V25">
            <v>0</v>
          </cell>
          <cell r="W25">
            <v>0</v>
          </cell>
          <cell r="X25">
            <v>0</v>
          </cell>
          <cell r="Y25">
            <v>0</v>
          </cell>
          <cell r="Z25">
            <v>0</v>
          </cell>
          <cell r="AA25">
            <v>0</v>
          </cell>
          <cell r="AD25">
            <v>0</v>
          </cell>
          <cell r="AE25">
            <v>0</v>
          </cell>
          <cell r="AH25">
            <v>0</v>
          </cell>
          <cell r="AI25">
            <v>0</v>
          </cell>
          <cell r="AL25">
            <v>0</v>
          </cell>
          <cell r="AM25">
            <v>0</v>
          </cell>
          <cell r="AP25">
            <v>0</v>
          </cell>
          <cell r="AQ25">
            <v>0</v>
          </cell>
          <cell r="AT25">
            <v>0</v>
          </cell>
          <cell r="AU25">
            <v>0</v>
          </cell>
          <cell r="AX25">
            <v>0</v>
          </cell>
          <cell r="AY25">
            <v>0</v>
          </cell>
          <cell r="BB25">
            <v>0</v>
          </cell>
          <cell r="BC25">
            <v>0</v>
          </cell>
          <cell r="BF25">
            <v>0</v>
          </cell>
          <cell r="BG25">
            <v>0</v>
          </cell>
          <cell r="BJ25">
            <v>0</v>
          </cell>
          <cell r="BK25">
            <v>0</v>
          </cell>
          <cell r="BN25">
            <v>0</v>
          </cell>
          <cell r="BO25">
            <v>0</v>
          </cell>
          <cell r="BP25">
            <v>0</v>
          </cell>
          <cell r="BQ25">
            <v>0</v>
          </cell>
          <cell r="BR25">
            <v>0</v>
          </cell>
          <cell r="BS25">
            <v>0</v>
          </cell>
          <cell r="BT25">
            <v>0</v>
          </cell>
        </row>
        <row r="26">
          <cell r="B26" t="str">
            <v>||</v>
          </cell>
          <cell r="W26">
            <v>0</v>
          </cell>
          <cell r="X26">
            <v>0</v>
          </cell>
          <cell r="Y26">
            <v>0</v>
          </cell>
          <cell r="Z26">
            <v>0</v>
          </cell>
          <cell r="AA26">
            <v>0</v>
          </cell>
          <cell r="BP26">
            <v>0</v>
          </cell>
          <cell r="BQ26">
            <v>0</v>
          </cell>
          <cell r="BR26">
            <v>0</v>
          </cell>
          <cell r="BS26">
            <v>0</v>
          </cell>
          <cell r="BT26">
            <v>0</v>
          </cell>
        </row>
        <row r="27">
          <cell r="B27" t="str">
            <v>||</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row>
        <row r="28">
          <cell r="B28" t="str">
            <v>||</v>
          </cell>
        </row>
        <row r="29">
          <cell r="B29" t="str">
            <v>||</v>
          </cell>
        </row>
        <row r="30">
          <cell r="B30" t="str">
            <v>||</v>
          </cell>
          <cell r="E30">
            <v>0</v>
          </cell>
          <cell r="F30">
            <v>0</v>
          </cell>
          <cell r="I30">
            <v>0</v>
          </cell>
          <cell r="J30">
            <v>0</v>
          </cell>
          <cell r="M30">
            <v>0</v>
          </cell>
          <cell r="N30">
            <v>0</v>
          </cell>
          <cell r="Q30">
            <v>0</v>
          </cell>
          <cell r="R30">
            <v>0</v>
          </cell>
          <cell r="U30">
            <v>0</v>
          </cell>
          <cell r="V30">
            <v>0</v>
          </cell>
          <cell r="W30">
            <v>0</v>
          </cell>
          <cell r="X30">
            <v>0</v>
          </cell>
          <cell r="Y30">
            <v>0</v>
          </cell>
          <cell r="Z30">
            <v>0</v>
          </cell>
          <cell r="AA30">
            <v>0</v>
          </cell>
          <cell r="AD30">
            <v>0</v>
          </cell>
          <cell r="AE30">
            <v>0</v>
          </cell>
          <cell r="AH30">
            <v>0</v>
          </cell>
          <cell r="AI30">
            <v>0</v>
          </cell>
          <cell r="AL30">
            <v>0</v>
          </cell>
          <cell r="AM30">
            <v>0</v>
          </cell>
          <cell r="AP30">
            <v>0</v>
          </cell>
          <cell r="AQ30">
            <v>0</v>
          </cell>
          <cell r="AT30">
            <v>0</v>
          </cell>
          <cell r="AU30">
            <v>0</v>
          </cell>
          <cell r="AX30">
            <v>0</v>
          </cell>
          <cell r="AY30">
            <v>0</v>
          </cell>
          <cell r="BB30">
            <v>0</v>
          </cell>
          <cell r="BC30">
            <v>0</v>
          </cell>
          <cell r="BF30">
            <v>0</v>
          </cell>
          <cell r="BG30">
            <v>0</v>
          </cell>
          <cell r="BJ30">
            <v>0</v>
          </cell>
          <cell r="BK30">
            <v>0</v>
          </cell>
          <cell r="BN30">
            <v>0</v>
          </cell>
          <cell r="BO30">
            <v>0</v>
          </cell>
          <cell r="BP30">
            <v>0</v>
          </cell>
          <cell r="BQ30">
            <v>0</v>
          </cell>
          <cell r="BR30">
            <v>0</v>
          </cell>
          <cell r="BS30">
            <v>0</v>
          </cell>
          <cell r="BT30">
            <v>0</v>
          </cell>
        </row>
        <row r="31">
          <cell r="B31" t="str">
            <v>||</v>
          </cell>
          <cell r="E31">
            <v>0</v>
          </cell>
          <cell r="F31">
            <v>0</v>
          </cell>
          <cell r="I31">
            <v>0</v>
          </cell>
          <cell r="J31">
            <v>0</v>
          </cell>
          <cell r="M31">
            <v>0</v>
          </cell>
          <cell r="N31">
            <v>0</v>
          </cell>
          <cell r="Q31">
            <v>0</v>
          </cell>
          <cell r="R31">
            <v>0</v>
          </cell>
          <cell r="U31">
            <v>0</v>
          </cell>
          <cell r="V31">
            <v>0</v>
          </cell>
          <cell r="W31">
            <v>0</v>
          </cell>
          <cell r="X31">
            <v>0</v>
          </cell>
          <cell r="Y31">
            <v>0</v>
          </cell>
          <cell r="Z31">
            <v>0</v>
          </cell>
          <cell r="AA31">
            <v>0</v>
          </cell>
          <cell r="AD31">
            <v>0</v>
          </cell>
          <cell r="AE31">
            <v>0</v>
          </cell>
          <cell r="AH31">
            <v>0</v>
          </cell>
          <cell r="AI31">
            <v>0</v>
          </cell>
          <cell r="AL31">
            <v>0</v>
          </cell>
          <cell r="AM31">
            <v>0</v>
          </cell>
          <cell r="AP31">
            <v>0</v>
          </cell>
          <cell r="AQ31">
            <v>0</v>
          </cell>
          <cell r="AT31">
            <v>0</v>
          </cell>
          <cell r="AU31">
            <v>0</v>
          </cell>
          <cell r="AX31">
            <v>0</v>
          </cell>
          <cell r="AY31">
            <v>0</v>
          </cell>
          <cell r="BB31">
            <v>0</v>
          </cell>
          <cell r="BC31">
            <v>0</v>
          </cell>
          <cell r="BF31">
            <v>0</v>
          </cell>
          <cell r="BG31">
            <v>0</v>
          </cell>
          <cell r="BJ31">
            <v>0</v>
          </cell>
          <cell r="BK31">
            <v>0</v>
          </cell>
          <cell r="BN31">
            <v>0</v>
          </cell>
          <cell r="BO31">
            <v>0</v>
          </cell>
          <cell r="BP31">
            <v>0</v>
          </cell>
          <cell r="BQ31">
            <v>0</v>
          </cell>
          <cell r="BR31">
            <v>0</v>
          </cell>
          <cell r="BS31">
            <v>0</v>
          </cell>
          <cell r="BT31">
            <v>0</v>
          </cell>
        </row>
        <row r="32">
          <cell r="B32" t="str">
            <v>||</v>
          </cell>
          <cell r="E32">
            <v>0</v>
          </cell>
          <cell r="F32">
            <v>0</v>
          </cell>
          <cell r="I32">
            <v>0</v>
          </cell>
          <cell r="J32">
            <v>0</v>
          </cell>
          <cell r="M32">
            <v>0</v>
          </cell>
          <cell r="N32">
            <v>0</v>
          </cell>
          <cell r="Q32">
            <v>0</v>
          </cell>
          <cell r="R32">
            <v>0</v>
          </cell>
          <cell r="U32">
            <v>0</v>
          </cell>
          <cell r="V32">
            <v>0</v>
          </cell>
          <cell r="W32">
            <v>0</v>
          </cell>
          <cell r="X32">
            <v>0</v>
          </cell>
          <cell r="Y32">
            <v>0</v>
          </cell>
          <cell r="Z32">
            <v>0</v>
          </cell>
          <cell r="AA32">
            <v>0</v>
          </cell>
          <cell r="AD32">
            <v>0</v>
          </cell>
          <cell r="AE32">
            <v>0</v>
          </cell>
          <cell r="AH32">
            <v>0</v>
          </cell>
          <cell r="AI32">
            <v>0</v>
          </cell>
          <cell r="AL32">
            <v>0</v>
          </cell>
          <cell r="AM32">
            <v>0</v>
          </cell>
          <cell r="AP32">
            <v>0</v>
          </cell>
          <cell r="AQ32">
            <v>0</v>
          </cell>
          <cell r="AT32">
            <v>0</v>
          </cell>
          <cell r="AU32">
            <v>0</v>
          </cell>
          <cell r="AX32">
            <v>0</v>
          </cell>
          <cell r="AY32">
            <v>0</v>
          </cell>
          <cell r="BB32">
            <v>0</v>
          </cell>
          <cell r="BC32">
            <v>0</v>
          </cell>
          <cell r="BF32">
            <v>0</v>
          </cell>
          <cell r="BG32">
            <v>0</v>
          </cell>
          <cell r="BJ32">
            <v>0</v>
          </cell>
          <cell r="BK32">
            <v>0</v>
          </cell>
          <cell r="BN32">
            <v>0</v>
          </cell>
          <cell r="BO32">
            <v>0</v>
          </cell>
          <cell r="BP32">
            <v>0</v>
          </cell>
          <cell r="BQ32">
            <v>0</v>
          </cell>
          <cell r="BR32">
            <v>0</v>
          </cell>
          <cell r="BS32">
            <v>0</v>
          </cell>
          <cell r="BT32">
            <v>0</v>
          </cell>
        </row>
        <row r="33">
          <cell r="B33" t="str">
            <v>||</v>
          </cell>
          <cell r="W33">
            <v>0</v>
          </cell>
          <cell r="X33">
            <v>0</v>
          </cell>
          <cell r="Y33">
            <v>0</v>
          </cell>
          <cell r="Z33">
            <v>0</v>
          </cell>
          <cell r="AA33">
            <v>0</v>
          </cell>
          <cell r="BP33">
            <v>0</v>
          </cell>
          <cell r="BQ33">
            <v>0</v>
          </cell>
          <cell r="BR33">
            <v>0</v>
          </cell>
          <cell r="BS33">
            <v>0</v>
          </cell>
          <cell r="BT33">
            <v>0</v>
          </cell>
        </row>
        <row r="34">
          <cell r="B34" t="str">
            <v>||</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row>
        <row r="35">
          <cell r="B35" t="str">
            <v>||</v>
          </cell>
        </row>
        <row r="36">
          <cell r="B36" t="str">
            <v>||</v>
          </cell>
        </row>
        <row r="37">
          <cell r="B37" t="str">
            <v>||</v>
          </cell>
          <cell r="E37">
            <v>0</v>
          </cell>
          <cell r="F37">
            <v>0</v>
          </cell>
          <cell r="I37">
            <v>0</v>
          </cell>
          <cell r="J37">
            <v>0</v>
          </cell>
          <cell r="M37">
            <v>0</v>
          </cell>
          <cell r="N37">
            <v>0</v>
          </cell>
          <cell r="Q37">
            <v>0</v>
          </cell>
          <cell r="R37">
            <v>0</v>
          </cell>
          <cell r="U37">
            <v>0</v>
          </cell>
          <cell r="V37">
            <v>0</v>
          </cell>
          <cell r="W37">
            <v>0</v>
          </cell>
          <cell r="X37">
            <v>0</v>
          </cell>
          <cell r="Y37">
            <v>0</v>
          </cell>
          <cell r="Z37">
            <v>0</v>
          </cell>
          <cell r="AA37">
            <v>0</v>
          </cell>
          <cell r="AD37">
            <v>0</v>
          </cell>
          <cell r="AE37">
            <v>0</v>
          </cell>
          <cell r="AH37">
            <v>0</v>
          </cell>
          <cell r="AI37">
            <v>0</v>
          </cell>
          <cell r="AL37">
            <v>0</v>
          </cell>
          <cell r="AM37">
            <v>0</v>
          </cell>
          <cell r="AP37">
            <v>0</v>
          </cell>
          <cell r="AQ37">
            <v>0</v>
          </cell>
          <cell r="AT37">
            <v>0</v>
          </cell>
          <cell r="AU37">
            <v>0</v>
          </cell>
          <cell r="AX37">
            <v>0</v>
          </cell>
          <cell r="AY37">
            <v>0</v>
          </cell>
          <cell r="BB37">
            <v>0</v>
          </cell>
          <cell r="BC37">
            <v>0</v>
          </cell>
          <cell r="BF37">
            <v>0</v>
          </cell>
          <cell r="BG37">
            <v>0</v>
          </cell>
          <cell r="BJ37">
            <v>0</v>
          </cell>
          <cell r="BK37">
            <v>0</v>
          </cell>
          <cell r="BN37">
            <v>0</v>
          </cell>
          <cell r="BO37">
            <v>0</v>
          </cell>
          <cell r="BP37">
            <v>0</v>
          </cell>
          <cell r="BQ37">
            <v>0</v>
          </cell>
          <cell r="BR37">
            <v>0</v>
          </cell>
          <cell r="BS37">
            <v>0</v>
          </cell>
          <cell r="BT37">
            <v>0</v>
          </cell>
        </row>
        <row r="38">
          <cell r="B38" t="str">
            <v>||</v>
          </cell>
          <cell r="E38">
            <v>0</v>
          </cell>
          <cell r="F38">
            <v>0</v>
          </cell>
          <cell r="I38">
            <v>0</v>
          </cell>
          <cell r="J38">
            <v>0</v>
          </cell>
          <cell r="M38">
            <v>0</v>
          </cell>
          <cell r="N38">
            <v>0</v>
          </cell>
          <cell r="Q38">
            <v>0</v>
          </cell>
          <cell r="R38">
            <v>0</v>
          </cell>
          <cell r="U38">
            <v>0</v>
          </cell>
          <cell r="V38">
            <v>0</v>
          </cell>
          <cell r="W38">
            <v>0</v>
          </cell>
          <cell r="X38">
            <v>0</v>
          </cell>
          <cell r="Y38">
            <v>0</v>
          </cell>
          <cell r="Z38">
            <v>0</v>
          </cell>
          <cell r="AA38">
            <v>0</v>
          </cell>
          <cell r="AD38">
            <v>0</v>
          </cell>
          <cell r="AE38">
            <v>0</v>
          </cell>
          <cell r="AH38">
            <v>0</v>
          </cell>
          <cell r="AI38">
            <v>0</v>
          </cell>
          <cell r="AL38">
            <v>0</v>
          </cell>
          <cell r="AM38">
            <v>0</v>
          </cell>
          <cell r="AP38">
            <v>0</v>
          </cell>
          <cell r="AQ38">
            <v>0</v>
          </cell>
          <cell r="AT38">
            <v>0</v>
          </cell>
          <cell r="AU38">
            <v>0</v>
          </cell>
          <cell r="AX38">
            <v>0</v>
          </cell>
          <cell r="AY38">
            <v>0</v>
          </cell>
          <cell r="BB38">
            <v>0</v>
          </cell>
          <cell r="BC38">
            <v>0</v>
          </cell>
          <cell r="BF38">
            <v>0</v>
          </cell>
          <cell r="BG38">
            <v>0</v>
          </cell>
          <cell r="BJ38">
            <v>0</v>
          </cell>
          <cell r="BK38">
            <v>0</v>
          </cell>
          <cell r="BN38">
            <v>0</v>
          </cell>
          <cell r="BO38">
            <v>0</v>
          </cell>
          <cell r="BP38">
            <v>0</v>
          </cell>
          <cell r="BQ38">
            <v>0</v>
          </cell>
          <cell r="BR38">
            <v>0</v>
          </cell>
          <cell r="BS38">
            <v>0</v>
          </cell>
          <cell r="BT38">
            <v>0</v>
          </cell>
        </row>
        <row r="39">
          <cell r="B39" t="str">
            <v>||</v>
          </cell>
          <cell r="E39">
            <v>0</v>
          </cell>
          <cell r="F39">
            <v>0</v>
          </cell>
          <cell r="I39">
            <v>0</v>
          </cell>
          <cell r="J39">
            <v>0</v>
          </cell>
          <cell r="M39">
            <v>0</v>
          </cell>
          <cell r="N39">
            <v>0</v>
          </cell>
          <cell r="Q39">
            <v>0</v>
          </cell>
          <cell r="R39">
            <v>0</v>
          </cell>
          <cell r="U39">
            <v>0</v>
          </cell>
          <cell r="V39">
            <v>0</v>
          </cell>
          <cell r="W39">
            <v>0</v>
          </cell>
          <cell r="X39">
            <v>0</v>
          </cell>
          <cell r="Y39">
            <v>0</v>
          </cell>
          <cell r="Z39">
            <v>0</v>
          </cell>
          <cell r="AA39">
            <v>0</v>
          </cell>
          <cell r="AD39">
            <v>0</v>
          </cell>
          <cell r="AE39">
            <v>0</v>
          </cell>
          <cell r="AH39">
            <v>0</v>
          </cell>
          <cell r="AI39">
            <v>0</v>
          </cell>
          <cell r="AL39">
            <v>0</v>
          </cell>
          <cell r="AM39">
            <v>0</v>
          </cell>
          <cell r="AP39">
            <v>0</v>
          </cell>
          <cell r="AQ39">
            <v>0</v>
          </cell>
          <cell r="AT39">
            <v>0</v>
          </cell>
          <cell r="AU39">
            <v>0</v>
          </cell>
          <cell r="AX39">
            <v>0</v>
          </cell>
          <cell r="AY39">
            <v>0</v>
          </cell>
          <cell r="BB39">
            <v>0</v>
          </cell>
          <cell r="BC39">
            <v>0</v>
          </cell>
          <cell r="BF39">
            <v>0</v>
          </cell>
          <cell r="BG39">
            <v>0</v>
          </cell>
          <cell r="BJ39">
            <v>0</v>
          </cell>
          <cell r="BK39">
            <v>0</v>
          </cell>
          <cell r="BN39">
            <v>0</v>
          </cell>
          <cell r="BO39">
            <v>0</v>
          </cell>
          <cell r="BP39">
            <v>0</v>
          </cell>
          <cell r="BQ39">
            <v>0</v>
          </cell>
          <cell r="BR39">
            <v>0</v>
          </cell>
          <cell r="BS39">
            <v>0</v>
          </cell>
          <cell r="BT39">
            <v>0</v>
          </cell>
        </row>
        <row r="40">
          <cell r="B40" t="str">
            <v>||</v>
          </cell>
          <cell r="W40">
            <v>0</v>
          </cell>
          <cell r="X40">
            <v>0</v>
          </cell>
          <cell r="Y40">
            <v>0</v>
          </cell>
          <cell r="Z40">
            <v>0</v>
          </cell>
          <cell r="AA40">
            <v>0</v>
          </cell>
          <cell r="BP40">
            <v>0</v>
          </cell>
          <cell r="BQ40">
            <v>0</v>
          </cell>
          <cell r="BR40">
            <v>0</v>
          </cell>
          <cell r="BS40">
            <v>0</v>
          </cell>
          <cell r="BT40">
            <v>0</v>
          </cell>
        </row>
        <row r="41">
          <cell r="B41" t="str">
            <v>||</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row>
        <row r="42">
          <cell r="B42" t="str">
            <v>||</v>
          </cell>
        </row>
        <row r="43">
          <cell r="B43" t="str">
            <v>||</v>
          </cell>
        </row>
        <row r="44">
          <cell r="B44" t="str">
            <v>||</v>
          </cell>
          <cell r="E44">
            <v>0</v>
          </cell>
          <cell r="F44">
            <v>0</v>
          </cell>
          <cell r="I44">
            <v>0</v>
          </cell>
          <cell r="J44">
            <v>0</v>
          </cell>
          <cell r="M44">
            <v>0</v>
          </cell>
          <cell r="N44">
            <v>0</v>
          </cell>
          <cell r="Q44">
            <v>0</v>
          </cell>
          <cell r="R44">
            <v>0</v>
          </cell>
          <cell r="U44">
            <v>0</v>
          </cell>
          <cell r="V44">
            <v>0</v>
          </cell>
          <cell r="W44">
            <v>0</v>
          </cell>
          <cell r="X44">
            <v>0</v>
          </cell>
          <cell r="Y44">
            <v>0</v>
          </cell>
          <cell r="Z44">
            <v>0</v>
          </cell>
          <cell r="AA44">
            <v>0</v>
          </cell>
          <cell r="AD44">
            <v>0</v>
          </cell>
          <cell r="AE44">
            <v>0</v>
          </cell>
          <cell r="AH44">
            <v>0</v>
          </cell>
          <cell r="AI44">
            <v>0</v>
          </cell>
          <cell r="AL44">
            <v>0</v>
          </cell>
          <cell r="AM44">
            <v>0</v>
          </cell>
          <cell r="AP44">
            <v>0</v>
          </cell>
          <cell r="AQ44">
            <v>0</v>
          </cell>
          <cell r="AT44">
            <v>0</v>
          </cell>
          <cell r="AU44">
            <v>0</v>
          </cell>
          <cell r="AX44">
            <v>0</v>
          </cell>
          <cell r="AY44">
            <v>0</v>
          </cell>
          <cell r="BB44">
            <v>0</v>
          </cell>
          <cell r="BC44">
            <v>0</v>
          </cell>
          <cell r="BF44">
            <v>0</v>
          </cell>
          <cell r="BG44">
            <v>0</v>
          </cell>
          <cell r="BJ44">
            <v>0</v>
          </cell>
          <cell r="BK44">
            <v>0</v>
          </cell>
          <cell r="BN44">
            <v>0</v>
          </cell>
          <cell r="BO44">
            <v>0</v>
          </cell>
          <cell r="BP44">
            <v>0</v>
          </cell>
          <cell r="BQ44">
            <v>0</v>
          </cell>
          <cell r="BR44">
            <v>0</v>
          </cell>
          <cell r="BS44">
            <v>0</v>
          </cell>
          <cell r="BT44">
            <v>0</v>
          </cell>
        </row>
        <row r="45">
          <cell r="B45" t="str">
            <v>||</v>
          </cell>
          <cell r="E45">
            <v>0</v>
          </cell>
          <cell r="F45">
            <v>0</v>
          </cell>
          <cell r="I45">
            <v>0</v>
          </cell>
          <cell r="J45">
            <v>0</v>
          </cell>
          <cell r="M45">
            <v>0</v>
          </cell>
          <cell r="N45">
            <v>0</v>
          </cell>
          <cell r="Q45">
            <v>0</v>
          </cell>
          <cell r="R45">
            <v>0</v>
          </cell>
          <cell r="U45">
            <v>0</v>
          </cell>
          <cell r="V45">
            <v>0</v>
          </cell>
          <cell r="W45">
            <v>0</v>
          </cell>
          <cell r="X45">
            <v>0</v>
          </cell>
          <cell r="Y45">
            <v>0</v>
          </cell>
          <cell r="Z45">
            <v>0</v>
          </cell>
          <cell r="AA45">
            <v>0</v>
          </cell>
          <cell r="AD45">
            <v>0</v>
          </cell>
          <cell r="AE45">
            <v>0</v>
          </cell>
          <cell r="AH45">
            <v>0</v>
          </cell>
          <cell r="AI45">
            <v>0</v>
          </cell>
          <cell r="AL45">
            <v>0</v>
          </cell>
          <cell r="AM45">
            <v>0</v>
          </cell>
          <cell r="AP45">
            <v>0</v>
          </cell>
          <cell r="AQ45">
            <v>0</v>
          </cell>
          <cell r="AT45">
            <v>0</v>
          </cell>
          <cell r="AU45">
            <v>0</v>
          </cell>
          <cell r="AX45">
            <v>0</v>
          </cell>
          <cell r="AY45">
            <v>0</v>
          </cell>
          <cell r="BB45">
            <v>0</v>
          </cell>
          <cell r="BC45">
            <v>0</v>
          </cell>
          <cell r="BF45">
            <v>0</v>
          </cell>
          <cell r="BG45">
            <v>0</v>
          </cell>
          <cell r="BJ45">
            <v>0</v>
          </cell>
          <cell r="BK45">
            <v>0</v>
          </cell>
          <cell r="BN45">
            <v>0</v>
          </cell>
          <cell r="BO45">
            <v>0</v>
          </cell>
          <cell r="BP45">
            <v>0</v>
          </cell>
          <cell r="BQ45">
            <v>0</v>
          </cell>
          <cell r="BR45">
            <v>0</v>
          </cell>
          <cell r="BS45">
            <v>0</v>
          </cell>
          <cell r="BT45">
            <v>0</v>
          </cell>
        </row>
        <row r="46">
          <cell r="B46" t="str">
            <v>||</v>
          </cell>
          <cell r="E46">
            <v>0</v>
          </cell>
          <cell r="F46">
            <v>0</v>
          </cell>
          <cell r="I46">
            <v>0</v>
          </cell>
          <cell r="J46">
            <v>0</v>
          </cell>
          <cell r="M46">
            <v>0</v>
          </cell>
          <cell r="N46">
            <v>0</v>
          </cell>
          <cell r="Q46">
            <v>0</v>
          </cell>
          <cell r="R46">
            <v>0</v>
          </cell>
          <cell r="U46">
            <v>0</v>
          </cell>
          <cell r="V46">
            <v>0</v>
          </cell>
          <cell r="W46">
            <v>0</v>
          </cell>
          <cell r="X46">
            <v>0</v>
          </cell>
          <cell r="Y46">
            <v>0</v>
          </cell>
          <cell r="Z46">
            <v>0</v>
          </cell>
          <cell r="AA46">
            <v>0</v>
          </cell>
          <cell r="AD46">
            <v>0</v>
          </cell>
          <cell r="AE46">
            <v>0</v>
          </cell>
          <cell r="AH46">
            <v>0</v>
          </cell>
          <cell r="AI46">
            <v>0</v>
          </cell>
          <cell r="AL46">
            <v>0</v>
          </cell>
          <cell r="AM46">
            <v>0</v>
          </cell>
          <cell r="AP46">
            <v>0</v>
          </cell>
          <cell r="AQ46">
            <v>0</v>
          </cell>
          <cell r="AT46">
            <v>0</v>
          </cell>
          <cell r="AU46">
            <v>0</v>
          </cell>
          <cell r="AX46">
            <v>0</v>
          </cell>
          <cell r="AY46">
            <v>0</v>
          </cell>
          <cell r="BB46">
            <v>0</v>
          </cell>
          <cell r="BC46">
            <v>0</v>
          </cell>
          <cell r="BF46">
            <v>0</v>
          </cell>
          <cell r="BG46">
            <v>0</v>
          </cell>
          <cell r="BJ46">
            <v>0</v>
          </cell>
          <cell r="BK46">
            <v>0</v>
          </cell>
          <cell r="BN46">
            <v>0</v>
          </cell>
          <cell r="BO46">
            <v>0</v>
          </cell>
          <cell r="BP46">
            <v>0</v>
          </cell>
          <cell r="BQ46">
            <v>0</v>
          </cell>
          <cell r="BR46">
            <v>0</v>
          </cell>
          <cell r="BS46">
            <v>0</v>
          </cell>
          <cell r="BT46">
            <v>0</v>
          </cell>
        </row>
        <row r="47">
          <cell r="B47" t="str">
            <v>||</v>
          </cell>
          <cell r="W47">
            <v>0</v>
          </cell>
          <cell r="X47">
            <v>0</v>
          </cell>
          <cell r="Y47">
            <v>0</v>
          </cell>
          <cell r="Z47">
            <v>0</v>
          </cell>
          <cell r="AA47">
            <v>0</v>
          </cell>
          <cell r="BP47">
            <v>0</v>
          </cell>
          <cell r="BQ47">
            <v>0</v>
          </cell>
          <cell r="BR47">
            <v>0</v>
          </cell>
          <cell r="BS47">
            <v>0</v>
          </cell>
          <cell r="BT47">
            <v>0</v>
          </cell>
        </row>
        <row r="48">
          <cell r="B48" t="str">
            <v>||</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row>
        <row r="49">
          <cell r="B49" t="str">
            <v>||</v>
          </cell>
        </row>
        <row r="50">
          <cell r="B50" t="str">
            <v>||</v>
          </cell>
        </row>
        <row r="51">
          <cell r="B51" t="str">
            <v>||</v>
          </cell>
          <cell r="E51">
            <v>0</v>
          </cell>
          <cell r="F51">
            <v>0</v>
          </cell>
          <cell r="I51">
            <v>0</v>
          </cell>
          <cell r="J51">
            <v>0</v>
          </cell>
          <cell r="M51">
            <v>0</v>
          </cell>
          <cell r="N51">
            <v>0</v>
          </cell>
          <cell r="Q51">
            <v>0</v>
          </cell>
          <cell r="R51">
            <v>0</v>
          </cell>
          <cell r="U51">
            <v>0</v>
          </cell>
          <cell r="V51">
            <v>0</v>
          </cell>
          <cell r="W51">
            <v>0</v>
          </cell>
          <cell r="X51">
            <v>0</v>
          </cell>
          <cell r="Y51">
            <v>0</v>
          </cell>
          <cell r="Z51">
            <v>0</v>
          </cell>
          <cell r="AA51">
            <v>0</v>
          </cell>
          <cell r="AD51">
            <v>0</v>
          </cell>
          <cell r="AE51">
            <v>0</v>
          </cell>
          <cell r="AH51">
            <v>0</v>
          </cell>
          <cell r="AI51">
            <v>0</v>
          </cell>
          <cell r="AL51">
            <v>0</v>
          </cell>
          <cell r="AM51">
            <v>0</v>
          </cell>
          <cell r="AP51">
            <v>0</v>
          </cell>
          <cell r="AQ51">
            <v>0</v>
          </cell>
          <cell r="AT51">
            <v>0</v>
          </cell>
          <cell r="AU51">
            <v>0</v>
          </cell>
          <cell r="AX51">
            <v>0</v>
          </cell>
          <cell r="AY51">
            <v>0</v>
          </cell>
          <cell r="BB51">
            <v>0</v>
          </cell>
          <cell r="BC51">
            <v>0</v>
          </cell>
          <cell r="BF51" t="str">
            <v xml:space="preserve"> </v>
          </cell>
          <cell r="BG51" t="str">
            <v xml:space="preserve"> </v>
          </cell>
          <cell r="BJ51">
            <v>0</v>
          </cell>
          <cell r="BK51">
            <v>0</v>
          </cell>
          <cell r="BN51">
            <v>0</v>
          </cell>
          <cell r="BO51">
            <v>0</v>
          </cell>
          <cell r="BP51">
            <v>0</v>
          </cell>
          <cell r="BQ51">
            <v>0</v>
          </cell>
          <cell r="BR51">
            <v>0</v>
          </cell>
          <cell r="BS51">
            <v>0</v>
          </cell>
          <cell r="BT51">
            <v>0</v>
          </cell>
        </row>
        <row r="52">
          <cell r="B52" t="str">
            <v>||</v>
          </cell>
          <cell r="E52">
            <v>0</v>
          </cell>
          <cell r="F52">
            <v>0</v>
          </cell>
          <cell r="I52">
            <v>0</v>
          </cell>
          <cell r="J52">
            <v>0</v>
          </cell>
          <cell r="M52">
            <v>0</v>
          </cell>
          <cell r="N52">
            <v>0</v>
          </cell>
          <cell r="Q52">
            <v>0</v>
          </cell>
          <cell r="R52">
            <v>0</v>
          </cell>
          <cell r="U52">
            <v>0</v>
          </cell>
          <cell r="V52">
            <v>0</v>
          </cell>
          <cell r="W52">
            <v>0</v>
          </cell>
          <cell r="X52">
            <v>0</v>
          </cell>
          <cell r="Y52">
            <v>0</v>
          </cell>
          <cell r="Z52">
            <v>0</v>
          </cell>
          <cell r="AA52">
            <v>0</v>
          </cell>
          <cell r="AD52">
            <v>0</v>
          </cell>
          <cell r="AE52">
            <v>0</v>
          </cell>
          <cell r="AH52">
            <v>0</v>
          </cell>
          <cell r="AI52">
            <v>0</v>
          </cell>
          <cell r="AL52">
            <v>0</v>
          </cell>
          <cell r="AM52">
            <v>0</v>
          </cell>
          <cell r="AP52">
            <v>0</v>
          </cell>
          <cell r="AQ52">
            <v>0</v>
          </cell>
          <cell r="AT52">
            <v>0</v>
          </cell>
          <cell r="AU52">
            <v>0</v>
          </cell>
          <cell r="AX52">
            <v>0</v>
          </cell>
          <cell r="AY52">
            <v>0</v>
          </cell>
          <cell r="BB52">
            <v>0</v>
          </cell>
          <cell r="BC52">
            <v>0</v>
          </cell>
          <cell r="BF52">
            <v>0</v>
          </cell>
          <cell r="BG52">
            <v>0</v>
          </cell>
          <cell r="BJ52">
            <v>0</v>
          </cell>
          <cell r="BK52">
            <v>0</v>
          </cell>
          <cell r="BN52">
            <v>0</v>
          </cell>
          <cell r="BO52">
            <v>0</v>
          </cell>
          <cell r="BP52">
            <v>0</v>
          </cell>
          <cell r="BQ52">
            <v>0</v>
          </cell>
          <cell r="BR52">
            <v>0</v>
          </cell>
          <cell r="BS52">
            <v>0</v>
          </cell>
          <cell r="BT52">
            <v>0</v>
          </cell>
        </row>
        <row r="53">
          <cell r="B53" t="str">
            <v>||</v>
          </cell>
          <cell r="E53">
            <v>0</v>
          </cell>
          <cell r="F53">
            <v>0</v>
          </cell>
          <cell r="I53">
            <v>0</v>
          </cell>
          <cell r="J53">
            <v>0</v>
          </cell>
          <cell r="M53">
            <v>0</v>
          </cell>
          <cell r="N53">
            <v>0</v>
          </cell>
          <cell r="Q53">
            <v>0</v>
          </cell>
          <cell r="R53">
            <v>0</v>
          </cell>
          <cell r="U53">
            <v>0</v>
          </cell>
          <cell r="V53">
            <v>0</v>
          </cell>
          <cell r="W53">
            <v>0</v>
          </cell>
          <cell r="X53">
            <v>0</v>
          </cell>
          <cell r="Y53">
            <v>0</v>
          </cell>
          <cell r="Z53">
            <v>0</v>
          </cell>
          <cell r="AA53">
            <v>0</v>
          </cell>
          <cell r="AD53">
            <v>0</v>
          </cell>
          <cell r="AE53">
            <v>0</v>
          </cell>
          <cell r="AH53">
            <v>0</v>
          </cell>
          <cell r="AI53">
            <v>0</v>
          </cell>
          <cell r="AL53">
            <v>0</v>
          </cell>
          <cell r="AM53">
            <v>0</v>
          </cell>
          <cell r="AP53">
            <v>0</v>
          </cell>
          <cell r="AQ53">
            <v>0</v>
          </cell>
          <cell r="AT53">
            <v>0</v>
          </cell>
          <cell r="AU53">
            <v>0</v>
          </cell>
          <cell r="AX53">
            <v>0</v>
          </cell>
          <cell r="AY53">
            <v>0</v>
          </cell>
          <cell r="BB53">
            <v>0</v>
          </cell>
          <cell r="BC53">
            <v>0</v>
          </cell>
          <cell r="BF53">
            <v>0</v>
          </cell>
          <cell r="BG53">
            <v>0</v>
          </cell>
          <cell r="BJ53">
            <v>0</v>
          </cell>
          <cell r="BK53">
            <v>0</v>
          </cell>
          <cell r="BN53">
            <v>0</v>
          </cell>
          <cell r="BO53">
            <v>0</v>
          </cell>
          <cell r="BP53">
            <v>0</v>
          </cell>
          <cell r="BQ53">
            <v>0</v>
          </cell>
          <cell r="BR53">
            <v>0</v>
          </cell>
          <cell r="BS53">
            <v>0</v>
          </cell>
          <cell r="BT53">
            <v>0</v>
          </cell>
        </row>
        <row r="54">
          <cell r="B54" t="str">
            <v>||</v>
          </cell>
          <cell r="W54">
            <v>0</v>
          </cell>
          <cell r="X54">
            <v>0</v>
          </cell>
          <cell r="Y54">
            <v>0</v>
          </cell>
          <cell r="Z54">
            <v>0</v>
          </cell>
          <cell r="AA54">
            <v>0</v>
          </cell>
          <cell r="BP54">
            <v>0</v>
          </cell>
          <cell r="BQ54">
            <v>0</v>
          </cell>
          <cell r="BR54">
            <v>0</v>
          </cell>
          <cell r="BS54">
            <v>0</v>
          </cell>
          <cell r="BT54">
            <v>0</v>
          </cell>
        </row>
        <row r="55">
          <cell r="B55" t="str">
            <v>||</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row>
        <row r="56">
          <cell r="B56" t="str">
            <v>||</v>
          </cell>
        </row>
        <row r="57">
          <cell r="B57" t="str">
            <v>||</v>
          </cell>
        </row>
        <row r="58">
          <cell r="B58" t="str">
            <v>||</v>
          </cell>
          <cell r="E58">
            <v>0</v>
          </cell>
          <cell r="F58">
            <v>0</v>
          </cell>
          <cell r="I58">
            <v>0</v>
          </cell>
          <cell r="J58">
            <v>0</v>
          </cell>
          <cell r="M58">
            <v>0</v>
          </cell>
          <cell r="N58">
            <v>0</v>
          </cell>
          <cell r="Q58">
            <v>0</v>
          </cell>
          <cell r="R58">
            <v>0</v>
          </cell>
          <cell r="U58">
            <v>0</v>
          </cell>
          <cell r="V58">
            <v>0</v>
          </cell>
          <cell r="W58">
            <v>0</v>
          </cell>
          <cell r="X58">
            <v>0</v>
          </cell>
          <cell r="Y58">
            <v>0</v>
          </cell>
          <cell r="Z58">
            <v>0</v>
          </cell>
          <cell r="AA58">
            <v>0</v>
          </cell>
          <cell r="AD58">
            <v>0</v>
          </cell>
          <cell r="AE58">
            <v>0</v>
          </cell>
          <cell r="AH58">
            <v>0</v>
          </cell>
          <cell r="AI58">
            <v>0</v>
          </cell>
          <cell r="AL58">
            <v>0</v>
          </cell>
          <cell r="AM58">
            <v>0</v>
          </cell>
          <cell r="AP58">
            <v>0</v>
          </cell>
          <cell r="AQ58">
            <v>0</v>
          </cell>
          <cell r="AT58">
            <v>0</v>
          </cell>
          <cell r="AU58">
            <v>0</v>
          </cell>
          <cell r="AX58">
            <v>0</v>
          </cell>
          <cell r="AY58">
            <v>0</v>
          </cell>
          <cell r="BB58">
            <v>0</v>
          </cell>
          <cell r="BC58">
            <v>0</v>
          </cell>
          <cell r="BF58">
            <v>0</v>
          </cell>
          <cell r="BG58">
            <v>0</v>
          </cell>
          <cell r="BJ58">
            <v>0</v>
          </cell>
          <cell r="BK58">
            <v>0</v>
          </cell>
          <cell r="BN58">
            <v>0</v>
          </cell>
          <cell r="BO58">
            <v>0</v>
          </cell>
          <cell r="BP58">
            <v>0</v>
          </cell>
          <cell r="BQ58">
            <v>0</v>
          </cell>
          <cell r="BR58">
            <v>0</v>
          </cell>
          <cell r="BS58">
            <v>0</v>
          </cell>
          <cell r="BT58">
            <v>0</v>
          </cell>
        </row>
        <row r="59">
          <cell r="B59" t="str">
            <v>||</v>
          </cell>
          <cell r="E59">
            <v>0</v>
          </cell>
          <cell r="F59">
            <v>0</v>
          </cell>
          <cell r="I59">
            <v>0</v>
          </cell>
          <cell r="J59">
            <v>0</v>
          </cell>
          <cell r="M59">
            <v>0</v>
          </cell>
          <cell r="N59">
            <v>0</v>
          </cell>
          <cell r="Q59">
            <v>0</v>
          </cell>
          <cell r="R59">
            <v>0</v>
          </cell>
          <cell r="U59">
            <v>0</v>
          </cell>
          <cell r="V59">
            <v>0</v>
          </cell>
          <cell r="W59">
            <v>0</v>
          </cell>
          <cell r="X59">
            <v>0</v>
          </cell>
          <cell r="Y59">
            <v>0</v>
          </cell>
          <cell r="Z59">
            <v>0</v>
          </cell>
          <cell r="AA59">
            <v>0</v>
          </cell>
          <cell r="AD59">
            <v>0</v>
          </cell>
          <cell r="AE59">
            <v>0</v>
          </cell>
          <cell r="AH59">
            <v>0</v>
          </cell>
          <cell r="AI59">
            <v>0</v>
          </cell>
          <cell r="AL59">
            <v>0</v>
          </cell>
          <cell r="AM59">
            <v>0</v>
          </cell>
          <cell r="AP59">
            <v>0</v>
          </cell>
          <cell r="AQ59">
            <v>0</v>
          </cell>
          <cell r="AT59">
            <v>0</v>
          </cell>
          <cell r="AU59">
            <v>0</v>
          </cell>
          <cell r="AX59">
            <v>0</v>
          </cell>
          <cell r="AY59">
            <v>0</v>
          </cell>
          <cell r="BB59">
            <v>0</v>
          </cell>
          <cell r="BC59">
            <v>0</v>
          </cell>
          <cell r="BF59">
            <v>0</v>
          </cell>
          <cell r="BG59">
            <v>0</v>
          </cell>
          <cell r="BJ59">
            <v>0</v>
          </cell>
          <cell r="BK59">
            <v>0</v>
          </cell>
          <cell r="BN59">
            <v>0</v>
          </cell>
          <cell r="BO59">
            <v>0</v>
          </cell>
          <cell r="BP59">
            <v>0</v>
          </cell>
          <cell r="BQ59">
            <v>0</v>
          </cell>
          <cell r="BR59">
            <v>0</v>
          </cell>
          <cell r="BS59">
            <v>0</v>
          </cell>
          <cell r="BT59">
            <v>0</v>
          </cell>
        </row>
        <row r="60">
          <cell r="B60" t="str">
            <v>||</v>
          </cell>
          <cell r="E60">
            <v>0</v>
          </cell>
          <cell r="F60">
            <v>0</v>
          </cell>
          <cell r="I60">
            <v>0</v>
          </cell>
          <cell r="J60">
            <v>0</v>
          </cell>
          <cell r="M60">
            <v>0</v>
          </cell>
          <cell r="N60">
            <v>0</v>
          </cell>
          <cell r="Q60">
            <v>0</v>
          </cell>
          <cell r="R60">
            <v>0</v>
          </cell>
          <cell r="U60">
            <v>0</v>
          </cell>
          <cell r="V60">
            <v>0</v>
          </cell>
          <cell r="W60">
            <v>0</v>
          </cell>
          <cell r="X60">
            <v>0</v>
          </cell>
          <cell r="Y60">
            <v>0</v>
          </cell>
          <cell r="Z60">
            <v>0</v>
          </cell>
          <cell r="AA60">
            <v>0</v>
          </cell>
          <cell r="AD60">
            <v>0</v>
          </cell>
          <cell r="AE60">
            <v>0</v>
          </cell>
          <cell r="AH60">
            <v>0</v>
          </cell>
          <cell r="AI60">
            <v>0</v>
          </cell>
          <cell r="AL60">
            <v>0</v>
          </cell>
          <cell r="AM60">
            <v>0</v>
          </cell>
          <cell r="AP60">
            <v>0</v>
          </cell>
          <cell r="AQ60">
            <v>0</v>
          </cell>
          <cell r="AT60">
            <v>0</v>
          </cell>
          <cell r="AU60">
            <v>0</v>
          </cell>
          <cell r="AX60">
            <v>0</v>
          </cell>
          <cell r="AY60">
            <v>0</v>
          </cell>
          <cell r="BB60">
            <v>0</v>
          </cell>
          <cell r="BC60">
            <v>0</v>
          </cell>
          <cell r="BF60">
            <v>0</v>
          </cell>
          <cell r="BG60">
            <v>0</v>
          </cell>
          <cell r="BJ60">
            <v>0</v>
          </cell>
          <cell r="BK60">
            <v>0</v>
          </cell>
          <cell r="BN60">
            <v>0</v>
          </cell>
          <cell r="BO60">
            <v>0</v>
          </cell>
          <cell r="BP60">
            <v>0</v>
          </cell>
          <cell r="BQ60">
            <v>0</v>
          </cell>
          <cell r="BR60">
            <v>0</v>
          </cell>
          <cell r="BS60">
            <v>0</v>
          </cell>
          <cell r="BT60">
            <v>0</v>
          </cell>
        </row>
        <row r="61">
          <cell r="B61" t="str">
            <v>||</v>
          </cell>
          <cell r="W61">
            <v>0</v>
          </cell>
          <cell r="X61">
            <v>0</v>
          </cell>
          <cell r="Y61">
            <v>0</v>
          </cell>
          <cell r="Z61">
            <v>0</v>
          </cell>
          <cell r="AA61">
            <v>0</v>
          </cell>
          <cell r="BP61">
            <v>0</v>
          </cell>
          <cell r="BQ61">
            <v>0</v>
          </cell>
          <cell r="BR61">
            <v>0</v>
          </cell>
          <cell r="BS61">
            <v>0</v>
          </cell>
          <cell r="BT61">
            <v>0</v>
          </cell>
        </row>
        <row r="62">
          <cell r="B62" t="str">
            <v>||</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row>
        <row r="63">
          <cell r="B63" t="str">
            <v>||</v>
          </cell>
        </row>
        <row r="64">
          <cell r="B64" t="str">
            <v>||</v>
          </cell>
        </row>
        <row r="65">
          <cell r="B65" t="str">
            <v>||</v>
          </cell>
          <cell r="E65">
            <v>0</v>
          </cell>
          <cell r="F65">
            <v>0</v>
          </cell>
          <cell r="I65">
            <v>0</v>
          </cell>
          <cell r="J65">
            <v>0</v>
          </cell>
          <cell r="M65">
            <v>0</v>
          </cell>
          <cell r="N65">
            <v>0</v>
          </cell>
          <cell r="Q65">
            <v>0</v>
          </cell>
          <cell r="R65">
            <v>0</v>
          </cell>
          <cell r="U65">
            <v>0</v>
          </cell>
          <cell r="V65">
            <v>0</v>
          </cell>
          <cell r="W65">
            <v>0</v>
          </cell>
          <cell r="X65">
            <v>0</v>
          </cell>
          <cell r="Y65">
            <v>0</v>
          </cell>
          <cell r="Z65">
            <v>0</v>
          </cell>
          <cell r="AA65">
            <v>0</v>
          </cell>
          <cell r="AD65">
            <v>0</v>
          </cell>
          <cell r="AE65">
            <v>0</v>
          </cell>
          <cell r="AH65">
            <v>0</v>
          </cell>
          <cell r="AI65">
            <v>0</v>
          </cell>
          <cell r="AL65">
            <v>0</v>
          </cell>
          <cell r="AM65">
            <v>0</v>
          </cell>
          <cell r="AP65">
            <v>0</v>
          </cell>
          <cell r="AQ65">
            <v>0</v>
          </cell>
          <cell r="AT65">
            <v>0</v>
          </cell>
          <cell r="AU65">
            <v>0</v>
          </cell>
          <cell r="AX65">
            <v>0</v>
          </cell>
          <cell r="AY65">
            <v>0</v>
          </cell>
          <cell r="BB65">
            <v>0</v>
          </cell>
          <cell r="BC65">
            <v>0</v>
          </cell>
          <cell r="BF65">
            <v>0</v>
          </cell>
          <cell r="BG65">
            <v>0</v>
          </cell>
          <cell r="BJ65">
            <v>0</v>
          </cell>
          <cell r="BK65">
            <v>0</v>
          </cell>
          <cell r="BN65">
            <v>0</v>
          </cell>
          <cell r="BO65">
            <v>0</v>
          </cell>
          <cell r="BP65">
            <v>0</v>
          </cell>
          <cell r="BQ65">
            <v>0</v>
          </cell>
          <cell r="BR65">
            <v>0</v>
          </cell>
          <cell r="BS65">
            <v>0</v>
          </cell>
          <cell r="BT65">
            <v>0</v>
          </cell>
        </row>
        <row r="66">
          <cell r="B66" t="str">
            <v>||</v>
          </cell>
          <cell r="E66">
            <v>0</v>
          </cell>
          <cell r="F66">
            <v>0</v>
          </cell>
          <cell r="I66">
            <v>0</v>
          </cell>
          <cell r="J66">
            <v>0</v>
          </cell>
          <cell r="M66">
            <v>0</v>
          </cell>
          <cell r="N66">
            <v>0</v>
          </cell>
          <cell r="Q66">
            <v>0</v>
          </cell>
          <cell r="R66">
            <v>0</v>
          </cell>
          <cell r="U66">
            <v>0</v>
          </cell>
          <cell r="V66">
            <v>0</v>
          </cell>
          <cell r="W66">
            <v>0</v>
          </cell>
          <cell r="X66">
            <v>0</v>
          </cell>
          <cell r="Y66">
            <v>0</v>
          </cell>
          <cell r="Z66">
            <v>0</v>
          </cell>
          <cell r="AA66">
            <v>0</v>
          </cell>
          <cell r="AD66">
            <v>0</v>
          </cell>
          <cell r="AE66">
            <v>0</v>
          </cell>
          <cell r="AH66">
            <v>0</v>
          </cell>
          <cell r="AI66">
            <v>0</v>
          </cell>
          <cell r="AL66">
            <v>0</v>
          </cell>
          <cell r="AM66">
            <v>0</v>
          </cell>
          <cell r="AP66">
            <v>0</v>
          </cell>
          <cell r="AQ66">
            <v>0</v>
          </cell>
          <cell r="AT66">
            <v>0</v>
          </cell>
          <cell r="AU66">
            <v>0</v>
          </cell>
          <cell r="AX66">
            <v>0</v>
          </cell>
          <cell r="AY66">
            <v>0</v>
          </cell>
          <cell r="BB66">
            <v>0</v>
          </cell>
          <cell r="BC66">
            <v>0</v>
          </cell>
          <cell r="BF66">
            <v>0</v>
          </cell>
          <cell r="BG66">
            <v>0</v>
          </cell>
          <cell r="BJ66">
            <v>0</v>
          </cell>
          <cell r="BK66">
            <v>0</v>
          </cell>
          <cell r="BN66">
            <v>0</v>
          </cell>
          <cell r="BO66">
            <v>0</v>
          </cell>
          <cell r="BP66">
            <v>0</v>
          </cell>
          <cell r="BQ66">
            <v>0</v>
          </cell>
          <cell r="BR66">
            <v>0</v>
          </cell>
          <cell r="BS66">
            <v>0</v>
          </cell>
          <cell r="BT66">
            <v>0</v>
          </cell>
        </row>
        <row r="67">
          <cell r="B67" t="str">
            <v>||</v>
          </cell>
          <cell r="E67">
            <v>0</v>
          </cell>
          <cell r="F67">
            <v>0</v>
          </cell>
          <cell r="I67">
            <v>0</v>
          </cell>
          <cell r="J67">
            <v>0</v>
          </cell>
          <cell r="M67">
            <v>0</v>
          </cell>
          <cell r="N67">
            <v>0</v>
          </cell>
          <cell r="Q67">
            <v>0</v>
          </cell>
          <cell r="R67">
            <v>0</v>
          </cell>
          <cell r="U67">
            <v>0</v>
          </cell>
          <cell r="V67">
            <v>0</v>
          </cell>
          <cell r="W67">
            <v>0</v>
          </cell>
          <cell r="X67">
            <v>0</v>
          </cell>
          <cell r="Y67">
            <v>0</v>
          </cell>
          <cell r="Z67">
            <v>0</v>
          </cell>
          <cell r="AA67">
            <v>0</v>
          </cell>
          <cell r="AD67">
            <v>0</v>
          </cell>
          <cell r="AE67">
            <v>0</v>
          </cell>
          <cell r="AH67">
            <v>0</v>
          </cell>
          <cell r="AI67">
            <v>0</v>
          </cell>
          <cell r="AL67">
            <v>0</v>
          </cell>
          <cell r="AM67">
            <v>0</v>
          </cell>
          <cell r="AP67">
            <v>0</v>
          </cell>
          <cell r="AQ67">
            <v>0</v>
          </cell>
          <cell r="AT67">
            <v>0</v>
          </cell>
          <cell r="AU67">
            <v>0</v>
          </cell>
          <cell r="AX67">
            <v>0</v>
          </cell>
          <cell r="AY67">
            <v>0</v>
          </cell>
          <cell r="BB67">
            <v>0</v>
          </cell>
          <cell r="BC67">
            <v>0</v>
          </cell>
          <cell r="BF67">
            <v>0</v>
          </cell>
          <cell r="BG67">
            <v>0</v>
          </cell>
          <cell r="BJ67">
            <v>0</v>
          </cell>
          <cell r="BK67">
            <v>0</v>
          </cell>
          <cell r="BN67">
            <v>0</v>
          </cell>
          <cell r="BO67">
            <v>0</v>
          </cell>
          <cell r="BP67">
            <v>0</v>
          </cell>
          <cell r="BQ67">
            <v>0</v>
          </cell>
          <cell r="BR67">
            <v>0</v>
          </cell>
          <cell r="BS67">
            <v>0</v>
          </cell>
          <cell r="BT67">
            <v>0</v>
          </cell>
        </row>
        <row r="68">
          <cell r="B68" t="str">
            <v>||</v>
          </cell>
          <cell r="W68">
            <v>0</v>
          </cell>
          <cell r="X68">
            <v>0</v>
          </cell>
          <cell r="Y68">
            <v>0</v>
          </cell>
          <cell r="Z68">
            <v>0</v>
          </cell>
          <cell r="AA68">
            <v>0</v>
          </cell>
          <cell r="BP68">
            <v>0</v>
          </cell>
          <cell r="BQ68">
            <v>0</v>
          </cell>
          <cell r="BR68">
            <v>0</v>
          </cell>
          <cell r="BS68">
            <v>0</v>
          </cell>
          <cell r="BT68">
            <v>0</v>
          </cell>
        </row>
        <row r="69">
          <cell r="B69" t="str">
            <v>||</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row>
        <row r="70">
          <cell r="B70" t="str">
            <v>||</v>
          </cell>
        </row>
        <row r="71">
          <cell r="B71" t="str">
            <v>||</v>
          </cell>
        </row>
        <row r="72">
          <cell r="B72" t="str">
            <v>||</v>
          </cell>
          <cell r="E72">
            <v>0</v>
          </cell>
          <cell r="F72">
            <v>0</v>
          </cell>
          <cell r="I72">
            <v>0</v>
          </cell>
          <cell r="J72">
            <v>0</v>
          </cell>
          <cell r="M72">
            <v>0</v>
          </cell>
          <cell r="N72">
            <v>0</v>
          </cell>
          <cell r="Q72">
            <v>0</v>
          </cell>
          <cell r="R72">
            <v>0</v>
          </cell>
          <cell r="U72">
            <v>0</v>
          </cell>
          <cell r="V72">
            <v>0</v>
          </cell>
          <cell r="W72">
            <v>0</v>
          </cell>
          <cell r="X72">
            <v>0</v>
          </cell>
          <cell r="Y72">
            <v>0</v>
          </cell>
          <cell r="Z72">
            <v>0</v>
          </cell>
          <cell r="AA72">
            <v>0</v>
          </cell>
          <cell r="AD72">
            <v>0</v>
          </cell>
          <cell r="AE72">
            <v>0</v>
          </cell>
          <cell r="AH72">
            <v>0</v>
          </cell>
          <cell r="AI72">
            <v>0</v>
          </cell>
          <cell r="AL72">
            <v>0</v>
          </cell>
          <cell r="AM72">
            <v>0</v>
          </cell>
          <cell r="AP72">
            <v>0</v>
          </cell>
          <cell r="AQ72">
            <v>0</v>
          </cell>
          <cell r="AT72">
            <v>0</v>
          </cell>
          <cell r="AU72">
            <v>0</v>
          </cell>
          <cell r="AX72">
            <v>0</v>
          </cell>
          <cell r="AY72">
            <v>0</v>
          </cell>
          <cell r="BB72">
            <v>0</v>
          </cell>
          <cell r="BC72">
            <v>0</v>
          </cell>
          <cell r="BF72">
            <v>0</v>
          </cell>
          <cell r="BG72">
            <v>0</v>
          </cell>
          <cell r="BJ72">
            <v>0</v>
          </cell>
          <cell r="BK72">
            <v>0</v>
          </cell>
          <cell r="BN72">
            <v>0</v>
          </cell>
          <cell r="BO72">
            <v>0</v>
          </cell>
          <cell r="BP72">
            <v>0</v>
          </cell>
          <cell r="BQ72">
            <v>0</v>
          </cell>
          <cell r="BR72">
            <v>0</v>
          </cell>
          <cell r="BS72">
            <v>0</v>
          </cell>
          <cell r="BT72">
            <v>0</v>
          </cell>
        </row>
        <row r="73">
          <cell r="B73" t="str">
            <v>||</v>
          </cell>
          <cell r="E73">
            <v>0</v>
          </cell>
          <cell r="F73">
            <v>0</v>
          </cell>
          <cell r="I73">
            <v>0</v>
          </cell>
          <cell r="J73">
            <v>0</v>
          </cell>
          <cell r="M73">
            <v>0</v>
          </cell>
          <cell r="N73">
            <v>0</v>
          </cell>
          <cell r="Q73">
            <v>0</v>
          </cell>
          <cell r="R73">
            <v>0</v>
          </cell>
          <cell r="U73">
            <v>0</v>
          </cell>
          <cell r="V73">
            <v>0</v>
          </cell>
          <cell r="W73">
            <v>0</v>
          </cell>
          <cell r="X73">
            <v>0</v>
          </cell>
          <cell r="Y73">
            <v>0</v>
          </cell>
          <cell r="Z73">
            <v>0</v>
          </cell>
          <cell r="AA73">
            <v>0</v>
          </cell>
          <cell r="AD73">
            <v>0</v>
          </cell>
          <cell r="AE73">
            <v>0</v>
          </cell>
          <cell r="AH73">
            <v>0</v>
          </cell>
          <cell r="AI73">
            <v>0</v>
          </cell>
          <cell r="AL73">
            <v>0</v>
          </cell>
          <cell r="AM73">
            <v>0</v>
          </cell>
          <cell r="AP73">
            <v>0</v>
          </cell>
          <cell r="AQ73">
            <v>0</v>
          </cell>
          <cell r="AT73">
            <v>0</v>
          </cell>
          <cell r="AU73">
            <v>0</v>
          </cell>
          <cell r="AX73">
            <v>0</v>
          </cell>
          <cell r="AY73">
            <v>0</v>
          </cell>
          <cell r="BB73">
            <v>0</v>
          </cell>
          <cell r="BC73">
            <v>0</v>
          </cell>
          <cell r="BF73">
            <v>0</v>
          </cell>
          <cell r="BG73">
            <v>0</v>
          </cell>
          <cell r="BJ73">
            <v>0</v>
          </cell>
          <cell r="BK73">
            <v>0</v>
          </cell>
          <cell r="BN73">
            <v>0</v>
          </cell>
          <cell r="BO73">
            <v>0</v>
          </cell>
          <cell r="BP73">
            <v>0</v>
          </cell>
          <cell r="BQ73">
            <v>0</v>
          </cell>
          <cell r="BR73">
            <v>0</v>
          </cell>
          <cell r="BS73">
            <v>0</v>
          </cell>
          <cell r="BT73">
            <v>0</v>
          </cell>
        </row>
        <row r="74">
          <cell r="B74" t="str">
            <v>||</v>
          </cell>
          <cell r="E74">
            <v>0</v>
          </cell>
          <cell r="F74">
            <v>0</v>
          </cell>
          <cell r="I74">
            <v>0</v>
          </cell>
          <cell r="J74">
            <v>0</v>
          </cell>
          <cell r="M74">
            <v>0</v>
          </cell>
          <cell r="N74">
            <v>0</v>
          </cell>
          <cell r="Q74">
            <v>0</v>
          </cell>
          <cell r="R74">
            <v>0</v>
          </cell>
          <cell r="U74">
            <v>0</v>
          </cell>
          <cell r="V74">
            <v>0</v>
          </cell>
          <cell r="W74">
            <v>0</v>
          </cell>
          <cell r="X74">
            <v>0</v>
          </cell>
          <cell r="Y74">
            <v>0</v>
          </cell>
          <cell r="Z74">
            <v>0</v>
          </cell>
          <cell r="AA74">
            <v>0</v>
          </cell>
          <cell r="AD74">
            <v>0</v>
          </cell>
          <cell r="AE74">
            <v>0</v>
          </cell>
          <cell r="AH74">
            <v>0</v>
          </cell>
          <cell r="AI74">
            <v>0</v>
          </cell>
          <cell r="AL74">
            <v>0</v>
          </cell>
          <cell r="AM74">
            <v>0</v>
          </cell>
          <cell r="AP74">
            <v>0</v>
          </cell>
          <cell r="AQ74">
            <v>0</v>
          </cell>
          <cell r="AT74">
            <v>0</v>
          </cell>
          <cell r="AU74">
            <v>0</v>
          </cell>
          <cell r="AX74">
            <v>0</v>
          </cell>
          <cell r="AY74">
            <v>0</v>
          </cell>
          <cell r="BB74">
            <v>0</v>
          </cell>
          <cell r="BC74">
            <v>0</v>
          </cell>
          <cell r="BF74">
            <v>0</v>
          </cell>
          <cell r="BG74">
            <v>0</v>
          </cell>
          <cell r="BJ74">
            <v>0</v>
          </cell>
          <cell r="BK74">
            <v>0</v>
          </cell>
          <cell r="BN74">
            <v>0</v>
          </cell>
          <cell r="BO74">
            <v>0</v>
          </cell>
          <cell r="BP74">
            <v>0</v>
          </cell>
          <cell r="BQ74">
            <v>0</v>
          </cell>
          <cell r="BR74">
            <v>0</v>
          </cell>
          <cell r="BS74">
            <v>0</v>
          </cell>
          <cell r="BT74">
            <v>0</v>
          </cell>
        </row>
        <row r="75">
          <cell r="B75" t="str">
            <v>||</v>
          </cell>
          <cell r="W75">
            <v>0</v>
          </cell>
          <cell r="X75">
            <v>0</v>
          </cell>
          <cell r="Y75">
            <v>0</v>
          </cell>
          <cell r="Z75">
            <v>0</v>
          </cell>
          <cell r="AA75">
            <v>0</v>
          </cell>
          <cell r="BP75">
            <v>0</v>
          </cell>
          <cell r="BQ75">
            <v>0</v>
          </cell>
          <cell r="BR75">
            <v>0</v>
          </cell>
          <cell r="BS75">
            <v>0</v>
          </cell>
          <cell r="BT75">
            <v>0</v>
          </cell>
        </row>
        <row r="76">
          <cell r="B76" t="str">
            <v>||</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row>
        <row r="77">
          <cell r="B77" t="str">
            <v>||</v>
          </cell>
        </row>
        <row r="78">
          <cell r="B78" t="str">
            <v>||</v>
          </cell>
        </row>
        <row r="79">
          <cell r="B79" t="str">
            <v>||</v>
          </cell>
          <cell r="E79">
            <v>0</v>
          </cell>
          <cell r="F79">
            <v>0</v>
          </cell>
          <cell r="I79">
            <v>0</v>
          </cell>
          <cell r="J79">
            <v>0</v>
          </cell>
          <cell r="M79">
            <v>0</v>
          </cell>
          <cell r="N79">
            <v>0</v>
          </cell>
          <cell r="Q79">
            <v>0</v>
          </cell>
          <cell r="R79">
            <v>0</v>
          </cell>
          <cell r="U79">
            <v>0</v>
          </cell>
          <cell r="V79">
            <v>0</v>
          </cell>
          <cell r="W79">
            <v>0</v>
          </cell>
          <cell r="X79">
            <v>0</v>
          </cell>
          <cell r="Y79">
            <v>0</v>
          </cell>
          <cell r="Z79">
            <v>0</v>
          </cell>
          <cell r="AA79">
            <v>0</v>
          </cell>
          <cell r="AD79">
            <v>0</v>
          </cell>
          <cell r="AE79">
            <v>0</v>
          </cell>
          <cell r="AH79">
            <v>0</v>
          </cell>
          <cell r="AI79">
            <v>0</v>
          </cell>
          <cell r="AL79">
            <v>0</v>
          </cell>
          <cell r="AM79">
            <v>0</v>
          </cell>
          <cell r="AP79">
            <v>0</v>
          </cell>
          <cell r="AQ79">
            <v>0</v>
          </cell>
          <cell r="AT79">
            <v>0</v>
          </cell>
          <cell r="AU79">
            <v>0</v>
          </cell>
          <cell r="AX79">
            <v>0</v>
          </cell>
          <cell r="AY79">
            <v>0</v>
          </cell>
          <cell r="BB79">
            <v>0</v>
          </cell>
          <cell r="BC79">
            <v>0</v>
          </cell>
          <cell r="BF79">
            <v>0</v>
          </cell>
          <cell r="BG79">
            <v>0</v>
          </cell>
          <cell r="BJ79">
            <v>0</v>
          </cell>
          <cell r="BK79">
            <v>0</v>
          </cell>
          <cell r="BN79">
            <v>0</v>
          </cell>
          <cell r="BO79">
            <v>0</v>
          </cell>
          <cell r="BP79">
            <v>0</v>
          </cell>
          <cell r="BQ79">
            <v>0</v>
          </cell>
          <cell r="BR79">
            <v>0</v>
          </cell>
          <cell r="BS79">
            <v>0</v>
          </cell>
          <cell r="BT79">
            <v>0</v>
          </cell>
        </row>
        <row r="80">
          <cell r="B80" t="str">
            <v>||</v>
          </cell>
          <cell r="E80">
            <v>0</v>
          </cell>
          <cell r="F80">
            <v>0</v>
          </cell>
          <cell r="I80">
            <v>0</v>
          </cell>
          <cell r="J80">
            <v>0</v>
          </cell>
          <cell r="M80">
            <v>0</v>
          </cell>
          <cell r="N80">
            <v>0</v>
          </cell>
          <cell r="Q80">
            <v>0</v>
          </cell>
          <cell r="R80">
            <v>0</v>
          </cell>
          <cell r="U80">
            <v>0</v>
          </cell>
          <cell r="V80">
            <v>0</v>
          </cell>
          <cell r="W80">
            <v>0</v>
          </cell>
          <cell r="X80">
            <v>0</v>
          </cell>
          <cell r="Y80">
            <v>0</v>
          </cell>
          <cell r="Z80">
            <v>0</v>
          </cell>
          <cell r="AA80">
            <v>0</v>
          </cell>
          <cell r="AD80">
            <v>0</v>
          </cell>
          <cell r="AE80">
            <v>0</v>
          </cell>
          <cell r="AH80">
            <v>0</v>
          </cell>
          <cell r="AI80">
            <v>0</v>
          </cell>
          <cell r="AL80">
            <v>0</v>
          </cell>
          <cell r="AM80">
            <v>0</v>
          </cell>
          <cell r="AP80">
            <v>0</v>
          </cell>
          <cell r="AQ80">
            <v>0</v>
          </cell>
          <cell r="AT80">
            <v>0</v>
          </cell>
          <cell r="AU80">
            <v>0</v>
          </cell>
          <cell r="AX80">
            <v>0</v>
          </cell>
          <cell r="AY80">
            <v>0</v>
          </cell>
          <cell r="BB80">
            <v>0</v>
          </cell>
          <cell r="BC80">
            <v>0</v>
          </cell>
          <cell r="BF80">
            <v>0</v>
          </cell>
          <cell r="BG80">
            <v>0</v>
          </cell>
          <cell r="BJ80">
            <v>0</v>
          </cell>
          <cell r="BK80">
            <v>0</v>
          </cell>
          <cell r="BN80">
            <v>0</v>
          </cell>
          <cell r="BO80">
            <v>0</v>
          </cell>
          <cell r="BP80">
            <v>0</v>
          </cell>
          <cell r="BQ80">
            <v>0</v>
          </cell>
          <cell r="BR80">
            <v>0</v>
          </cell>
          <cell r="BS80">
            <v>0</v>
          </cell>
          <cell r="BT80">
            <v>0</v>
          </cell>
        </row>
        <row r="81">
          <cell r="B81" t="str">
            <v>||</v>
          </cell>
          <cell r="E81">
            <v>0</v>
          </cell>
          <cell r="F81">
            <v>0</v>
          </cell>
          <cell r="I81">
            <v>0</v>
          </cell>
          <cell r="J81">
            <v>0</v>
          </cell>
          <cell r="M81">
            <v>0</v>
          </cell>
          <cell r="N81">
            <v>0</v>
          </cell>
          <cell r="Q81">
            <v>0</v>
          </cell>
          <cell r="R81">
            <v>0</v>
          </cell>
          <cell r="U81">
            <v>0</v>
          </cell>
          <cell r="V81">
            <v>0</v>
          </cell>
          <cell r="W81">
            <v>0</v>
          </cell>
          <cell r="X81">
            <v>0</v>
          </cell>
          <cell r="Y81">
            <v>0</v>
          </cell>
          <cell r="Z81">
            <v>0</v>
          </cell>
          <cell r="AA81">
            <v>0</v>
          </cell>
          <cell r="AD81">
            <v>0</v>
          </cell>
          <cell r="AE81">
            <v>0</v>
          </cell>
          <cell r="AH81">
            <v>0</v>
          </cell>
          <cell r="AI81">
            <v>0</v>
          </cell>
          <cell r="AL81">
            <v>0</v>
          </cell>
          <cell r="AM81">
            <v>0</v>
          </cell>
          <cell r="AP81">
            <v>0</v>
          </cell>
          <cell r="AQ81">
            <v>0</v>
          </cell>
          <cell r="AT81">
            <v>0</v>
          </cell>
          <cell r="AU81">
            <v>0</v>
          </cell>
          <cell r="AX81">
            <v>0</v>
          </cell>
          <cell r="AY81">
            <v>0</v>
          </cell>
          <cell r="BB81">
            <v>0</v>
          </cell>
          <cell r="BC81">
            <v>0</v>
          </cell>
          <cell r="BF81">
            <v>0</v>
          </cell>
          <cell r="BG81">
            <v>0</v>
          </cell>
          <cell r="BJ81">
            <v>0</v>
          </cell>
          <cell r="BK81">
            <v>0</v>
          </cell>
          <cell r="BN81">
            <v>0</v>
          </cell>
          <cell r="BO81">
            <v>0</v>
          </cell>
          <cell r="BP81">
            <v>0</v>
          </cell>
          <cell r="BQ81">
            <v>0</v>
          </cell>
          <cell r="BR81">
            <v>0</v>
          </cell>
          <cell r="BS81">
            <v>0</v>
          </cell>
          <cell r="BT81">
            <v>0</v>
          </cell>
        </row>
        <row r="82">
          <cell r="B82" t="str">
            <v>||</v>
          </cell>
          <cell r="W82">
            <v>0</v>
          </cell>
          <cell r="X82">
            <v>0</v>
          </cell>
          <cell r="Y82">
            <v>0</v>
          </cell>
          <cell r="Z82">
            <v>0</v>
          </cell>
          <cell r="AA82">
            <v>0</v>
          </cell>
          <cell r="BP82">
            <v>0</v>
          </cell>
          <cell r="BQ82">
            <v>0</v>
          </cell>
          <cell r="BR82">
            <v>0</v>
          </cell>
          <cell r="BS82">
            <v>0</v>
          </cell>
          <cell r="BT82">
            <v>0</v>
          </cell>
        </row>
        <row r="83">
          <cell r="B83" t="str">
            <v>||</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row>
        <row r="84">
          <cell r="B84" t="str">
            <v>||</v>
          </cell>
        </row>
        <row r="85">
          <cell r="B85" t="str">
            <v>||</v>
          </cell>
        </row>
        <row r="86">
          <cell r="B86" t="str">
            <v>||</v>
          </cell>
          <cell r="E86">
            <v>0</v>
          </cell>
          <cell r="F86">
            <v>0</v>
          </cell>
          <cell r="I86">
            <v>0</v>
          </cell>
          <cell r="J86">
            <v>0</v>
          </cell>
          <cell r="M86">
            <v>0</v>
          </cell>
          <cell r="N86">
            <v>0</v>
          </cell>
          <cell r="Q86">
            <v>0</v>
          </cell>
          <cell r="R86">
            <v>0</v>
          </cell>
          <cell r="U86">
            <v>0</v>
          </cell>
          <cell r="V86">
            <v>0</v>
          </cell>
          <cell r="W86">
            <v>0</v>
          </cell>
          <cell r="X86">
            <v>0</v>
          </cell>
          <cell r="Y86">
            <v>0</v>
          </cell>
          <cell r="Z86">
            <v>0</v>
          </cell>
          <cell r="AA86">
            <v>0</v>
          </cell>
          <cell r="AD86">
            <v>0</v>
          </cell>
          <cell r="AE86">
            <v>0</v>
          </cell>
          <cell r="AH86">
            <v>0</v>
          </cell>
          <cell r="AI86">
            <v>0</v>
          </cell>
          <cell r="AL86">
            <v>0</v>
          </cell>
          <cell r="AM86">
            <v>0</v>
          </cell>
          <cell r="AP86">
            <v>0</v>
          </cell>
          <cell r="AQ86">
            <v>0</v>
          </cell>
          <cell r="AT86">
            <v>0</v>
          </cell>
          <cell r="AU86">
            <v>0</v>
          </cell>
          <cell r="AX86">
            <v>0</v>
          </cell>
          <cell r="AY86">
            <v>0</v>
          </cell>
          <cell r="BB86">
            <v>0</v>
          </cell>
          <cell r="BC86">
            <v>0</v>
          </cell>
          <cell r="BF86">
            <v>0</v>
          </cell>
          <cell r="BG86">
            <v>0</v>
          </cell>
          <cell r="BJ86">
            <v>0</v>
          </cell>
          <cell r="BK86">
            <v>0</v>
          </cell>
          <cell r="BN86">
            <v>0</v>
          </cell>
          <cell r="BO86">
            <v>0</v>
          </cell>
          <cell r="BP86">
            <v>0</v>
          </cell>
          <cell r="BQ86">
            <v>0</v>
          </cell>
          <cell r="BR86">
            <v>0</v>
          </cell>
          <cell r="BS86">
            <v>0</v>
          </cell>
          <cell r="BT86">
            <v>0</v>
          </cell>
        </row>
        <row r="87">
          <cell r="B87" t="str">
            <v>||</v>
          </cell>
          <cell r="E87">
            <v>0</v>
          </cell>
          <cell r="F87">
            <v>0</v>
          </cell>
          <cell r="I87">
            <v>0</v>
          </cell>
          <cell r="J87">
            <v>0</v>
          </cell>
          <cell r="M87">
            <v>0</v>
          </cell>
          <cell r="N87">
            <v>0</v>
          </cell>
          <cell r="Q87">
            <v>0</v>
          </cell>
          <cell r="R87">
            <v>0</v>
          </cell>
          <cell r="U87">
            <v>0</v>
          </cell>
          <cell r="V87">
            <v>0</v>
          </cell>
          <cell r="W87">
            <v>0</v>
          </cell>
          <cell r="X87">
            <v>0</v>
          </cell>
          <cell r="Y87">
            <v>0</v>
          </cell>
          <cell r="Z87">
            <v>0</v>
          </cell>
          <cell r="AA87">
            <v>0</v>
          </cell>
          <cell r="AD87">
            <v>0</v>
          </cell>
          <cell r="AE87">
            <v>0</v>
          </cell>
          <cell r="AH87">
            <v>0</v>
          </cell>
          <cell r="AI87">
            <v>0</v>
          </cell>
          <cell r="AL87">
            <v>0</v>
          </cell>
          <cell r="AM87">
            <v>0</v>
          </cell>
          <cell r="AP87">
            <v>0</v>
          </cell>
          <cell r="AQ87">
            <v>0</v>
          </cell>
          <cell r="AT87">
            <v>0</v>
          </cell>
          <cell r="AU87">
            <v>0</v>
          </cell>
          <cell r="AX87">
            <v>0</v>
          </cell>
          <cell r="AY87">
            <v>0</v>
          </cell>
          <cell r="BB87">
            <v>0</v>
          </cell>
          <cell r="BC87">
            <v>0</v>
          </cell>
          <cell r="BF87">
            <v>0</v>
          </cell>
          <cell r="BG87">
            <v>0</v>
          </cell>
          <cell r="BJ87">
            <v>0</v>
          </cell>
          <cell r="BK87">
            <v>0</v>
          </cell>
          <cell r="BN87">
            <v>0</v>
          </cell>
          <cell r="BO87">
            <v>0</v>
          </cell>
          <cell r="BP87">
            <v>0</v>
          </cell>
          <cell r="BQ87">
            <v>0</v>
          </cell>
          <cell r="BR87">
            <v>0</v>
          </cell>
          <cell r="BS87">
            <v>0</v>
          </cell>
          <cell r="BT87">
            <v>0</v>
          </cell>
        </row>
        <row r="88">
          <cell r="B88" t="str">
            <v>||</v>
          </cell>
          <cell r="E88">
            <v>0</v>
          </cell>
          <cell r="F88">
            <v>0</v>
          </cell>
          <cell r="I88">
            <v>0</v>
          </cell>
          <cell r="J88">
            <v>0</v>
          </cell>
          <cell r="M88">
            <v>0</v>
          </cell>
          <cell r="N88">
            <v>0</v>
          </cell>
          <cell r="Q88">
            <v>0</v>
          </cell>
          <cell r="R88">
            <v>0</v>
          </cell>
          <cell r="U88">
            <v>0</v>
          </cell>
          <cell r="V88">
            <v>0</v>
          </cell>
          <cell r="W88">
            <v>0</v>
          </cell>
          <cell r="X88">
            <v>0</v>
          </cell>
          <cell r="Y88">
            <v>0</v>
          </cell>
          <cell r="Z88">
            <v>0</v>
          </cell>
          <cell r="AA88">
            <v>0</v>
          </cell>
          <cell r="AD88">
            <v>0</v>
          </cell>
          <cell r="AE88">
            <v>0</v>
          </cell>
          <cell r="AH88">
            <v>0</v>
          </cell>
          <cell r="AI88">
            <v>0</v>
          </cell>
          <cell r="AL88">
            <v>0</v>
          </cell>
          <cell r="AM88">
            <v>0</v>
          </cell>
          <cell r="AP88">
            <v>0</v>
          </cell>
          <cell r="AQ88">
            <v>0</v>
          </cell>
          <cell r="AT88">
            <v>0</v>
          </cell>
          <cell r="AU88">
            <v>0</v>
          </cell>
          <cell r="AX88">
            <v>0</v>
          </cell>
          <cell r="AY88">
            <v>0</v>
          </cell>
          <cell r="BB88">
            <v>0</v>
          </cell>
          <cell r="BC88">
            <v>0</v>
          </cell>
          <cell r="BF88">
            <v>0</v>
          </cell>
          <cell r="BG88">
            <v>0</v>
          </cell>
          <cell r="BJ88">
            <v>0</v>
          </cell>
          <cell r="BK88">
            <v>0</v>
          </cell>
          <cell r="BN88">
            <v>0</v>
          </cell>
          <cell r="BO88">
            <v>0</v>
          </cell>
          <cell r="BP88">
            <v>0</v>
          </cell>
          <cell r="BQ88">
            <v>0</v>
          </cell>
          <cell r="BR88">
            <v>0</v>
          </cell>
          <cell r="BS88">
            <v>0</v>
          </cell>
          <cell r="BT88">
            <v>0</v>
          </cell>
        </row>
        <row r="89">
          <cell r="B89" t="str">
            <v>||</v>
          </cell>
          <cell r="W89">
            <v>0</v>
          </cell>
          <cell r="X89">
            <v>0</v>
          </cell>
          <cell r="Y89">
            <v>0</v>
          </cell>
          <cell r="Z89">
            <v>0</v>
          </cell>
          <cell r="AA89">
            <v>0</v>
          </cell>
          <cell r="BP89">
            <v>0</v>
          </cell>
          <cell r="BQ89">
            <v>0</v>
          </cell>
          <cell r="BR89">
            <v>0</v>
          </cell>
          <cell r="BS89">
            <v>0</v>
          </cell>
          <cell r="BT89">
            <v>0</v>
          </cell>
        </row>
        <row r="90">
          <cell r="B90" t="str">
            <v>||</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row>
        <row r="91">
          <cell r="B91" t="str">
            <v>||</v>
          </cell>
        </row>
        <row r="92">
          <cell r="B92" t="str">
            <v>||</v>
          </cell>
        </row>
        <row r="93">
          <cell r="B93" t="str">
            <v>||</v>
          </cell>
          <cell r="E93">
            <v>0</v>
          </cell>
          <cell r="F93">
            <v>0</v>
          </cell>
          <cell r="I93">
            <v>0</v>
          </cell>
          <cell r="J93">
            <v>0</v>
          </cell>
          <cell r="M93">
            <v>0</v>
          </cell>
          <cell r="N93">
            <v>0</v>
          </cell>
          <cell r="Q93">
            <v>0</v>
          </cell>
          <cell r="R93">
            <v>0</v>
          </cell>
          <cell r="U93">
            <v>0</v>
          </cell>
          <cell r="V93">
            <v>0</v>
          </cell>
          <cell r="W93">
            <v>0</v>
          </cell>
          <cell r="X93">
            <v>0</v>
          </cell>
          <cell r="Y93">
            <v>0</v>
          </cell>
          <cell r="Z93">
            <v>0</v>
          </cell>
          <cell r="AA93">
            <v>0</v>
          </cell>
          <cell r="AD93">
            <v>0</v>
          </cell>
          <cell r="AE93">
            <v>0</v>
          </cell>
          <cell r="AH93">
            <v>0</v>
          </cell>
          <cell r="AI93">
            <v>0</v>
          </cell>
          <cell r="AL93">
            <v>0</v>
          </cell>
          <cell r="AM93">
            <v>0</v>
          </cell>
          <cell r="AP93">
            <v>0</v>
          </cell>
          <cell r="AQ93">
            <v>0</v>
          </cell>
          <cell r="AT93">
            <v>0</v>
          </cell>
          <cell r="AU93">
            <v>0</v>
          </cell>
          <cell r="AX93">
            <v>0</v>
          </cell>
          <cell r="AY93">
            <v>0</v>
          </cell>
          <cell r="BB93">
            <v>0</v>
          </cell>
          <cell r="BC93">
            <v>0</v>
          </cell>
          <cell r="BF93">
            <v>0</v>
          </cell>
          <cell r="BG93">
            <v>0</v>
          </cell>
          <cell r="BJ93">
            <v>0</v>
          </cell>
          <cell r="BK93">
            <v>0</v>
          </cell>
          <cell r="BN93">
            <v>0</v>
          </cell>
          <cell r="BO93">
            <v>0</v>
          </cell>
          <cell r="BP93">
            <v>0</v>
          </cell>
          <cell r="BQ93">
            <v>0</v>
          </cell>
          <cell r="BR93">
            <v>0</v>
          </cell>
          <cell r="BS93">
            <v>0</v>
          </cell>
          <cell r="BT93">
            <v>0</v>
          </cell>
        </row>
        <row r="94">
          <cell r="B94" t="str">
            <v>||</v>
          </cell>
          <cell r="E94">
            <v>0</v>
          </cell>
          <cell r="F94">
            <v>0</v>
          </cell>
          <cell r="I94">
            <v>0</v>
          </cell>
          <cell r="J94">
            <v>0</v>
          </cell>
          <cell r="M94">
            <v>0</v>
          </cell>
          <cell r="N94">
            <v>0</v>
          </cell>
          <cell r="Q94">
            <v>0</v>
          </cell>
          <cell r="R94">
            <v>0</v>
          </cell>
          <cell r="U94">
            <v>0</v>
          </cell>
          <cell r="V94">
            <v>0</v>
          </cell>
          <cell r="W94">
            <v>0</v>
          </cell>
          <cell r="X94">
            <v>0</v>
          </cell>
          <cell r="Y94">
            <v>0</v>
          </cell>
          <cell r="Z94">
            <v>0</v>
          </cell>
          <cell r="AA94">
            <v>0</v>
          </cell>
          <cell r="AD94">
            <v>0</v>
          </cell>
          <cell r="AE94">
            <v>0</v>
          </cell>
          <cell r="AH94">
            <v>0</v>
          </cell>
          <cell r="AI94">
            <v>0</v>
          </cell>
          <cell r="AL94">
            <v>0</v>
          </cell>
          <cell r="AM94">
            <v>0</v>
          </cell>
          <cell r="AP94">
            <v>0</v>
          </cell>
          <cell r="AQ94">
            <v>0</v>
          </cell>
          <cell r="AT94">
            <v>0</v>
          </cell>
          <cell r="AU94">
            <v>0</v>
          </cell>
          <cell r="AX94">
            <v>0</v>
          </cell>
          <cell r="AY94">
            <v>0</v>
          </cell>
          <cell r="BB94">
            <v>0</v>
          </cell>
          <cell r="BC94">
            <v>0</v>
          </cell>
          <cell r="BF94">
            <v>0</v>
          </cell>
          <cell r="BG94">
            <v>0</v>
          </cell>
          <cell r="BJ94">
            <v>0</v>
          </cell>
          <cell r="BK94">
            <v>0</v>
          </cell>
          <cell r="BN94">
            <v>0</v>
          </cell>
          <cell r="BO94">
            <v>0</v>
          </cell>
          <cell r="BP94">
            <v>0</v>
          </cell>
          <cell r="BQ94">
            <v>0</v>
          </cell>
          <cell r="BR94">
            <v>0</v>
          </cell>
          <cell r="BS94">
            <v>0</v>
          </cell>
          <cell r="BT94">
            <v>0</v>
          </cell>
        </row>
        <row r="95">
          <cell r="B95" t="str">
            <v>||</v>
          </cell>
          <cell r="E95">
            <v>0</v>
          </cell>
          <cell r="F95">
            <v>0</v>
          </cell>
          <cell r="I95">
            <v>0</v>
          </cell>
          <cell r="J95">
            <v>0</v>
          </cell>
          <cell r="M95">
            <v>0</v>
          </cell>
          <cell r="N95">
            <v>0</v>
          </cell>
          <cell r="Q95">
            <v>0</v>
          </cell>
          <cell r="R95">
            <v>0</v>
          </cell>
          <cell r="U95">
            <v>0</v>
          </cell>
          <cell r="V95">
            <v>0</v>
          </cell>
          <cell r="W95">
            <v>0</v>
          </cell>
          <cell r="X95">
            <v>0</v>
          </cell>
          <cell r="Y95">
            <v>0</v>
          </cell>
          <cell r="Z95">
            <v>0</v>
          </cell>
          <cell r="AA95">
            <v>0</v>
          </cell>
          <cell r="AD95">
            <v>0</v>
          </cell>
          <cell r="AE95">
            <v>0</v>
          </cell>
          <cell r="AH95">
            <v>0</v>
          </cell>
          <cell r="AI95">
            <v>0</v>
          </cell>
          <cell r="AL95">
            <v>0</v>
          </cell>
          <cell r="AM95">
            <v>0</v>
          </cell>
          <cell r="AP95">
            <v>0</v>
          </cell>
          <cell r="AQ95">
            <v>0</v>
          </cell>
          <cell r="AT95">
            <v>0</v>
          </cell>
          <cell r="AU95">
            <v>0</v>
          </cell>
          <cell r="AX95">
            <v>0</v>
          </cell>
          <cell r="AY95">
            <v>0</v>
          </cell>
          <cell r="BB95">
            <v>0</v>
          </cell>
          <cell r="BC95">
            <v>0</v>
          </cell>
          <cell r="BF95">
            <v>0</v>
          </cell>
          <cell r="BG95">
            <v>0</v>
          </cell>
          <cell r="BJ95">
            <v>0</v>
          </cell>
          <cell r="BK95">
            <v>0</v>
          </cell>
          <cell r="BN95">
            <v>0</v>
          </cell>
          <cell r="BO95">
            <v>0</v>
          </cell>
          <cell r="BP95">
            <v>0</v>
          </cell>
          <cell r="BQ95">
            <v>0</v>
          </cell>
          <cell r="BR95">
            <v>0</v>
          </cell>
          <cell r="BS95">
            <v>0</v>
          </cell>
          <cell r="BT95">
            <v>0</v>
          </cell>
        </row>
        <row r="96">
          <cell r="B96" t="str">
            <v>||</v>
          </cell>
          <cell r="W96">
            <v>0</v>
          </cell>
          <cell r="X96">
            <v>0</v>
          </cell>
          <cell r="Y96">
            <v>0</v>
          </cell>
          <cell r="Z96">
            <v>0</v>
          </cell>
          <cell r="AA96">
            <v>0</v>
          </cell>
          <cell r="BP96">
            <v>0</v>
          </cell>
          <cell r="BQ96">
            <v>0</v>
          </cell>
          <cell r="BR96">
            <v>0</v>
          </cell>
          <cell r="BS96">
            <v>0</v>
          </cell>
          <cell r="BT96">
            <v>0</v>
          </cell>
        </row>
        <row r="97">
          <cell r="B97" t="str">
            <v>||</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row>
        <row r="98">
          <cell r="B98" t="str">
            <v>||</v>
          </cell>
        </row>
        <row r="99">
          <cell r="B99" t="str">
            <v>||</v>
          </cell>
        </row>
        <row r="100">
          <cell r="B100" t="str">
            <v>||</v>
          </cell>
          <cell r="E100">
            <v>0</v>
          </cell>
          <cell r="F100">
            <v>0</v>
          </cell>
          <cell r="I100">
            <v>0</v>
          </cell>
          <cell r="J100">
            <v>0</v>
          </cell>
          <cell r="M100">
            <v>0</v>
          </cell>
          <cell r="N100">
            <v>0</v>
          </cell>
          <cell r="Q100">
            <v>0</v>
          </cell>
          <cell r="R100">
            <v>0</v>
          </cell>
          <cell r="U100">
            <v>0</v>
          </cell>
          <cell r="V100">
            <v>0</v>
          </cell>
          <cell r="W100">
            <v>0</v>
          </cell>
          <cell r="X100">
            <v>0</v>
          </cell>
          <cell r="Y100">
            <v>0</v>
          </cell>
          <cell r="Z100">
            <v>0</v>
          </cell>
          <cell r="AA100">
            <v>0</v>
          </cell>
          <cell r="AD100">
            <v>0</v>
          </cell>
          <cell r="AE100">
            <v>0</v>
          </cell>
          <cell r="AH100">
            <v>0</v>
          </cell>
          <cell r="AI100">
            <v>0</v>
          </cell>
          <cell r="AL100">
            <v>0</v>
          </cell>
          <cell r="AM100">
            <v>0</v>
          </cell>
          <cell r="AP100">
            <v>0</v>
          </cell>
          <cell r="AQ100">
            <v>0</v>
          </cell>
          <cell r="AT100">
            <v>0</v>
          </cell>
          <cell r="AU100">
            <v>0</v>
          </cell>
          <cell r="AX100">
            <v>0</v>
          </cell>
          <cell r="AY100">
            <v>0</v>
          </cell>
          <cell r="BB100">
            <v>0</v>
          </cell>
          <cell r="BC100">
            <v>0</v>
          </cell>
          <cell r="BF100">
            <v>0</v>
          </cell>
          <cell r="BG100">
            <v>0</v>
          </cell>
          <cell r="BJ100">
            <v>0</v>
          </cell>
          <cell r="BK100">
            <v>0</v>
          </cell>
          <cell r="BN100">
            <v>0</v>
          </cell>
          <cell r="BO100">
            <v>0</v>
          </cell>
          <cell r="BP100">
            <v>0</v>
          </cell>
          <cell r="BQ100">
            <v>0</v>
          </cell>
          <cell r="BR100">
            <v>0</v>
          </cell>
          <cell r="BS100">
            <v>0</v>
          </cell>
          <cell r="BT100">
            <v>0</v>
          </cell>
        </row>
        <row r="101">
          <cell r="B101" t="str">
            <v>||</v>
          </cell>
          <cell r="E101">
            <v>0</v>
          </cell>
          <cell r="F101">
            <v>0</v>
          </cell>
          <cell r="I101">
            <v>0</v>
          </cell>
          <cell r="J101">
            <v>0</v>
          </cell>
          <cell r="M101">
            <v>0</v>
          </cell>
          <cell r="N101">
            <v>0</v>
          </cell>
          <cell r="Q101">
            <v>0</v>
          </cell>
          <cell r="R101">
            <v>0</v>
          </cell>
          <cell r="U101">
            <v>0</v>
          </cell>
          <cell r="V101">
            <v>0</v>
          </cell>
          <cell r="W101">
            <v>0</v>
          </cell>
          <cell r="X101">
            <v>0</v>
          </cell>
          <cell r="Y101">
            <v>0</v>
          </cell>
          <cell r="Z101">
            <v>0</v>
          </cell>
          <cell r="AA101">
            <v>0</v>
          </cell>
          <cell r="AD101">
            <v>0</v>
          </cell>
          <cell r="AE101">
            <v>0</v>
          </cell>
          <cell r="AH101">
            <v>0</v>
          </cell>
          <cell r="AI101">
            <v>0</v>
          </cell>
          <cell r="AL101">
            <v>0</v>
          </cell>
          <cell r="AM101">
            <v>0</v>
          </cell>
          <cell r="AP101">
            <v>0</v>
          </cell>
          <cell r="AQ101">
            <v>0</v>
          </cell>
          <cell r="AT101">
            <v>0</v>
          </cell>
          <cell r="AU101">
            <v>0</v>
          </cell>
          <cell r="AX101">
            <v>0</v>
          </cell>
          <cell r="AY101">
            <v>0</v>
          </cell>
          <cell r="BB101">
            <v>0</v>
          </cell>
          <cell r="BC101">
            <v>0</v>
          </cell>
          <cell r="BF101">
            <v>0</v>
          </cell>
          <cell r="BG101">
            <v>0</v>
          </cell>
          <cell r="BJ101">
            <v>0</v>
          </cell>
          <cell r="BK101">
            <v>0</v>
          </cell>
          <cell r="BN101">
            <v>0</v>
          </cell>
          <cell r="BO101">
            <v>0</v>
          </cell>
          <cell r="BP101">
            <v>0</v>
          </cell>
          <cell r="BQ101">
            <v>0</v>
          </cell>
          <cell r="BR101">
            <v>0</v>
          </cell>
          <cell r="BS101">
            <v>0</v>
          </cell>
          <cell r="BT101">
            <v>0</v>
          </cell>
        </row>
        <row r="102">
          <cell r="B102" t="str">
            <v>||</v>
          </cell>
          <cell r="E102">
            <v>0</v>
          </cell>
          <cell r="F102">
            <v>0</v>
          </cell>
          <cell r="I102">
            <v>0</v>
          </cell>
          <cell r="J102">
            <v>0</v>
          </cell>
          <cell r="M102">
            <v>0</v>
          </cell>
          <cell r="N102">
            <v>0</v>
          </cell>
          <cell r="Q102">
            <v>0</v>
          </cell>
          <cell r="R102">
            <v>0</v>
          </cell>
          <cell r="U102">
            <v>0</v>
          </cell>
          <cell r="V102">
            <v>0</v>
          </cell>
          <cell r="W102">
            <v>0</v>
          </cell>
          <cell r="X102">
            <v>0</v>
          </cell>
          <cell r="Y102">
            <v>0</v>
          </cell>
          <cell r="Z102">
            <v>0</v>
          </cell>
          <cell r="AA102">
            <v>0</v>
          </cell>
          <cell r="AD102">
            <v>0</v>
          </cell>
          <cell r="AE102">
            <v>0</v>
          </cell>
          <cell r="AH102">
            <v>0</v>
          </cell>
          <cell r="AI102">
            <v>0</v>
          </cell>
          <cell r="AL102">
            <v>0</v>
          </cell>
          <cell r="AM102">
            <v>0</v>
          </cell>
          <cell r="AP102">
            <v>0</v>
          </cell>
          <cell r="AQ102">
            <v>0</v>
          </cell>
          <cell r="AT102">
            <v>0</v>
          </cell>
          <cell r="AU102">
            <v>0</v>
          </cell>
          <cell r="AX102">
            <v>0</v>
          </cell>
          <cell r="AY102">
            <v>0</v>
          </cell>
          <cell r="BB102">
            <v>0</v>
          </cell>
          <cell r="BC102">
            <v>0</v>
          </cell>
          <cell r="BF102">
            <v>0</v>
          </cell>
          <cell r="BG102">
            <v>0</v>
          </cell>
          <cell r="BJ102">
            <v>0</v>
          </cell>
          <cell r="BK102">
            <v>0</v>
          </cell>
          <cell r="BN102">
            <v>0</v>
          </cell>
          <cell r="BO102">
            <v>0</v>
          </cell>
          <cell r="BP102">
            <v>0</v>
          </cell>
          <cell r="BQ102">
            <v>0</v>
          </cell>
          <cell r="BR102">
            <v>0</v>
          </cell>
          <cell r="BS102">
            <v>0</v>
          </cell>
          <cell r="BT102">
            <v>0</v>
          </cell>
        </row>
        <row r="103">
          <cell r="B103" t="str">
            <v>||</v>
          </cell>
          <cell r="W103">
            <v>0</v>
          </cell>
          <cell r="X103">
            <v>0</v>
          </cell>
          <cell r="Y103">
            <v>0</v>
          </cell>
          <cell r="Z103">
            <v>0</v>
          </cell>
          <cell r="AA103">
            <v>0</v>
          </cell>
          <cell r="BP103">
            <v>0</v>
          </cell>
          <cell r="BQ103">
            <v>0</v>
          </cell>
          <cell r="BR103">
            <v>0</v>
          </cell>
          <cell r="BS103">
            <v>0</v>
          </cell>
          <cell r="BT103">
            <v>0</v>
          </cell>
        </row>
        <row r="104">
          <cell r="B104" t="str">
            <v>||</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row>
        <row r="105">
          <cell r="B105" t="str">
            <v>||</v>
          </cell>
        </row>
        <row r="106">
          <cell r="B106" t="str">
            <v>||</v>
          </cell>
        </row>
        <row r="107">
          <cell r="B107" t="str">
            <v>||</v>
          </cell>
          <cell r="E107">
            <v>0</v>
          </cell>
          <cell r="F107">
            <v>0</v>
          </cell>
          <cell r="I107">
            <v>0</v>
          </cell>
          <cell r="J107">
            <v>0</v>
          </cell>
          <cell r="M107">
            <v>0</v>
          </cell>
          <cell r="N107">
            <v>0</v>
          </cell>
          <cell r="Q107">
            <v>0</v>
          </cell>
          <cell r="R107">
            <v>0</v>
          </cell>
          <cell r="U107">
            <v>0</v>
          </cell>
          <cell r="V107">
            <v>0</v>
          </cell>
          <cell r="W107">
            <v>0</v>
          </cell>
          <cell r="X107">
            <v>0</v>
          </cell>
          <cell r="Y107">
            <v>0</v>
          </cell>
          <cell r="Z107">
            <v>0</v>
          </cell>
          <cell r="AA107">
            <v>0</v>
          </cell>
          <cell r="AD107">
            <v>0</v>
          </cell>
          <cell r="AE107">
            <v>0</v>
          </cell>
          <cell r="AH107">
            <v>0</v>
          </cell>
          <cell r="AI107">
            <v>0</v>
          </cell>
          <cell r="AL107">
            <v>0</v>
          </cell>
          <cell r="AM107">
            <v>0</v>
          </cell>
          <cell r="AP107">
            <v>0</v>
          </cell>
          <cell r="AQ107">
            <v>0</v>
          </cell>
          <cell r="AT107">
            <v>0</v>
          </cell>
          <cell r="AU107">
            <v>0</v>
          </cell>
          <cell r="AX107">
            <v>0</v>
          </cell>
          <cell r="AY107">
            <v>0</v>
          </cell>
          <cell r="BB107">
            <v>0</v>
          </cell>
          <cell r="BC107">
            <v>0</v>
          </cell>
          <cell r="BF107">
            <v>0</v>
          </cell>
          <cell r="BG107">
            <v>0</v>
          </cell>
          <cell r="BJ107">
            <v>0</v>
          </cell>
          <cell r="BK107">
            <v>0</v>
          </cell>
          <cell r="BN107">
            <v>0</v>
          </cell>
          <cell r="BO107">
            <v>0</v>
          </cell>
          <cell r="BP107">
            <v>0</v>
          </cell>
          <cell r="BQ107">
            <v>0</v>
          </cell>
          <cell r="BR107">
            <v>0</v>
          </cell>
          <cell r="BS107">
            <v>0</v>
          </cell>
          <cell r="BT107">
            <v>0</v>
          </cell>
        </row>
        <row r="108">
          <cell r="B108" t="str">
            <v>||</v>
          </cell>
          <cell r="E108">
            <v>0</v>
          </cell>
          <cell r="F108">
            <v>0</v>
          </cell>
          <cell r="I108">
            <v>0</v>
          </cell>
          <cell r="J108">
            <v>0</v>
          </cell>
          <cell r="M108">
            <v>0</v>
          </cell>
          <cell r="N108">
            <v>0</v>
          </cell>
          <cell r="Q108">
            <v>0</v>
          </cell>
          <cell r="R108">
            <v>0</v>
          </cell>
          <cell r="U108">
            <v>0</v>
          </cell>
          <cell r="V108">
            <v>0</v>
          </cell>
          <cell r="W108">
            <v>0</v>
          </cell>
          <cell r="X108">
            <v>0</v>
          </cell>
          <cell r="Y108">
            <v>0</v>
          </cell>
          <cell r="Z108">
            <v>0</v>
          </cell>
          <cell r="AA108">
            <v>0</v>
          </cell>
          <cell r="AD108">
            <v>0</v>
          </cell>
          <cell r="AE108">
            <v>0</v>
          </cell>
          <cell r="AH108">
            <v>0</v>
          </cell>
          <cell r="AI108">
            <v>0</v>
          </cell>
          <cell r="AL108">
            <v>0</v>
          </cell>
          <cell r="AM108">
            <v>0</v>
          </cell>
          <cell r="AP108">
            <v>0</v>
          </cell>
          <cell r="AQ108">
            <v>0</v>
          </cell>
          <cell r="AT108">
            <v>0</v>
          </cell>
          <cell r="AU108">
            <v>0</v>
          </cell>
          <cell r="AX108">
            <v>0</v>
          </cell>
          <cell r="AY108">
            <v>0</v>
          </cell>
          <cell r="BB108">
            <v>0</v>
          </cell>
          <cell r="BC108">
            <v>0</v>
          </cell>
          <cell r="BF108">
            <v>0</v>
          </cell>
          <cell r="BG108">
            <v>0</v>
          </cell>
          <cell r="BJ108">
            <v>0</v>
          </cell>
          <cell r="BK108">
            <v>0</v>
          </cell>
          <cell r="BN108">
            <v>0</v>
          </cell>
          <cell r="BO108">
            <v>0</v>
          </cell>
          <cell r="BP108">
            <v>0</v>
          </cell>
          <cell r="BQ108">
            <v>0</v>
          </cell>
          <cell r="BR108">
            <v>0</v>
          </cell>
          <cell r="BS108">
            <v>0</v>
          </cell>
          <cell r="BT108">
            <v>0</v>
          </cell>
        </row>
        <row r="109">
          <cell r="B109" t="str">
            <v>||</v>
          </cell>
          <cell r="E109">
            <v>0</v>
          </cell>
          <cell r="F109">
            <v>0</v>
          </cell>
          <cell r="I109">
            <v>0</v>
          </cell>
          <cell r="J109">
            <v>0</v>
          </cell>
          <cell r="M109">
            <v>0</v>
          </cell>
          <cell r="N109">
            <v>0</v>
          </cell>
          <cell r="Q109">
            <v>0</v>
          </cell>
          <cell r="R109">
            <v>0</v>
          </cell>
          <cell r="U109">
            <v>0</v>
          </cell>
          <cell r="V109">
            <v>0</v>
          </cell>
          <cell r="W109">
            <v>0</v>
          </cell>
          <cell r="X109">
            <v>0</v>
          </cell>
          <cell r="Y109">
            <v>0</v>
          </cell>
          <cell r="Z109">
            <v>0</v>
          </cell>
          <cell r="AA109">
            <v>0</v>
          </cell>
          <cell r="AD109">
            <v>0</v>
          </cell>
          <cell r="AE109">
            <v>0</v>
          </cell>
          <cell r="AH109">
            <v>0</v>
          </cell>
          <cell r="AI109">
            <v>0</v>
          </cell>
          <cell r="AL109">
            <v>0</v>
          </cell>
          <cell r="AM109">
            <v>0</v>
          </cell>
          <cell r="AP109">
            <v>0</v>
          </cell>
          <cell r="AQ109">
            <v>0</v>
          </cell>
          <cell r="AT109">
            <v>0</v>
          </cell>
          <cell r="AU109">
            <v>0</v>
          </cell>
          <cell r="AX109">
            <v>0</v>
          </cell>
          <cell r="AY109">
            <v>0</v>
          </cell>
          <cell r="BB109">
            <v>0</v>
          </cell>
          <cell r="BC109">
            <v>0</v>
          </cell>
          <cell r="BF109">
            <v>0</v>
          </cell>
          <cell r="BG109">
            <v>0</v>
          </cell>
          <cell r="BJ109">
            <v>0</v>
          </cell>
          <cell r="BK109">
            <v>0</v>
          </cell>
          <cell r="BN109">
            <v>0</v>
          </cell>
          <cell r="BO109">
            <v>0</v>
          </cell>
          <cell r="BP109">
            <v>0</v>
          </cell>
          <cell r="BQ109">
            <v>0</v>
          </cell>
          <cell r="BR109">
            <v>0</v>
          </cell>
          <cell r="BS109">
            <v>0</v>
          </cell>
          <cell r="BT109">
            <v>0</v>
          </cell>
        </row>
        <row r="110">
          <cell r="B110" t="str">
            <v>||</v>
          </cell>
          <cell r="W110">
            <v>0</v>
          </cell>
          <cell r="X110">
            <v>0</v>
          </cell>
          <cell r="Y110">
            <v>0</v>
          </cell>
          <cell r="Z110">
            <v>0</v>
          </cell>
          <cell r="AA110">
            <v>0</v>
          </cell>
          <cell r="BP110">
            <v>0</v>
          </cell>
          <cell r="BQ110">
            <v>0</v>
          </cell>
          <cell r="BR110">
            <v>0</v>
          </cell>
          <cell r="BS110">
            <v>0</v>
          </cell>
          <cell r="BT110">
            <v>0</v>
          </cell>
        </row>
        <row r="111">
          <cell r="B111" t="str">
            <v>||</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row>
        <row r="112">
          <cell r="B112" t="str">
            <v>||</v>
          </cell>
        </row>
        <row r="113">
          <cell r="B113" t="str">
            <v>||</v>
          </cell>
        </row>
        <row r="114">
          <cell r="B114" t="str">
            <v>||</v>
          </cell>
          <cell r="E114">
            <v>0</v>
          </cell>
          <cell r="F114">
            <v>0</v>
          </cell>
          <cell r="I114">
            <v>0</v>
          </cell>
          <cell r="J114">
            <v>0</v>
          </cell>
          <cell r="M114">
            <v>0</v>
          </cell>
          <cell r="N114">
            <v>0</v>
          </cell>
          <cell r="Q114">
            <v>0</v>
          </cell>
          <cell r="R114">
            <v>0</v>
          </cell>
          <cell r="U114">
            <v>0</v>
          </cell>
          <cell r="V114">
            <v>0</v>
          </cell>
          <cell r="W114">
            <v>0</v>
          </cell>
          <cell r="X114">
            <v>0</v>
          </cell>
          <cell r="Y114">
            <v>0</v>
          </cell>
          <cell r="Z114">
            <v>0</v>
          </cell>
          <cell r="AA114">
            <v>0</v>
          </cell>
          <cell r="AD114">
            <v>0</v>
          </cell>
          <cell r="AE114">
            <v>0</v>
          </cell>
          <cell r="AH114">
            <v>0</v>
          </cell>
          <cell r="AI114">
            <v>0</v>
          </cell>
          <cell r="AL114">
            <v>0</v>
          </cell>
          <cell r="AM114">
            <v>0</v>
          </cell>
          <cell r="AP114">
            <v>0</v>
          </cell>
          <cell r="AQ114">
            <v>0</v>
          </cell>
          <cell r="AT114">
            <v>0</v>
          </cell>
          <cell r="AU114">
            <v>0</v>
          </cell>
          <cell r="AX114">
            <v>0</v>
          </cell>
          <cell r="AY114">
            <v>0</v>
          </cell>
          <cell r="BB114">
            <v>0</v>
          </cell>
          <cell r="BC114">
            <v>0</v>
          </cell>
          <cell r="BF114">
            <v>0</v>
          </cell>
          <cell r="BG114">
            <v>0</v>
          </cell>
          <cell r="BJ114">
            <v>0</v>
          </cell>
          <cell r="BK114">
            <v>0</v>
          </cell>
          <cell r="BN114">
            <v>0</v>
          </cell>
          <cell r="BO114">
            <v>0</v>
          </cell>
          <cell r="BP114">
            <v>0</v>
          </cell>
          <cell r="BQ114">
            <v>0</v>
          </cell>
          <cell r="BR114">
            <v>0</v>
          </cell>
          <cell r="BS114">
            <v>0</v>
          </cell>
          <cell r="BT114">
            <v>0</v>
          </cell>
        </row>
        <row r="115">
          <cell r="B115" t="str">
            <v>||</v>
          </cell>
          <cell r="E115">
            <v>0</v>
          </cell>
          <cell r="F115">
            <v>0</v>
          </cell>
          <cell r="I115">
            <v>0</v>
          </cell>
          <cell r="J115">
            <v>0</v>
          </cell>
          <cell r="M115">
            <v>0</v>
          </cell>
          <cell r="N115">
            <v>0</v>
          </cell>
          <cell r="Q115">
            <v>0</v>
          </cell>
          <cell r="R115">
            <v>0</v>
          </cell>
          <cell r="U115">
            <v>0</v>
          </cell>
          <cell r="V115">
            <v>0</v>
          </cell>
          <cell r="W115">
            <v>0</v>
          </cell>
          <cell r="X115">
            <v>0</v>
          </cell>
          <cell r="Y115">
            <v>0</v>
          </cell>
          <cell r="Z115">
            <v>0</v>
          </cell>
          <cell r="AA115">
            <v>0</v>
          </cell>
          <cell r="AD115">
            <v>0</v>
          </cell>
          <cell r="AE115">
            <v>0</v>
          </cell>
          <cell r="AH115">
            <v>0</v>
          </cell>
          <cell r="AI115">
            <v>0</v>
          </cell>
          <cell r="AL115">
            <v>0</v>
          </cell>
          <cell r="AM115">
            <v>0</v>
          </cell>
          <cell r="AP115">
            <v>0</v>
          </cell>
          <cell r="AQ115">
            <v>0</v>
          </cell>
          <cell r="AT115">
            <v>0</v>
          </cell>
          <cell r="AU115">
            <v>0</v>
          </cell>
          <cell r="AX115">
            <v>0</v>
          </cell>
          <cell r="AY115">
            <v>0</v>
          </cell>
          <cell r="BB115">
            <v>0</v>
          </cell>
          <cell r="BC115">
            <v>0</v>
          </cell>
          <cell r="BF115">
            <v>0</v>
          </cell>
          <cell r="BG115">
            <v>0</v>
          </cell>
          <cell r="BJ115">
            <v>0</v>
          </cell>
          <cell r="BK115">
            <v>0</v>
          </cell>
          <cell r="BN115">
            <v>0</v>
          </cell>
          <cell r="BO115">
            <v>0</v>
          </cell>
          <cell r="BP115">
            <v>0</v>
          </cell>
          <cell r="BQ115">
            <v>0</v>
          </cell>
          <cell r="BR115">
            <v>0</v>
          </cell>
          <cell r="BS115">
            <v>0</v>
          </cell>
          <cell r="BT115">
            <v>0</v>
          </cell>
        </row>
        <row r="116">
          <cell r="B116" t="str">
            <v>||</v>
          </cell>
          <cell r="E116">
            <v>0</v>
          </cell>
          <cell r="F116">
            <v>0</v>
          </cell>
          <cell r="I116">
            <v>0</v>
          </cell>
          <cell r="J116">
            <v>0</v>
          </cell>
          <cell r="M116">
            <v>0</v>
          </cell>
          <cell r="N116">
            <v>0</v>
          </cell>
          <cell r="Q116">
            <v>0</v>
          </cell>
          <cell r="R116">
            <v>0</v>
          </cell>
          <cell r="U116">
            <v>0</v>
          </cell>
          <cell r="V116">
            <v>0</v>
          </cell>
          <cell r="W116">
            <v>0</v>
          </cell>
          <cell r="X116">
            <v>0</v>
          </cell>
          <cell r="Y116">
            <v>0</v>
          </cell>
          <cell r="Z116">
            <v>0</v>
          </cell>
          <cell r="AA116">
            <v>0</v>
          </cell>
          <cell r="AD116">
            <v>0</v>
          </cell>
          <cell r="AE116">
            <v>0</v>
          </cell>
          <cell r="AH116">
            <v>0</v>
          </cell>
          <cell r="AI116">
            <v>0</v>
          </cell>
          <cell r="AL116">
            <v>0</v>
          </cell>
          <cell r="AM116">
            <v>0</v>
          </cell>
          <cell r="AP116">
            <v>0</v>
          </cell>
          <cell r="AQ116">
            <v>0</v>
          </cell>
          <cell r="AT116">
            <v>0</v>
          </cell>
          <cell r="AU116">
            <v>0</v>
          </cell>
          <cell r="AX116">
            <v>0</v>
          </cell>
          <cell r="AY116">
            <v>0</v>
          </cell>
          <cell r="BB116">
            <v>0</v>
          </cell>
          <cell r="BC116">
            <v>0</v>
          </cell>
          <cell r="BF116">
            <v>0</v>
          </cell>
          <cell r="BG116">
            <v>0</v>
          </cell>
          <cell r="BJ116">
            <v>0</v>
          </cell>
          <cell r="BK116">
            <v>0</v>
          </cell>
          <cell r="BN116">
            <v>0</v>
          </cell>
          <cell r="BO116">
            <v>0</v>
          </cell>
          <cell r="BP116">
            <v>0</v>
          </cell>
          <cell r="BQ116">
            <v>0</v>
          </cell>
          <cell r="BR116">
            <v>0</v>
          </cell>
          <cell r="BS116">
            <v>0</v>
          </cell>
          <cell r="BT116">
            <v>0</v>
          </cell>
        </row>
        <row r="117">
          <cell r="B117" t="str">
            <v>||</v>
          </cell>
          <cell r="W117">
            <v>0</v>
          </cell>
          <cell r="X117">
            <v>0</v>
          </cell>
          <cell r="Y117">
            <v>0</v>
          </cell>
          <cell r="Z117">
            <v>0</v>
          </cell>
          <cell r="AA117">
            <v>0</v>
          </cell>
          <cell r="BP117">
            <v>0</v>
          </cell>
          <cell r="BQ117">
            <v>0</v>
          </cell>
          <cell r="BR117">
            <v>0</v>
          </cell>
          <cell r="BS117">
            <v>0</v>
          </cell>
          <cell r="BT117">
            <v>0</v>
          </cell>
        </row>
        <row r="118">
          <cell r="B118" t="str">
            <v>||</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row>
        <row r="119">
          <cell r="B119" t="str">
            <v>||</v>
          </cell>
        </row>
        <row r="120">
          <cell r="B120" t="str">
            <v>||</v>
          </cell>
        </row>
        <row r="121">
          <cell r="B121" t="str">
            <v>||</v>
          </cell>
          <cell r="E121">
            <v>0</v>
          </cell>
          <cell r="F121">
            <v>0</v>
          </cell>
          <cell r="I121">
            <v>0</v>
          </cell>
          <cell r="J121">
            <v>0</v>
          </cell>
          <cell r="M121">
            <v>0</v>
          </cell>
          <cell r="N121">
            <v>0</v>
          </cell>
          <cell r="Q121">
            <v>0</v>
          </cell>
          <cell r="R121">
            <v>0</v>
          </cell>
          <cell r="U121">
            <v>0</v>
          </cell>
          <cell r="V121">
            <v>0</v>
          </cell>
          <cell r="W121">
            <v>0</v>
          </cell>
          <cell r="X121">
            <v>0</v>
          </cell>
          <cell r="Y121">
            <v>0</v>
          </cell>
          <cell r="Z121">
            <v>0</v>
          </cell>
          <cell r="AA121">
            <v>0</v>
          </cell>
          <cell r="AD121">
            <v>0</v>
          </cell>
          <cell r="AE121">
            <v>0</v>
          </cell>
          <cell r="AH121">
            <v>0</v>
          </cell>
          <cell r="AI121">
            <v>0</v>
          </cell>
          <cell r="AL121">
            <v>0</v>
          </cell>
          <cell r="AM121">
            <v>0</v>
          </cell>
          <cell r="AP121">
            <v>0</v>
          </cell>
          <cell r="AQ121">
            <v>0</v>
          </cell>
          <cell r="AT121">
            <v>0</v>
          </cell>
          <cell r="AU121">
            <v>0</v>
          </cell>
          <cell r="AX121">
            <v>0</v>
          </cell>
          <cell r="AY121">
            <v>0</v>
          </cell>
          <cell r="BB121">
            <v>0</v>
          </cell>
          <cell r="BC121">
            <v>0</v>
          </cell>
          <cell r="BF121">
            <v>0</v>
          </cell>
          <cell r="BG121">
            <v>0</v>
          </cell>
          <cell r="BJ121">
            <v>0</v>
          </cell>
          <cell r="BK121">
            <v>0</v>
          </cell>
          <cell r="BN121">
            <v>0</v>
          </cell>
          <cell r="BO121">
            <v>0</v>
          </cell>
          <cell r="BP121">
            <v>0</v>
          </cell>
          <cell r="BQ121">
            <v>0</v>
          </cell>
          <cell r="BR121">
            <v>0</v>
          </cell>
          <cell r="BS121">
            <v>0</v>
          </cell>
          <cell r="BT121">
            <v>0</v>
          </cell>
        </row>
        <row r="122">
          <cell r="B122" t="str">
            <v>||</v>
          </cell>
          <cell r="E122">
            <v>0</v>
          </cell>
          <cell r="F122">
            <v>0</v>
          </cell>
          <cell r="I122">
            <v>0</v>
          </cell>
          <cell r="J122">
            <v>0</v>
          </cell>
          <cell r="M122">
            <v>0</v>
          </cell>
          <cell r="N122">
            <v>0</v>
          </cell>
          <cell r="Q122">
            <v>0</v>
          </cell>
          <cell r="R122">
            <v>0</v>
          </cell>
          <cell r="U122">
            <v>0</v>
          </cell>
          <cell r="V122">
            <v>0</v>
          </cell>
          <cell r="W122">
            <v>0</v>
          </cell>
          <cell r="X122">
            <v>0</v>
          </cell>
          <cell r="Y122">
            <v>0</v>
          </cell>
          <cell r="Z122">
            <v>0</v>
          </cell>
          <cell r="AA122">
            <v>0</v>
          </cell>
          <cell r="AD122">
            <v>0</v>
          </cell>
          <cell r="AE122">
            <v>0</v>
          </cell>
          <cell r="AH122">
            <v>0</v>
          </cell>
          <cell r="AI122">
            <v>0</v>
          </cell>
          <cell r="AL122">
            <v>0</v>
          </cell>
          <cell r="AM122">
            <v>0</v>
          </cell>
          <cell r="AP122">
            <v>0</v>
          </cell>
          <cell r="AQ122">
            <v>0</v>
          </cell>
          <cell r="AT122">
            <v>0</v>
          </cell>
          <cell r="AU122">
            <v>0</v>
          </cell>
          <cell r="AX122">
            <v>0</v>
          </cell>
          <cell r="AY122">
            <v>0</v>
          </cell>
          <cell r="BB122">
            <v>0</v>
          </cell>
          <cell r="BC122">
            <v>0</v>
          </cell>
          <cell r="BF122">
            <v>0</v>
          </cell>
          <cell r="BG122">
            <v>0</v>
          </cell>
          <cell r="BJ122">
            <v>0</v>
          </cell>
          <cell r="BK122">
            <v>0</v>
          </cell>
          <cell r="BN122">
            <v>0</v>
          </cell>
          <cell r="BO122">
            <v>0</v>
          </cell>
          <cell r="BP122">
            <v>0</v>
          </cell>
          <cell r="BQ122">
            <v>0</v>
          </cell>
          <cell r="BR122">
            <v>0</v>
          </cell>
          <cell r="BS122">
            <v>0</v>
          </cell>
          <cell r="BT122">
            <v>0</v>
          </cell>
        </row>
        <row r="123">
          <cell r="B123" t="str">
            <v>||</v>
          </cell>
          <cell r="E123">
            <v>0</v>
          </cell>
          <cell r="F123">
            <v>0</v>
          </cell>
          <cell r="I123">
            <v>0</v>
          </cell>
          <cell r="J123">
            <v>0</v>
          </cell>
          <cell r="M123">
            <v>0</v>
          </cell>
          <cell r="N123">
            <v>0</v>
          </cell>
          <cell r="Q123">
            <v>0</v>
          </cell>
          <cell r="R123">
            <v>0</v>
          </cell>
          <cell r="U123">
            <v>0</v>
          </cell>
          <cell r="V123">
            <v>0</v>
          </cell>
          <cell r="W123">
            <v>0</v>
          </cell>
          <cell r="X123">
            <v>0</v>
          </cell>
          <cell r="Y123">
            <v>0</v>
          </cell>
          <cell r="Z123">
            <v>0</v>
          </cell>
          <cell r="AA123">
            <v>0</v>
          </cell>
          <cell r="AD123">
            <v>0</v>
          </cell>
          <cell r="AE123">
            <v>0</v>
          </cell>
          <cell r="AH123">
            <v>0</v>
          </cell>
          <cell r="AI123">
            <v>0</v>
          </cell>
          <cell r="AL123">
            <v>0</v>
          </cell>
          <cell r="AM123">
            <v>0</v>
          </cell>
          <cell r="AP123">
            <v>0</v>
          </cell>
          <cell r="AQ123">
            <v>0</v>
          </cell>
          <cell r="AT123">
            <v>0</v>
          </cell>
          <cell r="AU123">
            <v>0</v>
          </cell>
          <cell r="AX123">
            <v>0</v>
          </cell>
          <cell r="AY123">
            <v>0</v>
          </cell>
          <cell r="BB123">
            <v>0</v>
          </cell>
          <cell r="BC123">
            <v>0</v>
          </cell>
          <cell r="BF123">
            <v>0</v>
          </cell>
          <cell r="BG123">
            <v>0</v>
          </cell>
          <cell r="BJ123">
            <v>0</v>
          </cell>
          <cell r="BK123">
            <v>0</v>
          </cell>
          <cell r="BN123">
            <v>0</v>
          </cell>
          <cell r="BO123">
            <v>0</v>
          </cell>
          <cell r="BP123">
            <v>0</v>
          </cell>
          <cell r="BQ123">
            <v>0</v>
          </cell>
          <cell r="BR123">
            <v>0</v>
          </cell>
          <cell r="BS123">
            <v>0</v>
          </cell>
          <cell r="BT123">
            <v>0</v>
          </cell>
        </row>
        <row r="124">
          <cell r="B124" t="str">
            <v>||</v>
          </cell>
          <cell r="W124">
            <v>0</v>
          </cell>
          <cell r="X124">
            <v>0</v>
          </cell>
          <cell r="Y124">
            <v>0</v>
          </cell>
          <cell r="Z124">
            <v>0</v>
          </cell>
          <cell r="AA124">
            <v>0</v>
          </cell>
          <cell r="BP124">
            <v>0</v>
          </cell>
          <cell r="BQ124">
            <v>0</v>
          </cell>
          <cell r="BR124">
            <v>0</v>
          </cell>
          <cell r="BS124">
            <v>0</v>
          </cell>
          <cell r="BT124">
            <v>0</v>
          </cell>
        </row>
        <row r="125">
          <cell r="B125" t="str">
            <v>||</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row>
        <row r="126">
          <cell r="B126" t="str">
            <v>||</v>
          </cell>
        </row>
        <row r="127">
          <cell r="B127" t="str">
            <v>||</v>
          </cell>
        </row>
        <row r="128">
          <cell r="B128" t="str">
            <v>||</v>
          </cell>
          <cell r="E128">
            <v>0</v>
          </cell>
          <cell r="F128">
            <v>0</v>
          </cell>
          <cell r="I128">
            <v>0</v>
          </cell>
          <cell r="J128">
            <v>0</v>
          </cell>
          <cell r="M128">
            <v>0</v>
          </cell>
          <cell r="N128">
            <v>0</v>
          </cell>
          <cell r="Q128">
            <v>0</v>
          </cell>
          <cell r="R128">
            <v>0</v>
          </cell>
          <cell r="U128">
            <v>0</v>
          </cell>
          <cell r="V128">
            <v>0</v>
          </cell>
          <cell r="W128">
            <v>0</v>
          </cell>
          <cell r="X128">
            <v>0</v>
          </cell>
          <cell r="Y128">
            <v>0</v>
          </cell>
          <cell r="Z128">
            <v>0</v>
          </cell>
          <cell r="AA128">
            <v>0</v>
          </cell>
          <cell r="AD128">
            <v>0</v>
          </cell>
          <cell r="AE128">
            <v>0</v>
          </cell>
          <cell r="AH128">
            <v>0</v>
          </cell>
          <cell r="AI128">
            <v>0</v>
          </cell>
          <cell r="AL128">
            <v>0</v>
          </cell>
          <cell r="AM128">
            <v>0</v>
          </cell>
          <cell r="AP128">
            <v>0</v>
          </cell>
          <cell r="AQ128">
            <v>0</v>
          </cell>
          <cell r="AT128">
            <v>0</v>
          </cell>
          <cell r="AU128">
            <v>0</v>
          </cell>
          <cell r="AX128">
            <v>0</v>
          </cell>
          <cell r="AY128">
            <v>0</v>
          </cell>
          <cell r="BB128">
            <v>0</v>
          </cell>
          <cell r="BC128">
            <v>0</v>
          </cell>
          <cell r="BF128">
            <v>0</v>
          </cell>
          <cell r="BG128">
            <v>0</v>
          </cell>
          <cell r="BJ128">
            <v>0</v>
          </cell>
          <cell r="BK128">
            <v>0</v>
          </cell>
          <cell r="BN128">
            <v>0</v>
          </cell>
          <cell r="BO128">
            <v>0</v>
          </cell>
          <cell r="BP128">
            <v>0</v>
          </cell>
          <cell r="BQ128">
            <v>0</v>
          </cell>
          <cell r="BR128">
            <v>0</v>
          </cell>
          <cell r="BS128">
            <v>0</v>
          </cell>
          <cell r="BT128">
            <v>0</v>
          </cell>
        </row>
        <row r="129">
          <cell r="B129" t="str">
            <v>||</v>
          </cell>
          <cell r="E129">
            <v>0</v>
          </cell>
          <cell r="F129">
            <v>0</v>
          </cell>
          <cell r="I129">
            <v>0</v>
          </cell>
          <cell r="J129">
            <v>0</v>
          </cell>
          <cell r="M129">
            <v>0</v>
          </cell>
          <cell r="N129">
            <v>0</v>
          </cell>
          <cell r="Q129">
            <v>0</v>
          </cell>
          <cell r="R129">
            <v>0</v>
          </cell>
          <cell r="U129">
            <v>0</v>
          </cell>
          <cell r="V129">
            <v>0</v>
          </cell>
          <cell r="W129">
            <v>0</v>
          </cell>
          <cell r="X129">
            <v>0</v>
          </cell>
          <cell r="Y129">
            <v>0</v>
          </cell>
          <cell r="Z129">
            <v>0</v>
          </cell>
          <cell r="AA129">
            <v>0</v>
          </cell>
          <cell r="AD129">
            <v>0</v>
          </cell>
          <cell r="AE129">
            <v>0</v>
          </cell>
          <cell r="AH129">
            <v>0</v>
          </cell>
          <cell r="AI129">
            <v>0</v>
          </cell>
          <cell r="AL129">
            <v>0</v>
          </cell>
          <cell r="AM129">
            <v>0</v>
          </cell>
          <cell r="AP129">
            <v>0</v>
          </cell>
          <cell r="AQ129">
            <v>0</v>
          </cell>
          <cell r="AT129">
            <v>0</v>
          </cell>
          <cell r="AU129">
            <v>0</v>
          </cell>
          <cell r="AX129">
            <v>0</v>
          </cell>
          <cell r="AY129">
            <v>0</v>
          </cell>
          <cell r="BB129">
            <v>0</v>
          </cell>
          <cell r="BC129">
            <v>0</v>
          </cell>
          <cell r="BF129">
            <v>0</v>
          </cell>
          <cell r="BG129">
            <v>0</v>
          </cell>
          <cell r="BJ129">
            <v>0</v>
          </cell>
          <cell r="BK129">
            <v>0</v>
          </cell>
          <cell r="BN129">
            <v>0</v>
          </cell>
          <cell r="BO129">
            <v>0</v>
          </cell>
          <cell r="BP129">
            <v>0</v>
          </cell>
          <cell r="BQ129">
            <v>0</v>
          </cell>
          <cell r="BR129">
            <v>0</v>
          </cell>
          <cell r="BS129">
            <v>0</v>
          </cell>
          <cell r="BT129">
            <v>0</v>
          </cell>
        </row>
        <row r="130">
          <cell r="B130" t="str">
            <v>||</v>
          </cell>
          <cell r="E130">
            <v>0</v>
          </cell>
          <cell r="F130">
            <v>0</v>
          </cell>
          <cell r="I130">
            <v>0</v>
          </cell>
          <cell r="J130">
            <v>0</v>
          </cell>
          <cell r="M130">
            <v>0</v>
          </cell>
          <cell r="N130">
            <v>0</v>
          </cell>
          <cell r="Q130">
            <v>0</v>
          </cell>
          <cell r="R130">
            <v>0</v>
          </cell>
          <cell r="U130">
            <v>0</v>
          </cell>
          <cell r="V130">
            <v>0</v>
          </cell>
          <cell r="W130">
            <v>0</v>
          </cell>
          <cell r="X130">
            <v>0</v>
          </cell>
          <cell r="Y130">
            <v>0</v>
          </cell>
          <cell r="Z130">
            <v>0</v>
          </cell>
          <cell r="AA130">
            <v>0</v>
          </cell>
          <cell r="AD130">
            <v>0</v>
          </cell>
          <cell r="AE130">
            <v>0</v>
          </cell>
          <cell r="AH130">
            <v>0</v>
          </cell>
          <cell r="AI130">
            <v>0</v>
          </cell>
          <cell r="AL130">
            <v>0</v>
          </cell>
          <cell r="AM130">
            <v>0</v>
          </cell>
          <cell r="AP130">
            <v>0</v>
          </cell>
          <cell r="AQ130">
            <v>0</v>
          </cell>
          <cell r="AT130">
            <v>0</v>
          </cell>
          <cell r="AU130">
            <v>0</v>
          </cell>
          <cell r="AX130">
            <v>0</v>
          </cell>
          <cell r="AY130">
            <v>0</v>
          </cell>
          <cell r="BB130">
            <v>0</v>
          </cell>
          <cell r="BC130">
            <v>0</v>
          </cell>
          <cell r="BF130">
            <v>0</v>
          </cell>
          <cell r="BG130">
            <v>0</v>
          </cell>
          <cell r="BJ130">
            <v>0</v>
          </cell>
          <cell r="BK130">
            <v>0</v>
          </cell>
          <cell r="BN130">
            <v>0</v>
          </cell>
          <cell r="BO130">
            <v>0</v>
          </cell>
          <cell r="BP130">
            <v>0</v>
          </cell>
          <cell r="BQ130">
            <v>0</v>
          </cell>
          <cell r="BR130">
            <v>0</v>
          </cell>
          <cell r="BS130">
            <v>0</v>
          </cell>
          <cell r="BT130">
            <v>0</v>
          </cell>
        </row>
        <row r="131">
          <cell r="B131" t="str">
            <v>||</v>
          </cell>
          <cell r="W131">
            <v>0</v>
          </cell>
          <cell r="X131">
            <v>0</v>
          </cell>
          <cell r="Y131">
            <v>0</v>
          </cell>
          <cell r="Z131">
            <v>0</v>
          </cell>
          <cell r="AA131">
            <v>0</v>
          </cell>
          <cell r="BP131">
            <v>0</v>
          </cell>
          <cell r="BQ131">
            <v>0</v>
          </cell>
          <cell r="BR131">
            <v>0</v>
          </cell>
          <cell r="BS131">
            <v>0</v>
          </cell>
          <cell r="BT131">
            <v>0</v>
          </cell>
        </row>
        <row r="132">
          <cell r="B132" t="str">
            <v>||</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row>
        <row r="133">
          <cell r="B133" t="str">
            <v>||</v>
          </cell>
        </row>
        <row r="134">
          <cell r="B134" t="str">
            <v>||</v>
          </cell>
        </row>
        <row r="135">
          <cell r="B135" t="str">
            <v>||</v>
          </cell>
          <cell r="E135">
            <v>0</v>
          </cell>
          <cell r="F135">
            <v>0</v>
          </cell>
          <cell r="I135">
            <v>0</v>
          </cell>
          <cell r="J135">
            <v>0</v>
          </cell>
          <cell r="M135">
            <v>0</v>
          </cell>
          <cell r="N135">
            <v>0</v>
          </cell>
          <cell r="Q135">
            <v>0</v>
          </cell>
          <cell r="R135">
            <v>0</v>
          </cell>
          <cell r="U135">
            <v>0</v>
          </cell>
          <cell r="V135">
            <v>0</v>
          </cell>
          <cell r="W135">
            <v>0</v>
          </cell>
          <cell r="X135">
            <v>0</v>
          </cell>
          <cell r="Y135">
            <v>0</v>
          </cell>
          <cell r="Z135">
            <v>0</v>
          </cell>
          <cell r="AA135">
            <v>0</v>
          </cell>
          <cell r="AD135">
            <v>0</v>
          </cell>
          <cell r="AE135">
            <v>0</v>
          </cell>
          <cell r="AH135">
            <v>0</v>
          </cell>
          <cell r="AI135">
            <v>0</v>
          </cell>
          <cell r="AL135">
            <v>0</v>
          </cell>
          <cell r="AM135">
            <v>0</v>
          </cell>
          <cell r="AP135">
            <v>0</v>
          </cell>
          <cell r="AQ135">
            <v>0</v>
          </cell>
          <cell r="AT135">
            <v>0</v>
          </cell>
          <cell r="AU135">
            <v>0</v>
          </cell>
          <cell r="AX135">
            <v>0</v>
          </cell>
          <cell r="AY135">
            <v>0</v>
          </cell>
          <cell r="BB135">
            <v>0</v>
          </cell>
          <cell r="BC135">
            <v>0</v>
          </cell>
          <cell r="BF135">
            <v>0</v>
          </cell>
          <cell r="BG135">
            <v>0</v>
          </cell>
          <cell r="BJ135">
            <v>0</v>
          </cell>
          <cell r="BK135">
            <v>0</v>
          </cell>
          <cell r="BN135">
            <v>0</v>
          </cell>
          <cell r="BO135">
            <v>0</v>
          </cell>
          <cell r="BP135">
            <v>0</v>
          </cell>
          <cell r="BQ135">
            <v>0</v>
          </cell>
          <cell r="BR135">
            <v>0</v>
          </cell>
          <cell r="BS135">
            <v>0</v>
          </cell>
          <cell r="BT135">
            <v>0</v>
          </cell>
        </row>
        <row r="136">
          <cell r="B136" t="str">
            <v>||</v>
          </cell>
          <cell r="E136">
            <v>0</v>
          </cell>
          <cell r="F136">
            <v>0</v>
          </cell>
          <cell r="I136">
            <v>0</v>
          </cell>
          <cell r="J136">
            <v>0</v>
          </cell>
          <cell r="M136">
            <v>0</v>
          </cell>
          <cell r="N136">
            <v>0</v>
          </cell>
          <cell r="Q136">
            <v>0</v>
          </cell>
          <cell r="R136">
            <v>0</v>
          </cell>
          <cell r="U136">
            <v>0</v>
          </cell>
          <cell r="V136">
            <v>0</v>
          </cell>
          <cell r="W136">
            <v>0</v>
          </cell>
          <cell r="X136">
            <v>0</v>
          </cell>
          <cell r="Y136">
            <v>0</v>
          </cell>
          <cell r="Z136">
            <v>0</v>
          </cell>
          <cell r="AA136">
            <v>0</v>
          </cell>
          <cell r="AD136">
            <v>0</v>
          </cell>
          <cell r="AE136">
            <v>0</v>
          </cell>
          <cell r="AH136">
            <v>0</v>
          </cell>
          <cell r="AI136">
            <v>0</v>
          </cell>
          <cell r="AL136">
            <v>0</v>
          </cell>
          <cell r="AM136">
            <v>0</v>
          </cell>
          <cell r="AP136">
            <v>0</v>
          </cell>
          <cell r="AQ136">
            <v>0</v>
          </cell>
          <cell r="AT136">
            <v>0</v>
          </cell>
          <cell r="AU136">
            <v>0</v>
          </cell>
          <cell r="AX136">
            <v>0</v>
          </cell>
          <cell r="AY136">
            <v>0</v>
          </cell>
          <cell r="BB136">
            <v>0</v>
          </cell>
          <cell r="BC136">
            <v>0</v>
          </cell>
          <cell r="BF136">
            <v>0</v>
          </cell>
          <cell r="BG136">
            <v>0</v>
          </cell>
          <cell r="BJ136">
            <v>0</v>
          </cell>
          <cell r="BK136">
            <v>0</v>
          </cell>
          <cell r="BN136">
            <v>0</v>
          </cell>
          <cell r="BO136">
            <v>0</v>
          </cell>
          <cell r="BP136">
            <v>0</v>
          </cell>
          <cell r="BQ136">
            <v>0</v>
          </cell>
          <cell r="BR136">
            <v>0</v>
          </cell>
          <cell r="BS136">
            <v>0</v>
          </cell>
          <cell r="BT136">
            <v>0</v>
          </cell>
        </row>
        <row r="137">
          <cell r="B137" t="str">
            <v>||</v>
          </cell>
          <cell r="E137">
            <v>0</v>
          </cell>
          <cell r="F137">
            <v>0</v>
          </cell>
          <cell r="I137">
            <v>0</v>
          </cell>
          <cell r="J137">
            <v>0</v>
          </cell>
          <cell r="M137">
            <v>0</v>
          </cell>
          <cell r="N137">
            <v>0</v>
          </cell>
          <cell r="Q137">
            <v>0</v>
          </cell>
          <cell r="R137">
            <v>0</v>
          </cell>
          <cell r="U137">
            <v>0</v>
          </cell>
          <cell r="V137">
            <v>0</v>
          </cell>
          <cell r="W137">
            <v>0</v>
          </cell>
          <cell r="X137">
            <v>0</v>
          </cell>
          <cell r="Y137">
            <v>0</v>
          </cell>
          <cell r="Z137">
            <v>0</v>
          </cell>
          <cell r="AA137">
            <v>0</v>
          </cell>
          <cell r="AD137">
            <v>0</v>
          </cell>
          <cell r="AE137">
            <v>0</v>
          </cell>
          <cell r="AH137">
            <v>0</v>
          </cell>
          <cell r="AI137">
            <v>0</v>
          </cell>
          <cell r="AL137">
            <v>0</v>
          </cell>
          <cell r="AM137">
            <v>0</v>
          </cell>
          <cell r="AP137">
            <v>0</v>
          </cell>
          <cell r="AQ137">
            <v>0</v>
          </cell>
          <cell r="AT137">
            <v>0</v>
          </cell>
          <cell r="AU137">
            <v>0</v>
          </cell>
          <cell r="AX137">
            <v>0</v>
          </cell>
          <cell r="AY137">
            <v>0</v>
          </cell>
          <cell r="BB137">
            <v>0</v>
          </cell>
          <cell r="BC137">
            <v>0</v>
          </cell>
          <cell r="BF137">
            <v>0</v>
          </cell>
          <cell r="BG137">
            <v>0</v>
          </cell>
          <cell r="BJ137">
            <v>0</v>
          </cell>
          <cell r="BK137">
            <v>0</v>
          </cell>
          <cell r="BN137">
            <v>0</v>
          </cell>
          <cell r="BO137">
            <v>0</v>
          </cell>
          <cell r="BP137">
            <v>0</v>
          </cell>
          <cell r="BQ137">
            <v>0</v>
          </cell>
          <cell r="BR137">
            <v>0</v>
          </cell>
          <cell r="BS137">
            <v>0</v>
          </cell>
          <cell r="BT137">
            <v>0</v>
          </cell>
        </row>
        <row r="138">
          <cell r="B138" t="str">
            <v>||</v>
          </cell>
          <cell r="W138">
            <v>0</v>
          </cell>
          <cell r="X138">
            <v>0</v>
          </cell>
          <cell r="Y138">
            <v>0</v>
          </cell>
          <cell r="Z138">
            <v>0</v>
          </cell>
          <cell r="AA138">
            <v>0</v>
          </cell>
          <cell r="BP138">
            <v>0</v>
          </cell>
          <cell r="BQ138">
            <v>0</v>
          </cell>
          <cell r="BR138">
            <v>0</v>
          </cell>
          <cell r="BS138">
            <v>0</v>
          </cell>
          <cell r="BT138">
            <v>0</v>
          </cell>
        </row>
        <row r="139">
          <cell r="B139" t="str">
            <v>||</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row>
        <row r="140">
          <cell r="B140" t="str">
            <v>||</v>
          </cell>
        </row>
        <row r="141">
          <cell r="B141" t="str">
            <v>||</v>
          </cell>
        </row>
        <row r="142">
          <cell r="B142" t="str">
            <v>||</v>
          </cell>
          <cell r="E142">
            <v>0</v>
          </cell>
          <cell r="F142">
            <v>0</v>
          </cell>
          <cell r="I142">
            <v>0</v>
          </cell>
          <cell r="J142">
            <v>0</v>
          </cell>
          <cell r="M142">
            <v>0</v>
          </cell>
          <cell r="N142">
            <v>0</v>
          </cell>
          <cell r="Q142">
            <v>0</v>
          </cell>
          <cell r="R142">
            <v>0</v>
          </cell>
          <cell r="U142">
            <v>0</v>
          </cell>
          <cell r="V142">
            <v>0</v>
          </cell>
          <cell r="W142">
            <v>0</v>
          </cell>
          <cell r="X142">
            <v>0</v>
          </cell>
          <cell r="Y142">
            <v>0</v>
          </cell>
          <cell r="Z142">
            <v>0</v>
          </cell>
          <cell r="AA142">
            <v>0</v>
          </cell>
          <cell r="AD142">
            <v>0</v>
          </cell>
          <cell r="AE142">
            <v>0</v>
          </cell>
          <cell r="AH142">
            <v>0</v>
          </cell>
          <cell r="AI142">
            <v>0</v>
          </cell>
          <cell r="AL142">
            <v>0</v>
          </cell>
          <cell r="AM142">
            <v>0</v>
          </cell>
          <cell r="AP142">
            <v>0</v>
          </cell>
          <cell r="AQ142">
            <v>0</v>
          </cell>
          <cell r="AT142">
            <v>0</v>
          </cell>
          <cell r="AU142">
            <v>0</v>
          </cell>
          <cell r="AX142">
            <v>0</v>
          </cell>
          <cell r="AY142">
            <v>0</v>
          </cell>
          <cell r="BB142">
            <v>0</v>
          </cell>
          <cell r="BC142">
            <v>0</v>
          </cell>
          <cell r="BF142">
            <v>0</v>
          </cell>
          <cell r="BG142">
            <v>0</v>
          </cell>
          <cell r="BJ142">
            <v>0</v>
          </cell>
          <cell r="BK142">
            <v>0</v>
          </cell>
          <cell r="BN142">
            <v>0</v>
          </cell>
          <cell r="BO142">
            <v>0</v>
          </cell>
          <cell r="BP142">
            <v>0</v>
          </cell>
          <cell r="BQ142">
            <v>0</v>
          </cell>
          <cell r="BR142">
            <v>0</v>
          </cell>
          <cell r="BS142">
            <v>0</v>
          </cell>
          <cell r="BT142">
            <v>0</v>
          </cell>
        </row>
        <row r="143">
          <cell r="B143" t="str">
            <v>||</v>
          </cell>
          <cell r="E143">
            <v>0</v>
          </cell>
          <cell r="F143">
            <v>0</v>
          </cell>
          <cell r="I143">
            <v>0</v>
          </cell>
          <cell r="J143">
            <v>0</v>
          </cell>
          <cell r="M143">
            <v>0</v>
          </cell>
          <cell r="N143">
            <v>0</v>
          </cell>
          <cell r="Q143">
            <v>0</v>
          </cell>
          <cell r="R143">
            <v>0</v>
          </cell>
          <cell r="U143">
            <v>0</v>
          </cell>
          <cell r="V143">
            <v>0</v>
          </cell>
          <cell r="W143">
            <v>0</v>
          </cell>
          <cell r="X143">
            <v>0</v>
          </cell>
          <cell r="Y143">
            <v>0</v>
          </cell>
          <cell r="Z143">
            <v>0</v>
          </cell>
          <cell r="AA143">
            <v>0</v>
          </cell>
          <cell r="AD143">
            <v>0</v>
          </cell>
          <cell r="AE143">
            <v>0</v>
          </cell>
          <cell r="AH143">
            <v>0</v>
          </cell>
          <cell r="AI143">
            <v>0</v>
          </cell>
          <cell r="AL143">
            <v>0</v>
          </cell>
          <cell r="AM143">
            <v>0</v>
          </cell>
          <cell r="AP143">
            <v>0</v>
          </cell>
          <cell r="AQ143">
            <v>0</v>
          </cell>
          <cell r="AT143">
            <v>0</v>
          </cell>
          <cell r="AU143">
            <v>0</v>
          </cell>
          <cell r="AX143">
            <v>0</v>
          </cell>
          <cell r="AY143">
            <v>0</v>
          </cell>
          <cell r="BB143">
            <v>0</v>
          </cell>
          <cell r="BC143">
            <v>0</v>
          </cell>
          <cell r="BF143">
            <v>0</v>
          </cell>
          <cell r="BG143">
            <v>0</v>
          </cell>
          <cell r="BJ143">
            <v>0</v>
          </cell>
          <cell r="BK143">
            <v>0</v>
          </cell>
          <cell r="BN143">
            <v>0</v>
          </cell>
          <cell r="BO143">
            <v>0</v>
          </cell>
          <cell r="BP143">
            <v>0</v>
          </cell>
          <cell r="BQ143">
            <v>0</v>
          </cell>
          <cell r="BR143">
            <v>0</v>
          </cell>
          <cell r="BS143">
            <v>0</v>
          </cell>
          <cell r="BT143">
            <v>0</v>
          </cell>
        </row>
        <row r="144">
          <cell r="B144" t="str">
            <v>||</v>
          </cell>
          <cell r="E144">
            <v>0</v>
          </cell>
          <cell r="F144">
            <v>0</v>
          </cell>
          <cell r="I144">
            <v>0</v>
          </cell>
          <cell r="J144">
            <v>0</v>
          </cell>
          <cell r="M144">
            <v>0</v>
          </cell>
          <cell r="N144">
            <v>0</v>
          </cell>
          <cell r="Q144">
            <v>0</v>
          </cell>
          <cell r="R144">
            <v>0</v>
          </cell>
          <cell r="U144">
            <v>0</v>
          </cell>
          <cell r="V144">
            <v>0</v>
          </cell>
          <cell r="W144">
            <v>0</v>
          </cell>
          <cell r="X144">
            <v>0</v>
          </cell>
          <cell r="Y144">
            <v>0</v>
          </cell>
          <cell r="Z144">
            <v>0</v>
          </cell>
          <cell r="AA144">
            <v>0</v>
          </cell>
          <cell r="AD144">
            <v>0</v>
          </cell>
          <cell r="AE144">
            <v>0</v>
          </cell>
          <cell r="AH144">
            <v>0</v>
          </cell>
          <cell r="AI144">
            <v>0</v>
          </cell>
          <cell r="AL144">
            <v>0</v>
          </cell>
          <cell r="AM144">
            <v>0</v>
          </cell>
          <cell r="AP144">
            <v>0</v>
          </cell>
          <cell r="AQ144">
            <v>0</v>
          </cell>
          <cell r="AT144">
            <v>0</v>
          </cell>
          <cell r="AU144">
            <v>0</v>
          </cell>
          <cell r="AX144">
            <v>0</v>
          </cell>
          <cell r="AY144">
            <v>0</v>
          </cell>
          <cell r="BB144">
            <v>0</v>
          </cell>
          <cell r="BC144">
            <v>0</v>
          </cell>
          <cell r="BF144">
            <v>0</v>
          </cell>
          <cell r="BG144">
            <v>0</v>
          </cell>
          <cell r="BJ144">
            <v>0</v>
          </cell>
          <cell r="BK144">
            <v>0</v>
          </cell>
          <cell r="BN144">
            <v>0</v>
          </cell>
          <cell r="BO144">
            <v>0</v>
          </cell>
          <cell r="BP144">
            <v>0</v>
          </cell>
          <cell r="BQ144">
            <v>0</v>
          </cell>
          <cell r="BR144">
            <v>0</v>
          </cell>
          <cell r="BS144">
            <v>0</v>
          </cell>
          <cell r="BT144">
            <v>0</v>
          </cell>
        </row>
        <row r="145">
          <cell r="B145" t="str">
            <v>||</v>
          </cell>
          <cell r="W145">
            <v>0</v>
          </cell>
          <cell r="X145">
            <v>0</v>
          </cell>
          <cell r="Y145">
            <v>0</v>
          </cell>
          <cell r="Z145">
            <v>0</v>
          </cell>
          <cell r="AA145">
            <v>0</v>
          </cell>
          <cell r="BP145">
            <v>0</v>
          </cell>
          <cell r="BQ145">
            <v>0</v>
          </cell>
          <cell r="BR145">
            <v>0</v>
          </cell>
          <cell r="BS145">
            <v>0</v>
          </cell>
          <cell r="BT145">
            <v>0</v>
          </cell>
        </row>
        <row r="146">
          <cell r="B146" t="str">
            <v>||</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row>
        <row r="147">
          <cell r="B147" t="str">
            <v>||</v>
          </cell>
        </row>
        <row r="148">
          <cell r="B148" t="str">
            <v>||</v>
          </cell>
        </row>
        <row r="149">
          <cell r="B149" t="str">
            <v>||</v>
          </cell>
          <cell r="E149">
            <v>0</v>
          </cell>
          <cell r="F149">
            <v>0</v>
          </cell>
          <cell r="I149">
            <v>0</v>
          </cell>
          <cell r="J149">
            <v>0</v>
          </cell>
          <cell r="M149">
            <v>0</v>
          </cell>
          <cell r="N149">
            <v>0</v>
          </cell>
          <cell r="Q149">
            <v>0</v>
          </cell>
          <cell r="R149">
            <v>0</v>
          </cell>
          <cell r="U149">
            <v>0</v>
          </cell>
          <cell r="V149">
            <v>0</v>
          </cell>
          <cell r="W149">
            <v>0</v>
          </cell>
          <cell r="X149">
            <v>0</v>
          </cell>
          <cell r="Y149">
            <v>0</v>
          </cell>
          <cell r="Z149">
            <v>0</v>
          </cell>
          <cell r="AA149">
            <v>0</v>
          </cell>
          <cell r="AD149">
            <v>0</v>
          </cell>
          <cell r="AE149">
            <v>0</v>
          </cell>
          <cell r="AH149">
            <v>0</v>
          </cell>
          <cell r="AI149">
            <v>0</v>
          </cell>
          <cell r="AL149">
            <v>0</v>
          </cell>
          <cell r="AM149">
            <v>0</v>
          </cell>
          <cell r="AP149">
            <v>0</v>
          </cell>
          <cell r="AQ149">
            <v>0</v>
          </cell>
          <cell r="AT149">
            <v>0</v>
          </cell>
          <cell r="AU149">
            <v>0</v>
          </cell>
          <cell r="AX149">
            <v>0</v>
          </cell>
          <cell r="AY149">
            <v>0</v>
          </cell>
          <cell r="BB149">
            <v>0</v>
          </cell>
          <cell r="BC149">
            <v>0</v>
          </cell>
          <cell r="BF149">
            <v>0</v>
          </cell>
          <cell r="BG149">
            <v>0</v>
          </cell>
          <cell r="BJ149">
            <v>0</v>
          </cell>
          <cell r="BK149">
            <v>0</v>
          </cell>
          <cell r="BN149">
            <v>0</v>
          </cell>
          <cell r="BO149">
            <v>0</v>
          </cell>
          <cell r="BP149">
            <v>0</v>
          </cell>
          <cell r="BQ149">
            <v>0</v>
          </cell>
          <cell r="BR149">
            <v>0</v>
          </cell>
          <cell r="BS149">
            <v>0</v>
          </cell>
          <cell r="BT149">
            <v>0</v>
          </cell>
        </row>
        <row r="150">
          <cell r="B150" t="str">
            <v>||</v>
          </cell>
          <cell r="E150">
            <v>0</v>
          </cell>
          <cell r="F150">
            <v>0</v>
          </cell>
          <cell r="I150">
            <v>0</v>
          </cell>
          <cell r="J150">
            <v>0</v>
          </cell>
          <cell r="M150">
            <v>0</v>
          </cell>
          <cell r="N150">
            <v>0</v>
          </cell>
          <cell r="Q150">
            <v>0</v>
          </cell>
          <cell r="R150">
            <v>0</v>
          </cell>
          <cell r="U150">
            <v>0</v>
          </cell>
          <cell r="V150">
            <v>0</v>
          </cell>
          <cell r="W150">
            <v>0</v>
          </cell>
          <cell r="X150">
            <v>0</v>
          </cell>
          <cell r="Y150">
            <v>0</v>
          </cell>
          <cell r="Z150">
            <v>0</v>
          </cell>
          <cell r="AA150">
            <v>0</v>
          </cell>
          <cell r="AD150">
            <v>0</v>
          </cell>
          <cell r="AE150">
            <v>0</v>
          </cell>
          <cell r="AH150">
            <v>0</v>
          </cell>
          <cell r="AI150">
            <v>0</v>
          </cell>
          <cell r="AL150">
            <v>0</v>
          </cell>
          <cell r="AM150">
            <v>0</v>
          </cell>
          <cell r="AP150">
            <v>0</v>
          </cell>
          <cell r="AQ150">
            <v>0</v>
          </cell>
          <cell r="AT150">
            <v>0</v>
          </cell>
          <cell r="AU150">
            <v>0</v>
          </cell>
          <cell r="AX150">
            <v>0</v>
          </cell>
          <cell r="AY150">
            <v>0</v>
          </cell>
          <cell r="BB150">
            <v>0</v>
          </cell>
          <cell r="BC150">
            <v>0</v>
          </cell>
          <cell r="BF150">
            <v>0</v>
          </cell>
          <cell r="BG150">
            <v>0</v>
          </cell>
          <cell r="BJ150">
            <v>0</v>
          </cell>
          <cell r="BK150">
            <v>0</v>
          </cell>
          <cell r="BN150">
            <v>0</v>
          </cell>
          <cell r="BO150">
            <v>0</v>
          </cell>
          <cell r="BP150">
            <v>0</v>
          </cell>
          <cell r="BQ150">
            <v>0</v>
          </cell>
          <cell r="BR150">
            <v>0</v>
          </cell>
          <cell r="BS150">
            <v>0</v>
          </cell>
          <cell r="BT150">
            <v>0</v>
          </cell>
        </row>
        <row r="151">
          <cell r="B151" t="str">
            <v>||</v>
          </cell>
          <cell r="E151">
            <v>0</v>
          </cell>
          <cell r="F151">
            <v>0</v>
          </cell>
          <cell r="I151">
            <v>0</v>
          </cell>
          <cell r="J151">
            <v>0</v>
          </cell>
          <cell r="M151">
            <v>0</v>
          </cell>
          <cell r="N151">
            <v>0</v>
          </cell>
          <cell r="Q151">
            <v>0</v>
          </cell>
          <cell r="R151">
            <v>0</v>
          </cell>
          <cell r="U151">
            <v>0</v>
          </cell>
          <cell r="V151">
            <v>0</v>
          </cell>
          <cell r="W151">
            <v>0</v>
          </cell>
          <cell r="X151">
            <v>0</v>
          </cell>
          <cell r="Y151">
            <v>0</v>
          </cell>
          <cell r="Z151">
            <v>0</v>
          </cell>
          <cell r="AA151">
            <v>0</v>
          </cell>
          <cell r="AD151">
            <v>0</v>
          </cell>
          <cell r="AE151">
            <v>0</v>
          </cell>
          <cell r="AH151">
            <v>0</v>
          </cell>
          <cell r="AI151">
            <v>0</v>
          </cell>
          <cell r="AL151">
            <v>0</v>
          </cell>
          <cell r="AM151">
            <v>0</v>
          </cell>
          <cell r="AP151">
            <v>0</v>
          </cell>
          <cell r="AQ151">
            <v>0</v>
          </cell>
          <cell r="AT151">
            <v>0</v>
          </cell>
          <cell r="AU151">
            <v>0</v>
          </cell>
          <cell r="AX151">
            <v>0</v>
          </cell>
          <cell r="AY151">
            <v>0</v>
          </cell>
          <cell r="BB151">
            <v>0</v>
          </cell>
          <cell r="BC151">
            <v>0</v>
          </cell>
          <cell r="BF151">
            <v>0</v>
          </cell>
          <cell r="BG151">
            <v>0</v>
          </cell>
          <cell r="BJ151">
            <v>0</v>
          </cell>
          <cell r="BK151">
            <v>0</v>
          </cell>
          <cell r="BN151">
            <v>0</v>
          </cell>
          <cell r="BO151">
            <v>0</v>
          </cell>
          <cell r="BP151">
            <v>0</v>
          </cell>
          <cell r="BQ151">
            <v>0</v>
          </cell>
          <cell r="BR151">
            <v>0</v>
          </cell>
          <cell r="BS151">
            <v>0</v>
          </cell>
          <cell r="BT151">
            <v>0</v>
          </cell>
        </row>
        <row r="152">
          <cell r="B152" t="str">
            <v>||</v>
          </cell>
          <cell r="W152">
            <v>0</v>
          </cell>
          <cell r="X152">
            <v>0</v>
          </cell>
          <cell r="Y152">
            <v>0</v>
          </cell>
          <cell r="Z152">
            <v>0</v>
          </cell>
          <cell r="AA152">
            <v>0</v>
          </cell>
          <cell r="BP152">
            <v>0</v>
          </cell>
          <cell r="BQ152">
            <v>0</v>
          </cell>
          <cell r="BR152">
            <v>0</v>
          </cell>
          <cell r="BS152">
            <v>0</v>
          </cell>
          <cell r="BT152">
            <v>0</v>
          </cell>
        </row>
        <row r="153">
          <cell r="B153" t="str">
            <v>||</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row>
        <row r="154">
          <cell r="B154" t="str">
            <v>||</v>
          </cell>
        </row>
        <row r="155">
          <cell r="B155" t="str">
            <v>||</v>
          </cell>
        </row>
        <row r="156">
          <cell r="B156" t="str">
            <v>||</v>
          </cell>
          <cell r="E156">
            <v>0</v>
          </cell>
          <cell r="F156">
            <v>0</v>
          </cell>
          <cell r="I156">
            <v>0</v>
          </cell>
          <cell r="J156">
            <v>0</v>
          </cell>
          <cell r="M156">
            <v>0</v>
          </cell>
          <cell r="N156">
            <v>0</v>
          </cell>
          <cell r="Q156">
            <v>0</v>
          </cell>
          <cell r="R156">
            <v>0</v>
          </cell>
          <cell r="U156">
            <v>0</v>
          </cell>
          <cell r="V156">
            <v>0</v>
          </cell>
          <cell r="W156">
            <v>0</v>
          </cell>
          <cell r="X156">
            <v>0</v>
          </cell>
          <cell r="Y156">
            <v>0</v>
          </cell>
          <cell r="Z156">
            <v>0</v>
          </cell>
          <cell r="AA156">
            <v>0</v>
          </cell>
          <cell r="AD156">
            <v>0</v>
          </cell>
          <cell r="AE156">
            <v>0</v>
          </cell>
          <cell r="AH156">
            <v>0</v>
          </cell>
          <cell r="AI156">
            <v>0</v>
          </cell>
          <cell r="AL156">
            <v>0</v>
          </cell>
          <cell r="AM156">
            <v>0</v>
          </cell>
          <cell r="AP156">
            <v>0</v>
          </cell>
          <cell r="AQ156">
            <v>0</v>
          </cell>
          <cell r="AT156">
            <v>0</v>
          </cell>
          <cell r="AU156">
            <v>0</v>
          </cell>
          <cell r="AX156">
            <v>0</v>
          </cell>
          <cell r="AY156">
            <v>0</v>
          </cell>
          <cell r="BB156">
            <v>0</v>
          </cell>
          <cell r="BC156">
            <v>0</v>
          </cell>
          <cell r="BF156">
            <v>0</v>
          </cell>
          <cell r="BG156">
            <v>0</v>
          </cell>
          <cell r="BJ156">
            <v>0</v>
          </cell>
          <cell r="BK156">
            <v>0</v>
          </cell>
          <cell r="BN156">
            <v>0</v>
          </cell>
          <cell r="BO156">
            <v>0</v>
          </cell>
          <cell r="BP156">
            <v>0</v>
          </cell>
          <cell r="BQ156">
            <v>0</v>
          </cell>
          <cell r="BR156">
            <v>0</v>
          </cell>
          <cell r="BS156">
            <v>0</v>
          </cell>
          <cell r="BT156">
            <v>0</v>
          </cell>
        </row>
        <row r="157">
          <cell r="B157" t="str">
            <v>||</v>
          </cell>
          <cell r="E157">
            <v>0</v>
          </cell>
          <cell r="F157">
            <v>0</v>
          </cell>
          <cell r="I157">
            <v>0</v>
          </cell>
          <cell r="J157">
            <v>0</v>
          </cell>
          <cell r="M157">
            <v>0</v>
          </cell>
          <cell r="N157">
            <v>0</v>
          </cell>
          <cell r="Q157">
            <v>0</v>
          </cell>
          <cell r="R157">
            <v>0</v>
          </cell>
          <cell r="U157">
            <v>0</v>
          </cell>
          <cell r="V157">
            <v>0</v>
          </cell>
          <cell r="W157">
            <v>0</v>
          </cell>
          <cell r="X157">
            <v>0</v>
          </cell>
          <cell r="Y157">
            <v>0</v>
          </cell>
          <cell r="Z157">
            <v>0</v>
          </cell>
          <cell r="AA157">
            <v>0</v>
          </cell>
          <cell r="AD157">
            <v>0</v>
          </cell>
          <cell r="AE157">
            <v>0</v>
          </cell>
          <cell r="AH157">
            <v>0</v>
          </cell>
          <cell r="AI157">
            <v>0</v>
          </cell>
          <cell r="AL157">
            <v>0</v>
          </cell>
          <cell r="AM157">
            <v>0</v>
          </cell>
          <cell r="AP157">
            <v>0</v>
          </cell>
          <cell r="AQ157">
            <v>0</v>
          </cell>
          <cell r="AT157">
            <v>0</v>
          </cell>
          <cell r="AU157">
            <v>0</v>
          </cell>
          <cell r="AX157">
            <v>0</v>
          </cell>
          <cell r="AY157">
            <v>0</v>
          </cell>
          <cell r="BB157">
            <v>0</v>
          </cell>
          <cell r="BC157">
            <v>0</v>
          </cell>
          <cell r="BF157">
            <v>0</v>
          </cell>
          <cell r="BG157">
            <v>0</v>
          </cell>
          <cell r="BJ157">
            <v>0</v>
          </cell>
          <cell r="BK157">
            <v>0</v>
          </cell>
          <cell r="BN157">
            <v>0</v>
          </cell>
          <cell r="BO157">
            <v>0</v>
          </cell>
          <cell r="BP157">
            <v>0</v>
          </cell>
          <cell r="BQ157">
            <v>0</v>
          </cell>
          <cell r="BR157">
            <v>0</v>
          </cell>
          <cell r="BS157">
            <v>0</v>
          </cell>
          <cell r="BT157">
            <v>0</v>
          </cell>
        </row>
        <row r="158">
          <cell r="B158" t="str">
            <v>||</v>
          </cell>
          <cell r="E158">
            <v>0</v>
          </cell>
          <cell r="F158">
            <v>0</v>
          </cell>
          <cell r="I158">
            <v>0</v>
          </cell>
          <cell r="J158">
            <v>0</v>
          </cell>
          <cell r="M158">
            <v>0</v>
          </cell>
          <cell r="N158">
            <v>0</v>
          </cell>
          <cell r="Q158">
            <v>0</v>
          </cell>
          <cell r="R158">
            <v>0</v>
          </cell>
          <cell r="U158">
            <v>0</v>
          </cell>
          <cell r="V158">
            <v>0</v>
          </cell>
          <cell r="W158">
            <v>0</v>
          </cell>
          <cell r="X158">
            <v>0</v>
          </cell>
          <cell r="Y158">
            <v>0</v>
          </cell>
          <cell r="Z158">
            <v>0</v>
          </cell>
          <cell r="AA158">
            <v>0</v>
          </cell>
          <cell r="AD158">
            <v>0</v>
          </cell>
          <cell r="AE158">
            <v>0</v>
          </cell>
          <cell r="AH158">
            <v>0</v>
          </cell>
          <cell r="AI158">
            <v>0</v>
          </cell>
          <cell r="AL158">
            <v>0</v>
          </cell>
          <cell r="AM158">
            <v>0</v>
          </cell>
          <cell r="AP158">
            <v>0</v>
          </cell>
          <cell r="AQ158">
            <v>0</v>
          </cell>
          <cell r="AT158">
            <v>0</v>
          </cell>
          <cell r="AU158">
            <v>0</v>
          </cell>
          <cell r="AX158">
            <v>0</v>
          </cell>
          <cell r="AY158">
            <v>0</v>
          </cell>
          <cell r="BB158">
            <v>0</v>
          </cell>
          <cell r="BC158">
            <v>0</v>
          </cell>
          <cell r="BF158">
            <v>0</v>
          </cell>
          <cell r="BG158">
            <v>0</v>
          </cell>
          <cell r="BJ158">
            <v>0</v>
          </cell>
          <cell r="BK158">
            <v>0</v>
          </cell>
          <cell r="BN158">
            <v>0</v>
          </cell>
          <cell r="BO158">
            <v>0</v>
          </cell>
          <cell r="BP158">
            <v>0</v>
          </cell>
          <cell r="BQ158">
            <v>0</v>
          </cell>
          <cell r="BR158">
            <v>0</v>
          </cell>
          <cell r="BS158">
            <v>0</v>
          </cell>
          <cell r="BT158">
            <v>0</v>
          </cell>
        </row>
        <row r="159">
          <cell r="B159" t="str">
            <v>||</v>
          </cell>
          <cell r="W159">
            <v>0</v>
          </cell>
          <cell r="X159">
            <v>0</v>
          </cell>
          <cell r="Y159">
            <v>0</v>
          </cell>
          <cell r="Z159">
            <v>0</v>
          </cell>
          <cell r="AA159">
            <v>0</v>
          </cell>
          <cell r="BP159">
            <v>0</v>
          </cell>
          <cell r="BQ159">
            <v>0</v>
          </cell>
          <cell r="BR159">
            <v>0</v>
          </cell>
          <cell r="BS159">
            <v>0</v>
          </cell>
          <cell r="BT159">
            <v>0</v>
          </cell>
        </row>
        <row r="160">
          <cell r="B160" t="str">
            <v>||</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row>
        <row r="161">
          <cell r="B161" t="str">
            <v>||</v>
          </cell>
        </row>
        <row r="162">
          <cell r="B162" t="str">
            <v>||</v>
          </cell>
        </row>
        <row r="163">
          <cell r="B163" t="str">
            <v>||</v>
          </cell>
          <cell r="E163">
            <v>0</v>
          </cell>
          <cell r="F163">
            <v>0</v>
          </cell>
          <cell r="I163">
            <v>0</v>
          </cell>
          <cell r="J163">
            <v>0</v>
          </cell>
          <cell r="M163">
            <v>0</v>
          </cell>
          <cell r="N163">
            <v>0</v>
          </cell>
          <cell r="Q163">
            <v>0</v>
          </cell>
          <cell r="R163">
            <v>0</v>
          </cell>
          <cell r="U163">
            <v>0</v>
          </cell>
          <cell r="V163">
            <v>0</v>
          </cell>
          <cell r="W163">
            <v>0</v>
          </cell>
          <cell r="X163">
            <v>0</v>
          </cell>
          <cell r="Y163">
            <v>0</v>
          </cell>
          <cell r="Z163">
            <v>0</v>
          </cell>
          <cell r="AA163">
            <v>0</v>
          </cell>
          <cell r="AD163">
            <v>0</v>
          </cell>
          <cell r="AE163">
            <v>0</v>
          </cell>
          <cell r="AH163">
            <v>0</v>
          </cell>
          <cell r="AI163">
            <v>0</v>
          </cell>
          <cell r="AL163">
            <v>0</v>
          </cell>
          <cell r="AM163">
            <v>0</v>
          </cell>
          <cell r="AP163">
            <v>0</v>
          </cell>
          <cell r="AQ163">
            <v>0</v>
          </cell>
          <cell r="AT163">
            <v>0</v>
          </cell>
          <cell r="AU163">
            <v>0</v>
          </cell>
          <cell r="AX163">
            <v>0</v>
          </cell>
          <cell r="AY163">
            <v>0</v>
          </cell>
          <cell r="BB163">
            <v>0</v>
          </cell>
          <cell r="BC163">
            <v>0</v>
          </cell>
          <cell r="BF163">
            <v>0</v>
          </cell>
          <cell r="BG163">
            <v>0</v>
          </cell>
          <cell r="BJ163">
            <v>0</v>
          </cell>
          <cell r="BK163">
            <v>0</v>
          </cell>
          <cell r="BN163">
            <v>0</v>
          </cell>
          <cell r="BO163">
            <v>0</v>
          </cell>
          <cell r="BP163">
            <v>0</v>
          </cell>
          <cell r="BQ163">
            <v>0</v>
          </cell>
          <cell r="BR163">
            <v>0</v>
          </cell>
          <cell r="BS163">
            <v>0</v>
          </cell>
          <cell r="BT163">
            <v>0</v>
          </cell>
        </row>
        <row r="164">
          <cell r="B164" t="str">
            <v>||</v>
          </cell>
          <cell r="E164">
            <v>0</v>
          </cell>
          <cell r="F164">
            <v>0</v>
          </cell>
          <cell r="I164">
            <v>0</v>
          </cell>
          <cell r="J164">
            <v>0</v>
          </cell>
          <cell r="M164">
            <v>0</v>
          </cell>
          <cell r="N164">
            <v>0</v>
          </cell>
          <cell r="Q164">
            <v>0</v>
          </cell>
          <cell r="R164">
            <v>0</v>
          </cell>
          <cell r="U164">
            <v>0</v>
          </cell>
          <cell r="V164">
            <v>0</v>
          </cell>
          <cell r="W164">
            <v>0</v>
          </cell>
          <cell r="X164">
            <v>0</v>
          </cell>
          <cell r="Y164">
            <v>0</v>
          </cell>
          <cell r="Z164">
            <v>0</v>
          </cell>
          <cell r="AA164">
            <v>0</v>
          </cell>
          <cell r="AD164">
            <v>0</v>
          </cell>
          <cell r="AE164">
            <v>0</v>
          </cell>
          <cell r="AH164">
            <v>0</v>
          </cell>
          <cell r="AI164">
            <v>0</v>
          </cell>
          <cell r="AL164">
            <v>0</v>
          </cell>
          <cell r="AM164">
            <v>0</v>
          </cell>
          <cell r="AP164">
            <v>0</v>
          </cell>
          <cell r="AQ164">
            <v>0</v>
          </cell>
          <cell r="AT164">
            <v>0</v>
          </cell>
          <cell r="AU164">
            <v>0</v>
          </cell>
          <cell r="AX164">
            <v>0</v>
          </cell>
          <cell r="AY164">
            <v>0</v>
          </cell>
          <cell r="BB164">
            <v>0</v>
          </cell>
          <cell r="BC164">
            <v>0</v>
          </cell>
          <cell r="BF164">
            <v>0</v>
          </cell>
          <cell r="BG164">
            <v>0</v>
          </cell>
          <cell r="BJ164">
            <v>0</v>
          </cell>
          <cell r="BK164">
            <v>0</v>
          </cell>
          <cell r="BN164">
            <v>0</v>
          </cell>
          <cell r="BO164">
            <v>0</v>
          </cell>
          <cell r="BP164">
            <v>0</v>
          </cell>
          <cell r="BQ164">
            <v>0</v>
          </cell>
          <cell r="BR164">
            <v>0</v>
          </cell>
          <cell r="BS164">
            <v>0</v>
          </cell>
          <cell r="BT164">
            <v>0</v>
          </cell>
        </row>
        <row r="165">
          <cell r="B165" t="str">
            <v>||</v>
          </cell>
          <cell r="E165">
            <v>0</v>
          </cell>
          <cell r="F165">
            <v>0</v>
          </cell>
          <cell r="I165">
            <v>0</v>
          </cell>
          <cell r="J165">
            <v>0</v>
          </cell>
          <cell r="M165">
            <v>0</v>
          </cell>
          <cell r="N165">
            <v>0</v>
          </cell>
          <cell r="Q165">
            <v>0</v>
          </cell>
          <cell r="R165">
            <v>0</v>
          </cell>
          <cell r="U165">
            <v>0</v>
          </cell>
          <cell r="V165">
            <v>0</v>
          </cell>
          <cell r="W165">
            <v>0</v>
          </cell>
          <cell r="X165">
            <v>0</v>
          </cell>
          <cell r="Y165">
            <v>0</v>
          </cell>
          <cell r="Z165">
            <v>0</v>
          </cell>
          <cell r="AA165">
            <v>0</v>
          </cell>
          <cell r="AD165">
            <v>0</v>
          </cell>
          <cell r="AE165">
            <v>0</v>
          </cell>
          <cell r="AH165">
            <v>0</v>
          </cell>
          <cell r="AI165">
            <v>0</v>
          </cell>
          <cell r="AL165">
            <v>0</v>
          </cell>
          <cell r="AM165">
            <v>0</v>
          </cell>
          <cell r="AP165">
            <v>0</v>
          </cell>
          <cell r="AQ165">
            <v>0</v>
          </cell>
          <cell r="AT165">
            <v>0</v>
          </cell>
          <cell r="AU165">
            <v>0</v>
          </cell>
          <cell r="AX165">
            <v>0</v>
          </cell>
          <cell r="AY165">
            <v>0</v>
          </cell>
          <cell r="BB165">
            <v>0</v>
          </cell>
          <cell r="BC165">
            <v>0</v>
          </cell>
          <cell r="BF165">
            <v>0</v>
          </cell>
          <cell r="BG165">
            <v>0</v>
          </cell>
          <cell r="BJ165">
            <v>0</v>
          </cell>
          <cell r="BK165">
            <v>0</v>
          </cell>
          <cell r="BN165">
            <v>0</v>
          </cell>
          <cell r="BO165">
            <v>0</v>
          </cell>
          <cell r="BP165">
            <v>0</v>
          </cell>
          <cell r="BQ165">
            <v>0</v>
          </cell>
          <cell r="BR165">
            <v>0</v>
          </cell>
          <cell r="BS165">
            <v>0</v>
          </cell>
          <cell r="BT165">
            <v>0</v>
          </cell>
        </row>
        <row r="166">
          <cell r="B166" t="str">
            <v>||</v>
          </cell>
          <cell r="W166">
            <v>0</v>
          </cell>
          <cell r="X166">
            <v>0</v>
          </cell>
          <cell r="Y166">
            <v>0</v>
          </cell>
          <cell r="Z166">
            <v>0</v>
          </cell>
          <cell r="AA166">
            <v>0</v>
          </cell>
          <cell r="BP166">
            <v>0</v>
          </cell>
          <cell r="BQ166">
            <v>0</v>
          </cell>
          <cell r="BR166">
            <v>0</v>
          </cell>
          <cell r="BS166">
            <v>0</v>
          </cell>
          <cell r="BT166">
            <v>0</v>
          </cell>
        </row>
        <row r="167">
          <cell r="B167" t="str">
            <v>||</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row>
        <row r="168">
          <cell r="B168" t="str">
            <v>||</v>
          </cell>
        </row>
        <row r="169">
          <cell r="C169">
            <v>0</v>
          </cell>
          <cell r="D169">
            <v>0</v>
          </cell>
          <cell r="E169">
            <v>40254</v>
          </cell>
          <cell r="F169" t="e">
            <v>#REF!</v>
          </cell>
          <cell r="G169">
            <v>0</v>
          </cell>
          <cell r="H169">
            <v>0</v>
          </cell>
          <cell r="I169">
            <v>126276</v>
          </cell>
          <cell r="J169" t="e">
            <v>#REF!</v>
          </cell>
          <cell r="K169">
            <v>0</v>
          </cell>
          <cell r="L169">
            <v>0</v>
          </cell>
          <cell r="M169">
            <v>1000802</v>
          </cell>
          <cell r="N169" t="e">
            <v>#REF!</v>
          </cell>
          <cell r="O169">
            <v>0</v>
          </cell>
          <cell r="P169">
            <v>0</v>
          </cell>
          <cell r="Q169">
            <v>2658832</v>
          </cell>
          <cell r="R169" t="e">
            <v>#REF!</v>
          </cell>
          <cell r="S169">
            <v>0</v>
          </cell>
          <cell r="T169">
            <v>0</v>
          </cell>
          <cell r="U169">
            <v>6747984</v>
          </cell>
          <cell r="V169" t="e">
            <v>#REF!</v>
          </cell>
          <cell r="W169">
            <v>0</v>
          </cell>
          <cell r="X169">
            <v>0</v>
          </cell>
          <cell r="Y169">
            <v>10574148</v>
          </cell>
          <cell r="Z169" t="e">
            <v>#REF!</v>
          </cell>
          <cell r="AA169" t="e">
            <v>#REF!</v>
          </cell>
          <cell r="AB169">
            <v>1</v>
          </cell>
          <cell r="AC169">
            <v>0</v>
          </cell>
          <cell r="AD169">
            <v>7763918</v>
          </cell>
          <cell r="AE169" t="e">
            <v>#REF!</v>
          </cell>
          <cell r="AF169">
            <v>1</v>
          </cell>
          <cell r="AG169">
            <v>0</v>
          </cell>
          <cell r="AH169">
            <v>7460111.5279999999</v>
          </cell>
          <cell r="AI169" t="e">
            <v>#REF!</v>
          </cell>
          <cell r="AJ169">
            <v>1</v>
          </cell>
          <cell r="AK169">
            <v>0</v>
          </cell>
          <cell r="AL169">
            <v>11636586.952</v>
          </cell>
          <cell r="AM169" t="e">
            <v>#REF!</v>
          </cell>
          <cell r="AN169">
            <v>1</v>
          </cell>
          <cell r="AO169">
            <v>0</v>
          </cell>
          <cell r="AP169">
            <v>14229232.507999999</v>
          </cell>
          <cell r="AQ169" t="e">
            <v>#REF!</v>
          </cell>
          <cell r="AR169">
            <v>1</v>
          </cell>
          <cell r="AS169">
            <v>0</v>
          </cell>
          <cell r="AT169">
            <v>18831463.770000003</v>
          </cell>
          <cell r="AU169" t="e">
            <v>#REF!</v>
          </cell>
          <cell r="AV169">
            <v>1</v>
          </cell>
          <cell r="AW169">
            <v>0</v>
          </cell>
          <cell r="AX169">
            <v>27805888.287</v>
          </cell>
          <cell r="AY169" t="e">
            <v>#REF!</v>
          </cell>
          <cell r="AZ169">
            <v>1</v>
          </cell>
          <cell r="BA169">
            <v>0</v>
          </cell>
          <cell r="BB169">
            <v>62907349.734499998</v>
          </cell>
          <cell r="BC169" t="e">
            <v>#REF!</v>
          </cell>
          <cell r="BD169">
            <v>0</v>
          </cell>
          <cell r="BE169">
            <v>0</v>
          </cell>
          <cell r="BF169">
            <v>63789550.352494754</v>
          </cell>
          <cell r="BG169" t="e">
            <v>#REF!</v>
          </cell>
          <cell r="BH169">
            <v>0</v>
          </cell>
          <cell r="BI169">
            <v>0</v>
          </cell>
          <cell r="BJ169">
            <v>122806905.5941</v>
          </cell>
          <cell r="BK169" t="e">
            <v>#REF!</v>
          </cell>
          <cell r="BL169">
            <v>0</v>
          </cell>
          <cell r="BM169">
            <v>0</v>
          </cell>
          <cell r="BN169">
            <v>144338118.61810005</v>
          </cell>
          <cell r="BO169" t="e">
            <v>#REF!</v>
          </cell>
          <cell r="BP169">
            <v>7</v>
          </cell>
          <cell r="BQ169">
            <v>0</v>
          </cell>
          <cell r="BR169">
            <v>481569125.34419477</v>
          </cell>
          <cell r="BS169" t="e">
            <v>#REF!</v>
          </cell>
          <cell r="BT169" t="e">
            <v>#REF!</v>
          </cell>
        </row>
        <row r="170">
          <cell r="C170" t="e">
            <v>#REF!</v>
          </cell>
          <cell r="G170" t="e">
            <v>#REF!</v>
          </cell>
          <cell r="K170" t="e">
            <v>#REF!</v>
          </cell>
          <cell r="O170" t="e">
            <v>#REF!</v>
          </cell>
          <cell r="S170" t="e">
            <v>#REF!</v>
          </cell>
          <cell r="AB170" t="e">
            <v>#REF!</v>
          </cell>
          <cell r="AF170" t="e">
            <v>#REF!</v>
          </cell>
          <cell r="AJ170" t="e">
            <v>#REF!</v>
          </cell>
          <cell r="AN170" t="e">
            <v>#REF!</v>
          </cell>
          <cell r="AR170" t="e">
            <v>#REF!</v>
          </cell>
          <cell r="AV170" t="e">
            <v>#REF!</v>
          </cell>
          <cell r="AZ170" t="e">
            <v>#REF!</v>
          </cell>
        </row>
      </sheetData>
      <sheetData sheetId="13" refreshError="1">
        <row r="193">
          <cell r="E193" t="e">
            <v>#REF!</v>
          </cell>
        </row>
      </sheetData>
      <sheetData sheetId="14"/>
      <sheetData sheetId="15"/>
      <sheetData sheetId="16" refreshError="1">
        <row r="118">
          <cell r="D118">
            <v>1984</v>
          </cell>
          <cell r="E118">
            <v>1985</v>
          </cell>
          <cell r="F118">
            <v>1986</v>
          </cell>
          <cell r="G118">
            <v>1987</v>
          </cell>
          <cell r="H118">
            <v>1988</v>
          </cell>
          <cell r="I118">
            <v>1989</v>
          </cell>
          <cell r="J118">
            <v>1990</v>
          </cell>
          <cell r="K118">
            <v>1991</v>
          </cell>
          <cell r="L118">
            <v>1992</v>
          </cell>
          <cell r="M118">
            <v>1993</v>
          </cell>
          <cell r="N118">
            <v>1994</v>
          </cell>
          <cell r="O118">
            <v>1995</v>
          </cell>
          <cell r="P118">
            <v>1996</v>
          </cell>
          <cell r="Q118">
            <v>1997</v>
          </cell>
          <cell r="R118">
            <v>1998</v>
          </cell>
        </row>
        <row r="119">
          <cell r="C119" t="str">
            <v>&lt;&lt;California Phase II QRE Findings&gt;&gt;</v>
          </cell>
          <cell r="D119">
            <v>11087</v>
          </cell>
          <cell r="E119">
            <v>50015</v>
          </cell>
          <cell r="F119">
            <v>323590</v>
          </cell>
          <cell r="G119">
            <v>899647</v>
          </cell>
          <cell r="H119">
            <v>2067727</v>
          </cell>
          <cell r="I119">
            <v>2741619</v>
          </cell>
          <cell r="J119">
            <v>2299558.0019999999</v>
          </cell>
          <cell r="K119">
            <v>3542463.7879999997</v>
          </cell>
          <cell r="L119">
            <v>5126210.5599999996</v>
          </cell>
          <cell r="M119">
            <v>7134127.5369999995</v>
          </cell>
          <cell r="N119">
            <v>9257454.4570000004</v>
          </cell>
          <cell r="O119">
            <v>17917881</v>
          </cell>
          <cell r="P119">
            <v>29938649</v>
          </cell>
          <cell r="Q119">
            <v>50930323</v>
          </cell>
          <cell r="R119">
            <v>49405882</v>
          </cell>
        </row>
        <row r="120">
          <cell r="C120" t="e">
            <v>#REF!</v>
          </cell>
          <cell r="D120" t="e">
            <v>#REF!</v>
          </cell>
          <cell r="E120" t="e">
            <v>#REF!</v>
          </cell>
          <cell r="F120" t="e">
            <v>#REF!</v>
          </cell>
          <cell r="G120" t="e">
            <v>#REF!</v>
          </cell>
          <cell r="H120" t="e">
            <v>#REF!</v>
          </cell>
          <cell r="I120" t="e">
            <v>#REF!</v>
          </cell>
          <cell r="J120" t="e">
            <v>#REF!</v>
          </cell>
          <cell r="K120" t="e">
            <v>#REF!</v>
          </cell>
          <cell r="L120" t="e">
            <v>#REF!</v>
          </cell>
          <cell r="M120" t="e">
            <v>#REF!</v>
          </cell>
          <cell r="N120" t="e">
            <v>#REF!</v>
          </cell>
          <cell r="O120" t="e">
            <v>#REF!</v>
          </cell>
          <cell r="P120" t="e">
            <v>#REF!</v>
          </cell>
          <cell r="Q120" t="e">
            <v>#REF!</v>
          </cell>
          <cell r="R120" t="e">
            <v>#REF!</v>
          </cell>
        </row>
        <row r="121">
          <cell r="C121"/>
          <cell r="D121"/>
          <cell r="E121"/>
          <cell r="F121"/>
          <cell r="G121"/>
          <cell r="H121"/>
          <cell r="I121"/>
          <cell r="J121"/>
          <cell r="K121"/>
          <cell r="L121"/>
          <cell r="M121"/>
          <cell r="N121"/>
          <cell r="O121"/>
          <cell r="P121"/>
          <cell r="Q121"/>
          <cell r="R121"/>
        </row>
        <row r="122">
          <cell r="C122"/>
          <cell r="D122"/>
          <cell r="E122"/>
          <cell r="F122"/>
          <cell r="G122"/>
          <cell r="H122"/>
          <cell r="I122"/>
          <cell r="J122"/>
          <cell r="K122"/>
          <cell r="L122"/>
          <cell r="M122"/>
          <cell r="N122"/>
          <cell r="O122"/>
          <cell r="P122"/>
          <cell r="Q122"/>
          <cell r="R122"/>
        </row>
        <row r="123">
          <cell r="C123"/>
          <cell r="D123"/>
          <cell r="E123"/>
          <cell r="F123"/>
          <cell r="G123"/>
          <cell r="H123"/>
          <cell r="I123"/>
          <cell r="J123"/>
          <cell r="K123"/>
          <cell r="L123"/>
          <cell r="M123"/>
          <cell r="N123"/>
          <cell r="O123"/>
          <cell r="P123"/>
          <cell r="Q123"/>
          <cell r="R123"/>
        </row>
        <row r="124">
          <cell r="C124"/>
          <cell r="D124"/>
          <cell r="E124"/>
          <cell r="F124"/>
          <cell r="G124"/>
          <cell r="H124"/>
          <cell r="I124"/>
          <cell r="J124"/>
          <cell r="K124"/>
          <cell r="L124"/>
          <cell r="M124"/>
          <cell r="N124"/>
          <cell r="O124"/>
          <cell r="P124"/>
          <cell r="Q124"/>
          <cell r="R124"/>
        </row>
        <row r="125">
          <cell r="C125"/>
          <cell r="D125"/>
          <cell r="E125"/>
          <cell r="F125"/>
          <cell r="G125"/>
          <cell r="H125"/>
          <cell r="I125"/>
          <cell r="J125"/>
          <cell r="K125"/>
          <cell r="L125"/>
          <cell r="M125"/>
          <cell r="N125"/>
          <cell r="O125"/>
          <cell r="P125"/>
          <cell r="Q125"/>
          <cell r="R125"/>
        </row>
        <row r="126">
          <cell r="C126"/>
          <cell r="D126"/>
          <cell r="E126"/>
          <cell r="F126"/>
          <cell r="G126"/>
          <cell r="H126"/>
          <cell r="I126"/>
          <cell r="J126"/>
          <cell r="K126"/>
          <cell r="L126"/>
          <cell r="M126"/>
          <cell r="N126"/>
          <cell r="O126"/>
          <cell r="P126"/>
          <cell r="Q126"/>
          <cell r="R126"/>
        </row>
        <row r="127">
          <cell r="C127"/>
          <cell r="D127"/>
          <cell r="E127"/>
          <cell r="F127"/>
          <cell r="G127"/>
          <cell r="H127"/>
          <cell r="I127"/>
          <cell r="J127"/>
          <cell r="K127"/>
          <cell r="L127"/>
          <cell r="M127"/>
          <cell r="N127"/>
          <cell r="O127"/>
          <cell r="P127"/>
          <cell r="Q127"/>
          <cell r="R127"/>
        </row>
        <row r="128">
          <cell r="C128"/>
          <cell r="D128"/>
          <cell r="E128"/>
          <cell r="F128"/>
          <cell r="G128"/>
          <cell r="H128"/>
          <cell r="I128"/>
          <cell r="J128"/>
          <cell r="K128"/>
          <cell r="L128"/>
          <cell r="M128"/>
          <cell r="N128"/>
          <cell r="O128"/>
          <cell r="P128"/>
          <cell r="Q128"/>
          <cell r="R128"/>
        </row>
        <row r="129">
          <cell r="C129"/>
          <cell r="D129"/>
          <cell r="E129"/>
          <cell r="F129"/>
          <cell r="G129"/>
          <cell r="H129"/>
          <cell r="I129"/>
          <cell r="J129"/>
          <cell r="K129"/>
          <cell r="L129"/>
          <cell r="M129"/>
          <cell r="N129"/>
          <cell r="O129"/>
          <cell r="P129"/>
          <cell r="Q129"/>
          <cell r="R129"/>
        </row>
        <row r="130">
          <cell r="C130"/>
          <cell r="D130"/>
          <cell r="E130"/>
          <cell r="F130"/>
          <cell r="G130"/>
          <cell r="H130"/>
          <cell r="I130"/>
          <cell r="J130"/>
          <cell r="K130"/>
          <cell r="L130"/>
          <cell r="M130"/>
          <cell r="N130"/>
          <cell r="O130"/>
          <cell r="P130"/>
          <cell r="Q130"/>
          <cell r="R130"/>
        </row>
        <row r="131">
          <cell r="C131"/>
          <cell r="D131"/>
          <cell r="E131"/>
          <cell r="F131"/>
          <cell r="G131"/>
          <cell r="H131"/>
          <cell r="I131"/>
          <cell r="J131"/>
          <cell r="K131"/>
          <cell r="L131"/>
          <cell r="M131"/>
          <cell r="N131"/>
          <cell r="O131"/>
          <cell r="P131"/>
          <cell r="Q131"/>
          <cell r="R131"/>
        </row>
        <row r="132">
          <cell r="C132"/>
          <cell r="D132"/>
          <cell r="E132"/>
          <cell r="F132"/>
          <cell r="G132"/>
          <cell r="H132"/>
          <cell r="I132"/>
          <cell r="J132"/>
          <cell r="K132"/>
          <cell r="L132"/>
          <cell r="M132"/>
          <cell r="N132"/>
          <cell r="O132"/>
          <cell r="P132"/>
          <cell r="Q132"/>
          <cell r="R132"/>
        </row>
        <row r="133">
          <cell r="C133"/>
          <cell r="D133"/>
          <cell r="E133"/>
          <cell r="F133"/>
          <cell r="G133"/>
          <cell r="H133"/>
          <cell r="I133"/>
          <cell r="J133"/>
          <cell r="K133"/>
          <cell r="L133"/>
          <cell r="M133"/>
          <cell r="N133"/>
          <cell r="O133"/>
          <cell r="P133"/>
          <cell r="Q133"/>
          <cell r="R133"/>
        </row>
        <row r="134">
          <cell r="C134"/>
          <cell r="D134"/>
          <cell r="E134"/>
          <cell r="F134"/>
          <cell r="G134"/>
          <cell r="H134"/>
          <cell r="I134"/>
          <cell r="J134"/>
          <cell r="K134"/>
          <cell r="L134"/>
          <cell r="M134"/>
          <cell r="N134"/>
          <cell r="O134"/>
          <cell r="P134"/>
          <cell r="Q134"/>
          <cell r="R134"/>
        </row>
        <row r="135">
          <cell r="C135"/>
          <cell r="D135"/>
          <cell r="E135"/>
          <cell r="F135"/>
          <cell r="G135"/>
          <cell r="H135"/>
          <cell r="I135"/>
          <cell r="J135"/>
          <cell r="K135"/>
          <cell r="L135"/>
          <cell r="M135"/>
          <cell r="N135"/>
          <cell r="O135"/>
          <cell r="P135"/>
          <cell r="Q135"/>
          <cell r="R135"/>
        </row>
        <row r="136">
          <cell r="C136"/>
          <cell r="D136"/>
          <cell r="E136"/>
          <cell r="F136"/>
          <cell r="G136"/>
          <cell r="H136"/>
          <cell r="I136"/>
          <cell r="J136"/>
          <cell r="K136"/>
          <cell r="L136"/>
          <cell r="M136"/>
          <cell r="N136"/>
          <cell r="O136"/>
          <cell r="P136"/>
          <cell r="Q136"/>
          <cell r="R136"/>
        </row>
        <row r="137">
          <cell r="C137"/>
          <cell r="D137"/>
          <cell r="E137"/>
          <cell r="F137"/>
          <cell r="G137"/>
          <cell r="H137"/>
          <cell r="I137"/>
          <cell r="J137"/>
          <cell r="K137"/>
          <cell r="L137"/>
          <cell r="M137"/>
          <cell r="N137"/>
          <cell r="O137"/>
          <cell r="P137"/>
          <cell r="Q137"/>
          <cell r="R137"/>
        </row>
        <row r="138">
          <cell r="C138"/>
          <cell r="D138"/>
          <cell r="E138"/>
          <cell r="F138"/>
          <cell r="G138"/>
          <cell r="H138"/>
          <cell r="I138"/>
          <cell r="J138"/>
          <cell r="K138"/>
          <cell r="L138"/>
          <cell r="M138"/>
          <cell r="N138"/>
          <cell r="O138"/>
          <cell r="P138"/>
          <cell r="Q138"/>
          <cell r="R138"/>
        </row>
        <row r="139">
          <cell r="C139"/>
          <cell r="D139"/>
          <cell r="E139"/>
          <cell r="F139"/>
          <cell r="G139"/>
          <cell r="H139"/>
          <cell r="I139"/>
          <cell r="J139"/>
          <cell r="K139"/>
          <cell r="L139"/>
          <cell r="M139"/>
          <cell r="N139"/>
          <cell r="O139"/>
          <cell r="P139"/>
          <cell r="Q139"/>
          <cell r="R139"/>
        </row>
        <row r="140">
          <cell r="C140"/>
          <cell r="D140"/>
          <cell r="E140"/>
          <cell r="F140"/>
          <cell r="G140"/>
          <cell r="H140"/>
          <cell r="I140"/>
          <cell r="J140"/>
          <cell r="K140"/>
          <cell r="L140"/>
          <cell r="M140"/>
          <cell r="N140"/>
          <cell r="O140"/>
          <cell r="P140"/>
          <cell r="Q140"/>
          <cell r="R140"/>
        </row>
        <row r="141">
          <cell r="C141"/>
          <cell r="D141"/>
          <cell r="E141"/>
          <cell r="F141"/>
          <cell r="G141"/>
          <cell r="H141"/>
          <cell r="I141"/>
          <cell r="J141"/>
          <cell r="K141"/>
          <cell r="L141"/>
          <cell r="M141"/>
          <cell r="N141"/>
          <cell r="O141"/>
          <cell r="P141"/>
          <cell r="Q141"/>
          <cell r="R141"/>
        </row>
      </sheetData>
      <sheetData sheetId="17" refreshError="1">
        <row r="8">
          <cell r="D8">
            <v>1</v>
          </cell>
          <cell r="E8">
            <v>1</v>
          </cell>
          <cell r="F8">
            <v>1</v>
          </cell>
          <cell r="G8">
            <v>1</v>
          </cell>
          <cell r="H8">
            <v>1</v>
          </cell>
          <cell r="I8">
            <v>1</v>
          </cell>
          <cell r="J8">
            <v>1</v>
          </cell>
          <cell r="K8">
            <v>1</v>
          </cell>
          <cell r="L8">
            <v>1</v>
          </cell>
          <cell r="M8">
            <v>1</v>
          </cell>
          <cell r="N8">
            <v>1</v>
          </cell>
          <cell r="O8">
            <v>1</v>
          </cell>
          <cell r="P8">
            <v>1</v>
          </cell>
          <cell r="Q8">
            <v>1</v>
          </cell>
          <cell r="R8">
            <v>1</v>
          </cell>
        </row>
        <row r="9">
          <cell r="D9">
            <v>1</v>
          </cell>
          <cell r="E9">
            <v>1</v>
          </cell>
          <cell r="F9">
            <v>1</v>
          </cell>
          <cell r="G9">
            <v>1</v>
          </cell>
          <cell r="H9">
            <v>1</v>
          </cell>
          <cell r="I9">
            <v>1</v>
          </cell>
          <cell r="J9">
            <v>1</v>
          </cell>
          <cell r="K9">
            <v>1</v>
          </cell>
          <cell r="L9">
            <v>1</v>
          </cell>
          <cell r="M9">
            <v>1</v>
          </cell>
          <cell r="N9">
            <v>1</v>
          </cell>
          <cell r="O9">
            <v>1</v>
          </cell>
          <cell r="P9">
            <v>1</v>
          </cell>
          <cell r="Q9">
            <v>1</v>
          </cell>
          <cell r="R9">
            <v>1</v>
          </cell>
        </row>
        <row r="10">
          <cell r="D10">
            <v>1</v>
          </cell>
          <cell r="E10">
            <v>1</v>
          </cell>
          <cell r="F10">
            <v>1</v>
          </cell>
          <cell r="G10">
            <v>1</v>
          </cell>
          <cell r="H10">
            <v>1</v>
          </cell>
          <cell r="I10">
            <v>1</v>
          </cell>
          <cell r="J10">
            <v>1</v>
          </cell>
          <cell r="K10">
            <v>1</v>
          </cell>
          <cell r="L10">
            <v>1</v>
          </cell>
          <cell r="M10">
            <v>1</v>
          </cell>
          <cell r="N10">
            <v>1</v>
          </cell>
          <cell r="O10">
            <v>1</v>
          </cell>
          <cell r="P10">
            <v>1</v>
          </cell>
          <cell r="Q10">
            <v>1</v>
          </cell>
          <cell r="R10">
            <v>1</v>
          </cell>
        </row>
        <row r="11">
          <cell r="D11">
            <v>1</v>
          </cell>
          <cell r="E11">
            <v>1</v>
          </cell>
          <cell r="F11">
            <v>1</v>
          </cell>
          <cell r="G11">
            <v>1</v>
          </cell>
          <cell r="H11">
            <v>1</v>
          </cell>
          <cell r="I11">
            <v>1</v>
          </cell>
          <cell r="J11">
            <v>1</v>
          </cell>
          <cell r="K11">
            <v>1</v>
          </cell>
          <cell r="L11">
            <v>1</v>
          </cell>
          <cell r="M11">
            <v>1</v>
          </cell>
          <cell r="N11">
            <v>1</v>
          </cell>
          <cell r="O11">
            <v>1</v>
          </cell>
          <cell r="P11">
            <v>1</v>
          </cell>
          <cell r="Q11">
            <v>1</v>
          </cell>
          <cell r="R11">
            <v>1</v>
          </cell>
        </row>
        <row r="12">
          <cell r="D12">
            <v>1</v>
          </cell>
          <cell r="E12">
            <v>1</v>
          </cell>
          <cell r="F12">
            <v>1</v>
          </cell>
          <cell r="G12">
            <v>1</v>
          </cell>
          <cell r="H12">
            <v>1</v>
          </cell>
          <cell r="I12">
            <v>1</v>
          </cell>
          <cell r="J12">
            <v>1</v>
          </cell>
          <cell r="K12">
            <v>1</v>
          </cell>
          <cell r="L12">
            <v>1</v>
          </cell>
          <cell r="M12">
            <v>1</v>
          </cell>
          <cell r="N12">
            <v>1</v>
          </cell>
          <cell r="O12">
            <v>1</v>
          </cell>
          <cell r="P12">
            <v>1</v>
          </cell>
          <cell r="Q12">
            <v>1</v>
          </cell>
          <cell r="R12">
            <v>1</v>
          </cell>
        </row>
        <row r="13">
          <cell r="D13">
            <v>1</v>
          </cell>
          <cell r="E13">
            <v>1</v>
          </cell>
          <cell r="F13">
            <v>1</v>
          </cell>
          <cell r="G13">
            <v>1</v>
          </cell>
          <cell r="H13">
            <v>1</v>
          </cell>
          <cell r="I13">
            <v>1</v>
          </cell>
          <cell r="J13">
            <v>1</v>
          </cell>
          <cell r="K13">
            <v>1</v>
          </cell>
          <cell r="L13">
            <v>1</v>
          </cell>
          <cell r="M13">
            <v>1</v>
          </cell>
          <cell r="N13">
            <v>1</v>
          </cell>
          <cell r="O13">
            <v>1</v>
          </cell>
          <cell r="P13">
            <v>1</v>
          </cell>
          <cell r="Q13">
            <v>1</v>
          </cell>
          <cell r="R13">
            <v>1</v>
          </cell>
        </row>
        <row r="14">
          <cell r="D14">
            <v>1</v>
          </cell>
          <cell r="E14">
            <v>1</v>
          </cell>
          <cell r="F14">
            <v>1</v>
          </cell>
          <cell r="G14">
            <v>1</v>
          </cell>
          <cell r="H14">
            <v>1</v>
          </cell>
          <cell r="I14">
            <v>1</v>
          </cell>
          <cell r="J14">
            <v>1</v>
          </cell>
          <cell r="K14">
            <v>1</v>
          </cell>
          <cell r="L14">
            <v>1</v>
          </cell>
          <cell r="M14">
            <v>1</v>
          </cell>
          <cell r="N14">
            <v>1</v>
          </cell>
          <cell r="O14">
            <v>1</v>
          </cell>
          <cell r="P14">
            <v>1</v>
          </cell>
          <cell r="Q14">
            <v>1</v>
          </cell>
          <cell r="R14">
            <v>1</v>
          </cell>
        </row>
        <row r="15">
          <cell r="D15">
            <v>1</v>
          </cell>
          <cell r="E15">
            <v>1</v>
          </cell>
          <cell r="F15">
            <v>1</v>
          </cell>
          <cell r="G15">
            <v>1</v>
          </cell>
          <cell r="H15">
            <v>1</v>
          </cell>
          <cell r="I15">
            <v>1</v>
          </cell>
          <cell r="J15">
            <v>1</v>
          </cell>
          <cell r="K15">
            <v>1</v>
          </cell>
          <cell r="L15">
            <v>1</v>
          </cell>
          <cell r="M15">
            <v>1</v>
          </cell>
          <cell r="N15">
            <v>1</v>
          </cell>
          <cell r="O15">
            <v>1</v>
          </cell>
          <cell r="P15">
            <v>1</v>
          </cell>
          <cell r="Q15">
            <v>1</v>
          </cell>
          <cell r="R15">
            <v>1</v>
          </cell>
        </row>
        <row r="16">
          <cell r="D16">
            <v>1</v>
          </cell>
          <cell r="E16">
            <v>1</v>
          </cell>
          <cell r="F16">
            <v>1</v>
          </cell>
          <cell r="G16">
            <v>1</v>
          </cell>
          <cell r="H16">
            <v>1</v>
          </cell>
          <cell r="I16">
            <v>1</v>
          </cell>
          <cell r="J16">
            <v>1</v>
          </cell>
          <cell r="K16">
            <v>1</v>
          </cell>
          <cell r="L16">
            <v>1</v>
          </cell>
          <cell r="M16">
            <v>1</v>
          </cell>
          <cell r="N16">
            <v>1</v>
          </cell>
          <cell r="O16">
            <v>1</v>
          </cell>
          <cell r="P16">
            <v>1</v>
          </cell>
          <cell r="Q16">
            <v>1</v>
          </cell>
          <cell r="R16">
            <v>1</v>
          </cell>
        </row>
        <row r="17">
          <cell r="D17">
            <v>1</v>
          </cell>
          <cell r="E17">
            <v>1</v>
          </cell>
          <cell r="F17">
            <v>1</v>
          </cell>
          <cell r="G17">
            <v>1</v>
          </cell>
          <cell r="H17">
            <v>1</v>
          </cell>
          <cell r="I17">
            <v>1</v>
          </cell>
          <cell r="J17">
            <v>1</v>
          </cell>
          <cell r="K17">
            <v>1</v>
          </cell>
          <cell r="L17">
            <v>1</v>
          </cell>
          <cell r="M17">
            <v>1</v>
          </cell>
          <cell r="N17">
            <v>1</v>
          </cell>
          <cell r="O17">
            <v>1</v>
          </cell>
          <cell r="P17">
            <v>1</v>
          </cell>
          <cell r="Q17">
            <v>1</v>
          </cell>
          <cell r="R17">
            <v>1</v>
          </cell>
        </row>
        <row r="18">
          <cell r="D18">
            <v>1</v>
          </cell>
          <cell r="E18">
            <v>1</v>
          </cell>
          <cell r="F18">
            <v>1</v>
          </cell>
          <cell r="G18">
            <v>1</v>
          </cell>
          <cell r="H18">
            <v>1</v>
          </cell>
          <cell r="I18">
            <v>1</v>
          </cell>
          <cell r="J18">
            <v>1</v>
          </cell>
          <cell r="K18">
            <v>1</v>
          </cell>
          <cell r="L18">
            <v>1</v>
          </cell>
          <cell r="M18">
            <v>1</v>
          </cell>
          <cell r="N18">
            <v>1</v>
          </cell>
          <cell r="O18">
            <v>1</v>
          </cell>
          <cell r="P18">
            <v>1</v>
          </cell>
          <cell r="Q18">
            <v>1</v>
          </cell>
          <cell r="R18">
            <v>1</v>
          </cell>
        </row>
        <row r="19">
          <cell r="D19">
            <v>1</v>
          </cell>
          <cell r="E19">
            <v>1</v>
          </cell>
          <cell r="F19">
            <v>1</v>
          </cell>
          <cell r="G19">
            <v>1</v>
          </cell>
          <cell r="H19">
            <v>1</v>
          </cell>
          <cell r="I19">
            <v>1</v>
          </cell>
          <cell r="J19">
            <v>1</v>
          </cell>
          <cell r="K19">
            <v>1</v>
          </cell>
          <cell r="L19">
            <v>1</v>
          </cell>
          <cell r="M19">
            <v>1</v>
          </cell>
          <cell r="N19">
            <v>1</v>
          </cell>
          <cell r="O19">
            <v>1</v>
          </cell>
          <cell r="P19">
            <v>1</v>
          </cell>
          <cell r="Q19">
            <v>1</v>
          </cell>
          <cell r="R19">
            <v>1</v>
          </cell>
        </row>
        <row r="20">
          <cell r="D20">
            <v>1</v>
          </cell>
          <cell r="E20">
            <v>1</v>
          </cell>
          <cell r="F20">
            <v>1</v>
          </cell>
          <cell r="G20">
            <v>1</v>
          </cell>
          <cell r="H20">
            <v>1</v>
          </cell>
          <cell r="I20">
            <v>1</v>
          </cell>
          <cell r="J20">
            <v>1</v>
          </cell>
          <cell r="K20">
            <v>1</v>
          </cell>
          <cell r="L20">
            <v>1</v>
          </cell>
          <cell r="M20">
            <v>1</v>
          </cell>
          <cell r="N20">
            <v>1</v>
          </cell>
          <cell r="O20">
            <v>1</v>
          </cell>
          <cell r="P20">
            <v>1</v>
          </cell>
          <cell r="Q20">
            <v>1</v>
          </cell>
          <cell r="R20">
            <v>1</v>
          </cell>
        </row>
        <row r="21">
          <cell r="D21">
            <v>1</v>
          </cell>
          <cell r="E21">
            <v>1</v>
          </cell>
          <cell r="F21">
            <v>1</v>
          </cell>
          <cell r="G21">
            <v>1</v>
          </cell>
          <cell r="H21">
            <v>1</v>
          </cell>
          <cell r="I21">
            <v>1</v>
          </cell>
          <cell r="J21">
            <v>1</v>
          </cell>
          <cell r="K21">
            <v>1</v>
          </cell>
          <cell r="L21">
            <v>1</v>
          </cell>
          <cell r="M21">
            <v>1</v>
          </cell>
          <cell r="N21">
            <v>1</v>
          </cell>
          <cell r="O21">
            <v>1</v>
          </cell>
          <cell r="P21">
            <v>1</v>
          </cell>
          <cell r="Q21">
            <v>1</v>
          </cell>
          <cell r="R21">
            <v>1</v>
          </cell>
        </row>
        <row r="22">
          <cell r="D22">
            <v>1</v>
          </cell>
          <cell r="E22">
            <v>1</v>
          </cell>
          <cell r="F22">
            <v>1</v>
          </cell>
          <cell r="G22">
            <v>1</v>
          </cell>
          <cell r="H22">
            <v>1</v>
          </cell>
          <cell r="I22">
            <v>1</v>
          </cell>
          <cell r="J22">
            <v>1</v>
          </cell>
          <cell r="K22">
            <v>1</v>
          </cell>
          <cell r="L22">
            <v>1</v>
          </cell>
          <cell r="M22">
            <v>1</v>
          </cell>
          <cell r="N22">
            <v>1</v>
          </cell>
          <cell r="O22">
            <v>1</v>
          </cell>
          <cell r="P22">
            <v>1</v>
          </cell>
          <cell r="Q22">
            <v>1</v>
          </cell>
          <cell r="R22">
            <v>1</v>
          </cell>
        </row>
        <row r="23">
          <cell r="D23">
            <v>1</v>
          </cell>
          <cell r="E23">
            <v>1</v>
          </cell>
          <cell r="F23">
            <v>1</v>
          </cell>
          <cell r="G23">
            <v>1</v>
          </cell>
          <cell r="H23">
            <v>1</v>
          </cell>
          <cell r="I23">
            <v>1</v>
          </cell>
          <cell r="J23">
            <v>1</v>
          </cell>
          <cell r="K23">
            <v>1</v>
          </cell>
          <cell r="L23">
            <v>1</v>
          </cell>
          <cell r="M23">
            <v>1</v>
          </cell>
          <cell r="N23">
            <v>1</v>
          </cell>
          <cell r="O23">
            <v>1</v>
          </cell>
          <cell r="P23">
            <v>1</v>
          </cell>
          <cell r="Q23">
            <v>1</v>
          </cell>
          <cell r="R23">
            <v>1</v>
          </cell>
        </row>
        <row r="24">
          <cell r="D24">
            <v>1</v>
          </cell>
          <cell r="E24">
            <v>1</v>
          </cell>
          <cell r="F24">
            <v>1</v>
          </cell>
          <cell r="G24">
            <v>1</v>
          </cell>
          <cell r="H24">
            <v>1</v>
          </cell>
          <cell r="I24">
            <v>1</v>
          </cell>
          <cell r="J24">
            <v>1</v>
          </cell>
          <cell r="K24">
            <v>1</v>
          </cell>
          <cell r="L24">
            <v>1</v>
          </cell>
          <cell r="M24">
            <v>1</v>
          </cell>
          <cell r="N24">
            <v>1</v>
          </cell>
          <cell r="O24">
            <v>1</v>
          </cell>
          <cell r="P24">
            <v>1</v>
          </cell>
          <cell r="Q24">
            <v>1</v>
          </cell>
          <cell r="R24">
            <v>1</v>
          </cell>
        </row>
        <row r="25">
          <cell r="D25">
            <v>1</v>
          </cell>
          <cell r="E25">
            <v>1</v>
          </cell>
          <cell r="F25">
            <v>1</v>
          </cell>
          <cell r="G25">
            <v>1</v>
          </cell>
          <cell r="H25">
            <v>1</v>
          </cell>
          <cell r="I25">
            <v>1</v>
          </cell>
          <cell r="J25">
            <v>1</v>
          </cell>
          <cell r="K25">
            <v>1</v>
          </cell>
          <cell r="L25">
            <v>1</v>
          </cell>
          <cell r="M25">
            <v>1</v>
          </cell>
          <cell r="N25">
            <v>1</v>
          </cell>
          <cell r="O25">
            <v>1</v>
          </cell>
          <cell r="P25">
            <v>1</v>
          </cell>
          <cell r="Q25">
            <v>1</v>
          </cell>
          <cell r="R25">
            <v>1</v>
          </cell>
        </row>
        <row r="26">
          <cell r="D26">
            <v>1</v>
          </cell>
          <cell r="E26">
            <v>1</v>
          </cell>
          <cell r="F26">
            <v>1</v>
          </cell>
          <cell r="G26">
            <v>1</v>
          </cell>
          <cell r="H26">
            <v>1</v>
          </cell>
          <cell r="I26">
            <v>1</v>
          </cell>
          <cell r="J26">
            <v>1</v>
          </cell>
          <cell r="K26">
            <v>1</v>
          </cell>
          <cell r="L26">
            <v>1</v>
          </cell>
          <cell r="M26">
            <v>1</v>
          </cell>
          <cell r="N26">
            <v>1</v>
          </cell>
          <cell r="O26">
            <v>1</v>
          </cell>
          <cell r="P26">
            <v>1</v>
          </cell>
          <cell r="Q26">
            <v>1</v>
          </cell>
          <cell r="R26">
            <v>1</v>
          </cell>
        </row>
        <row r="27">
          <cell r="D27">
            <v>1</v>
          </cell>
          <cell r="E27">
            <v>1</v>
          </cell>
          <cell r="F27">
            <v>1</v>
          </cell>
          <cell r="G27">
            <v>1</v>
          </cell>
          <cell r="H27">
            <v>1</v>
          </cell>
          <cell r="I27">
            <v>1</v>
          </cell>
          <cell r="J27">
            <v>1</v>
          </cell>
          <cell r="K27">
            <v>1</v>
          </cell>
          <cell r="L27">
            <v>1</v>
          </cell>
          <cell r="M27">
            <v>1</v>
          </cell>
          <cell r="N27">
            <v>1</v>
          </cell>
          <cell r="O27">
            <v>1</v>
          </cell>
          <cell r="P27">
            <v>1</v>
          </cell>
          <cell r="Q27">
            <v>1</v>
          </cell>
          <cell r="R27">
            <v>1</v>
          </cell>
        </row>
        <row r="28">
          <cell r="D28">
            <v>1</v>
          </cell>
          <cell r="E28">
            <v>1</v>
          </cell>
          <cell r="F28">
            <v>1</v>
          </cell>
          <cell r="G28">
            <v>1</v>
          </cell>
          <cell r="H28">
            <v>1</v>
          </cell>
          <cell r="I28">
            <v>1</v>
          </cell>
          <cell r="J28">
            <v>1</v>
          </cell>
          <cell r="K28">
            <v>1</v>
          </cell>
          <cell r="L28">
            <v>1</v>
          </cell>
          <cell r="M28">
            <v>1</v>
          </cell>
          <cell r="N28">
            <v>1</v>
          </cell>
          <cell r="O28">
            <v>1</v>
          </cell>
          <cell r="P28">
            <v>1</v>
          </cell>
          <cell r="Q28">
            <v>1</v>
          </cell>
          <cell r="R28">
            <v>1</v>
          </cell>
        </row>
        <row r="29">
          <cell r="D29">
            <v>1</v>
          </cell>
          <cell r="E29">
            <v>1</v>
          </cell>
          <cell r="F29">
            <v>1</v>
          </cell>
          <cell r="G29">
            <v>1</v>
          </cell>
          <cell r="H29">
            <v>1</v>
          </cell>
          <cell r="I29">
            <v>1</v>
          </cell>
          <cell r="J29">
            <v>1</v>
          </cell>
          <cell r="K29">
            <v>1</v>
          </cell>
          <cell r="L29">
            <v>1</v>
          </cell>
          <cell r="M29">
            <v>1</v>
          </cell>
          <cell r="N29">
            <v>1</v>
          </cell>
          <cell r="O29">
            <v>1</v>
          </cell>
          <cell r="P29">
            <v>1</v>
          </cell>
          <cell r="Q29">
            <v>1</v>
          </cell>
          <cell r="R29">
            <v>1</v>
          </cell>
        </row>
        <row r="30">
          <cell r="D30">
            <v>1</v>
          </cell>
          <cell r="E30">
            <v>1</v>
          </cell>
          <cell r="F30">
            <v>1</v>
          </cell>
          <cell r="G30">
            <v>1</v>
          </cell>
          <cell r="H30">
            <v>1</v>
          </cell>
          <cell r="I30">
            <v>1</v>
          </cell>
          <cell r="J30">
            <v>1</v>
          </cell>
          <cell r="K30">
            <v>1</v>
          </cell>
          <cell r="L30">
            <v>1</v>
          </cell>
          <cell r="M30">
            <v>1</v>
          </cell>
          <cell r="N30">
            <v>1</v>
          </cell>
          <cell r="O30">
            <v>1</v>
          </cell>
          <cell r="P30">
            <v>1</v>
          </cell>
          <cell r="Q30">
            <v>1</v>
          </cell>
          <cell r="R30">
            <v>1</v>
          </cell>
        </row>
        <row r="31">
          <cell r="D31">
            <v>1</v>
          </cell>
          <cell r="E31">
            <v>1</v>
          </cell>
          <cell r="F31">
            <v>1</v>
          </cell>
          <cell r="G31">
            <v>1</v>
          </cell>
          <cell r="H31">
            <v>1</v>
          </cell>
          <cell r="I31">
            <v>1</v>
          </cell>
          <cell r="J31">
            <v>1</v>
          </cell>
          <cell r="K31">
            <v>1</v>
          </cell>
          <cell r="L31">
            <v>1</v>
          </cell>
          <cell r="M31">
            <v>1</v>
          </cell>
          <cell r="N31">
            <v>1</v>
          </cell>
          <cell r="O31">
            <v>1</v>
          </cell>
          <cell r="P31">
            <v>1</v>
          </cell>
          <cell r="Q31">
            <v>1</v>
          </cell>
          <cell r="R31">
            <v>1</v>
          </cell>
        </row>
        <row r="32">
          <cell r="D32">
            <v>1</v>
          </cell>
          <cell r="E32">
            <v>1</v>
          </cell>
          <cell r="F32">
            <v>1</v>
          </cell>
          <cell r="G32">
            <v>1</v>
          </cell>
          <cell r="H32">
            <v>1</v>
          </cell>
          <cell r="I32">
            <v>1</v>
          </cell>
          <cell r="J32">
            <v>1</v>
          </cell>
          <cell r="K32">
            <v>1</v>
          </cell>
          <cell r="L32">
            <v>1</v>
          </cell>
          <cell r="M32">
            <v>1</v>
          </cell>
          <cell r="N32">
            <v>1</v>
          </cell>
          <cell r="O32">
            <v>1</v>
          </cell>
          <cell r="P32">
            <v>1</v>
          </cell>
          <cell r="Q32">
            <v>1</v>
          </cell>
          <cell r="R32">
            <v>1</v>
          </cell>
        </row>
        <row r="33">
          <cell r="D33">
            <v>1</v>
          </cell>
          <cell r="E33">
            <v>1</v>
          </cell>
          <cell r="F33">
            <v>1</v>
          </cell>
          <cell r="G33">
            <v>1</v>
          </cell>
          <cell r="H33">
            <v>1</v>
          </cell>
          <cell r="I33">
            <v>1</v>
          </cell>
          <cell r="J33">
            <v>1</v>
          </cell>
          <cell r="K33">
            <v>1</v>
          </cell>
          <cell r="L33">
            <v>1</v>
          </cell>
          <cell r="M33">
            <v>1</v>
          </cell>
          <cell r="N33">
            <v>1</v>
          </cell>
          <cell r="O33">
            <v>1</v>
          </cell>
          <cell r="P33">
            <v>1</v>
          </cell>
          <cell r="Q33">
            <v>1</v>
          </cell>
          <cell r="R33">
            <v>1</v>
          </cell>
        </row>
        <row r="34">
          <cell r="D34">
            <v>1</v>
          </cell>
          <cell r="E34">
            <v>1</v>
          </cell>
          <cell r="F34">
            <v>1</v>
          </cell>
          <cell r="G34">
            <v>1</v>
          </cell>
          <cell r="H34">
            <v>1</v>
          </cell>
          <cell r="I34">
            <v>1</v>
          </cell>
          <cell r="J34">
            <v>1</v>
          </cell>
          <cell r="K34">
            <v>1</v>
          </cell>
          <cell r="L34">
            <v>1</v>
          </cell>
          <cell r="M34">
            <v>1</v>
          </cell>
          <cell r="N34">
            <v>1</v>
          </cell>
          <cell r="O34">
            <v>1</v>
          </cell>
          <cell r="P34">
            <v>1</v>
          </cell>
          <cell r="Q34">
            <v>1</v>
          </cell>
          <cell r="R34">
            <v>1</v>
          </cell>
        </row>
        <row r="35">
          <cell r="D35">
            <v>1</v>
          </cell>
          <cell r="E35">
            <v>1</v>
          </cell>
          <cell r="F35">
            <v>1</v>
          </cell>
          <cell r="G35">
            <v>1</v>
          </cell>
          <cell r="H35">
            <v>1</v>
          </cell>
          <cell r="I35">
            <v>1</v>
          </cell>
          <cell r="J35">
            <v>1</v>
          </cell>
          <cell r="K35">
            <v>1</v>
          </cell>
          <cell r="L35">
            <v>1</v>
          </cell>
          <cell r="M35">
            <v>1</v>
          </cell>
          <cell r="N35">
            <v>1</v>
          </cell>
          <cell r="O35">
            <v>1</v>
          </cell>
          <cell r="P35">
            <v>1</v>
          </cell>
          <cell r="Q35">
            <v>1</v>
          </cell>
          <cell r="R35">
            <v>1</v>
          </cell>
        </row>
        <row r="36">
          <cell r="D36">
            <v>1</v>
          </cell>
          <cell r="E36">
            <v>1</v>
          </cell>
          <cell r="F36">
            <v>1</v>
          </cell>
          <cell r="G36">
            <v>1</v>
          </cell>
          <cell r="H36">
            <v>1</v>
          </cell>
          <cell r="I36">
            <v>1</v>
          </cell>
          <cell r="J36">
            <v>1</v>
          </cell>
          <cell r="K36">
            <v>1</v>
          </cell>
          <cell r="L36">
            <v>1</v>
          </cell>
          <cell r="M36">
            <v>1</v>
          </cell>
          <cell r="N36">
            <v>1</v>
          </cell>
          <cell r="O36">
            <v>1</v>
          </cell>
          <cell r="P36">
            <v>1</v>
          </cell>
          <cell r="Q36">
            <v>1</v>
          </cell>
          <cell r="R36">
            <v>1</v>
          </cell>
        </row>
        <row r="37">
          <cell r="D37">
            <v>1</v>
          </cell>
          <cell r="E37">
            <v>1</v>
          </cell>
          <cell r="F37">
            <v>1</v>
          </cell>
          <cell r="G37">
            <v>1</v>
          </cell>
          <cell r="H37">
            <v>1</v>
          </cell>
          <cell r="I37">
            <v>1</v>
          </cell>
          <cell r="J37">
            <v>1</v>
          </cell>
          <cell r="K37">
            <v>1</v>
          </cell>
          <cell r="L37">
            <v>1</v>
          </cell>
          <cell r="M37">
            <v>1</v>
          </cell>
          <cell r="N37">
            <v>1</v>
          </cell>
          <cell r="O37">
            <v>1</v>
          </cell>
          <cell r="P37">
            <v>1</v>
          </cell>
          <cell r="Q37">
            <v>1</v>
          </cell>
          <cell r="R37">
            <v>1</v>
          </cell>
        </row>
        <row r="38">
          <cell r="D38">
            <v>1</v>
          </cell>
          <cell r="E38">
            <v>1</v>
          </cell>
          <cell r="F38">
            <v>1</v>
          </cell>
          <cell r="G38">
            <v>1</v>
          </cell>
          <cell r="H38">
            <v>1</v>
          </cell>
          <cell r="I38">
            <v>1</v>
          </cell>
          <cell r="J38">
            <v>1</v>
          </cell>
          <cell r="K38">
            <v>1</v>
          </cell>
          <cell r="L38">
            <v>1</v>
          </cell>
          <cell r="M38">
            <v>1</v>
          </cell>
          <cell r="N38">
            <v>1</v>
          </cell>
          <cell r="O38">
            <v>1</v>
          </cell>
          <cell r="P38">
            <v>1</v>
          </cell>
          <cell r="Q38">
            <v>1</v>
          </cell>
          <cell r="R38">
            <v>1</v>
          </cell>
        </row>
        <row r="39">
          <cell r="D39">
            <v>1</v>
          </cell>
          <cell r="E39">
            <v>1</v>
          </cell>
          <cell r="F39">
            <v>1</v>
          </cell>
          <cell r="G39">
            <v>1</v>
          </cell>
          <cell r="H39">
            <v>1</v>
          </cell>
          <cell r="I39">
            <v>1</v>
          </cell>
          <cell r="J39">
            <v>1</v>
          </cell>
          <cell r="K39">
            <v>1</v>
          </cell>
          <cell r="L39">
            <v>1</v>
          </cell>
          <cell r="M39">
            <v>1</v>
          </cell>
          <cell r="N39">
            <v>1</v>
          </cell>
          <cell r="O39">
            <v>1</v>
          </cell>
          <cell r="P39">
            <v>1</v>
          </cell>
          <cell r="Q39">
            <v>1</v>
          </cell>
          <cell r="R39">
            <v>1</v>
          </cell>
        </row>
        <row r="40">
          <cell r="D40">
            <v>1</v>
          </cell>
          <cell r="E40">
            <v>1</v>
          </cell>
          <cell r="F40">
            <v>1</v>
          </cell>
          <cell r="G40">
            <v>1</v>
          </cell>
          <cell r="H40">
            <v>1</v>
          </cell>
          <cell r="I40">
            <v>1</v>
          </cell>
          <cell r="J40">
            <v>1</v>
          </cell>
          <cell r="K40">
            <v>1</v>
          </cell>
          <cell r="L40">
            <v>1</v>
          </cell>
          <cell r="M40">
            <v>1</v>
          </cell>
          <cell r="N40">
            <v>1</v>
          </cell>
          <cell r="O40">
            <v>1</v>
          </cell>
          <cell r="P40">
            <v>1</v>
          </cell>
          <cell r="Q40">
            <v>1</v>
          </cell>
          <cell r="R40">
            <v>1</v>
          </cell>
        </row>
        <row r="41">
          <cell r="D41">
            <v>1</v>
          </cell>
          <cell r="E41">
            <v>1</v>
          </cell>
          <cell r="F41">
            <v>1</v>
          </cell>
          <cell r="G41">
            <v>1</v>
          </cell>
          <cell r="H41">
            <v>1</v>
          </cell>
          <cell r="I41">
            <v>1</v>
          </cell>
          <cell r="J41">
            <v>1</v>
          </cell>
          <cell r="K41">
            <v>1</v>
          </cell>
          <cell r="L41">
            <v>1</v>
          </cell>
          <cell r="M41">
            <v>1</v>
          </cell>
          <cell r="N41">
            <v>1</v>
          </cell>
          <cell r="O41">
            <v>1</v>
          </cell>
          <cell r="P41">
            <v>1</v>
          </cell>
          <cell r="Q41">
            <v>1</v>
          </cell>
          <cell r="R41">
            <v>1</v>
          </cell>
        </row>
        <row r="42">
          <cell r="D42">
            <v>1</v>
          </cell>
          <cell r="E42">
            <v>1</v>
          </cell>
          <cell r="F42">
            <v>1</v>
          </cell>
          <cell r="G42">
            <v>1</v>
          </cell>
          <cell r="H42">
            <v>1</v>
          </cell>
          <cell r="I42">
            <v>1</v>
          </cell>
          <cell r="J42">
            <v>1</v>
          </cell>
          <cell r="K42">
            <v>1</v>
          </cell>
          <cell r="L42">
            <v>1</v>
          </cell>
          <cell r="M42">
            <v>1</v>
          </cell>
          <cell r="N42">
            <v>1</v>
          </cell>
          <cell r="O42">
            <v>1</v>
          </cell>
          <cell r="P42">
            <v>1</v>
          </cell>
          <cell r="Q42">
            <v>1</v>
          </cell>
          <cell r="R42">
            <v>1</v>
          </cell>
        </row>
        <row r="43">
          <cell r="D43">
            <v>1</v>
          </cell>
          <cell r="E43">
            <v>1</v>
          </cell>
          <cell r="F43">
            <v>1</v>
          </cell>
          <cell r="G43">
            <v>1</v>
          </cell>
          <cell r="H43">
            <v>1</v>
          </cell>
          <cell r="I43">
            <v>1</v>
          </cell>
          <cell r="J43">
            <v>1</v>
          </cell>
          <cell r="K43">
            <v>1</v>
          </cell>
          <cell r="L43">
            <v>1</v>
          </cell>
          <cell r="M43">
            <v>1</v>
          </cell>
          <cell r="N43">
            <v>1</v>
          </cell>
          <cell r="O43">
            <v>1</v>
          </cell>
          <cell r="P43">
            <v>1</v>
          </cell>
          <cell r="Q43">
            <v>1</v>
          </cell>
          <cell r="R43">
            <v>1</v>
          </cell>
        </row>
        <row r="44">
          <cell r="D44">
            <v>1</v>
          </cell>
          <cell r="E44">
            <v>1</v>
          </cell>
          <cell r="F44">
            <v>1</v>
          </cell>
          <cell r="G44">
            <v>1</v>
          </cell>
          <cell r="H44">
            <v>1</v>
          </cell>
          <cell r="I44">
            <v>1</v>
          </cell>
          <cell r="J44">
            <v>1</v>
          </cell>
          <cell r="K44">
            <v>1</v>
          </cell>
          <cell r="L44">
            <v>1</v>
          </cell>
          <cell r="M44">
            <v>1</v>
          </cell>
          <cell r="N44">
            <v>1</v>
          </cell>
          <cell r="O44">
            <v>1</v>
          </cell>
          <cell r="P44">
            <v>1</v>
          </cell>
          <cell r="Q44">
            <v>1</v>
          </cell>
          <cell r="R44">
            <v>1</v>
          </cell>
        </row>
        <row r="45">
          <cell r="D45">
            <v>1</v>
          </cell>
          <cell r="E45">
            <v>1</v>
          </cell>
          <cell r="F45">
            <v>1</v>
          </cell>
          <cell r="G45">
            <v>1</v>
          </cell>
          <cell r="H45">
            <v>1</v>
          </cell>
          <cell r="I45">
            <v>1</v>
          </cell>
          <cell r="J45">
            <v>1</v>
          </cell>
          <cell r="K45">
            <v>1</v>
          </cell>
          <cell r="L45">
            <v>1</v>
          </cell>
          <cell r="M45">
            <v>1</v>
          </cell>
          <cell r="N45">
            <v>1</v>
          </cell>
          <cell r="O45">
            <v>1</v>
          </cell>
          <cell r="P45">
            <v>1</v>
          </cell>
          <cell r="Q45">
            <v>1</v>
          </cell>
          <cell r="R45">
            <v>1</v>
          </cell>
        </row>
        <row r="46">
          <cell r="D46">
            <v>1</v>
          </cell>
          <cell r="E46">
            <v>1</v>
          </cell>
          <cell r="F46">
            <v>1</v>
          </cell>
          <cell r="G46">
            <v>1</v>
          </cell>
          <cell r="H46">
            <v>1</v>
          </cell>
          <cell r="I46">
            <v>1</v>
          </cell>
          <cell r="J46">
            <v>1</v>
          </cell>
          <cell r="K46">
            <v>1</v>
          </cell>
          <cell r="L46">
            <v>1</v>
          </cell>
          <cell r="M46">
            <v>1</v>
          </cell>
          <cell r="N46">
            <v>1</v>
          </cell>
          <cell r="O46">
            <v>1</v>
          </cell>
          <cell r="P46">
            <v>1</v>
          </cell>
          <cell r="Q46">
            <v>1</v>
          </cell>
          <cell r="R46">
            <v>1</v>
          </cell>
        </row>
        <row r="47">
          <cell r="D47">
            <v>1</v>
          </cell>
          <cell r="E47">
            <v>1</v>
          </cell>
          <cell r="F47">
            <v>1</v>
          </cell>
          <cell r="G47">
            <v>1</v>
          </cell>
          <cell r="H47">
            <v>1</v>
          </cell>
          <cell r="I47">
            <v>1</v>
          </cell>
          <cell r="J47">
            <v>1</v>
          </cell>
          <cell r="K47">
            <v>1</v>
          </cell>
          <cell r="L47">
            <v>1</v>
          </cell>
          <cell r="M47">
            <v>1</v>
          </cell>
          <cell r="N47">
            <v>1</v>
          </cell>
          <cell r="O47">
            <v>1</v>
          </cell>
          <cell r="P47">
            <v>1</v>
          </cell>
          <cell r="Q47">
            <v>1</v>
          </cell>
          <cell r="R47">
            <v>1</v>
          </cell>
        </row>
        <row r="48">
          <cell r="D48">
            <v>1</v>
          </cell>
          <cell r="E48">
            <v>1</v>
          </cell>
          <cell r="F48">
            <v>1</v>
          </cell>
          <cell r="G48">
            <v>1</v>
          </cell>
          <cell r="H48">
            <v>1</v>
          </cell>
          <cell r="I48">
            <v>1</v>
          </cell>
          <cell r="J48">
            <v>1</v>
          </cell>
          <cell r="K48">
            <v>1</v>
          </cell>
          <cell r="L48">
            <v>1</v>
          </cell>
          <cell r="M48">
            <v>1</v>
          </cell>
          <cell r="N48">
            <v>1</v>
          </cell>
          <cell r="O48">
            <v>1</v>
          </cell>
          <cell r="P48">
            <v>1</v>
          </cell>
          <cell r="Q48">
            <v>1</v>
          </cell>
          <cell r="R48">
            <v>1</v>
          </cell>
        </row>
        <row r="49">
          <cell r="D49">
            <v>1</v>
          </cell>
          <cell r="E49">
            <v>1</v>
          </cell>
          <cell r="F49">
            <v>1</v>
          </cell>
          <cell r="G49">
            <v>1</v>
          </cell>
          <cell r="H49">
            <v>1</v>
          </cell>
          <cell r="I49">
            <v>1</v>
          </cell>
          <cell r="J49">
            <v>1</v>
          </cell>
          <cell r="K49">
            <v>1</v>
          </cell>
          <cell r="L49">
            <v>1</v>
          </cell>
          <cell r="M49">
            <v>1</v>
          </cell>
          <cell r="N49">
            <v>1</v>
          </cell>
          <cell r="O49">
            <v>1</v>
          </cell>
          <cell r="P49">
            <v>1</v>
          </cell>
          <cell r="Q49">
            <v>1</v>
          </cell>
          <cell r="R49">
            <v>1</v>
          </cell>
        </row>
        <row r="50">
          <cell r="D50">
            <v>1</v>
          </cell>
          <cell r="E50">
            <v>1</v>
          </cell>
          <cell r="F50">
            <v>1</v>
          </cell>
          <cell r="G50">
            <v>1</v>
          </cell>
          <cell r="H50">
            <v>1</v>
          </cell>
          <cell r="I50">
            <v>1</v>
          </cell>
          <cell r="J50">
            <v>1</v>
          </cell>
          <cell r="K50">
            <v>1</v>
          </cell>
          <cell r="L50">
            <v>1</v>
          </cell>
          <cell r="M50">
            <v>1</v>
          </cell>
          <cell r="N50">
            <v>1</v>
          </cell>
          <cell r="O50">
            <v>1</v>
          </cell>
          <cell r="P50">
            <v>1</v>
          </cell>
          <cell r="Q50">
            <v>1</v>
          </cell>
          <cell r="R50">
            <v>1</v>
          </cell>
        </row>
        <row r="51">
          <cell r="D51">
            <v>1</v>
          </cell>
          <cell r="E51">
            <v>1</v>
          </cell>
          <cell r="F51">
            <v>1</v>
          </cell>
          <cell r="G51">
            <v>1</v>
          </cell>
          <cell r="H51">
            <v>1</v>
          </cell>
          <cell r="I51">
            <v>1</v>
          </cell>
          <cell r="J51">
            <v>1</v>
          </cell>
          <cell r="K51">
            <v>1</v>
          </cell>
          <cell r="L51">
            <v>1</v>
          </cell>
          <cell r="M51">
            <v>1</v>
          </cell>
          <cell r="N51">
            <v>1</v>
          </cell>
          <cell r="O51">
            <v>1</v>
          </cell>
          <cell r="P51">
            <v>1</v>
          </cell>
          <cell r="Q51">
            <v>1</v>
          </cell>
          <cell r="R51">
            <v>1</v>
          </cell>
        </row>
        <row r="52">
          <cell r="D52">
            <v>1</v>
          </cell>
          <cell r="E52">
            <v>1</v>
          </cell>
          <cell r="F52">
            <v>1</v>
          </cell>
          <cell r="G52">
            <v>1</v>
          </cell>
          <cell r="H52">
            <v>1</v>
          </cell>
          <cell r="I52">
            <v>1</v>
          </cell>
          <cell r="J52">
            <v>1</v>
          </cell>
          <cell r="K52">
            <v>1</v>
          </cell>
          <cell r="L52">
            <v>1</v>
          </cell>
          <cell r="M52">
            <v>1</v>
          </cell>
          <cell r="N52">
            <v>1</v>
          </cell>
          <cell r="O52">
            <v>1</v>
          </cell>
          <cell r="P52">
            <v>1</v>
          </cell>
          <cell r="Q52">
            <v>1</v>
          </cell>
          <cell r="R52">
            <v>1</v>
          </cell>
        </row>
        <row r="53">
          <cell r="D53">
            <v>1</v>
          </cell>
          <cell r="E53">
            <v>1</v>
          </cell>
          <cell r="F53">
            <v>1</v>
          </cell>
          <cell r="G53">
            <v>1</v>
          </cell>
          <cell r="H53">
            <v>1</v>
          </cell>
          <cell r="I53">
            <v>1</v>
          </cell>
          <cell r="J53">
            <v>1</v>
          </cell>
          <cell r="K53">
            <v>1</v>
          </cell>
          <cell r="L53">
            <v>1</v>
          </cell>
          <cell r="M53">
            <v>1</v>
          </cell>
          <cell r="N53">
            <v>1</v>
          </cell>
          <cell r="O53">
            <v>1</v>
          </cell>
          <cell r="P53">
            <v>1</v>
          </cell>
          <cell r="Q53">
            <v>1</v>
          </cell>
          <cell r="R53">
            <v>1</v>
          </cell>
        </row>
        <row r="54">
          <cell r="D54">
            <v>1</v>
          </cell>
          <cell r="E54">
            <v>1</v>
          </cell>
          <cell r="F54">
            <v>1</v>
          </cell>
          <cell r="G54">
            <v>1</v>
          </cell>
          <cell r="H54">
            <v>1</v>
          </cell>
          <cell r="I54">
            <v>1</v>
          </cell>
          <cell r="J54">
            <v>1</v>
          </cell>
          <cell r="K54">
            <v>1</v>
          </cell>
          <cell r="L54">
            <v>1</v>
          </cell>
          <cell r="M54">
            <v>1</v>
          </cell>
          <cell r="N54">
            <v>1</v>
          </cell>
          <cell r="O54">
            <v>1</v>
          </cell>
          <cell r="P54">
            <v>1</v>
          </cell>
          <cell r="Q54">
            <v>1</v>
          </cell>
          <cell r="R54">
            <v>1</v>
          </cell>
        </row>
        <row r="55">
          <cell r="D55">
            <v>1</v>
          </cell>
          <cell r="E55">
            <v>1</v>
          </cell>
          <cell r="F55">
            <v>1</v>
          </cell>
          <cell r="G55">
            <v>1</v>
          </cell>
          <cell r="H55">
            <v>1</v>
          </cell>
          <cell r="I55">
            <v>1</v>
          </cell>
          <cell r="J55">
            <v>1</v>
          </cell>
          <cell r="K55">
            <v>1</v>
          </cell>
          <cell r="L55">
            <v>1</v>
          </cell>
          <cell r="M55">
            <v>1</v>
          </cell>
          <cell r="N55">
            <v>1</v>
          </cell>
          <cell r="O55">
            <v>1</v>
          </cell>
          <cell r="P55">
            <v>1</v>
          </cell>
          <cell r="Q55">
            <v>1</v>
          </cell>
          <cell r="R55">
            <v>1</v>
          </cell>
        </row>
        <row r="56">
          <cell r="D56">
            <v>1</v>
          </cell>
          <cell r="E56">
            <v>1</v>
          </cell>
          <cell r="F56">
            <v>1</v>
          </cell>
          <cell r="G56">
            <v>1</v>
          </cell>
          <cell r="H56">
            <v>1</v>
          </cell>
          <cell r="I56">
            <v>1</v>
          </cell>
          <cell r="J56">
            <v>1</v>
          </cell>
          <cell r="K56">
            <v>1</v>
          </cell>
          <cell r="L56">
            <v>1</v>
          </cell>
          <cell r="M56">
            <v>1</v>
          </cell>
          <cell r="N56">
            <v>1</v>
          </cell>
          <cell r="O56">
            <v>1</v>
          </cell>
          <cell r="P56">
            <v>1</v>
          </cell>
          <cell r="Q56">
            <v>1</v>
          </cell>
          <cell r="R56">
            <v>1</v>
          </cell>
        </row>
        <row r="57">
          <cell r="D57">
            <v>1</v>
          </cell>
          <cell r="E57">
            <v>1</v>
          </cell>
          <cell r="F57">
            <v>1</v>
          </cell>
          <cell r="G57">
            <v>1</v>
          </cell>
          <cell r="H57">
            <v>1</v>
          </cell>
          <cell r="I57">
            <v>1</v>
          </cell>
          <cell r="J57">
            <v>1</v>
          </cell>
          <cell r="K57">
            <v>1</v>
          </cell>
          <cell r="L57">
            <v>1</v>
          </cell>
          <cell r="M57">
            <v>1</v>
          </cell>
          <cell r="N57">
            <v>1</v>
          </cell>
          <cell r="O57">
            <v>1</v>
          </cell>
          <cell r="P57">
            <v>1</v>
          </cell>
          <cell r="Q57">
            <v>1</v>
          </cell>
          <cell r="R57">
            <v>1</v>
          </cell>
        </row>
        <row r="58">
          <cell r="D58">
            <v>1</v>
          </cell>
          <cell r="E58">
            <v>1</v>
          </cell>
          <cell r="F58">
            <v>1</v>
          </cell>
          <cell r="G58">
            <v>1</v>
          </cell>
          <cell r="H58">
            <v>1</v>
          </cell>
          <cell r="I58">
            <v>1</v>
          </cell>
          <cell r="J58">
            <v>1</v>
          </cell>
          <cell r="K58">
            <v>1</v>
          </cell>
          <cell r="L58">
            <v>1</v>
          </cell>
          <cell r="M58">
            <v>1</v>
          </cell>
          <cell r="N58">
            <v>1</v>
          </cell>
          <cell r="O58">
            <v>1</v>
          </cell>
          <cell r="P58">
            <v>1</v>
          </cell>
          <cell r="Q58">
            <v>1</v>
          </cell>
          <cell r="R58">
            <v>1</v>
          </cell>
        </row>
        <row r="59">
          <cell r="D59">
            <v>1</v>
          </cell>
          <cell r="E59">
            <v>1</v>
          </cell>
          <cell r="F59">
            <v>1</v>
          </cell>
          <cell r="G59">
            <v>1</v>
          </cell>
          <cell r="H59">
            <v>1</v>
          </cell>
          <cell r="I59">
            <v>1</v>
          </cell>
          <cell r="J59">
            <v>1</v>
          </cell>
          <cell r="K59">
            <v>1</v>
          </cell>
          <cell r="L59">
            <v>1</v>
          </cell>
          <cell r="M59">
            <v>1</v>
          </cell>
          <cell r="N59">
            <v>1</v>
          </cell>
          <cell r="O59">
            <v>1</v>
          </cell>
          <cell r="P59">
            <v>1</v>
          </cell>
          <cell r="Q59">
            <v>1</v>
          </cell>
          <cell r="R59">
            <v>1</v>
          </cell>
        </row>
        <row r="60">
          <cell r="D60">
            <v>1</v>
          </cell>
          <cell r="E60">
            <v>1</v>
          </cell>
          <cell r="F60">
            <v>1</v>
          </cell>
          <cell r="G60">
            <v>1</v>
          </cell>
          <cell r="H60">
            <v>1</v>
          </cell>
          <cell r="I60">
            <v>1</v>
          </cell>
          <cell r="J60">
            <v>1</v>
          </cell>
          <cell r="K60">
            <v>1</v>
          </cell>
          <cell r="L60">
            <v>1</v>
          </cell>
          <cell r="M60">
            <v>1</v>
          </cell>
          <cell r="N60">
            <v>1</v>
          </cell>
          <cell r="O60">
            <v>1</v>
          </cell>
          <cell r="P60">
            <v>1</v>
          </cell>
          <cell r="Q60">
            <v>1</v>
          </cell>
          <cell r="R60">
            <v>1</v>
          </cell>
        </row>
        <row r="61">
          <cell r="D61">
            <v>1</v>
          </cell>
          <cell r="E61">
            <v>1</v>
          </cell>
          <cell r="F61">
            <v>1</v>
          </cell>
          <cell r="G61">
            <v>1</v>
          </cell>
          <cell r="H61">
            <v>1</v>
          </cell>
          <cell r="I61">
            <v>1</v>
          </cell>
          <cell r="J61">
            <v>1</v>
          </cell>
          <cell r="K61">
            <v>1</v>
          </cell>
          <cell r="L61">
            <v>1</v>
          </cell>
          <cell r="M61">
            <v>1</v>
          </cell>
          <cell r="N61">
            <v>1</v>
          </cell>
          <cell r="O61">
            <v>1</v>
          </cell>
          <cell r="P61">
            <v>1</v>
          </cell>
          <cell r="Q61">
            <v>1</v>
          </cell>
          <cell r="R61">
            <v>1</v>
          </cell>
        </row>
        <row r="62">
          <cell r="D62">
            <v>1</v>
          </cell>
          <cell r="E62">
            <v>1</v>
          </cell>
          <cell r="F62">
            <v>1</v>
          </cell>
          <cell r="G62">
            <v>1</v>
          </cell>
          <cell r="H62">
            <v>1</v>
          </cell>
          <cell r="I62">
            <v>1</v>
          </cell>
          <cell r="J62">
            <v>1</v>
          </cell>
          <cell r="K62">
            <v>1</v>
          </cell>
          <cell r="L62">
            <v>1</v>
          </cell>
          <cell r="M62">
            <v>1</v>
          </cell>
          <cell r="N62">
            <v>1</v>
          </cell>
          <cell r="O62">
            <v>1</v>
          </cell>
          <cell r="P62">
            <v>1</v>
          </cell>
          <cell r="Q62">
            <v>1</v>
          </cell>
          <cell r="R62">
            <v>1</v>
          </cell>
        </row>
        <row r="63">
          <cell r="D63">
            <v>1</v>
          </cell>
          <cell r="E63">
            <v>1</v>
          </cell>
          <cell r="F63">
            <v>1</v>
          </cell>
          <cell r="G63">
            <v>1</v>
          </cell>
          <cell r="H63">
            <v>1</v>
          </cell>
          <cell r="I63">
            <v>1</v>
          </cell>
          <cell r="J63">
            <v>1</v>
          </cell>
          <cell r="K63">
            <v>1</v>
          </cell>
          <cell r="L63">
            <v>1</v>
          </cell>
          <cell r="M63">
            <v>1</v>
          </cell>
          <cell r="N63">
            <v>1</v>
          </cell>
          <cell r="O63">
            <v>1</v>
          </cell>
          <cell r="P63">
            <v>1</v>
          </cell>
          <cell r="Q63">
            <v>1</v>
          </cell>
          <cell r="R63">
            <v>1</v>
          </cell>
        </row>
        <row r="64">
          <cell r="D64">
            <v>1</v>
          </cell>
          <cell r="E64">
            <v>1</v>
          </cell>
          <cell r="F64">
            <v>1</v>
          </cell>
          <cell r="G64">
            <v>1</v>
          </cell>
          <cell r="H64">
            <v>1</v>
          </cell>
          <cell r="I64">
            <v>1</v>
          </cell>
          <cell r="J64">
            <v>1</v>
          </cell>
          <cell r="K64">
            <v>1</v>
          </cell>
          <cell r="L64">
            <v>1</v>
          </cell>
          <cell r="M64">
            <v>1</v>
          </cell>
          <cell r="N64">
            <v>1</v>
          </cell>
          <cell r="O64">
            <v>1</v>
          </cell>
          <cell r="P64">
            <v>1</v>
          </cell>
          <cell r="Q64">
            <v>1</v>
          </cell>
          <cell r="R64">
            <v>1</v>
          </cell>
        </row>
        <row r="65">
          <cell r="D65">
            <v>1</v>
          </cell>
          <cell r="E65">
            <v>1</v>
          </cell>
          <cell r="F65">
            <v>1</v>
          </cell>
          <cell r="G65">
            <v>1</v>
          </cell>
          <cell r="H65">
            <v>1</v>
          </cell>
          <cell r="I65">
            <v>1</v>
          </cell>
          <cell r="J65">
            <v>1</v>
          </cell>
          <cell r="K65">
            <v>1</v>
          </cell>
          <cell r="L65">
            <v>1</v>
          </cell>
          <cell r="M65">
            <v>1</v>
          </cell>
          <cell r="N65">
            <v>1</v>
          </cell>
          <cell r="O65">
            <v>1</v>
          </cell>
          <cell r="P65">
            <v>1</v>
          </cell>
          <cell r="Q65">
            <v>1</v>
          </cell>
          <cell r="R65">
            <v>1</v>
          </cell>
        </row>
        <row r="66">
          <cell r="D66">
            <v>1</v>
          </cell>
          <cell r="E66">
            <v>1</v>
          </cell>
          <cell r="F66">
            <v>1</v>
          </cell>
          <cell r="G66">
            <v>1</v>
          </cell>
          <cell r="H66">
            <v>1</v>
          </cell>
          <cell r="I66">
            <v>1</v>
          </cell>
          <cell r="J66">
            <v>1</v>
          </cell>
          <cell r="K66">
            <v>1</v>
          </cell>
          <cell r="L66">
            <v>1</v>
          </cell>
          <cell r="M66">
            <v>1</v>
          </cell>
          <cell r="N66">
            <v>1</v>
          </cell>
          <cell r="O66">
            <v>1</v>
          </cell>
          <cell r="P66">
            <v>1</v>
          </cell>
          <cell r="Q66">
            <v>1</v>
          </cell>
          <cell r="R66">
            <v>1</v>
          </cell>
        </row>
        <row r="67">
          <cell r="D67">
            <v>1</v>
          </cell>
          <cell r="E67">
            <v>1</v>
          </cell>
          <cell r="F67">
            <v>1</v>
          </cell>
          <cell r="G67">
            <v>1</v>
          </cell>
          <cell r="H67">
            <v>1</v>
          </cell>
          <cell r="I67">
            <v>1</v>
          </cell>
          <cell r="J67">
            <v>1</v>
          </cell>
          <cell r="K67">
            <v>1</v>
          </cell>
          <cell r="L67">
            <v>1</v>
          </cell>
          <cell r="M67">
            <v>1</v>
          </cell>
          <cell r="N67">
            <v>1</v>
          </cell>
          <cell r="O67">
            <v>1</v>
          </cell>
          <cell r="P67">
            <v>1</v>
          </cell>
          <cell r="Q67">
            <v>1</v>
          </cell>
          <cell r="R67">
            <v>1</v>
          </cell>
        </row>
        <row r="68">
          <cell r="D68">
            <v>1</v>
          </cell>
          <cell r="E68">
            <v>1</v>
          </cell>
          <cell r="F68">
            <v>1</v>
          </cell>
          <cell r="G68">
            <v>1</v>
          </cell>
          <cell r="H68">
            <v>1</v>
          </cell>
          <cell r="I68">
            <v>1</v>
          </cell>
          <cell r="J68">
            <v>1</v>
          </cell>
          <cell r="K68">
            <v>1</v>
          </cell>
          <cell r="L68">
            <v>1</v>
          </cell>
          <cell r="M68">
            <v>1</v>
          </cell>
          <cell r="N68">
            <v>1</v>
          </cell>
          <cell r="O68">
            <v>1</v>
          </cell>
          <cell r="P68">
            <v>1</v>
          </cell>
          <cell r="Q68">
            <v>1</v>
          </cell>
          <cell r="R68">
            <v>1</v>
          </cell>
        </row>
        <row r="69">
          <cell r="D69">
            <v>1</v>
          </cell>
          <cell r="E69">
            <v>1</v>
          </cell>
          <cell r="F69">
            <v>1</v>
          </cell>
          <cell r="G69">
            <v>1</v>
          </cell>
          <cell r="H69">
            <v>1</v>
          </cell>
          <cell r="I69">
            <v>1</v>
          </cell>
          <cell r="J69">
            <v>1</v>
          </cell>
          <cell r="K69">
            <v>1</v>
          </cell>
          <cell r="L69">
            <v>1</v>
          </cell>
          <cell r="M69">
            <v>1</v>
          </cell>
          <cell r="N69">
            <v>1</v>
          </cell>
          <cell r="O69">
            <v>1</v>
          </cell>
          <cell r="P69">
            <v>1</v>
          </cell>
          <cell r="Q69">
            <v>1</v>
          </cell>
          <cell r="R69">
            <v>1</v>
          </cell>
        </row>
        <row r="70">
          <cell r="D70">
            <v>1</v>
          </cell>
          <cell r="E70">
            <v>1</v>
          </cell>
          <cell r="F70">
            <v>1</v>
          </cell>
          <cell r="G70">
            <v>1</v>
          </cell>
          <cell r="H70">
            <v>1</v>
          </cell>
          <cell r="I70">
            <v>1</v>
          </cell>
          <cell r="J70">
            <v>1</v>
          </cell>
          <cell r="K70">
            <v>1</v>
          </cell>
          <cell r="L70">
            <v>1</v>
          </cell>
          <cell r="M70">
            <v>1</v>
          </cell>
          <cell r="N70">
            <v>1</v>
          </cell>
          <cell r="O70">
            <v>1</v>
          </cell>
          <cell r="P70">
            <v>1</v>
          </cell>
          <cell r="Q70">
            <v>1</v>
          </cell>
          <cell r="R70">
            <v>1</v>
          </cell>
        </row>
        <row r="71">
          <cell r="D71">
            <v>1</v>
          </cell>
          <cell r="E71">
            <v>1</v>
          </cell>
          <cell r="F71">
            <v>1</v>
          </cell>
          <cell r="G71">
            <v>1</v>
          </cell>
          <cell r="H71">
            <v>1</v>
          </cell>
          <cell r="I71">
            <v>1</v>
          </cell>
          <cell r="J71">
            <v>1</v>
          </cell>
          <cell r="K71">
            <v>1</v>
          </cell>
          <cell r="L71">
            <v>1</v>
          </cell>
          <cell r="M71">
            <v>1</v>
          </cell>
          <cell r="N71">
            <v>1</v>
          </cell>
          <cell r="O71">
            <v>1</v>
          </cell>
          <cell r="P71">
            <v>1</v>
          </cell>
          <cell r="Q71">
            <v>1</v>
          </cell>
          <cell r="R71">
            <v>1</v>
          </cell>
        </row>
        <row r="72">
          <cell r="D72">
            <v>1</v>
          </cell>
          <cell r="E72">
            <v>1</v>
          </cell>
          <cell r="F72">
            <v>1</v>
          </cell>
          <cell r="G72">
            <v>1</v>
          </cell>
          <cell r="H72">
            <v>1</v>
          </cell>
          <cell r="I72">
            <v>1</v>
          </cell>
          <cell r="J72">
            <v>1</v>
          </cell>
          <cell r="K72">
            <v>1</v>
          </cell>
          <cell r="L72">
            <v>1</v>
          </cell>
          <cell r="M72">
            <v>1</v>
          </cell>
          <cell r="N72">
            <v>1</v>
          </cell>
          <cell r="O72">
            <v>1</v>
          </cell>
          <cell r="P72">
            <v>1</v>
          </cell>
          <cell r="Q72">
            <v>1</v>
          </cell>
          <cell r="R72">
            <v>1</v>
          </cell>
        </row>
        <row r="73">
          <cell r="D73">
            <v>1</v>
          </cell>
          <cell r="E73">
            <v>1</v>
          </cell>
          <cell r="F73">
            <v>1</v>
          </cell>
          <cell r="G73">
            <v>1</v>
          </cell>
          <cell r="H73">
            <v>1</v>
          </cell>
          <cell r="I73">
            <v>1</v>
          </cell>
          <cell r="J73">
            <v>1</v>
          </cell>
          <cell r="K73">
            <v>1</v>
          </cell>
          <cell r="L73">
            <v>1</v>
          </cell>
          <cell r="M73">
            <v>1</v>
          </cell>
          <cell r="N73">
            <v>1</v>
          </cell>
          <cell r="O73">
            <v>1</v>
          </cell>
          <cell r="P73">
            <v>1</v>
          </cell>
          <cell r="Q73">
            <v>1</v>
          </cell>
          <cell r="R73">
            <v>1</v>
          </cell>
        </row>
        <row r="74">
          <cell r="D74">
            <v>1</v>
          </cell>
          <cell r="E74">
            <v>1</v>
          </cell>
          <cell r="F74">
            <v>1</v>
          </cell>
          <cell r="G74">
            <v>1</v>
          </cell>
          <cell r="H74">
            <v>1</v>
          </cell>
          <cell r="I74">
            <v>1</v>
          </cell>
          <cell r="J74">
            <v>1</v>
          </cell>
          <cell r="K74">
            <v>1</v>
          </cell>
          <cell r="L74">
            <v>1</v>
          </cell>
          <cell r="M74">
            <v>1</v>
          </cell>
          <cell r="N74">
            <v>1</v>
          </cell>
          <cell r="O74">
            <v>1</v>
          </cell>
          <cell r="P74">
            <v>1</v>
          </cell>
          <cell r="Q74">
            <v>1</v>
          </cell>
          <cell r="R74">
            <v>1</v>
          </cell>
        </row>
        <row r="75">
          <cell r="D75">
            <v>1</v>
          </cell>
          <cell r="E75">
            <v>1</v>
          </cell>
          <cell r="F75">
            <v>1</v>
          </cell>
          <cell r="G75">
            <v>1</v>
          </cell>
          <cell r="H75">
            <v>1</v>
          </cell>
          <cell r="I75">
            <v>1</v>
          </cell>
          <cell r="J75">
            <v>1</v>
          </cell>
          <cell r="K75">
            <v>1</v>
          </cell>
          <cell r="L75">
            <v>1</v>
          </cell>
          <cell r="M75">
            <v>1</v>
          </cell>
          <cell r="N75">
            <v>1</v>
          </cell>
          <cell r="O75">
            <v>1</v>
          </cell>
          <cell r="P75">
            <v>1</v>
          </cell>
          <cell r="Q75">
            <v>1</v>
          </cell>
          <cell r="R75">
            <v>1</v>
          </cell>
        </row>
        <row r="76">
          <cell r="D76">
            <v>1</v>
          </cell>
          <cell r="E76">
            <v>1</v>
          </cell>
          <cell r="F76">
            <v>1</v>
          </cell>
          <cell r="G76">
            <v>1</v>
          </cell>
          <cell r="H76">
            <v>1</v>
          </cell>
          <cell r="I76">
            <v>1</v>
          </cell>
          <cell r="J76">
            <v>1</v>
          </cell>
          <cell r="K76">
            <v>1</v>
          </cell>
          <cell r="L76">
            <v>1</v>
          </cell>
          <cell r="M76">
            <v>1</v>
          </cell>
          <cell r="N76">
            <v>1</v>
          </cell>
          <cell r="O76">
            <v>1</v>
          </cell>
          <cell r="P76">
            <v>1</v>
          </cell>
          <cell r="Q76">
            <v>1</v>
          </cell>
          <cell r="R76">
            <v>1</v>
          </cell>
        </row>
        <row r="77">
          <cell r="D77">
            <v>1</v>
          </cell>
          <cell r="E77">
            <v>1</v>
          </cell>
          <cell r="F77">
            <v>1</v>
          </cell>
          <cell r="G77">
            <v>1</v>
          </cell>
          <cell r="H77">
            <v>1</v>
          </cell>
          <cell r="I77">
            <v>1</v>
          </cell>
          <cell r="J77">
            <v>1</v>
          </cell>
          <cell r="K77">
            <v>1</v>
          </cell>
          <cell r="L77">
            <v>1</v>
          </cell>
          <cell r="M77">
            <v>1</v>
          </cell>
          <cell r="N77">
            <v>1</v>
          </cell>
          <cell r="O77">
            <v>1</v>
          </cell>
          <cell r="P77">
            <v>1</v>
          </cell>
          <cell r="Q77">
            <v>1</v>
          </cell>
          <cell r="R77">
            <v>1</v>
          </cell>
        </row>
        <row r="78">
          <cell r="D78">
            <v>1</v>
          </cell>
          <cell r="E78">
            <v>1</v>
          </cell>
          <cell r="F78">
            <v>1</v>
          </cell>
          <cell r="G78">
            <v>1</v>
          </cell>
          <cell r="H78">
            <v>1</v>
          </cell>
          <cell r="I78">
            <v>1</v>
          </cell>
          <cell r="J78">
            <v>1</v>
          </cell>
          <cell r="K78">
            <v>1</v>
          </cell>
          <cell r="L78">
            <v>1</v>
          </cell>
          <cell r="M78">
            <v>1</v>
          </cell>
          <cell r="N78">
            <v>1</v>
          </cell>
          <cell r="O78">
            <v>1</v>
          </cell>
          <cell r="P78">
            <v>1</v>
          </cell>
          <cell r="Q78">
            <v>1</v>
          </cell>
          <cell r="R78">
            <v>1</v>
          </cell>
        </row>
        <row r="79">
          <cell r="D79">
            <v>1</v>
          </cell>
          <cell r="E79">
            <v>1</v>
          </cell>
          <cell r="F79">
            <v>1</v>
          </cell>
          <cell r="G79">
            <v>1</v>
          </cell>
          <cell r="H79">
            <v>1</v>
          </cell>
          <cell r="I79">
            <v>1</v>
          </cell>
          <cell r="J79">
            <v>1</v>
          </cell>
          <cell r="K79">
            <v>1</v>
          </cell>
          <cell r="L79">
            <v>1</v>
          </cell>
          <cell r="M79">
            <v>1</v>
          </cell>
          <cell r="N79">
            <v>1</v>
          </cell>
          <cell r="O79">
            <v>1</v>
          </cell>
          <cell r="P79">
            <v>1</v>
          </cell>
          <cell r="Q79">
            <v>1</v>
          </cell>
          <cell r="R79">
            <v>1</v>
          </cell>
        </row>
        <row r="80">
          <cell r="D80">
            <v>1</v>
          </cell>
          <cell r="E80">
            <v>1</v>
          </cell>
          <cell r="F80">
            <v>1</v>
          </cell>
          <cell r="G80">
            <v>1</v>
          </cell>
          <cell r="H80">
            <v>1</v>
          </cell>
          <cell r="I80">
            <v>1</v>
          </cell>
          <cell r="J80">
            <v>1</v>
          </cell>
          <cell r="K80">
            <v>1</v>
          </cell>
          <cell r="L80">
            <v>1</v>
          </cell>
          <cell r="M80">
            <v>1</v>
          </cell>
          <cell r="N80">
            <v>1</v>
          </cell>
          <cell r="O80">
            <v>1</v>
          </cell>
          <cell r="P80">
            <v>1</v>
          </cell>
          <cell r="Q80">
            <v>1</v>
          </cell>
          <cell r="R80">
            <v>1</v>
          </cell>
        </row>
        <row r="81">
          <cell r="D81">
            <v>1</v>
          </cell>
          <cell r="E81">
            <v>1</v>
          </cell>
          <cell r="F81">
            <v>1</v>
          </cell>
          <cell r="G81">
            <v>1</v>
          </cell>
          <cell r="H81">
            <v>1</v>
          </cell>
          <cell r="I81">
            <v>1</v>
          </cell>
          <cell r="J81">
            <v>1</v>
          </cell>
          <cell r="K81">
            <v>1</v>
          </cell>
          <cell r="L81">
            <v>1</v>
          </cell>
          <cell r="M81">
            <v>1</v>
          </cell>
          <cell r="N81">
            <v>1</v>
          </cell>
          <cell r="O81">
            <v>1</v>
          </cell>
          <cell r="P81">
            <v>1</v>
          </cell>
          <cell r="Q81">
            <v>1</v>
          </cell>
          <cell r="R81">
            <v>1</v>
          </cell>
        </row>
        <row r="82">
          <cell r="D82">
            <v>1</v>
          </cell>
          <cell r="E82">
            <v>1</v>
          </cell>
          <cell r="F82">
            <v>1</v>
          </cell>
          <cell r="G82">
            <v>1</v>
          </cell>
          <cell r="H82">
            <v>1</v>
          </cell>
          <cell r="I82">
            <v>1</v>
          </cell>
          <cell r="J82">
            <v>1</v>
          </cell>
          <cell r="K82">
            <v>1</v>
          </cell>
          <cell r="L82">
            <v>1</v>
          </cell>
          <cell r="M82">
            <v>1</v>
          </cell>
          <cell r="N82">
            <v>1</v>
          </cell>
          <cell r="O82">
            <v>1</v>
          </cell>
          <cell r="P82">
            <v>1</v>
          </cell>
          <cell r="Q82">
            <v>1</v>
          </cell>
          <cell r="R82">
            <v>1</v>
          </cell>
        </row>
        <row r="83">
          <cell r="D83">
            <v>1</v>
          </cell>
          <cell r="E83">
            <v>1</v>
          </cell>
          <cell r="F83">
            <v>1</v>
          </cell>
          <cell r="G83">
            <v>1</v>
          </cell>
          <cell r="H83">
            <v>1</v>
          </cell>
          <cell r="I83">
            <v>1</v>
          </cell>
          <cell r="J83">
            <v>1</v>
          </cell>
          <cell r="K83">
            <v>1</v>
          </cell>
          <cell r="L83">
            <v>1</v>
          </cell>
          <cell r="M83">
            <v>1</v>
          </cell>
          <cell r="N83">
            <v>1</v>
          </cell>
          <cell r="O83">
            <v>1</v>
          </cell>
          <cell r="P83">
            <v>1</v>
          </cell>
          <cell r="Q83">
            <v>1</v>
          </cell>
          <cell r="R83">
            <v>1</v>
          </cell>
        </row>
        <row r="84">
          <cell r="D84">
            <v>1</v>
          </cell>
          <cell r="E84">
            <v>1</v>
          </cell>
          <cell r="F84">
            <v>1</v>
          </cell>
          <cell r="G84">
            <v>1</v>
          </cell>
          <cell r="H84">
            <v>1</v>
          </cell>
          <cell r="I84">
            <v>1</v>
          </cell>
          <cell r="J84">
            <v>1</v>
          </cell>
          <cell r="K84">
            <v>1</v>
          </cell>
          <cell r="L84">
            <v>1</v>
          </cell>
          <cell r="M84">
            <v>1</v>
          </cell>
          <cell r="N84">
            <v>1</v>
          </cell>
          <cell r="O84">
            <v>1</v>
          </cell>
          <cell r="P84">
            <v>1</v>
          </cell>
          <cell r="Q84">
            <v>1</v>
          </cell>
          <cell r="R84">
            <v>1</v>
          </cell>
        </row>
        <row r="85">
          <cell r="D85">
            <v>1</v>
          </cell>
          <cell r="E85">
            <v>1</v>
          </cell>
          <cell r="F85">
            <v>1</v>
          </cell>
          <cell r="G85">
            <v>1</v>
          </cell>
          <cell r="H85">
            <v>1</v>
          </cell>
          <cell r="I85">
            <v>1</v>
          </cell>
          <cell r="J85">
            <v>1</v>
          </cell>
          <cell r="K85">
            <v>1</v>
          </cell>
          <cell r="L85">
            <v>1</v>
          </cell>
          <cell r="M85">
            <v>1</v>
          </cell>
          <cell r="N85">
            <v>1</v>
          </cell>
          <cell r="O85">
            <v>1</v>
          </cell>
          <cell r="P85">
            <v>1</v>
          </cell>
          <cell r="Q85">
            <v>1</v>
          </cell>
          <cell r="R85">
            <v>1</v>
          </cell>
        </row>
        <row r="86">
          <cell r="D86">
            <v>1</v>
          </cell>
          <cell r="E86">
            <v>1</v>
          </cell>
          <cell r="F86">
            <v>1</v>
          </cell>
          <cell r="G86">
            <v>1</v>
          </cell>
          <cell r="H86">
            <v>1</v>
          </cell>
          <cell r="I86">
            <v>1</v>
          </cell>
          <cell r="J86">
            <v>1</v>
          </cell>
          <cell r="K86">
            <v>1</v>
          </cell>
          <cell r="L86">
            <v>1</v>
          </cell>
          <cell r="M86">
            <v>1</v>
          </cell>
          <cell r="N86">
            <v>1</v>
          </cell>
          <cell r="O86">
            <v>1</v>
          </cell>
          <cell r="P86">
            <v>1</v>
          </cell>
          <cell r="Q86">
            <v>1</v>
          </cell>
          <cell r="R86">
            <v>1</v>
          </cell>
        </row>
        <row r="87">
          <cell r="D87">
            <v>1</v>
          </cell>
          <cell r="E87">
            <v>1</v>
          </cell>
          <cell r="F87">
            <v>1</v>
          </cell>
          <cell r="G87">
            <v>1</v>
          </cell>
          <cell r="H87">
            <v>1</v>
          </cell>
          <cell r="I87">
            <v>1</v>
          </cell>
          <cell r="J87">
            <v>1</v>
          </cell>
          <cell r="K87">
            <v>1</v>
          </cell>
          <cell r="L87">
            <v>1</v>
          </cell>
          <cell r="M87">
            <v>1</v>
          </cell>
          <cell r="N87">
            <v>1</v>
          </cell>
          <cell r="O87">
            <v>1</v>
          </cell>
          <cell r="P87">
            <v>1</v>
          </cell>
          <cell r="Q87">
            <v>1</v>
          </cell>
          <cell r="R87">
            <v>1</v>
          </cell>
        </row>
        <row r="88">
          <cell r="D88">
            <v>1</v>
          </cell>
          <cell r="E88">
            <v>1</v>
          </cell>
          <cell r="F88">
            <v>1</v>
          </cell>
          <cell r="G88">
            <v>1</v>
          </cell>
          <cell r="H88">
            <v>1</v>
          </cell>
          <cell r="I88">
            <v>1</v>
          </cell>
          <cell r="J88">
            <v>1</v>
          </cell>
          <cell r="K88">
            <v>1</v>
          </cell>
          <cell r="L88">
            <v>1</v>
          </cell>
          <cell r="M88">
            <v>1</v>
          </cell>
          <cell r="N88">
            <v>1</v>
          </cell>
          <cell r="O88">
            <v>1</v>
          </cell>
          <cell r="P88">
            <v>1</v>
          </cell>
          <cell r="Q88">
            <v>1</v>
          </cell>
          <cell r="R88">
            <v>1</v>
          </cell>
        </row>
        <row r="89">
          <cell r="D89">
            <v>1</v>
          </cell>
          <cell r="E89">
            <v>1</v>
          </cell>
          <cell r="F89">
            <v>1</v>
          </cell>
          <cell r="G89">
            <v>1</v>
          </cell>
          <cell r="H89">
            <v>1</v>
          </cell>
          <cell r="I89">
            <v>1</v>
          </cell>
          <cell r="J89">
            <v>1</v>
          </cell>
          <cell r="K89">
            <v>1</v>
          </cell>
          <cell r="L89">
            <v>1</v>
          </cell>
          <cell r="M89">
            <v>1</v>
          </cell>
          <cell r="N89">
            <v>1</v>
          </cell>
          <cell r="O89">
            <v>1</v>
          </cell>
          <cell r="P89">
            <v>1</v>
          </cell>
          <cell r="Q89">
            <v>1</v>
          </cell>
          <cell r="R89">
            <v>1</v>
          </cell>
        </row>
        <row r="90">
          <cell r="D90">
            <v>1</v>
          </cell>
          <cell r="E90">
            <v>1</v>
          </cell>
          <cell r="F90">
            <v>1</v>
          </cell>
          <cell r="G90">
            <v>1</v>
          </cell>
          <cell r="H90">
            <v>1</v>
          </cell>
          <cell r="I90">
            <v>1</v>
          </cell>
          <cell r="J90">
            <v>1</v>
          </cell>
          <cell r="K90">
            <v>1</v>
          </cell>
          <cell r="L90">
            <v>1</v>
          </cell>
          <cell r="M90">
            <v>1</v>
          </cell>
          <cell r="N90">
            <v>1</v>
          </cell>
          <cell r="O90">
            <v>1</v>
          </cell>
          <cell r="P90">
            <v>1</v>
          </cell>
          <cell r="Q90">
            <v>1</v>
          </cell>
          <cell r="R90">
            <v>1</v>
          </cell>
        </row>
        <row r="91">
          <cell r="D91">
            <v>1</v>
          </cell>
          <cell r="E91">
            <v>1</v>
          </cell>
          <cell r="F91">
            <v>1</v>
          </cell>
          <cell r="G91">
            <v>1</v>
          </cell>
          <cell r="H91">
            <v>1</v>
          </cell>
          <cell r="I91">
            <v>1</v>
          </cell>
          <cell r="J91">
            <v>1</v>
          </cell>
          <cell r="K91">
            <v>1</v>
          </cell>
          <cell r="L91">
            <v>1</v>
          </cell>
          <cell r="M91">
            <v>1</v>
          </cell>
          <cell r="N91">
            <v>1</v>
          </cell>
          <cell r="O91">
            <v>1</v>
          </cell>
          <cell r="P91">
            <v>1</v>
          </cell>
          <cell r="Q91">
            <v>1</v>
          </cell>
          <cell r="R91">
            <v>1</v>
          </cell>
        </row>
        <row r="92">
          <cell r="D92">
            <v>1</v>
          </cell>
          <cell r="E92">
            <v>1</v>
          </cell>
          <cell r="F92">
            <v>1</v>
          </cell>
          <cell r="G92">
            <v>1</v>
          </cell>
          <cell r="H92">
            <v>1</v>
          </cell>
          <cell r="I92">
            <v>1</v>
          </cell>
          <cell r="J92">
            <v>1</v>
          </cell>
          <cell r="K92">
            <v>1</v>
          </cell>
          <cell r="L92">
            <v>1</v>
          </cell>
          <cell r="M92">
            <v>1</v>
          </cell>
          <cell r="N92">
            <v>1</v>
          </cell>
          <cell r="O92">
            <v>1</v>
          </cell>
          <cell r="P92">
            <v>1</v>
          </cell>
          <cell r="Q92">
            <v>1</v>
          </cell>
          <cell r="R92">
            <v>1</v>
          </cell>
        </row>
        <row r="93">
          <cell r="D93">
            <v>1</v>
          </cell>
          <cell r="E93">
            <v>1</v>
          </cell>
          <cell r="F93">
            <v>1</v>
          </cell>
          <cell r="G93">
            <v>1</v>
          </cell>
          <cell r="H93">
            <v>1</v>
          </cell>
          <cell r="I93">
            <v>1</v>
          </cell>
          <cell r="J93">
            <v>1</v>
          </cell>
          <cell r="K93">
            <v>1</v>
          </cell>
          <cell r="L93">
            <v>1</v>
          </cell>
          <cell r="M93">
            <v>1</v>
          </cell>
          <cell r="N93">
            <v>1</v>
          </cell>
          <cell r="O93">
            <v>1</v>
          </cell>
          <cell r="P93">
            <v>1</v>
          </cell>
          <cell r="Q93">
            <v>1</v>
          </cell>
          <cell r="R93">
            <v>1</v>
          </cell>
        </row>
        <row r="94">
          <cell r="D94">
            <v>1</v>
          </cell>
          <cell r="E94">
            <v>1</v>
          </cell>
          <cell r="F94">
            <v>1</v>
          </cell>
          <cell r="G94">
            <v>1</v>
          </cell>
          <cell r="H94">
            <v>1</v>
          </cell>
          <cell r="I94">
            <v>1</v>
          </cell>
          <cell r="J94">
            <v>1</v>
          </cell>
          <cell r="K94">
            <v>1</v>
          </cell>
          <cell r="L94">
            <v>1</v>
          </cell>
          <cell r="M94">
            <v>1</v>
          </cell>
          <cell r="N94">
            <v>1</v>
          </cell>
          <cell r="O94">
            <v>1</v>
          </cell>
          <cell r="P94">
            <v>1</v>
          </cell>
          <cell r="Q94">
            <v>1</v>
          </cell>
          <cell r="R94">
            <v>1</v>
          </cell>
        </row>
        <row r="95">
          <cell r="D95">
            <v>1</v>
          </cell>
          <cell r="E95">
            <v>1</v>
          </cell>
          <cell r="F95">
            <v>1</v>
          </cell>
          <cell r="G95">
            <v>1</v>
          </cell>
          <cell r="H95">
            <v>1</v>
          </cell>
          <cell r="I95">
            <v>1</v>
          </cell>
          <cell r="J95">
            <v>1</v>
          </cell>
          <cell r="K95">
            <v>1</v>
          </cell>
          <cell r="L95">
            <v>1</v>
          </cell>
          <cell r="M95">
            <v>1</v>
          </cell>
          <cell r="N95">
            <v>1</v>
          </cell>
          <cell r="O95">
            <v>1</v>
          </cell>
          <cell r="P95">
            <v>1</v>
          </cell>
          <cell r="Q95">
            <v>1</v>
          </cell>
          <cell r="R95">
            <v>1</v>
          </cell>
        </row>
        <row r="96">
          <cell r="D96">
            <v>1</v>
          </cell>
          <cell r="E96">
            <v>1</v>
          </cell>
          <cell r="F96">
            <v>1</v>
          </cell>
          <cell r="G96">
            <v>1</v>
          </cell>
          <cell r="H96">
            <v>1</v>
          </cell>
          <cell r="I96">
            <v>1</v>
          </cell>
          <cell r="J96">
            <v>1</v>
          </cell>
          <cell r="K96">
            <v>1</v>
          </cell>
          <cell r="L96">
            <v>1</v>
          </cell>
          <cell r="M96">
            <v>1</v>
          </cell>
          <cell r="N96">
            <v>1</v>
          </cell>
          <cell r="O96">
            <v>1</v>
          </cell>
          <cell r="P96">
            <v>1</v>
          </cell>
          <cell r="Q96">
            <v>1</v>
          </cell>
          <cell r="R96">
            <v>1</v>
          </cell>
        </row>
        <row r="97">
          <cell r="D97">
            <v>1</v>
          </cell>
          <cell r="E97">
            <v>1</v>
          </cell>
          <cell r="F97">
            <v>1</v>
          </cell>
          <cell r="G97">
            <v>1</v>
          </cell>
          <cell r="H97">
            <v>1</v>
          </cell>
          <cell r="I97">
            <v>1</v>
          </cell>
          <cell r="J97">
            <v>1</v>
          </cell>
          <cell r="K97">
            <v>1</v>
          </cell>
          <cell r="L97">
            <v>1</v>
          </cell>
          <cell r="M97">
            <v>1</v>
          </cell>
          <cell r="N97">
            <v>1</v>
          </cell>
          <cell r="O97">
            <v>1</v>
          </cell>
          <cell r="P97">
            <v>1</v>
          </cell>
          <cell r="Q97">
            <v>1</v>
          </cell>
          <cell r="R97">
            <v>1</v>
          </cell>
        </row>
        <row r="98">
          <cell r="D98">
            <v>1</v>
          </cell>
          <cell r="E98">
            <v>1</v>
          </cell>
          <cell r="F98">
            <v>1</v>
          </cell>
          <cell r="G98">
            <v>1</v>
          </cell>
          <cell r="H98">
            <v>1</v>
          </cell>
          <cell r="I98">
            <v>1</v>
          </cell>
          <cell r="J98">
            <v>1</v>
          </cell>
          <cell r="K98">
            <v>1</v>
          </cell>
          <cell r="L98">
            <v>1</v>
          </cell>
          <cell r="M98">
            <v>1</v>
          </cell>
          <cell r="N98">
            <v>1</v>
          </cell>
          <cell r="O98">
            <v>1</v>
          </cell>
          <cell r="P98">
            <v>1</v>
          </cell>
          <cell r="Q98">
            <v>1</v>
          </cell>
          <cell r="R98">
            <v>1</v>
          </cell>
        </row>
      </sheetData>
      <sheetData sheetId="18" refreshError="1">
        <row r="95">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row>
        <row r="103">
          <cell r="C103">
            <v>20127</v>
          </cell>
          <cell r="D103">
            <v>63138</v>
          </cell>
          <cell r="E103">
            <v>500401</v>
          </cell>
          <cell r="F103">
            <v>1329416</v>
          </cell>
          <cell r="G103">
            <v>3373992</v>
          </cell>
          <cell r="H103">
            <v>3881959</v>
          </cell>
          <cell r="I103">
            <v>4017098</v>
          </cell>
          <cell r="J103">
            <v>6349271</v>
          </cell>
          <cell r="K103">
            <v>7165114</v>
          </cell>
          <cell r="L103">
            <v>7367718</v>
          </cell>
          <cell r="M103">
            <v>8520325</v>
          </cell>
          <cell r="N103">
            <v>14557925</v>
          </cell>
          <cell r="O103">
            <v>25537467</v>
          </cell>
          <cell r="P103">
            <v>52302195</v>
          </cell>
          <cell r="Q103">
            <v>71175852</v>
          </cell>
        </row>
      </sheetData>
      <sheetData sheetId="19" refreshError="1">
        <row r="95">
          <cell r="C95">
            <v>0</v>
          </cell>
          <cell r="D95">
            <v>0</v>
          </cell>
          <cell r="E95">
            <v>0</v>
          </cell>
          <cell r="F95">
            <v>0</v>
          </cell>
          <cell r="G95">
            <v>0</v>
          </cell>
          <cell r="H95">
            <v>0</v>
          </cell>
          <cell r="I95">
            <v>8071031.0039999997</v>
          </cell>
          <cell r="K95">
            <v>12820545.575999999</v>
          </cell>
          <cell r="M95">
            <v>18822792.119999997</v>
          </cell>
          <cell r="O95">
            <v>27866322.074000001</v>
          </cell>
          <cell r="Q95">
            <v>46597257.914000005</v>
          </cell>
          <cell r="S95">
            <v>83220377.615999997</v>
          </cell>
          <cell r="T95">
            <v>33525815.286745109</v>
          </cell>
          <cell r="U95">
            <v>118845179.64999999</v>
          </cell>
          <cell r="W95">
            <v>112581293.15000001</v>
          </cell>
        </row>
        <row r="103">
          <cell r="C103">
            <v>20127</v>
          </cell>
          <cell r="D103">
            <v>63138</v>
          </cell>
          <cell r="E103">
            <v>500401</v>
          </cell>
          <cell r="F103">
            <v>1329416</v>
          </cell>
          <cell r="G103">
            <v>3373992</v>
          </cell>
          <cell r="H103">
            <v>3881959</v>
          </cell>
          <cell r="I103">
            <v>3454243.852</v>
          </cell>
          <cell r="K103">
            <v>5569741.7879999997</v>
          </cell>
          <cell r="M103">
            <v>7927846.0099999998</v>
          </cell>
          <cell r="O103">
            <v>11613530.587000001</v>
          </cell>
          <cell r="Q103">
            <v>19707135.007000003</v>
          </cell>
          <cell r="S103">
            <v>35935120.957800001</v>
          </cell>
          <cell r="T103">
            <v>25478958.238794774</v>
          </cell>
          <cell r="U103">
            <v>58157347.527499996</v>
          </cell>
          <cell r="W103">
            <v>56448709.302500002</v>
          </cell>
        </row>
      </sheetData>
      <sheetData sheetId="20" refreshError="1">
        <row r="95">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row>
        <row r="103">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row>
      </sheetData>
      <sheetData sheetId="21" refreshError="1">
        <row r="95">
          <cell r="O95">
            <v>0</v>
          </cell>
          <cell r="P95">
            <v>0</v>
          </cell>
          <cell r="Q95">
            <v>0</v>
          </cell>
        </row>
        <row r="103">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row>
      </sheetData>
      <sheetData sheetId="22" refreshError="1">
        <row r="95">
          <cell r="O95">
            <v>0</v>
          </cell>
          <cell r="P95">
            <v>0</v>
          </cell>
          <cell r="Q95">
            <v>0</v>
          </cell>
        </row>
        <row r="103">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row>
      </sheetData>
      <sheetData sheetId="23" refreshError="1">
        <row r="94">
          <cell r="P94">
            <v>0</v>
          </cell>
          <cell r="Q94">
            <v>0</v>
          </cell>
        </row>
      </sheetData>
      <sheetData sheetId="24" refreshError="1">
        <row r="95">
          <cell r="O95">
            <v>0</v>
          </cell>
        </row>
        <row r="103">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row>
      </sheetData>
      <sheetData sheetId="25" refreshError="1">
        <row r="94">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row>
      </sheetData>
      <sheetData sheetId="26" refreshError="1">
        <row r="95">
          <cell r="P95">
            <v>0</v>
          </cell>
          <cell r="Q95">
            <v>0</v>
          </cell>
        </row>
        <row r="103">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row>
      </sheetData>
      <sheetData sheetId="27" refreshError="1">
        <row r="103">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row>
      </sheetData>
      <sheetData sheetId="28" refreshError="1">
        <row r="103">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row>
      </sheetData>
      <sheetData sheetId="29" refreshError="1">
        <row r="103">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row>
      </sheetData>
      <sheetData sheetId="30" refreshError="1">
        <row r="103">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row>
      </sheetData>
      <sheetData sheetId="31" refreshError="1">
        <row r="103">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row>
      </sheetData>
      <sheetData sheetId="32" refreshError="1">
        <row r="103">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row>
      </sheetData>
      <sheetData sheetId="33" refreshError="1">
        <row r="103">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row>
      </sheetData>
      <sheetData sheetId="34" refreshError="1">
        <row r="103">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row>
      </sheetData>
      <sheetData sheetId="35" refreshError="1">
        <row r="103">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row>
      </sheetData>
      <sheetData sheetId="36" refreshError="1">
        <row r="103">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row>
      </sheetData>
      <sheetData sheetId="37" refreshError="1">
        <row r="103">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row>
      </sheetData>
      <sheetData sheetId="38" refreshError="1">
        <row r="103">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row>
      </sheetData>
      <sheetData sheetId="39" refreshError="1">
        <row r="103">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row>
      </sheetData>
      <sheetData sheetId="40" refreshError="1">
        <row r="103">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row>
      </sheetData>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data"/>
      <sheetName val="PECO Capital Pivot DO NOT TOUCH"/>
      <sheetName val="PECO O&amp;M Pivot - DO NOT Touch"/>
      <sheetName val="2014 IS Actual"/>
      <sheetName val="Sheet1"/>
      <sheetName val="ChileanGaap"/>
      <sheetName val="Gastos"/>
      <sheetName val="Inversiones en Activo"/>
      <sheetName val="Inversiones en Empresas"/>
      <sheetName val="Otros_Prestamos"/>
      <sheetName val="Gastos_Personal"/>
      <sheetName val="Ingresos_Servicios"/>
      <sheetName val="USGaap_$"/>
      <sheetName val="USGaap_US$"/>
      <sheetName val="Venta"/>
      <sheetName val="Instructions"/>
      <sheetName val="Data Flow"/>
      <sheetName val="PECO Weather Normalization"/>
      <sheetName val="Annual"/>
      <sheetName val="Graph"/>
      <sheetName val="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amp;m"/>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lon IT SFAs"/>
      <sheetName val="Sheet2"/>
      <sheetName val="Programs &amp; Projects"/>
      <sheetName val="Others"/>
    </sheetNames>
    <sheetDataSet>
      <sheetData sheetId="0"/>
      <sheetData sheetId="1">
        <row r="1">
          <cell r="O1" t="str">
            <v>Clewett</v>
          </cell>
          <cell r="P1" t="str">
            <v>Process</v>
          </cell>
          <cell r="Q1" t="str">
            <v>in-Flight</v>
          </cell>
          <cell r="AE1" t="str">
            <v>Calabrese</v>
          </cell>
          <cell r="AF1" t="str">
            <v>Program</v>
          </cell>
        </row>
        <row r="2">
          <cell r="O2" t="str">
            <v>Hill</v>
          </cell>
          <cell r="P2" t="str">
            <v>Renewal</v>
          </cell>
          <cell r="Q2" t="str">
            <v>2005/Q1</v>
          </cell>
          <cell r="AE2" t="str">
            <v>Chang</v>
          </cell>
          <cell r="AF2" t="str">
            <v>Project</v>
          </cell>
        </row>
        <row r="3">
          <cell r="O3" t="str">
            <v>Lasky</v>
          </cell>
          <cell r="P3" t="str">
            <v>Innovate</v>
          </cell>
          <cell r="Q3" t="str">
            <v>2005/Q2</v>
          </cell>
          <cell r="AE3" t="str">
            <v>Clewett</v>
          </cell>
          <cell r="AF3" t="str">
            <v>Pgm/Prj</v>
          </cell>
        </row>
        <row r="4">
          <cell r="O4" t="str">
            <v>Peery</v>
          </cell>
          <cell r="P4" t="str">
            <v>Transform</v>
          </cell>
          <cell r="Q4" t="str">
            <v>2005/Q3</v>
          </cell>
          <cell r="AE4" t="str">
            <v>Doemland</v>
          </cell>
        </row>
        <row r="5">
          <cell r="O5" t="str">
            <v>Walters</v>
          </cell>
          <cell r="Q5" t="str">
            <v>2005/Q4</v>
          </cell>
          <cell r="AE5" t="str">
            <v>Farrington</v>
          </cell>
        </row>
        <row r="6">
          <cell r="Q6" t="str">
            <v>2006/Q1</v>
          </cell>
          <cell r="AE6" t="str">
            <v>Feeley</v>
          </cell>
        </row>
        <row r="7">
          <cell r="Q7" t="str">
            <v>2006/Q2</v>
          </cell>
          <cell r="AE7" t="str">
            <v>Gromos</v>
          </cell>
        </row>
        <row r="8">
          <cell r="Q8" t="str">
            <v>2006/Q3</v>
          </cell>
          <cell r="AE8" t="str">
            <v>Hanson</v>
          </cell>
        </row>
        <row r="9">
          <cell r="Q9" t="str">
            <v>2006/Q4</v>
          </cell>
          <cell r="AE9" t="str">
            <v>Horvatich</v>
          </cell>
        </row>
        <row r="10">
          <cell r="Q10">
            <v>2007</v>
          </cell>
          <cell r="AE10" t="str">
            <v>Hunt</v>
          </cell>
        </row>
        <row r="11">
          <cell r="Q11">
            <v>2008</v>
          </cell>
          <cell r="AE11" t="str">
            <v>Lasky</v>
          </cell>
        </row>
        <row r="12">
          <cell r="Q12">
            <v>2009</v>
          </cell>
          <cell r="AE12" t="str">
            <v>Lindsey</v>
          </cell>
        </row>
        <row r="13">
          <cell r="Q13">
            <v>2010</v>
          </cell>
          <cell r="AE13" t="str">
            <v>Martin</v>
          </cell>
        </row>
        <row r="14">
          <cell r="Q14">
            <v>2011</v>
          </cell>
          <cell r="AE14" t="str">
            <v>Meehan</v>
          </cell>
        </row>
        <row r="15">
          <cell r="Q15">
            <v>2012</v>
          </cell>
          <cell r="AE15" t="str">
            <v>Miller</v>
          </cell>
        </row>
        <row r="16">
          <cell r="Q16">
            <v>2013</v>
          </cell>
          <cell r="AE16" t="str">
            <v>Muehlbauer</v>
          </cell>
        </row>
        <row r="17">
          <cell r="Q17">
            <v>2014</v>
          </cell>
          <cell r="AE17" t="str">
            <v>Ortiz</v>
          </cell>
        </row>
        <row r="18">
          <cell r="AE18" t="str">
            <v>Poggensee</v>
          </cell>
        </row>
        <row r="19">
          <cell r="AE19" t="str">
            <v>Reyes</v>
          </cell>
        </row>
        <row r="20">
          <cell r="AE20" t="str">
            <v>Salmon</v>
          </cell>
        </row>
        <row r="21">
          <cell r="AE21" t="str">
            <v>Schneider</v>
          </cell>
        </row>
        <row r="22">
          <cell r="AE22" t="str">
            <v>Tate</v>
          </cell>
        </row>
        <row r="23">
          <cell r="AE23" t="str">
            <v>Terman</v>
          </cell>
        </row>
        <row r="24">
          <cell r="AE24" t="str">
            <v>Tryfonopoulos</v>
          </cell>
        </row>
      </sheetData>
      <sheetData sheetId="2"/>
      <sheetData sheetId="3"/>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TOC v2"/>
      <sheetName val="Roadmap"/>
      <sheetName val="A - 1"/>
      <sheetName val="A - 2"/>
      <sheetName val="A - 2.1"/>
      <sheetName val="A - 3"/>
      <sheetName val="A - 4"/>
      <sheetName val="A - 5a"/>
      <sheetName val="A - 5b"/>
      <sheetName val="WPA - 5a"/>
      <sheetName val="WPA - 5b"/>
      <sheetName val="B - 1"/>
      <sheetName val="WPB-1.1"/>
      <sheetName val="WPB-1.2"/>
      <sheetName val="B  - 2"/>
      <sheetName val="B - 2.1"/>
      <sheetName val="B - 2.2"/>
      <sheetName val="B - 3"/>
      <sheetName val="B - 4"/>
      <sheetName val="B - 5"/>
      <sheetName val="WPB - 5"/>
      <sheetName val="B - 6a"/>
      <sheetName val="B - 6b"/>
      <sheetName val="B - 7.2a"/>
      <sheetName val="B - 7.2b"/>
      <sheetName val="B-8"/>
      <sheetName val="B - 8.1"/>
      <sheetName val="WPB - 8.1"/>
      <sheetName val="B - 9"/>
      <sheetName val="WPB - 9"/>
      <sheetName val="B - 9.1"/>
      <sheetName val="B - 13"/>
      <sheetName val="WPB - 13a"/>
      <sheetName val="WPB - 13b"/>
      <sheetName val="WPB - 13c"/>
      <sheetName val="2003 - B - 13"/>
      <sheetName val="2003 - WPB - 13"/>
      <sheetName val="B - 14"/>
      <sheetName val="WPB - 14"/>
      <sheetName val="C - 1"/>
      <sheetName val="C - 2"/>
      <sheetName val="C - 2.1"/>
      <sheetName val="C - 2.2"/>
      <sheetName val="WPC - 2.2"/>
      <sheetName val="C - 2.3"/>
      <sheetName val="C - 2.4"/>
      <sheetName val="C - 2.5"/>
      <sheetName val="WPC - 2.5"/>
      <sheetName val="C - 2.6"/>
      <sheetName val="WPC - 2.6"/>
      <sheetName val="C - 2.7"/>
      <sheetName val="WPC - 2.7"/>
      <sheetName val="C - 2.8"/>
      <sheetName val="C - 2.9"/>
      <sheetName val="C - 2.10"/>
      <sheetName val="WPC - 2.10"/>
      <sheetName val="C - 2.11"/>
      <sheetName val="WPC - 2.11a"/>
      <sheetName val="WPC - 2.11b"/>
      <sheetName val="C - 2.12"/>
      <sheetName val="WPC - 2.12a"/>
      <sheetName val="WPC - 2.12b"/>
      <sheetName val="C - 2.13"/>
      <sheetName val="C - 2.14"/>
      <sheetName val="WPC - 2.14a"/>
      <sheetName val="WPC - 2.14b"/>
      <sheetName val="C - 3"/>
      <sheetName val="WPC - 4"/>
      <sheetName val="C - 4"/>
      <sheetName val="C-5"/>
      <sheetName val="C - 5b"/>
      <sheetName val="C - 5.1"/>
      <sheetName val="C-5.2"/>
      <sheetName val="C - 5.3"/>
      <sheetName val="C - 5.4"/>
      <sheetName val="WPC - 5.4"/>
      <sheetName val="C - 5.5"/>
      <sheetName val="C - 6"/>
      <sheetName val="C - 6.1"/>
      <sheetName val="C - 6.2"/>
      <sheetName val="C - 7"/>
      <sheetName val="C - 8"/>
      <sheetName val="WPC - 8"/>
      <sheetName val="C - 9"/>
      <sheetName val="C - 10"/>
      <sheetName val="WPC-10"/>
      <sheetName val="C - 10.1"/>
      <sheetName val="C - 11.1"/>
      <sheetName val="WPC - 11.1"/>
      <sheetName val="C-11.2a"/>
      <sheetName val="WPC-11.2a"/>
      <sheetName val="C-11.2b"/>
      <sheetName val="C-11.2c"/>
      <sheetName val="C-11.2d"/>
      <sheetName val="C-11.2e"/>
      <sheetName val="C-11.2f"/>
      <sheetName val="C-11.2g"/>
      <sheetName val="C-11.2h"/>
      <sheetName val="C - 11.3"/>
      <sheetName val="WPC - 11.3"/>
      <sheetName val="C - 12"/>
      <sheetName val="WPC - 12a"/>
      <sheetName val="WPC - 12c"/>
      <sheetName val="C-13"/>
      <sheetName val="C - 14"/>
      <sheetName val="WPC - 14"/>
      <sheetName val="C - 16"/>
      <sheetName val="WPC-16"/>
      <sheetName val="C - 17a"/>
      <sheetName val="C - 17b"/>
      <sheetName val="C - 17c"/>
      <sheetName val="C - 17d"/>
      <sheetName val="C-18"/>
      <sheetName val="WPC - 18a"/>
      <sheetName val="WPC - 18b"/>
      <sheetName val="WPC - 18c"/>
      <sheetName val="C - 19"/>
      <sheetName val="C - 21"/>
      <sheetName val="C - 23"/>
      <sheetName val="C - 25"/>
      <sheetName val="C - 26"/>
      <sheetName val="C - 30"/>
    </sheetNames>
    <sheetDataSet>
      <sheetData sheetId="0" refreshError="1"/>
      <sheetData sheetId="1" refreshError="1"/>
      <sheetData sheetId="2" refreshError="1">
        <row r="136">
          <cell r="B136" t="str">
            <v>As of June 30, 2007</v>
          </cell>
        </row>
        <row r="137">
          <cell r="B137" t="str">
            <v xml:space="preserve">As of June 30, </v>
          </cell>
        </row>
        <row r="138">
          <cell r="B138" t="str">
            <v>For the Twelve Months Ended June 30, 2007</v>
          </cell>
        </row>
        <row r="139">
          <cell r="B139" t="str">
            <v>For the Twelve Months Ended June 30,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TACHMENT E"/>
      <sheetName val="ATTACHMENT D"/>
      <sheetName val="ATTACHMENT C"/>
      <sheetName val="ATTACHMENT B"/>
      <sheetName val="ATTACHMENT A"/>
      <sheetName val="SUM BY GROUP BY SITE BY YEAR"/>
      <sheetName val="CRC SCENARIO 1"/>
      <sheetName val="CRC SCENARIO 1 (BY SITE)"/>
      <sheetName val="CRC SCENARIO 2"/>
      <sheetName val="CRC SCENARIO 2 (BY SITE)"/>
      <sheetName val="IDR 15"/>
      <sheetName val="SAMPLE WORKSHEET"/>
      <sheetName val="REVISED 1998 SUM BY GROUP"/>
      <sheetName val="LEGACY SUM BY GROUP BY LOCATION"/>
      <sheetName val="CBMS SUM BY GROUP BY LOCATION"/>
      <sheetName val="Sample"/>
      <sheetName val="REVIS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GROUP</v>
          </cell>
          <cell r="B1" t="str">
            <v>PROJECT GROUP NAME</v>
          </cell>
          <cell r="C1" t="str">
            <v>PRE-CBMS IRC 41 QREs</v>
          </cell>
          <cell r="D1" t="str">
            <v>CBMS CAPX QREs</v>
          </cell>
          <cell r="E1" t="str">
            <v>CBMS O&amp;M QREs</v>
          </cell>
          <cell r="F1" t="str">
            <v>prelim 300 AND 302</v>
          </cell>
          <cell r="G1" t="str">
            <v>IRC 41 QREs FROM 300 AND 302</v>
          </cell>
          <cell r="H1" t="str">
            <v>TOTAL QREs</v>
          </cell>
        </row>
        <row r="2">
          <cell r="A2">
            <v>0</v>
          </cell>
          <cell r="B2" t="str">
            <v>Improve Reliability of the Digital Rod Position Indication (DRPI) System</v>
          </cell>
          <cell r="C2">
            <v>0</v>
          </cell>
          <cell r="D2">
            <v>0</v>
          </cell>
          <cell r="E2">
            <v>0</v>
          </cell>
          <cell r="F2">
            <v>469225.70474999992</v>
          </cell>
          <cell r="G2">
            <v>469225.70474999992</v>
          </cell>
          <cell r="H2">
            <v>469225.70474999992</v>
          </cell>
        </row>
        <row r="3">
          <cell r="A3">
            <v>1</v>
          </cell>
          <cell r="B3" t="str">
            <v>Wastewater Treatment</v>
          </cell>
          <cell r="C3">
            <v>0</v>
          </cell>
          <cell r="D3">
            <v>0</v>
          </cell>
          <cell r="E3">
            <v>0</v>
          </cell>
          <cell r="F3">
            <v>0</v>
          </cell>
          <cell r="G3">
            <v>0</v>
          </cell>
          <cell r="H3">
            <v>0</v>
          </cell>
        </row>
        <row r="4">
          <cell r="A4">
            <v>2</v>
          </cell>
          <cell r="B4" t="str">
            <v>Rod Cluster Control Assembly</v>
          </cell>
          <cell r="C4">
            <v>0</v>
          </cell>
          <cell r="D4">
            <v>0</v>
          </cell>
          <cell r="E4">
            <v>0</v>
          </cell>
          <cell r="F4">
            <v>0</v>
          </cell>
          <cell r="G4">
            <v>0</v>
          </cell>
          <cell r="H4">
            <v>0</v>
          </cell>
        </row>
        <row r="5">
          <cell r="A5">
            <v>3</v>
          </cell>
          <cell r="B5" t="str">
            <v>Station Battery Capability Upgrade</v>
          </cell>
          <cell r="C5">
            <v>3360903.7711475077</v>
          </cell>
          <cell r="D5">
            <v>17890.14499999999</v>
          </cell>
          <cell r="E5">
            <v>463.30500000000001</v>
          </cell>
          <cell r="F5">
            <v>0</v>
          </cell>
          <cell r="G5">
            <v>0</v>
          </cell>
          <cell r="H5">
            <v>3379257.2211475079</v>
          </cell>
        </row>
        <row r="6">
          <cell r="A6">
            <v>4</v>
          </cell>
          <cell r="B6" t="str">
            <v>Chemical Treatment of Cooling Water</v>
          </cell>
          <cell r="C6">
            <v>834502.35657199821</v>
          </cell>
          <cell r="D6">
            <v>0</v>
          </cell>
          <cell r="E6">
            <v>0</v>
          </cell>
          <cell r="F6">
            <v>9677.2200525000007</v>
          </cell>
          <cell r="G6">
            <v>9677.2200525000007</v>
          </cell>
          <cell r="H6">
            <v>844179.57662449824</v>
          </cell>
        </row>
        <row r="7">
          <cell r="A7">
            <v>5</v>
          </cell>
          <cell r="B7" t="str">
            <v>Moisture Separator Reheater Upgrade</v>
          </cell>
          <cell r="C7">
            <v>475777.60129650001</v>
          </cell>
          <cell r="D7">
            <v>0</v>
          </cell>
          <cell r="E7">
            <v>0</v>
          </cell>
          <cell r="F7">
            <v>0</v>
          </cell>
          <cell r="G7">
            <v>0</v>
          </cell>
          <cell r="H7">
            <v>475777.60129650001</v>
          </cell>
        </row>
        <row r="8">
          <cell r="A8">
            <v>6</v>
          </cell>
          <cell r="B8" t="str">
            <v>Roof Improvements</v>
          </cell>
          <cell r="C8">
            <v>0</v>
          </cell>
          <cell r="D8">
            <v>0</v>
          </cell>
          <cell r="E8">
            <v>0</v>
          </cell>
          <cell r="F8">
            <v>0</v>
          </cell>
          <cell r="G8">
            <v>0</v>
          </cell>
          <cell r="H8">
            <v>0</v>
          </cell>
        </row>
        <row r="9">
          <cell r="A9">
            <v>7</v>
          </cell>
          <cell r="B9" t="str">
            <v>Reactor Cooling Pump Vibration Monitoring</v>
          </cell>
          <cell r="C9">
            <v>277472.73547499999</v>
          </cell>
          <cell r="D9">
            <v>178061.17750000031</v>
          </cell>
          <cell r="E9">
            <v>0</v>
          </cell>
          <cell r="F9">
            <v>0</v>
          </cell>
          <cell r="G9">
            <v>0</v>
          </cell>
          <cell r="H9">
            <v>455533.91297500033</v>
          </cell>
        </row>
        <row r="10">
          <cell r="A10">
            <v>8</v>
          </cell>
          <cell r="B10" t="str">
            <v>Main Condenser Bellows Improvements</v>
          </cell>
          <cell r="C10">
            <v>522.52200000000005</v>
          </cell>
          <cell r="D10">
            <v>0</v>
          </cell>
          <cell r="E10">
            <v>0</v>
          </cell>
          <cell r="F10">
            <v>0</v>
          </cell>
          <cell r="G10">
            <v>0</v>
          </cell>
          <cell r="H10">
            <v>522.52200000000005</v>
          </cell>
        </row>
        <row r="11">
          <cell r="A11">
            <v>9</v>
          </cell>
          <cell r="B11" t="str">
            <v>Improvements to Butterfly Valves</v>
          </cell>
          <cell r="C11">
            <v>170344.74020000003</v>
          </cell>
          <cell r="D11">
            <v>0</v>
          </cell>
          <cell r="E11">
            <v>0</v>
          </cell>
          <cell r="F11">
            <v>0</v>
          </cell>
          <cell r="G11">
            <v>0</v>
          </cell>
          <cell r="H11">
            <v>170344.74020000003</v>
          </cell>
        </row>
        <row r="12">
          <cell r="A12">
            <v>10</v>
          </cell>
          <cell r="B12" t="str">
            <v>Steam Generator Improvements Initiatives</v>
          </cell>
          <cell r="C12">
            <v>24395807.685359348</v>
          </cell>
          <cell r="D12">
            <v>-11.885200000000001</v>
          </cell>
          <cell r="E12">
            <v>219.69700000000006</v>
          </cell>
          <cell r="F12">
            <v>0</v>
          </cell>
          <cell r="G12">
            <v>0</v>
          </cell>
          <cell r="H12">
            <v>24396015.497159347</v>
          </cell>
        </row>
        <row r="13">
          <cell r="A13">
            <v>11</v>
          </cell>
          <cell r="B13" t="str">
            <v>Increase Capacity of Steam Generator System</v>
          </cell>
          <cell r="C13">
            <v>1431971.0863485013</v>
          </cell>
          <cell r="D13">
            <v>0</v>
          </cell>
          <cell r="E13">
            <v>0</v>
          </cell>
          <cell r="F13">
            <v>0</v>
          </cell>
          <cell r="G13">
            <v>0</v>
          </cell>
          <cell r="H13">
            <v>1431971.0863485013</v>
          </cell>
        </row>
        <row r="14">
          <cell r="A14">
            <v>12</v>
          </cell>
          <cell r="B14" t="str">
            <v>Intermediate Radwaste Storage Facilities</v>
          </cell>
          <cell r="C14">
            <v>0</v>
          </cell>
          <cell r="D14">
            <v>0</v>
          </cell>
          <cell r="E14">
            <v>0</v>
          </cell>
          <cell r="F14">
            <v>0</v>
          </cell>
          <cell r="G14">
            <v>0</v>
          </cell>
          <cell r="H14">
            <v>0</v>
          </cell>
        </row>
        <row r="15">
          <cell r="A15">
            <v>13</v>
          </cell>
          <cell r="B15" t="str">
            <v>Low Level Radwaste</v>
          </cell>
          <cell r="C15">
            <v>0</v>
          </cell>
          <cell r="D15">
            <v>0</v>
          </cell>
          <cell r="E15">
            <v>0</v>
          </cell>
          <cell r="F15">
            <v>0</v>
          </cell>
          <cell r="G15">
            <v>0</v>
          </cell>
          <cell r="H15">
            <v>0</v>
          </cell>
        </row>
        <row r="16">
          <cell r="A16">
            <v>14</v>
          </cell>
          <cell r="B16" t="str">
            <v>Improvements to Plant Security Barriers</v>
          </cell>
          <cell r="C16">
            <v>0</v>
          </cell>
          <cell r="D16">
            <v>0</v>
          </cell>
          <cell r="E16">
            <v>0</v>
          </cell>
          <cell r="F16">
            <v>0</v>
          </cell>
          <cell r="G16">
            <v>0</v>
          </cell>
          <cell r="H16">
            <v>0</v>
          </cell>
        </row>
        <row r="17">
          <cell r="A17">
            <v>15</v>
          </cell>
          <cell r="B17" t="str">
            <v>Main Power Transformer Replacement</v>
          </cell>
          <cell r="C17">
            <v>0</v>
          </cell>
          <cell r="D17">
            <v>0</v>
          </cell>
          <cell r="E17">
            <v>0</v>
          </cell>
          <cell r="F17">
            <v>0</v>
          </cell>
          <cell r="G17">
            <v>0</v>
          </cell>
          <cell r="H17">
            <v>0</v>
          </cell>
        </row>
        <row r="18">
          <cell r="A18">
            <v>16</v>
          </cell>
          <cell r="B18" t="str">
            <v>Replacement of Plant Security Computers</v>
          </cell>
          <cell r="C18">
            <v>0</v>
          </cell>
          <cell r="D18">
            <v>0</v>
          </cell>
          <cell r="E18">
            <v>0</v>
          </cell>
          <cell r="F18">
            <v>0</v>
          </cell>
          <cell r="G18">
            <v>0</v>
          </cell>
          <cell r="H18">
            <v>0</v>
          </cell>
        </row>
        <row r="19">
          <cell r="A19">
            <v>17</v>
          </cell>
          <cell r="B19" t="str">
            <v>Land or Right-of-Way Acquisition</v>
          </cell>
          <cell r="C19">
            <v>0</v>
          </cell>
          <cell r="D19">
            <v>0</v>
          </cell>
          <cell r="E19">
            <v>0</v>
          </cell>
          <cell r="F19">
            <v>0</v>
          </cell>
          <cell r="G19">
            <v>0</v>
          </cell>
          <cell r="H19">
            <v>0</v>
          </cell>
        </row>
        <row r="20">
          <cell r="A20">
            <v>18</v>
          </cell>
          <cell r="B20" t="str">
            <v>Transmission Lines and Substation</v>
          </cell>
          <cell r="C20">
            <v>0</v>
          </cell>
          <cell r="D20">
            <v>0</v>
          </cell>
          <cell r="E20">
            <v>0</v>
          </cell>
          <cell r="F20">
            <v>0</v>
          </cell>
          <cell r="G20">
            <v>0</v>
          </cell>
          <cell r="H20">
            <v>0</v>
          </cell>
        </row>
        <row r="21">
          <cell r="A21">
            <v>19</v>
          </cell>
          <cell r="B21" t="str">
            <v>Radioactive Gas Effluent Monitoring</v>
          </cell>
          <cell r="C21">
            <v>0</v>
          </cell>
          <cell r="D21">
            <v>0</v>
          </cell>
          <cell r="E21">
            <v>0</v>
          </cell>
          <cell r="F21">
            <v>0</v>
          </cell>
          <cell r="G21">
            <v>0</v>
          </cell>
          <cell r="H21">
            <v>0</v>
          </cell>
        </row>
        <row r="22">
          <cell r="A22">
            <v>20</v>
          </cell>
          <cell r="B22" t="str">
            <v>High Density Spent Fuel Storage</v>
          </cell>
          <cell r="C22">
            <v>12781500.192131486</v>
          </cell>
          <cell r="D22">
            <v>30293.232999999997</v>
          </cell>
          <cell r="E22">
            <v>0</v>
          </cell>
          <cell r="F22">
            <v>0</v>
          </cell>
          <cell r="G22">
            <v>0</v>
          </cell>
          <cell r="H22">
            <v>12811793.425131485</v>
          </cell>
        </row>
        <row r="23">
          <cell r="A23">
            <v>21</v>
          </cell>
          <cell r="B23" t="str">
            <v>ATWS (Alternative Transient Without SCRAM) - Turbine Modification</v>
          </cell>
          <cell r="C23">
            <v>1550.2695000000001</v>
          </cell>
          <cell r="D23">
            <v>0</v>
          </cell>
          <cell r="E23">
            <v>0</v>
          </cell>
          <cell r="F23">
            <v>0</v>
          </cell>
          <cell r="G23">
            <v>0</v>
          </cell>
          <cell r="H23">
            <v>1550.2695000000001</v>
          </cell>
        </row>
        <row r="24">
          <cell r="A24">
            <v>22</v>
          </cell>
          <cell r="B24" t="str">
            <v>ATWS (Alternative Transient Without SCRAM) - Modification for BWRs</v>
          </cell>
          <cell r="C24">
            <v>27326.500479999999</v>
          </cell>
          <cell r="D24">
            <v>0</v>
          </cell>
          <cell r="E24">
            <v>0</v>
          </cell>
          <cell r="F24">
            <v>0</v>
          </cell>
          <cell r="G24">
            <v>0</v>
          </cell>
          <cell r="H24">
            <v>27326.500479999999</v>
          </cell>
        </row>
        <row r="25">
          <cell r="A25">
            <v>23</v>
          </cell>
          <cell r="B25" t="str">
            <v>Resistance Temperature Detectors</v>
          </cell>
          <cell r="C25">
            <v>2780508.612500486</v>
          </cell>
          <cell r="D25">
            <v>0</v>
          </cell>
          <cell r="E25">
            <v>0</v>
          </cell>
          <cell r="F25">
            <v>0</v>
          </cell>
          <cell r="G25">
            <v>0</v>
          </cell>
          <cell r="H25">
            <v>2780508.612500486</v>
          </cell>
        </row>
        <row r="26">
          <cell r="A26">
            <v>24</v>
          </cell>
          <cell r="B26" t="str">
            <v>Process Computer Upgrades</v>
          </cell>
          <cell r="C26">
            <v>0</v>
          </cell>
          <cell r="D26">
            <v>0</v>
          </cell>
          <cell r="E26">
            <v>0</v>
          </cell>
          <cell r="F26">
            <v>0</v>
          </cell>
          <cell r="G26">
            <v>0</v>
          </cell>
          <cell r="H26">
            <v>0</v>
          </cell>
        </row>
        <row r="27">
          <cell r="A27">
            <v>25</v>
          </cell>
          <cell r="B27" t="str">
            <v>Resolution of Human Engineering Discrepancy</v>
          </cell>
          <cell r="C27">
            <v>24137874.168085158</v>
          </cell>
          <cell r="D27">
            <v>0</v>
          </cell>
          <cell r="E27">
            <v>0</v>
          </cell>
          <cell r="F27">
            <v>15973.404466</v>
          </cell>
          <cell r="G27">
            <v>15973.404466</v>
          </cell>
          <cell r="H27">
            <v>24153847.572551157</v>
          </cell>
        </row>
        <row r="28">
          <cell r="A28">
            <v>26</v>
          </cell>
          <cell r="B28" t="str">
            <v>Snubber Reduction Program</v>
          </cell>
          <cell r="C28">
            <v>13127568.183722457</v>
          </cell>
          <cell r="D28">
            <v>0</v>
          </cell>
          <cell r="E28">
            <v>-7686.3409999999994</v>
          </cell>
          <cell r="F28">
            <v>0</v>
          </cell>
          <cell r="G28">
            <v>0</v>
          </cell>
          <cell r="H28">
            <v>13119881.842722457</v>
          </cell>
        </row>
        <row r="29">
          <cell r="A29">
            <v>27</v>
          </cell>
          <cell r="B29" t="str">
            <v>Safety-Related Valves</v>
          </cell>
          <cell r="C29">
            <v>18425084.325985558</v>
          </cell>
          <cell r="D29">
            <v>0</v>
          </cell>
          <cell r="E29">
            <v>0</v>
          </cell>
          <cell r="F29">
            <v>0</v>
          </cell>
          <cell r="G29">
            <v>0</v>
          </cell>
          <cell r="H29">
            <v>18425084.325985558</v>
          </cell>
        </row>
        <row r="30">
          <cell r="A30">
            <v>28</v>
          </cell>
          <cell r="B30" t="str">
            <v>Events Recorder System</v>
          </cell>
          <cell r="C30">
            <v>0</v>
          </cell>
          <cell r="D30">
            <v>0</v>
          </cell>
          <cell r="E30">
            <v>0</v>
          </cell>
          <cell r="F30">
            <v>0</v>
          </cell>
          <cell r="G30">
            <v>0</v>
          </cell>
          <cell r="H30">
            <v>0</v>
          </cell>
        </row>
        <row r="31">
          <cell r="A31">
            <v>29</v>
          </cell>
          <cell r="B31" t="str">
            <v>Metal Diaphragm Valves</v>
          </cell>
          <cell r="C31">
            <v>0</v>
          </cell>
          <cell r="D31">
            <v>0</v>
          </cell>
          <cell r="E31">
            <v>0</v>
          </cell>
          <cell r="F31">
            <v>0</v>
          </cell>
          <cell r="G31">
            <v>0</v>
          </cell>
          <cell r="H31">
            <v>0</v>
          </cell>
        </row>
        <row r="32">
          <cell r="A32">
            <v>30</v>
          </cell>
          <cell r="B32" t="str">
            <v>Installation of Safe Shutdown Cables/ Appendix R</v>
          </cell>
          <cell r="C32">
            <v>3762243.059191498</v>
          </cell>
          <cell r="D32">
            <v>0</v>
          </cell>
          <cell r="E32">
            <v>5006763.6900000004</v>
          </cell>
          <cell r="F32">
            <v>1025408.2609840003</v>
          </cell>
          <cell r="G32">
            <v>1025408.2609840003</v>
          </cell>
          <cell r="H32">
            <v>9794415.0101754963</v>
          </cell>
        </row>
        <row r="33">
          <cell r="A33">
            <v>31</v>
          </cell>
          <cell r="B33" t="str">
            <v>Steam Generator Level Instrumentation</v>
          </cell>
          <cell r="C33">
            <v>434393.14029049978</v>
          </cell>
          <cell r="D33">
            <v>0</v>
          </cell>
          <cell r="E33">
            <v>0</v>
          </cell>
          <cell r="F33">
            <v>0</v>
          </cell>
          <cell r="G33">
            <v>0</v>
          </cell>
          <cell r="H33">
            <v>434393.14029049978</v>
          </cell>
        </row>
        <row r="34">
          <cell r="A34">
            <v>32</v>
          </cell>
          <cell r="B34" t="str">
            <v>Radioactive Chemical Laboratory Expansion</v>
          </cell>
          <cell r="C34">
            <v>0</v>
          </cell>
          <cell r="D34">
            <v>0</v>
          </cell>
          <cell r="E34">
            <v>0</v>
          </cell>
          <cell r="F34">
            <v>0</v>
          </cell>
          <cell r="G34">
            <v>0</v>
          </cell>
          <cell r="H34">
            <v>0</v>
          </cell>
        </row>
        <row r="35">
          <cell r="A35">
            <v>33</v>
          </cell>
          <cell r="B35" t="str">
            <v>Replacement of Generator Retaining Rings</v>
          </cell>
          <cell r="C35">
            <v>0</v>
          </cell>
          <cell r="D35">
            <v>0</v>
          </cell>
          <cell r="E35">
            <v>0</v>
          </cell>
          <cell r="F35">
            <v>0</v>
          </cell>
          <cell r="G35">
            <v>0</v>
          </cell>
          <cell r="H35">
            <v>0</v>
          </cell>
        </row>
        <row r="36">
          <cell r="A36">
            <v>34</v>
          </cell>
          <cell r="B36" t="str">
            <v>Extraction Steam Piping</v>
          </cell>
          <cell r="C36">
            <v>50585.731599999999</v>
          </cell>
          <cell r="D36">
            <v>0</v>
          </cell>
          <cell r="E36">
            <v>0</v>
          </cell>
          <cell r="F36">
            <v>0</v>
          </cell>
          <cell r="G36">
            <v>0</v>
          </cell>
          <cell r="H36">
            <v>50585.731599999999</v>
          </cell>
        </row>
        <row r="37">
          <cell r="A37">
            <v>35</v>
          </cell>
          <cell r="B37" t="str">
            <v>Dynamic Rod Worth Measurement</v>
          </cell>
          <cell r="C37">
            <v>0</v>
          </cell>
          <cell r="D37">
            <v>0</v>
          </cell>
          <cell r="E37">
            <v>0</v>
          </cell>
          <cell r="F37">
            <v>0</v>
          </cell>
          <cell r="G37">
            <v>0</v>
          </cell>
          <cell r="H37">
            <v>0</v>
          </cell>
        </row>
        <row r="38">
          <cell r="A38">
            <v>36</v>
          </cell>
          <cell r="B38" t="str">
            <v>Reactor Core Monitor</v>
          </cell>
          <cell r="C38">
            <v>0</v>
          </cell>
          <cell r="D38">
            <v>0</v>
          </cell>
          <cell r="E38">
            <v>0</v>
          </cell>
          <cell r="F38">
            <v>0</v>
          </cell>
          <cell r="G38">
            <v>0</v>
          </cell>
          <cell r="H38">
            <v>0</v>
          </cell>
        </row>
        <row r="39">
          <cell r="A39">
            <v>37</v>
          </cell>
          <cell r="B39" t="str">
            <v>Design and Installation of Clamps to Mitigate Cracking due to IGSCC in Reactor Internals of Exelon’s BWR Stations</v>
          </cell>
          <cell r="C39">
            <v>5780734.6282879934</v>
          </cell>
          <cell r="D39">
            <v>142000</v>
          </cell>
          <cell r="E39">
            <v>267930</v>
          </cell>
          <cell r="F39">
            <v>87945.965479000035</v>
          </cell>
          <cell r="G39">
            <v>87945.965479000035</v>
          </cell>
          <cell r="H39">
            <v>6278610.5937669938</v>
          </cell>
        </row>
        <row r="40">
          <cell r="A40">
            <v>38</v>
          </cell>
          <cell r="B40" t="str">
            <v>Natural Draft Cooling Tower Conversion</v>
          </cell>
          <cell r="C40">
            <v>1248943.3491729998</v>
          </cell>
          <cell r="D40">
            <v>210102.15850000002</v>
          </cell>
          <cell r="E40">
            <v>0</v>
          </cell>
          <cell r="F40">
            <v>0</v>
          </cell>
          <cell r="G40">
            <v>0</v>
          </cell>
          <cell r="H40">
            <v>1459045.507673</v>
          </cell>
        </row>
        <row r="41">
          <cell r="A41">
            <v>39</v>
          </cell>
          <cell r="B41" t="str">
            <v>Service Water Cooling Pipe Material Re-Evaluation</v>
          </cell>
          <cell r="C41">
            <v>342111.6126680001</v>
          </cell>
          <cell r="D41">
            <v>17705.734200000028</v>
          </cell>
          <cell r="E41">
            <v>1930.2850000000001</v>
          </cell>
          <cell r="F41">
            <v>223.90114999999935</v>
          </cell>
          <cell r="G41">
            <v>223.90114999999935</v>
          </cell>
          <cell r="H41">
            <v>361971.53301800007</v>
          </cell>
        </row>
        <row r="42">
          <cell r="A42">
            <v>40</v>
          </cell>
          <cell r="B42" t="str">
            <v>River Silt Control System</v>
          </cell>
          <cell r="C42">
            <v>219439.13403399996</v>
          </cell>
          <cell r="D42">
            <v>0</v>
          </cell>
          <cell r="E42">
            <v>0</v>
          </cell>
          <cell r="F42">
            <v>0</v>
          </cell>
          <cell r="G42">
            <v>0</v>
          </cell>
          <cell r="H42">
            <v>219439.13403399996</v>
          </cell>
        </row>
        <row r="43">
          <cell r="A43">
            <v>41</v>
          </cell>
          <cell r="B43" t="str">
            <v>Pressurized Water Reactor Simulator</v>
          </cell>
          <cell r="C43">
            <v>0</v>
          </cell>
          <cell r="D43">
            <v>0</v>
          </cell>
          <cell r="E43">
            <v>0</v>
          </cell>
          <cell r="F43">
            <v>0</v>
          </cell>
          <cell r="G43">
            <v>0</v>
          </cell>
          <cell r="H43">
            <v>0</v>
          </cell>
        </row>
        <row r="44">
          <cell r="A44">
            <v>42</v>
          </cell>
          <cell r="B44" t="str">
            <v>Joint Public Information Center</v>
          </cell>
          <cell r="C44">
            <v>0</v>
          </cell>
          <cell r="D44">
            <v>0</v>
          </cell>
          <cell r="E44">
            <v>0</v>
          </cell>
          <cell r="F44">
            <v>0</v>
          </cell>
          <cell r="G44">
            <v>0</v>
          </cell>
          <cell r="H44">
            <v>0</v>
          </cell>
        </row>
        <row r="45">
          <cell r="A45">
            <v>43</v>
          </cell>
          <cell r="B45" t="str">
            <v>Low Pressure Turbine Rotor</v>
          </cell>
          <cell r="C45">
            <v>8286018.9971264862</v>
          </cell>
          <cell r="D45">
            <v>39995.110999999983</v>
          </cell>
          <cell r="E45">
            <v>0</v>
          </cell>
          <cell r="F45">
            <v>0</v>
          </cell>
          <cell r="G45">
            <v>0</v>
          </cell>
          <cell r="H45">
            <v>8326014.1081264857</v>
          </cell>
        </row>
        <row r="46">
          <cell r="A46">
            <v>44</v>
          </cell>
          <cell r="B46" t="str">
            <v>Replace Asbestos Insulation</v>
          </cell>
          <cell r="C46">
            <v>0</v>
          </cell>
          <cell r="D46">
            <v>0</v>
          </cell>
          <cell r="E46">
            <v>0</v>
          </cell>
          <cell r="F46">
            <v>0</v>
          </cell>
          <cell r="G46">
            <v>0</v>
          </cell>
          <cell r="H46">
            <v>0</v>
          </cell>
        </row>
        <row r="47">
          <cell r="A47">
            <v>45</v>
          </cell>
          <cell r="B47" t="str">
            <v>Piping Susceptible to Intergranular Stress Corrosion Cracking</v>
          </cell>
          <cell r="C47">
            <v>7622676.0753580006</v>
          </cell>
          <cell r="D47">
            <v>0</v>
          </cell>
          <cell r="E47">
            <v>78279.864000000001</v>
          </cell>
          <cell r="F47">
            <v>-424.06976600000002</v>
          </cell>
          <cell r="G47">
            <v>-424.06976600000002</v>
          </cell>
          <cell r="H47">
            <v>7700531.8695920007</v>
          </cell>
        </row>
        <row r="48">
          <cell r="A48">
            <v>46</v>
          </cell>
          <cell r="B48" t="str">
            <v>24 Month Operating Cycle</v>
          </cell>
          <cell r="C48">
            <v>0</v>
          </cell>
          <cell r="D48">
            <v>0</v>
          </cell>
          <cell r="E48">
            <v>0</v>
          </cell>
          <cell r="F48">
            <v>0</v>
          </cell>
          <cell r="G48">
            <v>0</v>
          </cell>
          <cell r="H48">
            <v>0</v>
          </cell>
        </row>
        <row r="49">
          <cell r="A49">
            <v>47</v>
          </cell>
          <cell r="B49" t="str">
            <v>GENERIC LETTER 96-01</v>
          </cell>
          <cell r="C49">
            <v>0</v>
          </cell>
          <cell r="D49">
            <v>0</v>
          </cell>
          <cell r="E49">
            <v>0</v>
          </cell>
          <cell r="F49">
            <v>0</v>
          </cell>
          <cell r="G49">
            <v>0</v>
          </cell>
          <cell r="H49">
            <v>0</v>
          </cell>
        </row>
        <row r="50">
          <cell r="A50">
            <v>48</v>
          </cell>
          <cell r="B50" t="str">
            <v>Reactor Building Cooling</v>
          </cell>
          <cell r="C50">
            <v>0</v>
          </cell>
          <cell r="D50">
            <v>0</v>
          </cell>
          <cell r="E50">
            <v>0</v>
          </cell>
          <cell r="F50">
            <v>2625168.6260374971</v>
          </cell>
          <cell r="G50">
            <v>2625168.6260374971</v>
          </cell>
          <cell r="H50">
            <v>2625168.6260374971</v>
          </cell>
        </row>
        <row r="51">
          <cell r="A51">
            <v>49</v>
          </cell>
          <cell r="B51" t="str">
            <v>Upgrade Standby Gas Treatment</v>
          </cell>
          <cell r="C51">
            <v>16183.827659999999</v>
          </cell>
          <cell r="D51">
            <v>0</v>
          </cell>
          <cell r="E51">
            <v>0</v>
          </cell>
          <cell r="F51">
            <v>0</v>
          </cell>
          <cell r="G51">
            <v>0</v>
          </cell>
          <cell r="H51">
            <v>16183.827659999999</v>
          </cell>
        </row>
        <row r="52">
          <cell r="A52">
            <v>50</v>
          </cell>
          <cell r="B52" t="str">
            <v>Pipe Ventilation System</v>
          </cell>
          <cell r="C52">
            <v>0</v>
          </cell>
          <cell r="D52">
            <v>0</v>
          </cell>
          <cell r="E52">
            <v>0</v>
          </cell>
          <cell r="F52">
            <v>0</v>
          </cell>
          <cell r="G52">
            <v>0</v>
          </cell>
          <cell r="H52">
            <v>0</v>
          </cell>
        </row>
        <row r="53">
          <cell r="A53">
            <v>51</v>
          </cell>
          <cell r="B53" t="str">
            <v>Control Rod Shield</v>
          </cell>
          <cell r="C53">
            <v>94.988615500002652</v>
          </cell>
          <cell r="D53">
            <v>0</v>
          </cell>
          <cell r="E53">
            <v>0</v>
          </cell>
          <cell r="F53">
            <v>0</v>
          </cell>
          <cell r="G53">
            <v>0</v>
          </cell>
          <cell r="H53">
            <v>94.988615500002652</v>
          </cell>
        </row>
        <row r="54">
          <cell r="A54">
            <v>52</v>
          </cell>
          <cell r="B54" t="str">
            <v>Feedwater System Revision</v>
          </cell>
          <cell r="C54">
            <v>2470602.9960524933</v>
          </cell>
          <cell r="D54">
            <v>0</v>
          </cell>
          <cell r="E54">
            <v>124902.74849999996</v>
          </cell>
          <cell r="F54">
            <v>71071.540150000015</v>
          </cell>
          <cell r="G54">
            <v>71071.540150000015</v>
          </cell>
          <cell r="H54">
            <v>2666577.2847024929</v>
          </cell>
        </row>
        <row r="55">
          <cell r="A55">
            <v>53</v>
          </cell>
          <cell r="B55" t="str">
            <v>Off-Gas Hydrogen Combustion Design Basis Accident</v>
          </cell>
          <cell r="C55">
            <v>293810.51034050016</v>
          </cell>
          <cell r="D55">
            <v>0</v>
          </cell>
          <cell r="E55">
            <v>0</v>
          </cell>
          <cell r="F55">
            <v>0</v>
          </cell>
          <cell r="G55">
            <v>0</v>
          </cell>
          <cell r="H55">
            <v>293810.51034050016</v>
          </cell>
        </row>
        <row r="56">
          <cell r="A56">
            <v>54</v>
          </cell>
          <cell r="B56" t="str">
            <v>Dry Tube Assembly</v>
          </cell>
          <cell r="C56">
            <v>0</v>
          </cell>
          <cell r="D56">
            <v>0</v>
          </cell>
          <cell r="E56">
            <v>0</v>
          </cell>
          <cell r="F56">
            <v>0</v>
          </cell>
          <cell r="G56">
            <v>0</v>
          </cell>
          <cell r="H56">
            <v>0</v>
          </cell>
        </row>
        <row r="57">
          <cell r="A57">
            <v>55</v>
          </cell>
          <cell r="B57" t="str">
            <v>Batteries &amp; Chargers</v>
          </cell>
          <cell r="C57">
            <v>35899.804804500047</v>
          </cell>
          <cell r="D57">
            <v>0</v>
          </cell>
          <cell r="E57">
            <v>0</v>
          </cell>
          <cell r="F57">
            <v>0</v>
          </cell>
          <cell r="G57">
            <v>0</v>
          </cell>
          <cell r="H57">
            <v>35899.804804500047</v>
          </cell>
        </row>
        <row r="58">
          <cell r="A58">
            <v>56</v>
          </cell>
          <cell r="B58" t="str">
            <v>Technical Support Facility &amp; Emergency Offsite Facility</v>
          </cell>
          <cell r="C58">
            <v>3328731.3317375039</v>
          </cell>
          <cell r="D58">
            <v>0</v>
          </cell>
          <cell r="E58">
            <v>0</v>
          </cell>
          <cell r="F58">
            <v>0</v>
          </cell>
          <cell r="G58">
            <v>0</v>
          </cell>
          <cell r="H58">
            <v>3328731.3317375039</v>
          </cell>
        </row>
        <row r="59">
          <cell r="A59">
            <v>57</v>
          </cell>
          <cell r="B59" t="str">
            <v>TMI Accident Review Modifications</v>
          </cell>
          <cell r="C59">
            <v>2435227.3810010017</v>
          </cell>
          <cell r="D59">
            <v>0</v>
          </cell>
          <cell r="E59">
            <v>0</v>
          </cell>
          <cell r="F59">
            <v>0</v>
          </cell>
          <cell r="G59">
            <v>0</v>
          </cell>
          <cell r="H59">
            <v>2435227.3810010017</v>
          </cell>
        </row>
        <row r="60">
          <cell r="A60">
            <v>58</v>
          </cell>
          <cell r="B60" t="str">
            <v>Canal Cooling Bank Improvements</v>
          </cell>
          <cell r="C60">
            <v>0</v>
          </cell>
          <cell r="D60">
            <v>0</v>
          </cell>
          <cell r="E60">
            <v>0</v>
          </cell>
          <cell r="F60">
            <v>0</v>
          </cell>
          <cell r="G60">
            <v>0</v>
          </cell>
          <cell r="H60">
            <v>0</v>
          </cell>
        </row>
        <row r="61">
          <cell r="A61">
            <v>59</v>
          </cell>
          <cell r="B61" t="str">
            <v>Corner Room Modifications</v>
          </cell>
          <cell r="C61">
            <v>0</v>
          </cell>
          <cell r="D61">
            <v>0</v>
          </cell>
          <cell r="E61">
            <v>0</v>
          </cell>
          <cell r="F61">
            <v>0</v>
          </cell>
          <cell r="G61">
            <v>0</v>
          </cell>
          <cell r="H61">
            <v>0</v>
          </cell>
        </row>
        <row r="62">
          <cell r="A62">
            <v>60</v>
          </cell>
          <cell r="B62" t="str">
            <v>Lubricating System Diesel Generator</v>
          </cell>
          <cell r="C62">
            <v>0</v>
          </cell>
          <cell r="D62">
            <v>0</v>
          </cell>
          <cell r="E62">
            <v>0</v>
          </cell>
          <cell r="F62">
            <v>0</v>
          </cell>
          <cell r="G62">
            <v>0</v>
          </cell>
          <cell r="H62">
            <v>0</v>
          </cell>
        </row>
        <row r="63">
          <cell r="A63">
            <v>61</v>
          </cell>
          <cell r="B63" t="str">
            <v>Reactor Protection Indication System Cables</v>
          </cell>
          <cell r="C63">
            <v>0</v>
          </cell>
          <cell r="D63">
            <v>0</v>
          </cell>
          <cell r="E63">
            <v>0</v>
          </cell>
          <cell r="F63">
            <v>0</v>
          </cell>
          <cell r="G63">
            <v>0</v>
          </cell>
          <cell r="H63">
            <v>0</v>
          </cell>
        </row>
        <row r="64">
          <cell r="A64">
            <v>62</v>
          </cell>
          <cell r="B64" t="str">
            <v>Physical Support of Safety Related Piping</v>
          </cell>
          <cell r="C64">
            <v>16559147.049991027</v>
          </cell>
          <cell r="D64">
            <v>0</v>
          </cell>
          <cell r="E64">
            <v>0</v>
          </cell>
          <cell r="F64">
            <v>0</v>
          </cell>
          <cell r="G64">
            <v>0</v>
          </cell>
          <cell r="H64">
            <v>16559147.049991027</v>
          </cell>
        </row>
        <row r="65">
          <cell r="A65">
            <v>63</v>
          </cell>
          <cell r="B65" t="str">
            <v>Zion Safety Improvements: Service Water</v>
          </cell>
          <cell r="C65">
            <v>12321386.974367017</v>
          </cell>
          <cell r="D65">
            <v>0</v>
          </cell>
          <cell r="E65">
            <v>42250</v>
          </cell>
          <cell r="F65">
            <v>0</v>
          </cell>
          <cell r="G65">
            <v>0</v>
          </cell>
          <cell r="H65">
            <v>12363636.974367017</v>
          </cell>
        </row>
        <row r="66">
          <cell r="A66">
            <v>64</v>
          </cell>
          <cell r="B66" t="str">
            <v>Liquid Radwaste System Improvement</v>
          </cell>
          <cell r="C66">
            <v>5535100.5601999518</v>
          </cell>
          <cell r="D66">
            <v>0</v>
          </cell>
          <cell r="E66">
            <v>0</v>
          </cell>
          <cell r="F66">
            <v>0</v>
          </cell>
          <cell r="G66">
            <v>0</v>
          </cell>
          <cell r="H66">
            <v>5535100.5601999518</v>
          </cell>
        </row>
        <row r="67">
          <cell r="A67">
            <v>65</v>
          </cell>
          <cell r="B67" t="str">
            <v>Installation of Nitrogen Containment Air Dilution (NCAD) System</v>
          </cell>
          <cell r="C67">
            <v>35957.199778500006</v>
          </cell>
          <cell r="D67">
            <v>0</v>
          </cell>
          <cell r="E67">
            <v>0</v>
          </cell>
          <cell r="F67">
            <v>0</v>
          </cell>
          <cell r="G67">
            <v>0</v>
          </cell>
          <cell r="H67">
            <v>35957.199778500006</v>
          </cell>
        </row>
        <row r="68">
          <cell r="A68">
            <v>66</v>
          </cell>
          <cell r="B68" t="str">
            <v>Initial Coatings</v>
          </cell>
          <cell r="C68">
            <v>0</v>
          </cell>
          <cell r="D68">
            <v>0</v>
          </cell>
          <cell r="E68">
            <v>0</v>
          </cell>
          <cell r="F68">
            <v>0</v>
          </cell>
          <cell r="G68">
            <v>0</v>
          </cell>
          <cell r="H68">
            <v>0</v>
          </cell>
        </row>
        <row r="69">
          <cell r="A69">
            <v>67</v>
          </cell>
          <cell r="B69" t="str">
            <v>Reactor Head Removal Tool Replacement</v>
          </cell>
          <cell r="C69">
            <v>0</v>
          </cell>
          <cell r="D69">
            <v>0</v>
          </cell>
          <cell r="E69">
            <v>0</v>
          </cell>
          <cell r="F69">
            <v>0</v>
          </cell>
          <cell r="G69">
            <v>0</v>
          </cell>
          <cell r="H69">
            <v>0</v>
          </cell>
        </row>
        <row r="70">
          <cell r="A70">
            <v>68</v>
          </cell>
          <cell r="B70" t="str">
            <v>Refueling Bridges</v>
          </cell>
          <cell r="C70">
            <v>0</v>
          </cell>
          <cell r="D70">
            <v>0</v>
          </cell>
          <cell r="E70">
            <v>0</v>
          </cell>
          <cell r="F70">
            <v>0</v>
          </cell>
          <cell r="G70">
            <v>0</v>
          </cell>
          <cell r="H70">
            <v>0</v>
          </cell>
        </row>
        <row r="71">
          <cell r="A71">
            <v>69</v>
          </cell>
          <cell r="B71" t="str">
            <v>Long Term SCRAM Reduction Modifications</v>
          </cell>
          <cell r="C71">
            <v>1424704.0773214989</v>
          </cell>
          <cell r="D71">
            <v>0</v>
          </cell>
          <cell r="E71">
            <v>0</v>
          </cell>
          <cell r="F71">
            <v>0</v>
          </cell>
          <cell r="G71">
            <v>0</v>
          </cell>
          <cell r="H71">
            <v>1424704.0773214989</v>
          </cell>
        </row>
        <row r="72">
          <cell r="A72">
            <v>70</v>
          </cell>
          <cell r="B72" t="str">
            <v>Containment Penetration Bellows</v>
          </cell>
          <cell r="C72">
            <v>3100391.3995104958</v>
          </cell>
          <cell r="D72">
            <v>0</v>
          </cell>
          <cell r="E72">
            <v>0</v>
          </cell>
          <cell r="F72">
            <v>14080.054377999999</v>
          </cell>
          <cell r="G72">
            <v>14080.054377999999</v>
          </cell>
          <cell r="H72">
            <v>3114471.4538884959</v>
          </cell>
        </row>
        <row r="73">
          <cell r="A73">
            <v>71</v>
          </cell>
          <cell r="B73" t="str">
            <v>Hydrogen Water Chemistry</v>
          </cell>
          <cell r="C73">
            <v>6456934.386208945</v>
          </cell>
          <cell r="D73">
            <v>492271.18150000024</v>
          </cell>
          <cell r="E73">
            <v>24319.434500000003</v>
          </cell>
          <cell r="F73">
            <v>0</v>
          </cell>
          <cell r="G73">
            <v>0</v>
          </cell>
          <cell r="H73">
            <v>6973525.0022089453</v>
          </cell>
        </row>
        <row r="74">
          <cell r="A74">
            <v>72</v>
          </cell>
          <cell r="B74" t="str">
            <v>Water Chemistry Improvement</v>
          </cell>
          <cell r="C74">
            <v>0</v>
          </cell>
          <cell r="D74">
            <v>0</v>
          </cell>
          <cell r="E74">
            <v>0</v>
          </cell>
          <cell r="F74">
            <v>0</v>
          </cell>
          <cell r="G74">
            <v>0</v>
          </cell>
          <cell r="H74">
            <v>0</v>
          </cell>
        </row>
        <row r="75">
          <cell r="A75">
            <v>73</v>
          </cell>
          <cell r="B75" t="str">
            <v>Upgrade of 4kV Auxiliary Power Distribution</v>
          </cell>
          <cell r="C75">
            <v>5410273.2812494943</v>
          </cell>
          <cell r="D75">
            <v>3370.44</v>
          </cell>
          <cell r="E75">
            <v>0</v>
          </cell>
          <cell r="F75">
            <v>275809.88305100007</v>
          </cell>
          <cell r="G75">
            <v>275809.88305100007</v>
          </cell>
          <cell r="H75">
            <v>5689453.6043004952</v>
          </cell>
        </row>
        <row r="76">
          <cell r="A76">
            <v>74</v>
          </cell>
          <cell r="B76" t="str">
            <v>Environmental Qualification</v>
          </cell>
          <cell r="C76">
            <v>6172933.5758940028</v>
          </cell>
          <cell r="D76">
            <v>0</v>
          </cell>
          <cell r="E76">
            <v>0</v>
          </cell>
          <cell r="F76">
            <v>1448869.0340864984</v>
          </cell>
          <cell r="G76">
            <v>1448869.0340864984</v>
          </cell>
          <cell r="H76">
            <v>7621802.6099805012</v>
          </cell>
        </row>
        <row r="77">
          <cell r="A77">
            <v>75</v>
          </cell>
          <cell r="B77" t="str">
            <v>Water Level Measurement and Instrumentation Design Flaw Correction</v>
          </cell>
          <cell r="C77">
            <v>7338772.0479360241</v>
          </cell>
          <cell r="D77">
            <v>0</v>
          </cell>
          <cell r="E77">
            <v>0</v>
          </cell>
          <cell r="F77">
            <v>909147.52974650043</v>
          </cell>
          <cell r="G77">
            <v>909147.52974650043</v>
          </cell>
          <cell r="H77">
            <v>8247919.5776825249</v>
          </cell>
        </row>
        <row r="78">
          <cell r="A78">
            <v>76</v>
          </cell>
          <cell r="B78" t="str">
            <v>Replace Main Generator Voltage Regulator</v>
          </cell>
          <cell r="C78">
            <v>0</v>
          </cell>
          <cell r="D78">
            <v>0</v>
          </cell>
          <cell r="E78">
            <v>0</v>
          </cell>
          <cell r="F78">
            <v>0</v>
          </cell>
          <cell r="G78">
            <v>0</v>
          </cell>
          <cell r="H78">
            <v>0</v>
          </cell>
        </row>
        <row r="79">
          <cell r="A79">
            <v>77</v>
          </cell>
          <cell r="B79" t="str">
            <v>Masonry Block Wall Study and Upgrades</v>
          </cell>
          <cell r="C79">
            <v>137678.07331450004</v>
          </cell>
          <cell r="D79">
            <v>0</v>
          </cell>
          <cell r="E79">
            <v>0</v>
          </cell>
          <cell r="F79">
            <v>0</v>
          </cell>
          <cell r="G79">
            <v>0</v>
          </cell>
          <cell r="H79">
            <v>137678.07331450004</v>
          </cell>
        </row>
        <row r="80">
          <cell r="A80">
            <v>78</v>
          </cell>
          <cell r="B80" t="str">
            <v>Zinc Injection System</v>
          </cell>
          <cell r="C80">
            <v>669467.16093000013</v>
          </cell>
          <cell r="D80">
            <v>94926.161999999982</v>
          </cell>
          <cell r="E80">
            <v>0</v>
          </cell>
          <cell r="F80">
            <v>243441.9640025002</v>
          </cell>
          <cell r="G80">
            <v>243441.9640025002</v>
          </cell>
          <cell r="H80">
            <v>1007835.2869325003</v>
          </cell>
        </row>
        <row r="81">
          <cell r="A81">
            <v>79</v>
          </cell>
          <cell r="B81" t="str">
            <v>Disposal of Reactor Core Components</v>
          </cell>
          <cell r="C81">
            <v>0</v>
          </cell>
          <cell r="D81">
            <v>0</v>
          </cell>
          <cell r="E81">
            <v>0</v>
          </cell>
          <cell r="F81">
            <v>0</v>
          </cell>
          <cell r="G81">
            <v>0</v>
          </cell>
          <cell r="H81">
            <v>0</v>
          </cell>
        </row>
        <row r="82">
          <cell r="A82">
            <v>80</v>
          </cell>
          <cell r="B82" t="str">
            <v>Rotating Assemblies and Monitoring</v>
          </cell>
          <cell r="C82">
            <v>0</v>
          </cell>
          <cell r="D82">
            <v>0</v>
          </cell>
          <cell r="E82">
            <v>0</v>
          </cell>
          <cell r="F82">
            <v>0</v>
          </cell>
          <cell r="G82">
            <v>0</v>
          </cell>
          <cell r="H82">
            <v>0</v>
          </cell>
        </row>
        <row r="83">
          <cell r="A83">
            <v>81</v>
          </cell>
          <cell r="B83" t="str">
            <v>Reactor Water Level Trip System</v>
          </cell>
          <cell r="C83">
            <v>1917055.5237000026</v>
          </cell>
          <cell r="D83">
            <v>0</v>
          </cell>
          <cell r="E83">
            <v>0</v>
          </cell>
          <cell r="F83">
            <v>0</v>
          </cell>
          <cell r="G83">
            <v>0</v>
          </cell>
          <cell r="H83">
            <v>1917055.5237000026</v>
          </cell>
        </row>
        <row r="84">
          <cell r="A84">
            <v>82</v>
          </cell>
          <cell r="B84" t="str">
            <v>Isolation Condenser</v>
          </cell>
          <cell r="C84">
            <v>0</v>
          </cell>
          <cell r="D84">
            <v>0</v>
          </cell>
          <cell r="E84">
            <v>0</v>
          </cell>
          <cell r="F84">
            <v>0</v>
          </cell>
          <cell r="G84">
            <v>0</v>
          </cell>
          <cell r="H84">
            <v>0</v>
          </cell>
        </row>
        <row r="85">
          <cell r="A85">
            <v>83</v>
          </cell>
          <cell r="B85" t="str">
            <v>Auxiliary Building Ventilation Fan Motor</v>
          </cell>
          <cell r="C85">
            <v>0</v>
          </cell>
          <cell r="D85">
            <v>0</v>
          </cell>
          <cell r="E85">
            <v>0</v>
          </cell>
          <cell r="F85">
            <v>0</v>
          </cell>
          <cell r="G85">
            <v>0</v>
          </cell>
          <cell r="H85">
            <v>0</v>
          </cell>
        </row>
        <row r="86">
          <cell r="A86">
            <v>84</v>
          </cell>
          <cell r="B86" t="str">
            <v>High Pressure Turbine Blades</v>
          </cell>
          <cell r="C86">
            <v>142787.30346300008</v>
          </cell>
          <cell r="D86">
            <v>190482.72399999999</v>
          </cell>
          <cell r="E86">
            <v>21164.72050000001</v>
          </cell>
          <cell r="F86">
            <v>0</v>
          </cell>
          <cell r="G86">
            <v>0</v>
          </cell>
          <cell r="H86">
            <v>354434.74796300003</v>
          </cell>
        </row>
        <row r="87">
          <cell r="A87">
            <v>85</v>
          </cell>
          <cell r="B87" t="str">
            <v>Public Notification System</v>
          </cell>
          <cell r="C87">
            <v>0</v>
          </cell>
          <cell r="D87">
            <v>0</v>
          </cell>
          <cell r="E87">
            <v>0</v>
          </cell>
          <cell r="F87">
            <v>0</v>
          </cell>
          <cell r="G87">
            <v>0</v>
          </cell>
          <cell r="H87">
            <v>0</v>
          </cell>
        </row>
        <row r="88">
          <cell r="A88">
            <v>86</v>
          </cell>
          <cell r="B88" t="str">
            <v>Replace Masonelian Control Valves</v>
          </cell>
          <cell r="C88">
            <v>0</v>
          </cell>
          <cell r="D88">
            <v>0</v>
          </cell>
          <cell r="E88">
            <v>0</v>
          </cell>
          <cell r="F88">
            <v>0</v>
          </cell>
          <cell r="G88">
            <v>0</v>
          </cell>
          <cell r="H88">
            <v>0</v>
          </cell>
        </row>
        <row r="89">
          <cell r="A89">
            <v>87</v>
          </cell>
          <cell r="B89" t="str">
            <v>Installation of PWR Core Monitoring System</v>
          </cell>
          <cell r="C89">
            <v>0</v>
          </cell>
          <cell r="D89">
            <v>0</v>
          </cell>
          <cell r="E89">
            <v>0</v>
          </cell>
          <cell r="F89">
            <v>0</v>
          </cell>
          <cell r="G89">
            <v>0</v>
          </cell>
          <cell r="H89">
            <v>0</v>
          </cell>
        </row>
        <row r="90">
          <cell r="A90">
            <v>88</v>
          </cell>
          <cell r="B90" t="str">
            <v>Fuel Sipping Equipment</v>
          </cell>
          <cell r="C90">
            <v>0</v>
          </cell>
          <cell r="D90">
            <v>0</v>
          </cell>
          <cell r="E90">
            <v>0</v>
          </cell>
          <cell r="F90">
            <v>0</v>
          </cell>
          <cell r="G90">
            <v>0</v>
          </cell>
          <cell r="H90">
            <v>0</v>
          </cell>
        </row>
        <row r="91">
          <cell r="A91">
            <v>89</v>
          </cell>
          <cell r="B91" t="str">
            <v>Systematic Evaluation Program</v>
          </cell>
          <cell r="C91">
            <v>35920.537986999989</v>
          </cell>
          <cell r="D91">
            <v>0</v>
          </cell>
          <cell r="E91">
            <v>0</v>
          </cell>
          <cell r="F91">
            <v>0</v>
          </cell>
          <cell r="G91">
            <v>0</v>
          </cell>
          <cell r="H91">
            <v>35920.537986999989</v>
          </cell>
        </row>
        <row r="92">
          <cell r="A92">
            <v>90</v>
          </cell>
          <cell r="B92" t="str">
            <v>Decommissioning</v>
          </cell>
          <cell r="C92">
            <v>16211313.825114895</v>
          </cell>
          <cell r="D92">
            <v>0</v>
          </cell>
          <cell r="E92">
            <v>0</v>
          </cell>
          <cell r="F92">
            <v>0</v>
          </cell>
          <cell r="G92">
            <v>0</v>
          </cell>
          <cell r="H92">
            <v>16211313.825114895</v>
          </cell>
        </row>
        <row r="93">
          <cell r="A93">
            <v>91</v>
          </cell>
          <cell r="B93" t="str">
            <v>Traveling In Core Probe System</v>
          </cell>
          <cell r="C93">
            <v>0</v>
          </cell>
          <cell r="D93">
            <v>0</v>
          </cell>
          <cell r="E93">
            <v>0</v>
          </cell>
          <cell r="F93">
            <v>0</v>
          </cell>
          <cell r="G93">
            <v>0</v>
          </cell>
          <cell r="H93">
            <v>0</v>
          </cell>
        </row>
        <row r="94">
          <cell r="A94">
            <v>92</v>
          </cell>
          <cell r="B94" t="str">
            <v>Reactor Recirculation Pump Routine Replacement</v>
          </cell>
          <cell r="C94">
            <v>0</v>
          </cell>
          <cell r="D94">
            <v>0</v>
          </cell>
          <cell r="E94">
            <v>0</v>
          </cell>
          <cell r="F94">
            <v>0</v>
          </cell>
          <cell r="G94">
            <v>0</v>
          </cell>
          <cell r="H94">
            <v>0</v>
          </cell>
        </row>
        <row r="95">
          <cell r="A95">
            <v>93</v>
          </cell>
          <cell r="B95" t="str">
            <v>Replace Recirculation Pump Element</v>
          </cell>
          <cell r="C95">
            <v>0</v>
          </cell>
          <cell r="D95">
            <v>0</v>
          </cell>
          <cell r="E95">
            <v>0</v>
          </cell>
          <cell r="F95">
            <v>0</v>
          </cell>
          <cell r="G95">
            <v>0</v>
          </cell>
          <cell r="H95">
            <v>0</v>
          </cell>
        </row>
        <row r="96">
          <cell r="A96">
            <v>94</v>
          </cell>
          <cell r="B96" t="str">
            <v>Station Blackout</v>
          </cell>
          <cell r="C96">
            <v>0</v>
          </cell>
          <cell r="D96">
            <v>0</v>
          </cell>
          <cell r="E96">
            <v>0</v>
          </cell>
          <cell r="F96">
            <v>0</v>
          </cell>
          <cell r="G96">
            <v>0</v>
          </cell>
          <cell r="H96">
            <v>0</v>
          </cell>
        </row>
        <row r="97">
          <cell r="A97">
            <v>95</v>
          </cell>
          <cell r="B97" t="str">
            <v>Mark 1 Containment Modifications</v>
          </cell>
          <cell r="C97">
            <v>4207685.7743880004</v>
          </cell>
          <cell r="D97">
            <v>0</v>
          </cell>
          <cell r="E97">
            <v>0</v>
          </cell>
          <cell r="F97">
            <v>0</v>
          </cell>
          <cell r="G97">
            <v>0</v>
          </cell>
          <cell r="H97">
            <v>4207685.7743880004</v>
          </cell>
        </row>
        <row r="98">
          <cell r="A98">
            <v>96</v>
          </cell>
          <cell r="B98" t="str">
            <v>Feedwater Flow Measurement Instrumentation</v>
          </cell>
          <cell r="C98">
            <v>0</v>
          </cell>
          <cell r="D98">
            <v>0</v>
          </cell>
          <cell r="E98">
            <v>0</v>
          </cell>
          <cell r="F98">
            <v>0</v>
          </cell>
          <cell r="G98">
            <v>0</v>
          </cell>
          <cell r="H98">
            <v>0</v>
          </cell>
        </row>
        <row r="99">
          <cell r="A99">
            <v>97</v>
          </cell>
          <cell r="B99" t="str">
            <v>Computer Upgrades</v>
          </cell>
          <cell r="C99">
            <v>0</v>
          </cell>
          <cell r="D99">
            <v>0</v>
          </cell>
          <cell r="E99">
            <v>0</v>
          </cell>
          <cell r="F99">
            <v>0</v>
          </cell>
          <cell r="G99">
            <v>0</v>
          </cell>
          <cell r="H99">
            <v>0</v>
          </cell>
        </row>
        <row r="100">
          <cell r="A100">
            <v>98</v>
          </cell>
          <cell r="B100" t="str">
            <v>Heat Tracing System</v>
          </cell>
          <cell r="C100">
            <v>0</v>
          </cell>
          <cell r="D100">
            <v>0</v>
          </cell>
          <cell r="E100">
            <v>0</v>
          </cell>
          <cell r="F100">
            <v>0</v>
          </cell>
          <cell r="G100">
            <v>0</v>
          </cell>
          <cell r="H100">
            <v>0</v>
          </cell>
        </row>
        <row r="101">
          <cell r="A101">
            <v>99</v>
          </cell>
          <cell r="B101" t="str">
            <v>Reactor Building High Temperatures (LOCA)</v>
          </cell>
          <cell r="C101">
            <v>0</v>
          </cell>
          <cell r="D101">
            <v>0</v>
          </cell>
          <cell r="E101">
            <v>0</v>
          </cell>
          <cell r="F101">
            <v>0</v>
          </cell>
          <cell r="G101">
            <v>0</v>
          </cell>
          <cell r="H101">
            <v>0</v>
          </cell>
        </row>
        <row r="102">
          <cell r="A102">
            <v>100</v>
          </cell>
          <cell r="B102" t="str">
            <v>Emergency Lighting &amp; Fire Protection</v>
          </cell>
          <cell r="C102">
            <v>0</v>
          </cell>
          <cell r="D102">
            <v>0</v>
          </cell>
          <cell r="E102">
            <v>0</v>
          </cell>
          <cell r="F102">
            <v>0</v>
          </cell>
          <cell r="G102">
            <v>0</v>
          </cell>
          <cell r="H102">
            <v>0</v>
          </cell>
        </row>
        <row r="103">
          <cell r="A103">
            <v>102</v>
          </cell>
          <cell r="B103" t="str">
            <v>HPCS/RCIC System Piping Modification</v>
          </cell>
          <cell r="C103">
            <v>1921658.2284705006</v>
          </cell>
          <cell r="D103">
            <v>0</v>
          </cell>
          <cell r="E103">
            <v>0</v>
          </cell>
          <cell r="F103">
            <v>0</v>
          </cell>
          <cell r="G103">
            <v>0</v>
          </cell>
          <cell r="H103">
            <v>1921658.2284705006</v>
          </cell>
        </row>
        <row r="104">
          <cell r="A104">
            <v>103</v>
          </cell>
          <cell r="B104" t="str">
            <v>Drywell Ventilation System Improvements</v>
          </cell>
          <cell r="C104">
            <v>4548794.1199649917</v>
          </cell>
          <cell r="D104">
            <v>0</v>
          </cell>
          <cell r="E104">
            <v>0</v>
          </cell>
          <cell r="F104">
            <v>0</v>
          </cell>
          <cell r="G104">
            <v>0</v>
          </cell>
          <cell r="H104">
            <v>4548794.1199649917</v>
          </cell>
        </row>
        <row r="105">
          <cell r="A105">
            <v>104</v>
          </cell>
          <cell r="B105" t="str">
            <v>Containment Vent &amp; Purge Valves</v>
          </cell>
          <cell r="C105">
            <v>1548941.2891409989</v>
          </cell>
          <cell r="D105">
            <v>0</v>
          </cell>
          <cell r="E105">
            <v>0</v>
          </cell>
          <cell r="F105">
            <v>0</v>
          </cell>
          <cell r="G105">
            <v>0</v>
          </cell>
          <cell r="H105">
            <v>1548941.2891409989</v>
          </cell>
        </row>
        <row r="106">
          <cell r="A106">
            <v>105</v>
          </cell>
          <cell r="B106" t="str">
            <v>Spare Exciter Unit</v>
          </cell>
          <cell r="C106">
            <v>0</v>
          </cell>
          <cell r="D106">
            <v>0</v>
          </cell>
          <cell r="E106">
            <v>0</v>
          </cell>
          <cell r="F106">
            <v>0</v>
          </cell>
          <cell r="G106">
            <v>0</v>
          </cell>
          <cell r="H106">
            <v>0</v>
          </cell>
        </row>
        <row r="107">
          <cell r="A107">
            <v>106</v>
          </cell>
          <cell r="B107" t="str">
            <v>Extend Discharge Canal to Eliminate Fog</v>
          </cell>
          <cell r="C107">
            <v>229375.38934450003</v>
          </cell>
          <cell r="D107">
            <v>0</v>
          </cell>
          <cell r="E107">
            <v>0</v>
          </cell>
          <cell r="F107">
            <v>0</v>
          </cell>
          <cell r="G107">
            <v>0</v>
          </cell>
          <cell r="H107">
            <v>229375.38934450003</v>
          </cell>
        </row>
        <row r="108">
          <cell r="A108">
            <v>107</v>
          </cell>
          <cell r="B108" t="str">
            <v>NGG Year 2000</v>
          </cell>
          <cell r="C108">
            <v>0</v>
          </cell>
          <cell r="D108">
            <v>0</v>
          </cell>
          <cell r="E108">
            <v>0</v>
          </cell>
          <cell r="F108">
            <v>0</v>
          </cell>
          <cell r="G108">
            <v>0</v>
          </cell>
          <cell r="H108">
            <v>0</v>
          </cell>
        </row>
        <row r="109">
          <cell r="A109">
            <v>108</v>
          </cell>
          <cell r="B109" t="str">
            <v>Radiation Monitor</v>
          </cell>
          <cell r="C109">
            <v>0</v>
          </cell>
          <cell r="D109">
            <v>0</v>
          </cell>
          <cell r="E109">
            <v>0</v>
          </cell>
          <cell r="F109">
            <v>0</v>
          </cell>
          <cell r="G109">
            <v>0</v>
          </cell>
          <cell r="H109">
            <v>0</v>
          </cell>
        </row>
        <row r="110">
          <cell r="A110">
            <v>109</v>
          </cell>
          <cell r="B110" t="str">
            <v>DBI Issues/Resolution</v>
          </cell>
          <cell r="C110">
            <v>0</v>
          </cell>
          <cell r="D110">
            <v>0</v>
          </cell>
          <cell r="E110">
            <v>0</v>
          </cell>
          <cell r="F110">
            <v>0</v>
          </cell>
          <cell r="G110">
            <v>0</v>
          </cell>
          <cell r="H110">
            <v>0</v>
          </cell>
        </row>
        <row r="111">
          <cell r="A111">
            <v>110</v>
          </cell>
          <cell r="B111" t="str">
            <v>Feedwater Bypass Line &amp; Valves</v>
          </cell>
          <cell r="C111">
            <v>0</v>
          </cell>
          <cell r="D111">
            <v>0</v>
          </cell>
          <cell r="E111">
            <v>0</v>
          </cell>
          <cell r="F111">
            <v>0</v>
          </cell>
          <cell r="G111">
            <v>0</v>
          </cell>
          <cell r="H111">
            <v>0</v>
          </cell>
        </row>
        <row r="112">
          <cell r="A112">
            <v>111</v>
          </cell>
          <cell r="B112" t="str">
            <v>Diesel Generator System Upgrade</v>
          </cell>
          <cell r="C112">
            <v>0</v>
          </cell>
          <cell r="D112">
            <v>0</v>
          </cell>
          <cell r="E112">
            <v>0</v>
          </cell>
          <cell r="F112">
            <v>0</v>
          </cell>
          <cell r="G112">
            <v>0</v>
          </cell>
          <cell r="H112">
            <v>0</v>
          </cell>
        </row>
        <row r="113">
          <cell r="A113">
            <v>112</v>
          </cell>
          <cell r="B113" t="str">
            <v>Main Generator Revision</v>
          </cell>
          <cell r="C113">
            <v>0</v>
          </cell>
          <cell r="D113">
            <v>0</v>
          </cell>
          <cell r="E113">
            <v>0</v>
          </cell>
          <cell r="F113">
            <v>0</v>
          </cell>
          <cell r="G113">
            <v>0</v>
          </cell>
          <cell r="H113">
            <v>0</v>
          </cell>
        </row>
        <row r="114">
          <cell r="A114">
            <v>113</v>
          </cell>
          <cell r="B114" t="str">
            <v>Control Power Supply Upgrade</v>
          </cell>
          <cell r="C114">
            <v>0</v>
          </cell>
          <cell r="D114">
            <v>0</v>
          </cell>
          <cell r="E114">
            <v>0</v>
          </cell>
          <cell r="F114">
            <v>0</v>
          </cell>
          <cell r="G114">
            <v>0</v>
          </cell>
          <cell r="H114">
            <v>0</v>
          </cell>
        </row>
        <row r="115">
          <cell r="A115">
            <v>114</v>
          </cell>
          <cell r="B115" t="str">
            <v>Pump Supporting System</v>
          </cell>
          <cell r="C115">
            <v>0</v>
          </cell>
          <cell r="D115">
            <v>0</v>
          </cell>
          <cell r="E115">
            <v>0</v>
          </cell>
          <cell r="F115">
            <v>0</v>
          </cell>
          <cell r="G115">
            <v>0</v>
          </cell>
          <cell r="H115">
            <v>0</v>
          </cell>
        </row>
        <row r="116">
          <cell r="A116">
            <v>115</v>
          </cell>
          <cell r="B116" t="str">
            <v>Radio System Upgrade</v>
          </cell>
          <cell r="C116">
            <v>0</v>
          </cell>
          <cell r="D116">
            <v>0</v>
          </cell>
          <cell r="E116">
            <v>0</v>
          </cell>
          <cell r="F116">
            <v>0</v>
          </cell>
          <cell r="G116">
            <v>0</v>
          </cell>
          <cell r="H116">
            <v>0</v>
          </cell>
        </row>
        <row r="117">
          <cell r="A117">
            <v>116</v>
          </cell>
          <cell r="B117" t="str">
            <v>Layer Separators for Generator Rotor Windings</v>
          </cell>
          <cell r="C117">
            <v>421042.45862250018</v>
          </cell>
          <cell r="D117">
            <v>0</v>
          </cell>
          <cell r="E117">
            <v>0</v>
          </cell>
          <cell r="F117">
            <v>0</v>
          </cell>
          <cell r="G117">
            <v>0</v>
          </cell>
          <cell r="H117">
            <v>421042.45862250018</v>
          </cell>
        </row>
        <row r="118">
          <cell r="A118">
            <v>117</v>
          </cell>
          <cell r="B118" t="str">
            <v>Emergency Core Cooling System</v>
          </cell>
          <cell r="C118">
            <v>0</v>
          </cell>
          <cell r="D118">
            <v>0</v>
          </cell>
          <cell r="E118">
            <v>0</v>
          </cell>
          <cell r="F118">
            <v>0</v>
          </cell>
          <cell r="G118">
            <v>0</v>
          </cell>
          <cell r="H118">
            <v>0</v>
          </cell>
        </row>
        <row r="119">
          <cell r="A119">
            <v>118</v>
          </cell>
          <cell r="B119" t="str">
            <v>Main Steam Safety Relief Valves</v>
          </cell>
          <cell r="C119">
            <v>718928.8564939996</v>
          </cell>
          <cell r="D119">
            <v>0</v>
          </cell>
          <cell r="E119">
            <v>0</v>
          </cell>
          <cell r="F119">
            <v>0</v>
          </cell>
          <cell r="G119">
            <v>0</v>
          </cell>
          <cell r="H119">
            <v>718928.8564939996</v>
          </cell>
        </row>
        <row r="120">
          <cell r="A120">
            <v>119</v>
          </cell>
          <cell r="B120" t="str">
            <v>Upgrade Feedwater Regulating Valves</v>
          </cell>
          <cell r="C120">
            <v>408641.92150150071</v>
          </cell>
          <cell r="D120">
            <v>0</v>
          </cell>
          <cell r="E120">
            <v>0</v>
          </cell>
          <cell r="F120">
            <v>0</v>
          </cell>
          <cell r="G120">
            <v>0</v>
          </cell>
          <cell r="H120">
            <v>408641.92150150071</v>
          </cell>
        </row>
        <row r="121">
          <cell r="A121">
            <v>120</v>
          </cell>
          <cell r="B121" t="str">
            <v>LaSalle High Energy Line Break Issue</v>
          </cell>
          <cell r="C121">
            <v>0</v>
          </cell>
          <cell r="D121">
            <v>1508405.1394999998</v>
          </cell>
          <cell r="E121">
            <v>0</v>
          </cell>
          <cell r="F121">
            <v>0</v>
          </cell>
          <cell r="G121">
            <v>0</v>
          </cell>
          <cell r="H121">
            <v>1508405.1394999998</v>
          </cell>
        </row>
        <row r="122">
          <cell r="A122">
            <v>121</v>
          </cell>
          <cell r="B122" t="str">
            <v>Post Accident Sampling System</v>
          </cell>
          <cell r="C122">
            <v>24097.073375999989</v>
          </cell>
          <cell r="D122">
            <v>0</v>
          </cell>
          <cell r="E122">
            <v>0</v>
          </cell>
          <cell r="F122">
            <v>0</v>
          </cell>
          <cell r="G122">
            <v>0</v>
          </cell>
          <cell r="H122">
            <v>24097.073375999989</v>
          </cell>
        </row>
        <row r="123">
          <cell r="A123">
            <v>122</v>
          </cell>
          <cell r="B123" t="str">
            <v>Water Pump Vault Ventilation</v>
          </cell>
          <cell r="C123">
            <v>-79.635484500000075</v>
          </cell>
          <cell r="D123">
            <v>0</v>
          </cell>
          <cell r="E123">
            <v>0</v>
          </cell>
          <cell r="F123">
            <v>0</v>
          </cell>
          <cell r="G123">
            <v>0</v>
          </cell>
          <cell r="H123">
            <v>-79.635484500000075</v>
          </cell>
        </row>
        <row r="124">
          <cell r="A124">
            <v>123</v>
          </cell>
          <cell r="B124" t="str">
            <v>Drywell/Torus Purge Valves</v>
          </cell>
          <cell r="C124">
            <v>0</v>
          </cell>
          <cell r="D124">
            <v>0</v>
          </cell>
          <cell r="E124">
            <v>0</v>
          </cell>
          <cell r="F124">
            <v>0</v>
          </cell>
          <cell r="G124">
            <v>0</v>
          </cell>
          <cell r="H124">
            <v>0</v>
          </cell>
        </row>
        <row r="125">
          <cell r="A125">
            <v>124</v>
          </cell>
          <cell r="B125" t="str">
            <v>Safety Related Cables</v>
          </cell>
          <cell r="C125">
            <v>0</v>
          </cell>
          <cell r="D125">
            <v>0</v>
          </cell>
          <cell r="E125">
            <v>0</v>
          </cell>
          <cell r="F125">
            <v>0</v>
          </cell>
          <cell r="G125">
            <v>0</v>
          </cell>
          <cell r="H125">
            <v>0</v>
          </cell>
        </row>
        <row r="126">
          <cell r="A126">
            <v>125</v>
          </cell>
          <cell r="B126" t="str">
            <v>Residual Heat Removal Pump Monitoring</v>
          </cell>
          <cell r="C126">
            <v>0</v>
          </cell>
          <cell r="D126">
            <v>0</v>
          </cell>
          <cell r="E126">
            <v>0</v>
          </cell>
          <cell r="F126">
            <v>0</v>
          </cell>
          <cell r="G126">
            <v>0</v>
          </cell>
          <cell r="H126">
            <v>0</v>
          </cell>
        </row>
        <row r="127">
          <cell r="A127">
            <v>126</v>
          </cell>
          <cell r="B127" t="str">
            <v>MSIV Actuators</v>
          </cell>
          <cell r="C127">
            <v>0</v>
          </cell>
          <cell r="D127">
            <v>0</v>
          </cell>
          <cell r="E127">
            <v>0</v>
          </cell>
          <cell r="F127">
            <v>0</v>
          </cell>
          <cell r="G127">
            <v>0</v>
          </cell>
          <cell r="H127">
            <v>0</v>
          </cell>
        </row>
        <row r="128">
          <cell r="A128">
            <v>127</v>
          </cell>
          <cell r="B128" t="str">
            <v>Improvements to Reactor Building Sumps</v>
          </cell>
          <cell r="C128">
            <v>0</v>
          </cell>
          <cell r="D128">
            <v>0</v>
          </cell>
          <cell r="E128">
            <v>0</v>
          </cell>
          <cell r="F128">
            <v>0</v>
          </cell>
          <cell r="G128">
            <v>0</v>
          </cell>
          <cell r="H128">
            <v>0</v>
          </cell>
        </row>
        <row r="129">
          <cell r="A129">
            <v>128</v>
          </cell>
          <cell r="B129" t="str">
            <v>Data Communications</v>
          </cell>
          <cell r="C129">
            <v>0</v>
          </cell>
          <cell r="D129">
            <v>0</v>
          </cell>
          <cell r="E129">
            <v>0</v>
          </cell>
          <cell r="F129">
            <v>0</v>
          </cell>
          <cell r="G129">
            <v>0</v>
          </cell>
          <cell r="H129">
            <v>0</v>
          </cell>
        </row>
        <row r="130">
          <cell r="A130">
            <v>129</v>
          </cell>
          <cell r="B130" t="str">
            <v>Remove Makeup Demineralizer System</v>
          </cell>
          <cell r="C130">
            <v>0</v>
          </cell>
          <cell r="D130">
            <v>0</v>
          </cell>
          <cell r="E130">
            <v>0</v>
          </cell>
          <cell r="F130">
            <v>0</v>
          </cell>
          <cell r="G130">
            <v>0</v>
          </cell>
          <cell r="H130">
            <v>0</v>
          </cell>
        </row>
        <row r="131">
          <cell r="A131">
            <v>130</v>
          </cell>
          <cell r="B131" t="str">
            <v>Stability of the 4kV Power Distribution System</v>
          </cell>
          <cell r="C131">
            <v>480825.67796999984</v>
          </cell>
          <cell r="D131">
            <v>0</v>
          </cell>
          <cell r="E131">
            <v>0</v>
          </cell>
          <cell r="F131">
            <v>0</v>
          </cell>
          <cell r="G131">
            <v>0</v>
          </cell>
          <cell r="H131">
            <v>480825.67796999984</v>
          </cell>
        </row>
        <row r="132">
          <cell r="A132">
            <v>131</v>
          </cell>
          <cell r="B132" t="str">
            <v>Vacco Filter System</v>
          </cell>
          <cell r="C132">
            <v>0</v>
          </cell>
          <cell r="D132">
            <v>0</v>
          </cell>
          <cell r="E132">
            <v>0</v>
          </cell>
          <cell r="F132">
            <v>0</v>
          </cell>
          <cell r="G132">
            <v>0</v>
          </cell>
          <cell r="H132">
            <v>0</v>
          </cell>
        </row>
        <row r="133">
          <cell r="A133">
            <v>132</v>
          </cell>
          <cell r="B133" t="str">
            <v>Local Leak Rate Test Taps</v>
          </cell>
          <cell r="C133">
            <v>0</v>
          </cell>
          <cell r="D133">
            <v>0</v>
          </cell>
          <cell r="E133">
            <v>0</v>
          </cell>
          <cell r="F133">
            <v>0</v>
          </cell>
          <cell r="G133">
            <v>0</v>
          </cell>
          <cell r="H133">
            <v>0</v>
          </cell>
        </row>
        <row r="134">
          <cell r="A134">
            <v>133</v>
          </cell>
          <cell r="B134" t="str">
            <v>Main Control Room Recorders</v>
          </cell>
          <cell r="C134">
            <v>0</v>
          </cell>
          <cell r="D134">
            <v>0</v>
          </cell>
          <cell r="E134">
            <v>0</v>
          </cell>
          <cell r="F134">
            <v>0</v>
          </cell>
          <cell r="G134">
            <v>0</v>
          </cell>
          <cell r="H134">
            <v>0</v>
          </cell>
        </row>
        <row r="135">
          <cell r="A135">
            <v>134</v>
          </cell>
          <cell r="B135" t="str">
            <v>Upgrade Relay</v>
          </cell>
          <cell r="C135">
            <v>0</v>
          </cell>
          <cell r="D135">
            <v>0</v>
          </cell>
          <cell r="E135">
            <v>0</v>
          </cell>
          <cell r="F135">
            <v>0</v>
          </cell>
          <cell r="G135">
            <v>0</v>
          </cell>
          <cell r="H135">
            <v>0</v>
          </cell>
        </row>
        <row r="136">
          <cell r="A136">
            <v>135</v>
          </cell>
          <cell r="B136" t="str">
            <v>Zion TMI Accident Review Modifications</v>
          </cell>
          <cell r="C136">
            <v>9583.2991860000075</v>
          </cell>
          <cell r="D136">
            <v>0</v>
          </cell>
          <cell r="E136">
            <v>0</v>
          </cell>
          <cell r="F136">
            <v>0</v>
          </cell>
          <cell r="G136">
            <v>0</v>
          </cell>
          <cell r="H136">
            <v>9583.2991860000075</v>
          </cell>
        </row>
        <row r="137">
          <cell r="A137">
            <v>136</v>
          </cell>
          <cell r="B137" t="str">
            <v>Improvements to Drywell Monitoring</v>
          </cell>
          <cell r="C137">
            <v>0</v>
          </cell>
          <cell r="D137">
            <v>0</v>
          </cell>
          <cell r="E137">
            <v>0</v>
          </cell>
          <cell r="F137">
            <v>0</v>
          </cell>
          <cell r="G137">
            <v>0</v>
          </cell>
          <cell r="H137">
            <v>0</v>
          </cell>
        </row>
        <row r="138">
          <cell r="A138">
            <v>137</v>
          </cell>
          <cell r="B138" t="str">
            <v>Rerouting of Residual Heat Removal Service Water Line</v>
          </cell>
          <cell r="C138">
            <v>0</v>
          </cell>
          <cell r="D138">
            <v>0</v>
          </cell>
          <cell r="E138">
            <v>0</v>
          </cell>
          <cell r="F138">
            <v>0</v>
          </cell>
          <cell r="G138">
            <v>0</v>
          </cell>
          <cell r="H138">
            <v>0</v>
          </cell>
        </row>
        <row r="139">
          <cell r="A139">
            <v>138</v>
          </cell>
          <cell r="B139" t="str">
            <v>Residual Heat Removal System Check Valves</v>
          </cell>
          <cell r="C139">
            <v>87988.445150000014</v>
          </cell>
          <cell r="D139">
            <v>0</v>
          </cell>
          <cell r="E139">
            <v>0</v>
          </cell>
          <cell r="F139">
            <v>0</v>
          </cell>
          <cell r="G139">
            <v>0</v>
          </cell>
          <cell r="H139">
            <v>87988.445150000014</v>
          </cell>
        </row>
        <row r="140">
          <cell r="A140">
            <v>139</v>
          </cell>
          <cell r="B140" t="str">
            <v>Installation of LUC &amp; GIX Relays</v>
          </cell>
          <cell r="C140">
            <v>0</v>
          </cell>
          <cell r="D140">
            <v>0</v>
          </cell>
          <cell r="E140">
            <v>0</v>
          </cell>
          <cell r="F140">
            <v>0</v>
          </cell>
          <cell r="G140">
            <v>0</v>
          </cell>
          <cell r="H140">
            <v>0</v>
          </cell>
        </row>
        <row r="141">
          <cell r="A141">
            <v>140</v>
          </cell>
          <cell r="B141" t="str">
            <v>Secondary Water Recycle</v>
          </cell>
          <cell r="C141">
            <v>0</v>
          </cell>
          <cell r="D141">
            <v>0</v>
          </cell>
          <cell r="E141">
            <v>0</v>
          </cell>
          <cell r="F141">
            <v>0</v>
          </cell>
          <cell r="G141">
            <v>0</v>
          </cell>
          <cell r="H141">
            <v>0</v>
          </cell>
        </row>
        <row r="142">
          <cell r="A142">
            <v>141</v>
          </cell>
          <cell r="B142" t="str">
            <v>Condensate PreFilter Modification</v>
          </cell>
          <cell r="C142">
            <v>0</v>
          </cell>
          <cell r="D142">
            <v>0</v>
          </cell>
          <cell r="E142">
            <v>0</v>
          </cell>
          <cell r="F142">
            <v>0</v>
          </cell>
          <cell r="G142">
            <v>0</v>
          </cell>
          <cell r="H142">
            <v>0</v>
          </cell>
        </row>
        <row r="143">
          <cell r="A143">
            <v>142</v>
          </cell>
          <cell r="B143" t="str">
            <v>Analytical Instrumentation Upgrade</v>
          </cell>
          <cell r="C143">
            <v>0</v>
          </cell>
          <cell r="D143">
            <v>0</v>
          </cell>
          <cell r="E143">
            <v>0</v>
          </cell>
          <cell r="F143">
            <v>0</v>
          </cell>
          <cell r="G143">
            <v>0</v>
          </cell>
          <cell r="H143">
            <v>0</v>
          </cell>
        </row>
        <row r="144">
          <cell r="A144">
            <v>143</v>
          </cell>
          <cell r="B144" t="str">
            <v>Radiation Monitoring System</v>
          </cell>
          <cell r="C144">
            <v>369104.92891499982</v>
          </cell>
          <cell r="D144">
            <v>0</v>
          </cell>
          <cell r="E144">
            <v>0</v>
          </cell>
          <cell r="F144">
            <v>0</v>
          </cell>
          <cell r="G144">
            <v>0</v>
          </cell>
          <cell r="H144">
            <v>369104.92891499982</v>
          </cell>
        </row>
        <row r="145">
          <cell r="A145">
            <v>144</v>
          </cell>
          <cell r="B145" t="str">
            <v>Air Compressor Instrumentation Upgrade</v>
          </cell>
          <cell r="C145">
            <v>0</v>
          </cell>
          <cell r="D145">
            <v>0</v>
          </cell>
          <cell r="E145">
            <v>0</v>
          </cell>
          <cell r="F145">
            <v>0</v>
          </cell>
          <cell r="G145">
            <v>0</v>
          </cell>
          <cell r="H145">
            <v>0</v>
          </cell>
        </row>
        <row r="146">
          <cell r="A146">
            <v>145</v>
          </cell>
          <cell r="B146" t="str">
            <v>Three Charging Pumps</v>
          </cell>
          <cell r="C146">
            <v>0</v>
          </cell>
          <cell r="D146">
            <v>0</v>
          </cell>
          <cell r="E146">
            <v>0</v>
          </cell>
          <cell r="F146">
            <v>0</v>
          </cell>
          <cell r="G146">
            <v>0</v>
          </cell>
          <cell r="H146">
            <v>0</v>
          </cell>
        </row>
        <row r="147">
          <cell r="A147">
            <v>146</v>
          </cell>
          <cell r="B147" t="str">
            <v>Steam Generators J Nozzles</v>
          </cell>
          <cell r="C147">
            <v>600519.49831600022</v>
          </cell>
          <cell r="D147">
            <v>0</v>
          </cell>
          <cell r="E147">
            <v>0</v>
          </cell>
          <cell r="F147">
            <v>0</v>
          </cell>
          <cell r="G147">
            <v>0</v>
          </cell>
          <cell r="H147">
            <v>600519.49831600022</v>
          </cell>
        </row>
        <row r="148">
          <cell r="A148">
            <v>147</v>
          </cell>
          <cell r="B148" t="str">
            <v>Diesel Generator Air Systems</v>
          </cell>
          <cell r="C148">
            <v>9585136.7747708261</v>
          </cell>
          <cell r="D148">
            <v>10586.316000000001</v>
          </cell>
          <cell r="E148">
            <v>0</v>
          </cell>
          <cell r="F148">
            <v>0</v>
          </cell>
          <cell r="G148">
            <v>0</v>
          </cell>
          <cell r="H148">
            <v>9595723.0907708257</v>
          </cell>
        </row>
        <row r="149">
          <cell r="A149">
            <v>148</v>
          </cell>
          <cell r="B149" t="str">
            <v>Regulatory Guide 1.97 Modification</v>
          </cell>
          <cell r="C149">
            <v>3363292.2030064682</v>
          </cell>
          <cell r="D149">
            <v>0</v>
          </cell>
          <cell r="E149">
            <v>0</v>
          </cell>
          <cell r="F149">
            <v>0</v>
          </cell>
          <cell r="G149">
            <v>0</v>
          </cell>
          <cell r="H149">
            <v>3363292.2030064682</v>
          </cell>
        </row>
        <row r="150">
          <cell r="A150">
            <v>149</v>
          </cell>
          <cell r="B150" t="str">
            <v>Feedwater Pump Discharge Valves</v>
          </cell>
          <cell r="C150">
            <v>0</v>
          </cell>
          <cell r="D150">
            <v>0</v>
          </cell>
          <cell r="E150">
            <v>0</v>
          </cell>
          <cell r="F150">
            <v>0</v>
          </cell>
          <cell r="G150">
            <v>0</v>
          </cell>
          <cell r="H150">
            <v>0</v>
          </cell>
        </row>
        <row r="151">
          <cell r="A151">
            <v>150</v>
          </cell>
          <cell r="B151" t="str">
            <v>Reactor Coolant Pump Motor</v>
          </cell>
          <cell r="C151">
            <v>0</v>
          </cell>
          <cell r="D151">
            <v>0</v>
          </cell>
          <cell r="E151">
            <v>0</v>
          </cell>
          <cell r="F151">
            <v>0</v>
          </cell>
          <cell r="G151">
            <v>0</v>
          </cell>
          <cell r="H151">
            <v>0</v>
          </cell>
        </row>
        <row r="152">
          <cell r="A152">
            <v>151</v>
          </cell>
          <cell r="B152" t="str">
            <v>Radwaste System Modification</v>
          </cell>
          <cell r="C152">
            <v>592682.79408450006</v>
          </cell>
          <cell r="D152">
            <v>0</v>
          </cell>
          <cell r="E152">
            <v>0</v>
          </cell>
          <cell r="F152">
            <v>0</v>
          </cell>
          <cell r="G152">
            <v>0</v>
          </cell>
          <cell r="H152">
            <v>592682.79408450006</v>
          </cell>
        </row>
        <row r="153">
          <cell r="A153">
            <v>152</v>
          </cell>
          <cell r="B153" t="str">
            <v>Computer Inverters Modification</v>
          </cell>
          <cell r="C153">
            <v>0</v>
          </cell>
          <cell r="D153">
            <v>0</v>
          </cell>
          <cell r="E153">
            <v>0</v>
          </cell>
          <cell r="F153">
            <v>0</v>
          </cell>
          <cell r="G153">
            <v>0</v>
          </cell>
          <cell r="H153">
            <v>0</v>
          </cell>
        </row>
        <row r="154">
          <cell r="A154">
            <v>153</v>
          </cell>
          <cell r="B154" t="str">
            <v>Reactor Vessel Integrity Program</v>
          </cell>
          <cell r="C154">
            <v>186057.81024750002</v>
          </cell>
          <cell r="D154">
            <v>0</v>
          </cell>
          <cell r="E154">
            <v>0</v>
          </cell>
          <cell r="F154">
            <v>0</v>
          </cell>
          <cell r="G154">
            <v>0</v>
          </cell>
          <cell r="H154">
            <v>186057.81024750002</v>
          </cell>
        </row>
        <row r="155">
          <cell r="A155">
            <v>154</v>
          </cell>
          <cell r="B155" t="str">
            <v>New Rod Worth Minimizer</v>
          </cell>
          <cell r="C155">
            <v>730160.13136549934</v>
          </cell>
          <cell r="D155">
            <v>0</v>
          </cell>
          <cell r="E155">
            <v>0</v>
          </cell>
          <cell r="F155">
            <v>0</v>
          </cell>
          <cell r="G155">
            <v>0</v>
          </cell>
          <cell r="H155">
            <v>730160.13136549934</v>
          </cell>
        </row>
        <row r="156">
          <cell r="A156">
            <v>155</v>
          </cell>
          <cell r="B156" t="str">
            <v>Drain Controller Replacement</v>
          </cell>
          <cell r="C156">
            <v>0</v>
          </cell>
          <cell r="D156">
            <v>0</v>
          </cell>
          <cell r="E156">
            <v>0</v>
          </cell>
          <cell r="F156">
            <v>0</v>
          </cell>
          <cell r="G156">
            <v>0</v>
          </cell>
          <cell r="H156">
            <v>0</v>
          </cell>
        </row>
        <row r="157">
          <cell r="A157">
            <v>156</v>
          </cell>
          <cell r="B157" t="str">
            <v>Non-Essential Station Load</v>
          </cell>
          <cell r="C157">
            <v>3660.6971664999996</v>
          </cell>
          <cell r="D157">
            <v>0</v>
          </cell>
          <cell r="E157">
            <v>0</v>
          </cell>
          <cell r="F157">
            <v>0</v>
          </cell>
          <cell r="G157">
            <v>0</v>
          </cell>
          <cell r="H157">
            <v>3660.6971664999996</v>
          </cell>
        </row>
        <row r="158">
          <cell r="A158">
            <v>157</v>
          </cell>
          <cell r="B158" t="str">
            <v>Throttle Valve Upgrade</v>
          </cell>
          <cell r="C158">
            <v>495823.38470949954</v>
          </cell>
          <cell r="D158">
            <v>0</v>
          </cell>
          <cell r="E158">
            <v>0</v>
          </cell>
          <cell r="F158">
            <v>0</v>
          </cell>
          <cell r="G158">
            <v>0</v>
          </cell>
          <cell r="H158">
            <v>495823.38470949954</v>
          </cell>
        </row>
        <row r="159">
          <cell r="A159">
            <v>158</v>
          </cell>
          <cell r="B159" t="str">
            <v>Fan Cooler Modification</v>
          </cell>
          <cell r="C159">
            <v>503120.84740799991</v>
          </cell>
          <cell r="D159">
            <v>0</v>
          </cell>
          <cell r="E159">
            <v>0</v>
          </cell>
          <cell r="F159">
            <v>0</v>
          </cell>
          <cell r="G159">
            <v>0</v>
          </cell>
          <cell r="H159">
            <v>503120.84740799991</v>
          </cell>
        </row>
        <row r="160">
          <cell r="A160">
            <v>159</v>
          </cell>
          <cell r="B160" t="str">
            <v>Integration of Anti-Vibration Bars</v>
          </cell>
          <cell r="C160">
            <v>831663.02032349992</v>
          </cell>
          <cell r="D160">
            <v>0</v>
          </cell>
          <cell r="E160">
            <v>0</v>
          </cell>
          <cell r="F160">
            <v>0</v>
          </cell>
          <cell r="G160">
            <v>0</v>
          </cell>
          <cell r="H160">
            <v>831663.02032349992</v>
          </cell>
        </row>
        <row r="161">
          <cell r="A161">
            <v>160</v>
          </cell>
          <cell r="B161" t="str">
            <v>Hydrogen Cooler Modification</v>
          </cell>
          <cell r="C161">
            <v>0</v>
          </cell>
          <cell r="D161">
            <v>0</v>
          </cell>
          <cell r="E161">
            <v>0</v>
          </cell>
          <cell r="F161">
            <v>0</v>
          </cell>
          <cell r="G161">
            <v>0</v>
          </cell>
          <cell r="H161">
            <v>0</v>
          </cell>
        </row>
        <row r="162">
          <cell r="A162">
            <v>161</v>
          </cell>
          <cell r="B162" t="str">
            <v>PICV Test System</v>
          </cell>
          <cell r="C162">
            <v>0</v>
          </cell>
          <cell r="D162">
            <v>0</v>
          </cell>
          <cell r="E162">
            <v>0</v>
          </cell>
          <cell r="F162">
            <v>0</v>
          </cell>
          <cell r="G162">
            <v>0</v>
          </cell>
          <cell r="H162">
            <v>0</v>
          </cell>
        </row>
        <row r="163">
          <cell r="A163">
            <v>162</v>
          </cell>
          <cell r="B163" t="str">
            <v>Upgrade Auxiliary Feedwater Steam Traps</v>
          </cell>
          <cell r="C163">
            <v>96673.793453999984</v>
          </cell>
          <cell r="D163">
            <v>0</v>
          </cell>
          <cell r="E163">
            <v>0</v>
          </cell>
          <cell r="F163">
            <v>0</v>
          </cell>
          <cell r="G163">
            <v>0</v>
          </cell>
          <cell r="H163">
            <v>96673.793453999984</v>
          </cell>
        </row>
        <row r="164">
          <cell r="A164">
            <v>163</v>
          </cell>
          <cell r="B164" t="str">
            <v>Reactor Plant Capital DCPs</v>
          </cell>
          <cell r="C164">
            <v>0</v>
          </cell>
          <cell r="D164">
            <v>0</v>
          </cell>
          <cell r="E164">
            <v>0</v>
          </cell>
          <cell r="F164">
            <v>0</v>
          </cell>
          <cell r="G164">
            <v>0</v>
          </cell>
          <cell r="H164">
            <v>0</v>
          </cell>
        </row>
        <row r="165">
          <cell r="A165">
            <v>164</v>
          </cell>
          <cell r="B165" t="str">
            <v>Reactor Vessel Water Level System</v>
          </cell>
          <cell r="C165">
            <v>49951.873790500002</v>
          </cell>
          <cell r="D165">
            <v>0</v>
          </cell>
          <cell r="E165">
            <v>0</v>
          </cell>
          <cell r="F165">
            <v>0</v>
          </cell>
          <cell r="G165">
            <v>0</v>
          </cell>
          <cell r="H165">
            <v>49951.873790500002</v>
          </cell>
        </row>
        <row r="166">
          <cell r="A166">
            <v>165</v>
          </cell>
          <cell r="B166" t="str">
            <v>Independent Reactor Vessel</v>
          </cell>
          <cell r="C166">
            <v>167511.32158200009</v>
          </cell>
          <cell r="D166">
            <v>0</v>
          </cell>
          <cell r="E166">
            <v>0</v>
          </cell>
          <cell r="F166">
            <v>0</v>
          </cell>
          <cell r="G166">
            <v>0</v>
          </cell>
          <cell r="H166">
            <v>167511.32158200009</v>
          </cell>
        </row>
        <row r="167">
          <cell r="A167">
            <v>166</v>
          </cell>
          <cell r="B167" t="str">
            <v>Decontamination Project</v>
          </cell>
          <cell r="C167">
            <v>3642063.3115664981</v>
          </cell>
          <cell r="D167">
            <v>0</v>
          </cell>
          <cell r="E167">
            <v>0</v>
          </cell>
          <cell r="F167">
            <v>0</v>
          </cell>
          <cell r="G167">
            <v>0</v>
          </cell>
          <cell r="H167">
            <v>3642063.3115664981</v>
          </cell>
        </row>
        <row r="168">
          <cell r="A168">
            <v>167</v>
          </cell>
          <cell r="B168" t="str">
            <v>Install Addition to Fab Shop</v>
          </cell>
          <cell r="C168">
            <v>0</v>
          </cell>
          <cell r="D168">
            <v>0</v>
          </cell>
          <cell r="E168">
            <v>0</v>
          </cell>
          <cell r="F168">
            <v>0</v>
          </cell>
          <cell r="G168">
            <v>0</v>
          </cell>
          <cell r="H168">
            <v>0</v>
          </cell>
        </row>
        <row r="169">
          <cell r="A169">
            <v>168</v>
          </cell>
          <cell r="B169" t="str">
            <v>Two Unloading Heat Exchangers</v>
          </cell>
          <cell r="C169">
            <v>0</v>
          </cell>
          <cell r="D169">
            <v>0</v>
          </cell>
          <cell r="E169">
            <v>0</v>
          </cell>
          <cell r="F169">
            <v>0</v>
          </cell>
          <cell r="G169">
            <v>0</v>
          </cell>
          <cell r="H169">
            <v>0</v>
          </cell>
        </row>
        <row r="170">
          <cell r="A170">
            <v>169</v>
          </cell>
          <cell r="B170" t="str">
            <v>Pneumatic Actuators</v>
          </cell>
          <cell r="C170">
            <v>0</v>
          </cell>
          <cell r="D170">
            <v>0</v>
          </cell>
          <cell r="E170">
            <v>0</v>
          </cell>
          <cell r="F170">
            <v>0</v>
          </cell>
          <cell r="G170">
            <v>0</v>
          </cell>
          <cell r="H170">
            <v>0</v>
          </cell>
        </row>
        <row r="171">
          <cell r="A171">
            <v>170</v>
          </cell>
          <cell r="B171" t="str">
            <v>L2R01 Design Changes</v>
          </cell>
          <cell r="C171">
            <v>0</v>
          </cell>
          <cell r="D171">
            <v>0</v>
          </cell>
          <cell r="E171">
            <v>105867.60458625005</v>
          </cell>
          <cell r="F171">
            <v>0</v>
          </cell>
          <cell r="G171">
            <v>0</v>
          </cell>
          <cell r="H171">
            <v>105867.60458625005</v>
          </cell>
        </row>
        <row r="172">
          <cell r="A172">
            <v>171</v>
          </cell>
          <cell r="B172" t="str">
            <v>Spare Diesel Generator Engine</v>
          </cell>
          <cell r="C172">
            <v>0</v>
          </cell>
          <cell r="D172">
            <v>0</v>
          </cell>
          <cell r="E172">
            <v>0</v>
          </cell>
          <cell r="F172">
            <v>0</v>
          </cell>
          <cell r="G172">
            <v>0</v>
          </cell>
          <cell r="H172">
            <v>0</v>
          </cell>
        </row>
        <row r="173">
          <cell r="A173">
            <v>172</v>
          </cell>
          <cell r="B173" t="str">
            <v>Drywell Cooling System</v>
          </cell>
          <cell r="C173">
            <v>0</v>
          </cell>
          <cell r="D173">
            <v>0</v>
          </cell>
          <cell r="E173">
            <v>0</v>
          </cell>
          <cell r="F173">
            <v>0</v>
          </cell>
          <cell r="G173">
            <v>0</v>
          </cell>
          <cell r="H173">
            <v>0</v>
          </cell>
        </row>
        <row r="174">
          <cell r="A174">
            <v>173</v>
          </cell>
          <cell r="B174" t="str">
            <v>Auxiliary Feed Pump Modification</v>
          </cell>
          <cell r="C174">
            <v>0</v>
          </cell>
          <cell r="D174">
            <v>0</v>
          </cell>
          <cell r="E174">
            <v>0</v>
          </cell>
          <cell r="F174">
            <v>0</v>
          </cell>
          <cell r="G174">
            <v>0</v>
          </cell>
          <cell r="H174">
            <v>0</v>
          </cell>
        </row>
        <row r="175">
          <cell r="A175">
            <v>174</v>
          </cell>
          <cell r="B175" t="str">
            <v>Alternative Intake to Lab Ventilation</v>
          </cell>
          <cell r="C175">
            <v>0</v>
          </cell>
          <cell r="D175">
            <v>61763.097500000003</v>
          </cell>
          <cell r="E175">
            <v>6862.57</v>
          </cell>
          <cell r="F175">
            <v>0</v>
          </cell>
          <cell r="G175">
            <v>0</v>
          </cell>
          <cell r="H175">
            <v>68625.66750000001</v>
          </cell>
        </row>
        <row r="176">
          <cell r="A176">
            <v>175</v>
          </cell>
          <cell r="B176" t="str">
            <v>Digital Rod Position Indication Cable/Connect</v>
          </cell>
          <cell r="C176">
            <v>0</v>
          </cell>
          <cell r="D176">
            <v>0</v>
          </cell>
          <cell r="E176">
            <v>0</v>
          </cell>
          <cell r="F176">
            <v>265089.67189899995</v>
          </cell>
          <cell r="G176">
            <v>265089.67189899995</v>
          </cell>
          <cell r="H176">
            <v>265089.67189899995</v>
          </cell>
        </row>
        <row r="177">
          <cell r="A177">
            <v>176</v>
          </cell>
          <cell r="B177" t="str">
            <v>Power Uprate</v>
          </cell>
          <cell r="C177">
            <v>0</v>
          </cell>
          <cell r="D177">
            <v>319374.96500000003</v>
          </cell>
          <cell r="E177">
            <v>0</v>
          </cell>
          <cell r="F177">
            <v>0</v>
          </cell>
          <cell r="G177">
            <v>0</v>
          </cell>
          <cell r="H177">
            <v>319374.96500000003</v>
          </cell>
        </row>
        <row r="178">
          <cell r="A178">
            <v>177</v>
          </cell>
          <cell r="B178" t="str">
            <v>Seismic Monitor Replacement</v>
          </cell>
          <cell r="C178">
            <v>0</v>
          </cell>
          <cell r="D178">
            <v>0</v>
          </cell>
          <cell r="E178">
            <v>0</v>
          </cell>
          <cell r="F178">
            <v>0</v>
          </cell>
          <cell r="G178">
            <v>0</v>
          </cell>
          <cell r="H178">
            <v>0</v>
          </cell>
        </row>
        <row r="179">
          <cell r="A179">
            <v>178</v>
          </cell>
          <cell r="B179" t="str">
            <v>EHC Elect SCRAM Reduction</v>
          </cell>
          <cell r="C179">
            <v>0</v>
          </cell>
          <cell r="D179">
            <v>0</v>
          </cell>
          <cell r="E179">
            <v>0</v>
          </cell>
          <cell r="F179">
            <v>33649.136253000011</v>
          </cell>
          <cell r="G179">
            <v>33649.136253000011</v>
          </cell>
          <cell r="H179">
            <v>33649.136253000011</v>
          </cell>
        </row>
        <row r="180">
          <cell r="A180">
            <v>179</v>
          </cell>
          <cell r="B180" t="str">
            <v>DCP</v>
          </cell>
          <cell r="C180">
            <v>0</v>
          </cell>
          <cell r="D180">
            <v>0</v>
          </cell>
          <cell r="E180">
            <v>0</v>
          </cell>
          <cell r="F180">
            <v>0</v>
          </cell>
          <cell r="G180">
            <v>0</v>
          </cell>
          <cell r="H180">
            <v>0</v>
          </cell>
        </row>
        <row r="181">
          <cell r="A181">
            <v>180</v>
          </cell>
          <cell r="B181" t="str">
            <v>Source Range ENuclear Instrumentation Upgrade</v>
          </cell>
          <cell r="C181">
            <v>0</v>
          </cell>
          <cell r="D181">
            <v>3065.82</v>
          </cell>
          <cell r="E181">
            <v>0</v>
          </cell>
          <cell r="F181">
            <v>0</v>
          </cell>
          <cell r="G181">
            <v>0</v>
          </cell>
          <cell r="H181">
            <v>3065.82</v>
          </cell>
        </row>
        <row r="182">
          <cell r="A182">
            <v>181</v>
          </cell>
          <cell r="B182" t="str">
            <v>Cathodic Protection of Underground Piping</v>
          </cell>
          <cell r="C182">
            <v>0</v>
          </cell>
          <cell r="D182">
            <v>64694.41</v>
          </cell>
          <cell r="E182">
            <v>0</v>
          </cell>
          <cell r="F182">
            <v>0</v>
          </cell>
          <cell r="G182">
            <v>0</v>
          </cell>
          <cell r="H182">
            <v>64694.41</v>
          </cell>
        </row>
        <row r="183">
          <cell r="A183">
            <v>183</v>
          </cell>
          <cell r="B183" t="str">
            <v>RSH Ice Boom/Blow Down</v>
          </cell>
          <cell r="C183">
            <v>0</v>
          </cell>
          <cell r="D183">
            <v>0</v>
          </cell>
          <cell r="E183">
            <v>0</v>
          </cell>
          <cell r="F183">
            <v>0</v>
          </cell>
          <cell r="G183">
            <v>0</v>
          </cell>
          <cell r="H183">
            <v>0</v>
          </cell>
        </row>
        <row r="184">
          <cell r="A184">
            <v>184</v>
          </cell>
          <cell r="B184" t="str">
            <v>Crane Upgrade</v>
          </cell>
          <cell r="C184">
            <v>0</v>
          </cell>
          <cell r="D184">
            <v>0</v>
          </cell>
          <cell r="E184">
            <v>0</v>
          </cell>
          <cell r="F184">
            <v>0</v>
          </cell>
          <cell r="G184">
            <v>0</v>
          </cell>
          <cell r="H184">
            <v>0</v>
          </cell>
        </row>
        <row r="185">
          <cell r="A185">
            <v>185</v>
          </cell>
          <cell r="B185" t="str">
            <v>Reactor Water Cleanup System High Energy Line Break</v>
          </cell>
          <cell r="C185">
            <v>0</v>
          </cell>
          <cell r="D185">
            <v>963588.49050000019</v>
          </cell>
          <cell r="E185">
            <v>35192.727500000008</v>
          </cell>
          <cell r="F185">
            <v>204901.11359899997</v>
          </cell>
          <cell r="G185">
            <v>204901.11359899997</v>
          </cell>
          <cell r="H185">
            <v>1203682.3315990001</v>
          </cell>
        </row>
        <row r="186">
          <cell r="A186">
            <v>186</v>
          </cell>
          <cell r="B186" t="str">
            <v>SQUG Outliers</v>
          </cell>
          <cell r="C186">
            <v>0</v>
          </cell>
          <cell r="D186">
            <v>0</v>
          </cell>
          <cell r="E186">
            <v>0</v>
          </cell>
          <cell r="F186">
            <v>0</v>
          </cell>
          <cell r="G186">
            <v>0</v>
          </cell>
          <cell r="H186">
            <v>0</v>
          </cell>
        </row>
        <row r="187">
          <cell r="A187">
            <v>187</v>
          </cell>
          <cell r="B187" t="str">
            <v>Maintaining ECCS Flow Path Following a Loss of Coolant Accident</v>
          </cell>
          <cell r="C187">
            <v>0</v>
          </cell>
          <cell r="D187">
            <v>407222.47100000008</v>
          </cell>
          <cell r="E187">
            <v>-4165.46</v>
          </cell>
          <cell r="F187">
            <v>122399.95749999997</v>
          </cell>
          <cell r="G187">
            <v>122399.95749999997</v>
          </cell>
          <cell r="H187">
            <v>525456.96850000008</v>
          </cell>
        </row>
        <row r="188">
          <cell r="A188">
            <v>188</v>
          </cell>
          <cell r="B188" t="str">
            <v>Drywell Insulation Replacement</v>
          </cell>
          <cell r="C188">
            <v>0</v>
          </cell>
          <cell r="D188">
            <v>0</v>
          </cell>
          <cell r="E188">
            <v>0</v>
          </cell>
          <cell r="F188">
            <v>0</v>
          </cell>
          <cell r="G188">
            <v>0</v>
          </cell>
          <cell r="H188">
            <v>0</v>
          </cell>
        </row>
        <row r="189">
          <cell r="A189">
            <v>189</v>
          </cell>
          <cell r="B189" t="str">
            <v>Installation of Cooling Towers at Dresden Nuclear Station</v>
          </cell>
          <cell r="C189">
            <v>0</v>
          </cell>
          <cell r="D189">
            <v>8958.6224999999977</v>
          </cell>
          <cell r="E189">
            <v>54981.734499999999</v>
          </cell>
          <cell r="F189">
            <v>0</v>
          </cell>
          <cell r="G189">
            <v>0</v>
          </cell>
          <cell r="H189">
            <v>63940.356999999996</v>
          </cell>
        </row>
        <row r="190">
          <cell r="A190">
            <v>190</v>
          </cell>
          <cell r="B190" t="str">
            <v>Installation of EHC Isolation Valves</v>
          </cell>
          <cell r="C190">
            <v>0</v>
          </cell>
          <cell r="D190">
            <v>0</v>
          </cell>
          <cell r="E190">
            <v>0</v>
          </cell>
          <cell r="F190">
            <v>0</v>
          </cell>
          <cell r="G190">
            <v>0</v>
          </cell>
          <cell r="H190">
            <v>0</v>
          </cell>
        </row>
        <row r="191">
          <cell r="A191">
            <v>191</v>
          </cell>
          <cell r="B191" t="str">
            <v>Noble Metals Modification</v>
          </cell>
          <cell r="C191">
            <v>0</v>
          </cell>
          <cell r="D191">
            <v>0</v>
          </cell>
          <cell r="E191">
            <v>0</v>
          </cell>
          <cell r="F191">
            <v>0</v>
          </cell>
          <cell r="G191">
            <v>0</v>
          </cell>
          <cell r="H191">
            <v>0</v>
          </cell>
        </row>
        <row r="192">
          <cell r="A192">
            <v>192</v>
          </cell>
          <cell r="B192" t="str">
            <v>Reactor SCRAM Switches</v>
          </cell>
          <cell r="C192">
            <v>0</v>
          </cell>
          <cell r="D192">
            <v>0</v>
          </cell>
          <cell r="E192">
            <v>0</v>
          </cell>
          <cell r="F192">
            <v>0</v>
          </cell>
          <cell r="G192">
            <v>0</v>
          </cell>
          <cell r="H192">
            <v>0</v>
          </cell>
        </row>
        <row r="193">
          <cell r="A193">
            <v>193</v>
          </cell>
          <cell r="B193" t="str">
            <v>Condenser Demineralizer</v>
          </cell>
          <cell r="C193">
            <v>0</v>
          </cell>
          <cell r="D193">
            <v>341146.84350000008</v>
          </cell>
          <cell r="E193">
            <v>102361.78850000002</v>
          </cell>
          <cell r="F193">
            <v>16709.676375999996</v>
          </cell>
          <cell r="G193">
            <v>16709.676375999996</v>
          </cell>
          <cell r="H193">
            <v>460218.30837600009</v>
          </cell>
        </row>
        <row r="194">
          <cell r="A194">
            <v>194</v>
          </cell>
          <cell r="B194" t="str">
            <v>ECCS Suction Strainer Redesign at the BWRs</v>
          </cell>
          <cell r="C194">
            <v>53717.675472999996</v>
          </cell>
          <cell r="D194">
            <v>171291.24849999993</v>
          </cell>
          <cell r="E194">
            <v>42972.8675</v>
          </cell>
          <cell r="F194">
            <v>2555564.7782804999</v>
          </cell>
          <cell r="G194">
            <v>2555564.7782804999</v>
          </cell>
          <cell r="H194">
            <v>2823546.5697534997</v>
          </cell>
        </row>
        <row r="195">
          <cell r="A195">
            <v>195</v>
          </cell>
          <cell r="B195" t="str">
            <v>Installation of Filter Skids</v>
          </cell>
          <cell r="C195">
            <v>0</v>
          </cell>
          <cell r="D195">
            <v>0</v>
          </cell>
          <cell r="E195">
            <v>0</v>
          </cell>
          <cell r="F195">
            <v>0</v>
          </cell>
          <cell r="G195">
            <v>0</v>
          </cell>
          <cell r="H195">
            <v>0</v>
          </cell>
        </row>
        <row r="196">
          <cell r="A196">
            <v>196</v>
          </cell>
          <cell r="B196" t="str">
            <v>Reactor Water Cleanup (RWCU) System Upgrades at LaSalle</v>
          </cell>
          <cell r="C196">
            <v>12326985.85625145</v>
          </cell>
          <cell r="D196">
            <v>4442554.8064999981</v>
          </cell>
          <cell r="E196">
            <v>1183022.5914999994</v>
          </cell>
          <cell r="F196">
            <v>0</v>
          </cell>
          <cell r="G196">
            <v>0</v>
          </cell>
          <cell r="H196">
            <v>17952563.254251447</v>
          </cell>
        </row>
        <row r="197">
          <cell r="A197">
            <v>197</v>
          </cell>
          <cell r="B197" t="str">
            <v>Installation of Isolation Valves</v>
          </cell>
          <cell r="C197">
            <v>0</v>
          </cell>
          <cell r="D197">
            <v>0</v>
          </cell>
          <cell r="E197">
            <v>0</v>
          </cell>
          <cell r="F197">
            <v>0</v>
          </cell>
          <cell r="G197">
            <v>0</v>
          </cell>
          <cell r="H197">
            <v>0</v>
          </cell>
        </row>
        <row r="198">
          <cell r="A198">
            <v>198</v>
          </cell>
          <cell r="B198" t="str">
            <v>Installation of RHR Vacuum Breaker</v>
          </cell>
          <cell r="C198">
            <v>0</v>
          </cell>
          <cell r="D198">
            <v>0</v>
          </cell>
          <cell r="E198">
            <v>0</v>
          </cell>
          <cell r="F198">
            <v>0</v>
          </cell>
          <cell r="G198">
            <v>0</v>
          </cell>
          <cell r="H198">
            <v>0</v>
          </cell>
        </row>
        <row r="199">
          <cell r="A199">
            <v>199</v>
          </cell>
          <cell r="B199" t="str">
            <v>Reactor Recirculation Pump Seals</v>
          </cell>
          <cell r="C199">
            <v>0</v>
          </cell>
          <cell r="D199">
            <v>0</v>
          </cell>
          <cell r="E199">
            <v>0</v>
          </cell>
          <cell r="F199">
            <v>0</v>
          </cell>
          <cell r="G199">
            <v>0</v>
          </cell>
          <cell r="H199">
            <v>0</v>
          </cell>
        </row>
        <row r="200">
          <cell r="A200">
            <v>200</v>
          </cell>
          <cell r="B200" t="str">
            <v>Recirculation Pump Motor Rewind</v>
          </cell>
          <cell r="C200">
            <v>0</v>
          </cell>
          <cell r="D200">
            <v>0</v>
          </cell>
          <cell r="E200">
            <v>0</v>
          </cell>
          <cell r="F200">
            <v>0</v>
          </cell>
          <cell r="G200">
            <v>0</v>
          </cell>
          <cell r="H200">
            <v>0</v>
          </cell>
        </row>
        <row r="201">
          <cell r="A201">
            <v>201</v>
          </cell>
          <cell r="B201" t="str">
            <v>Reactor Recirc MG Set Brush Replacement at Quad Cities</v>
          </cell>
          <cell r="C201">
            <v>0</v>
          </cell>
          <cell r="D201">
            <v>0</v>
          </cell>
          <cell r="E201">
            <v>0</v>
          </cell>
          <cell r="F201">
            <v>0</v>
          </cell>
          <cell r="G201">
            <v>0</v>
          </cell>
          <cell r="H201">
            <v>0</v>
          </cell>
        </row>
        <row r="202">
          <cell r="A202">
            <v>202</v>
          </cell>
          <cell r="B202" t="str">
            <v>Reactivity Management</v>
          </cell>
          <cell r="C202">
            <v>0</v>
          </cell>
          <cell r="D202">
            <v>0</v>
          </cell>
          <cell r="E202">
            <v>0</v>
          </cell>
          <cell r="F202">
            <v>0</v>
          </cell>
          <cell r="G202">
            <v>0</v>
          </cell>
          <cell r="H202">
            <v>0</v>
          </cell>
        </row>
        <row r="203">
          <cell r="A203">
            <v>203</v>
          </cell>
          <cell r="B203" t="str">
            <v>Replacement of Safety Injection Accumulator Transmitter</v>
          </cell>
          <cell r="C203">
            <v>0</v>
          </cell>
          <cell r="D203">
            <v>0</v>
          </cell>
          <cell r="E203">
            <v>0</v>
          </cell>
          <cell r="F203">
            <v>535951.429</v>
          </cell>
          <cell r="G203">
            <v>535951.429</v>
          </cell>
          <cell r="H203">
            <v>535951.429</v>
          </cell>
        </row>
        <row r="204">
          <cell r="A204">
            <v>204</v>
          </cell>
          <cell r="B204" t="str">
            <v>Synchronous Condenser - Zion</v>
          </cell>
          <cell r="C204">
            <v>0</v>
          </cell>
          <cell r="D204">
            <v>0</v>
          </cell>
          <cell r="E204">
            <v>0</v>
          </cell>
          <cell r="F204">
            <v>0</v>
          </cell>
          <cell r="G204">
            <v>0</v>
          </cell>
          <cell r="H204">
            <v>0</v>
          </cell>
        </row>
        <row r="205">
          <cell r="A205">
            <v>205</v>
          </cell>
          <cell r="B205" t="str">
            <v>High Pressure Core Injection Gland Seal</v>
          </cell>
          <cell r="C205">
            <v>0</v>
          </cell>
          <cell r="D205">
            <v>0</v>
          </cell>
          <cell r="E205">
            <v>0</v>
          </cell>
          <cell r="F205">
            <v>0</v>
          </cell>
          <cell r="G205">
            <v>0</v>
          </cell>
          <cell r="H205">
            <v>0</v>
          </cell>
        </row>
        <row r="206">
          <cell r="A206">
            <v>206</v>
          </cell>
          <cell r="B206" t="str">
            <v>Replacement of Valves</v>
          </cell>
          <cell r="C206">
            <v>0</v>
          </cell>
          <cell r="D206">
            <v>0</v>
          </cell>
          <cell r="E206">
            <v>0</v>
          </cell>
          <cell r="F206">
            <v>0</v>
          </cell>
          <cell r="G206">
            <v>0</v>
          </cell>
          <cell r="H206">
            <v>0</v>
          </cell>
        </row>
        <row r="207">
          <cell r="A207">
            <v>207</v>
          </cell>
          <cell r="B207" t="str">
            <v>Replacement of Valves</v>
          </cell>
          <cell r="C207">
            <v>0</v>
          </cell>
          <cell r="D207">
            <v>0</v>
          </cell>
          <cell r="E207">
            <v>0</v>
          </cell>
          <cell r="F207">
            <v>0</v>
          </cell>
          <cell r="G207">
            <v>0</v>
          </cell>
          <cell r="H207">
            <v>0</v>
          </cell>
        </row>
        <row r="208">
          <cell r="A208">
            <v>208</v>
          </cell>
          <cell r="B208" t="str">
            <v>Primary Containment Drain</v>
          </cell>
          <cell r="C208">
            <v>0</v>
          </cell>
          <cell r="D208">
            <v>0</v>
          </cell>
          <cell r="E208">
            <v>0</v>
          </cell>
          <cell r="F208">
            <v>0</v>
          </cell>
          <cell r="G208">
            <v>0</v>
          </cell>
          <cell r="H208">
            <v>0</v>
          </cell>
        </row>
        <row r="209">
          <cell r="A209">
            <v>209</v>
          </cell>
          <cell r="B209" t="str">
            <v>Managed Task to Support L1RO8</v>
          </cell>
          <cell r="C209">
            <v>0</v>
          </cell>
          <cell r="D209">
            <v>0</v>
          </cell>
          <cell r="E209">
            <v>0</v>
          </cell>
          <cell r="F209">
            <v>0</v>
          </cell>
          <cell r="G209">
            <v>0</v>
          </cell>
          <cell r="H209">
            <v>0</v>
          </cell>
        </row>
        <row r="210">
          <cell r="A210">
            <v>300</v>
          </cell>
          <cell r="B210" t="str">
            <v>Plant Completion</v>
          </cell>
          <cell r="C210">
            <v>2454314.658735496</v>
          </cell>
          <cell r="D210">
            <v>0</v>
          </cell>
          <cell r="E210">
            <v>0</v>
          </cell>
          <cell r="F210">
            <v>0</v>
          </cell>
          <cell r="G210">
            <v>-2454314.658735496</v>
          </cell>
          <cell r="H210">
            <v>0</v>
          </cell>
        </row>
        <row r="211">
          <cell r="A211">
            <v>301</v>
          </cell>
          <cell r="B211" t="str">
            <v>Reactor Coolant Sampling System</v>
          </cell>
          <cell r="C211">
            <v>0</v>
          </cell>
          <cell r="D211">
            <v>0</v>
          </cell>
          <cell r="E211">
            <v>0</v>
          </cell>
          <cell r="F211">
            <v>0</v>
          </cell>
          <cell r="G211">
            <v>0</v>
          </cell>
          <cell r="H211">
            <v>0</v>
          </cell>
        </row>
        <row r="212">
          <cell r="A212">
            <v>302</v>
          </cell>
          <cell r="B212" t="str">
            <v>Pending Approval</v>
          </cell>
          <cell r="C212">
            <v>8475570.122739451</v>
          </cell>
          <cell r="D212">
            <v>0</v>
          </cell>
          <cell r="E212">
            <v>0</v>
          </cell>
          <cell r="F212">
            <v>0</v>
          </cell>
          <cell r="G212">
            <v>-8475570.122739451</v>
          </cell>
          <cell r="H212">
            <v>0</v>
          </cell>
        </row>
        <row r="213">
          <cell r="B213" t="str">
            <v>TOTALS</v>
          </cell>
          <cell r="C213">
            <v>281161727.89774144</v>
          </cell>
          <cell r="D213">
            <v>9719738.4119999986</v>
          </cell>
          <cell r="E213">
            <v>7087633.8275862504</v>
          </cell>
          <cell r="F213">
            <v>10929884.781474996</v>
          </cell>
          <cell r="G213">
            <v>5.029141902923584E-8</v>
          </cell>
          <cell r="H213">
            <v>297969100.13732791</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5 ComEd CapEx (By Dept) Budg"/>
      <sheetName val="2005 CapEx (By VP By Dept) Budg"/>
      <sheetName val="Calculations"/>
      <sheetName val="Calculations Prior year"/>
      <sheetName val="DCF - Alcar LE"/>
      <sheetName val="DCF - Alcar Budget"/>
      <sheetName val="nVision"/>
      <sheetName val="Masterdata"/>
      <sheetName val="Rev_Req"/>
      <sheetName val="TFI use"/>
      <sheetName val="#REF"/>
      <sheetName val="2nd qtr 2000"/>
      <sheetName val="SETUP"/>
      <sheetName val="Database"/>
      <sheetName val="Ry"/>
      <sheetName val="2005 Amortization "/>
      <sheetName val="PECO BS"/>
    </sheetNames>
    <sheetDataSet>
      <sheetData sheetId="0" refreshError="1"/>
      <sheetData sheetId="1" refreshError="1">
        <row r="3">
          <cell r="A3"/>
          <cell r="B3" t="str">
            <v xml:space="preserve"> 108030 - Monthly Total Resources</v>
          </cell>
          <cell r="C3">
            <v>0</v>
          </cell>
          <cell r="D3">
            <v>0</v>
          </cell>
          <cell r="E3">
            <v>0</v>
          </cell>
          <cell r="F3">
            <v>0</v>
          </cell>
          <cell r="G3">
            <v>0</v>
          </cell>
          <cell r="H3">
            <v>0</v>
          </cell>
          <cell r="I3">
            <v>0</v>
          </cell>
          <cell r="J3">
            <v>0</v>
          </cell>
          <cell r="K3">
            <v>0</v>
          </cell>
          <cell r="L3">
            <v>0</v>
          </cell>
          <cell r="M3">
            <v>0</v>
          </cell>
          <cell r="N3">
            <v>0</v>
          </cell>
          <cell r="O3">
            <v>0</v>
          </cell>
        </row>
        <row r="4">
          <cell r="A4"/>
          <cell r="B4" t="str">
            <v xml:space="preserve"> Total CapEx</v>
          </cell>
          <cell r="C4">
            <v>-1375000</v>
          </cell>
          <cell r="D4">
            <v>-1375000</v>
          </cell>
          <cell r="E4">
            <v>-1375000</v>
          </cell>
          <cell r="F4">
            <v>-1375000</v>
          </cell>
          <cell r="G4">
            <v>-1375000</v>
          </cell>
          <cell r="H4">
            <v>-1375000</v>
          </cell>
          <cell r="I4">
            <v>-1375000</v>
          </cell>
          <cell r="J4">
            <v>-1375000</v>
          </cell>
          <cell r="K4">
            <v>-1375000</v>
          </cell>
          <cell r="L4">
            <v>-1375000</v>
          </cell>
          <cell r="M4">
            <v>-1375000</v>
          </cell>
          <cell r="N4">
            <v>-1375000</v>
          </cell>
          <cell r="O4">
            <v>-16500000</v>
          </cell>
        </row>
        <row r="5">
          <cell r="A5" t="str">
            <v xml:space="preserve">   Storm Fund - PECO</v>
          </cell>
          <cell r="B5" t="str">
            <v xml:space="preserve"> 107000 - Monthly Total Resources</v>
          </cell>
          <cell r="C5">
            <v>0</v>
          </cell>
          <cell r="D5">
            <v>0</v>
          </cell>
          <cell r="E5">
            <v>0</v>
          </cell>
          <cell r="F5">
            <v>0</v>
          </cell>
          <cell r="G5">
            <v>0</v>
          </cell>
          <cell r="H5">
            <v>0</v>
          </cell>
          <cell r="I5">
            <v>0</v>
          </cell>
          <cell r="J5">
            <v>0</v>
          </cell>
          <cell r="K5">
            <v>0</v>
          </cell>
          <cell r="L5">
            <v>0</v>
          </cell>
          <cell r="M5">
            <v>0</v>
          </cell>
          <cell r="N5">
            <v>0</v>
          </cell>
          <cell r="O5">
            <v>0</v>
          </cell>
        </row>
        <row r="6">
          <cell r="A6"/>
          <cell r="B6" t="str">
            <v xml:space="preserve"> 108030 - Monthly Total Resources</v>
          </cell>
          <cell r="C6">
            <v>0</v>
          </cell>
          <cell r="D6">
            <v>0</v>
          </cell>
          <cell r="E6">
            <v>0</v>
          </cell>
          <cell r="F6">
            <v>0</v>
          </cell>
          <cell r="G6">
            <v>0</v>
          </cell>
          <cell r="H6">
            <v>0</v>
          </cell>
          <cell r="I6">
            <v>0</v>
          </cell>
          <cell r="J6">
            <v>0</v>
          </cell>
          <cell r="K6">
            <v>0</v>
          </cell>
          <cell r="L6">
            <v>0</v>
          </cell>
          <cell r="M6">
            <v>0</v>
          </cell>
          <cell r="N6">
            <v>0</v>
          </cell>
          <cell r="O6">
            <v>0</v>
          </cell>
        </row>
        <row r="7">
          <cell r="A7"/>
          <cell r="B7" t="str">
            <v xml:space="preserve"> Total CapEx</v>
          </cell>
          <cell r="C7">
            <v>0</v>
          </cell>
          <cell r="D7">
            <v>0</v>
          </cell>
          <cell r="E7">
            <v>0</v>
          </cell>
          <cell r="F7">
            <v>0</v>
          </cell>
          <cell r="G7">
            <v>0</v>
          </cell>
          <cell r="H7">
            <v>0</v>
          </cell>
          <cell r="I7">
            <v>0</v>
          </cell>
          <cell r="J7">
            <v>0</v>
          </cell>
          <cell r="K7">
            <v>0</v>
          </cell>
          <cell r="L7">
            <v>0</v>
          </cell>
          <cell r="M7">
            <v>0</v>
          </cell>
          <cell r="N7">
            <v>0</v>
          </cell>
          <cell r="O7">
            <v>0</v>
          </cell>
        </row>
        <row r="8">
          <cell r="A8" t="str">
            <v xml:space="preserve">   Capitalized Overheads-PECO</v>
          </cell>
          <cell r="B8" t="str">
            <v xml:space="preserve"> 107000 - Monthly Total Resources</v>
          </cell>
          <cell r="C8">
            <v>0</v>
          </cell>
          <cell r="D8">
            <v>0</v>
          </cell>
          <cell r="E8">
            <v>0</v>
          </cell>
          <cell r="F8">
            <v>0</v>
          </cell>
          <cell r="G8">
            <v>0</v>
          </cell>
          <cell r="H8">
            <v>0</v>
          </cell>
          <cell r="I8">
            <v>0</v>
          </cell>
          <cell r="J8">
            <v>0</v>
          </cell>
          <cell r="K8">
            <v>0</v>
          </cell>
          <cell r="L8">
            <v>0</v>
          </cell>
          <cell r="M8">
            <v>0</v>
          </cell>
          <cell r="N8">
            <v>0</v>
          </cell>
          <cell r="O8">
            <v>0</v>
          </cell>
        </row>
        <row r="9">
          <cell r="A9"/>
          <cell r="B9" t="str">
            <v xml:space="preserve"> 108030 - Monthly Total Resources</v>
          </cell>
          <cell r="C9">
            <v>0</v>
          </cell>
          <cell r="D9">
            <v>0</v>
          </cell>
          <cell r="E9">
            <v>0</v>
          </cell>
          <cell r="F9">
            <v>0</v>
          </cell>
          <cell r="G9">
            <v>0</v>
          </cell>
          <cell r="H9">
            <v>0</v>
          </cell>
          <cell r="I9">
            <v>0</v>
          </cell>
          <cell r="J9">
            <v>0</v>
          </cell>
          <cell r="K9">
            <v>0</v>
          </cell>
          <cell r="L9">
            <v>0</v>
          </cell>
          <cell r="M9">
            <v>0</v>
          </cell>
          <cell r="N9">
            <v>0</v>
          </cell>
          <cell r="O9">
            <v>0</v>
          </cell>
        </row>
        <row r="10">
          <cell r="A10"/>
          <cell r="B10" t="str">
            <v xml:space="preserve"> Total CapEx</v>
          </cell>
          <cell r="C10">
            <v>0</v>
          </cell>
          <cell r="D10">
            <v>0</v>
          </cell>
          <cell r="E10">
            <v>0</v>
          </cell>
          <cell r="F10">
            <v>0</v>
          </cell>
          <cell r="G10">
            <v>0</v>
          </cell>
          <cell r="H10">
            <v>0</v>
          </cell>
          <cell r="I10">
            <v>0</v>
          </cell>
          <cell r="J10">
            <v>0</v>
          </cell>
          <cell r="K10">
            <v>0</v>
          </cell>
          <cell r="L10">
            <v>0</v>
          </cell>
          <cell r="M10">
            <v>0</v>
          </cell>
          <cell r="N10">
            <v>0</v>
          </cell>
          <cell r="O10">
            <v>0</v>
          </cell>
        </row>
        <row r="11">
          <cell r="A11" t="str">
            <v xml:space="preserve">   EDSS Executive Services-PECO</v>
          </cell>
          <cell r="B11" t="str">
            <v xml:space="preserve"> 107000 - Monthly Total Resources</v>
          </cell>
          <cell r="C11">
            <v>0</v>
          </cell>
          <cell r="D11">
            <v>0</v>
          </cell>
          <cell r="E11">
            <v>0</v>
          </cell>
          <cell r="F11">
            <v>0</v>
          </cell>
          <cell r="G11">
            <v>0</v>
          </cell>
          <cell r="H11">
            <v>0</v>
          </cell>
          <cell r="I11">
            <v>0</v>
          </cell>
          <cell r="J11">
            <v>0</v>
          </cell>
          <cell r="K11">
            <v>0</v>
          </cell>
          <cell r="L11">
            <v>0</v>
          </cell>
          <cell r="M11">
            <v>0</v>
          </cell>
          <cell r="N11">
            <v>0</v>
          </cell>
          <cell r="O11">
            <v>0</v>
          </cell>
        </row>
        <row r="12">
          <cell r="A12"/>
          <cell r="B12" t="str">
            <v xml:space="preserve"> 108030 - Monthly Total Resources</v>
          </cell>
          <cell r="C12">
            <v>0</v>
          </cell>
          <cell r="D12">
            <v>0</v>
          </cell>
          <cell r="E12">
            <v>0</v>
          </cell>
          <cell r="F12">
            <v>0</v>
          </cell>
          <cell r="G12">
            <v>0</v>
          </cell>
          <cell r="H12">
            <v>0</v>
          </cell>
          <cell r="I12">
            <v>0</v>
          </cell>
          <cell r="J12">
            <v>0</v>
          </cell>
          <cell r="K12">
            <v>0</v>
          </cell>
          <cell r="L12">
            <v>0</v>
          </cell>
          <cell r="M12">
            <v>0</v>
          </cell>
          <cell r="N12">
            <v>0</v>
          </cell>
          <cell r="O12">
            <v>0</v>
          </cell>
        </row>
        <row r="13">
          <cell r="A13"/>
          <cell r="B13" t="str">
            <v xml:space="preserve"> Total CapEx</v>
          </cell>
          <cell r="C13">
            <v>0</v>
          </cell>
          <cell r="D13">
            <v>0</v>
          </cell>
          <cell r="E13">
            <v>0</v>
          </cell>
          <cell r="F13">
            <v>0</v>
          </cell>
          <cell r="G13">
            <v>0</v>
          </cell>
          <cell r="H13">
            <v>0</v>
          </cell>
          <cell r="I13">
            <v>0</v>
          </cell>
          <cell r="J13">
            <v>0</v>
          </cell>
          <cell r="K13">
            <v>0</v>
          </cell>
          <cell r="L13">
            <v>0</v>
          </cell>
          <cell r="M13">
            <v>0</v>
          </cell>
          <cell r="N13">
            <v>0</v>
          </cell>
          <cell r="O13">
            <v>0</v>
          </cell>
        </row>
        <row r="14">
          <cell r="A14" t="str">
            <v xml:space="preserve">     Default Department</v>
          </cell>
          <cell r="B14" t="str">
            <v xml:space="preserve"> 107000 - Monthly Total Resources</v>
          </cell>
          <cell r="C14">
            <v>81126.460000000006</v>
          </cell>
          <cell r="D14">
            <v>78021.429999999993</v>
          </cell>
          <cell r="E14">
            <v>84231.48</v>
          </cell>
          <cell r="F14">
            <v>79139.77</v>
          </cell>
          <cell r="G14">
            <v>75784.759999999995</v>
          </cell>
          <cell r="H14">
            <v>88454.84</v>
          </cell>
          <cell r="I14">
            <v>79139.77</v>
          </cell>
          <cell r="J14">
            <v>75784.759999999995</v>
          </cell>
          <cell r="K14">
            <v>88454.84</v>
          </cell>
          <cell r="L14">
            <v>79139.77</v>
          </cell>
          <cell r="M14">
            <v>75784.759999999995</v>
          </cell>
          <cell r="N14">
            <v>88454.84</v>
          </cell>
          <cell r="O14">
            <v>973517.48</v>
          </cell>
        </row>
        <row r="15">
          <cell r="A15"/>
          <cell r="B15" t="str">
            <v xml:space="preserve"> 108030 - Monthly Total Resources</v>
          </cell>
          <cell r="C15">
            <v>0</v>
          </cell>
          <cell r="D15">
            <v>0</v>
          </cell>
          <cell r="E15">
            <v>0</v>
          </cell>
          <cell r="F15">
            <v>0</v>
          </cell>
          <cell r="G15">
            <v>0</v>
          </cell>
          <cell r="H15">
            <v>0</v>
          </cell>
          <cell r="I15">
            <v>0</v>
          </cell>
          <cell r="J15">
            <v>0</v>
          </cell>
          <cell r="K15">
            <v>0</v>
          </cell>
          <cell r="L15">
            <v>0</v>
          </cell>
          <cell r="M15">
            <v>0</v>
          </cell>
          <cell r="N15">
            <v>0</v>
          </cell>
          <cell r="O15">
            <v>0</v>
          </cell>
        </row>
        <row r="16">
          <cell r="A16"/>
          <cell r="B16" t="str">
            <v xml:space="preserve"> Total CapEx</v>
          </cell>
          <cell r="C16">
            <v>81126.460000000006</v>
          </cell>
          <cell r="D16">
            <v>78021.429999999993</v>
          </cell>
          <cell r="E16">
            <v>84231.48</v>
          </cell>
          <cell r="F16">
            <v>79139.77</v>
          </cell>
          <cell r="G16">
            <v>75784.759999999995</v>
          </cell>
          <cell r="H16">
            <v>88454.84</v>
          </cell>
          <cell r="I16">
            <v>79139.77</v>
          </cell>
          <cell r="J16">
            <v>75784.759999999995</v>
          </cell>
          <cell r="K16">
            <v>88454.84</v>
          </cell>
          <cell r="L16">
            <v>79139.77</v>
          </cell>
          <cell r="M16">
            <v>75784.759999999995</v>
          </cell>
          <cell r="N16">
            <v>88454.84</v>
          </cell>
          <cell r="O16">
            <v>973517.48</v>
          </cell>
        </row>
        <row r="17">
          <cell r="A17" t="str">
            <v xml:space="preserve">     VP-Finance &amp; CEO-EED</v>
          </cell>
          <cell r="B17" t="str">
            <v xml:space="preserve"> 107000 - Monthly Total Resources</v>
          </cell>
          <cell r="C17">
            <v>0</v>
          </cell>
          <cell r="D17">
            <v>0</v>
          </cell>
          <cell r="E17">
            <v>0</v>
          </cell>
          <cell r="F17">
            <v>0</v>
          </cell>
          <cell r="G17">
            <v>0</v>
          </cell>
          <cell r="H17">
            <v>0</v>
          </cell>
          <cell r="I17">
            <v>0</v>
          </cell>
          <cell r="J17">
            <v>0</v>
          </cell>
          <cell r="K17">
            <v>0</v>
          </cell>
          <cell r="L17">
            <v>0</v>
          </cell>
          <cell r="M17">
            <v>0</v>
          </cell>
          <cell r="N17">
            <v>0</v>
          </cell>
          <cell r="O17">
            <v>0</v>
          </cell>
        </row>
        <row r="18">
          <cell r="A18"/>
          <cell r="B18" t="str">
            <v xml:space="preserve"> 108030 - Monthly Total Resources</v>
          </cell>
          <cell r="C18">
            <v>0</v>
          </cell>
          <cell r="D18">
            <v>0</v>
          </cell>
          <cell r="E18">
            <v>0</v>
          </cell>
          <cell r="F18">
            <v>0</v>
          </cell>
          <cell r="G18">
            <v>0</v>
          </cell>
          <cell r="H18">
            <v>0</v>
          </cell>
          <cell r="I18">
            <v>0</v>
          </cell>
          <cell r="J18">
            <v>0</v>
          </cell>
          <cell r="K18">
            <v>0</v>
          </cell>
          <cell r="L18">
            <v>0</v>
          </cell>
          <cell r="M18">
            <v>0</v>
          </cell>
          <cell r="N18">
            <v>0</v>
          </cell>
          <cell r="O18">
            <v>0</v>
          </cell>
        </row>
        <row r="19">
          <cell r="A19"/>
          <cell r="B19" t="str">
            <v xml:space="preserve"> Total CapEx</v>
          </cell>
          <cell r="C19">
            <v>0</v>
          </cell>
          <cell r="D19">
            <v>0</v>
          </cell>
          <cell r="E19">
            <v>0</v>
          </cell>
          <cell r="F19">
            <v>0</v>
          </cell>
          <cell r="G19">
            <v>0</v>
          </cell>
          <cell r="H19">
            <v>0</v>
          </cell>
          <cell r="I19">
            <v>0</v>
          </cell>
          <cell r="J19">
            <v>0</v>
          </cell>
          <cell r="K19">
            <v>0</v>
          </cell>
          <cell r="L19">
            <v>0</v>
          </cell>
          <cell r="M19">
            <v>0</v>
          </cell>
          <cell r="N19">
            <v>0</v>
          </cell>
          <cell r="O19">
            <v>0</v>
          </cell>
        </row>
        <row r="20">
          <cell r="A20" t="str">
            <v xml:space="preserve">     VP - Finance &amp; CFO</v>
          </cell>
          <cell r="B20" t="str">
            <v xml:space="preserve"> 107000 - Monthly Total Resources</v>
          </cell>
          <cell r="C20">
            <v>0</v>
          </cell>
          <cell r="D20">
            <v>0</v>
          </cell>
          <cell r="E20">
            <v>0</v>
          </cell>
          <cell r="F20">
            <v>0</v>
          </cell>
          <cell r="G20">
            <v>0</v>
          </cell>
          <cell r="H20">
            <v>0</v>
          </cell>
          <cell r="I20">
            <v>0</v>
          </cell>
          <cell r="J20">
            <v>0</v>
          </cell>
          <cell r="K20">
            <v>0</v>
          </cell>
          <cell r="L20">
            <v>0</v>
          </cell>
          <cell r="M20">
            <v>0</v>
          </cell>
          <cell r="N20">
            <v>0</v>
          </cell>
          <cell r="O20">
            <v>0</v>
          </cell>
        </row>
        <row r="21">
          <cell r="A21"/>
          <cell r="B21" t="str">
            <v xml:space="preserve"> 108030 - Monthly Total Resources</v>
          </cell>
          <cell r="C21">
            <v>0</v>
          </cell>
          <cell r="D21">
            <v>0</v>
          </cell>
          <cell r="E21">
            <v>0</v>
          </cell>
          <cell r="F21">
            <v>0</v>
          </cell>
          <cell r="G21">
            <v>0</v>
          </cell>
          <cell r="H21">
            <v>0</v>
          </cell>
          <cell r="I21">
            <v>0</v>
          </cell>
          <cell r="J21">
            <v>0</v>
          </cell>
          <cell r="K21">
            <v>0</v>
          </cell>
          <cell r="L21">
            <v>0</v>
          </cell>
          <cell r="M21">
            <v>0</v>
          </cell>
          <cell r="N21">
            <v>0</v>
          </cell>
          <cell r="O21">
            <v>0</v>
          </cell>
        </row>
        <row r="22">
          <cell r="A22"/>
          <cell r="B22" t="str">
            <v xml:space="preserve"> Total CapEx</v>
          </cell>
          <cell r="C22">
            <v>0</v>
          </cell>
          <cell r="D22">
            <v>0</v>
          </cell>
          <cell r="E22">
            <v>0</v>
          </cell>
          <cell r="F22">
            <v>0</v>
          </cell>
          <cell r="G22">
            <v>0</v>
          </cell>
          <cell r="H22">
            <v>0</v>
          </cell>
          <cell r="I22">
            <v>0</v>
          </cell>
          <cell r="J22">
            <v>0</v>
          </cell>
          <cell r="K22">
            <v>0</v>
          </cell>
          <cell r="L22">
            <v>0</v>
          </cell>
          <cell r="M22">
            <v>0</v>
          </cell>
          <cell r="N22">
            <v>0</v>
          </cell>
          <cell r="O22">
            <v>0</v>
          </cell>
        </row>
        <row r="23">
          <cell r="A23" t="str">
            <v xml:space="preserve">     Controller</v>
          </cell>
          <cell r="B23" t="str">
            <v xml:space="preserve"> 107000 - Monthly Total Resources</v>
          </cell>
          <cell r="C23">
            <v>0</v>
          </cell>
          <cell r="D23">
            <v>0</v>
          </cell>
          <cell r="E23">
            <v>0</v>
          </cell>
          <cell r="F23">
            <v>0</v>
          </cell>
          <cell r="G23">
            <v>0</v>
          </cell>
          <cell r="H23">
            <v>0</v>
          </cell>
          <cell r="I23">
            <v>0</v>
          </cell>
          <cell r="J23">
            <v>0</v>
          </cell>
          <cell r="K23">
            <v>0</v>
          </cell>
          <cell r="L23">
            <v>0</v>
          </cell>
          <cell r="M23">
            <v>0</v>
          </cell>
          <cell r="N23">
            <v>0</v>
          </cell>
          <cell r="O23">
            <v>0</v>
          </cell>
        </row>
        <row r="24">
          <cell r="A24"/>
          <cell r="B24" t="str">
            <v xml:space="preserve"> 108030 - Monthly Total Resources</v>
          </cell>
          <cell r="C24">
            <v>0</v>
          </cell>
          <cell r="D24">
            <v>0</v>
          </cell>
          <cell r="E24">
            <v>0</v>
          </cell>
          <cell r="F24">
            <v>0</v>
          </cell>
          <cell r="G24">
            <v>0</v>
          </cell>
          <cell r="H24">
            <v>0</v>
          </cell>
          <cell r="I24">
            <v>0</v>
          </cell>
          <cell r="J24">
            <v>0</v>
          </cell>
          <cell r="K24">
            <v>0</v>
          </cell>
          <cell r="L24">
            <v>0</v>
          </cell>
          <cell r="M24">
            <v>0</v>
          </cell>
          <cell r="N24">
            <v>0</v>
          </cell>
          <cell r="O24">
            <v>0</v>
          </cell>
        </row>
        <row r="25">
          <cell r="A25"/>
          <cell r="B25" t="str">
            <v xml:space="preserve"> Total CapEx</v>
          </cell>
          <cell r="C25">
            <v>0</v>
          </cell>
          <cell r="D25">
            <v>0</v>
          </cell>
          <cell r="E25">
            <v>0</v>
          </cell>
          <cell r="F25">
            <v>0</v>
          </cell>
          <cell r="G25">
            <v>0</v>
          </cell>
          <cell r="H25">
            <v>0</v>
          </cell>
          <cell r="I25">
            <v>0</v>
          </cell>
          <cell r="J25">
            <v>0</v>
          </cell>
          <cell r="K25">
            <v>0</v>
          </cell>
          <cell r="L25">
            <v>0</v>
          </cell>
          <cell r="M25">
            <v>0</v>
          </cell>
          <cell r="N25">
            <v>0</v>
          </cell>
          <cell r="O25">
            <v>0</v>
          </cell>
        </row>
        <row r="26">
          <cell r="A26" t="str">
            <v xml:space="preserve">     Tax</v>
          </cell>
          <cell r="B26" t="str">
            <v xml:space="preserve"> 107000 - Monthly Total Resources</v>
          </cell>
          <cell r="C26">
            <v>0</v>
          </cell>
          <cell r="D26">
            <v>0</v>
          </cell>
          <cell r="E26">
            <v>0</v>
          </cell>
          <cell r="F26">
            <v>0</v>
          </cell>
          <cell r="G26">
            <v>0</v>
          </cell>
          <cell r="H26">
            <v>0</v>
          </cell>
          <cell r="I26">
            <v>0</v>
          </cell>
          <cell r="J26">
            <v>0</v>
          </cell>
          <cell r="K26">
            <v>0</v>
          </cell>
          <cell r="L26">
            <v>0</v>
          </cell>
          <cell r="M26">
            <v>0</v>
          </cell>
          <cell r="N26">
            <v>0</v>
          </cell>
          <cell r="O26">
            <v>0</v>
          </cell>
        </row>
        <row r="27">
          <cell r="A27"/>
          <cell r="B27" t="str">
            <v xml:space="preserve"> 108030 - Monthly Total Resources</v>
          </cell>
          <cell r="C27">
            <v>0</v>
          </cell>
          <cell r="D27">
            <v>0</v>
          </cell>
          <cell r="E27">
            <v>0</v>
          </cell>
          <cell r="F27">
            <v>0</v>
          </cell>
          <cell r="G27">
            <v>0</v>
          </cell>
          <cell r="H27">
            <v>0</v>
          </cell>
          <cell r="I27">
            <v>0</v>
          </cell>
          <cell r="J27">
            <v>0</v>
          </cell>
          <cell r="K27">
            <v>0</v>
          </cell>
          <cell r="L27">
            <v>0</v>
          </cell>
          <cell r="M27">
            <v>0</v>
          </cell>
          <cell r="N27">
            <v>0</v>
          </cell>
          <cell r="O27">
            <v>0</v>
          </cell>
        </row>
        <row r="28">
          <cell r="A28"/>
          <cell r="B28" t="str">
            <v xml:space="preserve"> Total CapEx</v>
          </cell>
          <cell r="C28">
            <v>0</v>
          </cell>
          <cell r="D28">
            <v>0</v>
          </cell>
          <cell r="E28">
            <v>0</v>
          </cell>
          <cell r="F28">
            <v>0</v>
          </cell>
          <cell r="G28">
            <v>0</v>
          </cell>
          <cell r="H28">
            <v>0</v>
          </cell>
          <cell r="I28">
            <v>0</v>
          </cell>
          <cell r="J28">
            <v>0</v>
          </cell>
          <cell r="K28">
            <v>0</v>
          </cell>
          <cell r="L28">
            <v>0</v>
          </cell>
          <cell r="M28">
            <v>0</v>
          </cell>
          <cell r="N28">
            <v>0</v>
          </cell>
          <cell r="O28">
            <v>0</v>
          </cell>
        </row>
        <row r="29">
          <cell r="A29" t="str">
            <v xml:space="preserve">     Finance</v>
          </cell>
          <cell r="B29" t="str">
            <v xml:space="preserve"> 107000 - Monthly Total Resources</v>
          </cell>
          <cell r="C29">
            <v>0</v>
          </cell>
          <cell r="D29">
            <v>0</v>
          </cell>
          <cell r="E29">
            <v>0</v>
          </cell>
          <cell r="F29">
            <v>0</v>
          </cell>
          <cell r="G29">
            <v>0</v>
          </cell>
          <cell r="H29">
            <v>0</v>
          </cell>
          <cell r="I29">
            <v>0</v>
          </cell>
          <cell r="J29">
            <v>0</v>
          </cell>
          <cell r="K29">
            <v>0</v>
          </cell>
          <cell r="L29">
            <v>0</v>
          </cell>
          <cell r="M29">
            <v>0</v>
          </cell>
          <cell r="N29">
            <v>0</v>
          </cell>
          <cell r="O29">
            <v>0</v>
          </cell>
        </row>
        <row r="30">
          <cell r="A30"/>
          <cell r="B30" t="str">
            <v xml:space="preserve"> 108030 - Monthly Total Resources</v>
          </cell>
          <cell r="C30">
            <v>0</v>
          </cell>
          <cell r="D30">
            <v>0</v>
          </cell>
          <cell r="E30">
            <v>0</v>
          </cell>
          <cell r="F30">
            <v>0</v>
          </cell>
          <cell r="G30">
            <v>0</v>
          </cell>
          <cell r="H30">
            <v>0</v>
          </cell>
          <cell r="I30">
            <v>0</v>
          </cell>
          <cell r="J30">
            <v>0</v>
          </cell>
          <cell r="K30">
            <v>0</v>
          </cell>
          <cell r="L30">
            <v>0</v>
          </cell>
          <cell r="M30">
            <v>0</v>
          </cell>
          <cell r="N30">
            <v>0</v>
          </cell>
          <cell r="O30">
            <v>0</v>
          </cell>
        </row>
        <row r="31">
          <cell r="A31"/>
          <cell r="B31" t="str">
            <v xml:space="preserve"> Total CapEx</v>
          </cell>
          <cell r="C31">
            <v>0</v>
          </cell>
          <cell r="D31">
            <v>0</v>
          </cell>
          <cell r="E31">
            <v>0</v>
          </cell>
          <cell r="F31">
            <v>0</v>
          </cell>
          <cell r="G31">
            <v>0</v>
          </cell>
          <cell r="H31">
            <v>0</v>
          </cell>
          <cell r="I31">
            <v>0</v>
          </cell>
          <cell r="J31">
            <v>0</v>
          </cell>
          <cell r="K31">
            <v>0</v>
          </cell>
          <cell r="L31">
            <v>0</v>
          </cell>
          <cell r="M31">
            <v>0</v>
          </cell>
          <cell r="N31">
            <v>0</v>
          </cell>
          <cell r="O31">
            <v>0</v>
          </cell>
        </row>
        <row r="32">
          <cell r="A32" t="str">
            <v xml:space="preserve">     Planning &amp; Analysis</v>
          </cell>
          <cell r="B32" t="str">
            <v xml:space="preserve"> 107000 - Monthly Total Resources</v>
          </cell>
          <cell r="C32">
            <v>0</v>
          </cell>
          <cell r="D32">
            <v>0</v>
          </cell>
          <cell r="E32">
            <v>0</v>
          </cell>
          <cell r="F32">
            <v>0</v>
          </cell>
          <cell r="G32">
            <v>0</v>
          </cell>
          <cell r="H32">
            <v>0</v>
          </cell>
          <cell r="I32">
            <v>0</v>
          </cell>
          <cell r="J32">
            <v>0</v>
          </cell>
          <cell r="K32">
            <v>0</v>
          </cell>
          <cell r="L32">
            <v>0</v>
          </cell>
          <cell r="M32">
            <v>0</v>
          </cell>
          <cell r="N32">
            <v>0</v>
          </cell>
          <cell r="O32">
            <v>0</v>
          </cell>
        </row>
        <row r="33">
          <cell r="A33"/>
          <cell r="B33" t="str">
            <v xml:space="preserve"> 108030 - Monthly Total Resources</v>
          </cell>
          <cell r="C33">
            <v>0</v>
          </cell>
          <cell r="D33">
            <v>0</v>
          </cell>
          <cell r="E33">
            <v>0</v>
          </cell>
          <cell r="F33">
            <v>0</v>
          </cell>
          <cell r="G33">
            <v>0</v>
          </cell>
          <cell r="H33">
            <v>0</v>
          </cell>
          <cell r="I33">
            <v>0</v>
          </cell>
          <cell r="J33">
            <v>0</v>
          </cell>
          <cell r="K33">
            <v>0</v>
          </cell>
          <cell r="L33">
            <v>0</v>
          </cell>
          <cell r="M33">
            <v>0</v>
          </cell>
          <cell r="N33">
            <v>0</v>
          </cell>
          <cell r="O33">
            <v>0</v>
          </cell>
        </row>
        <row r="34">
          <cell r="A34"/>
          <cell r="B34" t="str">
            <v xml:space="preserve"> Total CapEx</v>
          </cell>
          <cell r="C34">
            <v>0</v>
          </cell>
          <cell r="D34">
            <v>0</v>
          </cell>
          <cell r="E34">
            <v>0</v>
          </cell>
          <cell r="F34">
            <v>0</v>
          </cell>
          <cell r="G34">
            <v>0</v>
          </cell>
          <cell r="H34">
            <v>0</v>
          </cell>
          <cell r="I34">
            <v>0</v>
          </cell>
          <cell r="J34">
            <v>0</v>
          </cell>
          <cell r="K34">
            <v>0</v>
          </cell>
          <cell r="L34">
            <v>0</v>
          </cell>
          <cell r="M34">
            <v>0</v>
          </cell>
          <cell r="N34">
            <v>0</v>
          </cell>
          <cell r="O34">
            <v>0</v>
          </cell>
        </row>
        <row r="35">
          <cell r="A35" t="str">
            <v xml:space="preserve">     Accounting &amp; Controls Center</v>
          </cell>
          <cell r="B35" t="str">
            <v xml:space="preserve"> 107000 - Monthly Total Resources</v>
          </cell>
          <cell r="C35">
            <v>0</v>
          </cell>
          <cell r="D35">
            <v>0</v>
          </cell>
          <cell r="E35">
            <v>0</v>
          </cell>
          <cell r="F35">
            <v>0</v>
          </cell>
          <cell r="G35">
            <v>0</v>
          </cell>
          <cell r="H35">
            <v>0</v>
          </cell>
          <cell r="I35">
            <v>0</v>
          </cell>
          <cell r="J35">
            <v>0</v>
          </cell>
          <cell r="K35">
            <v>0</v>
          </cell>
          <cell r="L35">
            <v>0</v>
          </cell>
          <cell r="M35">
            <v>0</v>
          </cell>
          <cell r="N35">
            <v>0</v>
          </cell>
          <cell r="O35">
            <v>0</v>
          </cell>
        </row>
        <row r="36">
          <cell r="A36"/>
          <cell r="B36" t="str">
            <v xml:space="preserve"> 108030 - Monthly Total Resources</v>
          </cell>
          <cell r="C36">
            <v>0</v>
          </cell>
          <cell r="D36">
            <v>0</v>
          </cell>
          <cell r="E36">
            <v>0</v>
          </cell>
          <cell r="F36">
            <v>0</v>
          </cell>
          <cell r="G36">
            <v>0</v>
          </cell>
          <cell r="H36">
            <v>0</v>
          </cell>
          <cell r="I36">
            <v>0</v>
          </cell>
          <cell r="J36">
            <v>0</v>
          </cell>
          <cell r="K36">
            <v>0</v>
          </cell>
          <cell r="L36">
            <v>0</v>
          </cell>
          <cell r="M36">
            <v>0</v>
          </cell>
          <cell r="N36">
            <v>0</v>
          </cell>
          <cell r="O36">
            <v>0</v>
          </cell>
        </row>
        <row r="37">
          <cell r="A37"/>
          <cell r="B37" t="str">
            <v xml:space="preserve"> Total CapEx</v>
          </cell>
          <cell r="C37">
            <v>0</v>
          </cell>
          <cell r="D37">
            <v>0</v>
          </cell>
          <cell r="E37">
            <v>0</v>
          </cell>
          <cell r="F37">
            <v>0</v>
          </cell>
          <cell r="G37">
            <v>0</v>
          </cell>
          <cell r="H37">
            <v>0</v>
          </cell>
          <cell r="I37">
            <v>0</v>
          </cell>
          <cell r="J37">
            <v>0</v>
          </cell>
          <cell r="K37">
            <v>0</v>
          </cell>
          <cell r="L37">
            <v>0</v>
          </cell>
          <cell r="M37">
            <v>0</v>
          </cell>
          <cell r="N37">
            <v>0</v>
          </cell>
          <cell r="O37">
            <v>0</v>
          </cell>
        </row>
        <row r="38">
          <cell r="A38" t="str">
            <v xml:space="preserve">     PECO Severance</v>
          </cell>
          <cell r="B38" t="str">
            <v xml:space="preserve"> 107000 - Monthly Total Resources</v>
          </cell>
          <cell r="C38">
            <v>0</v>
          </cell>
          <cell r="D38">
            <v>0</v>
          </cell>
          <cell r="E38">
            <v>0</v>
          </cell>
          <cell r="F38">
            <v>0</v>
          </cell>
          <cell r="G38">
            <v>0</v>
          </cell>
          <cell r="H38">
            <v>0</v>
          </cell>
          <cell r="I38">
            <v>0</v>
          </cell>
          <cell r="J38">
            <v>0</v>
          </cell>
          <cell r="K38">
            <v>0</v>
          </cell>
          <cell r="L38">
            <v>0</v>
          </cell>
          <cell r="M38">
            <v>0</v>
          </cell>
          <cell r="N38">
            <v>0</v>
          </cell>
          <cell r="O38">
            <v>0</v>
          </cell>
        </row>
        <row r="39">
          <cell r="A39"/>
          <cell r="B39" t="str">
            <v xml:space="preserve"> 108030 - Monthly Total Resources</v>
          </cell>
          <cell r="C39">
            <v>0</v>
          </cell>
          <cell r="D39">
            <v>0</v>
          </cell>
          <cell r="E39">
            <v>0</v>
          </cell>
          <cell r="F39">
            <v>0</v>
          </cell>
          <cell r="G39">
            <v>0</v>
          </cell>
          <cell r="H39">
            <v>0</v>
          </cell>
          <cell r="I39">
            <v>0</v>
          </cell>
          <cell r="J39">
            <v>0</v>
          </cell>
          <cell r="K39">
            <v>0</v>
          </cell>
          <cell r="L39">
            <v>0</v>
          </cell>
          <cell r="M39">
            <v>0</v>
          </cell>
          <cell r="N39">
            <v>0</v>
          </cell>
          <cell r="O39">
            <v>0</v>
          </cell>
        </row>
        <row r="40">
          <cell r="A40"/>
          <cell r="B40" t="str">
            <v xml:space="preserve"> Total CapEx</v>
          </cell>
          <cell r="C40">
            <v>0</v>
          </cell>
          <cell r="D40">
            <v>0</v>
          </cell>
          <cell r="E40">
            <v>0</v>
          </cell>
          <cell r="F40">
            <v>0</v>
          </cell>
          <cell r="G40">
            <v>0</v>
          </cell>
          <cell r="H40">
            <v>0</v>
          </cell>
          <cell r="I40">
            <v>0</v>
          </cell>
          <cell r="J40">
            <v>0</v>
          </cell>
          <cell r="K40">
            <v>0</v>
          </cell>
          <cell r="L40">
            <v>0</v>
          </cell>
          <cell r="M40">
            <v>0</v>
          </cell>
          <cell r="N40">
            <v>0</v>
          </cell>
          <cell r="O40">
            <v>0</v>
          </cell>
        </row>
        <row r="41">
          <cell r="A41" t="str">
            <v xml:space="preserve">     PED/PETT Book Revenue</v>
          </cell>
          <cell r="B41" t="str">
            <v xml:space="preserve"> 107000 - Monthly Total Resources</v>
          </cell>
          <cell r="C41">
            <v>0</v>
          </cell>
          <cell r="D41">
            <v>0</v>
          </cell>
          <cell r="E41">
            <v>0</v>
          </cell>
          <cell r="F41">
            <v>0</v>
          </cell>
          <cell r="G41">
            <v>0</v>
          </cell>
          <cell r="H41">
            <v>0</v>
          </cell>
          <cell r="I41">
            <v>0</v>
          </cell>
          <cell r="J41">
            <v>0</v>
          </cell>
          <cell r="K41">
            <v>0</v>
          </cell>
          <cell r="L41">
            <v>0</v>
          </cell>
          <cell r="M41">
            <v>0</v>
          </cell>
          <cell r="N41">
            <v>0</v>
          </cell>
          <cell r="O41">
            <v>0</v>
          </cell>
        </row>
        <row r="42">
          <cell r="A42"/>
          <cell r="B42" t="str">
            <v xml:space="preserve"> 108030 - Monthly Total Resources</v>
          </cell>
          <cell r="C42">
            <v>0</v>
          </cell>
          <cell r="D42">
            <v>0</v>
          </cell>
          <cell r="E42">
            <v>0</v>
          </cell>
          <cell r="F42">
            <v>0</v>
          </cell>
          <cell r="G42">
            <v>0</v>
          </cell>
          <cell r="H42">
            <v>0</v>
          </cell>
          <cell r="I42">
            <v>0</v>
          </cell>
          <cell r="J42">
            <v>0</v>
          </cell>
          <cell r="K42">
            <v>0</v>
          </cell>
          <cell r="L42">
            <v>0</v>
          </cell>
          <cell r="M42">
            <v>0</v>
          </cell>
          <cell r="N42">
            <v>0</v>
          </cell>
          <cell r="O42">
            <v>0</v>
          </cell>
        </row>
        <row r="43">
          <cell r="A43"/>
          <cell r="B43" t="str">
            <v xml:space="preserve"> Total CapEx</v>
          </cell>
          <cell r="C43">
            <v>0</v>
          </cell>
          <cell r="D43">
            <v>0</v>
          </cell>
          <cell r="E43">
            <v>0</v>
          </cell>
          <cell r="F43">
            <v>0</v>
          </cell>
          <cell r="G43">
            <v>0</v>
          </cell>
          <cell r="H43">
            <v>0</v>
          </cell>
          <cell r="I43">
            <v>0</v>
          </cell>
          <cell r="J43">
            <v>0</v>
          </cell>
          <cell r="K43">
            <v>0</v>
          </cell>
          <cell r="L43">
            <v>0</v>
          </cell>
          <cell r="M43">
            <v>0</v>
          </cell>
          <cell r="N43">
            <v>0</v>
          </cell>
          <cell r="O43">
            <v>0</v>
          </cell>
        </row>
        <row r="44">
          <cell r="A44" t="str">
            <v xml:space="preserve">     10200 Unassigned Departments</v>
          </cell>
          <cell r="B44" t="str">
            <v xml:space="preserve"> 107000 - Monthly Total Resources</v>
          </cell>
          <cell r="C44">
            <v>0</v>
          </cell>
          <cell r="D44">
            <v>0</v>
          </cell>
          <cell r="E44">
            <v>0</v>
          </cell>
          <cell r="F44">
            <v>0</v>
          </cell>
          <cell r="G44">
            <v>0</v>
          </cell>
          <cell r="H44">
            <v>0</v>
          </cell>
          <cell r="I44">
            <v>0</v>
          </cell>
          <cell r="J44">
            <v>0</v>
          </cell>
          <cell r="K44">
            <v>0</v>
          </cell>
          <cell r="L44">
            <v>0</v>
          </cell>
          <cell r="M44">
            <v>0</v>
          </cell>
          <cell r="N44">
            <v>0</v>
          </cell>
          <cell r="O44">
            <v>0</v>
          </cell>
        </row>
        <row r="45">
          <cell r="A45"/>
          <cell r="B45" t="str">
            <v xml:space="preserve"> 108030 - Monthly Total Resources</v>
          </cell>
          <cell r="C45">
            <v>0</v>
          </cell>
          <cell r="D45">
            <v>0</v>
          </cell>
          <cell r="E45">
            <v>0</v>
          </cell>
          <cell r="F45">
            <v>0</v>
          </cell>
          <cell r="G45">
            <v>0</v>
          </cell>
          <cell r="H45">
            <v>0</v>
          </cell>
          <cell r="I45">
            <v>0</v>
          </cell>
          <cell r="J45">
            <v>0</v>
          </cell>
          <cell r="K45">
            <v>0</v>
          </cell>
          <cell r="L45">
            <v>0</v>
          </cell>
          <cell r="M45">
            <v>0</v>
          </cell>
          <cell r="N45">
            <v>0</v>
          </cell>
          <cell r="O45">
            <v>0</v>
          </cell>
        </row>
        <row r="46">
          <cell r="A46"/>
          <cell r="B46" t="str">
            <v xml:space="preserve"> Total CapEx</v>
          </cell>
          <cell r="C46">
            <v>0</v>
          </cell>
          <cell r="D46">
            <v>0</v>
          </cell>
          <cell r="E46">
            <v>0</v>
          </cell>
          <cell r="F46">
            <v>0</v>
          </cell>
          <cell r="G46">
            <v>0</v>
          </cell>
          <cell r="H46">
            <v>0</v>
          </cell>
          <cell r="I46">
            <v>0</v>
          </cell>
          <cell r="J46">
            <v>0</v>
          </cell>
          <cell r="K46">
            <v>0</v>
          </cell>
          <cell r="L46">
            <v>0</v>
          </cell>
          <cell r="M46">
            <v>0</v>
          </cell>
          <cell r="N46">
            <v>0</v>
          </cell>
          <cell r="O46">
            <v>0</v>
          </cell>
        </row>
        <row r="47">
          <cell r="A47" t="str">
            <v xml:space="preserve">   Gen Company Activities-PECO</v>
          </cell>
          <cell r="B47" t="str">
            <v xml:space="preserve"> 107000 - Monthly Total Resources</v>
          </cell>
          <cell r="C47">
            <v>81126.460000000006</v>
          </cell>
          <cell r="D47">
            <v>78021.429999999993</v>
          </cell>
          <cell r="E47">
            <v>84231.48</v>
          </cell>
          <cell r="F47">
            <v>79139.77</v>
          </cell>
          <cell r="G47">
            <v>75784.759999999995</v>
          </cell>
          <cell r="H47">
            <v>88454.84</v>
          </cell>
          <cell r="I47">
            <v>79139.77</v>
          </cell>
          <cell r="J47">
            <v>75784.759999999995</v>
          </cell>
          <cell r="K47">
            <v>88454.84</v>
          </cell>
          <cell r="L47">
            <v>79139.77</v>
          </cell>
          <cell r="M47">
            <v>75784.759999999995</v>
          </cell>
          <cell r="N47">
            <v>88454.84</v>
          </cell>
          <cell r="O47">
            <v>973517.48</v>
          </cell>
        </row>
        <row r="48">
          <cell r="A48"/>
          <cell r="B48" t="str">
            <v xml:space="preserve"> 108030 - Monthly Total Resources</v>
          </cell>
          <cell r="C48">
            <v>0</v>
          </cell>
          <cell r="D48">
            <v>0</v>
          </cell>
          <cell r="E48">
            <v>0</v>
          </cell>
          <cell r="F48">
            <v>0</v>
          </cell>
          <cell r="G48">
            <v>0</v>
          </cell>
          <cell r="H48">
            <v>0</v>
          </cell>
          <cell r="I48">
            <v>0</v>
          </cell>
          <cell r="J48">
            <v>0</v>
          </cell>
          <cell r="K48">
            <v>0</v>
          </cell>
          <cell r="L48">
            <v>0</v>
          </cell>
          <cell r="M48">
            <v>0</v>
          </cell>
          <cell r="N48">
            <v>0</v>
          </cell>
          <cell r="O48">
            <v>0</v>
          </cell>
        </row>
        <row r="49">
          <cell r="A49"/>
          <cell r="B49" t="str">
            <v xml:space="preserve"> Total CapEx</v>
          </cell>
          <cell r="C49">
            <v>81126.460000000006</v>
          </cell>
          <cell r="D49">
            <v>78021.429999999993</v>
          </cell>
          <cell r="E49">
            <v>84231.48</v>
          </cell>
          <cell r="F49">
            <v>79139.77</v>
          </cell>
          <cell r="G49">
            <v>75784.759999999995</v>
          </cell>
          <cell r="H49">
            <v>88454.84</v>
          </cell>
          <cell r="I49">
            <v>79139.77</v>
          </cell>
          <cell r="J49">
            <v>75784.759999999995</v>
          </cell>
          <cell r="K49">
            <v>88454.84</v>
          </cell>
          <cell r="L49">
            <v>79139.77</v>
          </cell>
          <cell r="M49">
            <v>75784.759999999995</v>
          </cell>
          <cell r="N49">
            <v>88454.84</v>
          </cell>
          <cell r="O49">
            <v>973517.48</v>
          </cell>
        </row>
        <row r="50">
          <cell r="A50" t="str">
            <v xml:space="preserve">     Property Management - PECO</v>
          </cell>
          <cell r="B50" t="str">
            <v xml:space="preserve"> 107000 - Monthly Total Resources</v>
          </cell>
          <cell r="C50">
            <v>312350.82</v>
          </cell>
          <cell r="D50">
            <v>239219.05</v>
          </cell>
          <cell r="E50">
            <v>170338.66</v>
          </cell>
          <cell r="F50">
            <v>234090.14</v>
          </cell>
          <cell r="G50">
            <v>605365.35</v>
          </cell>
          <cell r="H50">
            <v>650876.61</v>
          </cell>
          <cell r="I50">
            <v>738530.24</v>
          </cell>
          <cell r="J50">
            <v>704500.64</v>
          </cell>
          <cell r="K50">
            <v>782876.93</v>
          </cell>
          <cell r="L50">
            <v>794982.77</v>
          </cell>
          <cell r="M50">
            <v>717071.74</v>
          </cell>
          <cell r="N50">
            <v>535212.31000000006</v>
          </cell>
          <cell r="O50">
            <v>6485415.2599999961</v>
          </cell>
        </row>
        <row r="51">
          <cell r="A51"/>
          <cell r="B51" t="str">
            <v xml:space="preserve"> 108030 - Monthly Total Resources</v>
          </cell>
          <cell r="C51">
            <v>0</v>
          </cell>
          <cell r="D51">
            <v>0</v>
          </cell>
          <cell r="E51">
            <v>0</v>
          </cell>
          <cell r="F51">
            <v>0</v>
          </cell>
          <cell r="G51">
            <v>0</v>
          </cell>
          <cell r="H51">
            <v>0</v>
          </cell>
          <cell r="I51">
            <v>0</v>
          </cell>
          <cell r="J51">
            <v>0</v>
          </cell>
          <cell r="K51">
            <v>0</v>
          </cell>
          <cell r="L51">
            <v>0</v>
          </cell>
          <cell r="M51">
            <v>0</v>
          </cell>
          <cell r="N51">
            <v>0</v>
          </cell>
          <cell r="O51">
            <v>0</v>
          </cell>
        </row>
        <row r="52">
          <cell r="A52"/>
          <cell r="B52" t="str">
            <v xml:space="preserve"> Total CapEx</v>
          </cell>
          <cell r="C52">
            <v>312350.82</v>
          </cell>
          <cell r="D52">
            <v>239219.05</v>
          </cell>
          <cell r="E52">
            <v>170338.66</v>
          </cell>
          <cell r="F52">
            <v>234090.14</v>
          </cell>
          <cell r="G52">
            <v>605365.35</v>
          </cell>
          <cell r="H52">
            <v>650876.61</v>
          </cell>
          <cell r="I52">
            <v>738530.24</v>
          </cell>
          <cell r="J52">
            <v>704500.64</v>
          </cell>
          <cell r="K52">
            <v>782876.93</v>
          </cell>
          <cell r="L52">
            <v>794982.77</v>
          </cell>
          <cell r="M52">
            <v>717071.74</v>
          </cell>
          <cell r="N52">
            <v>535212.31000000006</v>
          </cell>
          <cell r="O52">
            <v>6485415.2599999961</v>
          </cell>
        </row>
        <row r="53">
          <cell r="A53" t="str">
            <v xml:space="preserve">     Office of President - PECO</v>
          </cell>
          <cell r="B53" t="str">
            <v xml:space="preserve"> 107000 - Monthly Total Resources</v>
          </cell>
          <cell r="C53">
            <v>0</v>
          </cell>
          <cell r="D53">
            <v>0</v>
          </cell>
          <cell r="E53">
            <v>0</v>
          </cell>
          <cell r="F53">
            <v>0</v>
          </cell>
          <cell r="G53">
            <v>0</v>
          </cell>
          <cell r="H53">
            <v>0</v>
          </cell>
          <cell r="I53">
            <v>0</v>
          </cell>
          <cell r="J53">
            <v>0</v>
          </cell>
          <cell r="K53">
            <v>0</v>
          </cell>
          <cell r="L53">
            <v>0</v>
          </cell>
          <cell r="M53">
            <v>0</v>
          </cell>
          <cell r="N53">
            <v>0</v>
          </cell>
          <cell r="O53">
            <v>0</v>
          </cell>
        </row>
        <row r="54">
          <cell r="A54"/>
          <cell r="B54" t="str">
            <v xml:space="preserve"> 108030 - Monthly Total Resources</v>
          </cell>
          <cell r="C54">
            <v>0</v>
          </cell>
          <cell r="D54">
            <v>0</v>
          </cell>
          <cell r="E54">
            <v>0</v>
          </cell>
          <cell r="F54">
            <v>0</v>
          </cell>
          <cell r="G54">
            <v>0</v>
          </cell>
          <cell r="H54">
            <v>0</v>
          </cell>
          <cell r="I54">
            <v>0</v>
          </cell>
          <cell r="J54">
            <v>0</v>
          </cell>
          <cell r="K54">
            <v>0</v>
          </cell>
          <cell r="L54">
            <v>0</v>
          </cell>
          <cell r="M54">
            <v>0</v>
          </cell>
          <cell r="N54">
            <v>0</v>
          </cell>
          <cell r="O54">
            <v>0</v>
          </cell>
        </row>
        <row r="55">
          <cell r="A55"/>
          <cell r="B55" t="str">
            <v xml:space="preserve"> Total CapEx</v>
          </cell>
          <cell r="C55">
            <v>0</v>
          </cell>
          <cell r="D55">
            <v>0</v>
          </cell>
          <cell r="E55">
            <v>0</v>
          </cell>
          <cell r="F55">
            <v>0</v>
          </cell>
          <cell r="G55">
            <v>0</v>
          </cell>
          <cell r="H55">
            <v>0</v>
          </cell>
          <cell r="I55">
            <v>0</v>
          </cell>
          <cell r="J55">
            <v>0</v>
          </cell>
          <cell r="K55">
            <v>0</v>
          </cell>
          <cell r="L55">
            <v>0</v>
          </cell>
          <cell r="M55">
            <v>0</v>
          </cell>
          <cell r="N55">
            <v>0</v>
          </cell>
          <cell r="O55">
            <v>0</v>
          </cell>
        </row>
        <row r="56">
          <cell r="A56" t="str">
            <v xml:space="preserve">     PECO Energy Acquisition</v>
          </cell>
          <cell r="B56" t="str">
            <v xml:space="preserve"> 107000 - Monthly Total Resources</v>
          </cell>
          <cell r="C56">
            <v>0</v>
          </cell>
          <cell r="D56">
            <v>0</v>
          </cell>
          <cell r="E56">
            <v>0</v>
          </cell>
          <cell r="F56">
            <v>0</v>
          </cell>
          <cell r="G56">
            <v>0</v>
          </cell>
          <cell r="H56">
            <v>0</v>
          </cell>
          <cell r="I56">
            <v>0</v>
          </cell>
          <cell r="J56">
            <v>0</v>
          </cell>
          <cell r="K56">
            <v>0</v>
          </cell>
          <cell r="L56">
            <v>0</v>
          </cell>
          <cell r="M56">
            <v>0</v>
          </cell>
          <cell r="N56">
            <v>0</v>
          </cell>
          <cell r="O56">
            <v>0</v>
          </cell>
        </row>
        <row r="57">
          <cell r="A57"/>
          <cell r="B57" t="str">
            <v xml:space="preserve"> 108030 - Monthly Total Resources</v>
          </cell>
          <cell r="C57">
            <v>0</v>
          </cell>
          <cell r="D57">
            <v>0</v>
          </cell>
          <cell r="E57">
            <v>0</v>
          </cell>
          <cell r="F57">
            <v>0</v>
          </cell>
          <cell r="G57">
            <v>0</v>
          </cell>
          <cell r="H57">
            <v>0</v>
          </cell>
          <cell r="I57">
            <v>0</v>
          </cell>
          <cell r="J57">
            <v>0</v>
          </cell>
          <cell r="K57">
            <v>0</v>
          </cell>
          <cell r="L57">
            <v>0</v>
          </cell>
          <cell r="M57">
            <v>0</v>
          </cell>
          <cell r="N57">
            <v>0</v>
          </cell>
          <cell r="O57">
            <v>0</v>
          </cell>
        </row>
        <row r="58">
          <cell r="A58"/>
          <cell r="B58" t="str">
            <v xml:space="preserve"> Total CapEx</v>
          </cell>
          <cell r="C58">
            <v>0</v>
          </cell>
          <cell r="D58">
            <v>0</v>
          </cell>
          <cell r="E58">
            <v>0</v>
          </cell>
          <cell r="F58">
            <v>0</v>
          </cell>
          <cell r="G58">
            <v>0</v>
          </cell>
          <cell r="H58">
            <v>0</v>
          </cell>
          <cell r="I58">
            <v>0</v>
          </cell>
          <cell r="J58">
            <v>0</v>
          </cell>
          <cell r="K58">
            <v>0</v>
          </cell>
          <cell r="L58">
            <v>0</v>
          </cell>
          <cell r="M58">
            <v>0</v>
          </cell>
          <cell r="N58">
            <v>0</v>
          </cell>
          <cell r="O58">
            <v>0</v>
          </cell>
        </row>
        <row r="59">
          <cell r="A59" t="str">
            <v xml:space="preserve">     VP-Gas</v>
          </cell>
          <cell r="B59" t="str">
            <v xml:space="preserve"> 107000 - Monthly Total Resources</v>
          </cell>
          <cell r="C59">
            <v>287852.33</v>
          </cell>
          <cell r="D59">
            <v>206088.05</v>
          </cell>
          <cell r="E59">
            <v>261453.91</v>
          </cell>
          <cell r="F59">
            <v>271877.52</v>
          </cell>
          <cell r="G59">
            <v>395862.12</v>
          </cell>
          <cell r="H59">
            <v>361735.02</v>
          </cell>
          <cell r="I59">
            <v>432762.42</v>
          </cell>
          <cell r="J59">
            <v>446715.31</v>
          </cell>
          <cell r="K59">
            <v>415363.32</v>
          </cell>
          <cell r="L59">
            <v>213373.92</v>
          </cell>
          <cell r="M59">
            <v>234977.22</v>
          </cell>
          <cell r="N59">
            <v>191099.51999999999</v>
          </cell>
          <cell r="O59">
            <v>3719160.66</v>
          </cell>
        </row>
        <row r="60">
          <cell r="A60"/>
          <cell r="B60" t="str">
            <v xml:space="preserve"> 108030 - Monthly Total Resources</v>
          </cell>
          <cell r="C60">
            <v>14084.2</v>
          </cell>
          <cell r="D60">
            <v>5742</v>
          </cell>
          <cell r="E60">
            <v>9208.9</v>
          </cell>
          <cell r="F60">
            <v>11917.4</v>
          </cell>
          <cell r="G60">
            <v>24918.2</v>
          </cell>
          <cell r="H60">
            <v>21126.3</v>
          </cell>
          <cell r="I60">
            <v>29793.5</v>
          </cell>
          <cell r="J60">
            <v>29793.5</v>
          </cell>
          <cell r="K60">
            <v>27085</v>
          </cell>
          <cell r="L60">
            <v>5417</v>
          </cell>
          <cell r="M60">
            <v>7042.1</v>
          </cell>
          <cell r="N60">
            <v>2166.8000000000002</v>
          </cell>
          <cell r="O60">
            <v>188294.9</v>
          </cell>
        </row>
        <row r="61">
          <cell r="A61"/>
          <cell r="B61" t="str">
            <v xml:space="preserve"> Total CapEx</v>
          </cell>
          <cell r="C61">
            <v>301936.53000000003</v>
          </cell>
          <cell r="D61">
            <v>211830.05</v>
          </cell>
          <cell r="E61">
            <v>270662.81</v>
          </cell>
          <cell r="F61">
            <v>283794.92</v>
          </cell>
          <cell r="G61">
            <v>420780.32</v>
          </cell>
          <cell r="H61">
            <v>382861.32</v>
          </cell>
          <cell r="I61">
            <v>462555.92</v>
          </cell>
          <cell r="J61">
            <v>476508.81</v>
          </cell>
          <cell r="K61">
            <v>442448.32</v>
          </cell>
          <cell r="L61">
            <v>218790.92</v>
          </cell>
          <cell r="M61">
            <v>242019.32</v>
          </cell>
          <cell r="N61">
            <v>193266.32</v>
          </cell>
          <cell r="O61">
            <v>3907455.56</v>
          </cell>
        </row>
        <row r="62">
          <cell r="A62" t="str">
            <v xml:space="preserve">     External &amp; Gov't Affairs PECO</v>
          </cell>
          <cell r="B62" t="str">
            <v xml:space="preserve"> 107000 - Monthly Total Resources</v>
          </cell>
          <cell r="C62">
            <v>1666.67</v>
          </cell>
          <cell r="D62">
            <v>1666.67</v>
          </cell>
          <cell r="E62">
            <v>1666.67</v>
          </cell>
          <cell r="F62">
            <v>1666.67</v>
          </cell>
          <cell r="G62">
            <v>1666.67</v>
          </cell>
          <cell r="H62">
            <v>1666.67</v>
          </cell>
          <cell r="I62">
            <v>1666.67</v>
          </cell>
          <cell r="J62">
            <v>1666.67</v>
          </cell>
          <cell r="K62">
            <v>1666.67</v>
          </cell>
          <cell r="L62">
            <v>1666.67</v>
          </cell>
          <cell r="M62">
            <v>1666.67</v>
          </cell>
          <cell r="N62">
            <v>1666.63</v>
          </cell>
          <cell r="O62">
            <v>20000</v>
          </cell>
        </row>
        <row r="63">
          <cell r="A63"/>
          <cell r="B63" t="str">
            <v xml:space="preserve"> 108030 - Monthly Total Resources</v>
          </cell>
          <cell r="C63">
            <v>0</v>
          </cell>
          <cell r="D63">
            <v>0</v>
          </cell>
          <cell r="E63">
            <v>0</v>
          </cell>
          <cell r="F63">
            <v>0</v>
          </cell>
          <cell r="G63">
            <v>0</v>
          </cell>
          <cell r="H63">
            <v>0</v>
          </cell>
          <cell r="I63">
            <v>0</v>
          </cell>
          <cell r="J63">
            <v>0</v>
          </cell>
          <cell r="K63">
            <v>0</v>
          </cell>
          <cell r="L63">
            <v>0</v>
          </cell>
          <cell r="M63">
            <v>0</v>
          </cell>
          <cell r="N63">
            <v>0</v>
          </cell>
          <cell r="O63">
            <v>0</v>
          </cell>
        </row>
        <row r="64">
          <cell r="A64"/>
          <cell r="B64" t="str">
            <v xml:space="preserve"> Total CapEx</v>
          </cell>
          <cell r="C64">
            <v>1666.67</v>
          </cell>
          <cell r="D64">
            <v>1666.67</v>
          </cell>
          <cell r="E64">
            <v>1666.67</v>
          </cell>
          <cell r="F64">
            <v>1666.67</v>
          </cell>
          <cell r="G64">
            <v>1666.67</v>
          </cell>
          <cell r="H64">
            <v>1666.67</v>
          </cell>
          <cell r="I64">
            <v>1666.67</v>
          </cell>
          <cell r="J64">
            <v>1666.67</v>
          </cell>
          <cell r="K64">
            <v>1666.67</v>
          </cell>
          <cell r="L64">
            <v>1666.67</v>
          </cell>
          <cell r="M64">
            <v>1666.67</v>
          </cell>
          <cell r="N64">
            <v>1666.63</v>
          </cell>
          <cell r="O64">
            <v>20000</v>
          </cell>
        </row>
        <row r="65">
          <cell r="A65" t="str">
            <v xml:space="preserve">   Office of the President-PECO</v>
          </cell>
          <cell r="B65" t="str">
            <v xml:space="preserve"> 107000 - Monthly Total Resources</v>
          </cell>
          <cell r="C65">
            <v>601869.81999999995</v>
          </cell>
          <cell r="D65">
            <v>446973.77</v>
          </cell>
          <cell r="E65">
            <v>433459.24</v>
          </cell>
          <cell r="F65">
            <v>507634.33</v>
          </cell>
          <cell r="G65">
            <v>1002894.14</v>
          </cell>
          <cell r="H65">
            <v>1014278.3</v>
          </cell>
          <cell r="I65">
            <v>1172959.33</v>
          </cell>
          <cell r="J65">
            <v>1152882.6200000001</v>
          </cell>
          <cell r="K65">
            <v>1199906.92</v>
          </cell>
          <cell r="L65">
            <v>1010023.36</v>
          </cell>
          <cell r="M65">
            <v>953715.63</v>
          </cell>
          <cell r="N65">
            <v>727978.46</v>
          </cell>
          <cell r="O65">
            <v>10224575.920000009</v>
          </cell>
        </row>
        <row r="66">
          <cell r="A66"/>
          <cell r="B66" t="str">
            <v xml:space="preserve"> 108030 - Monthly Total Resources</v>
          </cell>
          <cell r="C66">
            <v>14084.2</v>
          </cell>
          <cell r="D66">
            <v>5742</v>
          </cell>
          <cell r="E66">
            <v>9208.9</v>
          </cell>
          <cell r="F66">
            <v>11917.4</v>
          </cell>
          <cell r="G66">
            <v>24918.2</v>
          </cell>
          <cell r="H66">
            <v>21126.3</v>
          </cell>
          <cell r="I66">
            <v>29793.5</v>
          </cell>
          <cell r="J66">
            <v>29793.5</v>
          </cell>
          <cell r="K66">
            <v>27085</v>
          </cell>
          <cell r="L66">
            <v>5417</v>
          </cell>
          <cell r="M66">
            <v>7042.1</v>
          </cell>
          <cell r="N66">
            <v>2166.8000000000002</v>
          </cell>
          <cell r="O66">
            <v>188294.9</v>
          </cell>
        </row>
        <row r="67">
          <cell r="A67"/>
          <cell r="B67" t="str">
            <v xml:space="preserve"> Total CapEx</v>
          </cell>
          <cell r="C67">
            <v>615954.02</v>
          </cell>
          <cell r="D67">
            <v>452715.77</v>
          </cell>
          <cell r="E67">
            <v>442668.14</v>
          </cell>
          <cell r="F67">
            <v>519551.73</v>
          </cell>
          <cell r="G67">
            <v>1027812.34</v>
          </cell>
          <cell r="H67">
            <v>1035404.6</v>
          </cell>
          <cell r="I67">
            <v>1202752.83</v>
          </cell>
          <cell r="J67">
            <v>1182676.1200000001</v>
          </cell>
          <cell r="K67">
            <v>1226991.92</v>
          </cell>
          <cell r="L67">
            <v>1015440.36</v>
          </cell>
          <cell r="M67">
            <v>960757.73</v>
          </cell>
          <cell r="N67">
            <v>730145.26</v>
          </cell>
          <cell r="O67">
            <v>10412870.82000001</v>
          </cell>
        </row>
        <row r="68">
          <cell r="A68" t="str">
            <v xml:space="preserve">     PED EDSS Ops Services</v>
          </cell>
          <cell r="B68" t="str">
            <v xml:space="preserve"> 107000 - Monthly Total Resources</v>
          </cell>
          <cell r="C68">
            <v>254211.17</v>
          </cell>
          <cell r="D68">
            <v>241518.25</v>
          </cell>
          <cell r="E68">
            <v>291185.56</v>
          </cell>
          <cell r="F68">
            <v>271900.51</v>
          </cell>
          <cell r="G68">
            <v>288492.25</v>
          </cell>
          <cell r="H68">
            <v>283425.53999999998</v>
          </cell>
          <cell r="I68">
            <v>271987.25</v>
          </cell>
          <cell r="J68">
            <v>289582.93</v>
          </cell>
          <cell r="K68">
            <v>279880.98</v>
          </cell>
          <cell r="L68">
            <v>269493.63</v>
          </cell>
          <cell r="M68">
            <v>275587.23</v>
          </cell>
          <cell r="N68">
            <v>277630.98</v>
          </cell>
          <cell r="O68">
            <v>3294896.28</v>
          </cell>
        </row>
        <row r="69">
          <cell r="A69"/>
          <cell r="B69" t="str">
            <v xml:space="preserve"> 108030 - Monthly Total Resources</v>
          </cell>
          <cell r="C69">
            <v>0</v>
          </cell>
          <cell r="D69">
            <v>0</v>
          </cell>
          <cell r="E69">
            <v>0</v>
          </cell>
          <cell r="F69">
            <v>0</v>
          </cell>
          <cell r="G69">
            <v>0</v>
          </cell>
          <cell r="H69">
            <v>0</v>
          </cell>
          <cell r="I69">
            <v>0</v>
          </cell>
          <cell r="J69">
            <v>0</v>
          </cell>
          <cell r="K69">
            <v>0</v>
          </cell>
          <cell r="L69">
            <v>0</v>
          </cell>
          <cell r="M69">
            <v>0</v>
          </cell>
          <cell r="N69">
            <v>0</v>
          </cell>
          <cell r="O69">
            <v>0</v>
          </cell>
        </row>
        <row r="70">
          <cell r="A70"/>
          <cell r="B70" t="str">
            <v xml:space="preserve"> Total CapEx</v>
          </cell>
          <cell r="C70">
            <v>254211.17</v>
          </cell>
          <cell r="D70">
            <v>241518.25</v>
          </cell>
          <cell r="E70">
            <v>291185.56</v>
          </cell>
          <cell r="F70">
            <v>271900.51</v>
          </cell>
          <cell r="G70">
            <v>288492.25</v>
          </cell>
          <cell r="H70">
            <v>283425.53999999998</v>
          </cell>
          <cell r="I70">
            <v>271987.25</v>
          </cell>
          <cell r="J70">
            <v>289582.93</v>
          </cell>
          <cell r="K70">
            <v>279880.98</v>
          </cell>
          <cell r="L70">
            <v>269493.63</v>
          </cell>
          <cell r="M70">
            <v>275587.23</v>
          </cell>
          <cell r="N70">
            <v>277630.98</v>
          </cell>
          <cell r="O70">
            <v>3294896.28</v>
          </cell>
        </row>
        <row r="71">
          <cell r="A71" t="str">
            <v xml:space="preserve">     Office of EVP Operations East</v>
          </cell>
          <cell r="B71" t="str">
            <v xml:space="preserve"> 107000 - Monthly Total Resources</v>
          </cell>
          <cell r="C71">
            <v>125000</v>
          </cell>
          <cell r="D71">
            <v>125000</v>
          </cell>
          <cell r="E71">
            <v>125000</v>
          </cell>
          <cell r="F71">
            <v>125000</v>
          </cell>
          <cell r="G71">
            <v>125000</v>
          </cell>
          <cell r="H71">
            <v>125000</v>
          </cell>
          <cell r="I71">
            <v>125000</v>
          </cell>
          <cell r="J71">
            <v>125000</v>
          </cell>
          <cell r="K71">
            <v>125000</v>
          </cell>
          <cell r="L71">
            <v>125000</v>
          </cell>
          <cell r="M71">
            <v>125000</v>
          </cell>
          <cell r="N71">
            <v>125000</v>
          </cell>
          <cell r="O71">
            <v>1500000</v>
          </cell>
        </row>
        <row r="72">
          <cell r="A72"/>
          <cell r="B72" t="str">
            <v xml:space="preserve"> 108030 - Monthly Total Resources</v>
          </cell>
          <cell r="C72">
            <v>0</v>
          </cell>
          <cell r="D72">
            <v>0</v>
          </cell>
          <cell r="E72">
            <v>0</v>
          </cell>
          <cell r="F72">
            <v>0</v>
          </cell>
          <cell r="G72">
            <v>0</v>
          </cell>
          <cell r="H72">
            <v>0</v>
          </cell>
          <cell r="I72">
            <v>0</v>
          </cell>
          <cell r="J72">
            <v>0</v>
          </cell>
          <cell r="K72">
            <v>0</v>
          </cell>
          <cell r="L72">
            <v>0</v>
          </cell>
          <cell r="M72">
            <v>0</v>
          </cell>
          <cell r="N72">
            <v>0</v>
          </cell>
          <cell r="O72">
            <v>0</v>
          </cell>
        </row>
        <row r="73">
          <cell r="A73"/>
          <cell r="B73" t="str">
            <v xml:space="preserve"> Total CapEx</v>
          </cell>
          <cell r="C73">
            <v>125000</v>
          </cell>
          <cell r="D73">
            <v>125000</v>
          </cell>
          <cell r="E73">
            <v>125000</v>
          </cell>
          <cell r="F73">
            <v>125000</v>
          </cell>
          <cell r="G73">
            <v>125000</v>
          </cell>
          <cell r="H73">
            <v>125000</v>
          </cell>
          <cell r="I73">
            <v>125000</v>
          </cell>
          <cell r="J73">
            <v>125000</v>
          </cell>
          <cell r="K73">
            <v>125000</v>
          </cell>
          <cell r="L73">
            <v>125000</v>
          </cell>
          <cell r="M73">
            <v>125000</v>
          </cell>
          <cell r="N73">
            <v>125000</v>
          </cell>
          <cell r="O73">
            <v>1500000</v>
          </cell>
        </row>
        <row r="74">
          <cell r="A74" t="str">
            <v xml:space="preserve">     G&amp;A Allocation Department</v>
          </cell>
          <cell r="B74" t="str">
            <v xml:space="preserve"> 107000 - Monthly Total Resources</v>
          </cell>
          <cell r="C74">
            <v>0</v>
          </cell>
          <cell r="D74">
            <v>-0.02</v>
          </cell>
          <cell r="E74">
            <v>0</v>
          </cell>
          <cell r="F74">
            <v>0</v>
          </cell>
          <cell r="G74">
            <v>0</v>
          </cell>
          <cell r="H74">
            <v>0.02</v>
          </cell>
          <cell r="I74">
            <v>0</v>
          </cell>
          <cell r="J74">
            <v>0</v>
          </cell>
          <cell r="K74">
            <v>1.0000000000000001E-9</v>
          </cell>
          <cell r="L74">
            <v>-1.0000000000000001E-9</v>
          </cell>
          <cell r="M74">
            <v>-0.01</v>
          </cell>
          <cell r="N74">
            <v>1.0000000000000001E-9</v>
          </cell>
          <cell r="O74">
            <v>-9.9999990000000007E-3</v>
          </cell>
        </row>
        <row r="75">
          <cell r="A75"/>
          <cell r="B75" t="str">
            <v xml:space="preserve"> 108030 - Monthly Total Resources</v>
          </cell>
          <cell r="C75">
            <v>0</v>
          </cell>
          <cell r="D75">
            <v>0</v>
          </cell>
          <cell r="E75">
            <v>0</v>
          </cell>
          <cell r="F75">
            <v>0</v>
          </cell>
          <cell r="G75">
            <v>0</v>
          </cell>
          <cell r="H75">
            <v>0</v>
          </cell>
          <cell r="I75">
            <v>0</v>
          </cell>
          <cell r="J75">
            <v>0</v>
          </cell>
          <cell r="K75">
            <v>0</v>
          </cell>
          <cell r="L75">
            <v>0</v>
          </cell>
          <cell r="M75">
            <v>0</v>
          </cell>
          <cell r="N75">
            <v>0</v>
          </cell>
          <cell r="O75">
            <v>0</v>
          </cell>
        </row>
        <row r="76">
          <cell r="A76"/>
          <cell r="B76" t="str">
            <v xml:space="preserve"> Total CapEx</v>
          </cell>
          <cell r="C76">
            <v>0</v>
          </cell>
          <cell r="D76">
            <v>-0.02</v>
          </cell>
          <cell r="E76">
            <v>0</v>
          </cell>
          <cell r="F76">
            <v>0</v>
          </cell>
          <cell r="G76">
            <v>0</v>
          </cell>
          <cell r="H76">
            <v>0.02</v>
          </cell>
          <cell r="I76">
            <v>0</v>
          </cell>
          <cell r="J76">
            <v>0</v>
          </cell>
          <cell r="K76">
            <v>1.0000000000000001E-9</v>
          </cell>
          <cell r="L76">
            <v>-1.0000000000000001E-9</v>
          </cell>
          <cell r="M76">
            <v>-0.01</v>
          </cell>
          <cell r="N76">
            <v>1.0000000000000001E-9</v>
          </cell>
          <cell r="O76">
            <v>-9.9999990000000007E-3</v>
          </cell>
        </row>
        <row r="77">
          <cell r="A77" t="str">
            <v xml:space="preserve">     Dispatch &amp; Operations - PECO</v>
          </cell>
          <cell r="B77" t="str">
            <v xml:space="preserve"> 107000 - Monthly Total Resources</v>
          </cell>
          <cell r="C77">
            <v>518254.85</v>
          </cell>
          <cell r="D77">
            <v>567769.05000000005</v>
          </cell>
          <cell r="E77">
            <v>664560.42000000004</v>
          </cell>
          <cell r="F77">
            <v>654594.56000000006</v>
          </cell>
          <cell r="G77">
            <v>734959.3</v>
          </cell>
          <cell r="H77">
            <v>584731.42000000004</v>
          </cell>
          <cell r="I77">
            <v>596163.12</v>
          </cell>
          <cell r="J77">
            <v>758443</v>
          </cell>
          <cell r="K77">
            <v>641087.89</v>
          </cell>
          <cell r="L77">
            <v>563617.17000000004</v>
          </cell>
          <cell r="M77">
            <v>614626.12</v>
          </cell>
          <cell r="N77">
            <v>518816.13</v>
          </cell>
          <cell r="O77">
            <v>7417623.0300000096</v>
          </cell>
        </row>
        <row r="78">
          <cell r="A78"/>
          <cell r="B78" t="str">
            <v xml:space="preserve"> 108030 - Monthly Total Resources</v>
          </cell>
          <cell r="C78">
            <v>0</v>
          </cell>
          <cell r="D78">
            <v>0</v>
          </cell>
          <cell r="E78">
            <v>0</v>
          </cell>
          <cell r="F78">
            <v>0</v>
          </cell>
          <cell r="G78">
            <v>0</v>
          </cell>
          <cell r="H78">
            <v>0</v>
          </cell>
          <cell r="I78">
            <v>0</v>
          </cell>
          <cell r="J78">
            <v>0</v>
          </cell>
          <cell r="K78">
            <v>0</v>
          </cell>
          <cell r="L78">
            <v>0</v>
          </cell>
          <cell r="M78">
            <v>0</v>
          </cell>
          <cell r="N78">
            <v>0</v>
          </cell>
          <cell r="O78">
            <v>0</v>
          </cell>
        </row>
        <row r="79">
          <cell r="A79"/>
          <cell r="B79" t="str">
            <v xml:space="preserve"> Total CapEx</v>
          </cell>
          <cell r="C79">
            <v>518254.85</v>
          </cell>
          <cell r="D79">
            <v>567769.05000000005</v>
          </cell>
          <cell r="E79">
            <v>664560.42000000004</v>
          </cell>
          <cell r="F79">
            <v>654594.56000000006</v>
          </cell>
          <cell r="G79">
            <v>734959.3</v>
          </cell>
          <cell r="H79">
            <v>584731.42000000004</v>
          </cell>
          <cell r="I79">
            <v>596163.12</v>
          </cell>
          <cell r="J79">
            <v>758443</v>
          </cell>
          <cell r="K79">
            <v>641087.89</v>
          </cell>
          <cell r="L79">
            <v>563617.17000000004</v>
          </cell>
          <cell r="M79">
            <v>614626.12</v>
          </cell>
          <cell r="N79">
            <v>518816.13</v>
          </cell>
          <cell r="O79">
            <v>7417623.0300000096</v>
          </cell>
        </row>
        <row r="80">
          <cell r="A80" t="str">
            <v xml:space="preserve">     Transmission &amp; Substation PECO</v>
          </cell>
          <cell r="B80" t="str">
            <v xml:space="preserve"> 107000 - Monthly Total Resources</v>
          </cell>
          <cell r="C80">
            <v>1229264.3500000001</v>
          </cell>
          <cell r="D80">
            <v>4030132.98</v>
          </cell>
          <cell r="E80">
            <v>1485443.67</v>
          </cell>
          <cell r="F80">
            <v>1259033.78</v>
          </cell>
          <cell r="G80">
            <v>1855199.4</v>
          </cell>
          <cell r="H80">
            <v>1208614.98</v>
          </cell>
          <cell r="I80">
            <v>1412154.17</v>
          </cell>
          <cell r="J80">
            <v>1585929.46</v>
          </cell>
          <cell r="K80">
            <v>890161.67</v>
          </cell>
          <cell r="L80">
            <v>4203298.43</v>
          </cell>
          <cell r="M80">
            <v>855347.5</v>
          </cell>
          <cell r="N80">
            <v>671187.27</v>
          </cell>
          <cell r="O80">
            <v>20685767.660000034</v>
          </cell>
        </row>
        <row r="81">
          <cell r="A81"/>
          <cell r="B81" t="str">
            <v xml:space="preserve"> 108030 - Monthly Total Resources</v>
          </cell>
          <cell r="C81">
            <v>0</v>
          </cell>
          <cell r="D81">
            <v>0</v>
          </cell>
          <cell r="E81">
            <v>0</v>
          </cell>
          <cell r="F81">
            <v>0</v>
          </cell>
          <cell r="G81">
            <v>0</v>
          </cell>
          <cell r="H81">
            <v>0</v>
          </cell>
          <cell r="I81">
            <v>0</v>
          </cell>
          <cell r="J81">
            <v>0</v>
          </cell>
          <cell r="K81">
            <v>0</v>
          </cell>
          <cell r="L81">
            <v>0</v>
          </cell>
          <cell r="M81">
            <v>0</v>
          </cell>
          <cell r="N81">
            <v>0</v>
          </cell>
          <cell r="O81">
            <v>0</v>
          </cell>
        </row>
        <row r="82">
          <cell r="A82"/>
          <cell r="B82" t="str">
            <v xml:space="preserve"> Total CapEx</v>
          </cell>
          <cell r="C82">
            <v>1229264.3500000001</v>
          </cell>
          <cell r="D82">
            <v>4030132.98</v>
          </cell>
          <cell r="E82">
            <v>1485443.67</v>
          </cell>
          <cell r="F82">
            <v>1259033.78</v>
          </cell>
          <cell r="G82">
            <v>1855199.4</v>
          </cell>
          <cell r="H82">
            <v>1208614.98</v>
          </cell>
          <cell r="I82">
            <v>1412154.17</v>
          </cell>
          <cell r="J82">
            <v>1585929.46</v>
          </cell>
          <cell r="K82">
            <v>890161.67</v>
          </cell>
          <cell r="L82">
            <v>4203298.43</v>
          </cell>
          <cell r="M82">
            <v>855347.5</v>
          </cell>
          <cell r="N82">
            <v>671187.27</v>
          </cell>
          <cell r="O82">
            <v>20685767.660000034</v>
          </cell>
        </row>
        <row r="83">
          <cell r="A83" t="str">
            <v xml:space="preserve">     Construction&amp;Maintenance-PECO</v>
          </cell>
          <cell r="B83" t="str">
            <v xml:space="preserve"> 107000 - Monthly Total Resources</v>
          </cell>
          <cell r="C83">
            <v>6837867.7100000018</v>
          </cell>
          <cell r="D83">
            <v>8460055.0799999982</v>
          </cell>
          <cell r="E83">
            <v>10180090.729999995</v>
          </cell>
          <cell r="F83">
            <v>10093275.659999996</v>
          </cell>
          <cell r="G83">
            <v>9831562.6800000034</v>
          </cell>
          <cell r="H83">
            <v>8706683.3599999994</v>
          </cell>
          <cell r="I83">
            <v>8408657.9499999993</v>
          </cell>
          <cell r="J83">
            <v>9269062.2700000051</v>
          </cell>
          <cell r="K83">
            <v>8784414.0600000024</v>
          </cell>
          <cell r="L83">
            <v>8705488.7200000044</v>
          </cell>
          <cell r="M83">
            <v>8338560.1900000004</v>
          </cell>
          <cell r="N83">
            <v>6649580.29</v>
          </cell>
          <cell r="O83">
            <v>104265298.69999988</v>
          </cell>
        </row>
        <row r="84">
          <cell r="A84"/>
          <cell r="B84" t="str">
            <v xml:space="preserve"> 108030 - Monthly Total Resources</v>
          </cell>
          <cell r="C84">
            <v>0</v>
          </cell>
          <cell r="D84">
            <v>0</v>
          </cell>
          <cell r="E84">
            <v>0</v>
          </cell>
          <cell r="F84">
            <v>0</v>
          </cell>
          <cell r="G84">
            <v>0</v>
          </cell>
          <cell r="H84">
            <v>0</v>
          </cell>
          <cell r="I84">
            <v>0</v>
          </cell>
          <cell r="J84">
            <v>0</v>
          </cell>
          <cell r="K84">
            <v>0</v>
          </cell>
          <cell r="L84">
            <v>0</v>
          </cell>
          <cell r="M84">
            <v>0</v>
          </cell>
          <cell r="N84">
            <v>0</v>
          </cell>
          <cell r="O84">
            <v>0</v>
          </cell>
        </row>
        <row r="85">
          <cell r="A85"/>
          <cell r="B85" t="str">
            <v xml:space="preserve"> Total CapEx</v>
          </cell>
          <cell r="C85">
            <v>6837867.7100000018</v>
          </cell>
          <cell r="D85">
            <v>8460055.0799999982</v>
          </cell>
          <cell r="E85">
            <v>10180090.729999995</v>
          </cell>
          <cell r="F85">
            <v>10093275.659999996</v>
          </cell>
          <cell r="G85">
            <v>9831562.6800000034</v>
          </cell>
          <cell r="H85">
            <v>8706683.3599999994</v>
          </cell>
          <cell r="I85">
            <v>8408657.9499999993</v>
          </cell>
          <cell r="J85">
            <v>9269062.2700000051</v>
          </cell>
          <cell r="K85">
            <v>8784414.0600000024</v>
          </cell>
          <cell r="L85">
            <v>8705488.7200000044</v>
          </cell>
          <cell r="M85">
            <v>8338560.1900000004</v>
          </cell>
          <cell r="N85">
            <v>6649580.29</v>
          </cell>
          <cell r="O85">
            <v>104265298.69999988</v>
          </cell>
        </row>
        <row r="86">
          <cell r="A86" t="str">
            <v xml:space="preserve">     Work Management - PECO</v>
          </cell>
          <cell r="B86" t="str">
            <v xml:space="preserve"> 107000 - Monthly Total Resources</v>
          </cell>
          <cell r="C86">
            <v>267408.65000000002</v>
          </cell>
          <cell r="D86">
            <v>330962.88</v>
          </cell>
          <cell r="E86">
            <v>375047.13</v>
          </cell>
          <cell r="F86">
            <v>328782.03999999998</v>
          </cell>
          <cell r="G86">
            <v>354545.08</v>
          </cell>
          <cell r="H86">
            <v>313394.51</v>
          </cell>
          <cell r="I86">
            <v>278700.14</v>
          </cell>
          <cell r="J86">
            <v>328280.73</v>
          </cell>
          <cell r="K86">
            <v>356929.6</v>
          </cell>
          <cell r="L86">
            <v>338236.87</v>
          </cell>
          <cell r="M86">
            <v>349802.48</v>
          </cell>
          <cell r="N86">
            <v>291907.02</v>
          </cell>
          <cell r="O86">
            <v>3913997.13</v>
          </cell>
        </row>
        <row r="87">
          <cell r="A87"/>
          <cell r="B87" t="str">
            <v xml:space="preserve"> 108030 - Monthly Total Resources</v>
          </cell>
          <cell r="C87">
            <v>0</v>
          </cell>
          <cell r="D87">
            <v>0</v>
          </cell>
          <cell r="E87">
            <v>0</v>
          </cell>
          <cell r="F87">
            <v>0</v>
          </cell>
          <cell r="G87">
            <v>0</v>
          </cell>
          <cell r="H87">
            <v>0</v>
          </cell>
          <cell r="I87">
            <v>0</v>
          </cell>
          <cell r="J87">
            <v>0</v>
          </cell>
          <cell r="K87">
            <v>0</v>
          </cell>
          <cell r="L87">
            <v>0</v>
          </cell>
          <cell r="M87">
            <v>0</v>
          </cell>
          <cell r="N87">
            <v>0</v>
          </cell>
          <cell r="O87">
            <v>0</v>
          </cell>
        </row>
        <row r="88">
          <cell r="A88"/>
          <cell r="B88" t="str">
            <v xml:space="preserve"> Total CapEx</v>
          </cell>
          <cell r="C88">
            <v>267408.65000000002</v>
          </cell>
          <cell r="D88">
            <v>330962.88</v>
          </cell>
          <cell r="E88">
            <v>375047.13</v>
          </cell>
          <cell r="F88">
            <v>328782.03999999998</v>
          </cell>
          <cell r="G88">
            <v>354545.08</v>
          </cell>
          <cell r="H88">
            <v>313394.51</v>
          </cell>
          <cell r="I88">
            <v>278700.14</v>
          </cell>
          <cell r="J88">
            <v>328280.73</v>
          </cell>
          <cell r="K88">
            <v>356929.6</v>
          </cell>
          <cell r="L88">
            <v>338236.87</v>
          </cell>
          <cell r="M88">
            <v>349802.48</v>
          </cell>
          <cell r="N88">
            <v>291907.02</v>
          </cell>
          <cell r="O88">
            <v>3913997.13</v>
          </cell>
        </row>
        <row r="89">
          <cell r="A89" t="str">
            <v xml:space="preserve">     Performance Improvement - East</v>
          </cell>
          <cell r="B89" t="str">
            <v xml:space="preserve"> 107000 - Monthly Total Resources</v>
          </cell>
          <cell r="C89">
            <v>55323.06</v>
          </cell>
          <cell r="D89">
            <v>39892.910000000003</v>
          </cell>
          <cell r="E89">
            <v>57664.1</v>
          </cell>
          <cell r="F89">
            <v>45751.29</v>
          </cell>
          <cell r="G89">
            <v>45337.18</v>
          </cell>
          <cell r="H89">
            <v>46519.93</v>
          </cell>
          <cell r="I89">
            <v>43252.54</v>
          </cell>
          <cell r="J89">
            <v>47464.6</v>
          </cell>
          <cell r="K89">
            <v>45707.68</v>
          </cell>
          <cell r="L89">
            <v>43608.79</v>
          </cell>
          <cell r="M89">
            <v>45636.43</v>
          </cell>
          <cell r="N89">
            <v>45778.93</v>
          </cell>
          <cell r="O89">
            <v>561937.43999999994</v>
          </cell>
        </row>
        <row r="90">
          <cell r="A90"/>
          <cell r="B90" t="str">
            <v xml:space="preserve"> 108030 - Monthly Total Resources</v>
          </cell>
          <cell r="C90">
            <v>0</v>
          </cell>
          <cell r="D90">
            <v>0</v>
          </cell>
          <cell r="E90">
            <v>0</v>
          </cell>
          <cell r="F90">
            <v>0</v>
          </cell>
          <cell r="G90">
            <v>0</v>
          </cell>
          <cell r="H90">
            <v>0</v>
          </cell>
          <cell r="I90">
            <v>0</v>
          </cell>
          <cell r="J90">
            <v>0</v>
          </cell>
          <cell r="K90">
            <v>0</v>
          </cell>
          <cell r="L90">
            <v>0</v>
          </cell>
          <cell r="M90">
            <v>0</v>
          </cell>
          <cell r="N90">
            <v>0</v>
          </cell>
          <cell r="O90">
            <v>0</v>
          </cell>
        </row>
        <row r="91">
          <cell r="A91"/>
          <cell r="B91" t="str">
            <v xml:space="preserve"> Total CapEx</v>
          </cell>
          <cell r="C91">
            <v>55323.06</v>
          </cell>
          <cell r="D91">
            <v>39892.910000000003</v>
          </cell>
          <cell r="E91">
            <v>57664.1</v>
          </cell>
          <cell r="F91">
            <v>45751.29</v>
          </cell>
          <cell r="G91">
            <v>45337.18</v>
          </cell>
          <cell r="H91">
            <v>46519.93</v>
          </cell>
          <cell r="I91">
            <v>43252.54</v>
          </cell>
          <cell r="J91">
            <v>47464.6</v>
          </cell>
          <cell r="K91">
            <v>45707.68</v>
          </cell>
          <cell r="L91">
            <v>43608.79</v>
          </cell>
          <cell r="M91">
            <v>45636.43</v>
          </cell>
          <cell r="N91">
            <v>45778.93</v>
          </cell>
          <cell r="O91">
            <v>561937.43999999994</v>
          </cell>
        </row>
        <row r="92">
          <cell r="A92" t="str">
            <v xml:space="preserve">     Training East</v>
          </cell>
          <cell r="B92" t="str">
            <v xml:space="preserve"> 107000 - Monthly Total Resources</v>
          </cell>
          <cell r="C92">
            <v>0</v>
          </cell>
          <cell r="D92">
            <v>0</v>
          </cell>
          <cell r="E92">
            <v>0</v>
          </cell>
          <cell r="F92">
            <v>0</v>
          </cell>
          <cell r="G92">
            <v>0</v>
          </cell>
          <cell r="H92">
            <v>0</v>
          </cell>
          <cell r="I92">
            <v>0</v>
          </cell>
          <cell r="J92">
            <v>0</v>
          </cell>
          <cell r="K92">
            <v>0</v>
          </cell>
          <cell r="L92">
            <v>0</v>
          </cell>
          <cell r="M92">
            <v>0</v>
          </cell>
          <cell r="N92">
            <v>0</v>
          </cell>
          <cell r="O92">
            <v>0</v>
          </cell>
        </row>
        <row r="93">
          <cell r="A93"/>
          <cell r="B93" t="str">
            <v xml:space="preserve"> 108030 - Monthly Total Resources</v>
          </cell>
          <cell r="C93">
            <v>0</v>
          </cell>
          <cell r="D93">
            <v>0</v>
          </cell>
          <cell r="E93">
            <v>0</v>
          </cell>
          <cell r="F93">
            <v>0</v>
          </cell>
          <cell r="G93">
            <v>0</v>
          </cell>
          <cell r="H93">
            <v>0</v>
          </cell>
          <cell r="I93">
            <v>0</v>
          </cell>
          <cell r="J93">
            <v>0</v>
          </cell>
          <cell r="K93">
            <v>0</v>
          </cell>
          <cell r="L93">
            <v>0</v>
          </cell>
          <cell r="M93">
            <v>0</v>
          </cell>
          <cell r="N93">
            <v>0</v>
          </cell>
          <cell r="O93">
            <v>0</v>
          </cell>
        </row>
        <row r="94">
          <cell r="A94"/>
          <cell r="B94" t="str">
            <v xml:space="preserve"> Total CapEx</v>
          </cell>
          <cell r="C94">
            <v>0</v>
          </cell>
          <cell r="D94">
            <v>0</v>
          </cell>
          <cell r="E94">
            <v>0</v>
          </cell>
          <cell r="F94">
            <v>0</v>
          </cell>
          <cell r="G94">
            <v>0</v>
          </cell>
          <cell r="H94">
            <v>0</v>
          </cell>
          <cell r="I94">
            <v>0</v>
          </cell>
          <cell r="J94">
            <v>0</v>
          </cell>
          <cell r="K94">
            <v>0</v>
          </cell>
          <cell r="L94">
            <v>0</v>
          </cell>
          <cell r="M94">
            <v>0</v>
          </cell>
          <cell r="N94">
            <v>0</v>
          </cell>
          <cell r="O94">
            <v>0</v>
          </cell>
        </row>
        <row r="95">
          <cell r="A95" t="str">
            <v xml:space="preserve">     Envir Sfty&amp;Indust Hygiene-PECO</v>
          </cell>
          <cell r="B95" t="str">
            <v xml:space="preserve"> 107000 - Monthly Total Resources</v>
          </cell>
          <cell r="C95">
            <v>1500</v>
          </cell>
          <cell r="D95">
            <v>0</v>
          </cell>
          <cell r="E95">
            <v>1500</v>
          </cell>
          <cell r="F95">
            <v>0</v>
          </cell>
          <cell r="G95">
            <v>51500</v>
          </cell>
          <cell r="H95">
            <v>1500</v>
          </cell>
          <cell r="I95">
            <v>35000</v>
          </cell>
          <cell r="J95">
            <v>0</v>
          </cell>
          <cell r="K95">
            <v>0</v>
          </cell>
          <cell r="L95">
            <v>0</v>
          </cell>
          <cell r="M95">
            <v>1500</v>
          </cell>
          <cell r="N95">
            <v>4500</v>
          </cell>
          <cell r="O95">
            <v>97000</v>
          </cell>
        </row>
        <row r="96">
          <cell r="A96"/>
          <cell r="B96" t="str">
            <v xml:space="preserve"> 108030 - Monthly Total Resources</v>
          </cell>
          <cell r="C96">
            <v>0</v>
          </cell>
          <cell r="D96">
            <v>0</v>
          </cell>
          <cell r="E96">
            <v>0</v>
          </cell>
          <cell r="F96">
            <v>0</v>
          </cell>
          <cell r="G96">
            <v>0</v>
          </cell>
          <cell r="H96">
            <v>0</v>
          </cell>
          <cell r="I96">
            <v>0</v>
          </cell>
          <cell r="J96">
            <v>0</v>
          </cell>
          <cell r="K96">
            <v>0</v>
          </cell>
          <cell r="L96">
            <v>0</v>
          </cell>
          <cell r="M96">
            <v>0</v>
          </cell>
          <cell r="N96">
            <v>0</v>
          </cell>
          <cell r="O96">
            <v>0</v>
          </cell>
        </row>
        <row r="97">
          <cell r="A97"/>
          <cell r="B97" t="str">
            <v xml:space="preserve"> Total CapEx</v>
          </cell>
          <cell r="C97">
            <v>1500</v>
          </cell>
          <cell r="D97">
            <v>0</v>
          </cell>
          <cell r="E97">
            <v>1500</v>
          </cell>
          <cell r="F97">
            <v>0</v>
          </cell>
          <cell r="G97">
            <v>51500</v>
          </cell>
          <cell r="H97">
            <v>1500</v>
          </cell>
          <cell r="I97">
            <v>35000</v>
          </cell>
          <cell r="J97">
            <v>0</v>
          </cell>
          <cell r="K97">
            <v>0</v>
          </cell>
          <cell r="L97">
            <v>0</v>
          </cell>
          <cell r="M97">
            <v>1500</v>
          </cell>
          <cell r="N97">
            <v>4500</v>
          </cell>
          <cell r="O97">
            <v>97000</v>
          </cell>
        </row>
        <row r="98">
          <cell r="A98" t="str">
            <v xml:space="preserve">   Operations - PECO</v>
          </cell>
          <cell r="B98" t="str">
            <v xml:space="preserve"> 107000 - Monthly Total Resources</v>
          </cell>
          <cell r="C98">
            <v>9288829.7899999991</v>
          </cell>
          <cell r="D98">
            <v>13795331.129999997</v>
          </cell>
          <cell r="E98">
            <v>13180491.610000001</v>
          </cell>
          <cell r="F98">
            <v>12778337.840000002</v>
          </cell>
          <cell r="G98">
            <v>13286595.890000002</v>
          </cell>
          <cell r="H98">
            <v>11269869.76</v>
          </cell>
          <cell r="I98">
            <v>11170915.169999998</v>
          </cell>
          <cell r="J98">
            <v>12403762.990000002</v>
          </cell>
          <cell r="K98">
            <v>11123181.880000001</v>
          </cell>
          <cell r="L98">
            <v>14248743.610000001</v>
          </cell>
          <cell r="M98">
            <v>10606059.940000003</v>
          </cell>
          <cell r="N98">
            <v>8584400.6199999992</v>
          </cell>
          <cell r="O98">
            <v>141736520.2299999</v>
          </cell>
        </row>
        <row r="99">
          <cell r="A99"/>
          <cell r="B99" t="str">
            <v xml:space="preserve"> 108030 - Monthly Total Resources</v>
          </cell>
          <cell r="C99">
            <v>0</v>
          </cell>
          <cell r="D99">
            <v>0</v>
          </cell>
          <cell r="E99">
            <v>0</v>
          </cell>
          <cell r="F99">
            <v>0</v>
          </cell>
          <cell r="G99">
            <v>0</v>
          </cell>
          <cell r="H99">
            <v>0</v>
          </cell>
          <cell r="I99">
            <v>0</v>
          </cell>
          <cell r="J99">
            <v>0</v>
          </cell>
          <cell r="K99">
            <v>0</v>
          </cell>
          <cell r="L99">
            <v>0</v>
          </cell>
          <cell r="M99">
            <v>0</v>
          </cell>
          <cell r="N99">
            <v>0</v>
          </cell>
          <cell r="O99">
            <v>0</v>
          </cell>
        </row>
        <row r="100">
          <cell r="A100"/>
          <cell r="B100" t="str">
            <v xml:space="preserve"> Total CapEx</v>
          </cell>
          <cell r="C100">
            <v>9288829.7899999991</v>
          </cell>
          <cell r="D100">
            <v>13795331.129999997</v>
          </cell>
          <cell r="E100">
            <v>13180491.610000001</v>
          </cell>
          <cell r="F100">
            <v>12778337.840000002</v>
          </cell>
          <cell r="G100">
            <v>13286595.890000002</v>
          </cell>
          <cell r="H100">
            <v>11269869.76</v>
          </cell>
          <cell r="I100">
            <v>11170915.169999998</v>
          </cell>
          <cell r="J100">
            <v>12403762.990000002</v>
          </cell>
          <cell r="K100">
            <v>11123181.880000001</v>
          </cell>
          <cell r="L100">
            <v>14248743.610000001</v>
          </cell>
          <cell r="M100">
            <v>10606059.940000003</v>
          </cell>
          <cell r="N100">
            <v>8584400.6199999992</v>
          </cell>
          <cell r="O100">
            <v>141736520.2299999</v>
          </cell>
        </row>
        <row r="101">
          <cell r="A101" t="str">
            <v xml:space="preserve">     OVP for Technical Srvcs - PED</v>
          </cell>
          <cell r="B101" t="str">
            <v xml:space="preserve"> 107000 - Monthly Total Resources</v>
          </cell>
          <cell r="C101">
            <v>0</v>
          </cell>
          <cell r="D101">
            <v>0</v>
          </cell>
          <cell r="E101">
            <v>0</v>
          </cell>
          <cell r="F101">
            <v>0</v>
          </cell>
          <cell r="G101">
            <v>0</v>
          </cell>
          <cell r="H101">
            <v>0</v>
          </cell>
          <cell r="I101">
            <v>0</v>
          </cell>
          <cell r="J101">
            <v>0</v>
          </cell>
          <cell r="K101">
            <v>0</v>
          </cell>
          <cell r="L101">
            <v>0</v>
          </cell>
          <cell r="M101">
            <v>0</v>
          </cell>
          <cell r="N101">
            <v>0</v>
          </cell>
          <cell r="O101">
            <v>0</v>
          </cell>
        </row>
        <row r="102">
          <cell r="A102"/>
          <cell r="B102" t="str">
            <v xml:space="preserve"> 108030 - Monthly Total Resources</v>
          </cell>
          <cell r="C102">
            <v>0</v>
          </cell>
          <cell r="D102">
            <v>0</v>
          </cell>
          <cell r="E102">
            <v>0</v>
          </cell>
          <cell r="F102">
            <v>0</v>
          </cell>
          <cell r="G102">
            <v>0</v>
          </cell>
          <cell r="H102">
            <v>0</v>
          </cell>
          <cell r="I102">
            <v>0</v>
          </cell>
          <cell r="J102">
            <v>0</v>
          </cell>
          <cell r="K102">
            <v>0</v>
          </cell>
          <cell r="L102">
            <v>0</v>
          </cell>
          <cell r="M102">
            <v>0</v>
          </cell>
          <cell r="N102">
            <v>0</v>
          </cell>
          <cell r="O102">
            <v>0</v>
          </cell>
        </row>
        <row r="103">
          <cell r="A103"/>
          <cell r="B103" t="str">
            <v xml:space="preserve"> Total CapEx</v>
          </cell>
          <cell r="C103">
            <v>0</v>
          </cell>
          <cell r="D103">
            <v>0</v>
          </cell>
          <cell r="E103">
            <v>0</v>
          </cell>
          <cell r="F103">
            <v>0</v>
          </cell>
          <cell r="G103">
            <v>0</v>
          </cell>
          <cell r="H103">
            <v>0</v>
          </cell>
          <cell r="I103">
            <v>0</v>
          </cell>
          <cell r="J103">
            <v>0</v>
          </cell>
          <cell r="K103">
            <v>0</v>
          </cell>
          <cell r="L103">
            <v>0</v>
          </cell>
          <cell r="M103">
            <v>0</v>
          </cell>
          <cell r="N103">
            <v>0</v>
          </cell>
          <cell r="O103">
            <v>0</v>
          </cell>
        </row>
        <row r="104">
          <cell r="A104" t="str">
            <v xml:space="preserve">     EDSS Technical Services - PED</v>
          </cell>
          <cell r="B104" t="str">
            <v xml:space="preserve"> 107000 - Monthly Total Resources</v>
          </cell>
          <cell r="C104">
            <v>579318.65</v>
          </cell>
          <cell r="D104">
            <v>565746.41</v>
          </cell>
          <cell r="E104">
            <v>613116.73</v>
          </cell>
          <cell r="F104">
            <v>615906.29</v>
          </cell>
          <cell r="G104">
            <v>590687.49</v>
          </cell>
          <cell r="H104">
            <v>591847.86</v>
          </cell>
          <cell r="I104">
            <v>583712.17000000004</v>
          </cell>
          <cell r="J104">
            <v>613343.11</v>
          </cell>
          <cell r="K104">
            <v>584242.28</v>
          </cell>
          <cell r="L104">
            <v>582336.1</v>
          </cell>
          <cell r="M104">
            <v>582273.53</v>
          </cell>
          <cell r="N104">
            <v>584242.28</v>
          </cell>
          <cell r="O104">
            <v>7086772.9000000022</v>
          </cell>
        </row>
        <row r="105">
          <cell r="A105"/>
          <cell r="B105" t="str">
            <v xml:space="preserve"> 108030 - Monthly Total Resources</v>
          </cell>
          <cell r="C105">
            <v>0</v>
          </cell>
          <cell r="D105">
            <v>0</v>
          </cell>
          <cell r="E105">
            <v>0</v>
          </cell>
          <cell r="F105">
            <v>0</v>
          </cell>
          <cell r="G105">
            <v>0</v>
          </cell>
          <cell r="H105">
            <v>0</v>
          </cell>
          <cell r="I105">
            <v>0</v>
          </cell>
          <cell r="J105">
            <v>0</v>
          </cell>
          <cell r="K105">
            <v>0</v>
          </cell>
          <cell r="L105">
            <v>0</v>
          </cell>
          <cell r="M105">
            <v>0</v>
          </cell>
          <cell r="N105">
            <v>0</v>
          </cell>
          <cell r="O105">
            <v>0</v>
          </cell>
        </row>
        <row r="106">
          <cell r="A106"/>
          <cell r="B106" t="str">
            <v xml:space="preserve"> Total CapEx</v>
          </cell>
          <cell r="C106">
            <v>579318.65</v>
          </cell>
          <cell r="D106">
            <v>565746.41</v>
          </cell>
          <cell r="E106">
            <v>613116.73</v>
          </cell>
          <cell r="F106">
            <v>615906.29</v>
          </cell>
          <cell r="G106">
            <v>590687.49</v>
          </cell>
          <cell r="H106">
            <v>591847.86</v>
          </cell>
          <cell r="I106">
            <v>583712.17000000004</v>
          </cell>
          <cell r="J106">
            <v>613343.11</v>
          </cell>
          <cell r="K106">
            <v>584242.28</v>
          </cell>
          <cell r="L106">
            <v>582336.1</v>
          </cell>
          <cell r="M106">
            <v>582273.53</v>
          </cell>
          <cell r="N106">
            <v>584242.28</v>
          </cell>
          <cell r="O106">
            <v>7086772.9000000022</v>
          </cell>
        </row>
        <row r="107">
          <cell r="A107" t="str">
            <v xml:space="preserve">     Proj&amp;Contract Management-PECO</v>
          </cell>
          <cell r="B107" t="str">
            <v xml:space="preserve"> 107000 - Monthly Total Resources</v>
          </cell>
          <cell r="C107">
            <v>6424869.5399999982</v>
          </cell>
          <cell r="D107">
            <v>6369716.0299999984</v>
          </cell>
          <cell r="E107">
            <v>5829052.5600000024</v>
          </cell>
          <cell r="F107">
            <v>5984651.4500000002</v>
          </cell>
          <cell r="G107">
            <v>5337234.4400000004</v>
          </cell>
          <cell r="H107">
            <v>3538122.35</v>
          </cell>
          <cell r="I107">
            <v>2785807.58</v>
          </cell>
          <cell r="J107">
            <v>3331895.48</v>
          </cell>
          <cell r="K107">
            <v>2824685.72</v>
          </cell>
          <cell r="L107">
            <v>2834830.11</v>
          </cell>
          <cell r="M107">
            <v>2647859.19</v>
          </cell>
          <cell r="N107">
            <v>1881274.91</v>
          </cell>
          <cell r="O107">
            <v>49789999.359999955</v>
          </cell>
        </row>
        <row r="108">
          <cell r="A108"/>
          <cell r="B108" t="str">
            <v xml:space="preserve"> 108030 - Monthly Total Resources</v>
          </cell>
          <cell r="C108">
            <v>0</v>
          </cell>
          <cell r="D108">
            <v>0</v>
          </cell>
          <cell r="E108">
            <v>0</v>
          </cell>
          <cell r="F108">
            <v>0</v>
          </cell>
          <cell r="G108">
            <v>0</v>
          </cell>
          <cell r="H108">
            <v>0</v>
          </cell>
          <cell r="I108">
            <v>0</v>
          </cell>
          <cell r="J108">
            <v>0</v>
          </cell>
          <cell r="K108">
            <v>0</v>
          </cell>
          <cell r="L108">
            <v>0</v>
          </cell>
          <cell r="M108">
            <v>0</v>
          </cell>
          <cell r="N108">
            <v>0</v>
          </cell>
          <cell r="O108">
            <v>0</v>
          </cell>
        </row>
        <row r="109">
          <cell r="A109"/>
          <cell r="B109" t="str">
            <v xml:space="preserve"> Total CapEx</v>
          </cell>
          <cell r="C109">
            <v>6424869.5399999982</v>
          </cell>
          <cell r="D109">
            <v>6369716.0299999984</v>
          </cell>
          <cell r="E109">
            <v>5829052.5600000024</v>
          </cell>
          <cell r="F109">
            <v>5984651.4500000002</v>
          </cell>
          <cell r="G109">
            <v>5337234.4400000004</v>
          </cell>
          <cell r="H109">
            <v>3538122.35</v>
          </cell>
          <cell r="I109">
            <v>2785807.58</v>
          </cell>
          <cell r="J109">
            <v>3331895.48</v>
          </cell>
          <cell r="K109">
            <v>2824685.72</v>
          </cell>
          <cell r="L109">
            <v>2834830.11</v>
          </cell>
          <cell r="M109">
            <v>2647859.19</v>
          </cell>
          <cell r="N109">
            <v>1881274.91</v>
          </cell>
          <cell r="O109">
            <v>49789999.359999955</v>
          </cell>
        </row>
        <row r="110">
          <cell r="A110" t="str">
            <v xml:space="preserve">     Asset Invest Strategy&amp;Dev-PED</v>
          </cell>
          <cell r="B110" t="str">
            <v xml:space="preserve"> 107000 - Monthly Total Resources</v>
          </cell>
          <cell r="C110">
            <v>183392.52</v>
          </cell>
          <cell r="D110">
            <v>267924.92</v>
          </cell>
          <cell r="E110">
            <v>268846.87</v>
          </cell>
          <cell r="F110">
            <v>222631.89</v>
          </cell>
          <cell r="G110">
            <v>272291.40000000002</v>
          </cell>
          <cell r="H110">
            <v>211791.33</v>
          </cell>
          <cell r="I110">
            <v>198852.77</v>
          </cell>
          <cell r="J110">
            <v>235670.19</v>
          </cell>
          <cell r="K110">
            <v>237527.33</v>
          </cell>
          <cell r="L110">
            <v>230969.83</v>
          </cell>
          <cell r="M110">
            <v>237011.86</v>
          </cell>
          <cell r="N110">
            <v>199557.8</v>
          </cell>
          <cell r="O110">
            <v>2766468.709999993</v>
          </cell>
        </row>
        <row r="111">
          <cell r="A111"/>
          <cell r="B111" t="str">
            <v xml:space="preserve"> 108030 - Monthly Total Resources</v>
          </cell>
          <cell r="C111">
            <v>0</v>
          </cell>
          <cell r="D111">
            <v>0</v>
          </cell>
          <cell r="E111">
            <v>0</v>
          </cell>
          <cell r="F111">
            <v>0</v>
          </cell>
          <cell r="G111">
            <v>0</v>
          </cell>
          <cell r="H111">
            <v>0</v>
          </cell>
          <cell r="I111">
            <v>0</v>
          </cell>
          <cell r="J111">
            <v>0</v>
          </cell>
          <cell r="K111">
            <v>0</v>
          </cell>
          <cell r="L111">
            <v>0</v>
          </cell>
          <cell r="M111">
            <v>0</v>
          </cell>
          <cell r="N111">
            <v>0</v>
          </cell>
          <cell r="O111">
            <v>0</v>
          </cell>
        </row>
        <row r="112">
          <cell r="A112"/>
          <cell r="B112" t="str">
            <v xml:space="preserve"> Total CapEx</v>
          </cell>
          <cell r="C112">
            <v>183392.52</v>
          </cell>
          <cell r="D112">
            <v>267924.92</v>
          </cell>
          <cell r="E112">
            <v>268846.87</v>
          </cell>
          <cell r="F112">
            <v>222631.89</v>
          </cell>
          <cell r="G112">
            <v>272291.40000000002</v>
          </cell>
          <cell r="H112">
            <v>211791.33</v>
          </cell>
          <cell r="I112">
            <v>198852.77</v>
          </cell>
          <cell r="J112">
            <v>235670.19</v>
          </cell>
          <cell r="K112">
            <v>237527.33</v>
          </cell>
          <cell r="L112">
            <v>230969.83</v>
          </cell>
          <cell r="M112">
            <v>237011.86</v>
          </cell>
          <cell r="N112">
            <v>199557.8</v>
          </cell>
          <cell r="O112">
            <v>2766468.709999993</v>
          </cell>
        </row>
        <row r="113">
          <cell r="A113" t="str">
            <v xml:space="preserve">     New Business - PED</v>
          </cell>
          <cell r="B113" t="str">
            <v xml:space="preserve"> 107000 - Monthly Total Resources</v>
          </cell>
          <cell r="C113">
            <v>3449690.07</v>
          </cell>
          <cell r="D113">
            <v>3499113.53</v>
          </cell>
          <cell r="E113">
            <v>3723721.66</v>
          </cell>
          <cell r="F113">
            <v>4145510.23</v>
          </cell>
          <cell r="G113">
            <v>4234329.54</v>
          </cell>
          <cell r="H113">
            <v>4202769.29</v>
          </cell>
          <cell r="I113">
            <v>4058095.44</v>
          </cell>
          <cell r="J113">
            <v>4642269.55</v>
          </cell>
          <cell r="K113">
            <v>4062684.55</v>
          </cell>
          <cell r="L113">
            <v>4336620.42</v>
          </cell>
          <cell r="M113">
            <v>4332870.76</v>
          </cell>
          <cell r="N113">
            <v>4284132.3099999996</v>
          </cell>
          <cell r="O113">
            <v>48971807.350000031</v>
          </cell>
        </row>
        <row r="114">
          <cell r="A114"/>
          <cell r="B114" t="str">
            <v xml:space="preserve"> 108030 - Monthly Total Resources</v>
          </cell>
          <cell r="C114">
            <v>0</v>
          </cell>
          <cell r="D114">
            <v>0</v>
          </cell>
          <cell r="E114">
            <v>0</v>
          </cell>
          <cell r="F114">
            <v>0</v>
          </cell>
          <cell r="G114">
            <v>0</v>
          </cell>
          <cell r="H114">
            <v>0</v>
          </cell>
          <cell r="I114">
            <v>0</v>
          </cell>
          <cell r="J114">
            <v>0</v>
          </cell>
          <cell r="K114">
            <v>0</v>
          </cell>
          <cell r="L114">
            <v>0</v>
          </cell>
          <cell r="M114">
            <v>0</v>
          </cell>
          <cell r="N114">
            <v>0</v>
          </cell>
          <cell r="O114">
            <v>0</v>
          </cell>
        </row>
        <row r="115">
          <cell r="A115"/>
          <cell r="B115" t="str">
            <v xml:space="preserve"> Total CapEx</v>
          </cell>
          <cell r="C115">
            <v>3449690.07</v>
          </cell>
          <cell r="D115">
            <v>3499113.53</v>
          </cell>
          <cell r="E115">
            <v>3723721.66</v>
          </cell>
          <cell r="F115">
            <v>4145510.23</v>
          </cell>
          <cell r="G115">
            <v>4234329.54</v>
          </cell>
          <cell r="H115">
            <v>4202769.29</v>
          </cell>
          <cell r="I115">
            <v>4058095.44</v>
          </cell>
          <cell r="J115">
            <v>4642269.55</v>
          </cell>
          <cell r="K115">
            <v>4062684.55</v>
          </cell>
          <cell r="L115">
            <v>4336620.42</v>
          </cell>
          <cell r="M115">
            <v>4332870.76</v>
          </cell>
          <cell r="N115">
            <v>4284132.3099999996</v>
          </cell>
          <cell r="O115">
            <v>48971807.350000031</v>
          </cell>
        </row>
        <row r="116">
          <cell r="A116" t="str">
            <v xml:space="preserve">     Engineering &amp; System Perf-PED</v>
          </cell>
          <cell r="B116" t="str">
            <v xml:space="preserve"> 107000 - Monthly Total Resources</v>
          </cell>
          <cell r="C116">
            <v>758512.94</v>
          </cell>
          <cell r="D116">
            <v>921085.27</v>
          </cell>
          <cell r="E116">
            <v>979242.81</v>
          </cell>
          <cell r="F116">
            <v>1281573.3</v>
          </cell>
          <cell r="G116">
            <v>1345501.44</v>
          </cell>
          <cell r="H116">
            <v>1309333.3600000001</v>
          </cell>
          <cell r="I116">
            <v>1256440.22</v>
          </cell>
          <cell r="J116">
            <v>1375561.15</v>
          </cell>
          <cell r="K116">
            <v>1273521.78</v>
          </cell>
          <cell r="L116">
            <v>1285459.56</v>
          </cell>
          <cell r="M116">
            <v>930128.04</v>
          </cell>
          <cell r="N116">
            <v>-249561.87</v>
          </cell>
          <cell r="O116">
            <v>12466798.000000043</v>
          </cell>
        </row>
        <row r="117">
          <cell r="A117"/>
          <cell r="B117" t="str">
            <v xml:space="preserve"> 108030 - Monthly Total Resources</v>
          </cell>
          <cell r="C117">
            <v>0</v>
          </cell>
          <cell r="D117">
            <v>0</v>
          </cell>
          <cell r="E117">
            <v>0</v>
          </cell>
          <cell r="F117">
            <v>0</v>
          </cell>
          <cell r="G117">
            <v>0</v>
          </cell>
          <cell r="H117">
            <v>0</v>
          </cell>
          <cell r="I117">
            <v>0</v>
          </cell>
          <cell r="J117">
            <v>0</v>
          </cell>
          <cell r="K117">
            <v>0</v>
          </cell>
          <cell r="L117">
            <v>0</v>
          </cell>
          <cell r="M117">
            <v>0</v>
          </cell>
          <cell r="N117">
            <v>0</v>
          </cell>
          <cell r="O117">
            <v>0</v>
          </cell>
        </row>
        <row r="118">
          <cell r="A118"/>
          <cell r="B118" t="str">
            <v xml:space="preserve"> Total CapEx</v>
          </cell>
          <cell r="C118">
            <v>758512.94</v>
          </cell>
          <cell r="D118">
            <v>921085.27</v>
          </cell>
          <cell r="E118">
            <v>979242.81</v>
          </cell>
          <cell r="F118">
            <v>1281573.3</v>
          </cell>
          <cell r="G118">
            <v>1345501.44</v>
          </cell>
          <cell r="H118">
            <v>1309333.3600000001</v>
          </cell>
          <cell r="I118">
            <v>1256440.22</v>
          </cell>
          <cell r="J118">
            <v>1375561.15</v>
          </cell>
          <cell r="K118">
            <v>1273521.78</v>
          </cell>
          <cell r="L118">
            <v>1285459.56</v>
          </cell>
          <cell r="M118">
            <v>930128.04</v>
          </cell>
          <cell r="N118">
            <v>-249561.87</v>
          </cell>
          <cell r="O118">
            <v>12466798.000000043</v>
          </cell>
        </row>
        <row r="119">
          <cell r="A119" t="str">
            <v xml:space="preserve">   Technical Services</v>
          </cell>
          <cell r="B119" t="str">
            <v xml:space="preserve"> 107000 - Monthly Total Resources</v>
          </cell>
          <cell r="C119">
            <v>11395783.720000001</v>
          </cell>
          <cell r="D119">
            <v>11623586.16</v>
          </cell>
          <cell r="E119">
            <v>11413980.629999997</v>
          </cell>
          <cell r="F119">
            <v>12250273.159999998</v>
          </cell>
          <cell r="G119">
            <v>11780044.309999997</v>
          </cell>
          <cell r="H119">
            <v>9853864.1899999995</v>
          </cell>
          <cell r="I119">
            <v>8882908.1800000016</v>
          </cell>
          <cell r="J119">
            <v>10198739.48</v>
          </cell>
          <cell r="K119">
            <v>8982661.6599999983</v>
          </cell>
          <cell r="L119">
            <v>9270216.0200000014</v>
          </cell>
          <cell r="M119">
            <v>8730143.3800000045</v>
          </cell>
          <cell r="N119">
            <v>6699645.4300000016</v>
          </cell>
          <cell r="O119">
            <v>121081846.32000005</v>
          </cell>
        </row>
        <row r="120">
          <cell r="A120"/>
          <cell r="B120" t="str">
            <v xml:space="preserve"> 108030 - Monthly Total Resources</v>
          </cell>
          <cell r="C120">
            <v>0</v>
          </cell>
          <cell r="D120">
            <v>0</v>
          </cell>
          <cell r="E120">
            <v>0</v>
          </cell>
          <cell r="F120">
            <v>0</v>
          </cell>
          <cell r="G120">
            <v>0</v>
          </cell>
          <cell r="H120">
            <v>0</v>
          </cell>
          <cell r="I120">
            <v>0</v>
          </cell>
          <cell r="J120">
            <v>0</v>
          </cell>
          <cell r="K120">
            <v>0</v>
          </cell>
          <cell r="L120">
            <v>0</v>
          </cell>
          <cell r="M120">
            <v>0</v>
          </cell>
          <cell r="N120">
            <v>0</v>
          </cell>
          <cell r="O120">
            <v>0</v>
          </cell>
        </row>
        <row r="121">
          <cell r="A121"/>
          <cell r="B121" t="str">
            <v xml:space="preserve"> Total CapEx</v>
          </cell>
          <cell r="C121">
            <v>11395783.720000001</v>
          </cell>
          <cell r="D121">
            <v>11623586.16</v>
          </cell>
          <cell r="E121">
            <v>11413980.629999997</v>
          </cell>
          <cell r="F121">
            <v>12250273.159999998</v>
          </cell>
          <cell r="G121">
            <v>11780044.309999997</v>
          </cell>
          <cell r="H121">
            <v>9853864.1899999995</v>
          </cell>
          <cell r="I121">
            <v>8882908.1800000016</v>
          </cell>
          <cell r="J121">
            <v>10198739.48</v>
          </cell>
          <cell r="K121">
            <v>8982661.6599999983</v>
          </cell>
          <cell r="L121">
            <v>9270216.0200000014</v>
          </cell>
          <cell r="M121">
            <v>8730143.3800000045</v>
          </cell>
          <cell r="N121">
            <v>6699645.4300000016</v>
          </cell>
          <cell r="O121">
            <v>121081846.32000005</v>
          </cell>
        </row>
        <row r="122">
          <cell r="A122" t="str">
            <v xml:space="preserve">     Customer&amp;Marketing Svcs-PECO</v>
          </cell>
          <cell r="B122" t="str">
            <v xml:space="preserve"> 107000 - Monthly Total Resources</v>
          </cell>
          <cell r="C122">
            <v>106942.38</v>
          </cell>
          <cell r="D122">
            <v>145093.64000000001</v>
          </cell>
          <cell r="E122">
            <v>150181.85999999999</v>
          </cell>
          <cell r="F122">
            <v>141829.82999999999</v>
          </cell>
          <cell r="G122">
            <v>142191.01999999999</v>
          </cell>
          <cell r="H122">
            <v>136165.43</v>
          </cell>
          <cell r="I122">
            <v>125381.63</v>
          </cell>
          <cell r="J122">
            <v>145996.07</v>
          </cell>
          <cell r="K122">
            <v>135355.28</v>
          </cell>
          <cell r="L122">
            <v>135671.46</v>
          </cell>
          <cell r="M122">
            <v>142898.78</v>
          </cell>
          <cell r="N122">
            <v>121686.03</v>
          </cell>
          <cell r="O122">
            <v>1629393.41</v>
          </cell>
        </row>
        <row r="123">
          <cell r="A123"/>
          <cell r="B123" t="str">
            <v xml:space="preserve"> 108030 - Monthly Total Resources</v>
          </cell>
          <cell r="C123">
            <v>0</v>
          </cell>
          <cell r="D123">
            <v>0</v>
          </cell>
          <cell r="E123">
            <v>0</v>
          </cell>
          <cell r="F123">
            <v>0</v>
          </cell>
          <cell r="G123">
            <v>0</v>
          </cell>
          <cell r="H123">
            <v>0</v>
          </cell>
          <cell r="I123">
            <v>0</v>
          </cell>
          <cell r="J123">
            <v>0</v>
          </cell>
          <cell r="K123">
            <v>0</v>
          </cell>
          <cell r="L123">
            <v>0</v>
          </cell>
          <cell r="M123">
            <v>0</v>
          </cell>
          <cell r="N123">
            <v>0</v>
          </cell>
          <cell r="O123">
            <v>0</v>
          </cell>
        </row>
        <row r="124">
          <cell r="A124"/>
          <cell r="B124" t="str">
            <v xml:space="preserve"> Total CapEx</v>
          </cell>
          <cell r="C124">
            <v>106942.38</v>
          </cell>
          <cell r="D124">
            <v>145093.64000000001</v>
          </cell>
          <cell r="E124">
            <v>150181.85999999999</v>
          </cell>
          <cell r="F124">
            <v>141829.82999999999</v>
          </cell>
          <cell r="G124">
            <v>142191.01999999999</v>
          </cell>
          <cell r="H124">
            <v>136165.43</v>
          </cell>
          <cell r="I124">
            <v>125381.63</v>
          </cell>
          <cell r="J124">
            <v>145996.07</v>
          </cell>
          <cell r="K124">
            <v>135355.28</v>
          </cell>
          <cell r="L124">
            <v>135671.46</v>
          </cell>
          <cell r="M124">
            <v>142898.78</v>
          </cell>
          <cell r="N124">
            <v>121686.03</v>
          </cell>
          <cell r="O124">
            <v>1629393.41</v>
          </cell>
        </row>
        <row r="125">
          <cell r="A125" t="str">
            <v xml:space="preserve">     Fleet Management - PECO</v>
          </cell>
          <cell r="B125" t="str">
            <v xml:space="preserve"> 107000 - Monthly Total Resources</v>
          </cell>
          <cell r="C125">
            <v>30000</v>
          </cell>
          <cell r="D125">
            <v>30000</v>
          </cell>
          <cell r="E125">
            <v>100000</v>
          </cell>
          <cell r="F125">
            <v>300000</v>
          </cell>
          <cell r="G125">
            <v>100000</v>
          </cell>
          <cell r="H125">
            <v>800000</v>
          </cell>
          <cell r="I125">
            <v>400000</v>
          </cell>
          <cell r="J125">
            <v>1000000</v>
          </cell>
          <cell r="K125">
            <v>100000</v>
          </cell>
          <cell r="L125">
            <v>100000</v>
          </cell>
          <cell r="M125">
            <v>75000</v>
          </cell>
          <cell r="N125">
            <v>25000</v>
          </cell>
          <cell r="O125">
            <v>3060000</v>
          </cell>
        </row>
        <row r="126">
          <cell r="A126"/>
          <cell r="B126" t="str">
            <v xml:space="preserve"> 108030 - Monthly Total Resources</v>
          </cell>
          <cell r="C126">
            <v>0</v>
          </cell>
          <cell r="D126">
            <v>0</v>
          </cell>
          <cell r="E126">
            <v>0</v>
          </cell>
          <cell r="F126">
            <v>0</v>
          </cell>
          <cell r="G126">
            <v>0</v>
          </cell>
          <cell r="H126">
            <v>0</v>
          </cell>
          <cell r="I126">
            <v>0</v>
          </cell>
          <cell r="J126">
            <v>0</v>
          </cell>
          <cell r="K126">
            <v>0</v>
          </cell>
          <cell r="L126">
            <v>0</v>
          </cell>
          <cell r="M126">
            <v>0</v>
          </cell>
          <cell r="N126">
            <v>0</v>
          </cell>
          <cell r="O126">
            <v>0</v>
          </cell>
        </row>
        <row r="127">
          <cell r="A127"/>
          <cell r="B127" t="str">
            <v xml:space="preserve"> Total CapEx</v>
          </cell>
          <cell r="C127">
            <v>30000</v>
          </cell>
          <cell r="D127">
            <v>30000</v>
          </cell>
          <cell r="E127">
            <v>100000</v>
          </cell>
          <cell r="F127">
            <v>300000</v>
          </cell>
          <cell r="G127">
            <v>100000</v>
          </cell>
          <cell r="H127">
            <v>800000</v>
          </cell>
          <cell r="I127">
            <v>400000</v>
          </cell>
          <cell r="J127">
            <v>1000000</v>
          </cell>
          <cell r="K127">
            <v>100000</v>
          </cell>
          <cell r="L127">
            <v>100000</v>
          </cell>
          <cell r="M127">
            <v>75000</v>
          </cell>
          <cell r="N127">
            <v>25000</v>
          </cell>
          <cell r="O127">
            <v>3060000</v>
          </cell>
        </row>
        <row r="128">
          <cell r="A128" t="str">
            <v xml:space="preserve">   Cust&amp;Mrkt Svcs&amp;Fleet Mgmt-PECO</v>
          </cell>
          <cell r="B128" t="str">
            <v xml:space="preserve"> 107000 - Monthly Total Resources</v>
          </cell>
          <cell r="C128">
            <v>136942.38</v>
          </cell>
          <cell r="D128">
            <v>175093.64</v>
          </cell>
          <cell r="E128">
            <v>250181.86</v>
          </cell>
          <cell r="F128">
            <v>441829.83</v>
          </cell>
          <cell r="G128">
            <v>242191.02</v>
          </cell>
          <cell r="H128">
            <v>936165.43</v>
          </cell>
          <cell r="I128">
            <v>525381.63</v>
          </cell>
          <cell r="J128">
            <v>1145996.07</v>
          </cell>
          <cell r="K128">
            <v>235355.28</v>
          </cell>
          <cell r="L128">
            <v>235671.46</v>
          </cell>
          <cell r="M128">
            <v>217898.78</v>
          </cell>
          <cell r="N128">
            <v>146686.03</v>
          </cell>
          <cell r="O128">
            <v>4689393.41</v>
          </cell>
        </row>
        <row r="129">
          <cell r="A129"/>
          <cell r="B129" t="str">
            <v xml:space="preserve"> 108030 - Monthly Total Resources</v>
          </cell>
          <cell r="C129">
            <v>0</v>
          </cell>
          <cell r="D129">
            <v>0</v>
          </cell>
          <cell r="E129">
            <v>0</v>
          </cell>
          <cell r="F129">
            <v>0</v>
          </cell>
          <cell r="G129">
            <v>0</v>
          </cell>
          <cell r="H129">
            <v>0</v>
          </cell>
          <cell r="I129">
            <v>0</v>
          </cell>
          <cell r="J129">
            <v>0</v>
          </cell>
          <cell r="K129">
            <v>0</v>
          </cell>
          <cell r="L129">
            <v>0</v>
          </cell>
          <cell r="M129">
            <v>0</v>
          </cell>
          <cell r="N129">
            <v>0</v>
          </cell>
          <cell r="O129">
            <v>0</v>
          </cell>
        </row>
        <row r="130">
          <cell r="A130"/>
          <cell r="B130" t="str">
            <v xml:space="preserve"> Total CapEx</v>
          </cell>
          <cell r="C130">
            <v>136942.38</v>
          </cell>
          <cell r="D130">
            <v>175093.64</v>
          </cell>
          <cell r="E130">
            <v>250181.86</v>
          </cell>
          <cell r="F130">
            <v>441829.83</v>
          </cell>
          <cell r="G130">
            <v>242191.02</v>
          </cell>
          <cell r="H130">
            <v>936165.43</v>
          </cell>
          <cell r="I130">
            <v>525381.63</v>
          </cell>
          <cell r="J130">
            <v>1145996.07</v>
          </cell>
          <cell r="K130">
            <v>235355.28</v>
          </cell>
          <cell r="L130">
            <v>235671.46</v>
          </cell>
          <cell r="M130">
            <v>217898.78</v>
          </cell>
          <cell r="N130">
            <v>146686.03</v>
          </cell>
          <cell r="O130">
            <v>4689393.41</v>
          </cell>
        </row>
        <row r="131">
          <cell r="A131" t="str">
            <v xml:space="preserve">   Support Services - PECO</v>
          </cell>
          <cell r="B131" t="str">
            <v xml:space="preserve"> 107000 - Monthly Total Resources</v>
          </cell>
          <cell r="C131">
            <v>0</v>
          </cell>
          <cell r="D131">
            <v>0</v>
          </cell>
          <cell r="E131">
            <v>0</v>
          </cell>
          <cell r="F131">
            <v>0</v>
          </cell>
          <cell r="G131">
            <v>0</v>
          </cell>
          <cell r="H131">
            <v>0</v>
          </cell>
          <cell r="I131">
            <v>0</v>
          </cell>
          <cell r="J131">
            <v>0</v>
          </cell>
          <cell r="K131">
            <v>0</v>
          </cell>
          <cell r="L131">
            <v>0</v>
          </cell>
          <cell r="M131">
            <v>0</v>
          </cell>
          <cell r="N131">
            <v>0</v>
          </cell>
          <cell r="O131">
            <v>0</v>
          </cell>
        </row>
        <row r="132">
          <cell r="A132"/>
          <cell r="B132" t="str">
            <v xml:space="preserve"> 108030 - Monthly Total Resources</v>
          </cell>
          <cell r="C132">
            <v>0</v>
          </cell>
          <cell r="D132">
            <v>0</v>
          </cell>
          <cell r="E132">
            <v>0</v>
          </cell>
          <cell r="F132">
            <v>0</v>
          </cell>
          <cell r="G132">
            <v>0</v>
          </cell>
          <cell r="H132">
            <v>0</v>
          </cell>
          <cell r="I132">
            <v>0</v>
          </cell>
          <cell r="J132">
            <v>0</v>
          </cell>
          <cell r="K132">
            <v>0</v>
          </cell>
          <cell r="L132">
            <v>0</v>
          </cell>
          <cell r="M132">
            <v>0</v>
          </cell>
          <cell r="N132">
            <v>0</v>
          </cell>
          <cell r="O132">
            <v>0</v>
          </cell>
        </row>
        <row r="133">
          <cell r="A133"/>
          <cell r="B133" t="str">
            <v xml:space="preserve"> Total CapEx</v>
          </cell>
          <cell r="C133">
            <v>0</v>
          </cell>
          <cell r="D133">
            <v>0</v>
          </cell>
          <cell r="E133">
            <v>0</v>
          </cell>
          <cell r="F133">
            <v>0</v>
          </cell>
          <cell r="G133">
            <v>0</v>
          </cell>
          <cell r="H133">
            <v>0</v>
          </cell>
          <cell r="I133">
            <v>0</v>
          </cell>
          <cell r="J133">
            <v>0</v>
          </cell>
          <cell r="K133">
            <v>0</v>
          </cell>
          <cell r="L133">
            <v>0</v>
          </cell>
          <cell r="M133">
            <v>0</v>
          </cell>
          <cell r="N133">
            <v>0</v>
          </cell>
          <cell r="O133">
            <v>0</v>
          </cell>
        </row>
        <row r="134">
          <cell r="A134" t="str">
            <v xml:space="preserve">     Ofc of the Trans Ops VP-EAST</v>
          </cell>
          <cell r="B134" t="str">
            <v xml:space="preserve"> 107000 - Monthly Total Resources</v>
          </cell>
          <cell r="C134">
            <v>0</v>
          </cell>
          <cell r="D134">
            <v>0</v>
          </cell>
          <cell r="E134">
            <v>0</v>
          </cell>
          <cell r="F134">
            <v>0</v>
          </cell>
          <cell r="G134">
            <v>0</v>
          </cell>
          <cell r="H134">
            <v>0</v>
          </cell>
          <cell r="I134">
            <v>0</v>
          </cell>
          <cell r="J134">
            <v>0</v>
          </cell>
          <cell r="K134">
            <v>0</v>
          </cell>
          <cell r="L134">
            <v>0</v>
          </cell>
          <cell r="M134">
            <v>0</v>
          </cell>
          <cell r="N134">
            <v>0</v>
          </cell>
          <cell r="O134">
            <v>0</v>
          </cell>
        </row>
        <row r="135">
          <cell r="A135"/>
          <cell r="B135" t="str">
            <v xml:space="preserve"> 108030 - Monthly Total Resources</v>
          </cell>
          <cell r="C135">
            <v>0</v>
          </cell>
          <cell r="D135">
            <v>0</v>
          </cell>
          <cell r="E135">
            <v>0</v>
          </cell>
          <cell r="F135">
            <v>0</v>
          </cell>
          <cell r="G135">
            <v>0</v>
          </cell>
          <cell r="H135">
            <v>0</v>
          </cell>
          <cell r="I135">
            <v>0</v>
          </cell>
          <cell r="J135">
            <v>0</v>
          </cell>
          <cell r="K135">
            <v>0</v>
          </cell>
          <cell r="L135">
            <v>0</v>
          </cell>
          <cell r="M135">
            <v>0</v>
          </cell>
          <cell r="N135">
            <v>0</v>
          </cell>
          <cell r="O135">
            <v>0</v>
          </cell>
        </row>
        <row r="136">
          <cell r="A136"/>
          <cell r="B136" t="str">
            <v xml:space="preserve"> Total CapEx</v>
          </cell>
          <cell r="C136">
            <v>0</v>
          </cell>
          <cell r="D136">
            <v>0</v>
          </cell>
          <cell r="E136">
            <v>0</v>
          </cell>
          <cell r="F136">
            <v>0</v>
          </cell>
          <cell r="G136">
            <v>0</v>
          </cell>
          <cell r="H136">
            <v>0</v>
          </cell>
          <cell r="I136">
            <v>0</v>
          </cell>
          <cell r="J136">
            <v>0</v>
          </cell>
          <cell r="K136">
            <v>0</v>
          </cell>
          <cell r="L136">
            <v>0</v>
          </cell>
          <cell r="M136">
            <v>0</v>
          </cell>
          <cell r="N136">
            <v>0</v>
          </cell>
          <cell r="O136">
            <v>0</v>
          </cell>
        </row>
        <row r="137">
          <cell r="A137" t="str">
            <v xml:space="preserve">     PED Transmission Planning East</v>
          </cell>
          <cell r="B137" t="str">
            <v xml:space="preserve"> 107000 - Monthly Total Resources</v>
          </cell>
          <cell r="C137">
            <v>0</v>
          </cell>
          <cell r="D137">
            <v>0</v>
          </cell>
          <cell r="E137">
            <v>0</v>
          </cell>
          <cell r="F137">
            <v>0</v>
          </cell>
          <cell r="G137">
            <v>0</v>
          </cell>
          <cell r="H137">
            <v>0</v>
          </cell>
          <cell r="I137">
            <v>0</v>
          </cell>
          <cell r="J137">
            <v>0</v>
          </cell>
          <cell r="K137">
            <v>0</v>
          </cell>
          <cell r="L137">
            <v>0</v>
          </cell>
          <cell r="M137">
            <v>0</v>
          </cell>
          <cell r="N137">
            <v>0</v>
          </cell>
          <cell r="O137">
            <v>0</v>
          </cell>
        </row>
        <row r="138">
          <cell r="A138"/>
          <cell r="B138" t="str">
            <v xml:space="preserve"> 108030 - Monthly Total Resources</v>
          </cell>
          <cell r="C138">
            <v>0</v>
          </cell>
          <cell r="D138">
            <v>0</v>
          </cell>
          <cell r="E138">
            <v>0</v>
          </cell>
          <cell r="F138">
            <v>0</v>
          </cell>
          <cell r="G138">
            <v>0</v>
          </cell>
          <cell r="H138">
            <v>0</v>
          </cell>
          <cell r="I138">
            <v>0</v>
          </cell>
          <cell r="J138">
            <v>0</v>
          </cell>
          <cell r="K138">
            <v>0</v>
          </cell>
          <cell r="L138">
            <v>0</v>
          </cell>
          <cell r="M138">
            <v>0</v>
          </cell>
          <cell r="N138">
            <v>0</v>
          </cell>
          <cell r="O138">
            <v>0</v>
          </cell>
        </row>
        <row r="139">
          <cell r="A139"/>
          <cell r="B139" t="str">
            <v xml:space="preserve"> Total CapEx</v>
          </cell>
          <cell r="C139">
            <v>0</v>
          </cell>
          <cell r="D139">
            <v>0</v>
          </cell>
          <cell r="E139">
            <v>0</v>
          </cell>
          <cell r="F139">
            <v>0</v>
          </cell>
          <cell r="G139">
            <v>0</v>
          </cell>
          <cell r="H139">
            <v>0</v>
          </cell>
          <cell r="I139">
            <v>0</v>
          </cell>
          <cell r="J139">
            <v>0</v>
          </cell>
          <cell r="K139">
            <v>0</v>
          </cell>
          <cell r="L139">
            <v>0</v>
          </cell>
          <cell r="M139">
            <v>0</v>
          </cell>
          <cell r="N139">
            <v>0</v>
          </cell>
          <cell r="O139">
            <v>0</v>
          </cell>
        </row>
        <row r="140">
          <cell r="A140" t="str">
            <v xml:space="preserve">     PEDTransmission Operation East</v>
          </cell>
          <cell r="B140" t="str">
            <v xml:space="preserve"> 107000 - Monthly Total Resources</v>
          </cell>
          <cell r="C140">
            <v>0</v>
          </cell>
          <cell r="D140">
            <v>0</v>
          </cell>
          <cell r="E140">
            <v>25000</v>
          </cell>
          <cell r="F140">
            <v>0</v>
          </cell>
          <cell r="G140">
            <v>0</v>
          </cell>
          <cell r="H140">
            <v>25000</v>
          </cell>
          <cell r="I140">
            <v>0</v>
          </cell>
          <cell r="J140">
            <v>0</v>
          </cell>
          <cell r="K140">
            <v>25000</v>
          </cell>
          <cell r="L140">
            <v>0</v>
          </cell>
          <cell r="M140">
            <v>0</v>
          </cell>
          <cell r="N140">
            <v>25000</v>
          </cell>
          <cell r="O140">
            <v>100000</v>
          </cell>
        </row>
        <row r="141">
          <cell r="A141"/>
          <cell r="B141" t="str">
            <v xml:space="preserve"> 108030 - Monthly Total Resources</v>
          </cell>
          <cell r="C141">
            <v>0</v>
          </cell>
          <cell r="D141">
            <v>0</v>
          </cell>
          <cell r="E141">
            <v>0</v>
          </cell>
          <cell r="F141">
            <v>0</v>
          </cell>
          <cell r="G141">
            <v>0</v>
          </cell>
          <cell r="H141">
            <v>0</v>
          </cell>
          <cell r="I141">
            <v>0</v>
          </cell>
          <cell r="J141">
            <v>0</v>
          </cell>
          <cell r="K141">
            <v>0</v>
          </cell>
          <cell r="L141">
            <v>0</v>
          </cell>
          <cell r="M141">
            <v>0</v>
          </cell>
          <cell r="N141">
            <v>0</v>
          </cell>
          <cell r="O141">
            <v>0</v>
          </cell>
        </row>
        <row r="142">
          <cell r="A142"/>
          <cell r="B142" t="str">
            <v xml:space="preserve"> Total CapEx</v>
          </cell>
          <cell r="C142">
            <v>0</v>
          </cell>
          <cell r="D142">
            <v>0</v>
          </cell>
          <cell r="E142">
            <v>25000</v>
          </cell>
          <cell r="F142">
            <v>0</v>
          </cell>
          <cell r="G142">
            <v>0</v>
          </cell>
          <cell r="H142">
            <v>25000</v>
          </cell>
          <cell r="I142">
            <v>0</v>
          </cell>
          <cell r="J142">
            <v>0</v>
          </cell>
          <cell r="K142">
            <v>25000</v>
          </cell>
          <cell r="L142">
            <v>0</v>
          </cell>
          <cell r="M142">
            <v>0</v>
          </cell>
          <cell r="N142">
            <v>25000</v>
          </cell>
          <cell r="O142">
            <v>100000</v>
          </cell>
        </row>
        <row r="143">
          <cell r="A143" t="str">
            <v xml:space="preserve">     Trans Strat&amp;Bussinss Oper East</v>
          </cell>
          <cell r="B143" t="str">
            <v xml:space="preserve"> 107000 - Monthly Total Resources</v>
          </cell>
          <cell r="C143">
            <v>0</v>
          </cell>
          <cell r="D143">
            <v>0</v>
          </cell>
          <cell r="E143">
            <v>0</v>
          </cell>
          <cell r="F143">
            <v>0</v>
          </cell>
          <cell r="G143">
            <v>0</v>
          </cell>
          <cell r="H143">
            <v>0</v>
          </cell>
          <cell r="I143">
            <v>0</v>
          </cell>
          <cell r="J143">
            <v>0</v>
          </cell>
          <cell r="K143">
            <v>0</v>
          </cell>
          <cell r="L143">
            <v>0</v>
          </cell>
          <cell r="M143">
            <v>0</v>
          </cell>
          <cell r="N143">
            <v>0</v>
          </cell>
          <cell r="O143">
            <v>0</v>
          </cell>
        </row>
        <row r="144">
          <cell r="A144"/>
          <cell r="B144" t="str">
            <v xml:space="preserve"> 108030 - Monthly Total Resources</v>
          </cell>
          <cell r="C144">
            <v>0</v>
          </cell>
          <cell r="D144">
            <v>0</v>
          </cell>
          <cell r="E144">
            <v>0</v>
          </cell>
          <cell r="F144">
            <v>0</v>
          </cell>
          <cell r="G144">
            <v>0</v>
          </cell>
          <cell r="H144">
            <v>0</v>
          </cell>
          <cell r="I144">
            <v>0</v>
          </cell>
          <cell r="J144">
            <v>0</v>
          </cell>
          <cell r="K144">
            <v>0</v>
          </cell>
          <cell r="L144">
            <v>0</v>
          </cell>
          <cell r="M144">
            <v>0</v>
          </cell>
          <cell r="N144">
            <v>0</v>
          </cell>
          <cell r="O144">
            <v>0</v>
          </cell>
        </row>
        <row r="145">
          <cell r="A145"/>
          <cell r="B145" t="str">
            <v xml:space="preserve"> Total CapEx</v>
          </cell>
          <cell r="C145">
            <v>0</v>
          </cell>
          <cell r="D145">
            <v>0</v>
          </cell>
          <cell r="E145">
            <v>0</v>
          </cell>
          <cell r="F145">
            <v>0</v>
          </cell>
          <cell r="G145">
            <v>0</v>
          </cell>
          <cell r="H145">
            <v>0</v>
          </cell>
          <cell r="I145">
            <v>0</v>
          </cell>
          <cell r="J145">
            <v>0</v>
          </cell>
          <cell r="K145">
            <v>0</v>
          </cell>
          <cell r="L145">
            <v>0</v>
          </cell>
          <cell r="M145">
            <v>0</v>
          </cell>
          <cell r="N145">
            <v>0</v>
          </cell>
          <cell r="O145">
            <v>0</v>
          </cell>
        </row>
        <row r="146">
          <cell r="A146" t="str">
            <v xml:space="preserve">   Transmission Operations-PECO</v>
          </cell>
          <cell r="B146" t="str">
            <v xml:space="preserve"> 107000 - Monthly Total Resources</v>
          </cell>
          <cell r="C146">
            <v>0</v>
          </cell>
          <cell r="D146">
            <v>0</v>
          </cell>
          <cell r="E146">
            <v>25000</v>
          </cell>
          <cell r="F146">
            <v>0</v>
          </cell>
          <cell r="G146">
            <v>0</v>
          </cell>
          <cell r="H146">
            <v>25000</v>
          </cell>
          <cell r="I146">
            <v>0</v>
          </cell>
          <cell r="J146">
            <v>0</v>
          </cell>
          <cell r="K146">
            <v>25000</v>
          </cell>
          <cell r="L146">
            <v>0</v>
          </cell>
          <cell r="M146">
            <v>0</v>
          </cell>
          <cell r="N146">
            <v>25000</v>
          </cell>
          <cell r="O146">
            <v>100000</v>
          </cell>
        </row>
        <row r="147">
          <cell r="A147"/>
          <cell r="B147" t="str">
            <v xml:space="preserve"> 108030 - Monthly Total Resources</v>
          </cell>
          <cell r="C147">
            <v>0</v>
          </cell>
          <cell r="D147">
            <v>0</v>
          </cell>
          <cell r="E147">
            <v>0</v>
          </cell>
          <cell r="F147">
            <v>0</v>
          </cell>
          <cell r="G147">
            <v>0</v>
          </cell>
          <cell r="H147">
            <v>0</v>
          </cell>
          <cell r="I147">
            <v>0</v>
          </cell>
          <cell r="J147">
            <v>0</v>
          </cell>
          <cell r="K147">
            <v>0</v>
          </cell>
          <cell r="L147">
            <v>0</v>
          </cell>
          <cell r="M147">
            <v>0</v>
          </cell>
          <cell r="N147">
            <v>0</v>
          </cell>
          <cell r="O147">
            <v>0</v>
          </cell>
        </row>
        <row r="148">
          <cell r="A148"/>
          <cell r="B148" t="str">
            <v xml:space="preserve"> Total CapEx</v>
          </cell>
          <cell r="C148">
            <v>0</v>
          </cell>
          <cell r="D148">
            <v>0</v>
          </cell>
          <cell r="E148">
            <v>25000</v>
          </cell>
          <cell r="F148">
            <v>0</v>
          </cell>
          <cell r="G148">
            <v>0</v>
          </cell>
          <cell r="H148">
            <v>25000</v>
          </cell>
          <cell r="I148">
            <v>0</v>
          </cell>
          <cell r="J148">
            <v>0</v>
          </cell>
          <cell r="K148">
            <v>25000</v>
          </cell>
          <cell r="L148">
            <v>0</v>
          </cell>
          <cell r="M148">
            <v>0</v>
          </cell>
          <cell r="N148">
            <v>25000</v>
          </cell>
          <cell r="O148">
            <v>100000</v>
          </cell>
        </row>
        <row r="149">
          <cell r="A149" t="str">
            <v xml:space="preserve">     Finance - PECO</v>
          </cell>
          <cell r="B149" t="str">
            <v xml:space="preserve"> 107000 - Monthly Total Resources</v>
          </cell>
          <cell r="C149">
            <v>125231.61</v>
          </cell>
          <cell r="D149">
            <v>119990.21</v>
          </cell>
          <cell r="E149">
            <v>139947.99</v>
          </cell>
          <cell r="F149">
            <v>129097.34</v>
          </cell>
          <cell r="G149">
            <v>136798.81</v>
          </cell>
          <cell r="H149">
            <v>136798.81</v>
          </cell>
          <cell r="I149">
            <v>131268.54</v>
          </cell>
          <cell r="J149">
            <v>142325.97</v>
          </cell>
          <cell r="K149">
            <v>136798.89000000001</v>
          </cell>
          <cell r="L149">
            <v>131888.99</v>
          </cell>
          <cell r="M149">
            <v>137449.04</v>
          </cell>
          <cell r="N149">
            <v>136798.89000000001</v>
          </cell>
          <cell r="O149">
            <v>1604395.09</v>
          </cell>
        </row>
        <row r="150">
          <cell r="A150"/>
          <cell r="B150" t="str">
            <v xml:space="preserve"> 108030 - Monthly Total Resources</v>
          </cell>
          <cell r="C150">
            <v>0</v>
          </cell>
          <cell r="D150">
            <v>0</v>
          </cell>
          <cell r="E150">
            <v>0</v>
          </cell>
          <cell r="F150">
            <v>0</v>
          </cell>
          <cell r="G150">
            <v>0</v>
          </cell>
          <cell r="H150">
            <v>0</v>
          </cell>
          <cell r="I150">
            <v>0</v>
          </cell>
          <cell r="J150">
            <v>0</v>
          </cell>
          <cell r="K150">
            <v>0</v>
          </cell>
          <cell r="L150">
            <v>0</v>
          </cell>
          <cell r="M150">
            <v>0</v>
          </cell>
          <cell r="N150">
            <v>0</v>
          </cell>
          <cell r="O150">
            <v>0</v>
          </cell>
        </row>
        <row r="151">
          <cell r="A151"/>
          <cell r="B151" t="str">
            <v xml:space="preserve"> Total CapEx</v>
          </cell>
          <cell r="C151">
            <v>125231.61</v>
          </cell>
          <cell r="D151">
            <v>119990.21</v>
          </cell>
          <cell r="E151">
            <v>139947.99</v>
          </cell>
          <cell r="F151">
            <v>129097.34</v>
          </cell>
          <cell r="G151">
            <v>136798.81</v>
          </cell>
          <cell r="H151">
            <v>136798.81</v>
          </cell>
          <cell r="I151">
            <v>131268.54</v>
          </cell>
          <cell r="J151">
            <v>142325.97</v>
          </cell>
          <cell r="K151">
            <v>136798.89000000001</v>
          </cell>
          <cell r="L151">
            <v>131888.99</v>
          </cell>
          <cell r="M151">
            <v>137449.04</v>
          </cell>
          <cell r="N151">
            <v>136798.89000000001</v>
          </cell>
          <cell r="O151">
            <v>1604395.09</v>
          </cell>
        </row>
        <row r="152">
          <cell r="A152" t="str">
            <v xml:space="preserve">     Communications - PECO</v>
          </cell>
          <cell r="B152" t="str">
            <v xml:space="preserve"> 107000 - Monthly Total Resources</v>
          </cell>
          <cell r="C152">
            <v>0</v>
          </cell>
          <cell r="D152">
            <v>0</v>
          </cell>
          <cell r="E152">
            <v>0</v>
          </cell>
          <cell r="F152">
            <v>0</v>
          </cell>
          <cell r="G152">
            <v>0</v>
          </cell>
          <cell r="H152">
            <v>0</v>
          </cell>
          <cell r="I152">
            <v>0</v>
          </cell>
          <cell r="J152">
            <v>0</v>
          </cell>
          <cell r="K152">
            <v>0</v>
          </cell>
          <cell r="L152">
            <v>0</v>
          </cell>
          <cell r="M152">
            <v>0</v>
          </cell>
          <cell r="N152">
            <v>0</v>
          </cell>
          <cell r="O152">
            <v>0</v>
          </cell>
        </row>
        <row r="153">
          <cell r="A153"/>
          <cell r="B153" t="str">
            <v xml:space="preserve"> 108030 - Monthly Total Resources</v>
          </cell>
          <cell r="C153">
            <v>0</v>
          </cell>
          <cell r="D153">
            <v>0</v>
          </cell>
          <cell r="E153">
            <v>0</v>
          </cell>
          <cell r="F153">
            <v>0</v>
          </cell>
          <cell r="G153">
            <v>0</v>
          </cell>
          <cell r="H153">
            <v>0</v>
          </cell>
          <cell r="I153">
            <v>0</v>
          </cell>
          <cell r="J153">
            <v>0</v>
          </cell>
          <cell r="K153">
            <v>0</v>
          </cell>
          <cell r="L153">
            <v>0</v>
          </cell>
          <cell r="M153">
            <v>0</v>
          </cell>
          <cell r="N153">
            <v>0</v>
          </cell>
          <cell r="O153">
            <v>0</v>
          </cell>
        </row>
        <row r="154">
          <cell r="A154"/>
          <cell r="B154" t="str">
            <v xml:space="preserve"> Total CapEx</v>
          </cell>
          <cell r="C154">
            <v>0</v>
          </cell>
          <cell r="D154">
            <v>0</v>
          </cell>
          <cell r="E154">
            <v>0</v>
          </cell>
          <cell r="F154">
            <v>0</v>
          </cell>
          <cell r="G154">
            <v>0</v>
          </cell>
          <cell r="H154">
            <v>0</v>
          </cell>
          <cell r="I154">
            <v>0</v>
          </cell>
          <cell r="J154">
            <v>0</v>
          </cell>
          <cell r="K154">
            <v>0</v>
          </cell>
          <cell r="L154">
            <v>0</v>
          </cell>
          <cell r="M154">
            <v>0</v>
          </cell>
          <cell r="N154">
            <v>0</v>
          </cell>
          <cell r="O154">
            <v>0</v>
          </cell>
        </row>
        <row r="155">
          <cell r="A155" t="str">
            <v xml:space="preserve">     Human Resources - PECO</v>
          </cell>
          <cell r="B155" t="str">
            <v xml:space="preserve"> 107000 - Monthly Total Resources</v>
          </cell>
          <cell r="C155">
            <v>0</v>
          </cell>
          <cell r="D155">
            <v>0</v>
          </cell>
          <cell r="E155">
            <v>0</v>
          </cell>
          <cell r="F155">
            <v>0</v>
          </cell>
          <cell r="G155">
            <v>0</v>
          </cell>
          <cell r="H155">
            <v>0</v>
          </cell>
          <cell r="I155">
            <v>0</v>
          </cell>
          <cell r="J155">
            <v>0</v>
          </cell>
          <cell r="K155">
            <v>0</v>
          </cell>
          <cell r="L155">
            <v>0</v>
          </cell>
          <cell r="M155">
            <v>0</v>
          </cell>
          <cell r="N155">
            <v>0</v>
          </cell>
          <cell r="O155">
            <v>0</v>
          </cell>
        </row>
        <row r="156">
          <cell r="A156"/>
          <cell r="B156" t="str">
            <v xml:space="preserve"> 108030 - Monthly Total Resources</v>
          </cell>
          <cell r="C156">
            <v>0</v>
          </cell>
          <cell r="D156">
            <v>0</v>
          </cell>
          <cell r="E156">
            <v>0</v>
          </cell>
          <cell r="F156">
            <v>0</v>
          </cell>
          <cell r="G156">
            <v>0</v>
          </cell>
          <cell r="H156">
            <v>0</v>
          </cell>
          <cell r="I156">
            <v>0</v>
          </cell>
          <cell r="J156">
            <v>0</v>
          </cell>
          <cell r="K156">
            <v>0</v>
          </cell>
          <cell r="L156">
            <v>0</v>
          </cell>
          <cell r="M156">
            <v>0</v>
          </cell>
          <cell r="N156">
            <v>0</v>
          </cell>
          <cell r="O156">
            <v>0</v>
          </cell>
        </row>
        <row r="157">
          <cell r="A157"/>
          <cell r="B157" t="str">
            <v xml:space="preserve"> Total CapEx</v>
          </cell>
          <cell r="C157">
            <v>0</v>
          </cell>
          <cell r="D157">
            <v>0</v>
          </cell>
          <cell r="E157">
            <v>0</v>
          </cell>
          <cell r="F157">
            <v>0</v>
          </cell>
          <cell r="G157">
            <v>0</v>
          </cell>
          <cell r="H157">
            <v>0</v>
          </cell>
          <cell r="I157">
            <v>0</v>
          </cell>
          <cell r="J157">
            <v>0</v>
          </cell>
          <cell r="K157">
            <v>0</v>
          </cell>
          <cell r="L157">
            <v>0</v>
          </cell>
          <cell r="M157">
            <v>0</v>
          </cell>
          <cell r="N157">
            <v>0</v>
          </cell>
          <cell r="O157">
            <v>0</v>
          </cell>
        </row>
        <row r="158">
          <cell r="A158" t="str">
            <v xml:space="preserve">     Legal Governance - PECO</v>
          </cell>
          <cell r="B158" t="str">
            <v xml:space="preserve"> 107000 - Monthly Total Resources</v>
          </cell>
          <cell r="C158">
            <v>0</v>
          </cell>
          <cell r="D158">
            <v>0</v>
          </cell>
          <cell r="E158">
            <v>0</v>
          </cell>
          <cell r="F158">
            <v>0</v>
          </cell>
          <cell r="G158">
            <v>0</v>
          </cell>
          <cell r="H158">
            <v>0</v>
          </cell>
          <cell r="I158">
            <v>0</v>
          </cell>
          <cell r="J158">
            <v>0</v>
          </cell>
          <cell r="K158">
            <v>0</v>
          </cell>
          <cell r="L158">
            <v>0</v>
          </cell>
          <cell r="M158">
            <v>0</v>
          </cell>
          <cell r="N158">
            <v>0</v>
          </cell>
          <cell r="O158">
            <v>0</v>
          </cell>
        </row>
        <row r="159">
          <cell r="A159"/>
          <cell r="B159" t="str">
            <v xml:space="preserve"> 108030 - Monthly Total Resources</v>
          </cell>
          <cell r="C159">
            <v>0</v>
          </cell>
          <cell r="D159">
            <v>0</v>
          </cell>
          <cell r="E159">
            <v>0</v>
          </cell>
          <cell r="F159">
            <v>0</v>
          </cell>
          <cell r="G159">
            <v>0</v>
          </cell>
          <cell r="H159">
            <v>0</v>
          </cell>
          <cell r="I159">
            <v>0</v>
          </cell>
          <cell r="J159">
            <v>0</v>
          </cell>
          <cell r="K159">
            <v>0</v>
          </cell>
          <cell r="L159">
            <v>0</v>
          </cell>
          <cell r="M159">
            <v>0</v>
          </cell>
          <cell r="N159">
            <v>0</v>
          </cell>
          <cell r="O159">
            <v>0</v>
          </cell>
        </row>
        <row r="160">
          <cell r="A160"/>
          <cell r="B160" t="str">
            <v xml:space="preserve"> Total CapEx</v>
          </cell>
          <cell r="C160">
            <v>0</v>
          </cell>
          <cell r="D160">
            <v>0</v>
          </cell>
          <cell r="E160">
            <v>0</v>
          </cell>
          <cell r="F160">
            <v>0</v>
          </cell>
          <cell r="G160">
            <v>0</v>
          </cell>
          <cell r="H160">
            <v>0</v>
          </cell>
          <cell r="I160">
            <v>0</v>
          </cell>
          <cell r="J160">
            <v>0</v>
          </cell>
          <cell r="K160">
            <v>0</v>
          </cell>
          <cell r="L160">
            <v>0</v>
          </cell>
          <cell r="M160">
            <v>0</v>
          </cell>
          <cell r="N160">
            <v>0</v>
          </cell>
          <cell r="O160">
            <v>0</v>
          </cell>
        </row>
        <row r="161">
          <cell r="A161" t="str">
            <v xml:space="preserve">     Executive  Services</v>
          </cell>
          <cell r="B161" t="str">
            <v xml:space="preserve"> 107000 - Monthly Total Resources</v>
          </cell>
          <cell r="C161">
            <v>0</v>
          </cell>
          <cell r="D161">
            <v>0</v>
          </cell>
          <cell r="E161">
            <v>0</v>
          </cell>
          <cell r="F161">
            <v>0</v>
          </cell>
          <cell r="G161">
            <v>0</v>
          </cell>
          <cell r="H161">
            <v>0</v>
          </cell>
          <cell r="I161">
            <v>0</v>
          </cell>
          <cell r="J161">
            <v>0</v>
          </cell>
          <cell r="K161">
            <v>0</v>
          </cell>
          <cell r="L161">
            <v>0</v>
          </cell>
          <cell r="M161">
            <v>0</v>
          </cell>
          <cell r="N161">
            <v>0</v>
          </cell>
          <cell r="O161">
            <v>0</v>
          </cell>
        </row>
        <row r="162">
          <cell r="A162"/>
          <cell r="B162" t="str">
            <v xml:space="preserve"> 108030 - Monthly Total Resources</v>
          </cell>
          <cell r="C162">
            <v>0</v>
          </cell>
          <cell r="D162">
            <v>0</v>
          </cell>
          <cell r="E162">
            <v>0</v>
          </cell>
          <cell r="F162">
            <v>0</v>
          </cell>
          <cell r="G162">
            <v>0</v>
          </cell>
          <cell r="H162">
            <v>0</v>
          </cell>
          <cell r="I162">
            <v>0</v>
          </cell>
          <cell r="J162">
            <v>0</v>
          </cell>
          <cell r="K162">
            <v>0</v>
          </cell>
          <cell r="L162">
            <v>0</v>
          </cell>
          <cell r="M162">
            <v>0</v>
          </cell>
          <cell r="N162">
            <v>0</v>
          </cell>
          <cell r="O162">
            <v>0</v>
          </cell>
        </row>
        <row r="163">
          <cell r="A163"/>
          <cell r="B163" t="str">
            <v xml:space="preserve"> Total CapEx</v>
          </cell>
          <cell r="C163">
            <v>0</v>
          </cell>
          <cell r="D163">
            <v>0</v>
          </cell>
          <cell r="E163">
            <v>0</v>
          </cell>
          <cell r="F163">
            <v>0</v>
          </cell>
          <cell r="G163">
            <v>0</v>
          </cell>
          <cell r="H163">
            <v>0</v>
          </cell>
          <cell r="I163">
            <v>0</v>
          </cell>
          <cell r="J163">
            <v>0</v>
          </cell>
          <cell r="K163">
            <v>0</v>
          </cell>
          <cell r="L163">
            <v>0</v>
          </cell>
          <cell r="M163">
            <v>0</v>
          </cell>
          <cell r="N163">
            <v>0</v>
          </cell>
          <cell r="O163">
            <v>0</v>
          </cell>
        </row>
        <row r="164">
          <cell r="A164" t="str">
            <v xml:space="preserve">     HR &amp; Fin Services</v>
          </cell>
          <cell r="B164" t="str">
            <v xml:space="preserve"> 107000 - Monthly Total Resources</v>
          </cell>
          <cell r="C164">
            <v>0</v>
          </cell>
          <cell r="D164">
            <v>0</v>
          </cell>
          <cell r="E164">
            <v>0</v>
          </cell>
          <cell r="F164">
            <v>0</v>
          </cell>
          <cell r="G164">
            <v>0</v>
          </cell>
          <cell r="H164">
            <v>0</v>
          </cell>
          <cell r="I164">
            <v>0</v>
          </cell>
          <cell r="J164">
            <v>0</v>
          </cell>
          <cell r="K164">
            <v>0</v>
          </cell>
          <cell r="L164">
            <v>0</v>
          </cell>
          <cell r="M164">
            <v>0</v>
          </cell>
          <cell r="N164">
            <v>0</v>
          </cell>
          <cell r="O164">
            <v>0</v>
          </cell>
        </row>
        <row r="165">
          <cell r="A165"/>
          <cell r="B165" t="str">
            <v xml:space="preserve"> 108030 - Monthly Total Resources</v>
          </cell>
          <cell r="C165">
            <v>0</v>
          </cell>
          <cell r="D165">
            <v>0</v>
          </cell>
          <cell r="E165">
            <v>0</v>
          </cell>
          <cell r="F165">
            <v>0</v>
          </cell>
          <cell r="G165">
            <v>0</v>
          </cell>
          <cell r="H165">
            <v>0</v>
          </cell>
          <cell r="I165">
            <v>0</v>
          </cell>
          <cell r="J165">
            <v>0</v>
          </cell>
          <cell r="K165">
            <v>0</v>
          </cell>
          <cell r="L165">
            <v>0</v>
          </cell>
          <cell r="M165">
            <v>0</v>
          </cell>
          <cell r="N165">
            <v>0</v>
          </cell>
          <cell r="O165">
            <v>0</v>
          </cell>
        </row>
        <row r="166">
          <cell r="A166"/>
          <cell r="B166" t="str">
            <v xml:space="preserve"> Total CapEx</v>
          </cell>
          <cell r="C166">
            <v>0</v>
          </cell>
          <cell r="D166">
            <v>0</v>
          </cell>
          <cell r="E166">
            <v>0</v>
          </cell>
          <cell r="F166">
            <v>0</v>
          </cell>
          <cell r="G166">
            <v>0</v>
          </cell>
          <cell r="H166">
            <v>0</v>
          </cell>
          <cell r="I166">
            <v>0</v>
          </cell>
          <cell r="J166">
            <v>0</v>
          </cell>
          <cell r="K166">
            <v>0</v>
          </cell>
          <cell r="L166">
            <v>0</v>
          </cell>
          <cell r="M166">
            <v>0</v>
          </cell>
          <cell r="N166">
            <v>0</v>
          </cell>
          <cell r="O166">
            <v>0</v>
          </cell>
        </row>
        <row r="167">
          <cell r="A167" t="str">
            <v xml:space="preserve">     Security - PECO</v>
          </cell>
          <cell r="B167" t="str">
            <v xml:space="preserve"> 107000 - Monthly Total Resources</v>
          </cell>
          <cell r="C167">
            <v>0</v>
          </cell>
          <cell r="D167">
            <v>0</v>
          </cell>
          <cell r="E167">
            <v>0</v>
          </cell>
          <cell r="F167">
            <v>0</v>
          </cell>
          <cell r="G167">
            <v>0</v>
          </cell>
          <cell r="H167">
            <v>0</v>
          </cell>
          <cell r="I167">
            <v>0</v>
          </cell>
          <cell r="J167">
            <v>0</v>
          </cell>
          <cell r="K167">
            <v>0</v>
          </cell>
          <cell r="L167">
            <v>0</v>
          </cell>
          <cell r="M167">
            <v>0</v>
          </cell>
          <cell r="N167">
            <v>0</v>
          </cell>
          <cell r="O167">
            <v>0</v>
          </cell>
        </row>
        <row r="168">
          <cell r="A168"/>
          <cell r="B168" t="str">
            <v xml:space="preserve"> 108030 - Monthly Total Resources</v>
          </cell>
          <cell r="C168">
            <v>0</v>
          </cell>
          <cell r="D168">
            <v>0</v>
          </cell>
          <cell r="E168">
            <v>0</v>
          </cell>
          <cell r="F168">
            <v>0</v>
          </cell>
          <cell r="G168">
            <v>0</v>
          </cell>
          <cell r="H168">
            <v>0</v>
          </cell>
          <cell r="I168">
            <v>0</v>
          </cell>
          <cell r="J168">
            <v>0</v>
          </cell>
          <cell r="K168">
            <v>0</v>
          </cell>
          <cell r="L168">
            <v>0</v>
          </cell>
          <cell r="M168">
            <v>0</v>
          </cell>
          <cell r="N168">
            <v>0</v>
          </cell>
          <cell r="O168">
            <v>0</v>
          </cell>
        </row>
        <row r="169">
          <cell r="A169"/>
          <cell r="B169" t="str">
            <v xml:space="preserve"> Total CapEx</v>
          </cell>
          <cell r="C169">
            <v>0</v>
          </cell>
          <cell r="D169">
            <v>0</v>
          </cell>
          <cell r="E169">
            <v>0</v>
          </cell>
          <cell r="F169">
            <v>0</v>
          </cell>
          <cell r="G169">
            <v>0</v>
          </cell>
          <cell r="H169">
            <v>0</v>
          </cell>
          <cell r="I169">
            <v>0</v>
          </cell>
          <cell r="J169">
            <v>0</v>
          </cell>
          <cell r="K169">
            <v>0</v>
          </cell>
          <cell r="L169">
            <v>0</v>
          </cell>
          <cell r="M169">
            <v>0</v>
          </cell>
          <cell r="N169">
            <v>0</v>
          </cell>
          <cell r="O169">
            <v>0</v>
          </cell>
        </row>
        <row r="170">
          <cell r="A170" t="str">
            <v xml:space="preserve">     Legal Services - PECO</v>
          </cell>
          <cell r="B170" t="str">
            <v xml:space="preserve"> 107000 - Monthly Total Resources</v>
          </cell>
          <cell r="C170">
            <v>0</v>
          </cell>
          <cell r="D170">
            <v>0</v>
          </cell>
          <cell r="E170">
            <v>0</v>
          </cell>
          <cell r="F170">
            <v>0</v>
          </cell>
          <cell r="G170">
            <v>0</v>
          </cell>
          <cell r="H170">
            <v>0</v>
          </cell>
          <cell r="I170">
            <v>0</v>
          </cell>
          <cell r="J170">
            <v>0</v>
          </cell>
          <cell r="K170">
            <v>0</v>
          </cell>
          <cell r="L170">
            <v>0</v>
          </cell>
          <cell r="M170">
            <v>0</v>
          </cell>
          <cell r="N170">
            <v>0</v>
          </cell>
          <cell r="O170">
            <v>0</v>
          </cell>
        </row>
        <row r="171">
          <cell r="A171"/>
          <cell r="B171" t="str">
            <v xml:space="preserve"> 108030 - Monthly Total Resources</v>
          </cell>
          <cell r="C171">
            <v>0</v>
          </cell>
          <cell r="D171">
            <v>0</v>
          </cell>
          <cell r="E171">
            <v>0</v>
          </cell>
          <cell r="F171">
            <v>0</v>
          </cell>
          <cell r="G171">
            <v>0</v>
          </cell>
          <cell r="H171">
            <v>0</v>
          </cell>
          <cell r="I171">
            <v>0</v>
          </cell>
          <cell r="J171">
            <v>0</v>
          </cell>
          <cell r="K171">
            <v>0</v>
          </cell>
          <cell r="L171">
            <v>0</v>
          </cell>
          <cell r="M171">
            <v>0</v>
          </cell>
          <cell r="N171">
            <v>0</v>
          </cell>
          <cell r="O171">
            <v>0</v>
          </cell>
        </row>
        <row r="172">
          <cell r="A172"/>
          <cell r="B172" t="str">
            <v xml:space="preserve"> Total CapEx</v>
          </cell>
          <cell r="C172">
            <v>0</v>
          </cell>
          <cell r="D172">
            <v>0</v>
          </cell>
          <cell r="E172">
            <v>0</v>
          </cell>
          <cell r="F172">
            <v>0</v>
          </cell>
          <cell r="G172">
            <v>0</v>
          </cell>
          <cell r="H172">
            <v>0</v>
          </cell>
          <cell r="I172">
            <v>0</v>
          </cell>
          <cell r="J172">
            <v>0</v>
          </cell>
          <cell r="K172">
            <v>0</v>
          </cell>
          <cell r="L172">
            <v>0</v>
          </cell>
          <cell r="M172">
            <v>0</v>
          </cell>
          <cell r="N172">
            <v>0</v>
          </cell>
          <cell r="O172">
            <v>0</v>
          </cell>
        </row>
        <row r="173">
          <cell r="A173" t="str">
            <v xml:space="preserve">     I T</v>
          </cell>
          <cell r="B173" t="str">
            <v xml:space="preserve"> 107000 - Monthly Total Resources</v>
          </cell>
          <cell r="C173">
            <v>735501.47</v>
          </cell>
          <cell r="D173">
            <v>734701.47</v>
          </cell>
          <cell r="E173">
            <v>1320844.47</v>
          </cell>
          <cell r="F173">
            <v>1278644.47</v>
          </cell>
          <cell r="G173">
            <v>1278644.47</v>
          </cell>
          <cell r="H173">
            <v>1278644.47</v>
          </cell>
          <cell r="I173">
            <v>1532139.47</v>
          </cell>
          <cell r="J173">
            <v>1532139.47</v>
          </cell>
          <cell r="K173">
            <v>1532139.47</v>
          </cell>
          <cell r="L173">
            <v>1682139.5</v>
          </cell>
          <cell r="M173">
            <v>1532139.47</v>
          </cell>
          <cell r="N173">
            <v>1532139.8</v>
          </cell>
          <cell r="O173">
            <v>15969818</v>
          </cell>
        </row>
        <row r="174">
          <cell r="A174"/>
          <cell r="B174" t="str">
            <v xml:space="preserve"> 108030 - Monthly Total Resources</v>
          </cell>
          <cell r="C174">
            <v>0</v>
          </cell>
          <cell r="D174">
            <v>0</v>
          </cell>
          <cell r="E174">
            <v>0</v>
          </cell>
          <cell r="F174">
            <v>0</v>
          </cell>
          <cell r="G174">
            <v>0</v>
          </cell>
          <cell r="H174">
            <v>0</v>
          </cell>
          <cell r="I174">
            <v>0</v>
          </cell>
          <cell r="J174">
            <v>0</v>
          </cell>
          <cell r="K174">
            <v>0</v>
          </cell>
          <cell r="L174">
            <v>0</v>
          </cell>
          <cell r="M174">
            <v>0</v>
          </cell>
          <cell r="N174">
            <v>0</v>
          </cell>
          <cell r="O174">
            <v>0</v>
          </cell>
        </row>
        <row r="175">
          <cell r="A175"/>
          <cell r="B175" t="str">
            <v xml:space="preserve"> Total CapEx</v>
          </cell>
          <cell r="C175">
            <v>735501.47</v>
          </cell>
          <cell r="D175">
            <v>734701.47</v>
          </cell>
          <cell r="E175">
            <v>1320844.47</v>
          </cell>
          <cell r="F175">
            <v>1278644.47</v>
          </cell>
          <cell r="G175">
            <v>1278644.47</v>
          </cell>
          <cell r="H175">
            <v>1278644.47</v>
          </cell>
          <cell r="I175">
            <v>1532139.47</v>
          </cell>
          <cell r="J175">
            <v>1532139.47</v>
          </cell>
          <cell r="K175">
            <v>1532139.47</v>
          </cell>
          <cell r="L175">
            <v>1682139.5</v>
          </cell>
          <cell r="M175">
            <v>1532139.47</v>
          </cell>
          <cell r="N175">
            <v>1532139.8</v>
          </cell>
          <cell r="O175">
            <v>15969818</v>
          </cell>
        </row>
        <row r="176">
          <cell r="A176" t="str">
            <v xml:space="preserve">     Supply Services - PECO</v>
          </cell>
          <cell r="B176" t="str">
            <v xml:space="preserve"> 107000 - Monthly Total Resources</v>
          </cell>
          <cell r="C176">
            <v>48857.24</v>
          </cell>
          <cell r="D176">
            <v>105508.16</v>
          </cell>
          <cell r="E176">
            <v>93387.19</v>
          </cell>
          <cell r="F176">
            <v>89120.38</v>
          </cell>
          <cell r="G176">
            <v>40341.629999999997</v>
          </cell>
          <cell r="H176">
            <v>57916.68</v>
          </cell>
          <cell r="I176">
            <v>58530.25</v>
          </cell>
          <cell r="J176">
            <v>53538.11</v>
          </cell>
          <cell r="K176">
            <v>50522.58</v>
          </cell>
          <cell r="L176">
            <v>54671.199999999997</v>
          </cell>
          <cell r="M176">
            <v>50330.32</v>
          </cell>
          <cell r="N176">
            <v>45941.84</v>
          </cell>
          <cell r="O176">
            <v>748665.58</v>
          </cell>
        </row>
        <row r="177">
          <cell r="A177"/>
          <cell r="B177" t="str">
            <v xml:space="preserve"> 108030 - Monthly Total Resources</v>
          </cell>
          <cell r="C177">
            <v>0</v>
          </cell>
          <cell r="D177">
            <v>0</v>
          </cell>
          <cell r="E177">
            <v>0</v>
          </cell>
          <cell r="F177">
            <v>0</v>
          </cell>
          <cell r="G177">
            <v>0</v>
          </cell>
          <cell r="H177">
            <v>0</v>
          </cell>
          <cell r="I177">
            <v>0</v>
          </cell>
          <cell r="J177">
            <v>0</v>
          </cell>
          <cell r="K177">
            <v>0</v>
          </cell>
          <cell r="L177">
            <v>0</v>
          </cell>
          <cell r="M177">
            <v>0</v>
          </cell>
          <cell r="N177">
            <v>0</v>
          </cell>
          <cell r="O177">
            <v>0</v>
          </cell>
        </row>
        <row r="178">
          <cell r="A178"/>
          <cell r="B178" t="str">
            <v xml:space="preserve"> Total CapEx</v>
          </cell>
          <cell r="C178">
            <v>48857.24</v>
          </cell>
          <cell r="D178">
            <v>105508.16</v>
          </cell>
          <cell r="E178">
            <v>93387.19</v>
          </cell>
          <cell r="F178">
            <v>89120.38</v>
          </cell>
          <cell r="G178">
            <v>40341.629999999997</v>
          </cell>
          <cell r="H178">
            <v>57916.68</v>
          </cell>
          <cell r="I178">
            <v>58530.25</v>
          </cell>
          <cell r="J178">
            <v>53538.11</v>
          </cell>
          <cell r="K178">
            <v>50522.58</v>
          </cell>
          <cell r="L178">
            <v>54671.199999999997</v>
          </cell>
          <cell r="M178">
            <v>50330.32</v>
          </cell>
          <cell r="N178">
            <v>45941.84</v>
          </cell>
          <cell r="O178">
            <v>748665.58</v>
          </cell>
        </row>
        <row r="179">
          <cell r="A179" t="str">
            <v xml:space="preserve">     Gov Env &amp; Pub Affairs PED</v>
          </cell>
          <cell r="B179" t="str">
            <v xml:space="preserve"> 107000 - Monthly Total Resources</v>
          </cell>
          <cell r="C179">
            <v>0</v>
          </cell>
          <cell r="D179">
            <v>0</v>
          </cell>
          <cell r="E179">
            <v>0</v>
          </cell>
          <cell r="F179">
            <v>0</v>
          </cell>
          <cell r="G179">
            <v>0</v>
          </cell>
          <cell r="H179">
            <v>0</v>
          </cell>
          <cell r="I179">
            <v>0</v>
          </cell>
          <cell r="J179">
            <v>0</v>
          </cell>
          <cell r="K179">
            <v>0</v>
          </cell>
          <cell r="L179">
            <v>0</v>
          </cell>
          <cell r="M179">
            <v>0</v>
          </cell>
          <cell r="N179">
            <v>0</v>
          </cell>
          <cell r="O179">
            <v>0</v>
          </cell>
        </row>
        <row r="180">
          <cell r="A180"/>
          <cell r="B180" t="str">
            <v xml:space="preserve"> 108030 - Monthly Total Resources</v>
          </cell>
          <cell r="C180">
            <v>0</v>
          </cell>
          <cell r="D180">
            <v>0</v>
          </cell>
          <cell r="E180">
            <v>0</v>
          </cell>
          <cell r="F180">
            <v>0</v>
          </cell>
          <cell r="G180">
            <v>0</v>
          </cell>
          <cell r="H180">
            <v>0</v>
          </cell>
          <cell r="I180">
            <v>0</v>
          </cell>
          <cell r="J180">
            <v>0</v>
          </cell>
          <cell r="K180">
            <v>0</v>
          </cell>
          <cell r="L180">
            <v>0</v>
          </cell>
          <cell r="M180">
            <v>0</v>
          </cell>
          <cell r="N180">
            <v>0</v>
          </cell>
          <cell r="O180">
            <v>0</v>
          </cell>
        </row>
        <row r="181">
          <cell r="A181"/>
          <cell r="B181" t="str">
            <v xml:space="preserve"> Total CapEx</v>
          </cell>
          <cell r="C181">
            <v>0</v>
          </cell>
          <cell r="D181">
            <v>0</v>
          </cell>
          <cell r="E181">
            <v>0</v>
          </cell>
          <cell r="F181">
            <v>0</v>
          </cell>
          <cell r="G181">
            <v>0</v>
          </cell>
          <cell r="H181">
            <v>0</v>
          </cell>
          <cell r="I181">
            <v>0</v>
          </cell>
          <cell r="J181">
            <v>0</v>
          </cell>
          <cell r="K181">
            <v>0</v>
          </cell>
          <cell r="L181">
            <v>0</v>
          </cell>
          <cell r="M181">
            <v>0</v>
          </cell>
          <cell r="N181">
            <v>0</v>
          </cell>
          <cell r="O181">
            <v>0</v>
          </cell>
        </row>
        <row r="182">
          <cell r="A182" t="str">
            <v xml:space="preserve">   BSC/Corp Center/Other-PECO</v>
          </cell>
          <cell r="B182" t="str">
            <v xml:space="preserve"> 107000 - Monthly Total Resources</v>
          </cell>
          <cell r="C182">
            <v>909590.32</v>
          </cell>
          <cell r="D182">
            <v>960199.84</v>
          </cell>
          <cell r="E182">
            <v>1554179.65</v>
          </cell>
          <cell r="F182">
            <v>1496862.19</v>
          </cell>
          <cell r="G182">
            <v>1455784.91</v>
          </cell>
          <cell r="H182">
            <v>1473359.96</v>
          </cell>
          <cell r="I182">
            <v>1721938.26</v>
          </cell>
          <cell r="J182">
            <v>1728003.55</v>
          </cell>
          <cell r="K182">
            <v>1719460.94</v>
          </cell>
          <cell r="L182">
            <v>1868699.69</v>
          </cell>
          <cell r="M182">
            <v>1719918.83</v>
          </cell>
          <cell r="N182">
            <v>1714880.53</v>
          </cell>
          <cell r="O182">
            <v>18322878.670000013</v>
          </cell>
        </row>
        <row r="183">
          <cell r="A183"/>
          <cell r="B183" t="str">
            <v xml:space="preserve"> 108030 - Monthly Total Resources</v>
          </cell>
          <cell r="C183">
            <v>0</v>
          </cell>
          <cell r="D183">
            <v>0</v>
          </cell>
          <cell r="E183">
            <v>0</v>
          </cell>
          <cell r="F183">
            <v>0</v>
          </cell>
          <cell r="G183">
            <v>0</v>
          </cell>
          <cell r="H183">
            <v>0</v>
          </cell>
          <cell r="I183">
            <v>0</v>
          </cell>
          <cell r="J183">
            <v>0</v>
          </cell>
          <cell r="K183">
            <v>0</v>
          </cell>
          <cell r="L183">
            <v>0</v>
          </cell>
          <cell r="M183">
            <v>0</v>
          </cell>
          <cell r="N183">
            <v>0</v>
          </cell>
          <cell r="O183">
            <v>0</v>
          </cell>
        </row>
        <row r="184">
          <cell r="A184"/>
          <cell r="B184" t="str">
            <v xml:space="preserve"> Total CapEx</v>
          </cell>
          <cell r="C184">
            <v>909590.32</v>
          </cell>
          <cell r="D184">
            <v>960199.84</v>
          </cell>
          <cell r="E184">
            <v>1554179.65</v>
          </cell>
          <cell r="F184">
            <v>1496862.19</v>
          </cell>
          <cell r="G184">
            <v>1455784.91</v>
          </cell>
          <cell r="H184">
            <v>1473359.96</v>
          </cell>
          <cell r="I184">
            <v>1721938.26</v>
          </cell>
          <cell r="J184">
            <v>1728003.55</v>
          </cell>
          <cell r="K184">
            <v>1719460.94</v>
          </cell>
          <cell r="L184">
            <v>1868699.69</v>
          </cell>
          <cell r="M184">
            <v>1719918.83</v>
          </cell>
          <cell r="N184">
            <v>1714880.53</v>
          </cell>
          <cell r="O184">
            <v>18322878.670000013</v>
          </cell>
        </row>
        <row r="185">
          <cell r="A185" t="str">
            <v xml:space="preserve"> PECO Energy Distribution Co</v>
          </cell>
          <cell r="B185" t="str">
            <v xml:space="preserve"> 107000 - Monthly Total Resources</v>
          </cell>
          <cell r="C185">
            <v>21039142.490000006</v>
          </cell>
          <cell r="D185">
            <v>25704205.969999999</v>
          </cell>
          <cell r="E185">
            <v>25566524.470000003</v>
          </cell>
          <cell r="F185">
            <v>26179077.120000005</v>
          </cell>
          <cell r="G185">
            <v>26468295.030000001</v>
          </cell>
          <cell r="H185">
            <v>23285992.480000008</v>
          </cell>
          <cell r="I185">
            <v>22178242.339999996</v>
          </cell>
          <cell r="J185">
            <v>25330169.470000006</v>
          </cell>
          <cell r="K185">
            <v>21999021.519999996</v>
          </cell>
          <cell r="L185">
            <v>25337493.91</v>
          </cell>
          <cell r="M185">
            <v>20928521.32</v>
          </cell>
          <cell r="N185">
            <v>16612045.909999995</v>
          </cell>
          <cell r="O185">
            <v>280628732.02999997</v>
          </cell>
        </row>
        <row r="186">
          <cell r="A186"/>
          <cell r="B186" t="str">
            <v xml:space="preserve"> 108030 - Monthly Total Resources</v>
          </cell>
          <cell r="C186">
            <v>14084.2</v>
          </cell>
          <cell r="D186">
            <v>5742</v>
          </cell>
          <cell r="E186">
            <v>9208.9</v>
          </cell>
          <cell r="F186">
            <v>11917.4</v>
          </cell>
          <cell r="G186">
            <v>24918.2</v>
          </cell>
          <cell r="H186">
            <v>21126.3</v>
          </cell>
          <cell r="I186">
            <v>29793.5</v>
          </cell>
          <cell r="J186">
            <v>29793.5</v>
          </cell>
          <cell r="K186">
            <v>27085</v>
          </cell>
          <cell r="L186">
            <v>5417</v>
          </cell>
          <cell r="M186">
            <v>7042.1</v>
          </cell>
          <cell r="N186">
            <v>2166.8000000000002</v>
          </cell>
          <cell r="O186">
            <v>188294.9</v>
          </cell>
        </row>
        <row r="187">
          <cell r="A187"/>
          <cell r="B187" t="str">
            <v xml:space="preserve"> Total CapEx</v>
          </cell>
          <cell r="C187">
            <v>21053226.690000005</v>
          </cell>
          <cell r="D187">
            <v>25709947.969999999</v>
          </cell>
          <cell r="E187">
            <v>25575733.370000001</v>
          </cell>
          <cell r="F187">
            <v>26190994.520000003</v>
          </cell>
          <cell r="G187">
            <v>26493213.23</v>
          </cell>
          <cell r="H187">
            <v>23307118.780000009</v>
          </cell>
          <cell r="I187">
            <v>22208035.839999996</v>
          </cell>
          <cell r="J187">
            <v>25359962.970000006</v>
          </cell>
          <cell r="K187">
            <v>22026106.519999996</v>
          </cell>
          <cell r="L187">
            <v>25342910.91</v>
          </cell>
          <cell r="M187">
            <v>20935563.420000002</v>
          </cell>
          <cell r="N187">
            <v>16614212.709999995</v>
          </cell>
          <cell r="O187">
            <v>280817026.92999995</v>
          </cell>
        </row>
        <row r="190">
          <cell r="B190" t="str">
            <v>PECO Customer Excluding Fleet</v>
          </cell>
          <cell r="C190">
            <v>106942.38</v>
          </cell>
          <cell r="D190">
            <v>145093.64000000001</v>
          </cell>
          <cell r="E190">
            <v>150181.85999999999</v>
          </cell>
          <cell r="F190">
            <v>141829.83000000002</v>
          </cell>
          <cell r="G190">
            <v>142191.01999999999</v>
          </cell>
          <cell r="H190">
            <v>136165.43000000005</v>
          </cell>
          <cell r="I190">
            <v>125381.63</v>
          </cell>
          <cell r="J190">
            <v>145996.07000000007</v>
          </cell>
          <cell r="K190">
            <v>135355.28</v>
          </cell>
          <cell r="L190">
            <v>135671.46</v>
          </cell>
          <cell r="M190">
            <v>142898.78</v>
          </cell>
          <cell r="N190">
            <v>121686.03</v>
          </cell>
          <cell r="O190">
            <v>1629393.4100000001</v>
          </cell>
        </row>
        <row r="191">
          <cell r="B191" t="str">
            <v>YTDPECO Customer Excluding Fleet</v>
          </cell>
          <cell r="C191">
            <v>106942.38</v>
          </cell>
          <cell r="D191">
            <v>252036.02000000002</v>
          </cell>
          <cell r="E191">
            <v>402217.88</v>
          </cell>
          <cell r="F191">
            <v>544047.71</v>
          </cell>
          <cell r="G191">
            <v>686238.73</v>
          </cell>
          <cell r="H191">
            <v>822404.16</v>
          </cell>
          <cell r="I191">
            <v>947785.79</v>
          </cell>
          <cell r="J191">
            <v>1093781.8600000001</v>
          </cell>
          <cell r="K191">
            <v>1229137.1400000001</v>
          </cell>
          <cell r="L191">
            <v>1364808.6</v>
          </cell>
          <cell r="M191">
            <v>1507707.3800000001</v>
          </cell>
          <cell r="N191">
            <v>1629393.4100000001</v>
          </cell>
          <cell r="O191">
            <v>3258786.8200000003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JA-2 Electric"/>
      <sheetName val="MJA-2 Gas"/>
      <sheetName val="RL - ELEC"/>
      <sheetName val="RL - GAS"/>
      <sheetName val="PENSBEN"/>
      <sheetName val="PROLL"/>
      <sheetName val="FED WH"/>
      <sheetName val="STATE WH"/>
      <sheetName val="FICA"/>
      <sheetName val="PPW-1"/>
      <sheetName val="FUEL - N"/>
      <sheetName val="FUEL - C"/>
      <sheetName val="FUEL - O"/>
      <sheetName val="FUEL - G"/>
      <sheetName val="ISPP"/>
      <sheetName val="OTHER OM"/>
      <sheetName val="TAX - E"/>
      <sheetName val="TAX - G"/>
      <sheetName val="INT - REV"/>
      <sheetName val="FL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5">
          <cell r="B5">
            <v>5.3414021552027879</v>
          </cell>
        </row>
      </sheetData>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template"/>
      <sheetName val="Administrator"/>
      <sheetName val="RNF Mini"/>
      <sheetName val="Data"/>
      <sheetName val="6 (3)"/>
      <sheetName val="6 (4)"/>
      <sheetName val="6 (5)"/>
      <sheetName val="Bridge Plan to Actual"/>
      <sheetName val="2005F vs. 2004A"/>
      <sheetName val="EFC 2004 Actual"/>
      <sheetName val="Accuracy Tracker"/>
      <sheetName val="Elec_Accuracy Tracker"/>
      <sheetName val="Gas_Accuracy Tracker"/>
      <sheetName val="ElecCustomers"/>
      <sheetName val="ElecSales"/>
      <sheetName val="ElecRevenue"/>
      <sheetName val="ElecRates"/>
      <sheetName val="ElecPPA Volume"/>
      <sheetName val="ElecPPA Expense"/>
      <sheetName val="ElecTrans Other"/>
      <sheetName val="GasRevenue"/>
      <sheetName val="GasSales"/>
      <sheetName val="GasRates"/>
      <sheetName val="GasCustomers"/>
      <sheetName val="Gas &quot;Current LE&quot;"/>
      <sheetName val="Gas Net Actuals 05"/>
      <sheetName val="Weather Impact on Ele 04"/>
      <sheetName val="Weather Impact on Gas 04"/>
      <sheetName val="Weather Impact on Ele 05"/>
      <sheetName val="Weather Impact on Gas 05"/>
      <sheetName val="Electric &quot;Current LE&quot;"/>
      <sheetName val="2005 Budget RNF"/>
      <sheetName val="2005 Net Actuals"/>
      <sheetName val="Gas Net Budget 05"/>
      <sheetName val="Gas Net Actuals 04"/>
      <sheetName val="Electric Output - Input"/>
      <sheetName val="Electric Customer Trend"/>
      <sheetName val="2005 Budget PPA"/>
      <sheetName val="T+5"/>
      <sheetName val="Actual PPA Blocks"/>
      <sheetName val="WA PPA Blocks"/>
      <sheetName val="Actual Zone Blocks"/>
      <sheetName val="WA Zone Blocks"/>
      <sheetName val="Data_LE"/>
      <sheetName val="Gas 2004"/>
      <sheetName val="2004 Net Actuals"/>
      <sheetName val="Power Purch Actual"/>
      <sheetName val="EFC Actuals Calc"/>
      <sheetName val="1-11 LE"/>
      <sheetName val="WC Retail Sendout"/>
      <sheetName val="2005 Act"/>
      <sheetName val="Gas Net Budget 04"/>
      <sheetName val="PJM Bill"/>
      <sheetName val="HDD-CDH"/>
      <sheetName val="Gas Sendout"/>
      <sheetName val="2005 gas thru-put Budget"/>
      <sheetName val="Gas Customer"/>
      <sheetName val="Electric Customers - Input"/>
      <sheetName val="Gas cust budget &amp; '04"/>
      <sheetName val="EFC 2005 Budget"/>
    </sheetNames>
    <sheetDataSet>
      <sheetData sheetId="0" refreshError="1"/>
      <sheetData sheetId="1" refreshError="1"/>
      <sheetData sheetId="2" refreshError="1">
        <row r="60">
          <cell r="I60">
            <v>4</v>
          </cell>
          <cell r="J60">
            <v>19</v>
          </cell>
          <cell r="L60">
            <v>34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Print"/>
      <sheetName val="A - 1"/>
      <sheetName val="A - 2"/>
      <sheetName val="A - 2.1"/>
      <sheetName val="A - 3"/>
      <sheetName val="A - 4"/>
      <sheetName val="A - 5a"/>
      <sheetName val="A - 5b"/>
      <sheetName val="WPA - 5a"/>
      <sheetName val="WPA - 5b"/>
      <sheetName val="B - 1"/>
      <sheetName val="WPB - 1"/>
      <sheetName val="WPB - 2.1b"/>
      <sheetName val="WPB - 2.1c"/>
      <sheetName val="WPB - 2.1d"/>
      <sheetName val="WPB - 2.1e"/>
      <sheetName val="B - 2"/>
      <sheetName val="B - 2.1"/>
      <sheetName val="B - 2.2"/>
      <sheetName val="WPB - 2.2a"/>
      <sheetName val="B - 2.3"/>
      <sheetName val="B - 3"/>
      <sheetName val="WPB - 4"/>
      <sheetName val="B - 4"/>
      <sheetName val="B - 5"/>
      <sheetName val="WPB - 5"/>
      <sheetName val="B - 6a"/>
      <sheetName val="B - 6b"/>
      <sheetName val="B - 7.2a"/>
      <sheetName val="B - 7.2b"/>
      <sheetName val="B - 8"/>
      <sheetName val="B - 8.1"/>
      <sheetName val="WPB - 8.1a"/>
      <sheetName val="WPB - 8.1b"/>
      <sheetName val="2001 2002 - B - 8.1"/>
      <sheetName val="2001 2002 - WPB-8.1asub"/>
      <sheetName val="2001 2002 - WPB - 8.1a"/>
      <sheetName val="2001 2002 - WPB - 8.1b"/>
      <sheetName val="2001 2002 - WPB - 8.1c"/>
      <sheetName val="B-9sub"/>
      <sheetName val="B - 9"/>
      <sheetName val="WPB - 9a"/>
      <sheetName val="WPB - 9b"/>
      <sheetName val="B - 9.1"/>
      <sheetName val="B - 13"/>
      <sheetName val="WPB - 13a"/>
      <sheetName val="WPB - 13b"/>
      <sheetName val="WPB - 13c"/>
      <sheetName val="2003 - B - 13"/>
      <sheetName val="2003 - WPB - 13"/>
      <sheetName val="B - 14"/>
      <sheetName val="WPB - 14"/>
      <sheetName val="C - 1"/>
      <sheetName val="C - 2"/>
      <sheetName val="C - 2.1"/>
      <sheetName val="WPC - 2.1"/>
      <sheetName val="C - 2.2"/>
      <sheetName val="C - 2.6 NOT USED"/>
      <sheetName val="WPC - 2.6a NOT USED"/>
      <sheetName val="C - 2.3"/>
      <sheetName val="WPC - 2.3a"/>
      <sheetName val="WPC - 2.3b"/>
      <sheetName val="C - 2.4"/>
      <sheetName val="WPC - 2.4"/>
      <sheetName val="C - 2.5"/>
      <sheetName val="WPC - 2.5a"/>
      <sheetName val="WPC - 2.5b"/>
      <sheetName val="C - 2.6"/>
      <sheetName val="WPC - 2.6"/>
      <sheetName val="C - 2.7"/>
      <sheetName val="WPC - 2.7"/>
      <sheetName val="C - 2.8"/>
      <sheetName val="WPC - 2.8"/>
      <sheetName val="C - 2.9"/>
      <sheetName val="C - 2.10"/>
      <sheetName val="C - 2.11"/>
      <sheetName val="WPC - 2.11"/>
      <sheetName val="C - 2.12"/>
      <sheetName val="C - 2.13"/>
      <sheetName val="WPC - 2.13"/>
      <sheetName val="C - 2.14"/>
      <sheetName val="WPC - 2.14a"/>
      <sheetName val="WPC - 2.14b"/>
      <sheetName val="C - 2.15"/>
      <sheetName val="WPC - 2.14"/>
      <sheetName val="C - 2.16"/>
      <sheetName val="WPC - 2.16a"/>
      <sheetName val="WPC - 2.16b"/>
      <sheetName val="C - 2.17"/>
      <sheetName val="C - 3"/>
      <sheetName val="C - 4"/>
      <sheetName val="WPC - 4"/>
      <sheetName val="WPC-4"/>
      <sheetName val="WPC - 4dup"/>
      <sheetName val="C - 5"/>
      <sheetName val="C - 5b"/>
      <sheetName val="C - 5.1"/>
      <sheetName val="C - 5.2"/>
      <sheetName val="C - 5.3"/>
      <sheetName val="C - 5.4"/>
      <sheetName val="WPC - 5.4"/>
      <sheetName val="C - 6"/>
      <sheetName val="C - 6.1"/>
      <sheetName val="C - 6.2"/>
      <sheetName val="C - 7"/>
      <sheetName val="C - 8"/>
      <sheetName val="WPC - 8"/>
      <sheetName val="C - 9"/>
      <sheetName val="C - 10"/>
      <sheetName val="WPC - 10"/>
      <sheetName val="C - 10.1"/>
      <sheetName val="C - 11.1"/>
      <sheetName val="WPC - 11.1"/>
      <sheetName val="C - 11.2 - 2001 - Actual"/>
      <sheetName val="C - 11.2 - 2002 - Actual"/>
      <sheetName val="C - 11.2a"/>
      <sheetName val="WPC - 11.2a"/>
      <sheetName val="C - 11.2b"/>
      <sheetName val="C - 11.2c"/>
      <sheetName val="C - 11.2d"/>
      <sheetName val="C - 11.2 - 2001 - Authorized"/>
      <sheetName val="C - 11.2 - 2002 - Authorized"/>
      <sheetName val="C - 11.2e"/>
      <sheetName val="C - 11.2f"/>
      <sheetName val="C - 11.2g"/>
      <sheetName val="C - 11.2h"/>
      <sheetName val="C - 11.3"/>
      <sheetName val="WPC - 11.3"/>
      <sheetName val="WPC - 11.3a"/>
      <sheetName val="WPC - 11.3b"/>
      <sheetName val="C - 12"/>
      <sheetName val="WPC - 12a"/>
      <sheetName val="WPC - 12b"/>
      <sheetName val="C - 13"/>
      <sheetName val="C - 13a"/>
      <sheetName val="C - 14"/>
      <sheetName val="WPC - 14"/>
      <sheetName val="C - 16"/>
      <sheetName val="C - 17a"/>
      <sheetName val="C - 17b"/>
      <sheetName val="C - 17c"/>
      <sheetName val="C - 17d"/>
      <sheetName val="C - 17c - 2002"/>
      <sheetName val="C - 17d - 2001"/>
      <sheetName val="C - 18"/>
      <sheetName val="WPC - 18a"/>
      <sheetName val="WPC - 18b"/>
      <sheetName val="WPC - 18c"/>
      <sheetName val="C - 19"/>
      <sheetName val="C - 21"/>
      <sheetName val="C - 23"/>
      <sheetName val="WPC - 23"/>
      <sheetName val="C - 25"/>
      <sheetName val="C - 26"/>
    </sheetNames>
    <sheetDataSet>
      <sheetData sheetId="0" refreshError="1">
        <row r="156">
          <cell r="C156" t="str">
            <v>AmerenCILCO</v>
          </cell>
        </row>
        <row r="160">
          <cell r="C160" t="str">
            <v>For the Twelve Months Ended December 31,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rint"/>
      <sheetName val="Sch A-1"/>
      <sheetName val="Sch A-2"/>
      <sheetName val="Sch A-2.1"/>
      <sheetName val="Sch A-3"/>
      <sheetName val="Sch A-4"/>
      <sheetName val="Sch A-5 RB"/>
      <sheetName val="Sch A-5 Exp"/>
      <sheetName val="WPA-5"/>
      <sheetName val="WPA-5.2"/>
      <sheetName val="Sch B-1"/>
      <sheetName val="Sch B-2"/>
      <sheetName val="Sch B-2.1"/>
      <sheetName val="Sch B-2.2"/>
      <sheetName val="WPB-2.2a"/>
      <sheetName val="WPB-2.2b"/>
      <sheetName val="Sch B-2.3"/>
      <sheetName val="WPB-2.3"/>
      <sheetName val="Sch B-2.4"/>
      <sheetName val="WPB-2.4"/>
      <sheetName val="Sch B-2.5"/>
      <sheetName val="WPB-2.5a"/>
      <sheetName val="Sch B-2.6"/>
      <sheetName val="WPB-2.6"/>
      <sheetName val="Sch B-3"/>
      <sheetName val="Sch B-4"/>
      <sheetName val="Sch B-5"/>
      <sheetName val="WPB-5"/>
      <sheetName val="Sch B-5.1"/>
      <sheetName val="Sch B-6"/>
      <sheetName val="Sch B-7.2"/>
      <sheetName val="Sch B-7.2a"/>
      <sheetName val="Sch B-8"/>
      <sheetName val="Sch B-8.1"/>
      <sheetName val="WPB-8.1a"/>
      <sheetName val="Sch B-9"/>
      <sheetName val="WPB-9"/>
      <sheetName val="WPB-9a"/>
      <sheetName val="WPB-9b"/>
      <sheetName val="Sch B-9.1"/>
      <sheetName val="Sch B-13"/>
      <sheetName val="WPB-13a"/>
      <sheetName val="Sch B-14"/>
      <sheetName val="Sch C-1"/>
      <sheetName val="Sch C-2"/>
      <sheetName val="Sch C-2.1"/>
      <sheetName val="WPC-2.1"/>
      <sheetName val="Sch C-2.2"/>
      <sheetName val="WPC-2.2"/>
      <sheetName val="Sch C-2.3"/>
      <sheetName val="WPC-2.3"/>
      <sheetName val="WPC-2.3.3 Annualized Detail"/>
      <sheetName val="Sch C-2.4"/>
      <sheetName val="Sch C-2.5"/>
      <sheetName val="WPC-2.5"/>
      <sheetName val="Sch C-2.6"/>
      <sheetName val="WPC-2.6"/>
      <sheetName val="Sch C-2.7"/>
      <sheetName val="Sch C-2.8"/>
      <sheetName val="Sch C-2.9"/>
      <sheetName val="Sch C-2.10"/>
      <sheetName val="WPC-2.10"/>
      <sheetName val="Sch C-2.11"/>
      <sheetName val="WPC-2.11"/>
      <sheetName val="Sch C-2.12"/>
      <sheetName val="WPC-2.12"/>
      <sheetName val="Sch C-2.13"/>
      <sheetName val="WPC-2.13"/>
      <sheetName val="Sch C-2.14"/>
      <sheetName val="WPC-2.14"/>
      <sheetName val="WPC-2.14a"/>
      <sheetName val="Sch C-2.15"/>
      <sheetName val="Sch C-2.16"/>
      <sheetName val="Sch C-2.17"/>
      <sheetName val="Sch C-2.18"/>
      <sheetName val="Sch C-2.19"/>
      <sheetName val="WPC-2.19"/>
      <sheetName val="Sch C-2.20"/>
      <sheetName val="WPC-2.20"/>
      <sheetName val="Sch C-2.21"/>
      <sheetName val="WPC-2.21"/>
      <sheetName val="Sch C-2.22"/>
      <sheetName val="Sch C-2.23"/>
      <sheetName val="WPC-2.23"/>
      <sheetName val="Sch C-2.24"/>
      <sheetName val="Sch C-3"/>
      <sheetName val="Sch C-4"/>
      <sheetName val="Sch C-5a"/>
      <sheetName val="Sch C-5b"/>
      <sheetName val="Sch C-5.1"/>
      <sheetName val="Sch C-5.2"/>
      <sheetName val="Sch C-5.3"/>
      <sheetName val="Sch C-5.4"/>
      <sheetName val="WPC-5.4"/>
      <sheetName val="Sch C-6"/>
      <sheetName val="Sch C-6.1"/>
      <sheetName val="Sch C-6.2"/>
      <sheetName val="Sch C-7"/>
      <sheetName val="Sch C-8"/>
      <sheetName val="Sch C-9"/>
      <sheetName val="Sch C-10"/>
      <sheetName val="WPC-10"/>
      <sheetName val="Sch C-10.1"/>
      <sheetName val="Sch C-11.1"/>
      <sheetName val="WPC-11.1"/>
      <sheetName val="Sch C-11.2a"/>
      <sheetName val="Sch C-11.2b"/>
      <sheetName val="Sch C-11.2c"/>
      <sheetName val="Sch C-11.2d"/>
      <sheetName val="Sch C-11.2e"/>
      <sheetName val="Sch C-11.2f"/>
      <sheetName val="Sch C-11.2g"/>
      <sheetName val="Sch C-11.2h"/>
      <sheetName val="Sch C-11.3"/>
      <sheetName val="WPC-11.3"/>
      <sheetName val="WPC-11.3a"/>
      <sheetName val="WPC-11.3b"/>
      <sheetName val="WPC-11.3c"/>
      <sheetName val="Sch C-12"/>
      <sheetName val="WPC-12"/>
      <sheetName val="Sch C-13"/>
      <sheetName val="Sch C-14"/>
      <sheetName val="WPC-14"/>
      <sheetName val="Sch C-16 OLD-Replaced 12.12.05"/>
      <sheetName val="WPC-16a"/>
      <sheetName val="Sch C-16"/>
      <sheetName val="Sch C-17 2004"/>
      <sheetName val="Sch C-17 2004 to Sept"/>
      <sheetName val="Sch C-17 2003"/>
      <sheetName val="Sch C-17 2002"/>
      <sheetName val="Sch C-17 2001"/>
      <sheetName val="Sch C-18"/>
      <sheetName val="WPC-18a"/>
      <sheetName val="WPC-18b"/>
      <sheetName val="WPC-18c"/>
      <sheetName val="Sch C-19"/>
      <sheetName val="Sch C-21"/>
      <sheetName val="Sch C-22"/>
      <sheetName val="Sch C-23"/>
      <sheetName val="WPC-23"/>
      <sheetName val="Sch C-25"/>
      <sheetName val="Sch C-26"/>
      <sheetName val="Sch C-29"/>
      <sheetName val="Sch C-31"/>
      <sheetName val="Sch C-32"/>
      <sheetName val="WPC-4"/>
      <sheetName val="WPA-5.1.4 Func Factors"/>
      <sheetName val="WPB-1 Cust Adv"/>
      <sheetName val="WPB-2.2.3"/>
      <sheetName val="WPB-2.4.2 Int Plt Gross - AMS"/>
      <sheetName val="WPB-2.4.3 Int Plt Reserve - AMS"/>
      <sheetName val="WPB-2.4.4 Int Plt Net - AMS"/>
      <sheetName val="WPB-2.4.5 Gen Plt Gross -AMS"/>
      <sheetName val="WPB-2.4.6 Gen Plt Reserve - AMS"/>
      <sheetName val="WPB-2.4.7 Gen Plt Net - AMS"/>
      <sheetName val="Sch B-5.2 Merged or Acq Prop"/>
      <sheetName val="Sch B-5.3 Leased Prop"/>
      <sheetName val="Sch B-7 CWIP"/>
      <sheetName val="Sch B-7.1 CWIP % Complete"/>
      <sheetName val="WPB-8.1b"/>
      <sheetName val="Construction"/>
      <sheetName val="GPROD"/>
      <sheetName val="ETRANS"/>
      <sheetName val="GTRANS"/>
      <sheetName val="EDISTR"/>
      <sheetName val="GDISTR"/>
      <sheetName val="DistrMisc"/>
      <sheetName val="Other"/>
      <sheetName val="Sch B-10 Def Charges"/>
      <sheetName val="Sch B-11 PHFFU"/>
      <sheetName val="Sch B-12 Analysis of PHFFU"/>
      <sheetName val="WPC-2.2.2"/>
      <sheetName val="WPC-2.2.3"/>
      <sheetName val="WPC-2.2.4"/>
      <sheetName val="WPC-2.2.5"/>
      <sheetName val="WPC-2.2.6"/>
      <sheetName val="WPC-2.2.7"/>
      <sheetName val="WPC-2.3.4 IP 04-05"/>
      <sheetName val="WPC-2.3.5 IP 05-05"/>
      <sheetName val="WPC-2.3.6 IP 06-05"/>
      <sheetName val="WPC-2.3.6 IP 07-05"/>
      <sheetName val="WPC-2.8"/>
      <sheetName val="WPC-2.13.3"/>
      <sheetName val="WPC-2.13.4"/>
      <sheetName val="WPC-2.13.5"/>
      <sheetName val="WPC-2.13.6"/>
      <sheetName val="WPC-2.13.7"/>
      <sheetName val="WPC-2.13.8"/>
      <sheetName val="WPC-2.13.9"/>
      <sheetName val="WPC-2.13.10"/>
      <sheetName val="WPC-2.13.11"/>
      <sheetName val="WPC-2.13.12"/>
      <sheetName val="WPC-2.22"/>
      <sheetName val="Sch C-5.5 ITC &amp; Job Dev. Cr"/>
      <sheetName val="WPC-6.1"/>
      <sheetName val="WPC-6.1 2004"/>
      <sheetName val="WPC-6.1 2003"/>
      <sheetName val="WPC-6.1 2002"/>
      <sheetName val="WPC-6.1 2001"/>
      <sheetName val="WPC-6.2"/>
      <sheetName val="WPC-7"/>
      <sheetName val="WPC-8"/>
      <sheetName val="WPC-9"/>
      <sheetName val="WPC-11.1a"/>
      <sheetName val="Sch 11.4 Recon Est Ovrhd"/>
      <sheetName val="WPC-13.1 Affl Int Trans"/>
      <sheetName val="WPC-14a"/>
      <sheetName val="WPC-14b"/>
      <sheetName val="WPC-14c"/>
      <sheetName val="WPC-14d"/>
      <sheetName val="WPC-14e"/>
      <sheetName val="Sch C-15 Major Maint Proj"/>
      <sheetName val="WPC-16"/>
      <sheetName val="WPC-18b Accr Prop Tax"/>
      <sheetName val="WPC-18a 2004"/>
      <sheetName val="Sch C-18a Oth Tx 2003"/>
      <sheetName val="WPC-18a 2003"/>
      <sheetName val="Sch C-18a Oth Tx 2002"/>
      <sheetName val="WPC-18a Oth Tx 2002"/>
      <sheetName val="WPC-18a 2001"/>
      <sheetName val="Sch C-20 Local Tx"/>
      <sheetName val="Sch C-24 Legal Exp &amp; Res"/>
      <sheetName val="WPC-25"/>
      <sheetName val="Sch C-27 Fuel Adj Rev &amp; Exp"/>
      <sheetName val="Sch C-28 Fuel Transp Exp"/>
      <sheetName val="Sch C-30 PGA Rev &amp; Exp"/>
      <sheetName val="Sch C-33 Billing Exper"/>
      <sheetName val="Comm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refreshError="1"/>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Print"/>
      <sheetName val="A - 1"/>
      <sheetName val="A - 2"/>
      <sheetName val="A - 2.1"/>
      <sheetName val="A - 3"/>
      <sheetName val="WPA - 3a"/>
      <sheetName val="WPA - 3b"/>
      <sheetName val="A - 4"/>
      <sheetName val="A - 5a"/>
      <sheetName val="A - 5b"/>
      <sheetName val="WPA - 5"/>
      <sheetName val="DefResp-3a"/>
      <sheetName val="DefResp-3b"/>
      <sheetName val="WPA - 5c"/>
      <sheetName val="B - 1"/>
      <sheetName val="WPB - 1"/>
      <sheetName val="B - 2"/>
      <sheetName val="B - 2.1"/>
      <sheetName val="WPB - 2.1b"/>
      <sheetName val="WPB - 2.1c"/>
      <sheetName val="WPB - 2.1d"/>
      <sheetName val="WPB - 2.1e"/>
      <sheetName val="WPB - 2.1a"/>
      <sheetName val="B - 3a"/>
      <sheetName val="B - 3b"/>
      <sheetName val="B - 4"/>
      <sheetName val="WPB - 4"/>
      <sheetName val="B - 5"/>
      <sheetName val="WPB - 5a"/>
      <sheetName val="WPB - 5b"/>
      <sheetName val="WPB - 5c"/>
      <sheetName val="B - 5.1"/>
      <sheetName val="B - 5.2"/>
      <sheetName val="B - 6"/>
      <sheetName val="WPB - 6a"/>
      <sheetName val="WPB - 6b"/>
      <sheetName val="WPB - 6c"/>
      <sheetName val="B - 7.2a1"/>
      <sheetName val="B - 7.2a2"/>
      <sheetName val="B - 7.2b1"/>
      <sheetName val="WPB - 7.2UEC"/>
      <sheetName val="B - 7.2b2"/>
      <sheetName val="B - 8"/>
      <sheetName val="Workpaper"/>
      <sheetName val="B - 8.1"/>
      <sheetName val="WPB - 8.1a"/>
      <sheetName val="WPB - 8.1b"/>
      <sheetName val="B - 9"/>
      <sheetName val="WPB - 9a"/>
      <sheetName val="WPB - 9b"/>
      <sheetName val="B - 9.1"/>
      <sheetName val="WPB - 9.1a"/>
      <sheetName val="WPB - 9.1b"/>
      <sheetName val="B - 13"/>
      <sheetName val="WPB - 13a"/>
      <sheetName val="WPB - 13b"/>
      <sheetName val="WPB - 13c"/>
      <sheetName val="B - 14"/>
      <sheetName val="WPB - 14"/>
      <sheetName val="C - 1"/>
      <sheetName val="C - 2"/>
      <sheetName val="C - 2.1"/>
      <sheetName val="WPC - 2.1"/>
      <sheetName val="C - 2.2"/>
      <sheetName val="C - 2.3"/>
      <sheetName val="C - 2.4"/>
      <sheetName val="WPC - 2.4a"/>
      <sheetName val="WPC - 2.4b"/>
      <sheetName val="C - 2.5"/>
      <sheetName val="WPC - 2.5"/>
      <sheetName val="C - 2.6"/>
      <sheetName val="WPC - 2.6a"/>
      <sheetName val="C - 2.6 NOT USED"/>
      <sheetName val="WPC - 2.6a NOT USED"/>
      <sheetName val="WPC - 2.6b"/>
      <sheetName val="C - 2.7"/>
      <sheetName val="WPC - 2.7"/>
      <sheetName val="C - 2.7b"/>
      <sheetName val="WPC - 2.7b"/>
      <sheetName val="WPC - 2.7c"/>
      <sheetName val="C - 2.7d"/>
      <sheetName val="C - 2.7e"/>
      <sheetName val="C - 2.7f"/>
      <sheetName val="WPC - 2.7d"/>
      <sheetName val="WPC - 2.7e"/>
      <sheetName val="C - 2.7i"/>
      <sheetName val="C - 2.7j"/>
      <sheetName val="C - 2.8"/>
      <sheetName val="C - 2.9"/>
      <sheetName val="C - 2.10"/>
      <sheetName val="C - 2.11"/>
      <sheetName val="WPC - 2.11"/>
      <sheetName val="C - 2.12"/>
      <sheetName val="WPC - 2.12"/>
      <sheetName val="C - 2.13"/>
      <sheetName val="C - 2.14"/>
      <sheetName val="C - 2.15"/>
      <sheetName val="WPC - 2.15"/>
      <sheetName val="C - 2.16"/>
      <sheetName val="WPC - 2.16a"/>
      <sheetName val="WPC - 2.16b"/>
      <sheetName val="WPC - 2.16c"/>
      <sheetName val="C - 2.17"/>
      <sheetName val="C - 3"/>
      <sheetName val="WPC - 3a"/>
      <sheetName val="WPC - 3b"/>
      <sheetName val="C - 4"/>
      <sheetName val="WPC - 4a"/>
      <sheetName val="WPC - 4b"/>
      <sheetName val="WPC - 4c"/>
      <sheetName val="WPC - 4d"/>
      <sheetName val="WPC - 4e"/>
      <sheetName val="C - 5"/>
      <sheetName val="WPC - 5a"/>
      <sheetName val="WPC - 5b"/>
      <sheetName val="C - 5b"/>
      <sheetName val="C - 5.1"/>
      <sheetName val="C - 5.2"/>
      <sheetName val="WPC - 5.2a"/>
      <sheetName val="WPC - 5.2b"/>
      <sheetName val="C - 5.3"/>
      <sheetName val="WPC - 5.3a"/>
      <sheetName val="WPC - 5.3b"/>
      <sheetName val="C - 5.4"/>
      <sheetName val="WPC - 5.4"/>
      <sheetName val="C - 5.5"/>
      <sheetName val="WPC - 5.5a"/>
      <sheetName val="WPC - 5.5b"/>
      <sheetName val="C - 6"/>
      <sheetName val="WPC - 6"/>
      <sheetName val="C - 6.1"/>
      <sheetName val="WPC - 6.1"/>
      <sheetName val="C - 6.2a"/>
      <sheetName val="C - 6.2b"/>
      <sheetName val="C - 7a"/>
      <sheetName val="C - 7b"/>
      <sheetName val="C - 8"/>
      <sheetName val="WPC - 8"/>
      <sheetName val="C - 9"/>
      <sheetName val="WPC - 9"/>
      <sheetName val="C - 10"/>
      <sheetName val="WPC - 10"/>
      <sheetName val="C - 10.1"/>
      <sheetName val="C - 11.1"/>
      <sheetName val="WPC - 11.1a"/>
      <sheetName val="WPC - 11.1b"/>
      <sheetName val="WPC - 11.1c"/>
      <sheetName val="WPC - 11.1d"/>
      <sheetName val="C - 11.2a"/>
      <sheetName val="C - 11.2b"/>
      <sheetName val="C - 11.2c"/>
      <sheetName val="C - 11.2d"/>
      <sheetName val="C - 11.2e"/>
      <sheetName val="C - 11.2f"/>
      <sheetName val="C - 11.2g"/>
      <sheetName val="C - 11.2h"/>
      <sheetName val="C - 11.2i"/>
      <sheetName val="C - 11.2j"/>
      <sheetName val="C - 11.2k"/>
      <sheetName val="C - 11.2l"/>
      <sheetName val="C - 11.2m"/>
      <sheetName val="C - 11.2n"/>
      <sheetName val="C - 11.2o"/>
      <sheetName val="C - 11.2p"/>
      <sheetName val="C - 11.3"/>
      <sheetName val="WPC - 11.3a"/>
      <sheetName val="WPC - 11.3b"/>
      <sheetName val="WPC - 11.3c"/>
      <sheetName val="WPC - 11.3d"/>
      <sheetName val="C - 12"/>
      <sheetName val="WPC - 12a"/>
      <sheetName val="WPC - 12b"/>
      <sheetName val="C - 13"/>
      <sheetName val="C - 14"/>
      <sheetName val="WPC - 14a"/>
      <sheetName val="WPC - 14b"/>
      <sheetName val="C - 16"/>
      <sheetName val="WPC-16a"/>
      <sheetName val="WPC-16b"/>
      <sheetName val="C - 17a"/>
      <sheetName val="C - 17b"/>
      <sheetName val="C - 17c"/>
      <sheetName val="C - 17d"/>
      <sheetName val="C - 18"/>
      <sheetName val="WPC - 18a"/>
      <sheetName val="WPC - 18b"/>
      <sheetName val="WPC - 18c1"/>
      <sheetName val="WPC - 18c"/>
      <sheetName val="C - 19"/>
      <sheetName val="C - 21"/>
      <sheetName val="WPC - 21a"/>
      <sheetName val="WPC - 21b"/>
      <sheetName val="C - 23"/>
      <sheetName val="WPC - 23a"/>
      <sheetName val="WPC - 23b"/>
      <sheetName val="WPC - 23c"/>
      <sheetName val="WPC - 23d"/>
      <sheetName val="C - 25"/>
    </sheetNames>
    <sheetDataSet>
      <sheetData sheetId="0" refreshError="1">
        <row r="226">
          <cell r="B226" t="str">
            <v>For the Twelve Months Ended December 31, 2004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Print"/>
      <sheetName val="A - 1"/>
      <sheetName val="A - 2"/>
      <sheetName val="A - 2.1"/>
      <sheetName val="A - 3"/>
      <sheetName val="WPA - 3a"/>
      <sheetName val="WPA - 3b"/>
      <sheetName val="A - 4"/>
      <sheetName val="A - 5a"/>
      <sheetName val="A - 5b"/>
      <sheetName val="WPA - 5"/>
      <sheetName val="DefResp-3a"/>
      <sheetName val="DefResp-3b"/>
      <sheetName val="WPA - 5c"/>
      <sheetName val="B - 1"/>
      <sheetName val="WPB - 1"/>
      <sheetName val="B - 2"/>
      <sheetName val="B - 2.1"/>
      <sheetName val="WPB - 2.1b"/>
      <sheetName val="WPB - 2.1c"/>
      <sheetName val="WPB - 2.1d"/>
      <sheetName val="WPB - 2.1e"/>
      <sheetName val="WPB - 2.1a"/>
      <sheetName val="B - 3a"/>
      <sheetName val="B - 3b"/>
      <sheetName val="B - 4"/>
      <sheetName val="WPB - 4"/>
      <sheetName val="B - 5"/>
      <sheetName val="WPB - 5a"/>
      <sheetName val="WPB - 5b"/>
      <sheetName val="WPB - 5c"/>
      <sheetName val="B - 5.1"/>
      <sheetName val="B - 5.2"/>
      <sheetName val="B - 6"/>
      <sheetName val="WPB - 6a"/>
      <sheetName val="WPB - 6b"/>
      <sheetName val="WPB - 6c"/>
      <sheetName val="B - 7.2a1"/>
      <sheetName val="B - 7.2a2"/>
      <sheetName val="B - 7.2b1"/>
      <sheetName val="WPB - 7.2UEC"/>
      <sheetName val="B - 7.2b2"/>
      <sheetName val="B - 8"/>
      <sheetName val="Workpaper"/>
      <sheetName val="B - 8.1"/>
      <sheetName val="WPB - 8.1a"/>
      <sheetName val="WPB - 8.1b"/>
      <sheetName val="B - 9"/>
      <sheetName val="WPB - 9a"/>
      <sheetName val="WPB - 9b"/>
      <sheetName val="B - 9.1"/>
      <sheetName val="WPB - 9.1a"/>
      <sheetName val="WPB - 9.1b"/>
      <sheetName val="B - 13"/>
      <sheetName val="WPB - 13a"/>
      <sheetName val="WPB - 13b"/>
      <sheetName val="WPB - 13c"/>
      <sheetName val="B - 14"/>
      <sheetName val="WPB - 14"/>
      <sheetName val="C - 1"/>
      <sheetName val="C - 2"/>
      <sheetName val="C - 2.1"/>
      <sheetName val="WPC - 2.1"/>
      <sheetName val="C - 2.2"/>
      <sheetName val="C - 2.3"/>
      <sheetName val="C - 2.4"/>
      <sheetName val="WPC - 2.4a"/>
      <sheetName val="WPC - 2.4b"/>
      <sheetName val="C - 2.5"/>
      <sheetName val="WPC - 2.5"/>
      <sheetName val="C - 2.6"/>
      <sheetName val="WPC - 2.6a"/>
      <sheetName val="C - 2.6 NOT USED"/>
      <sheetName val="WPC - 2.6a NOT USED"/>
      <sheetName val="WPC - 2.6b"/>
      <sheetName val="C - 2.7"/>
      <sheetName val="WPC - 2.7"/>
      <sheetName val="C - 2.7b"/>
      <sheetName val="WPC - 2.7b"/>
      <sheetName val="WPC - 2.7c"/>
      <sheetName val="C - 2.7d"/>
      <sheetName val="C - 2.7e"/>
      <sheetName val="C - 2.7f"/>
      <sheetName val="WPC - 2.7d"/>
      <sheetName val="WPC - 2.7e"/>
      <sheetName val="C - 2.7i"/>
      <sheetName val="C - 2.7j"/>
      <sheetName val="C - 2.8"/>
      <sheetName val="C - 2.9"/>
      <sheetName val="C - 2.10"/>
      <sheetName val="C - 2.11"/>
      <sheetName val="WPC - 2.11"/>
      <sheetName val="C - 2.12"/>
      <sheetName val="WPC - 2.12"/>
      <sheetName val="C - 2.13"/>
      <sheetName val="C - 2.14"/>
      <sheetName val="C - 2.15"/>
      <sheetName val="WPC - 2.15"/>
      <sheetName val="C - 2.16"/>
      <sheetName val="WPC - 2.16a"/>
      <sheetName val="WPC - 2.16b"/>
      <sheetName val="WPC - 2.16c"/>
      <sheetName val="C - 2.17"/>
      <sheetName val="C - 3"/>
      <sheetName val="WPC - 3a"/>
      <sheetName val="WPC - 3b"/>
      <sheetName val="C - 4"/>
      <sheetName val="WPC - 4a"/>
      <sheetName val="WPC - 4b"/>
      <sheetName val="WPC - 4c"/>
      <sheetName val="WPC - 4d"/>
      <sheetName val="WPC - 4e"/>
      <sheetName val="C - 5"/>
      <sheetName val="WPC - 5a"/>
      <sheetName val="WPC - 5b"/>
      <sheetName val="C - 5b"/>
      <sheetName val="C - 5.1"/>
      <sheetName val="C - 5.2"/>
      <sheetName val="WPC - 5.2a"/>
      <sheetName val="WPC - 5.2b"/>
      <sheetName val="C - 5.3"/>
      <sheetName val="WPC - 5.3a"/>
      <sheetName val="WPC - 5.3b"/>
      <sheetName val="C - 5.4"/>
      <sheetName val="WPC - 5.4"/>
      <sheetName val="C - 5.5"/>
      <sheetName val="WPC - 5.5a"/>
      <sheetName val="WPC - 5.5b"/>
      <sheetName val="C - 6"/>
      <sheetName val="WPC - 6"/>
      <sheetName val="C - 6.1"/>
      <sheetName val="WPC - 6.1"/>
      <sheetName val="C - 6.2a"/>
      <sheetName val="C - 6.2b"/>
      <sheetName val="C - 7a"/>
      <sheetName val="C - 7b"/>
      <sheetName val="C - 8"/>
      <sheetName val="WPC - 8"/>
      <sheetName val="C - 9"/>
      <sheetName val="WPC - 9"/>
      <sheetName val="C - 10"/>
      <sheetName val="WPC - 10"/>
      <sheetName val="C - 10.1"/>
      <sheetName val="C - 11.1"/>
      <sheetName val="WPC - 11.1a"/>
      <sheetName val="WPC - 11.1b"/>
      <sheetName val="WPC - 11.1c"/>
      <sheetName val="WPC - 11.1d"/>
      <sheetName val="C - 11.2a"/>
      <sheetName val="C - 11.2b"/>
      <sheetName val="C - 11.2c"/>
      <sheetName val="C - 11.2d"/>
      <sheetName val="C - 11.2e"/>
      <sheetName val="C - 11.2f"/>
      <sheetName val="C - 11.2g"/>
      <sheetName val="C - 11.2h"/>
      <sheetName val="C - 11.2i"/>
      <sheetName val="C - 11.2j"/>
      <sheetName val="C - 11.2k"/>
      <sheetName val="C - 11.2l"/>
      <sheetName val="C - 11.2m"/>
      <sheetName val="C - 11.2n"/>
      <sheetName val="C - 11.2o"/>
      <sheetName val="C - 11.2p"/>
      <sheetName val="C - 11.3"/>
      <sheetName val="WPC - 11.3a"/>
      <sheetName val="WPC - 11.3b"/>
      <sheetName val="WPC - 11.3c"/>
      <sheetName val="WPC - 11.3d"/>
      <sheetName val="C - 12"/>
      <sheetName val="WPC - 12a"/>
      <sheetName val="WPC - 12b"/>
      <sheetName val="C - 13"/>
      <sheetName val="C - 14"/>
      <sheetName val="WPC - 14a"/>
      <sheetName val="WPC - 14b"/>
      <sheetName val="C - 16"/>
      <sheetName val="WPC-16a"/>
      <sheetName val="WPC-16b"/>
      <sheetName val="C - 17a"/>
      <sheetName val="C - 17b"/>
      <sheetName val="C - 17c"/>
      <sheetName val="C - 17d"/>
      <sheetName val="C - 18"/>
      <sheetName val="WPC - 18a"/>
      <sheetName val="WPC - 18b"/>
      <sheetName val="WPC - 18c1"/>
      <sheetName val="WPC - 18c"/>
      <sheetName val="C - 19"/>
      <sheetName val="C - 21"/>
      <sheetName val="WPC - 21a"/>
      <sheetName val="WPC - 21b"/>
      <sheetName val="C - 23"/>
      <sheetName val="WPC - 23a"/>
      <sheetName val="WPC - 23b"/>
      <sheetName val="WPC - 23c"/>
      <sheetName val="WPC - 23d"/>
      <sheetName val="C - 25"/>
    </sheetNames>
    <sheetDataSet>
      <sheetData sheetId="0" refreshError="1">
        <row r="226">
          <cell r="B226" t="str">
            <v>For the Twelve Months Ended December 31, 2004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rint"/>
      <sheetName val="Sch A-1"/>
      <sheetName val="Sch A-2"/>
      <sheetName val="Sch A-2.1"/>
      <sheetName val="Sch A-3"/>
      <sheetName val="Sch A-4"/>
      <sheetName val="Sch A-5 RB"/>
      <sheetName val="Sch A-5 Exp"/>
      <sheetName val="WPA-5"/>
      <sheetName val="WPA-5.2"/>
      <sheetName val="Sch B-1"/>
      <sheetName val="Sch B-2"/>
      <sheetName val="Sch B-2.1"/>
      <sheetName val="Sch B-2.2"/>
      <sheetName val="WPB-2.2a"/>
      <sheetName val="WPB-2.2b"/>
      <sheetName val="Sch B-2.3"/>
      <sheetName val="WPB-2.3"/>
      <sheetName val="Sch B-2.4"/>
      <sheetName val="WPB-2.4"/>
      <sheetName val="Sch B-2.5"/>
      <sheetName val="WPB-2.5a"/>
      <sheetName val="Sch B-2.6"/>
      <sheetName val="WPB-2.6"/>
      <sheetName val="Sch B-3"/>
      <sheetName val="Sch B-4"/>
      <sheetName val="Sch B-5"/>
      <sheetName val="WPB-5"/>
      <sheetName val="Sch B-5.1"/>
      <sheetName val="Sch B-6"/>
      <sheetName val="Sch B-7.2"/>
      <sheetName val="Sch B-7.2a"/>
      <sheetName val="Sch B-8"/>
      <sheetName val="Sch B-8.1"/>
      <sheetName val="WPB-8.1a"/>
      <sheetName val="Sch B-9"/>
      <sheetName val="WPB-9"/>
      <sheetName val="WPB-9a"/>
      <sheetName val="WPB-9b"/>
      <sheetName val="Sch B-9.1"/>
      <sheetName val="Sch B-13"/>
      <sheetName val="WPB-13a"/>
      <sheetName val="Sch B-14"/>
      <sheetName val="Sch C-1"/>
      <sheetName val="Sch C-2"/>
      <sheetName val="Sch C-2.1"/>
      <sheetName val="WPC-2.1"/>
      <sheetName val="Sch C-2.2"/>
      <sheetName val="WPC-2.2"/>
      <sheetName val="Sch C-2.3"/>
      <sheetName val="WPC-2.3"/>
      <sheetName val="WPC-2.3.3 Annualized Detail"/>
      <sheetName val="Sch C-2.4"/>
      <sheetName val="Sch C-2.5"/>
      <sheetName val="WPC-2.5"/>
      <sheetName val="Sch C-2.6"/>
      <sheetName val="WPC-2.6"/>
      <sheetName val="Sch C-2.7"/>
      <sheetName val="Sch C-2.8"/>
      <sheetName val="Sch C-2.9"/>
      <sheetName val="Sch C-2.10"/>
      <sheetName val="WPC-2.10"/>
      <sheetName val="Sch C-2.11"/>
      <sheetName val="WPC-2.11"/>
      <sheetName val="Sch C-2.12"/>
      <sheetName val="WPC-2.12"/>
      <sheetName val="Sch C-2.13"/>
      <sheetName val="WPC-2.13"/>
      <sheetName val="Sch C-2.14"/>
      <sheetName val="WPC-2.14"/>
      <sheetName val="WPC-2.14a"/>
      <sheetName val="Sch C-2.15"/>
      <sheetName val="Sch C-2.16"/>
      <sheetName val="Sch C-2.17"/>
      <sheetName val="Sch C-2.18"/>
      <sheetName val="Sch C-2.19"/>
      <sheetName val="WPC-2.19"/>
      <sheetName val="Sch C-2.20"/>
      <sheetName val="WPC-2.20"/>
      <sheetName val="Sch C-2.21"/>
      <sheetName val="WPC-2.21"/>
      <sheetName val="Sch C-2.22"/>
      <sheetName val="Sch C-2.23"/>
      <sheetName val="WPC-2.23"/>
      <sheetName val="Sch C-2.24"/>
      <sheetName val="Sch C-3"/>
      <sheetName val="Sch C-4"/>
      <sheetName val="Sch C-5a"/>
      <sheetName val="Sch C-5b"/>
      <sheetName val="Sch C-5.1"/>
      <sheetName val="Sch C-5.2"/>
      <sheetName val="Sch C-5.3"/>
      <sheetName val="Sch C-5.4"/>
      <sheetName val="WPC-5.4"/>
      <sheetName val="Sch C-6"/>
      <sheetName val="Sch C-6.1"/>
      <sheetName val="Sch C-6.2"/>
      <sheetName val="Sch C-7"/>
      <sheetName val="Sch C-8"/>
      <sheetName val="Sch C-9"/>
      <sheetName val="Sch C-10"/>
      <sheetName val="WPC-10"/>
      <sheetName val="Sch C-10.1"/>
      <sheetName val="Sch C-11.1"/>
      <sheetName val="WPC-11.1"/>
      <sheetName val="Sch C-11.2a"/>
      <sheetName val="Sch C-11.2b"/>
      <sheetName val="Sch C-11.2c"/>
      <sheetName val="Sch C-11.2d"/>
      <sheetName val="Sch C-11.2e"/>
      <sheetName val="Sch C-11.2f"/>
      <sheetName val="Sch C-11.2g"/>
      <sheetName val="Sch C-11.2h"/>
      <sheetName val="Sch C-11.3"/>
      <sheetName val="WPC-11.3"/>
      <sheetName val="WPC-11.3a"/>
      <sheetName val="WPC-11.3b"/>
      <sheetName val="WPC-11.3c"/>
      <sheetName val="Sch C-12"/>
      <sheetName val="WPC-12"/>
      <sheetName val="Sch C-13"/>
      <sheetName val="Sch C-14"/>
      <sheetName val="WPC-14"/>
      <sheetName val="Sch C-16 OLD-Replaced 12.12.05"/>
      <sheetName val="WPC-16a"/>
      <sheetName val="Sch C-16"/>
      <sheetName val="Sch C-17 2004"/>
      <sheetName val="Sch C-17 2004 to Sept"/>
      <sheetName val="Sch C-17 2003"/>
      <sheetName val="Sch C-17 2002"/>
      <sheetName val="Sch C-17 2001"/>
      <sheetName val="Sch C-18"/>
      <sheetName val="WPC-18a"/>
      <sheetName val="WPC-18b"/>
      <sheetName val="WPC-18c"/>
      <sheetName val="Sch C-19"/>
      <sheetName val="Sch C-21"/>
      <sheetName val="Sch C-22"/>
      <sheetName val="Sch C-23"/>
      <sheetName val="WPC-23"/>
      <sheetName val="Sch C-25"/>
      <sheetName val="Sch C-26"/>
      <sheetName val="Sch C-29"/>
      <sheetName val="Sch C-31"/>
      <sheetName val="Sch C-32"/>
      <sheetName val="WPC-4"/>
      <sheetName val="WPA-5.1.4 Func Factors"/>
      <sheetName val="WPB-1 Cust Adv"/>
      <sheetName val="WPB-2.2.3"/>
      <sheetName val="WPB-2.4.2 Int Plt Gross - AMS"/>
      <sheetName val="WPB-2.4.3 Int Plt Reserve - AMS"/>
      <sheetName val="WPB-2.4.4 Int Plt Net - AMS"/>
      <sheetName val="WPB-2.4.5 Gen Plt Gross -AMS"/>
      <sheetName val="WPB-2.4.6 Gen Plt Reserve - AMS"/>
      <sheetName val="WPB-2.4.7 Gen Plt Net - AMS"/>
      <sheetName val="Sch B-5.2 Merged or Acq Prop"/>
      <sheetName val="Sch B-5.3 Leased Prop"/>
      <sheetName val="Sch B-7 CWIP"/>
      <sheetName val="Sch B-7.1 CWIP % Complete"/>
      <sheetName val="WPB-8.1b"/>
      <sheetName val="Construction"/>
      <sheetName val="GPROD"/>
      <sheetName val="ETRANS"/>
      <sheetName val="GTRANS"/>
      <sheetName val="EDISTR"/>
      <sheetName val="GDISTR"/>
      <sheetName val="DistrMisc"/>
      <sheetName val="Other"/>
      <sheetName val="Sch B-10 Def Charges"/>
      <sheetName val="Sch B-11 PHFFU"/>
      <sheetName val="Sch B-12 Analysis of PHFFU"/>
      <sheetName val="WPC-2.2.2"/>
      <sheetName val="WPC-2.2.3"/>
      <sheetName val="WPC-2.2.4"/>
      <sheetName val="WPC-2.2.5"/>
      <sheetName val="WPC-2.2.6"/>
      <sheetName val="WPC-2.2.7"/>
      <sheetName val="WPC-2.3.4 IP 04-05"/>
      <sheetName val="WPC-2.3.5 IP 05-05"/>
      <sheetName val="WPC-2.3.6 IP 06-05"/>
      <sheetName val="WPC-2.3.6 IP 07-05"/>
      <sheetName val="WPC-2.8"/>
      <sheetName val="WPC-2.13.3"/>
      <sheetName val="WPC-2.13.4"/>
      <sheetName val="WPC-2.13.5"/>
      <sheetName val="WPC-2.13.6"/>
      <sheetName val="WPC-2.13.7"/>
      <sheetName val="WPC-2.13.8"/>
      <sheetName val="WPC-2.13.9"/>
      <sheetName val="WPC-2.13.10"/>
      <sheetName val="WPC-2.13.11"/>
      <sheetName val="WPC-2.13.12"/>
      <sheetName val="WPC-2.22"/>
      <sheetName val="Sch C-5.5 ITC &amp; Job Dev. Cr"/>
      <sheetName val="WPC-6.1"/>
      <sheetName val="WPC-6.1 2004"/>
      <sheetName val="WPC-6.1 2003"/>
      <sheetName val="WPC-6.1 2002"/>
      <sheetName val="WPC-6.1 2001"/>
      <sheetName val="WPC-6.2"/>
      <sheetName val="WPC-7"/>
      <sheetName val="WPC-8"/>
      <sheetName val="WPC-9"/>
      <sheetName val="WPC-11.1a"/>
      <sheetName val="Sch 11.4 Recon Est Ovrhd"/>
      <sheetName val="WPC-13.1 Affl Int Trans"/>
      <sheetName val="WPC-14a"/>
      <sheetName val="WPC-14b"/>
      <sheetName val="WPC-14c"/>
      <sheetName val="WPC-14d"/>
      <sheetName val="WPC-14e"/>
      <sheetName val="Sch C-15 Major Maint Proj"/>
      <sheetName val="WPC-16"/>
      <sheetName val="WPC-18b Accr Prop Tax"/>
      <sheetName val="WPC-18a 2004"/>
      <sheetName val="Sch C-18a Oth Tx 2003"/>
      <sheetName val="WPC-18a 2003"/>
      <sheetName val="Sch C-18a Oth Tx 2002"/>
      <sheetName val="WPC-18a Oth Tx 2002"/>
      <sheetName val="WPC-18a 2001"/>
      <sheetName val="Sch C-20 Local Tx"/>
      <sheetName val="Sch C-24 Legal Exp &amp; Res"/>
      <sheetName val="WPC-25"/>
      <sheetName val="Sch C-27 Fuel Adj Rev &amp; Exp"/>
      <sheetName val="Sch C-28 Fuel Transp Exp"/>
      <sheetName val="Sch C-30 PGA Rev &amp; Exp"/>
      <sheetName val="Sch C-33 Billing Exper"/>
      <sheetName val="Comm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refreshError="1"/>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Allocators"/>
      <sheetName val="Plant by Acct"/>
      <sheetName val="Plant By Alloc"/>
      <sheetName val="Plant Pivot"/>
      <sheetName val="Plant Data 2011"/>
      <sheetName val="Plant Data 2010"/>
      <sheetName val="Allocation Matrix"/>
      <sheetName val="O&amp;M"/>
      <sheetName val="CUSTOMER"/>
      <sheetName val="EMPALL"/>
      <sheetName val="Washington Bldg"/>
      <sheetName val="Allocator Inputs"/>
      <sheetName val="Notes"/>
    </sheetNames>
    <sheetDataSet>
      <sheetData sheetId="0"/>
      <sheetData sheetId="1"/>
      <sheetData sheetId="2"/>
      <sheetData sheetId="3"/>
      <sheetData sheetId="4"/>
      <sheetData sheetId="5"/>
      <sheetData sheetId="6"/>
      <sheetData sheetId="7">
        <row r="4">
          <cell r="C4" t="str">
            <v>Allocator</v>
          </cell>
          <cell r="D4">
            <v>0</v>
          </cell>
          <cell r="E4" t="str">
            <v>E. Production</v>
          </cell>
          <cell r="F4">
            <v>0</v>
          </cell>
          <cell r="G4" t="str">
            <v>E. Transmission</v>
          </cell>
          <cell r="H4">
            <v>0</v>
          </cell>
          <cell r="I4" t="str">
            <v>E. Distribution</v>
          </cell>
          <cell r="J4">
            <v>0</v>
          </cell>
          <cell r="K4" t="str">
            <v>Gas</v>
          </cell>
          <cell r="L4">
            <v>0</v>
          </cell>
          <cell r="M4" t="str">
            <v>Retired</v>
          </cell>
          <cell r="N4">
            <v>0</v>
          </cell>
          <cell r="O4" t="str">
            <v>Other</v>
          </cell>
          <cell r="P4">
            <v>0</v>
          </cell>
          <cell r="Q4" t="str">
            <v>Total</v>
          </cell>
        </row>
        <row r="5">
          <cell r="C5">
            <v>0</v>
          </cell>
          <cell r="D5">
            <v>0</v>
          </cell>
          <cell r="E5">
            <v>0</v>
          </cell>
          <cell r="F5">
            <v>0</v>
          </cell>
          <cell r="G5">
            <v>0</v>
          </cell>
          <cell r="H5">
            <v>0</v>
          </cell>
          <cell r="I5">
            <v>0</v>
          </cell>
          <cell r="J5">
            <v>0</v>
          </cell>
          <cell r="K5">
            <v>0</v>
          </cell>
          <cell r="L5">
            <v>0</v>
          </cell>
          <cell r="M5">
            <v>0</v>
          </cell>
          <cell r="N5">
            <v>0</v>
          </cell>
          <cell r="O5">
            <v>0</v>
          </cell>
          <cell r="P5">
            <v>0</v>
          </cell>
          <cell r="Q5">
            <v>0</v>
          </cell>
        </row>
        <row r="6">
          <cell r="C6">
            <v>0</v>
          </cell>
        </row>
        <row r="7">
          <cell r="C7" t="str">
            <v>CUSTOMER</v>
          </cell>
          <cell r="D7">
            <v>0</v>
          </cell>
          <cell r="E7">
            <v>0</v>
          </cell>
          <cell r="F7">
            <v>0</v>
          </cell>
          <cell r="G7">
            <v>0</v>
          </cell>
          <cell r="H7">
            <v>0</v>
          </cell>
          <cell r="I7">
            <v>0.59839496606146958</v>
          </cell>
          <cell r="J7">
            <v>0</v>
          </cell>
          <cell r="K7">
            <v>0.40160503393853036</v>
          </cell>
          <cell r="L7">
            <v>0</v>
          </cell>
          <cell r="M7">
            <v>0</v>
          </cell>
          <cell r="N7">
            <v>0</v>
          </cell>
          <cell r="O7">
            <v>0</v>
          </cell>
          <cell r="P7">
            <v>0</v>
          </cell>
          <cell r="Q7">
            <v>1</v>
          </cell>
        </row>
        <row r="8">
          <cell r="C8" t="str">
            <v>E. DISTRIBUTION</v>
          </cell>
          <cell r="D8">
            <v>0</v>
          </cell>
          <cell r="E8">
            <v>0</v>
          </cell>
          <cell r="F8">
            <v>0</v>
          </cell>
          <cell r="G8">
            <v>0</v>
          </cell>
          <cell r="H8">
            <v>0</v>
          </cell>
          <cell r="I8">
            <v>1</v>
          </cell>
          <cell r="J8">
            <v>0</v>
          </cell>
          <cell r="K8">
            <v>0</v>
          </cell>
          <cell r="L8">
            <v>0</v>
          </cell>
          <cell r="M8">
            <v>0</v>
          </cell>
          <cell r="N8">
            <v>0</v>
          </cell>
          <cell r="O8">
            <v>0</v>
          </cell>
          <cell r="P8">
            <v>0</v>
          </cell>
          <cell r="Q8">
            <v>1</v>
          </cell>
        </row>
        <row r="9">
          <cell r="C9" t="str">
            <v>E. PRODUCTION</v>
          </cell>
          <cell r="D9">
            <v>0</v>
          </cell>
          <cell r="E9">
            <v>1</v>
          </cell>
          <cell r="F9">
            <v>0</v>
          </cell>
          <cell r="G9">
            <v>0</v>
          </cell>
          <cell r="H9">
            <v>0</v>
          </cell>
          <cell r="I9">
            <v>0</v>
          </cell>
          <cell r="J9">
            <v>0</v>
          </cell>
          <cell r="K9">
            <v>0</v>
          </cell>
          <cell r="L9">
            <v>0</v>
          </cell>
          <cell r="M9">
            <v>0</v>
          </cell>
          <cell r="N9">
            <v>0</v>
          </cell>
          <cell r="O9">
            <v>0</v>
          </cell>
          <cell r="P9">
            <v>0</v>
          </cell>
          <cell r="Q9">
            <v>1</v>
          </cell>
        </row>
        <row r="10">
          <cell r="C10" t="str">
            <v>E. TRANSMISSION</v>
          </cell>
          <cell r="D10">
            <v>0</v>
          </cell>
          <cell r="E10">
            <v>0</v>
          </cell>
          <cell r="F10">
            <v>0</v>
          </cell>
          <cell r="G10">
            <v>1</v>
          </cell>
          <cell r="H10">
            <v>0</v>
          </cell>
          <cell r="I10">
            <v>0</v>
          </cell>
          <cell r="J10">
            <v>0</v>
          </cell>
          <cell r="K10">
            <v>0</v>
          </cell>
          <cell r="L10">
            <v>0</v>
          </cell>
          <cell r="M10">
            <v>0</v>
          </cell>
          <cell r="N10">
            <v>0</v>
          </cell>
          <cell r="O10">
            <v>0</v>
          </cell>
          <cell r="P10">
            <v>0</v>
          </cell>
          <cell r="Q10">
            <v>1</v>
          </cell>
        </row>
        <row r="11">
          <cell r="C11" t="str">
            <v>EMPALL</v>
          </cell>
          <cell r="D11">
            <v>0</v>
          </cell>
          <cell r="E11">
            <v>0</v>
          </cell>
          <cell r="F11">
            <v>0</v>
          </cell>
          <cell r="G11">
            <v>6.386014983945773E-2</v>
          </cell>
          <cell r="H11">
            <v>0</v>
          </cell>
          <cell r="I11">
            <v>0.60863360684980383</v>
          </cell>
          <cell r="J11">
            <v>0</v>
          </cell>
          <cell r="K11">
            <v>0.32750624331073852</v>
          </cell>
          <cell r="L11">
            <v>0</v>
          </cell>
          <cell r="M11">
            <v>0</v>
          </cell>
          <cell r="N11">
            <v>0</v>
          </cell>
          <cell r="O11">
            <v>0</v>
          </cell>
          <cell r="P11">
            <v>0</v>
          </cell>
          <cell r="Q11">
            <v>1</v>
          </cell>
        </row>
        <row r="12">
          <cell r="C12" t="str">
            <v>GAS</v>
          </cell>
          <cell r="D12">
            <v>0</v>
          </cell>
          <cell r="E12">
            <v>0</v>
          </cell>
          <cell r="F12">
            <v>0</v>
          </cell>
          <cell r="G12">
            <v>0</v>
          </cell>
          <cell r="H12">
            <v>0</v>
          </cell>
          <cell r="I12">
            <v>0</v>
          </cell>
          <cell r="J12">
            <v>0</v>
          </cell>
          <cell r="K12">
            <v>1</v>
          </cell>
          <cell r="L12">
            <v>0</v>
          </cell>
          <cell r="M12">
            <v>0</v>
          </cell>
          <cell r="N12">
            <v>0</v>
          </cell>
          <cell r="O12">
            <v>0</v>
          </cell>
          <cell r="P12">
            <v>0</v>
          </cell>
          <cell r="Q12">
            <v>1</v>
          </cell>
        </row>
        <row r="13">
          <cell r="C13" t="str">
            <v>OMDG</v>
          </cell>
          <cell r="D13">
            <v>0</v>
          </cell>
          <cell r="E13">
            <v>0</v>
          </cell>
          <cell r="F13">
            <v>0</v>
          </cell>
          <cell r="G13">
            <v>0</v>
          </cell>
          <cell r="H13">
            <v>0</v>
          </cell>
          <cell r="I13">
            <v>0.73637055920124128</v>
          </cell>
          <cell r="J13">
            <v>0</v>
          </cell>
          <cell r="K13">
            <v>0.26362944079875872</v>
          </cell>
          <cell r="L13">
            <v>0</v>
          </cell>
          <cell r="M13">
            <v>0</v>
          </cell>
          <cell r="N13">
            <v>0</v>
          </cell>
          <cell r="O13">
            <v>0</v>
          </cell>
          <cell r="P13">
            <v>0</v>
          </cell>
          <cell r="Q13">
            <v>1</v>
          </cell>
        </row>
        <row r="14">
          <cell r="C14" t="str">
            <v>OMTD</v>
          </cell>
          <cell r="D14">
            <v>0</v>
          </cell>
          <cell r="E14">
            <v>0</v>
          </cell>
          <cell r="F14">
            <v>0</v>
          </cell>
          <cell r="G14">
            <v>0.18554630373121211</v>
          </cell>
          <cell r="H14">
            <v>0</v>
          </cell>
          <cell r="I14">
            <v>0.81445369626878783</v>
          </cell>
          <cell r="J14">
            <v>0</v>
          </cell>
          <cell r="K14">
            <v>0</v>
          </cell>
          <cell r="L14">
            <v>0</v>
          </cell>
          <cell r="M14">
            <v>0</v>
          </cell>
          <cell r="N14">
            <v>0</v>
          </cell>
          <cell r="O14">
            <v>0</v>
          </cell>
          <cell r="P14">
            <v>0</v>
          </cell>
          <cell r="Q14">
            <v>1</v>
          </cell>
        </row>
        <row r="15">
          <cell r="C15" t="str">
            <v>OMTDG</v>
          </cell>
          <cell r="D15">
            <v>0</v>
          </cell>
          <cell r="E15">
            <v>0</v>
          </cell>
          <cell r="F15">
            <v>0</v>
          </cell>
          <cell r="G15">
            <v>0.14365793037484278</v>
          </cell>
          <cell r="H15">
            <v>0</v>
          </cell>
          <cell r="I15">
            <v>0.63058508867742535</v>
          </cell>
          <cell r="J15">
            <v>0</v>
          </cell>
          <cell r="K15">
            <v>0.22575698094773189</v>
          </cell>
          <cell r="L15">
            <v>0</v>
          </cell>
          <cell r="M15">
            <v>0</v>
          </cell>
          <cell r="N15">
            <v>0</v>
          </cell>
          <cell r="O15">
            <v>0</v>
          </cell>
          <cell r="P15">
            <v>0</v>
          </cell>
          <cell r="Q15">
            <v>1</v>
          </cell>
        </row>
        <row r="16">
          <cell r="C16" t="str">
            <v>RETIRED</v>
          </cell>
          <cell r="D16">
            <v>0</v>
          </cell>
          <cell r="E16">
            <v>0</v>
          </cell>
          <cell r="F16">
            <v>0</v>
          </cell>
          <cell r="G16">
            <v>0</v>
          </cell>
          <cell r="H16">
            <v>0</v>
          </cell>
          <cell r="I16">
            <v>0</v>
          </cell>
          <cell r="J16">
            <v>0</v>
          </cell>
          <cell r="K16">
            <v>0</v>
          </cell>
          <cell r="L16">
            <v>0</v>
          </cell>
          <cell r="M16">
            <v>1</v>
          </cell>
          <cell r="N16">
            <v>0</v>
          </cell>
          <cell r="O16">
            <v>0</v>
          </cell>
          <cell r="P16">
            <v>0</v>
          </cell>
          <cell r="Q16">
            <v>1</v>
          </cell>
        </row>
        <row r="17">
          <cell r="C17" t="str">
            <v>WASHINGTON BLDG</v>
          </cell>
          <cell r="D17">
            <v>0</v>
          </cell>
          <cell r="E17">
            <v>0</v>
          </cell>
          <cell r="F17">
            <v>0</v>
          </cell>
          <cell r="G17">
            <v>7.3530104989960973E-2</v>
          </cell>
          <cell r="H17">
            <v>0</v>
          </cell>
          <cell r="I17">
            <v>0.51624963454349337</v>
          </cell>
          <cell r="J17">
            <v>0</v>
          </cell>
          <cell r="K17">
            <v>0.19372026046654559</v>
          </cell>
          <cell r="L17">
            <v>0</v>
          </cell>
          <cell r="M17">
            <v>0</v>
          </cell>
          <cell r="N17">
            <v>0</v>
          </cell>
          <cell r="O17">
            <v>0.21650000000000003</v>
          </cell>
          <cell r="P17">
            <v>0</v>
          </cell>
          <cell r="Q17">
            <v>0.99999999999999989</v>
          </cell>
        </row>
      </sheetData>
      <sheetData sheetId="8"/>
      <sheetData sheetId="9"/>
      <sheetData sheetId="10"/>
      <sheetData sheetId="11"/>
      <sheetData sheetId="12"/>
      <sheetData sheetId="13"/>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 - 1"/>
      <sheetName val="A - 2"/>
      <sheetName val="A - 2.1"/>
      <sheetName val="A - 4"/>
      <sheetName val="A - 5a"/>
      <sheetName val="A - 5b"/>
      <sheetName val="WPA - 5b"/>
      <sheetName val="WPA - 5c"/>
      <sheetName val="B - 1"/>
      <sheetName val="WPB - 1"/>
      <sheetName val="WPB - 2"/>
      <sheetName val="B - 3a"/>
      <sheetName val="B - 3b"/>
      <sheetName val="B - 4"/>
      <sheetName val="B - 5"/>
      <sheetName val="WPB - 5a"/>
      <sheetName val="WPB - 5b"/>
      <sheetName val="WPB - 5c"/>
      <sheetName val="B - 6a"/>
      <sheetName val="WPB - 6a"/>
      <sheetName val="B - 6b"/>
      <sheetName val="B - 8"/>
      <sheetName val="B - 8.1"/>
      <sheetName val="WPB - 8.1a"/>
      <sheetName val="WPB - 8.1b"/>
      <sheetName val="B-9"/>
      <sheetName val="WPB - 9a"/>
      <sheetName val="WPB - 9b"/>
      <sheetName val="B - 9.1"/>
      <sheetName val="B - 13"/>
      <sheetName val="WPB - 13a"/>
      <sheetName val="WPB - 13b"/>
      <sheetName val="WPB - 13c"/>
      <sheetName val="B-14"/>
      <sheetName val="WPB - 14"/>
      <sheetName val="C - 1"/>
      <sheetName val="C - 2"/>
      <sheetName val="C - 2.1"/>
      <sheetName val="C - 2.2"/>
      <sheetName val="C - 2.3"/>
      <sheetName val="C - 2.4"/>
      <sheetName val="C - 2.5"/>
      <sheetName val="C - 2.6"/>
      <sheetName val="C - 2.7"/>
      <sheetName val="WPC - 2.7a"/>
      <sheetName val="WPC - 2.7b"/>
      <sheetName val="C - 2.8"/>
      <sheetName val="C - 2.9"/>
      <sheetName val="WPC - 2.9"/>
      <sheetName val="C - 3"/>
      <sheetName val="WPC - 3a"/>
      <sheetName val="WPC - 3b"/>
      <sheetName val="C - 4"/>
      <sheetName val="WPC - 4a"/>
      <sheetName val="WPC - 4b"/>
      <sheetName val="WPC - 4c"/>
      <sheetName val="C - 5.4"/>
      <sheetName val="WPC - 5.4"/>
      <sheetName val="C - 6"/>
      <sheetName val="C - 6.1"/>
      <sheetName val="C - 6.2"/>
      <sheetName val="C - 7a"/>
      <sheetName val="C - 7b"/>
      <sheetName val="C - 8"/>
      <sheetName val="WPC - 8"/>
      <sheetName val="C - 9"/>
      <sheetName val="C - 10"/>
      <sheetName val="WPC - 10"/>
      <sheetName val="C - 10.1"/>
      <sheetName val="C - 11.1"/>
      <sheetName val="WPC - 11.1a"/>
      <sheetName val="WPC - 11.1b"/>
      <sheetName val="WPC - 11.1c"/>
      <sheetName val="WPC - 11.1d"/>
      <sheetName val="C-11.2a"/>
      <sheetName val="C-11.2b"/>
      <sheetName val="C-11.2c"/>
      <sheetName val="C-11.2d"/>
      <sheetName val="C-11.2e"/>
      <sheetName val="C-11.2f"/>
      <sheetName val="C-11.2g"/>
      <sheetName val="C-11.2h"/>
      <sheetName val="C - 11.3"/>
      <sheetName val="WPC - 11.3a"/>
      <sheetName val="WPC - 11.3b"/>
      <sheetName val="C - 12"/>
      <sheetName val="WPC - 12a"/>
      <sheetName val="WPC - 12b"/>
      <sheetName val="C - 16"/>
      <sheetName val="C - 17c"/>
      <sheetName val="C - 17d"/>
      <sheetName val="C - 18"/>
      <sheetName val="WPC - 18a"/>
      <sheetName val="WPC - 18b"/>
      <sheetName val="WPC - 18c"/>
      <sheetName val="C - 19"/>
      <sheetName val="C - 21"/>
      <sheetName val="WPC - 21a"/>
      <sheetName val="WPC - 21b"/>
      <sheetName val="C - 23"/>
      <sheetName val="WPC - 23a"/>
      <sheetName val="WPC - 23b"/>
      <sheetName val="WPC - 23c"/>
      <sheetName val="WPC - 23d"/>
      <sheetName val="C - 25"/>
      <sheetName val="C - 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 - 1"/>
      <sheetName val="A - 2"/>
      <sheetName val="A - 2.1"/>
      <sheetName val="A - 4"/>
      <sheetName val="A - 5a"/>
      <sheetName val="A - 5b"/>
      <sheetName val="WPA - 5b"/>
      <sheetName val="WPA - 5c"/>
      <sheetName val="B - 1"/>
      <sheetName val="WPB - 1"/>
      <sheetName val="WPB - 2"/>
      <sheetName val="B - 3a"/>
      <sheetName val="B - 3b"/>
      <sheetName val="B - 4"/>
      <sheetName val="B - 5"/>
      <sheetName val="WPB - 5a"/>
      <sheetName val="WPB - 5b"/>
      <sheetName val="WPB - 5c"/>
      <sheetName val="B - 6a"/>
      <sheetName val="WPB - 6a"/>
      <sheetName val="B - 6b"/>
      <sheetName val="B - 8"/>
      <sheetName val="B - 8.1"/>
      <sheetName val="WPB - 8.1a"/>
      <sheetName val="WPB - 8.1b"/>
      <sheetName val="B-9"/>
      <sheetName val="WPB - 9a"/>
      <sheetName val="WPB - 9b"/>
      <sheetName val="B - 9.1"/>
      <sheetName val="B - 13"/>
      <sheetName val="WPB - 13a"/>
      <sheetName val="WPB - 13b"/>
      <sheetName val="WPB - 13c"/>
      <sheetName val="B-14"/>
      <sheetName val="WPB - 14"/>
      <sheetName val="C - 1"/>
      <sheetName val="C - 2"/>
      <sheetName val="C - 2.1"/>
      <sheetName val="C - 2.2"/>
      <sheetName val="C - 2.3"/>
      <sheetName val="C - 2.4"/>
      <sheetName val="C - 2.5"/>
      <sheetName val="C - 2.6"/>
      <sheetName val="C - 2.7"/>
      <sheetName val="WPC - 2.7a"/>
      <sheetName val="WPC - 2.7b"/>
      <sheetName val="C - 2.8"/>
      <sheetName val="C - 2.9"/>
      <sheetName val="WPC - 2.9"/>
      <sheetName val="C - 3"/>
      <sheetName val="WPC - 3a"/>
      <sheetName val="WPC - 3b"/>
      <sheetName val="C - 4"/>
      <sheetName val="WPC - 4a"/>
      <sheetName val="WPC - 4b"/>
      <sheetName val="WPC - 4c"/>
      <sheetName val="C - 5.4"/>
      <sheetName val="WPC - 5.4"/>
      <sheetName val="C - 6"/>
      <sheetName val="C - 6.1"/>
      <sheetName val="C - 6.2"/>
      <sheetName val="C - 7a"/>
      <sheetName val="C - 7b"/>
      <sheetName val="C - 8"/>
      <sheetName val="WPC - 8"/>
      <sheetName val="C - 9"/>
      <sheetName val="C - 10"/>
      <sheetName val="WPC - 10"/>
      <sheetName val="C - 10.1"/>
      <sheetName val="C - 11.1"/>
      <sheetName val="WPC - 11.1a"/>
      <sheetName val="WPC - 11.1b"/>
      <sheetName val="WPC - 11.1c"/>
      <sheetName val="WPC - 11.1d"/>
      <sheetName val="C-11.2a"/>
      <sheetName val="C-11.2b"/>
      <sheetName val="C-11.2c"/>
      <sheetName val="C-11.2d"/>
      <sheetName val="C-11.2e"/>
      <sheetName val="C-11.2f"/>
      <sheetName val="C-11.2g"/>
      <sheetName val="C-11.2h"/>
      <sheetName val="C - 11.3"/>
      <sheetName val="WPC - 11.3a"/>
      <sheetName val="WPC - 11.3b"/>
      <sheetName val="C - 12"/>
      <sheetName val="WPC - 12a"/>
      <sheetName val="WPC - 12b"/>
      <sheetName val="C - 16"/>
      <sheetName val="C - 17c"/>
      <sheetName val="C - 17d"/>
      <sheetName val="C - 18"/>
      <sheetName val="WPC - 18a"/>
      <sheetName val="WPC - 18b"/>
      <sheetName val="WPC - 18c"/>
      <sheetName val="C - 19"/>
      <sheetName val="C - 21"/>
      <sheetName val="WPC - 21a"/>
      <sheetName val="WPC - 21b"/>
      <sheetName val="C - 23"/>
      <sheetName val="WPC - 23a"/>
      <sheetName val="WPC - 23b"/>
      <sheetName val="WPC - 23c"/>
      <sheetName val="WPC - 23d"/>
      <sheetName val="C - 25"/>
      <sheetName val="C - 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CO Bal Sht"/>
      <sheetName val="Assumptions"/>
    </sheetNames>
    <sheetDataSet>
      <sheetData sheetId="0" refreshError="1"/>
      <sheetData sheetId="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EED O&amp;M BO data"/>
      <sheetName val="category BO data"/>
      <sheetName val="lookup values"/>
      <sheetName val="BSC TFP Passthru----&gt;"/>
      <sheetName val="TOTAL"/>
      <sheetName val="TOTAL V2"/>
      <sheetName val="TOTAL V3"/>
      <sheetName val="Embedded EED"/>
      <sheetName val="Embedded ComEd"/>
      <sheetName val="Embedded PECO"/>
      <sheetName val="Embedded Commun EED"/>
      <sheetName val="Embedded Commun ComEd"/>
      <sheetName val="Embedded Commun PECO"/>
      <sheetName val="Embedded Finance ComEd"/>
      <sheetName val="Embedded Finance PECO"/>
      <sheetName val="Embedded Finance EED-Sum"/>
      <sheetName val="Embedded Finance ComEd-Sum"/>
      <sheetName val="Embedded Finance PECO-Sum"/>
      <sheetName val="Embedded Finance EED"/>
      <sheetName val="Finance"/>
      <sheetName val="Tax"/>
      <sheetName val="Controller"/>
      <sheetName val="Bank Fees"/>
      <sheetName val="Embedded HR EED"/>
      <sheetName val="Embedded HR ComEd"/>
      <sheetName val="Embedded HR PECO"/>
      <sheetName val="Embedded IT EED"/>
      <sheetName val="Embedded IT ComEd"/>
      <sheetName val="Embedded IT PECO"/>
      <sheetName val="Embedded Legal EED"/>
      <sheetName val="Embedded Legal Summary"/>
      <sheetName val="Embedded Legal ComEd"/>
      <sheetName val="Embedded Legal PECO"/>
      <sheetName val="Embedded Supply EED"/>
      <sheetName val="Embedded Supply ComEd"/>
      <sheetName val="Embedded Supply PECO"/>
      <sheetName val="Corp Allocated EED"/>
      <sheetName val="Corp Allocated ComEd"/>
      <sheetName val="Corp Allocated PECO"/>
      <sheetName val="Transactional EED"/>
      <sheetName val="Transactional ComEd"/>
      <sheetName val="Transactional PECO"/>
      <sheetName val="Transactional---EDSS"/>
      <sheetName val="PECO Bal Sht"/>
    </sheetNames>
    <sheetDataSet>
      <sheetData sheetId="0" refreshError="1">
        <row r="2">
          <cell r="E2">
            <v>301617</v>
          </cell>
          <cell r="H2">
            <v>38555</v>
          </cell>
          <cell r="I2">
            <v>26294</v>
          </cell>
          <cell r="J2">
            <v>1062732</v>
          </cell>
          <cell r="M2">
            <v>325499</v>
          </cell>
          <cell r="N2">
            <v>26294</v>
          </cell>
          <cell r="O2">
            <v>4237882</v>
          </cell>
          <cell r="R2">
            <v>198268</v>
          </cell>
          <cell r="S2">
            <v>153045</v>
          </cell>
          <cell r="V2" t="str">
            <v>Corporate Allocated</v>
          </cell>
          <cell r="W2" t="str">
            <v>Gov Env &amp; Pub Affairs</v>
          </cell>
          <cell r="AA2" t="str">
            <v>[10601]  Commonwealth Edison CompanyCorporate AllocatedGov Env &amp; Pub Affairs</v>
          </cell>
          <cell r="AB2" t="str">
            <v>[10601]  Commonwealth Edison CompanyCorporate Allocated (Gov Env &amp; Pub Affairs)Business Services</v>
          </cell>
          <cell r="AC2" t="str">
            <v>[10601]  Commonwealth Edison CompanyCorporate Allocated (Gov Env &amp; Pub Affairs)EBSC Gov Env &amp; Pub Affairs CED (00123)</v>
          </cell>
          <cell r="AF2" t="e">
            <v>#N/A</v>
          </cell>
        </row>
        <row r="3">
          <cell r="E3">
            <v>83939</v>
          </cell>
          <cell r="H3">
            <v>-7453</v>
          </cell>
          <cell r="I3">
            <v>-7453</v>
          </cell>
          <cell r="J3">
            <v>368616</v>
          </cell>
          <cell r="M3">
            <v>-64248</v>
          </cell>
          <cell r="N3">
            <v>-7453</v>
          </cell>
          <cell r="O3">
            <v>1005998</v>
          </cell>
          <cell r="R3">
            <v>-64248</v>
          </cell>
          <cell r="S3">
            <v>-7453</v>
          </cell>
          <cell r="V3" t="str">
            <v>Embedded</v>
          </cell>
          <cell r="W3" t="str">
            <v>Human Resources</v>
          </cell>
          <cell r="AA3" t="str">
            <v>[10601]  Commonwealth Edison CompanyEmbeddedHuman Resources</v>
          </cell>
          <cell r="AB3" t="str">
            <v>[10601]  Commonwealth Edison CompanyEmbedded (Human Resources)Salaries and Wages</v>
          </cell>
          <cell r="AC3" t="str">
            <v>[10601]  Commonwealth Edison CompanyEmbedded (Human Resources)HR Operations CED (00124)</v>
          </cell>
          <cell r="AF3" t="e">
            <v>#N/A</v>
          </cell>
        </row>
        <row r="4">
          <cell r="E4">
            <v>449</v>
          </cell>
          <cell r="H4">
            <v>2885</v>
          </cell>
          <cell r="I4">
            <v>551</v>
          </cell>
          <cell r="J4">
            <v>4464</v>
          </cell>
          <cell r="M4">
            <v>8869</v>
          </cell>
          <cell r="N4">
            <v>551</v>
          </cell>
          <cell r="O4">
            <v>12464</v>
          </cell>
          <cell r="R4">
            <v>27536</v>
          </cell>
          <cell r="S4">
            <v>551</v>
          </cell>
          <cell r="V4" t="str">
            <v>Embedded</v>
          </cell>
          <cell r="W4" t="str">
            <v>Human Resources</v>
          </cell>
          <cell r="AA4" t="str">
            <v>[10601]  Commonwealth Edison CompanyEmbeddedHuman Resources</v>
          </cell>
          <cell r="AB4" t="str">
            <v>[10601]  Commonwealth Edison CompanyEmbedded (Human Resources)Travel, Entertainment &amp; Reimb</v>
          </cell>
          <cell r="AC4" t="str">
            <v>[10601]  Commonwealth Edison CompanyEmbedded (Human Resources)HR Operations CED (00124)</v>
          </cell>
          <cell r="AF4" t="e">
            <v>#N/A</v>
          </cell>
        </row>
        <row r="5">
          <cell r="E5">
            <v>0</v>
          </cell>
          <cell r="H5">
            <v>6550</v>
          </cell>
          <cell r="I5">
            <v>2050</v>
          </cell>
          <cell r="J5">
            <v>7385</v>
          </cell>
          <cell r="M5">
            <v>19315</v>
          </cell>
          <cell r="N5">
            <v>2050</v>
          </cell>
          <cell r="O5">
            <v>25285</v>
          </cell>
          <cell r="R5">
            <v>55315</v>
          </cell>
          <cell r="S5">
            <v>2050</v>
          </cell>
          <cell r="V5" t="str">
            <v>Embedded</v>
          </cell>
          <cell r="W5" t="str">
            <v>Human Resources</v>
          </cell>
          <cell r="AA5" t="str">
            <v>[10601]  Commonwealth Edison CompanyEmbeddedHuman Resources</v>
          </cell>
          <cell r="AB5" t="str">
            <v>[10601]  Commonwealth Edison CompanyEmbedded (Human Resources)Contracting</v>
          </cell>
          <cell r="AC5" t="str">
            <v>[10601]  Commonwealth Edison CompanyEmbedded (Human Resources)HR Operations CED (00124)</v>
          </cell>
          <cell r="AF5" t="e">
            <v>#N/A</v>
          </cell>
        </row>
        <row r="6">
          <cell r="E6">
            <v>4378</v>
          </cell>
          <cell r="H6">
            <v>522</v>
          </cell>
          <cell r="I6">
            <v>522</v>
          </cell>
          <cell r="J6">
            <v>18860</v>
          </cell>
          <cell r="M6">
            <v>740</v>
          </cell>
          <cell r="N6">
            <v>522</v>
          </cell>
          <cell r="O6">
            <v>58060</v>
          </cell>
          <cell r="R6">
            <v>740</v>
          </cell>
          <cell r="S6">
            <v>522</v>
          </cell>
          <cell r="V6" t="str">
            <v>Embedded</v>
          </cell>
          <cell r="W6" t="str">
            <v>Human Resources</v>
          </cell>
          <cell r="AA6" t="str">
            <v>[10601]  Commonwealth Edison CompanyEmbeddedHuman Resources</v>
          </cell>
          <cell r="AB6" t="str">
            <v>[10601]  Commonwealth Edison CompanyEmbedded (Human Resources)Business Services</v>
          </cell>
          <cell r="AC6" t="str">
            <v>[10601]  Commonwealth Edison CompanyEmbedded (Human Resources)HR Operations CED (00124)</v>
          </cell>
          <cell r="AF6" t="e">
            <v>#N/A</v>
          </cell>
        </row>
        <row r="7">
          <cell r="E7">
            <v>59</v>
          </cell>
          <cell r="H7">
            <v>-59</v>
          </cell>
          <cell r="I7">
            <v>-59</v>
          </cell>
          <cell r="J7">
            <v>151</v>
          </cell>
          <cell r="M7">
            <v>-151</v>
          </cell>
          <cell r="N7">
            <v>-59</v>
          </cell>
          <cell r="O7">
            <v>151</v>
          </cell>
          <cell r="R7">
            <v>-151</v>
          </cell>
          <cell r="S7">
            <v>-59</v>
          </cell>
          <cell r="V7" t="str">
            <v>Embedded</v>
          </cell>
          <cell r="W7" t="str">
            <v>Human Resources</v>
          </cell>
          <cell r="AA7" t="str">
            <v>[10601]  Commonwealth Edison CompanyEmbeddedHuman Resources</v>
          </cell>
          <cell r="AB7" t="str">
            <v>[10601]  Commonwealth Edison CompanyEmbedded (Human Resources)Materials and Supplies</v>
          </cell>
          <cell r="AC7" t="str">
            <v>[10601]  Commonwealth Edison CompanyEmbedded (Human Resources)HR Operations CED (00124)</v>
          </cell>
          <cell r="AF7" t="e">
            <v>#N/A</v>
          </cell>
        </row>
        <row r="8">
          <cell r="E8">
            <v>30</v>
          </cell>
          <cell r="H8">
            <v>387</v>
          </cell>
          <cell r="I8">
            <v>387</v>
          </cell>
          <cell r="J8">
            <v>171</v>
          </cell>
          <cell r="M8">
            <v>1496</v>
          </cell>
          <cell r="N8">
            <v>387</v>
          </cell>
          <cell r="O8">
            <v>3504</v>
          </cell>
          <cell r="R8">
            <v>1496</v>
          </cell>
          <cell r="S8">
            <v>387</v>
          </cell>
          <cell r="V8" t="str">
            <v>Embedded</v>
          </cell>
          <cell r="W8" t="str">
            <v>Human Resources</v>
          </cell>
          <cell r="AA8" t="str">
            <v>[10601]  Commonwealth Edison CompanyEmbeddedHuman Resources</v>
          </cell>
          <cell r="AB8" t="str">
            <v>[10601]  Commonwealth Edison CompanyEmbedded (Human Resources)Travel, Entertainment &amp; Reimb</v>
          </cell>
          <cell r="AC8" t="str">
            <v>[10601]  Commonwealth Edison CompanyEmbedded (Human Resources)HR Operations CED (00124)</v>
          </cell>
          <cell r="AF8" t="e">
            <v>#N/A</v>
          </cell>
        </row>
        <row r="9">
          <cell r="E9">
            <v>494</v>
          </cell>
          <cell r="H9">
            <v>89</v>
          </cell>
          <cell r="I9">
            <v>-188</v>
          </cell>
          <cell r="J9">
            <v>1021</v>
          </cell>
          <cell r="M9">
            <v>1313</v>
          </cell>
          <cell r="N9">
            <v>-188</v>
          </cell>
          <cell r="O9">
            <v>3465</v>
          </cell>
          <cell r="R9">
            <v>3535</v>
          </cell>
          <cell r="S9">
            <v>-188</v>
          </cell>
          <cell r="V9" t="str">
            <v>Embedded</v>
          </cell>
          <cell r="W9" t="str">
            <v>Human Resources</v>
          </cell>
          <cell r="AA9" t="str">
            <v>[10601]  Commonwealth Edison CompanyEmbeddedHuman Resources</v>
          </cell>
          <cell r="AB9" t="str">
            <v>[10601]  Commonwealth Edison CompanyEmbedded (Human Resources)Other Operating Expenses</v>
          </cell>
          <cell r="AC9" t="str">
            <v>[10601]  Commonwealth Edison CompanyEmbedded (Human Resources)HR Operations CED (00124)</v>
          </cell>
          <cell r="AF9" t="e">
            <v>#N/A</v>
          </cell>
        </row>
        <row r="10">
          <cell r="E10">
            <v>849</v>
          </cell>
          <cell r="H10">
            <v>1051</v>
          </cell>
          <cell r="I10">
            <v>1051</v>
          </cell>
          <cell r="J10">
            <v>9991</v>
          </cell>
          <cell r="M10">
            <v>-1891</v>
          </cell>
          <cell r="N10">
            <v>1051</v>
          </cell>
          <cell r="O10">
            <v>25191</v>
          </cell>
          <cell r="R10">
            <v>-1391</v>
          </cell>
          <cell r="S10">
            <v>1051</v>
          </cell>
          <cell r="V10" t="str">
            <v>Embedded</v>
          </cell>
          <cell r="W10" t="str">
            <v>Human Resources</v>
          </cell>
          <cell r="AA10" t="str">
            <v>[10601]  Commonwealth Edison CompanyEmbeddedHuman Resources</v>
          </cell>
          <cell r="AB10" t="str">
            <v>[10601]  Commonwealth Edison CompanyEmbedded (Human Resources)Other Operating Expenses</v>
          </cell>
          <cell r="AC10" t="str">
            <v>[10601]  Commonwealth Edison CompanyEmbedded (Human Resources)HR Operations CED (00124)</v>
          </cell>
          <cell r="AF10" t="e">
            <v>#N/A</v>
          </cell>
        </row>
        <row r="11">
          <cell r="E11">
            <v>1490</v>
          </cell>
          <cell r="H11">
            <v>1260</v>
          </cell>
          <cell r="I11">
            <v>-1046</v>
          </cell>
          <cell r="J11">
            <v>3929</v>
          </cell>
          <cell r="M11">
            <v>8571</v>
          </cell>
          <cell r="N11">
            <v>-1046</v>
          </cell>
          <cell r="O11">
            <v>7485</v>
          </cell>
          <cell r="R11">
            <v>31515</v>
          </cell>
          <cell r="S11">
            <v>-1046</v>
          </cell>
          <cell r="V11" t="str">
            <v>Embedded</v>
          </cell>
          <cell r="W11" t="str">
            <v>Human Resources</v>
          </cell>
          <cell r="AA11" t="str">
            <v>[10601]  Commonwealth Edison CompanyEmbeddedHuman Resources</v>
          </cell>
          <cell r="AB11" t="str">
            <v>[10601]  Commonwealth Edison CompanyEmbedded (Human Resources)Other Operating Expenses</v>
          </cell>
          <cell r="AC11" t="str">
            <v>[10601]  Commonwealth Edison CompanyEmbedded (Human Resources)HR Operations CED (00124)</v>
          </cell>
          <cell r="AF11" t="e">
            <v>#N/A</v>
          </cell>
        </row>
        <row r="12">
          <cell r="E12">
            <v>0</v>
          </cell>
          <cell r="H12">
            <v>-820</v>
          </cell>
          <cell r="I12">
            <v>-820</v>
          </cell>
          <cell r="J12">
            <v>0</v>
          </cell>
          <cell r="M12">
            <v>1719</v>
          </cell>
          <cell r="N12">
            <v>-820</v>
          </cell>
          <cell r="O12">
            <v>3438</v>
          </cell>
          <cell r="R12">
            <v>1719</v>
          </cell>
          <cell r="S12">
            <v>-820</v>
          </cell>
          <cell r="V12" t="str">
            <v>Embedded</v>
          </cell>
          <cell r="W12" t="str">
            <v>Human Resources</v>
          </cell>
          <cell r="AA12" t="str">
            <v>[10601]  Commonwealth Edison CompanyEmbeddedHuman Resources</v>
          </cell>
          <cell r="AB12" t="str">
            <v>[10601]  Commonwealth Edison CompanyEmbedded (Human Resources)Salaries and Wages</v>
          </cell>
          <cell r="AC12" t="str">
            <v>[10601]  Commonwealth Edison CompanyEmbedded (Human Resources)HR Operations CED (00124)</v>
          </cell>
          <cell r="AF12" t="e">
            <v>#N/A</v>
          </cell>
        </row>
        <row r="13">
          <cell r="E13">
            <v>514</v>
          </cell>
          <cell r="H13">
            <v>-14</v>
          </cell>
          <cell r="I13">
            <v>-14</v>
          </cell>
          <cell r="J13">
            <v>3062</v>
          </cell>
          <cell r="M13">
            <v>-1062</v>
          </cell>
          <cell r="N13">
            <v>-14</v>
          </cell>
          <cell r="O13">
            <v>7062</v>
          </cell>
          <cell r="R13">
            <v>-1062</v>
          </cell>
          <cell r="S13">
            <v>-14</v>
          </cell>
          <cell r="V13" t="str">
            <v>Embedded</v>
          </cell>
          <cell r="W13" t="str">
            <v>Human Resources</v>
          </cell>
          <cell r="AA13" t="str">
            <v>[10601]  Commonwealth Edison CompanyEmbeddedHuman Resources</v>
          </cell>
          <cell r="AB13" t="str">
            <v>[10601]  Commonwealth Edison CompanyEmbedded (Human Resources)Overtime</v>
          </cell>
          <cell r="AC13" t="str">
            <v>[10601]  Commonwealth Edison CompanyEmbedded (Human Resources)HR Operations CED (00124)</v>
          </cell>
          <cell r="AF13" t="e">
            <v>#N/A</v>
          </cell>
        </row>
        <row r="14">
          <cell r="E14">
            <v>63835</v>
          </cell>
          <cell r="H14">
            <v>-18612</v>
          </cell>
          <cell r="I14">
            <v>-18612</v>
          </cell>
          <cell r="J14">
            <v>246642</v>
          </cell>
          <cell r="M14">
            <v>-66681</v>
          </cell>
          <cell r="N14">
            <v>-18612</v>
          </cell>
          <cell r="O14">
            <v>623500</v>
          </cell>
          <cell r="R14">
            <v>-66681</v>
          </cell>
          <cell r="S14">
            <v>-18612</v>
          </cell>
          <cell r="V14" t="str">
            <v>Embedded</v>
          </cell>
          <cell r="W14" t="str">
            <v>Human Resources</v>
          </cell>
          <cell r="AA14" t="str">
            <v>[10601]  Commonwealth Edison CompanyEmbeddedHuman Resources</v>
          </cell>
          <cell r="AB14" t="str">
            <v>[10601]  Commonwealth Edison CompanyEmbedded (Human Resources)Pension and Benefits</v>
          </cell>
          <cell r="AC14" t="str">
            <v>[10601]  Commonwealth Edison CompanyEmbedded (Human Resources)HR Operations CED (00124)</v>
          </cell>
          <cell r="AF14" t="e">
            <v>#N/A</v>
          </cell>
        </row>
        <row r="15">
          <cell r="E15">
            <v>1324349</v>
          </cell>
          <cell r="H15">
            <v>-73961</v>
          </cell>
          <cell r="I15">
            <v>122754</v>
          </cell>
          <cell r="J15">
            <v>4911764</v>
          </cell>
          <cell r="M15">
            <v>22322</v>
          </cell>
          <cell r="N15">
            <v>122754</v>
          </cell>
          <cell r="O15">
            <v>14728616</v>
          </cell>
          <cell r="R15">
            <v>699361</v>
          </cell>
          <cell r="S15">
            <v>426970</v>
          </cell>
          <cell r="V15" t="str">
            <v>Corporate Allocated</v>
          </cell>
          <cell r="W15" t="str">
            <v>Human Resources</v>
          </cell>
          <cell r="AA15" t="str">
            <v>[10601]  Commonwealth Edison CompanyCorporate AllocatedHuman Resources</v>
          </cell>
          <cell r="AB15" t="str">
            <v>[10601]  Commonwealth Edison CompanyCorporate Allocated (Human Resources)Business Services</v>
          </cell>
          <cell r="AC15" t="str">
            <v>[10601]  Commonwealth Edison CompanyCorporate Allocated (Human Resources)EBSC HR Srvcs CED (00182)</v>
          </cell>
          <cell r="AF15" t="e">
            <v>#N/A</v>
          </cell>
        </row>
        <row r="16">
          <cell r="E16">
            <v>2718533</v>
          </cell>
          <cell r="H16">
            <v>993</v>
          </cell>
          <cell r="I16">
            <v>-14754</v>
          </cell>
          <cell r="J16">
            <v>9917669</v>
          </cell>
          <cell r="M16">
            <v>947418</v>
          </cell>
          <cell r="N16">
            <v>-14754</v>
          </cell>
          <cell r="O16">
            <v>33637290</v>
          </cell>
          <cell r="R16">
            <v>922177</v>
          </cell>
          <cell r="S16">
            <v>259035</v>
          </cell>
          <cell r="V16" t="str">
            <v>Corporate Allocated</v>
          </cell>
          <cell r="W16" t="str">
            <v>Finance</v>
          </cell>
          <cell r="AA16" t="str">
            <v>[10601]  Commonwealth Edison CompanyCorporate AllocatedFinance</v>
          </cell>
          <cell r="AB16" t="str">
            <v>[10601]  Commonwealth Edison CompanyCorporate Allocated (Finance)Business Services</v>
          </cell>
          <cell r="AC16" t="str">
            <v>[10601]  Commonwealth Edison CompanyCorporate Allocated (Finance)EBSC Fin Srvcs CED (00188)</v>
          </cell>
          <cell r="AF16" t="e">
            <v>#N/A</v>
          </cell>
        </row>
        <row r="17">
          <cell r="E17">
            <v>50777</v>
          </cell>
          <cell r="H17">
            <v>1447</v>
          </cell>
          <cell r="I17">
            <v>1447</v>
          </cell>
          <cell r="J17">
            <v>180157</v>
          </cell>
          <cell r="M17">
            <v>27662</v>
          </cell>
          <cell r="N17">
            <v>1447</v>
          </cell>
          <cell r="O17">
            <v>615353</v>
          </cell>
          <cell r="R17">
            <v>27662</v>
          </cell>
          <cell r="S17">
            <v>1447</v>
          </cell>
          <cell r="V17" t="str">
            <v>Embedded</v>
          </cell>
          <cell r="W17" t="str">
            <v>Communications</v>
          </cell>
          <cell r="AA17" t="str">
            <v>[10601]  Commonwealth Edison CompanyEmbeddedCommunications</v>
          </cell>
          <cell r="AB17" t="str">
            <v>[10601]  Commonwealth Edison CompanyEmbedded (Communications)Salaries and Wages</v>
          </cell>
          <cell r="AC17" t="str">
            <v>[10601]  Commonwealth Edison CompanyEmbedded (Communications)Communications- ComEd (00189)</v>
          </cell>
          <cell r="AF17" t="e">
            <v>#N/A</v>
          </cell>
        </row>
        <row r="18">
          <cell r="E18">
            <v>3949</v>
          </cell>
          <cell r="H18">
            <v>1051</v>
          </cell>
          <cell r="I18">
            <v>1051</v>
          </cell>
          <cell r="J18">
            <v>12560</v>
          </cell>
          <cell r="M18">
            <v>-6060</v>
          </cell>
          <cell r="N18">
            <v>1051</v>
          </cell>
          <cell r="O18">
            <v>16544</v>
          </cell>
          <cell r="R18">
            <v>-44</v>
          </cell>
          <cell r="S18">
            <v>1051</v>
          </cell>
          <cell r="V18" t="str">
            <v>Embedded</v>
          </cell>
          <cell r="W18" t="str">
            <v>Communications</v>
          </cell>
          <cell r="AA18" t="str">
            <v>[10601]  Commonwealth Edison CompanyEmbeddedCommunications</v>
          </cell>
          <cell r="AB18" t="str">
            <v>[10601]  Commonwealth Edison CompanyEmbedded (Communications)Travel, Entertainment &amp; Reimb</v>
          </cell>
          <cell r="AC18" t="str">
            <v>[10601]  Commonwealth Edison CompanyEmbedded (Communications)Communications- ComEd (00189)</v>
          </cell>
          <cell r="AF18" t="e">
            <v>#N/A</v>
          </cell>
        </row>
        <row r="19">
          <cell r="E19">
            <v>22424</v>
          </cell>
          <cell r="H19">
            <v>-6590</v>
          </cell>
          <cell r="I19">
            <v>-13180</v>
          </cell>
          <cell r="J19">
            <v>65616</v>
          </cell>
          <cell r="M19">
            <v>12718</v>
          </cell>
          <cell r="N19">
            <v>-13180</v>
          </cell>
          <cell r="O19">
            <v>139567</v>
          </cell>
          <cell r="R19">
            <v>82933</v>
          </cell>
          <cell r="S19">
            <v>-13180</v>
          </cell>
          <cell r="V19" t="str">
            <v>Embedded</v>
          </cell>
          <cell r="W19" t="str">
            <v>Communications</v>
          </cell>
          <cell r="AA19" t="str">
            <v>[10601]  Commonwealth Edison CompanyEmbeddedCommunications</v>
          </cell>
          <cell r="AB19" t="str">
            <v>[10601]  Commonwealth Edison CompanyEmbedded (Communications)Contracting</v>
          </cell>
          <cell r="AC19" t="str">
            <v>[10601]  Commonwealth Edison CompanyEmbedded (Communications)Communications- ComEd (00189)</v>
          </cell>
          <cell r="AF19" t="e">
            <v>#N/A</v>
          </cell>
        </row>
        <row r="20">
          <cell r="E20">
            <v>2845</v>
          </cell>
          <cell r="H20">
            <v>-2845</v>
          </cell>
          <cell r="I20">
            <v>489</v>
          </cell>
          <cell r="J20">
            <v>19597</v>
          </cell>
          <cell r="M20">
            <v>-19597</v>
          </cell>
          <cell r="N20">
            <v>489</v>
          </cell>
          <cell r="O20">
            <v>46264</v>
          </cell>
          <cell r="R20">
            <v>-46264</v>
          </cell>
          <cell r="S20">
            <v>489</v>
          </cell>
          <cell r="V20" t="str">
            <v>Embedded</v>
          </cell>
          <cell r="W20" t="str">
            <v>Communications</v>
          </cell>
          <cell r="AA20" t="str">
            <v>[10601]  Commonwealth Edison CompanyEmbeddedCommunications</v>
          </cell>
          <cell r="AB20" t="str">
            <v>[10601]  Commonwealth Edison CompanyEmbedded (Communications)Business Services</v>
          </cell>
          <cell r="AC20" t="str">
            <v>[10601]  Commonwealth Edison CompanyEmbedded (Communications)Communications- ComEd (00189)</v>
          </cell>
          <cell r="AF20" t="e">
            <v>#N/A</v>
          </cell>
        </row>
        <row r="21">
          <cell r="E21">
            <v>611</v>
          </cell>
          <cell r="H21">
            <v>-511</v>
          </cell>
          <cell r="I21">
            <v>-511</v>
          </cell>
          <cell r="J21">
            <v>1054</v>
          </cell>
          <cell r="M21">
            <v>-154</v>
          </cell>
          <cell r="N21">
            <v>-511</v>
          </cell>
          <cell r="O21">
            <v>2654</v>
          </cell>
          <cell r="R21">
            <v>-154</v>
          </cell>
          <cell r="S21">
            <v>-511</v>
          </cell>
          <cell r="V21" t="str">
            <v>Embedded</v>
          </cell>
          <cell r="W21" t="str">
            <v>Communications</v>
          </cell>
          <cell r="AA21" t="str">
            <v>[10601]  Commonwealth Edison CompanyEmbeddedCommunications</v>
          </cell>
          <cell r="AB21" t="str">
            <v>[10601]  Commonwealth Edison CompanyEmbedded (Communications)Travel, Entertainment &amp; Reimb</v>
          </cell>
          <cell r="AC21" t="str">
            <v>[10601]  Commonwealth Edison CompanyEmbedded (Communications)Communications- ComEd (00189)</v>
          </cell>
          <cell r="AF21" t="e">
            <v>#N/A</v>
          </cell>
        </row>
        <row r="22">
          <cell r="E22">
            <v>188</v>
          </cell>
          <cell r="H22">
            <v>-38</v>
          </cell>
          <cell r="I22">
            <v>-188</v>
          </cell>
          <cell r="J22">
            <v>3115</v>
          </cell>
          <cell r="M22">
            <v>-2715</v>
          </cell>
          <cell r="N22">
            <v>-188</v>
          </cell>
          <cell r="O22">
            <v>3115</v>
          </cell>
          <cell r="R22">
            <v>-2415</v>
          </cell>
          <cell r="S22">
            <v>-188</v>
          </cell>
          <cell r="V22" t="str">
            <v>Embedded</v>
          </cell>
          <cell r="W22" t="str">
            <v>Communications</v>
          </cell>
          <cell r="AA22" t="str">
            <v>[10601]  Commonwealth Edison CompanyEmbeddedCommunications</v>
          </cell>
          <cell r="AB22" t="str">
            <v>[10601]  Commonwealth Edison CompanyEmbedded (Communications)Other Operating Expenses</v>
          </cell>
          <cell r="AC22" t="str">
            <v>[10601]  Commonwealth Edison CompanyEmbedded (Communications)Communications- ComEd (00189)</v>
          </cell>
          <cell r="AF22" t="e">
            <v>#N/A</v>
          </cell>
        </row>
        <row r="23">
          <cell r="E23">
            <v>710</v>
          </cell>
          <cell r="H23">
            <v>5290</v>
          </cell>
          <cell r="I23">
            <v>3090</v>
          </cell>
          <cell r="J23">
            <v>3165</v>
          </cell>
          <cell r="M23">
            <v>20835</v>
          </cell>
          <cell r="N23">
            <v>3090</v>
          </cell>
          <cell r="O23">
            <v>33566</v>
          </cell>
          <cell r="R23">
            <v>38434</v>
          </cell>
          <cell r="S23">
            <v>3090</v>
          </cell>
          <cell r="V23" t="str">
            <v>Embedded</v>
          </cell>
          <cell r="W23" t="str">
            <v>Communications</v>
          </cell>
          <cell r="AA23" t="str">
            <v>[10601]  Commonwealth Edison CompanyEmbeddedCommunications</v>
          </cell>
          <cell r="AB23" t="str">
            <v>[10601]  Commonwealth Edison CompanyEmbedded (Communications)Other Operating Expenses</v>
          </cell>
          <cell r="AC23" t="str">
            <v>[10601]  Commonwealth Edison CompanyEmbedded (Communications)Communications- ComEd (00189)</v>
          </cell>
          <cell r="AF23" t="e">
            <v>#N/A</v>
          </cell>
        </row>
        <row r="24">
          <cell r="E24">
            <v>339</v>
          </cell>
          <cell r="H24">
            <v>1161</v>
          </cell>
          <cell r="I24">
            <v>1609</v>
          </cell>
          <cell r="J24">
            <v>1080</v>
          </cell>
          <cell r="M24">
            <v>18420</v>
          </cell>
          <cell r="N24">
            <v>1609</v>
          </cell>
          <cell r="O24">
            <v>16656</v>
          </cell>
          <cell r="R24">
            <v>28844</v>
          </cell>
          <cell r="S24">
            <v>1609</v>
          </cell>
          <cell r="V24" t="str">
            <v>Embedded</v>
          </cell>
          <cell r="W24" t="str">
            <v>Communications</v>
          </cell>
          <cell r="AA24" t="str">
            <v>[10601]  Commonwealth Edison CompanyEmbeddedCommunications</v>
          </cell>
          <cell r="AB24" t="str">
            <v>[10601]  Commonwealth Edison CompanyEmbedded (Communications)Other Operating Expenses</v>
          </cell>
          <cell r="AC24" t="str">
            <v>[10601]  Commonwealth Edison CompanyEmbedded (Communications)Communications- ComEd (00189)</v>
          </cell>
          <cell r="AF24" t="e">
            <v>#N/A</v>
          </cell>
        </row>
        <row r="25">
          <cell r="E25">
            <v>35336</v>
          </cell>
          <cell r="H25">
            <v>-4459</v>
          </cell>
          <cell r="I25">
            <v>-4459</v>
          </cell>
          <cell r="J25">
            <v>120324</v>
          </cell>
          <cell r="M25">
            <v>2551</v>
          </cell>
          <cell r="N25">
            <v>-4459</v>
          </cell>
          <cell r="O25">
            <v>377638</v>
          </cell>
          <cell r="R25">
            <v>2551</v>
          </cell>
          <cell r="S25">
            <v>-4459</v>
          </cell>
          <cell r="V25" t="str">
            <v>Embedded</v>
          </cell>
          <cell r="W25" t="str">
            <v>Communications</v>
          </cell>
          <cell r="AA25" t="str">
            <v>[10601]  Commonwealth Edison CompanyEmbeddedCommunications</v>
          </cell>
          <cell r="AB25" t="str">
            <v>[10601]  Commonwealth Edison CompanyEmbedded (Communications)Pension and Benefits</v>
          </cell>
          <cell r="AC25" t="str">
            <v>[10601]  Commonwealth Edison CompanyEmbedded (Communications)Communications- ComEd (00189)</v>
          </cell>
          <cell r="AF25" t="e">
            <v>#N/A</v>
          </cell>
        </row>
        <row r="26">
          <cell r="E26">
            <v>0</v>
          </cell>
          <cell r="H26">
            <v>0</v>
          </cell>
          <cell r="I26">
            <v>2231</v>
          </cell>
          <cell r="J26">
            <v>0</v>
          </cell>
          <cell r="M26">
            <v>0</v>
          </cell>
          <cell r="N26">
            <v>2231</v>
          </cell>
          <cell r="O26">
            <v>17846</v>
          </cell>
          <cell r="R26">
            <v>-17846</v>
          </cell>
          <cell r="S26">
            <v>2231</v>
          </cell>
          <cell r="V26" t="str">
            <v>Embedded</v>
          </cell>
          <cell r="W26" t="str">
            <v>Communications</v>
          </cell>
          <cell r="AA26" t="str">
            <v>[10601]  Commonwealth Edison CompanyEmbeddedCommunications</v>
          </cell>
          <cell r="AB26" t="str">
            <v>[10601]  Commonwealth Edison CompanyEmbedded (Communications)Transportation</v>
          </cell>
          <cell r="AC26" t="str">
            <v>[10601]  Commonwealth Edison CompanyEmbedded (Communications)Communications- ComEd (00189)</v>
          </cell>
          <cell r="AF26" t="e">
            <v>#N/A</v>
          </cell>
        </row>
        <row r="27">
          <cell r="E27">
            <v>446540</v>
          </cell>
          <cell r="H27">
            <v>8522</v>
          </cell>
          <cell r="I27">
            <v>-5909</v>
          </cell>
          <cell r="J27">
            <v>1527224</v>
          </cell>
          <cell r="M27">
            <v>285874</v>
          </cell>
          <cell r="N27">
            <v>-5909</v>
          </cell>
          <cell r="O27">
            <v>5009263</v>
          </cell>
          <cell r="R27">
            <v>573776</v>
          </cell>
          <cell r="S27">
            <v>183295</v>
          </cell>
          <cell r="V27" t="str">
            <v>Embedded</v>
          </cell>
          <cell r="W27" t="str">
            <v>Finance</v>
          </cell>
          <cell r="AA27" t="str">
            <v>[10601]  Commonwealth Edison CompanyEmbeddedFinance</v>
          </cell>
          <cell r="AB27" t="str">
            <v>[10601]  Commonwealth Edison CompanyEmbedded (Finance)EDSS</v>
          </cell>
          <cell r="AC27" t="str">
            <v>[10601]  Commonwealth Edison CompanyEmbedded (Finance)EDSS Business Ops CED (00197)</v>
          </cell>
          <cell r="AF27" t="str">
            <v>EEDFinanceEDSS</v>
          </cell>
        </row>
        <row r="28">
          <cell r="E28">
            <v>70722</v>
          </cell>
          <cell r="H28">
            <v>11812</v>
          </cell>
          <cell r="I28">
            <v>10308</v>
          </cell>
          <cell r="J28">
            <v>343703</v>
          </cell>
          <cell r="M28">
            <v>-27324</v>
          </cell>
          <cell r="N28">
            <v>10308</v>
          </cell>
          <cell r="O28">
            <v>961506</v>
          </cell>
          <cell r="R28">
            <v>15143</v>
          </cell>
          <cell r="S28">
            <v>29895</v>
          </cell>
          <cell r="V28" t="str">
            <v>Embedded</v>
          </cell>
          <cell r="W28" t="str">
            <v>IT</v>
          </cell>
          <cell r="AA28" t="str">
            <v>[10601]  Commonwealth Edison CompanyEmbeddedIT</v>
          </cell>
          <cell r="AB28" t="str">
            <v>[10601]  Commonwealth Edison CompanyEmbedded (IT)Salaries and Wages</v>
          </cell>
          <cell r="AC28" t="str">
            <v>[10601]  Commonwealth Edison CompanyEmbedded (IT)IT Cust Serv Regulatory -CED (00311)</v>
          </cell>
          <cell r="AF28" t="e">
            <v>#N/A</v>
          </cell>
        </row>
        <row r="29">
          <cell r="E29">
            <v>-373</v>
          </cell>
          <cell r="H29">
            <v>373</v>
          </cell>
          <cell r="I29">
            <v>373</v>
          </cell>
          <cell r="J29">
            <v>-373</v>
          </cell>
          <cell r="M29">
            <v>1573</v>
          </cell>
          <cell r="N29">
            <v>373</v>
          </cell>
          <cell r="O29">
            <v>8027</v>
          </cell>
          <cell r="R29">
            <v>1573</v>
          </cell>
          <cell r="S29">
            <v>373</v>
          </cell>
          <cell r="V29" t="str">
            <v>Embedded</v>
          </cell>
          <cell r="W29" t="str">
            <v>IT</v>
          </cell>
          <cell r="AA29" t="str">
            <v>[10601]  Commonwealth Edison CompanyEmbeddedIT</v>
          </cell>
          <cell r="AB29" t="str">
            <v>[10601]  Commonwealth Edison CompanyEmbedded (IT)Travel, Entertainment &amp; Reimb</v>
          </cell>
          <cell r="AC29" t="str">
            <v>[10601]  Commonwealth Edison CompanyEmbedded (IT)IT Cust Serv Regulatory -CED (00311)</v>
          </cell>
          <cell r="AF29" t="e">
            <v>#N/A</v>
          </cell>
        </row>
        <row r="30">
          <cell r="E30">
            <v>156906</v>
          </cell>
          <cell r="H30">
            <v>4208</v>
          </cell>
          <cell r="I30">
            <v>23304</v>
          </cell>
          <cell r="J30">
            <v>621777</v>
          </cell>
          <cell r="M30">
            <v>935</v>
          </cell>
          <cell r="N30">
            <v>23304</v>
          </cell>
          <cell r="O30">
            <v>1968665</v>
          </cell>
          <cell r="R30">
            <v>-109041</v>
          </cell>
          <cell r="S30">
            <v>-19768</v>
          </cell>
          <cell r="V30" t="str">
            <v>Embedded</v>
          </cell>
          <cell r="W30" t="str">
            <v>IT</v>
          </cell>
          <cell r="AA30" t="str">
            <v>[10601]  Commonwealth Edison CompanyEmbeddedIT</v>
          </cell>
          <cell r="AB30" t="str">
            <v>[10601]  Commonwealth Edison CompanyEmbedded (IT)Contracting</v>
          </cell>
          <cell r="AC30" t="str">
            <v>[10601]  Commonwealth Edison CompanyEmbedded (IT)IT Cust Serv Regulatory -CED (00311)</v>
          </cell>
          <cell r="AF30" t="e">
            <v>#N/A</v>
          </cell>
        </row>
        <row r="31">
          <cell r="E31">
            <v>33267</v>
          </cell>
          <cell r="H31">
            <v>-30031</v>
          </cell>
          <cell r="I31">
            <v>-28593</v>
          </cell>
          <cell r="J31">
            <v>44150</v>
          </cell>
          <cell r="M31">
            <v>-31743</v>
          </cell>
          <cell r="N31">
            <v>-28593</v>
          </cell>
          <cell r="O31">
            <v>79793</v>
          </cell>
          <cell r="R31">
            <v>-41493</v>
          </cell>
          <cell r="S31">
            <v>-27463</v>
          </cell>
          <cell r="V31" t="str">
            <v>Embedded</v>
          </cell>
          <cell r="W31" t="str">
            <v>IT</v>
          </cell>
          <cell r="AA31" t="str">
            <v>[10601]  Commonwealth Edison CompanyEmbeddedIT</v>
          </cell>
          <cell r="AB31" t="str">
            <v>[10601]  Commonwealth Edison CompanyEmbedded (IT)Business Services</v>
          </cell>
          <cell r="AC31" t="str">
            <v>[10601]  Commonwealth Edison CompanyEmbedded (IT)IT Cust Serv Regulatory -CED (00311)</v>
          </cell>
          <cell r="AF31" t="e">
            <v>#N/A</v>
          </cell>
        </row>
        <row r="32">
          <cell r="E32">
            <v>2160</v>
          </cell>
          <cell r="H32">
            <v>-2160</v>
          </cell>
          <cell r="I32">
            <v>-2160</v>
          </cell>
          <cell r="J32">
            <v>8906</v>
          </cell>
          <cell r="M32">
            <v>-8906</v>
          </cell>
          <cell r="N32">
            <v>-2160</v>
          </cell>
          <cell r="O32">
            <v>8906</v>
          </cell>
          <cell r="R32">
            <v>-8906</v>
          </cell>
          <cell r="S32">
            <v>-2160</v>
          </cell>
          <cell r="V32" t="str">
            <v>Embedded</v>
          </cell>
          <cell r="W32" t="str">
            <v>IT</v>
          </cell>
          <cell r="AA32" t="str">
            <v>[10601]  Commonwealth Edison CompanyEmbeddedIT</v>
          </cell>
          <cell r="AB32" t="str">
            <v>[10601]  Commonwealth Edison CompanyEmbedded (IT)Travel, Entertainment &amp; Reimb</v>
          </cell>
          <cell r="AC32" t="str">
            <v>[10601]  Commonwealth Edison CompanyEmbedded (IT)IT Cust Serv Regulatory -CED (00311)</v>
          </cell>
          <cell r="AF32" t="e">
            <v>#N/A</v>
          </cell>
        </row>
        <row r="33">
          <cell r="E33">
            <v>74454</v>
          </cell>
          <cell r="H33">
            <v>49141</v>
          </cell>
          <cell r="I33">
            <v>96829</v>
          </cell>
          <cell r="J33">
            <v>289069</v>
          </cell>
          <cell r="M33">
            <v>-157924</v>
          </cell>
          <cell r="N33">
            <v>96829</v>
          </cell>
          <cell r="O33">
            <v>1493051</v>
          </cell>
          <cell r="R33">
            <v>99041</v>
          </cell>
          <cell r="S33">
            <v>471520</v>
          </cell>
          <cell r="V33" t="str">
            <v>Embedded</v>
          </cell>
          <cell r="W33" t="str">
            <v>IT</v>
          </cell>
          <cell r="AA33" t="str">
            <v>[10601]  Commonwealth Edison CompanyEmbeddedIT</v>
          </cell>
          <cell r="AB33" t="str">
            <v>[10601]  Commonwealth Edison CompanyEmbedded (IT)Other Operating Expenses</v>
          </cell>
          <cell r="AC33" t="str">
            <v>[10601]  Commonwealth Edison CompanyEmbedded (IT)IT Cust Serv Regulatory -CED (00311)</v>
          </cell>
          <cell r="AF33" t="e">
            <v>#N/A</v>
          </cell>
        </row>
        <row r="34">
          <cell r="E34">
            <v>0</v>
          </cell>
          <cell r="H34">
            <v>9600</v>
          </cell>
          <cell r="I34">
            <v>9600</v>
          </cell>
          <cell r="J34">
            <v>0</v>
          </cell>
          <cell r="M34">
            <v>38400</v>
          </cell>
          <cell r="N34">
            <v>9600</v>
          </cell>
          <cell r="O34">
            <v>72800</v>
          </cell>
          <cell r="R34">
            <v>38400</v>
          </cell>
          <cell r="S34">
            <v>9600</v>
          </cell>
          <cell r="V34" t="str">
            <v>Embedded</v>
          </cell>
          <cell r="W34" t="str">
            <v>IT</v>
          </cell>
          <cell r="AA34" t="str">
            <v>[10601]  Commonwealth Edison CompanyEmbeddedIT</v>
          </cell>
          <cell r="AB34" t="str">
            <v>[10601]  Commonwealth Edison CompanyEmbedded (IT)Other Operating Expenses</v>
          </cell>
          <cell r="AC34" t="str">
            <v>[10601]  Commonwealth Edison CompanyEmbedded (IT)IT Cust Serv Regulatory -CED (00311)</v>
          </cell>
          <cell r="AF34" t="e">
            <v>#N/A</v>
          </cell>
        </row>
        <row r="35">
          <cell r="E35">
            <v>53041</v>
          </cell>
          <cell r="H35">
            <v>13309</v>
          </cell>
          <cell r="I35">
            <v>-53041</v>
          </cell>
          <cell r="J35">
            <v>257777</v>
          </cell>
          <cell r="M35">
            <v>-3433</v>
          </cell>
          <cell r="N35">
            <v>-53041</v>
          </cell>
          <cell r="O35">
            <v>721130</v>
          </cell>
          <cell r="R35">
            <v>64019</v>
          </cell>
          <cell r="S35">
            <v>-516393</v>
          </cell>
          <cell r="V35" t="str">
            <v>Embedded</v>
          </cell>
          <cell r="W35" t="str">
            <v>IT</v>
          </cell>
          <cell r="AA35" t="str">
            <v>[10601]  Commonwealth Edison CompanyEmbeddedIT</v>
          </cell>
          <cell r="AB35" t="str">
            <v>[10601]  Commonwealth Edison CompanyEmbedded (IT)Pension and Benefits</v>
          </cell>
          <cell r="AC35" t="str">
            <v>[10601]  Commonwealth Edison CompanyEmbedded (IT)IT Cust Serv Regulatory -CED (00311)</v>
          </cell>
          <cell r="AF35" t="e">
            <v>#N/A</v>
          </cell>
        </row>
        <row r="36">
          <cell r="E36">
            <v>0</v>
          </cell>
          <cell r="H36">
            <v>0</v>
          </cell>
          <cell r="I36">
            <v>0</v>
          </cell>
          <cell r="J36">
            <v>0</v>
          </cell>
          <cell r="M36">
            <v>0</v>
          </cell>
          <cell r="N36">
            <v>0</v>
          </cell>
          <cell r="R36">
            <v>0</v>
          </cell>
          <cell r="V36" t="str">
            <v>Embedded</v>
          </cell>
          <cell r="W36" t="str">
            <v>IT</v>
          </cell>
          <cell r="AA36" t="str">
            <v>[10601]  Commonwealth Edison CompanyEmbeddedIT</v>
          </cell>
          <cell r="AB36" t="str">
            <v>[10601]  Commonwealth Edison CompanyEmbedded (IT)Pension and Benefits</v>
          </cell>
          <cell r="AC36" t="str">
            <v>[10601]  Commonwealth Edison CompanyEmbedded (IT)IT Cust Serv Regulatory -CED (00311)</v>
          </cell>
          <cell r="AF36" t="e">
            <v>#N/A</v>
          </cell>
        </row>
        <row r="37">
          <cell r="E37">
            <v>30952</v>
          </cell>
          <cell r="H37">
            <v>7516</v>
          </cell>
          <cell r="I37">
            <v>59</v>
          </cell>
          <cell r="J37">
            <v>137465</v>
          </cell>
          <cell r="M37">
            <v>9996</v>
          </cell>
          <cell r="N37">
            <v>59</v>
          </cell>
          <cell r="O37">
            <v>393365</v>
          </cell>
          <cell r="R37">
            <v>61839</v>
          </cell>
          <cell r="S37">
            <v>53947</v>
          </cell>
          <cell r="V37" t="str">
            <v>Embedded</v>
          </cell>
          <cell r="W37" t="str">
            <v>IT</v>
          </cell>
          <cell r="AA37" t="str">
            <v>[10601]  Commonwealth Edison CompanyEmbeddedIT</v>
          </cell>
          <cell r="AB37" t="str">
            <v>[10601]  Commonwealth Edison CompanyEmbedded (IT)Salaries and Wages</v>
          </cell>
          <cell r="AC37" t="str">
            <v>[10601]  Commonwealth Edison CompanyEmbedded (IT)IT Ops Asset Mgmt Supp - CED (00312)</v>
          </cell>
          <cell r="AF37" t="e">
            <v>#N/A</v>
          </cell>
        </row>
        <row r="38">
          <cell r="E38">
            <v>0</v>
          </cell>
          <cell r="H38">
            <v>1200</v>
          </cell>
          <cell r="I38">
            <v>1200</v>
          </cell>
          <cell r="J38">
            <v>1302</v>
          </cell>
          <cell r="M38">
            <v>1098</v>
          </cell>
          <cell r="N38">
            <v>1200</v>
          </cell>
          <cell r="O38">
            <v>8502</v>
          </cell>
          <cell r="R38">
            <v>1098</v>
          </cell>
          <cell r="S38">
            <v>1200</v>
          </cell>
          <cell r="V38" t="str">
            <v>Embedded</v>
          </cell>
          <cell r="W38" t="str">
            <v>IT</v>
          </cell>
          <cell r="AA38" t="str">
            <v>[10601]  Commonwealth Edison CompanyEmbeddedIT</v>
          </cell>
          <cell r="AB38" t="str">
            <v>[10601]  Commonwealth Edison CompanyEmbedded (IT)Travel, Entertainment &amp; Reimb</v>
          </cell>
          <cell r="AC38" t="str">
            <v>[10601]  Commonwealth Edison CompanyEmbedded (IT)IT Ops Asset Mgmt Supp - CED (00312)</v>
          </cell>
          <cell r="AF38" t="e">
            <v>#N/A</v>
          </cell>
        </row>
        <row r="39">
          <cell r="E39">
            <v>43391</v>
          </cell>
          <cell r="H39">
            <v>15341</v>
          </cell>
          <cell r="I39">
            <v>15353</v>
          </cell>
          <cell r="J39">
            <v>151227</v>
          </cell>
          <cell r="M39">
            <v>85389</v>
          </cell>
          <cell r="N39">
            <v>15353</v>
          </cell>
          <cell r="O39">
            <v>770111</v>
          </cell>
          <cell r="R39">
            <v>-68055</v>
          </cell>
          <cell r="S39">
            <v>-83483</v>
          </cell>
          <cell r="V39" t="str">
            <v>Embedded</v>
          </cell>
          <cell r="W39" t="str">
            <v>IT</v>
          </cell>
          <cell r="AA39" t="str">
            <v>[10601]  Commonwealth Edison CompanyEmbeddedIT</v>
          </cell>
          <cell r="AB39" t="str">
            <v>[10601]  Commonwealth Edison CompanyEmbedded (IT)Contracting</v>
          </cell>
          <cell r="AC39" t="str">
            <v>[10601]  Commonwealth Edison CompanyEmbedded (IT)IT Ops Asset Mgmt Supp - CED (00312)</v>
          </cell>
          <cell r="AF39" t="e">
            <v>#N/A</v>
          </cell>
        </row>
        <row r="40">
          <cell r="E40">
            <v>1880</v>
          </cell>
          <cell r="H40">
            <v>3953</v>
          </cell>
          <cell r="I40">
            <v>5376</v>
          </cell>
          <cell r="J40">
            <v>8025</v>
          </cell>
          <cell r="M40">
            <v>15057</v>
          </cell>
          <cell r="N40">
            <v>5376</v>
          </cell>
          <cell r="O40">
            <v>66333</v>
          </cell>
          <cell r="R40">
            <v>3224</v>
          </cell>
          <cell r="S40">
            <v>8485</v>
          </cell>
          <cell r="V40" t="str">
            <v>Embedded</v>
          </cell>
          <cell r="W40" t="str">
            <v>IT</v>
          </cell>
          <cell r="AA40" t="str">
            <v>[10601]  Commonwealth Edison CompanyEmbeddedIT</v>
          </cell>
          <cell r="AB40" t="str">
            <v>[10601]  Commonwealth Edison CompanyEmbedded (IT)Business Services</v>
          </cell>
          <cell r="AC40" t="str">
            <v>[10601]  Commonwealth Edison CompanyEmbedded (IT)IT Ops Asset Mgmt Supp - CED (00312)</v>
          </cell>
          <cell r="AF40" t="e">
            <v>#N/A</v>
          </cell>
        </row>
        <row r="41">
          <cell r="E41">
            <v>0</v>
          </cell>
          <cell r="H41">
            <v>0</v>
          </cell>
          <cell r="I41">
            <v>0</v>
          </cell>
          <cell r="J41">
            <v>259</v>
          </cell>
          <cell r="M41">
            <v>-259</v>
          </cell>
          <cell r="N41">
            <v>0</v>
          </cell>
          <cell r="O41">
            <v>259</v>
          </cell>
          <cell r="R41">
            <v>-259</v>
          </cell>
          <cell r="S41">
            <v>0</v>
          </cell>
          <cell r="V41" t="str">
            <v>Embedded</v>
          </cell>
          <cell r="W41" t="str">
            <v>IT</v>
          </cell>
          <cell r="AA41" t="str">
            <v>[10601]  Commonwealth Edison CompanyEmbeddedIT</v>
          </cell>
          <cell r="AB41" t="str">
            <v>[10601]  Commonwealth Edison CompanyEmbedded (IT)Travel, Entertainment &amp; Reimb</v>
          </cell>
          <cell r="AC41" t="str">
            <v>[10601]  Commonwealth Edison CompanyEmbedded (IT)IT Ops Asset Mgmt Supp - CED (00312)</v>
          </cell>
          <cell r="AF41" t="e">
            <v>#N/A</v>
          </cell>
        </row>
        <row r="42">
          <cell r="E42">
            <v>0</v>
          </cell>
          <cell r="H42">
            <v>0</v>
          </cell>
          <cell r="I42">
            <v>0</v>
          </cell>
          <cell r="J42">
            <v>383</v>
          </cell>
          <cell r="M42">
            <v>-383</v>
          </cell>
          <cell r="N42">
            <v>0</v>
          </cell>
          <cell r="O42">
            <v>383</v>
          </cell>
          <cell r="R42">
            <v>-383</v>
          </cell>
          <cell r="S42">
            <v>0</v>
          </cell>
          <cell r="V42" t="str">
            <v>Embedded</v>
          </cell>
          <cell r="W42" t="str">
            <v>IT</v>
          </cell>
          <cell r="AA42" t="str">
            <v>[10601]  Commonwealth Edison CompanyEmbeddedIT</v>
          </cell>
          <cell r="AB42" t="str">
            <v>[10601]  Commonwealth Edison CompanyEmbedded (IT)Other Operating Expenses</v>
          </cell>
          <cell r="AC42" t="str">
            <v>[10601]  Commonwealth Edison CompanyEmbedded (IT)IT Ops Asset Mgmt Supp - CED (00312)</v>
          </cell>
          <cell r="AF42" t="e">
            <v>#N/A</v>
          </cell>
        </row>
        <row r="43">
          <cell r="E43">
            <v>83027</v>
          </cell>
          <cell r="H43">
            <v>-25999</v>
          </cell>
          <cell r="I43">
            <v>-52489</v>
          </cell>
          <cell r="J43">
            <v>354198</v>
          </cell>
          <cell r="M43">
            <v>-124837</v>
          </cell>
          <cell r="N43">
            <v>-52489</v>
          </cell>
          <cell r="O43">
            <v>811089</v>
          </cell>
          <cell r="R43">
            <v>2853</v>
          </cell>
          <cell r="S43">
            <v>353345</v>
          </cell>
          <cell r="V43" t="str">
            <v>Embedded</v>
          </cell>
          <cell r="W43" t="str">
            <v>IT</v>
          </cell>
          <cell r="AA43" t="str">
            <v>[10601]  Commonwealth Edison CompanyEmbeddedIT</v>
          </cell>
          <cell r="AB43" t="str">
            <v>[10601]  Commonwealth Edison CompanyEmbedded (IT)Other Operating Expenses</v>
          </cell>
          <cell r="AC43" t="str">
            <v>[10601]  Commonwealth Edison CompanyEmbedded (IT)IT Ops Asset Mgmt Supp - CED (00312)</v>
          </cell>
          <cell r="AF43" t="e">
            <v>#N/A</v>
          </cell>
        </row>
        <row r="44">
          <cell r="E44">
            <v>230</v>
          </cell>
          <cell r="H44">
            <v>4370</v>
          </cell>
          <cell r="I44">
            <v>4370</v>
          </cell>
          <cell r="J44">
            <v>2180</v>
          </cell>
          <cell r="M44">
            <v>10220</v>
          </cell>
          <cell r="N44">
            <v>4370</v>
          </cell>
          <cell r="O44">
            <v>41880</v>
          </cell>
          <cell r="R44">
            <v>3820</v>
          </cell>
          <cell r="S44">
            <v>-2030</v>
          </cell>
          <cell r="V44" t="str">
            <v>Embedded</v>
          </cell>
          <cell r="W44" t="str">
            <v>IT</v>
          </cell>
          <cell r="AA44" t="str">
            <v>[10601]  Commonwealth Edison CompanyEmbeddedIT</v>
          </cell>
          <cell r="AB44" t="str">
            <v>[10601]  Commonwealth Edison CompanyEmbedded (IT)Other Operating Expenses</v>
          </cell>
          <cell r="AC44" t="str">
            <v>[10601]  Commonwealth Edison CompanyEmbedded (IT)IT Ops Asset Mgmt Supp - CED (00312)</v>
          </cell>
          <cell r="AF44" t="e">
            <v>#N/A</v>
          </cell>
        </row>
        <row r="45">
          <cell r="E45">
            <v>23214</v>
          </cell>
          <cell r="H45">
            <v>7711</v>
          </cell>
          <cell r="I45">
            <v>-23214</v>
          </cell>
          <cell r="J45">
            <v>103098</v>
          </cell>
          <cell r="M45">
            <v>15448</v>
          </cell>
          <cell r="N45">
            <v>-23214</v>
          </cell>
          <cell r="O45">
            <v>295023</v>
          </cell>
          <cell r="R45">
            <v>70924</v>
          </cell>
          <cell r="S45">
            <v>-215139</v>
          </cell>
          <cell r="V45" t="str">
            <v>Embedded</v>
          </cell>
          <cell r="W45" t="str">
            <v>IT</v>
          </cell>
          <cell r="AA45" t="str">
            <v>[10601]  Commonwealth Edison CompanyEmbeddedIT</v>
          </cell>
          <cell r="AB45" t="str">
            <v>[10601]  Commonwealth Edison CompanyEmbedded (IT)Pension and Benefits</v>
          </cell>
          <cell r="AC45" t="str">
            <v>[10601]  Commonwealth Edison CompanyEmbedded (IT)IT Ops Asset Mgmt Supp - CED (00312)</v>
          </cell>
          <cell r="AF45" t="e">
            <v>#N/A</v>
          </cell>
        </row>
        <row r="46">
          <cell r="E46">
            <v>65145</v>
          </cell>
          <cell r="H46">
            <v>15385</v>
          </cell>
          <cell r="I46">
            <v>14126</v>
          </cell>
          <cell r="J46">
            <v>298663</v>
          </cell>
          <cell r="M46">
            <v>-30562</v>
          </cell>
          <cell r="N46">
            <v>14126</v>
          </cell>
          <cell r="O46">
            <v>993895</v>
          </cell>
          <cell r="R46">
            <v>-81552</v>
          </cell>
          <cell r="S46">
            <v>-46939</v>
          </cell>
          <cell r="V46" t="str">
            <v>Embedded</v>
          </cell>
          <cell r="W46" t="str">
            <v>IT</v>
          </cell>
          <cell r="AA46" t="str">
            <v>[10601]  Commonwealth Edison CompanyEmbeddedIT</v>
          </cell>
          <cell r="AB46" t="str">
            <v>[10601]  Commonwealth Edison CompanyEmbedded (IT)Salaries and Wages</v>
          </cell>
          <cell r="AC46" t="str">
            <v>[10601]  Commonwealth Edison CompanyEmbedded (IT)IT Real Time - CED (00313)</v>
          </cell>
          <cell r="AF46" t="e">
            <v>#N/A</v>
          </cell>
        </row>
        <row r="47">
          <cell r="E47">
            <v>217</v>
          </cell>
          <cell r="H47">
            <v>1616</v>
          </cell>
          <cell r="I47">
            <v>1733</v>
          </cell>
          <cell r="J47">
            <v>420</v>
          </cell>
          <cell r="M47">
            <v>9666</v>
          </cell>
          <cell r="N47">
            <v>1733</v>
          </cell>
          <cell r="O47">
            <v>16020</v>
          </cell>
          <cell r="R47">
            <v>17980</v>
          </cell>
          <cell r="S47">
            <v>1733</v>
          </cell>
          <cell r="V47" t="str">
            <v>Embedded</v>
          </cell>
          <cell r="W47" t="str">
            <v>IT</v>
          </cell>
          <cell r="AA47" t="str">
            <v>[10601]  Commonwealth Edison CompanyEmbeddedIT</v>
          </cell>
          <cell r="AB47" t="str">
            <v>[10601]  Commonwealth Edison CompanyEmbedded (IT)Travel, Entertainment &amp; Reimb</v>
          </cell>
          <cell r="AC47" t="str">
            <v>[10601]  Commonwealth Edison CompanyEmbedded (IT)IT Real Time - CED (00313)</v>
          </cell>
          <cell r="AF47" t="e">
            <v>#N/A</v>
          </cell>
        </row>
        <row r="48">
          <cell r="E48">
            <v>12587</v>
          </cell>
          <cell r="H48">
            <v>533</v>
          </cell>
          <cell r="I48">
            <v>533</v>
          </cell>
          <cell r="J48">
            <v>57979</v>
          </cell>
          <cell r="M48">
            <v>-2219</v>
          </cell>
          <cell r="N48">
            <v>533</v>
          </cell>
          <cell r="O48">
            <v>87499</v>
          </cell>
          <cell r="R48">
            <v>-2219</v>
          </cell>
          <cell r="S48">
            <v>533</v>
          </cell>
          <cell r="V48" t="str">
            <v>Embedded</v>
          </cell>
          <cell r="W48" t="str">
            <v>IT</v>
          </cell>
          <cell r="AA48" t="str">
            <v>[10601]  Commonwealth Edison CompanyEmbeddedIT</v>
          </cell>
          <cell r="AB48" t="str">
            <v>[10601]  Commonwealth Edison CompanyEmbedded (IT)Contracting</v>
          </cell>
          <cell r="AC48" t="str">
            <v>[10601]  Commonwealth Edison CompanyEmbedded (IT)IT Real Time - CED (00313)</v>
          </cell>
          <cell r="AF48" t="e">
            <v>#N/A</v>
          </cell>
        </row>
        <row r="49">
          <cell r="E49">
            <v>8791</v>
          </cell>
          <cell r="H49">
            <v>-4660</v>
          </cell>
          <cell r="I49">
            <v>-4353</v>
          </cell>
          <cell r="J49">
            <v>22263</v>
          </cell>
          <cell r="M49">
            <v>-7826</v>
          </cell>
          <cell r="N49">
            <v>-4353</v>
          </cell>
          <cell r="O49">
            <v>57872</v>
          </cell>
          <cell r="R49">
            <v>-10388</v>
          </cell>
          <cell r="S49">
            <v>-4453</v>
          </cell>
          <cell r="V49" t="str">
            <v>Embedded</v>
          </cell>
          <cell r="W49" t="str">
            <v>IT</v>
          </cell>
          <cell r="AA49" t="str">
            <v>[10601]  Commonwealth Edison CompanyEmbeddedIT</v>
          </cell>
          <cell r="AB49" t="str">
            <v>[10601]  Commonwealth Edison CompanyEmbedded (IT)Business Services</v>
          </cell>
          <cell r="AC49" t="str">
            <v>[10601]  Commonwealth Edison CompanyEmbedded (IT)IT Real Time - CED (00313)</v>
          </cell>
          <cell r="AF49" t="e">
            <v>#N/A</v>
          </cell>
        </row>
        <row r="50">
          <cell r="E50">
            <v>0</v>
          </cell>
          <cell r="H50">
            <v>0</v>
          </cell>
          <cell r="I50">
            <v>0</v>
          </cell>
          <cell r="J50">
            <v>0</v>
          </cell>
          <cell r="M50">
            <v>0</v>
          </cell>
          <cell r="N50">
            <v>0</v>
          </cell>
          <cell r="O50">
            <v>0</v>
          </cell>
          <cell r="R50">
            <v>0</v>
          </cell>
          <cell r="S50">
            <v>0</v>
          </cell>
          <cell r="V50" t="str">
            <v>Embedded</v>
          </cell>
          <cell r="W50" t="str">
            <v>IT</v>
          </cell>
          <cell r="AA50" t="str">
            <v>[10601]  Commonwealth Edison CompanyEmbeddedIT</v>
          </cell>
          <cell r="AB50" t="str">
            <v>[10601]  Commonwealth Edison CompanyEmbedded (IT)Materials and Supplies</v>
          </cell>
          <cell r="AC50" t="str">
            <v>[10601]  Commonwealth Edison CompanyEmbedded (IT)IT Real Time - CED (00313)</v>
          </cell>
          <cell r="AF50" t="e">
            <v>#N/A</v>
          </cell>
        </row>
        <row r="51">
          <cell r="E51">
            <v>0</v>
          </cell>
          <cell r="H51">
            <v>0</v>
          </cell>
          <cell r="I51">
            <v>0</v>
          </cell>
          <cell r="J51">
            <v>148</v>
          </cell>
          <cell r="M51">
            <v>-148</v>
          </cell>
          <cell r="N51">
            <v>0</v>
          </cell>
          <cell r="O51">
            <v>148</v>
          </cell>
          <cell r="R51">
            <v>-148</v>
          </cell>
          <cell r="S51">
            <v>0</v>
          </cell>
          <cell r="V51" t="str">
            <v>Embedded</v>
          </cell>
          <cell r="W51" t="str">
            <v>IT</v>
          </cell>
          <cell r="AA51" t="str">
            <v>[10601]  Commonwealth Edison CompanyEmbeddedIT</v>
          </cell>
          <cell r="AB51" t="str">
            <v>[10601]  Commonwealth Edison CompanyEmbedded (IT)Travel, Entertainment &amp; Reimb</v>
          </cell>
          <cell r="AC51" t="str">
            <v>[10601]  Commonwealth Edison CompanyEmbedded (IT)IT Real Time - CED (00313)</v>
          </cell>
          <cell r="AF51" t="e">
            <v>#N/A</v>
          </cell>
        </row>
        <row r="52">
          <cell r="E52">
            <v>11</v>
          </cell>
          <cell r="H52">
            <v>-11</v>
          </cell>
          <cell r="I52">
            <v>-11</v>
          </cell>
          <cell r="J52">
            <v>116</v>
          </cell>
          <cell r="M52">
            <v>-116</v>
          </cell>
          <cell r="N52">
            <v>-11</v>
          </cell>
          <cell r="O52">
            <v>116</v>
          </cell>
          <cell r="R52">
            <v>-116</v>
          </cell>
          <cell r="S52">
            <v>-11</v>
          </cell>
          <cell r="V52" t="str">
            <v>Embedded</v>
          </cell>
          <cell r="W52" t="str">
            <v>IT</v>
          </cell>
          <cell r="AA52" t="str">
            <v>[10601]  Commonwealth Edison CompanyEmbeddedIT</v>
          </cell>
          <cell r="AB52" t="str">
            <v>[10601]  Commonwealth Edison CompanyEmbedded (IT)Other Operating Expenses</v>
          </cell>
          <cell r="AC52" t="str">
            <v>[10601]  Commonwealth Edison CompanyEmbedded (IT)IT Real Time - CED (00313)</v>
          </cell>
          <cell r="AF52" t="e">
            <v>#N/A</v>
          </cell>
        </row>
        <row r="53">
          <cell r="E53">
            <v>0</v>
          </cell>
          <cell r="H53">
            <v>0</v>
          </cell>
          <cell r="I53">
            <v>0</v>
          </cell>
          <cell r="J53">
            <v>1755</v>
          </cell>
          <cell r="M53">
            <v>-1755</v>
          </cell>
          <cell r="N53">
            <v>0</v>
          </cell>
          <cell r="O53">
            <v>1755</v>
          </cell>
          <cell r="R53">
            <v>-1755</v>
          </cell>
          <cell r="S53">
            <v>0</v>
          </cell>
          <cell r="V53" t="str">
            <v>Embedded</v>
          </cell>
          <cell r="W53" t="str">
            <v>IT</v>
          </cell>
          <cell r="AA53" t="str">
            <v>[10601]  Commonwealth Edison CompanyEmbeddedIT</v>
          </cell>
          <cell r="AB53" t="str">
            <v>[10601]  Commonwealth Edison CompanyEmbedded (IT)Travel, Entertainment &amp; Reimb</v>
          </cell>
          <cell r="AC53" t="str">
            <v>[10601]  Commonwealth Edison CompanyEmbedded (IT)IT Real Time - CED (00313)</v>
          </cell>
          <cell r="AF53" t="e">
            <v>#N/A</v>
          </cell>
        </row>
        <row r="54">
          <cell r="E54">
            <v>-48307</v>
          </cell>
          <cell r="H54">
            <v>83482</v>
          </cell>
          <cell r="I54">
            <v>63763</v>
          </cell>
          <cell r="J54">
            <v>48497</v>
          </cell>
          <cell r="M54">
            <v>113924</v>
          </cell>
          <cell r="N54">
            <v>63763</v>
          </cell>
          <cell r="O54">
            <v>576751</v>
          </cell>
          <cell r="R54">
            <v>362063</v>
          </cell>
          <cell r="S54">
            <v>30944</v>
          </cell>
          <cell r="V54" t="str">
            <v>Embedded</v>
          </cell>
          <cell r="W54" t="str">
            <v>IT</v>
          </cell>
          <cell r="AA54" t="str">
            <v>[10601]  Commonwealth Edison CompanyEmbeddedIT</v>
          </cell>
          <cell r="AB54" t="str">
            <v>[10601]  Commonwealth Edison CompanyEmbedded (IT)Other Operating Expenses</v>
          </cell>
          <cell r="AC54" t="str">
            <v>[10601]  Commonwealth Edison CompanyEmbedded (IT)IT Real Time - CED (00313)</v>
          </cell>
          <cell r="AF54" t="e">
            <v>#N/A</v>
          </cell>
        </row>
        <row r="55">
          <cell r="E55">
            <v>6972</v>
          </cell>
          <cell r="H55">
            <v>-4826</v>
          </cell>
          <cell r="I55">
            <v>-4826</v>
          </cell>
          <cell r="J55">
            <v>21245</v>
          </cell>
          <cell r="M55">
            <v>-8724</v>
          </cell>
          <cell r="N55">
            <v>-4826</v>
          </cell>
          <cell r="O55">
            <v>50974</v>
          </cell>
          <cell r="R55">
            <v>-8474</v>
          </cell>
          <cell r="S55">
            <v>593169</v>
          </cell>
          <cell r="V55" t="str">
            <v>Embedded</v>
          </cell>
          <cell r="W55" t="str">
            <v>IT</v>
          </cell>
          <cell r="AA55" t="str">
            <v>[10601]  Commonwealth Edison CompanyEmbeddedIT</v>
          </cell>
          <cell r="AB55" t="str">
            <v>[10601]  Commonwealth Edison CompanyEmbedded (IT)Other Operating Expenses</v>
          </cell>
          <cell r="AC55" t="str">
            <v>[10601]  Commonwealth Edison CompanyEmbedded (IT)IT Real Time - CED (00313)</v>
          </cell>
          <cell r="AF55" t="e">
            <v>#N/A</v>
          </cell>
        </row>
        <row r="56">
          <cell r="E56">
            <v>48859</v>
          </cell>
          <cell r="H56">
            <v>4842</v>
          </cell>
          <cell r="I56">
            <v>-48859</v>
          </cell>
          <cell r="J56">
            <v>223997</v>
          </cell>
          <cell r="M56">
            <v>-36315</v>
          </cell>
          <cell r="N56">
            <v>-48859</v>
          </cell>
          <cell r="O56">
            <v>686902</v>
          </cell>
          <cell r="R56">
            <v>-69613</v>
          </cell>
          <cell r="S56">
            <v>-511763</v>
          </cell>
          <cell r="V56" t="str">
            <v>Embedded</v>
          </cell>
          <cell r="W56" t="str">
            <v>IT</v>
          </cell>
          <cell r="AA56" t="str">
            <v>[10601]  Commonwealth Edison CompanyEmbeddedIT</v>
          </cell>
          <cell r="AB56" t="str">
            <v>[10601]  Commonwealth Edison CompanyEmbedded (IT)Pension and Benefits</v>
          </cell>
          <cell r="AC56" t="str">
            <v>[10601]  Commonwealth Edison CompanyEmbedded (IT)IT Real Time - CED (00313)</v>
          </cell>
          <cell r="AF56" t="e">
            <v>#N/A</v>
          </cell>
        </row>
        <row r="57">
          <cell r="E57">
            <v>2778152</v>
          </cell>
          <cell r="H57">
            <v>-209559</v>
          </cell>
          <cell r="I57">
            <v>-209559</v>
          </cell>
          <cell r="J57">
            <v>10372921</v>
          </cell>
          <cell r="M57">
            <v>-98547</v>
          </cell>
          <cell r="N57">
            <v>-209559</v>
          </cell>
          <cell r="O57">
            <v>32804705</v>
          </cell>
          <cell r="R57">
            <v>-1981582</v>
          </cell>
          <cell r="S57">
            <v>-1088344</v>
          </cell>
          <cell r="V57" t="str">
            <v>EBSC Transactional</v>
          </cell>
          <cell r="W57" t="str">
            <v>IT</v>
          </cell>
          <cell r="AA57" t="str">
            <v>[10601]  Commonwealth Edison CompanyEBSC TransactionalIT</v>
          </cell>
          <cell r="AB57" t="str">
            <v>[10601]  Commonwealth Edison CompanyEBSC Transactional (IT)Business Services</v>
          </cell>
          <cell r="AC57" t="str">
            <v>[10601]  Commonwealth Edison CompanyEBSC Transactional (IT)EBSC IT Serv - CED (00314)</v>
          </cell>
          <cell r="AF57" t="e">
            <v>#N/A</v>
          </cell>
        </row>
        <row r="58">
          <cell r="E58">
            <v>0</v>
          </cell>
          <cell r="H58">
            <v>0</v>
          </cell>
          <cell r="I58">
            <v>0</v>
          </cell>
          <cell r="J58">
            <v>546</v>
          </cell>
          <cell r="M58">
            <v>-546</v>
          </cell>
          <cell r="N58">
            <v>0</v>
          </cell>
          <cell r="O58">
            <v>546</v>
          </cell>
          <cell r="R58">
            <v>-546</v>
          </cell>
          <cell r="S58">
            <v>0</v>
          </cell>
          <cell r="V58" t="str">
            <v>EBSC Transactional</v>
          </cell>
          <cell r="W58" t="str">
            <v>IT</v>
          </cell>
          <cell r="AA58" t="str">
            <v>[10601]  Commonwealth Edison CompanyEBSC TransactionalIT</v>
          </cell>
          <cell r="AB58" t="str">
            <v>[10601]  Commonwealth Edison CompanyEBSC Transactional (IT)Other Operating Expenses</v>
          </cell>
          <cell r="AC58" t="str">
            <v>[10601]  Commonwealth Edison CompanyEBSC Transactional (IT)EBSC IT Serv - CED (00314)</v>
          </cell>
          <cell r="AF58" t="e">
            <v>#N/A</v>
          </cell>
        </row>
        <row r="59">
          <cell r="E59">
            <v>189</v>
          </cell>
          <cell r="H59">
            <v>-189</v>
          </cell>
          <cell r="I59">
            <v>-189</v>
          </cell>
          <cell r="J59">
            <v>6891</v>
          </cell>
          <cell r="M59">
            <v>-6891</v>
          </cell>
          <cell r="N59">
            <v>-189</v>
          </cell>
          <cell r="O59">
            <v>6891</v>
          </cell>
          <cell r="R59">
            <v>-6891</v>
          </cell>
          <cell r="S59">
            <v>-900674</v>
          </cell>
          <cell r="V59" t="str">
            <v>EBSC Transactional</v>
          </cell>
          <cell r="W59" t="str">
            <v>IT</v>
          </cell>
          <cell r="AA59" t="str">
            <v>[10601]  Commonwealth Edison CompanyEBSC TransactionalIT</v>
          </cell>
          <cell r="AB59" t="str">
            <v>[10601]  Commonwealth Edison CompanyEBSC Transactional (IT)Other Operating Expenses</v>
          </cell>
          <cell r="AC59" t="str">
            <v>[10601]  Commonwealth Edison CompanyEBSC Transactional (IT)EBSC IT Serv - CED (00314)</v>
          </cell>
          <cell r="AF59" t="e">
            <v>#N/A</v>
          </cell>
        </row>
        <row r="60">
          <cell r="E60">
            <v>1063173</v>
          </cell>
          <cell r="H60">
            <v>-467970</v>
          </cell>
          <cell r="I60">
            <v>-372856</v>
          </cell>
          <cell r="J60">
            <v>3304802</v>
          </cell>
          <cell r="M60">
            <v>30848</v>
          </cell>
          <cell r="N60">
            <v>-372856</v>
          </cell>
          <cell r="O60">
            <v>9713037</v>
          </cell>
          <cell r="R60">
            <v>-724804</v>
          </cell>
          <cell r="S60">
            <v>-920376</v>
          </cell>
          <cell r="V60" t="str">
            <v>Corporate Allocated</v>
          </cell>
          <cell r="W60" t="str">
            <v>Communications</v>
          </cell>
          <cell r="AA60" t="str">
            <v>[10601]  Commonwealth Edison CompanyCorporate AllocatedCommunications</v>
          </cell>
          <cell r="AB60" t="str">
            <v>[10601]  Commonwealth Edison CompanyCorporate Allocated (Communications)Business Services</v>
          </cell>
          <cell r="AC60" t="str">
            <v>[10601]  Commonwealth Edison CompanyCorporate Allocated (Communications)EBSC Comm Srvcs - ComEd (00345)</v>
          </cell>
          <cell r="AF60" t="e">
            <v>#N/A</v>
          </cell>
        </row>
        <row r="61">
          <cell r="E61">
            <v>596283</v>
          </cell>
          <cell r="H61">
            <v>158354</v>
          </cell>
          <cell r="I61">
            <v>148940</v>
          </cell>
          <cell r="J61">
            <v>2350651</v>
          </cell>
          <cell r="M61">
            <v>670320</v>
          </cell>
          <cell r="N61">
            <v>148940</v>
          </cell>
          <cell r="O61">
            <v>8692192</v>
          </cell>
          <cell r="R61">
            <v>719417</v>
          </cell>
          <cell r="S61">
            <v>256571</v>
          </cell>
          <cell r="V61" t="str">
            <v>Corporate Allocated</v>
          </cell>
          <cell r="W61" t="str">
            <v>Legal Governance</v>
          </cell>
          <cell r="AA61" t="str">
            <v>[10601]  Commonwealth Edison CompanyCorporate AllocatedLegal Governance</v>
          </cell>
          <cell r="AB61" t="str">
            <v>[10601]  Commonwealth Edison CompanyCorporate Allocated (Legal Governance)Business Services</v>
          </cell>
          <cell r="AC61" t="str">
            <v>[10601]  Commonwealth Edison CompanyCorporate Allocated (Legal Governance)EBSC Leg Gov - ComEd (00354)</v>
          </cell>
          <cell r="AF61" t="e">
            <v>#N/A</v>
          </cell>
        </row>
        <row r="62">
          <cell r="E62">
            <v>4090059</v>
          </cell>
          <cell r="H62">
            <v>-2834040</v>
          </cell>
          <cell r="I62">
            <v>-2446437</v>
          </cell>
          <cell r="J62">
            <v>9188475</v>
          </cell>
          <cell r="M62">
            <v>-3518149</v>
          </cell>
          <cell r="N62">
            <v>-2446437</v>
          </cell>
          <cell r="O62">
            <v>20890533</v>
          </cell>
          <cell r="R62">
            <v>-2663348</v>
          </cell>
          <cell r="S62">
            <v>830371</v>
          </cell>
          <cell r="V62" t="str">
            <v>Corporate Allocated</v>
          </cell>
          <cell r="W62" t="str">
            <v>Executive Services</v>
          </cell>
          <cell r="AA62" t="str">
            <v>[10601]  Commonwealth Edison CompanyCorporate AllocatedExecutive Services</v>
          </cell>
          <cell r="AB62" t="str">
            <v>[10601]  Commonwealth Edison CompanyCorporate Allocated (Executive Services)Business Services</v>
          </cell>
          <cell r="AC62" t="str">
            <v>[10601]  Commonwealth Edison CompanyCorporate Allocated (Executive Services)EBSC Exec Srvcs - ComEd (00365)</v>
          </cell>
          <cell r="AF62" t="e">
            <v>#N/A</v>
          </cell>
        </row>
        <row r="63">
          <cell r="E63">
            <v>512559</v>
          </cell>
          <cell r="H63">
            <v>109635</v>
          </cell>
          <cell r="I63">
            <v>109635</v>
          </cell>
          <cell r="J63">
            <v>2205671</v>
          </cell>
          <cell r="M63">
            <v>283106</v>
          </cell>
          <cell r="N63">
            <v>109635</v>
          </cell>
          <cell r="O63">
            <v>7183227</v>
          </cell>
          <cell r="R63">
            <v>283106</v>
          </cell>
          <cell r="S63">
            <v>109635</v>
          </cell>
          <cell r="V63" t="str">
            <v>EBSC Transactional</v>
          </cell>
          <cell r="W63" t="str">
            <v>HR &amp; Fin Srvcs</v>
          </cell>
          <cell r="AA63" t="str">
            <v>[10601]  Commonwealth Edison CompanyEBSC TransactionalHR &amp; Fin Srvcs</v>
          </cell>
          <cell r="AB63" t="str">
            <v>[10601]  Commonwealth Edison CompanyEBSC Transactional (HR &amp; Fin Srvcs)Business Services</v>
          </cell>
          <cell r="AC63" t="str">
            <v>[10601]  Commonwealth Edison CompanyEBSC Transactional (HR &amp; Fin Srvcs)EBSC HR &amp; Fin Srvcs - ComEd (00372)</v>
          </cell>
          <cell r="AF63" t="e">
            <v>#N/A</v>
          </cell>
        </row>
        <row r="64">
          <cell r="E64">
            <v>66692</v>
          </cell>
          <cell r="H64">
            <v>8125</v>
          </cell>
          <cell r="I64">
            <v>2390</v>
          </cell>
          <cell r="J64">
            <v>265960</v>
          </cell>
          <cell r="M64">
            <v>35616</v>
          </cell>
          <cell r="N64">
            <v>2390</v>
          </cell>
          <cell r="O64">
            <v>912654</v>
          </cell>
          <cell r="R64">
            <v>15225</v>
          </cell>
          <cell r="S64">
            <v>2390</v>
          </cell>
          <cell r="V64" t="str">
            <v>Corporate Allocated</v>
          </cell>
          <cell r="W64" t="str">
            <v>Security</v>
          </cell>
          <cell r="AA64" t="str">
            <v>[10601]  Commonwealth Edison CompanyCorporate AllocatedSecurity</v>
          </cell>
          <cell r="AB64" t="str">
            <v>[10601]  Commonwealth Edison CompanyCorporate Allocated (Security)Business Services</v>
          </cell>
          <cell r="AC64" t="str">
            <v>[10601]  Commonwealth Edison CompanyCorporate Allocated (Security)EBSC Security Srvcs - CED (00379)</v>
          </cell>
          <cell r="AF64" t="e">
            <v>#N/A</v>
          </cell>
        </row>
        <row r="65">
          <cell r="E65">
            <v>591841</v>
          </cell>
          <cell r="H65">
            <v>137484</v>
          </cell>
          <cell r="I65">
            <v>137484</v>
          </cell>
          <cell r="J65">
            <v>2690816</v>
          </cell>
          <cell r="M65">
            <v>226484</v>
          </cell>
          <cell r="N65">
            <v>137484</v>
          </cell>
          <cell r="O65">
            <v>8351888</v>
          </cell>
          <cell r="R65">
            <v>399999</v>
          </cell>
          <cell r="S65">
            <v>149995</v>
          </cell>
          <cell r="V65" t="str">
            <v>EBSC Transactional</v>
          </cell>
          <cell r="W65" t="str">
            <v>Legal Services</v>
          </cell>
          <cell r="AA65" t="str">
            <v>[10601]  Commonwealth Edison CompanyEBSC TransactionalLegal Services</v>
          </cell>
          <cell r="AB65" t="str">
            <v>[10601]  Commonwealth Edison CompanyEBSC Transactional (Legal Services)Business Services</v>
          </cell>
          <cell r="AC65" t="str">
            <v>[10601]  Commonwealth Edison CompanyEBSC Transactional (Legal Services)EBSC Legal Srvcs - CED (00384)</v>
          </cell>
          <cell r="AF65" t="e">
            <v>#N/A</v>
          </cell>
        </row>
        <row r="66">
          <cell r="E66">
            <v>186966</v>
          </cell>
          <cell r="H66">
            <v>10741</v>
          </cell>
          <cell r="I66">
            <v>41554</v>
          </cell>
          <cell r="J66">
            <v>778117</v>
          </cell>
          <cell r="M66">
            <v>18292</v>
          </cell>
          <cell r="N66">
            <v>41554</v>
          </cell>
          <cell r="O66">
            <v>2350204</v>
          </cell>
          <cell r="R66">
            <v>155543</v>
          </cell>
          <cell r="S66">
            <v>37666</v>
          </cell>
          <cell r="V66" t="str">
            <v>Corporate Allocated</v>
          </cell>
          <cell r="W66" t="str">
            <v>Supply Services</v>
          </cell>
          <cell r="AA66" t="str">
            <v>[10601]  Commonwealth Edison CompanyCorporate AllocatedSupply Services</v>
          </cell>
          <cell r="AB66" t="str">
            <v>[10601]  Commonwealth Edison CompanyCorporate Allocated (Supply Services)Business Services</v>
          </cell>
          <cell r="AC66" t="str">
            <v>[10601]  Commonwealth Edison CompanyCorporate Allocated (Supply Services)EBSC Sup Srvcs -CED (00390)</v>
          </cell>
          <cell r="AF66" t="e">
            <v>#N/A</v>
          </cell>
        </row>
        <row r="67">
          <cell r="E67">
            <v>39</v>
          </cell>
          <cell r="H67">
            <v>-39</v>
          </cell>
          <cell r="I67">
            <v>-39</v>
          </cell>
          <cell r="J67">
            <v>39</v>
          </cell>
          <cell r="M67">
            <v>-39</v>
          </cell>
          <cell r="N67">
            <v>-39</v>
          </cell>
          <cell r="O67">
            <v>8478</v>
          </cell>
          <cell r="R67">
            <v>-8478</v>
          </cell>
          <cell r="S67">
            <v>-8478</v>
          </cell>
          <cell r="V67" t="str">
            <v>EBSC Transactional</v>
          </cell>
          <cell r="W67" t="str">
            <v>IT</v>
          </cell>
          <cell r="AA67" t="str">
            <v>[10601]  Commonwealth Edison CompanyEBSC TransactionalIT</v>
          </cell>
          <cell r="AB67" t="str">
            <v>[10601]  Commonwealth Edison CompanyEBSC Transactional (IT)Salaries and Wages</v>
          </cell>
          <cell r="AC67" t="str">
            <v>[10601]  Commonwealth Edison CompanyEBSC Transactional (IT)IT Projects - COMED (00395)</v>
          </cell>
          <cell r="AF67" t="e">
            <v>#N/A</v>
          </cell>
        </row>
        <row r="68">
          <cell r="E68">
            <v>1856</v>
          </cell>
          <cell r="H68">
            <v>-1856</v>
          </cell>
          <cell r="I68">
            <v>40446</v>
          </cell>
          <cell r="J68">
            <v>9696</v>
          </cell>
          <cell r="M68">
            <v>115304</v>
          </cell>
          <cell r="N68">
            <v>40446</v>
          </cell>
          <cell r="O68">
            <v>469808</v>
          </cell>
          <cell r="R68">
            <v>-344808</v>
          </cell>
          <cell r="S68">
            <v>-407554</v>
          </cell>
          <cell r="V68" t="str">
            <v>EBSC Transactional</v>
          </cell>
          <cell r="W68" t="str">
            <v>IT</v>
          </cell>
          <cell r="AA68" t="str">
            <v>[10601]  Commonwealth Edison CompanyEBSC TransactionalIT</v>
          </cell>
          <cell r="AB68" t="str">
            <v>[10601]  Commonwealth Edison CompanyEBSC Transactional (IT)Contracting</v>
          </cell>
          <cell r="AC68" t="str">
            <v>[10601]  Commonwealth Edison CompanyEBSC Transactional (IT)IT Projects - COMED (00395)</v>
          </cell>
          <cell r="AF68" t="e">
            <v>#N/A</v>
          </cell>
        </row>
        <row r="69">
          <cell r="E69">
            <v>152802</v>
          </cell>
          <cell r="H69">
            <v>-152802</v>
          </cell>
          <cell r="I69">
            <v>-100302</v>
          </cell>
          <cell r="J69">
            <v>230102</v>
          </cell>
          <cell r="M69">
            <v>-230102</v>
          </cell>
          <cell r="N69">
            <v>-100302</v>
          </cell>
          <cell r="O69">
            <v>431017</v>
          </cell>
          <cell r="R69">
            <v>-431017</v>
          </cell>
          <cell r="S69">
            <v>-186413</v>
          </cell>
          <cell r="V69" t="str">
            <v>EBSC Transactional</v>
          </cell>
          <cell r="W69" t="str">
            <v>IT</v>
          </cell>
          <cell r="AA69" t="str">
            <v>[10601]  Commonwealth Edison CompanyEBSC TransactionalIT</v>
          </cell>
          <cell r="AB69" t="str">
            <v>[10601]  Commonwealth Edison CompanyEBSC Transactional (IT)Business Services</v>
          </cell>
          <cell r="AC69" t="str">
            <v>[10601]  Commonwealth Edison CompanyEBSC Transactional (IT)IT Projects - COMED (00395)</v>
          </cell>
          <cell r="AF69" t="e">
            <v>#N/A</v>
          </cell>
        </row>
        <row r="70">
          <cell r="E70">
            <v>0</v>
          </cell>
          <cell r="H70">
            <v>0</v>
          </cell>
          <cell r="I70">
            <v>0</v>
          </cell>
          <cell r="J70">
            <v>256</v>
          </cell>
          <cell r="M70">
            <v>-256</v>
          </cell>
          <cell r="N70">
            <v>0</v>
          </cell>
          <cell r="O70">
            <v>256</v>
          </cell>
          <cell r="R70">
            <v>-256</v>
          </cell>
          <cell r="S70">
            <v>0</v>
          </cell>
          <cell r="V70" t="str">
            <v>EBSC Transactional</v>
          </cell>
          <cell r="W70" t="str">
            <v>IT</v>
          </cell>
          <cell r="AA70" t="str">
            <v>[10601]  Commonwealth Edison CompanyEBSC TransactionalIT</v>
          </cell>
          <cell r="AB70" t="str">
            <v>[10601]  Commonwealth Edison CompanyEBSC Transactional (IT)Travel, Entertainment &amp; Reimb</v>
          </cell>
          <cell r="AC70" t="str">
            <v>[10601]  Commonwealth Edison CompanyEBSC Transactional (IT)IT Projects - COMED (00395)</v>
          </cell>
          <cell r="AF70" t="e">
            <v>#N/A</v>
          </cell>
        </row>
        <row r="71">
          <cell r="E71">
            <v>0</v>
          </cell>
          <cell r="H71">
            <v>0</v>
          </cell>
          <cell r="I71">
            <v>0</v>
          </cell>
          <cell r="J71">
            <v>33</v>
          </cell>
          <cell r="M71">
            <v>-33</v>
          </cell>
          <cell r="N71">
            <v>0</v>
          </cell>
          <cell r="O71">
            <v>33</v>
          </cell>
          <cell r="R71">
            <v>-33</v>
          </cell>
          <cell r="S71">
            <v>0</v>
          </cell>
          <cell r="V71" t="str">
            <v>EBSC Transactional</v>
          </cell>
          <cell r="W71" t="str">
            <v>IT</v>
          </cell>
          <cell r="AA71" t="str">
            <v>[10601]  Commonwealth Edison CompanyEBSC TransactionalIT</v>
          </cell>
          <cell r="AB71" t="str">
            <v>[10601]  Commonwealth Edison CompanyEBSC Transactional (IT)Other Operating Expenses</v>
          </cell>
          <cell r="AC71" t="str">
            <v>[10601]  Commonwealth Edison CompanyEBSC Transactional (IT)IT Projects - COMED (00395)</v>
          </cell>
          <cell r="AF71" t="e">
            <v>#N/A</v>
          </cell>
        </row>
        <row r="72">
          <cell r="E72">
            <v>176</v>
          </cell>
          <cell r="H72">
            <v>-176</v>
          </cell>
          <cell r="I72">
            <v>-176</v>
          </cell>
          <cell r="J72">
            <v>999</v>
          </cell>
          <cell r="M72">
            <v>-999</v>
          </cell>
          <cell r="N72">
            <v>-176</v>
          </cell>
          <cell r="O72">
            <v>33435</v>
          </cell>
          <cell r="R72">
            <v>841565</v>
          </cell>
          <cell r="S72">
            <v>-32611</v>
          </cell>
          <cell r="V72" t="str">
            <v>EBSC Transactional</v>
          </cell>
          <cell r="W72" t="str">
            <v>IT</v>
          </cell>
          <cell r="AA72" t="str">
            <v>[10601]  Commonwealth Edison CompanyEBSC TransactionalIT</v>
          </cell>
          <cell r="AB72" t="str">
            <v>[10601]  Commonwealth Edison CompanyEBSC Transactional (IT)Other Operating Expenses</v>
          </cell>
          <cell r="AC72" t="str">
            <v>[10601]  Commonwealth Edison CompanyEBSC Transactional (IT)IT Projects - COMED (00395)</v>
          </cell>
          <cell r="AF72" t="e">
            <v>#N/A</v>
          </cell>
        </row>
        <row r="73">
          <cell r="E73">
            <v>0</v>
          </cell>
          <cell r="H73">
            <v>0</v>
          </cell>
          <cell r="I73">
            <v>0</v>
          </cell>
          <cell r="J73">
            <v>0</v>
          </cell>
          <cell r="M73">
            <v>0</v>
          </cell>
          <cell r="N73">
            <v>0</v>
          </cell>
          <cell r="R73">
            <v>0</v>
          </cell>
          <cell r="S73">
            <v>693129</v>
          </cell>
          <cell r="V73" t="str">
            <v>EBSC Transactional</v>
          </cell>
          <cell r="W73" t="str">
            <v>IT</v>
          </cell>
          <cell r="AA73" t="str">
            <v>[10601]  Commonwealth Edison CompanyEBSC TransactionalIT</v>
          </cell>
          <cell r="AB73" t="str">
            <v>[10601]  Commonwealth Edison CompanyEBSC Transactional (IT)Other Operating Expenses</v>
          </cell>
          <cell r="AC73" t="str">
            <v>[10601]  Commonwealth Edison CompanyEBSC Transactional (IT)IT Projects - COMED (00395)</v>
          </cell>
          <cell r="AF73" t="e">
            <v>#N/A</v>
          </cell>
        </row>
        <row r="74">
          <cell r="E74">
            <v>29</v>
          </cell>
          <cell r="H74">
            <v>-29</v>
          </cell>
          <cell r="I74">
            <v>-29</v>
          </cell>
          <cell r="J74">
            <v>29</v>
          </cell>
          <cell r="M74">
            <v>-29</v>
          </cell>
          <cell r="N74">
            <v>-29</v>
          </cell>
          <cell r="O74">
            <v>5916</v>
          </cell>
          <cell r="R74">
            <v>-5916</v>
          </cell>
          <cell r="S74">
            <v>-5916</v>
          </cell>
          <cell r="V74" t="str">
            <v>EBSC Transactional</v>
          </cell>
          <cell r="W74" t="str">
            <v>IT</v>
          </cell>
          <cell r="AA74" t="str">
            <v>[10601]  Commonwealth Edison CompanyEBSC TransactionalIT</v>
          </cell>
          <cell r="AB74" t="str">
            <v>[10601]  Commonwealth Edison CompanyEBSC Transactional (IT)Pension and Benefits</v>
          </cell>
          <cell r="AC74" t="str">
            <v>[10601]  Commonwealth Edison CompanyEBSC Transactional (IT)IT Projects - COMED (00395)</v>
          </cell>
          <cell r="AF74" t="e">
            <v>#N/A</v>
          </cell>
        </row>
        <row r="75">
          <cell r="E75">
            <v>105716</v>
          </cell>
          <cell r="H75">
            <v>-29925</v>
          </cell>
          <cell r="I75">
            <v>-28665</v>
          </cell>
          <cell r="J75">
            <v>431128</v>
          </cell>
          <cell r="M75">
            <v>-129262</v>
          </cell>
          <cell r="N75">
            <v>-28665</v>
          </cell>
          <cell r="O75">
            <v>1391805</v>
          </cell>
          <cell r="R75">
            <v>-361134</v>
          </cell>
          <cell r="S75">
            <v>-377194</v>
          </cell>
          <cell r="V75" t="str">
            <v>Embedded</v>
          </cell>
          <cell r="W75" t="str">
            <v>Finance</v>
          </cell>
          <cell r="AA75" t="str">
            <v>[10601]  Commonwealth Edison CompanyEmbeddedFinance</v>
          </cell>
          <cell r="AB75" t="str">
            <v>[10601]  Commonwealth Edison CompanyEmbedded (Finance)EDSS</v>
          </cell>
          <cell r="AC75" t="str">
            <v>[10601]  Commonwealth Edison CompanyEmbedded (Finance)EDSS Fin Srvcs CED (00398)</v>
          </cell>
          <cell r="AF75" t="str">
            <v>EEDControllerEDSS</v>
          </cell>
        </row>
        <row r="76">
          <cell r="E76">
            <v>1778</v>
          </cell>
          <cell r="H76">
            <v>-1778</v>
          </cell>
          <cell r="I76">
            <v>-1778</v>
          </cell>
          <cell r="J76">
            <v>3941</v>
          </cell>
          <cell r="M76">
            <v>-3941</v>
          </cell>
          <cell r="N76">
            <v>-1778</v>
          </cell>
          <cell r="O76">
            <v>3941</v>
          </cell>
          <cell r="R76">
            <v>-3941</v>
          </cell>
          <cell r="S76">
            <v>-1778</v>
          </cell>
          <cell r="V76" t="str">
            <v>Embedded</v>
          </cell>
          <cell r="W76" t="str">
            <v>Legal Services</v>
          </cell>
          <cell r="AA76" t="str">
            <v>[10601]  Commonwealth Edison CompanyEmbeddedLegal Services</v>
          </cell>
          <cell r="AB76" t="str">
            <v>[10601]  Commonwealth Edison CompanyEmbedded (Legal Services)Travel, Entertainment &amp; Reimb</v>
          </cell>
          <cell r="AC76" t="str">
            <v>[10601]  Commonwealth Edison CompanyEmbedded (Legal Services)Legal Ext. Srvcs - COMED (00402)</v>
          </cell>
          <cell r="AF76" t="e">
            <v>#N/A</v>
          </cell>
        </row>
        <row r="77">
          <cell r="E77">
            <v>1169902</v>
          </cell>
          <cell r="H77">
            <v>-88502</v>
          </cell>
          <cell r="I77">
            <v>22134</v>
          </cell>
          <cell r="J77">
            <v>3727662</v>
          </cell>
          <cell r="M77">
            <v>597940</v>
          </cell>
          <cell r="N77">
            <v>22134</v>
          </cell>
          <cell r="O77">
            <v>12656990</v>
          </cell>
          <cell r="R77">
            <v>319829</v>
          </cell>
          <cell r="S77">
            <v>5429</v>
          </cell>
          <cell r="V77" t="str">
            <v>Embedded</v>
          </cell>
          <cell r="W77" t="str">
            <v>Legal Services</v>
          </cell>
          <cell r="AA77" t="str">
            <v>[10601]  Commonwealth Edison CompanyEmbeddedLegal Services</v>
          </cell>
          <cell r="AB77" t="str">
            <v>[10601]  Commonwealth Edison CompanyEmbedded (Legal Services)Contracting</v>
          </cell>
          <cell r="AC77" t="str">
            <v>[10601]  Commonwealth Edison CompanyEmbedded (Legal Services)Legal Ext. Srvcs - COMED (00402)</v>
          </cell>
          <cell r="AF77" t="e">
            <v>#N/A</v>
          </cell>
        </row>
        <row r="78">
          <cell r="E78">
            <v>1256</v>
          </cell>
          <cell r="H78">
            <v>-1256</v>
          </cell>
          <cell r="I78">
            <v>-1256</v>
          </cell>
          <cell r="J78">
            <v>3907</v>
          </cell>
          <cell r="M78">
            <v>-3907</v>
          </cell>
          <cell r="N78">
            <v>-1256</v>
          </cell>
          <cell r="O78">
            <v>3907</v>
          </cell>
          <cell r="R78">
            <v>-3907</v>
          </cell>
          <cell r="S78">
            <v>-1256</v>
          </cell>
          <cell r="V78" t="str">
            <v>Embedded</v>
          </cell>
          <cell r="W78" t="str">
            <v>Legal Services</v>
          </cell>
          <cell r="AA78" t="str">
            <v>[10601]  Commonwealth Edison CompanyEmbeddedLegal Services</v>
          </cell>
          <cell r="AB78" t="str">
            <v>[10601]  Commonwealth Edison CompanyEmbedded (Legal Services)Business Services</v>
          </cell>
          <cell r="AC78" t="str">
            <v>[10601]  Commonwealth Edison CompanyEmbedded (Legal Services)Legal Ext. Srvcs - COMED (00402)</v>
          </cell>
          <cell r="AF78" t="e">
            <v>#N/A</v>
          </cell>
        </row>
        <row r="79">
          <cell r="E79">
            <v>0</v>
          </cell>
          <cell r="H79">
            <v>0</v>
          </cell>
          <cell r="I79">
            <v>0</v>
          </cell>
          <cell r="J79">
            <v>1410</v>
          </cell>
          <cell r="M79">
            <v>-1410</v>
          </cell>
          <cell r="N79">
            <v>0</v>
          </cell>
          <cell r="O79">
            <v>1410</v>
          </cell>
          <cell r="R79">
            <v>-1410</v>
          </cell>
          <cell r="S79">
            <v>0</v>
          </cell>
          <cell r="V79" t="str">
            <v>Embedded</v>
          </cell>
          <cell r="W79" t="str">
            <v>Legal Services</v>
          </cell>
          <cell r="AA79" t="str">
            <v>[10601]  Commonwealth Edison CompanyEmbeddedLegal Services</v>
          </cell>
          <cell r="AB79" t="str">
            <v>[10601]  Commonwealth Edison CompanyEmbedded (Legal Services)Travel, Entertainment &amp; Reimb</v>
          </cell>
          <cell r="AC79" t="str">
            <v>[10601]  Commonwealth Edison CompanyEmbedded (Legal Services)Legal Ext. Srvcs - COMED (00402)</v>
          </cell>
          <cell r="AF79" t="e">
            <v>#N/A</v>
          </cell>
        </row>
        <row r="80">
          <cell r="E80">
            <v>379</v>
          </cell>
          <cell r="H80">
            <v>-379</v>
          </cell>
          <cell r="I80">
            <v>-379</v>
          </cell>
          <cell r="J80">
            <v>4283</v>
          </cell>
          <cell r="M80">
            <v>-4283</v>
          </cell>
          <cell r="N80">
            <v>-379</v>
          </cell>
          <cell r="O80">
            <v>4283</v>
          </cell>
          <cell r="R80">
            <v>-4283</v>
          </cell>
          <cell r="S80">
            <v>-379</v>
          </cell>
          <cell r="V80" t="str">
            <v>Embedded</v>
          </cell>
          <cell r="W80" t="str">
            <v>Legal Services</v>
          </cell>
          <cell r="AA80" t="str">
            <v>[10601]  Commonwealth Edison CompanyEmbeddedLegal Services</v>
          </cell>
          <cell r="AB80" t="str">
            <v>[10601]  Commonwealth Edison CompanyEmbedded (Legal Services)Other Operating Expenses</v>
          </cell>
          <cell r="AC80" t="str">
            <v>[10601]  Commonwealth Edison CompanyEmbedded (Legal Services)Legal Ext. Srvcs - COMED (00402)</v>
          </cell>
          <cell r="AF80" t="e">
            <v>#N/A</v>
          </cell>
        </row>
        <row r="81">
          <cell r="E81">
            <v>2015</v>
          </cell>
          <cell r="H81">
            <v>-2015</v>
          </cell>
          <cell r="I81">
            <v>-2015</v>
          </cell>
          <cell r="J81">
            <v>6289</v>
          </cell>
          <cell r="M81">
            <v>-6289</v>
          </cell>
          <cell r="N81">
            <v>-2015</v>
          </cell>
          <cell r="O81">
            <v>6289</v>
          </cell>
          <cell r="R81">
            <v>-6289</v>
          </cell>
          <cell r="S81">
            <v>-2015</v>
          </cell>
          <cell r="V81" t="str">
            <v>Embedded</v>
          </cell>
          <cell r="W81" t="str">
            <v>Legal Services</v>
          </cell>
          <cell r="AA81" t="str">
            <v>[10601]  Commonwealth Edison CompanyEmbeddedLegal Services</v>
          </cell>
          <cell r="AB81" t="str">
            <v>[10601]  Commonwealth Edison CompanyEmbedded (Legal Services)Other Operating Expenses</v>
          </cell>
          <cell r="AC81" t="str">
            <v>[10601]  Commonwealth Edison CompanyEmbedded (Legal Services)Legal Ext. Srvcs - COMED (00402)</v>
          </cell>
          <cell r="AF81" t="e">
            <v>#N/A</v>
          </cell>
        </row>
        <row r="82">
          <cell r="E82">
            <v>0</v>
          </cell>
          <cell r="H82">
            <v>0</v>
          </cell>
          <cell r="I82">
            <v>0</v>
          </cell>
          <cell r="J82">
            <v>-1435</v>
          </cell>
          <cell r="M82">
            <v>1435</v>
          </cell>
          <cell r="N82">
            <v>0</v>
          </cell>
          <cell r="O82">
            <v>-1435</v>
          </cell>
          <cell r="R82">
            <v>1435</v>
          </cell>
          <cell r="S82">
            <v>0</v>
          </cell>
          <cell r="V82" t="str">
            <v>Embedded</v>
          </cell>
          <cell r="W82" t="str">
            <v>IT</v>
          </cell>
          <cell r="AA82" t="str">
            <v>[10601]  Commonwealth Edison CompanyEmbeddedIT</v>
          </cell>
          <cell r="AB82" t="str">
            <v>[10601]  Commonwealth Edison CompanyEmbedded (IT)Travel, Entertainment &amp; Reimb</v>
          </cell>
          <cell r="AC82" t="str">
            <v>[10601]  Commonwealth Edison CompanyEmbedded (IT)IT passthrough-ComEd (00416)</v>
          </cell>
          <cell r="AF82" t="e">
            <v>#N/A</v>
          </cell>
        </row>
        <row r="83">
          <cell r="E83">
            <v>114</v>
          </cell>
          <cell r="H83">
            <v>311053</v>
          </cell>
          <cell r="I83">
            <v>-114</v>
          </cell>
          <cell r="J83">
            <v>114</v>
          </cell>
          <cell r="M83">
            <v>1244553</v>
          </cell>
          <cell r="N83">
            <v>-114</v>
          </cell>
          <cell r="O83">
            <v>114</v>
          </cell>
          <cell r="R83">
            <v>3733886</v>
          </cell>
          <cell r="S83">
            <v>-114</v>
          </cell>
          <cell r="V83" t="str">
            <v>Embedded</v>
          </cell>
          <cell r="W83" t="str">
            <v>IT</v>
          </cell>
          <cell r="AA83" t="str">
            <v>[10601]  Commonwealth Edison CompanyEmbeddedIT</v>
          </cell>
          <cell r="AB83" t="str">
            <v>[10601]  Commonwealth Edison CompanyEmbedded (IT)Business Services</v>
          </cell>
          <cell r="AC83" t="str">
            <v>[10601]  Commonwealth Edison CompanyEmbedded (IT)IT passthrough-ComEd (00416)</v>
          </cell>
          <cell r="AF83" t="e">
            <v>#N/A</v>
          </cell>
        </row>
        <row r="84">
          <cell r="E84">
            <v>-141</v>
          </cell>
          <cell r="H84">
            <v>141</v>
          </cell>
          <cell r="I84">
            <v>141</v>
          </cell>
          <cell r="J84">
            <v>-141</v>
          </cell>
          <cell r="M84">
            <v>141</v>
          </cell>
          <cell r="N84">
            <v>141</v>
          </cell>
          <cell r="O84">
            <v>-141</v>
          </cell>
          <cell r="R84">
            <v>141</v>
          </cell>
          <cell r="S84">
            <v>141</v>
          </cell>
          <cell r="V84" t="str">
            <v>Embedded</v>
          </cell>
          <cell r="W84" t="str">
            <v>IT</v>
          </cell>
          <cell r="AA84" t="str">
            <v>[10601]  Commonwealth Edison CompanyEmbeddedIT</v>
          </cell>
          <cell r="AB84" t="str">
            <v>[10601]  Commonwealth Edison CompanyEmbedded (IT)Materials and Supplies</v>
          </cell>
          <cell r="AC84" t="str">
            <v>[10601]  Commonwealth Edison CompanyEmbedded (IT)IT passthrough-ComEd (00416)</v>
          </cell>
          <cell r="AF84" t="e">
            <v>#N/A</v>
          </cell>
        </row>
        <row r="85">
          <cell r="E85">
            <v>280631</v>
          </cell>
          <cell r="H85">
            <v>-280631</v>
          </cell>
          <cell r="I85">
            <v>-5631</v>
          </cell>
          <cell r="J85">
            <v>715558</v>
          </cell>
          <cell r="M85">
            <v>-715558</v>
          </cell>
          <cell r="N85">
            <v>-5631</v>
          </cell>
          <cell r="O85">
            <v>3335463</v>
          </cell>
          <cell r="R85">
            <v>-3335463</v>
          </cell>
          <cell r="S85">
            <v>-276045</v>
          </cell>
          <cell r="V85" t="str">
            <v>Embedded</v>
          </cell>
          <cell r="W85" t="str">
            <v>IT</v>
          </cell>
          <cell r="AA85" t="str">
            <v>[10601]  Commonwealth Edison CompanyEmbeddedIT</v>
          </cell>
          <cell r="AB85" t="str">
            <v>[10601]  Commonwealth Edison CompanyEmbedded (IT)Other Operating Expenses</v>
          </cell>
          <cell r="AC85" t="str">
            <v>[10601]  Commonwealth Edison CompanyEmbedded (IT)IT passthrough-ComEd (00416)</v>
          </cell>
          <cell r="AF85" t="e">
            <v>#N/A</v>
          </cell>
        </row>
        <row r="86">
          <cell r="E86">
            <v>0</v>
          </cell>
          <cell r="H86">
            <v>0</v>
          </cell>
          <cell r="I86">
            <v>0</v>
          </cell>
          <cell r="J86">
            <v>0</v>
          </cell>
          <cell r="M86">
            <v>0</v>
          </cell>
          <cell r="N86">
            <v>0</v>
          </cell>
          <cell r="R86">
            <v>0</v>
          </cell>
          <cell r="S86">
            <v>274443</v>
          </cell>
          <cell r="V86" t="str">
            <v>Embedded</v>
          </cell>
          <cell r="W86" t="str">
            <v>IT</v>
          </cell>
          <cell r="AA86" t="str">
            <v>[10601]  Commonwealth Edison CompanyEmbeddedIT</v>
          </cell>
          <cell r="AB86" t="str">
            <v>[10601]  Commonwealth Edison CompanyEmbedded (IT)Other Operating Expenses</v>
          </cell>
          <cell r="AC86" t="str">
            <v>[10601]  Commonwealth Edison CompanyEmbedded (IT)IT passthrough-ComEd (00416)</v>
          </cell>
          <cell r="AF86" t="e">
            <v>#N/A</v>
          </cell>
        </row>
        <row r="87">
          <cell r="E87">
            <v>-13544</v>
          </cell>
          <cell r="H87">
            <v>13544</v>
          </cell>
          <cell r="I87">
            <v>13544</v>
          </cell>
          <cell r="J87">
            <v>54352</v>
          </cell>
          <cell r="M87">
            <v>-54352</v>
          </cell>
          <cell r="N87">
            <v>13544</v>
          </cell>
          <cell r="O87">
            <v>54352</v>
          </cell>
          <cell r="R87">
            <v>-54352</v>
          </cell>
          <cell r="S87">
            <v>13544</v>
          </cell>
          <cell r="V87" t="str">
            <v>Corporate Allocated</v>
          </cell>
          <cell r="W87" t="str">
            <v>Executive Services</v>
          </cell>
          <cell r="AA87" t="str">
            <v>[10601]  Commonwealth Edison CompanyCorporate AllocatedExecutive Services</v>
          </cell>
          <cell r="AB87" t="str">
            <v>[10601]  Commonwealth Edison CompanyCorporate Allocated (Executive Services)Contracting</v>
          </cell>
          <cell r="AC87" t="str">
            <v>[10601]  Commonwealth Edison CompanyCorporate Allocated (Executive Services)Access Implementation (00599)</v>
          </cell>
          <cell r="AF87" t="e">
            <v>#N/A</v>
          </cell>
        </row>
        <row r="88">
          <cell r="E88">
            <v>476</v>
          </cell>
          <cell r="H88">
            <v>-476</v>
          </cell>
          <cell r="I88">
            <v>-476</v>
          </cell>
          <cell r="J88">
            <v>1957</v>
          </cell>
          <cell r="M88">
            <v>-1957</v>
          </cell>
          <cell r="N88">
            <v>-476</v>
          </cell>
          <cell r="O88">
            <v>1957</v>
          </cell>
          <cell r="R88">
            <v>-1957</v>
          </cell>
          <cell r="S88">
            <v>-476</v>
          </cell>
          <cell r="V88" t="str">
            <v>Corporate Allocated</v>
          </cell>
          <cell r="W88" t="str">
            <v>Executive Services</v>
          </cell>
          <cell r="AA88" t="str">
            <v>[10601]  Commonwealth Edison CompanyCorporate AllocatedExecutive Services</v>
          </cell>
          <cell r="AB88" t="str">
            <v>[10601]  Commonwealth Edison CompanyCorporate Allocated (Executive Services)Business Services</v>
          </cell>
          <cell r="AC88" t="str">
            <v>[10601]  Commonwealth Edison CompanyCorporate Allocated (Executive Services)Access Implementation (00599)</v>
          </cell>
          <cell r="AF88" t="e">
            <v>#N/A</v>
          </cell>
        </row>
        <row r="89">
          <cell r="E89">
            <v>2671</v>
          </cell>
          <cell r="H89">
            <v>-2671</v>
          </cell>
          <cell r="I89">
            <v>-2671</v>
          </cell>
          <cell r="J89">
            <v>11053</v>
          </cell>
          <cell r="M89">
            <v>-11053</v>
          </cell>
          <cell r="N89">
            <v>-2671</v>
          </cell>
          <cell r="O89">
            <v>11053</v>
          </cell>
          <cell r="R89">
            <v>-11053</v>
          </cell>
          <cell r="S89">
            <v>-2671</v>
          </cell>
          <cell r="V89" t="str">
            <v>Corporate Allocated</v>
          </cell>
          <cell r="W89" t="str">
            <v>Executive Services</v>
          </cell>
          <cell r="AA89" t="str">
            <v>[10601]  Commonwealth Edison CompanyCorporate AllocatedExecutive Services</v>
          </cell>
          <cell r="AB89" t="str">
            <v>[10601]  Commonwealth Edison CompanyCorporate Allocated (Executive Services)Other Operating Expenses</v>
          </cell>
          <cell r="AC89" t="str">
            <v>[10601]  Commonwealth Edison CompanyCorporate Allocated (Executive Services)Access Implementation (00599)</v>
          </cell>
          <cell r="AF89" t="e">
            <v>#N/A</v>
          </cell>
        </row>
        <row r="90">
          <cell r="E90">
            <v>-170</v>
          </cell>
          <cell r="H90">
            <v>170</v>
          </cell>
          <cell r="I90">
            <v>170</v>
          </cell>
          <cell r="J90">
            <v>-680</v>
          </cell>
          <cell r="M90">
            <v>680</v>
          </cell>
          <cell r="N90">
            <v>170</v>
          </cell>
          <cell r="O90">
            <v>-680</v>
          </cell>
          <cell r="R90">
            <v>680</v>
          </cell>
          <cell r="S90">
            <v>170</v>
          </cell>
          <cell r="V90" t="str">
            <v>Corporate Allocated</v>
          </cell>
          <cell r="W90" t="str">
            <v>Executive Services</v>
          </cell>
          <cell r="AA90" t="str">
            <v>[10601]  Commonwealth Edison CompanyCorporate AllocatedExecutive Services</v>
          </cell>
          <cell r="AB90" t="str">
            <v>[10601]  Commonwealth Edison CompanyCorporate Allocated (Executive Services)Other Operating Expenses</v>
          </cell>
          <cell r="AC90" t="str">
            <v>[10601]  Commonwealth Edison CompanyCorporate Allocated (Executive Services)Access Implementation (00599)</v>
          </cell>
          <cell r="AF90" t="e">
            <v>#N/A</v>
          </cell>
        </row>
        <row r="91">
          <cell r="E91">
            <v>96122</v>
          </cell>
          <cell r="H91">
            <v>-275</v>
          </cell>
          <cell r="I91">
            <v>-35874</v>
          </cell>
          <cell r="J91">
            <v>373970</v>
          </cell>
          <cell r="M91">
            <v>7656</v>
          </cell>
          <cell r="N91">
            <v>-35874</v>
          </cell>
          <cell r="O91">
            <v>876033</v>
          </cell>
          <cell r="R91">
            <v>304317</v>
          </cell>
          <cell r="S91">
            <v>-35874</v>
          </cell>
          <cell r="V91" t="str">
            <v>Embedded</v>
          </cell>
          <cell r="W91" t="str">
            <v>Finance</v>
          </cell>
          <cell r="AA91" t="str">
            <v>[10601]  Commonwealth Edison CompanyEmbeddedFinance</v>
          </cell>
          <cell r="AB91" t="str">
            <v>[10601]  Commonwealth Edison CompanyEmbedded (Finance)Salaries and Wages</v>
          </cell>
          <cell r="AC91" t="str">
            <v>[10601]  Commonwealth Edison CompanyEmbedded (Finance)Finance - ComEd (00816)</v>
          </cell>
          <cell r="AF91" t="str">
            <v>EEDFinanceSalaries and Wages</v>
          </cell>
        </row>
        <row r="92">
          <cell r="E92">
            <v>73</v>
          </cell>
          <cell r="H92">
            <v>2527</v>
          </cell>
          <cell r="I92">
            <v>2527</v>
          </cell>
          <cell r="J92">
            <v>1565</v>
          </cell>
          <cell r="M92">
            <v>8835</v>
          </cell>
          <cell r="N92">
            <v>2527</v>
          </cell>
          <cell r="O92">
            <v>22365</v>
          </cell>
          <cell r="R92">
            <v>8835</v>
          </cell>
          <cell r="S92">
            <v>2527</v>
          </cell>
          <cell r="V92" t="str">
            <v>Embedded</v>
          </cell>
          <cell r="W92" t="str">
            <v>Finance</v>
          </cell>
          <cell r="AA92" t="str">
            <v>[10601]  Commonwealth Edison CompanyEmbeddedFinance</v>
          </cell>
          <cell r="AB92" t="str">
            <v>[10601]  Commonwealth Edison CompanyEmbedded (Finance)Travel, Entertainment &amp; Reimb</v>
          </cell>
          <cell r="AC92" t="str">
            <v>[10601]  Commonwealth Edison CompanyEmbedded (Finance)Finance - ComEd (00816)</v>
          </cell>
          <cell r="AF92" t="str">
            <v>EEDFinanceTravel, Entertainment &amp; Reimb</v>
          </cell>
        </row>
        <row r="93">
          <cell r="E93">
            <v>48067</v>
          </cell>
          <cell r="H93">
            <v>-48067</v>
          </cell>
          <cell r="I93">
            <v>-48067</v>
          </cell>
          <cell r="J93">
            <v>118094</v>
          </cell>
          <cell r="M93">
            <v>-118094</v>
          </cell>
          <cell r="N93">
            <v>-48067</v>
          </cell>
          <cell r="O93">
            <v>118094</v>
          </cell>
          <cell r="R93">
            <v>-118094</v>
          </cell>
          <cell r="S93">
            <v>-48067</v>
          </cell>
          <cell r="V93" t="str">
            <v>Embedded</v>
          </cell>
          <cell r="W93" t="str">
            <v>Finance</v>
          </cell>
          <cell r="AA93" t="str">
            <v>[10601]  Commonwealth Edison CompanyEmbeddedFinance</v>
          </cell>
          <cell r="AB93" t="str">
            <v>[10601]  Commonwealth Edison CompanyEmbedded (Finance)Contracting</v>
          </cell>
          <cell r="AC93" t="str">
            <v>[10601]  Commonwealth Edison CompanyEmbedded (Finance)Finance - ComEd (00816)</v>
          </cell>
          <cell r="AF93" t="str">
            <v>EEDFinanceContracting</v>
          </cell>
        </row>
        <row r="94">
          <cell r="E94">
            <v>10032</v>
          </cell>
          <cell r="H94">
            <v>-5208</v>
          </cell>
          <cell r="I94">
            <v>-5208</v>
          </cell>
          <cell r="J94">
            <v>26495</v>
          </cell>
          <cell r="M94">
            <v>-7199</v>
          </cell>
          <cell r="N94">
            <v>-5208</v>
          </cell>
          <cell r="O94">
            <v>65087</v>
          </cell>
          <cell r="R94">
            <v>-7199</v>
          </cell>
          <cell r="S94">
            <v>-5208</v>
          </cell>
          <cell r="V94" t="str">
            <v>Embedded</v>
          </cell>
          <cell r="W94" t="str">
            <v>Finance</v>
          </cell>
          <cell r="AA94" t="str">
            <v>[10601]  Commonwealth Edison CompanyEmbeddedFinance</v>
          </cell>
          <cell r="AB94" t="str">
            <v>[10601]  Commonwealth Edison CompanyEmbedded (Finance)Business Services</v>
          </cell>
          <cell r="AC94" t="str">
            <v>[10601]  Commonwealth Edison CompanyEmbedded (Finance)Finance - ComEd (00816)</v>
          </cell>
          <cell r="AF94" t="str">
            <v>EEDFinanceBusiness Services</v>
          </cell>
        </row>
        <row r="95">
          <cell r="E95">
            <v>0</v>
          </cell>
          <cell r="H95">
            <v>0</v>
          </cell>
          <cell r="I95">
            <v>0</v>
          </cell>
          <cell r="J95">
            <v>101</v>
          </cell>
          <cell r="M95">
            <v>-101</v>
          </cell>
          <cell r="N95">
            <v>0</v>
          </cell>
          <cell r="O95">
            <v>101</v>
          </cell>
          <cell r="R95">
            <v>-101</v>
          </cell>
          <cell r="S95">
            <v>0</v>
          </cell>
          <cell r="V95" t="str">
            <v>Embedded</v>
          </cell>
          <cell r="W95" t="str">
            <v>Finance</v>
          </cell>
          <cell r="AA95" t="str">
            <v>[10601]  Commonwealth Edison CompanyEmbeddedFinance</v>
          </cell>
          <cell r="AB95" t="str">
            <v>[10601]  Commonwealth Edison CompanyEmbedded (Finance)Travel, Entertainment &amp; Reimb</v>
          </cell>
          <cell r="AC95" t="str">
            <v>[10601]  Commonwealth Edison CompanyEmbedded (Finance)Finance - ComEd (00816)</v>
          </cell>
          <cell r="AF95" t="str">
            <v>EEDFinanceTravel, Entertainment &amp; Reimb</v>
          </cell>
        </row>
        <row r="96">
          <cell r="E96">
            <v>85</v>
          </cell>
          <cell r="H96">
            <v>1061</v>
          </cell>
          <cell r="I96">
            <v>1061</v>
          </cell>
          <cell r="J96">
            <v>1830</v>
          </cell>
          <cell r="M96">
            <v>2754</v>
          </cell>
          <cell r="N96">
            <v>1061</v>
          </cell>
          <cell r="O96">
            <v>10998</v>
          </cell>
          <cell r="R96">
            <v>2754</v>
          </cell>
          <cell r="S96">
            <v>1061</v>
          </cell>
          <cell r="V96" t="str">
            <v>Embedded</v>
          </cell>
          <cell r="W96" t="str">
            <v>Finance</v>
          </cell>
          <cell r="AA96" t="str">
            <v>[10601]  Commonwealth Edison CompanyEmbeddedFinance</v>
          </cell>
          <cell r="AB96" t="str">
            <v>[10601]  Commonwealth Edison CompanyEmbedded (Finance)Other Operating Expenses</v>
          </cell>
          <cell r="AC96" t="str">
            <v>[10601]  Commonwealth Edison CompanyEmbedded (Finance)Finance - ComEd (00816)</v>
          </cell>
          <cell r="AF96" t="str">
            <v>EEDFinanceOther Operating Expenses</v>
          </cell>
        </row>
        <row r="97">
          <cell r="E97">
            <v>855</v>
          </cell>
          <cell r="H97">
            <v>333</v>
          </cell>
          <cell r="I97">
            <v>333</v>
          </cell>
          <cell r="J97">
            <v>7346</v>
          </cell>
          <cell r="M97">
            <v>-2594</v>
          </cell>
          <cell r="N97">
            <v>333</v>
          </cell>
          <cell r="O97">
            <v>16850</v>
          </cell>
          <cell r="R97">
            <v>-2594</v>
          </cell>
          <cell r="S97">
            <v>333</v>
          </cell>
          <cell r="V97" t="str">
            <v>Embedded</v>
          </cell>
          <cell r="W97" t="str">
            <v>Finance</v>
          </cell>
          <cell r="AA97" t="str">
            <v>[10601]  Commonwealth Edison CompanyEmbeddedFinance</v>
          </cell>
          <cell r="AB97" t="str">
            <v>[10601]  Commonwealth Edison CompanyEmbedded (Finance)Other Operating Expenses</v>
          </cell>
          <cell r="AC97" t="str">
            <v>[10601]  Commonwealth Edison CompanyEmbedded (Finance)Finance - ComEd (00816)</v>
          </cell>
          <cell r="AF97" t="str">
            <v>EEDFinanceOther Operating Expenses</v>
          </cell>
        </row>
        <row r="98">
          <cell r="E98">
            <v>40327</v>
          </cell>
          <cell r="H98">
            <v>-36727</v>
          </cell>
          <cell r="I98">
            <v>-36727</v>
          </cell>
          <cell r="J98">
            <v>41296</v>
          </cell>
          <cell r="M98">
            <v>-26896</v>
          </cell>
          <cell r="N98">
            <v>-36727</v>
          </cell>
          <cell r="O98">
            <v>70096</v>
          </cell>
          <cell r="R98">
            <v>-26896</v>
          </cell>
          <cell r="S98">
            <v>-36727</v>
          </cell>
          <cell r="V98" t="str">
            <v>Embedded</v>
          </cell>
          <cell r="W98" t="str">
            <v>Finance</v>
          </cell>
          <cell r="AA98" t="str">
            <v>[10601]  Commonwealth Edison CompanyEmbeddedFinance</v>
          </cell>
          <cell r="AB98" t="str">
            <v>[10601]  Commonwealth Edison CompanyEmbedded (Finance)Other Operating Expenses</v>
          </cell>
          <cell r="AC98" t="str">
            <v>[10601]  Commonwealth Edison CompanyEmbedded (Finance)Finance - ComEd (00816)</v>
          </cell>
          <cell r="AF98" t="str">
            <v>EEDFinanceOther Operating Expenses</v>
          </cell>
        </row>
        <row r="99">
          <cell r="E99">
            <v>0</v>
          </cell>
          <cell r="H99">
            <v>0</v>
          </cell>
          <cell r="I99">
            <v>0</v>
          </cell>
          <cell r="J99">
            <v>1500</v>
          </cell>
          <cell r="M99">
            <v>-1500</v>
          </cell>
          <cell r="N99">
            <v>0</v>
          </cell>
          <cell r="O99">
            <v>1500</v>
          </cell>
          <cell r="R99">
            <v>-1500</v>
          </cell>
          <cell r="S99">
            <v>0</v>
          </cell>
          <cell r="V99" t="str">
            <v>Embedded</v>
          </cell>
          <cell r="W99" t="str">
            <v>Finance</v>
          </cell>
          <cell r="AA99" t="str">
            <v>[10601]  Commonwealth Edison CompanyEmbeddedFinance</v>
          </cell>
          <cell r="AB99" t="str">
            <v>[10601]  Commonwealth Edison CompanyEmbedded (Finance)Salaries and Wages</v>
          </cell>
          <cell r="AC99" t="str">
            <v>[10601]  Commonwealth Edison CompanyEmbedded (Finance)Finance - ComEd (00816)</v>
          </cell>
          <cell r="AF99" t="str">
            <v>EEDFinanceSalaries and Wages</v>
          </cell>
        </row>
        <row r="100">
          <cell r="E100">
            <v>65638</v>
          </cell>
          <cell r="H100">
            <v>-8968</v>
          </cell>
          <cell r="I100">
            <v>-33731</v>
          </cell>
          <cell r="J100">
            <v>243213</v>
          </cell>
          <cell r="M100">
            <v>-17573</v>
          </cell>
          <cell r="N100">
            <v>-33731</v>
          </cell>
          <cell r="O100">
            <v>509115</v>
          </cell>
          <cell r="R100">
            <v>188784</v>
          </cell>
          <cell r="S100">
            <v>-33731</v>
          </cell>
          <cell r="V100" t="str">
            <v>Embedded</v>
          </cell>
          <cell r="W100" t="str">
            <v>Finance</v>
          </cell>
          <cell r="AA100" t="str">
            <v>[10601]  Commonwealth Edison CompanyEmbeddedFinance</v>
          </cell>
          <cell r="AB100" t="str">
            <v>[10601]  Commonwealth Edison CompanyEmbedded (Finance)Pension and Benefits</v>
          </cell>
          <cell r="AC100" t="str">
            <v>[10601]  Commonwealth Edison CompanyEmbedded (Finance)Finance - ComEd (00816)</v>
          </cell>
          <cell r="AF100" t="str">
            <v>EEDFinancePension and Benefits</v>
          </cell>
        </row>
        <row r="101">
          <cell r="E101">
            <v>90111</v>
          </cell>
          <cell r="H101">
            <v>4484</v>
          </cell>
          <cell r="I101">
            <v>4484</v>
          </cell>
          <cell r="J101">
            <v>354466</v>
          </cell>
          <cell r="M101">
            <v>22061</v>
          </cell>
          <cell r="N101">
            <v>4484</v>
          </cell>
          <cell r="O101">
            <v>1108242</v>
          </cell>
          <cell r="R101">
            <v>57219</v>
          </cell>
          <cell r="S101">
            <v>4484</v>
          </cell>
          <cell r="V101" t="str">
            <v>Embedded</v>
          </cell>
          <cell r="W101" t="str">
            <v>Finance</v>
          </cell>
          <cell r="AA101" t="str">
            <v>[10601]  Commonwealth Edison CompanyEmbeddedFinance</v>
          </cell>
          <cell r="AB101" t="str">
            <v>[10601]  Commonwealth Edison CompanyEmbedded (Finance)Salaries and Wages</v>
          </cell>
          <cell r="AC101" t="str">
            <v>[10601]  Commonwealth Edison CompanyEmbedded (Finance)Controller - ComEd (00824)</v>
          </cell>
          <cell r="AF101" t="str">
            <v>EEDControllerSalaries and Wages</v>
          </cell>
        </row>
        <row r="102">
          <cell r="E102">
            <v>959</v>
          </cell>
          <cell r="H102">
            <v>441</v>
          </cell>
          <cell r="I102">
            <v>441</v>
          </cell>
          <cell r="J102">
            <v>3246</v>
          </cell>
          <cell r="M102">
            <v>2154</v>
          </cell>
          <cell r="N102">
            <v>441</v>
          </cell>
          <cell r="O102">
            <v>14046</v>
          </cell>
          <cell r="R102">
            <v>2154</v>
          </cell>
          <cell r="S102">
            <v>441</v>
          </cell>
          <cell r="V102" t="str">
            <v>Embedded</v>
          </cell>
          <cell r="W102" t="str">
            <v>Finance</v>
          </cell>
          <cell r="AA102" t="str">
            <v>[10601]  Commonwealth Edison CompanyEmbeddedFinance</v>
          </cell>
          <cell r="AB102" t="str">
            <v>[10601]  Commonwealth Edison CompanyEmbedded (Finance)Travel, Entertainment &amp; Reimb</v>
          </cell>
          <cell r="AC102" t="str">
            <v>[10601]  Commonwealth Edison CompanyEmbedded (Finance)Controller - ComEd (00824)</v>
          </cell>
          <cell r="AF102" t="str">
            <v>EEDControllerTravel, Entertainment &amp; Reimb</v>
          </cell>
        </row>
        <row r="103">
          <cell r="E103">
            <v>179</v>
          </cell>
          <cell r="H103">
            <v>13971</v>
          </cell>
          <cell r="I103">
            <v>18721</v>
          </cell>
          <cell r="J103">
            <v>26998</v>
          </cell>
          <cell r="M103">
            <v>29602</v>
          </cell>
          <cell r="N103">
            <v>18721</v>
          </cell>
          <cell r="O103">
            <v>296198</v>
          </cell>
          <cell r="R103">
            <v>-126398</v>
          </cell>
          <cell r="S103">
            <v>-39279</v>
          </cell>
          <cell r="V103" t="str">
            <v>Embedded</v>
          </cell>
          <cell r="W103" t="str">
            <v>Finance</v>
          </cell>
          <cell r="AA103" t="str">
            <v>[10601]  Commonwealth Edison CompanyEmbeddedFinance</v>
          </cell>
          <cell r="AB103" t="str">
            <v>[10601]  Commonwealth Edison CompanyEmbedded (Finance)Contracting</v>
          </cell>
          <cell r="AC103" t="str">
            <v>[10601]  Commonwealth Edison CompanyEmbedded (Finance)Controller - ComEd (00824)</v>
          </cell>
          <cell r="AF103" t="str">
            <v>EEDControllerContracting</v>
          </cell>
        </row>
        <row r="104">
          <cell r="E104">
            <v>4287</v>
          </cell>
          <cell r="H104">
            <v>1422</v>
          </cell>
          <cell r="I104">
            <v>1422</v>
          </cell>
          <cell r="J104">
            <v>17489</v>
          </cell>
          <cell r="M104">
            <v>5345</v>
          </cell>
          <cell r="N104">
            <v>1422</v>
          </cell>
          <cell r="O104">
            <v>63155</v>
          </cell>
          <cell r="R104">
            <v>5345</v>
          </cell>
          <cell r="S104">
            <v>1422</v>
          </cell>
          <cell r="V104" t="str">
            <v>Embedded</v>
          </cell>
          <cell r="W104" t="str">
            <v>Finance</v>
          </cell>
          <cell r="AA104" t="str">
            <v>[10601]  Commonwealth Edison CompanyEmbeddedFinance</v>
          </cell>
          <cell r="AB104" t="str">
            <v>[10601]  Commonwealth Edison CompanyEmbedded (Finance)Business Services</v>
          </cell>
          <cell r="AC104" t="str">
            <v>[10601]  Commonwealth Edison CompanyEmbedded (Finance)Controller - ComEd (00824)</v>
          </cell>
          <cell r="AF104" t="str">
            <v>EEDControllerBusiness Services</v>
          </cell>
        </row>
        <row r="105">
          <cell r="E105">
            <v>560</v>
          </cell>
          <cell r="H105">
            <v>140</v>
          </cell>
          <cell r="I105">
            <v>140</v>
          </cell>
          <cell r="J105">
            <v>4395</v>
          </cell>
          <cell r="M105">
            <v>-1595</v>
          </cell>
          <cell r="N105">
            <v>140</v>
          </cell>
          <cell r="O105">
            <v>9995</v>
          </cell>
          <cell r="R105">
            <v>-1595</v>
          </cell>
          <cell r="S105">
            <v>140</v>
          </cell>
          <cell r="V105" t="str">
            <v>Embedded</v>
          </cell>
          <cell r="W105" t="str">
            <v>Finance</v>
          </cell>
          <cell r="AA105" t="str">
            <v>[10601]  Commonwealth Edison CompanyEmbeddedFinance</v>
          </cell>
          <cell r="AB105" t="str">
            <v>[10601]  Commonwealth Edison CompanyEmbedded (Finance)Travel, Entertainment &amp; Reimb</v>
          </cell>
          <cell r="AC105" t="str">
            <v>[10601]  Commonwealth Edison CompanyEmbedded (Finance)Controller - ComEd (00824)</v>
          </cell>
          <cell r="AF105" t="str">
            <v>EEDControllerTravel, Entertainment &amp; Reimb</v>
          </cell>
        </row>
        <row r="106">
          <cell r="E106">
            <v>700</v>
          </cell>
          <cell r="H106">
            <v>200</v>
          </cell>
          <cell r="I106">
            <v>200</v>
          </cell>
          <cell r="J106">
            <v>3227</v>
          </cell>
          <cell r="M106">
            <v>373</v>
          </cell>
          <cell r="N106">
            <v>200</v>
          </cell>
          <cell r="O106">
            <v>10427</v>
          </cell>
          <cell r="R106">
            <v>373</v>
          </cell>
          <cell r="S106">
            <v>200</v>
          </cell>
          <cell r="V106" t="str">
            <v>Embedded</v>
          </cell>
          <cell r="W106" t="str">
            <v>Finance</v>
          </cell>
          <cell r="AA106" t="str">
            <v>[10601]  Commonwealth Edison CompanyEmbeddedFinance</v>
          </cell>
          <cell r="AB106" t="str">
            <v>[10601]  Commonwealth Edison CompanyEmbedded (Finance)Other Operating Expenses</v>
          </cell>
          <cell r="AC106" t="str">
            <v>[10601]  Commonwealth Edison CompanyEmbedded (Finance)Controller - ComEd (00824)</v>
          </cell>
          <cell r="AF106" t="str">
            <v>EEDControllerOther Operating Expenses</v>
          </cell>
        </row>
        <row r="107">
          <cell r="E107">
            <v>263</v>
          </cell>
          <cell r="H107">
            <v>1987</v>
          </cell>
          <cell r="I107">
            <v>1987</v>
          </cell>
          <cell r="J107">
            <v>2580</v>
          </cell>
          <cell r="M107">
            <v>6420</v>
          </cell>
          <cell r="N107">
            <v>1987</v>
          </cell>
          <cell r="O107">
            <v>20580</v>
          </cell>
          <cell r="R107">
            <v>6420</v>
          </cell>
          <cell r="S107">
            <v>1987</v>
          </cell>
          <cell r="V107" t="str">
            <v>Embedded</v>
          </cell>
          <cell r="W107" t="str">
            <v>Finance</v>
          </cell>
          <cell r="AA107" t="str">
            <v>[10601]  Commonwealth Edison CompanyEmbeddedFinance</v>
          </cell>
          <cell r="AB107" t="str">
            <v>[10601]  Commonwealth Edison CompanyEmbedded (Finance)Other Operating Expenses</v>
          </cell>
          <cell r="AC107" t="str">
            <v>[10601]  Commonwealth Edison CompanyEmbedded (Finance)Controller - ComEd (00824)</v>
          </cell>
          <cell r="AF107" t="str">
            <v>EEDControllerOther Operating Expenses</v>
          </cell>
        </row>
        <row r="108">
          <cell r="E108">
            <v>1175</v>
          </cell>
          <cell r="H108">
            <v>716</v>
          </cell>
          <cell r="I108">
            <v>716</v>
          </cell>
          <cell r="J108">
            <v>1920</v>
          </cell>
          <cell r="M108">
            <v>5647</v>
          </cell>
          <cell r="N108">
            <v>716</v>
          </cell>
          <cell r="O108">
            <v>17053</v>
          </cell>
          <cell r="R108">
            <v>5647</v>
          </cell>
          <cell r="S108">
            <v>716</v>
          </cell>
          <cell r="V108" t="str">
            <v>Embedded</v>
          </cell>
          <cell r="W108" t="str">
            <v>Finance</v>
          </cell>
          <cell r="AA108" t="str">
            <v>[10601]  Commonwealth Edison CompanyEmbeddedFinance</v>
          </cell>
          <cell r="AB108" t="str">
            <v>[10601]  Commonwealth Edison CompanyEmbedded (Finance)Other Operating Expenses</v>
          </cell>
          <cell r="AC108" t="str">
            <v>[10601]  Commonwealth Edison CompanyEmbedded (Finance)Controller - ComEd (00824)</v>
          </cell>
          <cell r="AF108" t="str">
            <v>EEDControllerOther Operating Expenses</v>
          </cell>
        </row>
        <row r="109">
          <cell r="E109">
            <v>0</v>
          </cell>
          <cell r="H109">
            <v>0</v>
          </cell>
          <cell r="I109">
            <v>0</v>
          </cell>
          <cell r="J109">
            <v>1652</v>
          </cell>
          <cell r="M109">
            <v>-1652</v>
          </cell>
          <cell r="N109">
            <v>0</v>
          </cell>
          <cell r="O109">
            <v>1652</v>
          </cell>
          <cell r="R109">
            <v>-1652</v>
          </cell>
          <cell r="S109">
            <v>0</v>
          </cell>
          <cell r="V109" t="str">
            <v>Embedded</v>
          </cell>
          <cell r="W109" t="str">
            <v>Finance</v>
          </cell>
          <cell r="AA109" t="str">
            <v>[10601]  Commonwealth Edison CompanyEmbeddedFinance</v>
          </cell>
          <cell r="AB109" t="str">
            <v>[10601]  Commonwealth Edison CompanyEmbedded (Finance)Salaries and Wages</v>
          </cell>
          <cell r="AC109" t="str">
            <v>[10601]  Commonwealth Edison CompanyEmbedded (Finance)Controller - ComEd (00824)</v>
          </cell>
          <cell r="AF109" t="str">
            <v>EEDControllerSalaries and Wages</v>
          </cell>
        </row>
        <row r="110">
          <cell r="E110">
            <v>60919</v>
          </cell>
          <cell r="H110">
            <v>-1699</v>
          </cell>
          <cell r="I110">
            <v>-1699</v>
          </cell>
          <cell r="J110">
            <v>240496</v>
          </cell>
          <cell r="M110">
            <v>-4775</v>
          </cell>
          <cell r="N110">
            <v>-1699</v>
          </cell>
          <cell r="O110">
            <v>672707</v>
          </cell>
          <cell r="R110">
            <v>15520</v>
          </cell>
          <cell r="S110">
            <v>-1699</v>
          </cell>
          <cell r="V110" t="str">
            <v>Embedded</v>
          </cell>
          <cell r="W110" t="str">
            <v>Finance</v>
          </cell>
          <cell r="AA110" t="str">
            <v>[10601]  Commonwealth Edison CompanyEmbeddedFinance</v>
          </cell>
          <cell r="AB110" t="str">
            <v>[10601]  Commonwealth Edison CompanyEmbedded (Finance)Pension and Benefits</v>
          </cell>
          <cell r="AC110" t="str">
            <v>[10601]  Commonwealth Edison CompanyEmbedded (Finance)Controller - ComEd (00824)</v>
          </cell>
          <cell r="AF110" t="str">
            <v>EEDControllerPension and Benefits</v>
          </cell>
        </row>
        <row r="111">
          <cell r="E111">
            <v>28123</v>
          </cell>
          <cell r="H111">
            <v>4517</v>
          </cell>
          <cell r="I111">
            <v>4517</v>
          </cell>
          <cell r="J111">
            <v>119471</v>
          </cell>
          <cell r="M111">
            <v>10419</v>
          </cell>
          <cell r="N111">
            <v>4517</v>
          </cell>
          <cell r="O111">
            <v>391473</v>
          </cell>
          <cell r="R111">
            <v>10419</v>
          </cell>
          <cell r="S111">
            <v>4517</v>
          </cell>
          <cell r="V111" t="str">
            <v>Embedded</v>
          </cell>
          <cell r="W111" t="str">
            <v>Finance</v>
          </cell>
          <cell r="AA111" t="str">
            <v>[10601]  Commonwealth Edison CompanyEmbeddedFinance</v>
          </cell>
          <cell r="AB111" t="str">
            <v>[10601]  Commonwealth Edison CompanyEmbedded (Finance)Salaries and Wages</v>
          </cell>
          <cell r="AC111" t="str">
            <v>[10601]  Commonwealth Edison CompanyEmbedded (Finance)Tax ComEd (00841)</v>
          </cell>
          <cell r="AF111" t="str">
            <v>EEDTaxSalaries and Wages</v>
          </cell>
        </row>
        <row r="112">
          <cell r="E112">
            <v>337</v>
          </cell>
          <cell r="H112">
            <v>4663</v>
          </cell>
          <cell r="I112">
            <v>4663</v>
          </cell>
          <cell r="J112">
            <v>1848</v>
          </cell>
          <cell r="M112">
            <v>18152</v>
          </cell>
          <cell r="N112">
            <v>4663</v>
          </cell>
          <cell r="O112">
            <v>41848</v>
          </cell>
          <cell r="R112">
            <v>18152</v>
          </cell>
          <cell r="S112">
            <v>4663</v>
          </cell>
          <cell r="V112" t="str">
            <v>Embedded</v>
          </cell>
          <cell r="W112" t="str">
            <v>Finance</v>
          </cell>
          <cell r="AA112" t="str">
            <v>[10601]  Commonwealth Edison CompanyEmbeddedFinance</v>
          </cell>
          <cell r="AB112" t="str">
            <v>[10601]  Commonwealth Edison CompanyEmbedded (Finance)Travel, Entertainment &amp; Reimb</v>
          </cell>
          <cell r="AC112" t="str">
            <v>[10601]  Commonwealth Edison CompanyEmbedded (Finance)Tax ComEd (00841)</v>
          </cell>
          <cell r="AF112" t="str">
            <v>EEDTaxTravel, Entertainment &amp; Reimb</v>
          </cell>
        </row>
        <row r="113">
          <cell r="E113">
            <v>79101</v>
          </cell>
          <cell r="H113">
            <v>-58201</v>
          </cell>
          <cell r="I113">
            <v>-58201</v>
          </cell>
          <cell r="J113">
            <v>1820111</v>
          </cell>
          <cell r="M113">
            <v>-1736511</v>
          </cell>
          <cell r="N113">
            <v>-58201</v>
          </cell>
          <cell r="O113">
            <v>1987311</v>
          </cell>
          <cell r="R113">
            <v>-1736511</v>
          </cell>
          <cell r="S113">
            <v>-58201</v>
          </cell>
          <cell r="V113" t="str">
            <v>Embedded</v>
          </cell>
          <cell r="W113" t="str">
            <v>Finance</v>
          </cell>
          <cell r="AA113" t="str">
            <v>[10601]  Commonwealth Edison CompanyEmbeddedFinance</v>
          </cell>
          <cell r="AB113" t="str">
            <v>[10601]  Commonwealth Edison CompanyEmbedded (Finance)Contracting</v>
          </cell>
          <cell r="AC113" t="str">
            <v>[10601]  Commonwealth Edison CompanyEmbedded (Finance)Tax ComEd (00841)</v>
          </cell>
          <cell r="AF113" t="str">
            <v>EEDTaxContracting</v>
          </cell>
        </row>
        <row r="114">
          <cell r="E114">
            <v>2083</v>
          </cell>
          <cell r="H114">
            <v>-1283</v>
          </cell>
          <cell r="I114">
            <v>-1283</v>
          </cell>
          <cell r="J114">
            <v>7697</v>
          </cell>
          <cell r="M114">
            <v>-4497</v>
          </cell>
          <cell r="N114">
            <v>-1283</v>
          </cell>
          <cell r="O114">
            <v>14097</v>
          </cell>
          <cell r="R114">
            <v>-4497</v>
          </cell>
          <cell r="S114">
            <v>-1283</v>
          </cell>
          <cell r="V114" t="str">
            <v>Embedded</v>
          </cell>
          <cell r="W114" t="str">
            <v>Finance</v>
          </cell>
          <cell r="AA114" t="str">
            <v>[10601]  Commonwealth Edison CompanyEmbeddedFinance</v>
          </cell>
          <cell r="AB114" t="str">
            <v>[10601]  Commonwealth Edison CompanyEmbedded (Finance)Business Services</v>
          </cell>
          <cell r="AC114" t="str">
            <v>[10601]  Commonwealth Edison CompanyEmbedded (Finance)Tax ComEd (00841)</v>
          </cell>
          <cell r="AF114" t="str">
            <v>EEDTaxBusiness Services</v>
          </cell>
        </row>
        <row r="115">
          <cell r="E115">
            <v>0</v>
          </cell>
          <cell r="H115">
            <v>850</v>
          </cell>
          <cell r="I115">
            <v>850</v>
          </cell>
          <cell r="J115">
            <v>0</v>
          </cell>
          <cell r="M115">
            <v>3400</v>
          </cell>
          <cell r="N115">
            <v>850</v>
          </cell>
          <cell r="O115">
            <v>6800</v>
          </cell>
          <cell r="R115">
            <v>3400</v>
          </cell>
          <cell r="S115">
            <v>850</v>
          </cell>
          <cell r="V115" t="str">
            <v>Embedded</v>
          </cell>
          <cell r="W115" t="str">
            <v>Finance</v>
          </cell>
          <cell r="AA115" t="str">
            <v>[10601]  Commonwealth Edison CompanyEmbeddedFinance</v>
          </cell>
          <cell r="AB115" t="str">
            <v>[10601]  Commonwealth Edison CompanyEmbedded (Finance)Materials and Supplies</v>
          </cell>
          <cell r="AC115" t="str">
            <v>[10601]  Commonwealth Edison CompanyEmbedded (Finance)Tax ComEd (00841)</v>
          </cell>
          <cell r="AF115" t="str">
            <v>EEDTaxMaterials and Supplies</v>
          </cell>
        </row>
        <row r="116">
          <cell r="E116">
            <v>63</v>
          </cell>
          <cell r="H116">
            <v>-63</v>
          </cell>
          <cell r="I116">
            <v>-63</v>
          </cell>
          <cell r="J116">
            <v>843</v>
          </cell>
          <cell r="M116">
            <v>-843</v>
          </cell>
          <cell r="N116">
            <v>-63</v>
          </cell>
          <cell r="O116">
            <v>843</v>
          </cell>
          <cell r="R116">
            <v>-843</v>
          </cell>
          <cell r="S116">
            <v>-63</v>
          </cell>
          <cell r="V116" t="str">
            <v>Embedded</v>
          </cell>
          <cell r="W116" t="str">
            <v>Finance</v>
          </cell>
          <cell r="AA116" t="str">
            <v>[10601]  Commonwealth Edison CompanyEmbeddedFinance</v>
          </cell>
          <cell r="AB116" t="str">
            <v>[10601]  Commonwealth Edison CompanyEmbedded (Finance)Travel, Entertainment &amp; Reimb</v>
          </cell>
          <cell r="AC116" t="str">
            <v>[10601]  Commonwealth Edison CompanyEmbedded (Finance)Tax ComEd (00841)</v>
          </cell>
          <cell r="AF116" t="str">
            <v>EEDTaxTravel, Entertainment &amp; Reimb</v>
          </cell>
        </row>
        <row r="117">
          <cell r="E117">
            <v>475</v>
          </cell>
          <cell r="H117">
            <v>-225</v>
          </cell>
          <cell r="I117">
            <v>-225</v>
          </cell>
          <cell r="J117">
            <v>1433</v>
          </cell>
          <cell r="M117">
            <v>-433</v>
          </cell>
          <cell r="N117">
            <v>-225</v>
          </cell>
          <cell r="O117">
            <v>3433</v>
          </cell>
          <cell r="R117">
            <v>-433</v>
          </cell>
          <cell r="S117">
            <v>-225</v>
          </cell>
          <cell r="V117" t="str">
            <v>Embedded</v>
          </cell>
          <cell r="W117" t="str">
            <v>Finance</v>
          </cell>
          <cell r="AA117" t="str">
            <v>[10601]  Commonwealth Edison CompanyEmbeddedFinance</v>
          </cell>
          <cell r="AB117" t="str">
            <v>[10601]  Commonwealth Edison CompanyEmbedded (Finance)Other Operating Expenses</v>
          </cell>
          <cell r="AC117" t="str">
            <v>[10601]  Commonwealth Edison CompanyEmbedded (Finance)Tax ComEd (00841)</v>
          </cell>
          <cell r="AF117" t="str">
            <v>EEDTaxOther Operating Expenses</v>
          </cell>
        </row>
        <row r="118">
          <cell r="E118">
            <v>293</v>
          </cell>
          <cell r="H118">
            <v>-293</v>
          </cell>
          <cell r="I118">
            <v>-293</v>
          </cell>
          <cell r="J118">
            <v>892</v>
          </cell>
          <cell r="M118">
            <v>-892</v>
          </cell>
          <cell r="N118">
            <v>-293</v>
          </cell>
          <cell r="O118">
            <v>892</v>
          </cell>
          <cell r="R118">
            <v>-892</v>
          </cell>
          <cell r="S118">
            <v>-293</v>
          </cell>
          <cell r="V118" t="str">
            <v>Embedded</v>
          </cell>
          <cell r="W118" t="str">
            <v>Finance</v>
          </cell>
          <cell r="AA118" t="str">
            <v>[10601]  Commonwealth Edison CompanyEmbeddedFinance</v>
          </cell>
          <cell r="AB118" t="str">
            <v>[10601]  Commonwealth Edison CompanyEmbedded (Finance)Other Operating Expenses</v>
          </cell>
          <cell r="AC118" t="str">
            <v>[10601]  Commonwealth Edison CompanyEmbedded (Finance)Tax ComEd (00841)</v>
          </cell>
          <cell r="AF118" t="str">
            <v>EEDTaxOther Operating Expenses</v>
          </cell>
        </row>
        <row r="119">
          <cell r="E119">
            <v>0</v>
          </cell>
          <cell r="H119">
            <v>2400</v>
          </cell>
          <cell r="I119">
            <v>2400</v>
          </cell>
          <cell r="J119">
            <v>2299</v>
          </cell>
          <cell r="M119">
            <v>7301</v>
          </cell>
          <cell r="N119">
            <v>2400</v>
          </cell>
          <cell r="O119">
            <v>21499</v>
          </cell>
          <cell r="R119">
            <v>7301</v>
          </cell>
          <cell r="S119">
            <v>2400</v>
          </cell>
          <cell r="V119" t="str">
            <v>Embedded</v>
          </cell>
          <cell r="W119" t="str">
            <v>Finance</v>
          </cell>
          <cell r="AA119" t="str">
            <v>[10601]  Commonwealth Edison CompanyEmbeddedFinance</v>
          </cell>
          <cell r="AB119" t="str">
            <v>[10601]  Commonwealth Edison CompanyEmbedded (Finance)Other Operating Expenses</v>
          </cell>
          <cell r="AC119" t="str">
            <v>[10601]  Commonwealth Edison CompanyEmbedded (Finance)Tax ComEd (00841)</v>
          </cell>
          <cell r="AF119" t="str">
            <v>EEDTaxOther Operating Expenses</v>
          </cell>
        </row>
        <row r="120">
          <cell r="E120">
            <v>23297</v>
          </cell>
          <cell r="H120">
            <v>-3998</v>
          </cell>
          <cell r="I120">
            <v>-3998</v>
          </cell>
          <cell r="J120">
            <v>90680</v>
          </cell>
          <cell r="M120">
            <v>-13882</v>
          </cell>
          <cell r="N120">
            <v>-3998</v>
          </cell>
          <cell r="O120">
            <v>251504</v>
          </cell>
          <cell r="R120">
            <v>-13882</v>
          </cell>
          <cell r="S120">
            <v>-3998</v>
          </cell>
          <cell r="V120" t="str">
            <v>Embedded</v>
          </cell>
          <cell r="W120" t="str">
            <v>Finance</v>
          </cell>
          <cell r="AA120" t="str">
            <v>[10601]  Commonwealth Edison CompanyEmbeddedFinance</v>
          </cell>
          <cell r="AB120" t="str">
            <v>[10601]  Commonwealth Edison CompanyEmbedded (Finance)Pension and Benefits</v>
          </cell>
          <cell r="AC120" t="str">
            <v>[10601]  Commonwealth Edison CompanyEmbedded (Finance)Tax ComEd (00841)</v>
          </cell>
          <cell r="AF120" t="str">
            <v>EEDTaxPension and Benefits</v>
          </cell>
        </row>
        <row r="121">
          <cell r="E121">
            <v>122463</v>
          </cell>
          <cell r="H121">
            <v>-39130</v>
          </cell>
          <cell r="I121">
            <v>-39130</v>
          </cell>
          <cell r="J121">
            <v>408030</v>
          </cell>
          <cell r="M121">
            <v>-74697</v>
          </cell>
          <cell r="N121">
            <v>-39130</v>
          </cell>
          <cell r="O121">
            <v>1074697</v>
          </cell>
          <cell r="R121">
            <v>-74697</v>
          </cell>
          <cell r="S121">
            <v>-39130</v>
          </cell>
          <cell r="V121" t="str">
            <v>Embedded</v>
          </cell>
          <cell r="W121" t="str">
            <v>Finance</v>
          </cell>
          <cell r="AA121" t="str">
            <v>[10601]  Commonwealth Edison CompanyEmbeddedFinance</v>
          </cell>
          <cell r="AB121" t="str">
            <v>[10601]  Commonwealth Edison CompanyEmbedded (Finance)Other Operating Expenses</v>
          </cell>
          <cell r="AC121" t="str">
            <v>[10601]  Commonwealth Edison CompanyEmbedded (Finance)Bank Fees ComEd (00866)</v>
          </cell>
          <cell r="AF121" t="str">
            <v>EEDBank FeesOther Operating Expenses</v>
          </cell>
        </row>
        <row r="122">
          <cell r="E122">
            <v>0</v>
          </cell>
          <cell r="H122">
            <v>0</v>
          </cell>
          <cell r="I122">
            <v>0</v>
          </cell>
          <cell r="J122">
            <v>0</v>
          </cell>
          <cell r="M122">
            <v>0</v>
          </cell>
          <cell r="N122">
            <v>0</v>
          </cell>
          <cell r="R122">
            <v>0</v>
          </cell>
          <cell r="V122" t="str">
            <v>Embedded</v>
          </cell>
          <cell r="W122" t="str">
            <v>Supply Services</v>
          </cell>
          <cell r="AA122" t="str">
            <v>[10601]  Commonwealth Edison CompanyEmbeddedSupply Services</v>
          </cell>
          <cell r="AB122" t="str">
            <v>[10601]  Commonwealth Edison CompanyEmbedded (Supply Services)Contracting</v>
          </cell>
          <cell r="AC122" t="str">
            <v>[10601]  Commonwealth Edison CompanyEmbedded (Supply Services)Metro North Stores (03561)</v>
          </cell>
          <cell r="AF122" t="e">
            <v>#N/A</v>
          </cell>
        </row>
        <row r="123">
          <cell r="E123">
            <v>0</v>
          </cell>
          <cell r="H123">
            <v>0</v>
          </cell>
          <cell r="I123">
            <v>0</v>
          </cell>
          <cell r="J123">
            <v>0</v>
          </cell>
          <cell r="M123">
            <v>0</v>
          </cell>
          <cell r="N123">
            <v>0</v>
          </cell>
          <cell r="R123">
            <v>0</v>
          </cell>
          <cell r="V123" t="str">
            <v>Embedded</v>
          </cell>
          <cell r="W123" t="str">
            <v>Supply Services</v>
          </cell>
          <cell r="AA123" t="str">
            <v>[10601]  Commonwealth Edison CompanyEmbeddedSupply Services</v>
          </cell>
          <cell r="AB123" t="str">
            <v>[10601]  Commonwealth Edison CompanyEmbedded (Supply Services)Materials and Supplies</v>
          </cell>
          <cell r="AC123" t="str">
            <v>[10601]  Commonwealth Edison CompanyEmbedded (Supply Services)Metro North Stores (03561)</v>
          </cell>
          <cell r="AF123" t="e">
            <v>#N/A</v>
          </cell>
        </row>
        <row r="124">
          <cell r="E124">
            <v>0</v>
          </cell>
          <cell r="H124">
            <v>0</v>
          </cell>
          <cell r="I124">
            <v>0</v>
          </cell>
          <cell r="J124">
            <v>0</v>
          </cell>
          <cell r="M124">
            <v>0</v>
          </cell>
          <cell r="N124">
            <v>0</v>
          </cell>
          <cell r="O124">
            <v>0</v>
          </cell>
          <cell r="R124">
            <v>0</v>
          </cell>
          <cell r="S124">
            <v>0</v>
          </cell>
          <cell r="V124" t="str">
            <v>Embedded</v>
          </cell>
          <cell r="W124" t="str">
            <v>Supply Services</v>
          </cell>
          <cell r="AA124" t="str">
            <v>[10601]  Commonwealth Edison CompanyEmbeddedSupply Services</v>
          </cell>
          <cell r="AB124" t="str">
            <v>[10601]  Commonwealth Edison CompanyEmbedded (Supply Services)Travel, Entertainment &amp; Reimb</v>
          </cell>
          <cell r="AC124" t="str">
            <v>[10601]  Commonwealth Edison CompanyEmbedded (Supply Services)Metro North Stores (03561)</v>
          </cell>
          <cell r="AF124" t="e">
            <v>#N/A</v>
          </cell>
        </row>
        <row r="125">
          <cell r="E125">
            <v>0</v>
          </cell>
          <cell r="H125">
            <v>0</v>
          </cell>
          <cell r="I125">
            <v>0</v>
          </cell>
          <cell r="J125">
            <v>0</v>
          </cell>
          <cell r="M125">
            <v>0</v>
          </cell>
          <cell r="N125">
            <v>0</v>
          </cell>
          <cell r="O125">
            <v>0</v>
          </cell>
          <cell r="R125">
            <v>0</v>
          </cell>
          <cell r="S125">
            <v>0</v>
          </cell>
          <cell r="V125" t="str">
            <v>Embedded</v>
          </cell>
          <cell r="W125" t="str">
            <v>Supply Services</v>
          </cell>
          <cell r="AA125" t="str">
            <v>[10601]  Commonwealth Edison CompanyEmbeddedSupply Services</v>
          </cell>
          <cell r="AB125" t="str">
            <v>[10601]  Commonwealth Edison CompanyEmbedded (Supply Services)Other Operating Expenses</v>
          </cell>
          <cell r="AC125" t="str">
            <v>[10601]  Commonwealth Edison CompanyEmbedded (Supply Services)Metro North Stores (03561)</v>
          </cell>
          <cell r="AF125" t="e">
            <v>#N/A</v>
          </cell>
        </row>
        <row r="126">
          <cell r="E126">
            <v>0</v>
          </cell>
          <cell r="H126">
            <v>0</v>
          </cell>
          <cell r="I126">
            <v>0</v>
          </cell>
          <cell r="J126">
            <v>0</v>
          </cell>
          <cell r="M126">
            <v>0</v>
          </cell>
          <cell r="N126">
            <v>0</v>
          </cell>
          <cell r="R126">
            <v>0</v>
          </cell>
          <cell r="V126" t="str">
            <v>Embedded</v>
          </cell>
          <cell r="W126" t="str">
            <v>Supply Services</v>
          </cell>
          <cell r="AA126" t="str">
            <v>[10601]  Commonwealth Edison CompanyEmbeddedSupply Services</v>
          </cell>
          <cell r="AB126" t="str">
            <v>[10601]  Commonwealth Edison CompanyEmbedded (Supply Services)Travel, Entertainment &amp; Reimb</v>
          </cell>
          <cell r="AC126" t="str">
            <v>[10601]  Commonwealth Edison CompanyEmbedded (Supply Services)Metro North Stores (03561)</v>
          </cell>
          <cell r="AF126" t="e">
            <v>#N/A</v>
          </cell>
        </row>
        <row r="127">
          <cell r="E127">
            <v>0</v>
          </cell>
          <cell r="H127">
            <v>0</v>
          </cell>
          <cell r="I127">
            <v>0</v>
          </cell>
          <cell r="J127">
            <v>0</v>
          </cell>
          <cell r="M127">
            <v>0</v>
          </cell>
          <cell r="N127">
            <v>0</v>
          </cell>
          <cell r="O127">
            <v>0</v>
          </cell>
          <cell r="R127">
            <v>0</v>
          </cell>
          <cell r="S127">
            <v>0</v>
          </cell>
          <cell r="V127" t="str">
            <v>Embedded</v>
          </cell>
          <cell r="W127" t="str">
            <v>Supply Services</v>
          </cell>
          <cell r="AA127" t="str">
            <v>[10601]  Commonwealth Edison CompanyEmbeddedSupply Services</v>
          </cell>
          <cell r="AB127" t="str">
            <v>[10601]  Commonwealth Edison CompanyEmbedded (Supply Services)Other Operating Expenses</v>
          </cell>
          <cell r="AC127" t="str">
            <v>[10601]  Commonwealth Edison CompanyEmbedded (Supply Services)Metro North Stores (03561)</v>
          </cell>
          <cell r="AF127" t="e">
            <v>#N/A</v>
          </cell>
        </row>
        <row r="128">
          <cell r="E128">
            <v>0</v>
          </cell>
          <cell r="H128">
            <v>0</v>
          </cell>
          <cell r="I128">
            <v>0</v>
          </cell>
          <cell r="J128">
            <v>0</v>
          </cell>
          <cell r="M128">
            <v>0</v>
          </cell>
          <cell r="N128">
            <v>0</v>
          </cell>
          <cell r="R128">
            <v>0</v>
          </cell>
          <cell r="V128" t="str">
            <v>Embedded</v>
          </cell>
          <cell r="W128" t="str">
            <v>Supply Services</v>
          </cell>
          <cell r="AA128" t="str">
            <v>[10601]  Commonwealth Edison CompanyEmbeddedSupply Services</v>
          </cell>
          <cell r="AB128" t="str">
            <v>[10601]  Commonwealth Edison CompanyEmbedded (Supply Services)Transportation</v>
          </cell>
          <cell r="AC128" t="str">
            <v>[10601]  Commonwealth Edison CompanyEmbedded (Supply Services)Metro North Stores (03561)</v>
          </cell>
          <cell r="AF128" t="e">
            <v>#N/A</v>
          </cell>
        </row>
        <row r="129">
          <cell r="E129">
            <v>0</v>
          </cell>
          <cell r="H129">
            <v>0</v>
          </cell>
          <cell r="I129">
            <v>0</v>
          </cell>
          <cell r="J129">
            <v>50</v>
          </cell>
          <cell r="M129">
            <v>-50</v>
          </cell>
          <cell r="N129">
            <v>0</v>
          </cell>
          <cell r="O129">
            <v>50</v>
          </cell>
          <cell r="R129">
            <v>-50</v>
          </cell>
          <cell r="S129">
            <v>0</v>
          </cell>
          <cell r="V129" t="str">
            <v>Embedded</v>
          </cell>
          <cell r="W129" t="str">
            <v>Supply Services</v>
          </cell>
          <cell r="AA129" t="str">
            <v>[10601]  Commonwealth Edison CompanyEmbeddedSupply Services</v>
          </cell>
          <cell r="AB129" t="str">
            <v>[10601]  Commonwealth Edison CompanyEmbedded (Supply Services)Contracting</v>
          </cell>
          <cell r="AC129" t="str">
            <v>[10601]  Commonwealth Edison CompanyEmbedded (Supply Services)Northern Region Stores (04560)</v>
          </cell>
          <cell r="AF129" t="e">
            <v>#N/A</v>
          </cell>
        </row>
        <row r="130">
          <cell r="E130">
            <v>0</v>
          </cell>
          <cell r="H130">
            <v>0</v>
          </cell>
          <cell r="I130">
            <v>0</v>
          </cell>
          <cell r="J130">
            <v>0</v>
          </cell>
          <cell r="M130">
            <v>0</v>
          </cell>
          <cell r="N130">
            <v>0</v>
          </cell>
          <cell r="O130">
            <v>0</v>
          </cell>
          <cell r="R130">
            <v>0</v>
          </cell>
          <cell r="S130">
            <v>0</v>
          </cell>
          <cell r="V130" t="str">
            <v>Embedded</v>
          </cell>
          <cell r="W130" t="str">
            <v>Supply Services</v>
          </cell>
          <cell r="AA130" t="str">
            <v>[10601]  Commonwealth Edison CompanyEmbeddedSupply Services</v>
          </cell>
          <cell r="AB130" t="str">
            <v>[10601]  Commonwealth Edison CompanyEmbedded (Supply Services)Business Services</v>
          </cell>
          <cell r="AC130" t="str">
            <v>[10601]  Commonwealth Edison CompanyEmbedded (Supply Services)Northern Region Stores (04560)</v>
          </cell>
          <cell r="AF130" t="e">
            <v>#N/A</v>
          </cell>
        </row>
        <row r="131">
          <cell r="E131">
            <v>0</v>
          </cell>
          <cell r="H131">
            <v>0</v>
          </cell>
          <cell r="I131">
            <v>0</v>
          </cell>
          <cell r="J131">
            <v>0</v>
          </cell>
          <cell r="M131">
            <v>0</v>
          </cell>
          <cell r="N131">
            <v>0</v>
          </cell>
          <cell r="O131">
            <v>0</v>
          </cell>
          <cell r="R131">
            <v>0</v>
          </cell>
          <cell r="S131">
            <v>0</v>
          </cell>
          <cell r="V131" t="str">
            <v>Embedded</v>
          </cell>
          <cell r="W131" t="str">
            <v>Supply Services</v>
          </cell>
          <cell r="AA131" t="str">
            <v>[10601]  Commonwealth Edison CompanyEmbeddedSupply Services</v>
          </cell>
          <cell r="AB131" t="str">
            <v>[10601]  Commonwealth Edison CompanyEmbedded (Supply Services)Materials and Supplies</v>
          </cell>
          <cell r="AC131" t="str">
            <v>[10601]  Commonwealth Edison CompanyEmbedded (Supply Services)Northern Region Stores (04560)</v>
          </cell>
          <cell r="AF131" t="e">
            <v>#N/A</v>
          </cell>
        </row>
        <row r="132">
          <cell r="E132">
            <v>0</v>
          </cell>
          <cell r="H132">
            <v>0</v>
          </cell>
          <cell r="I132">
            <v>0</v>
          </cell>
          <cell r="J132">
            <v>0</v>
          </cell>
          <cell r="M132">
            <v>0</v>
          </cell>
          <cell r="N132">
            <v>0</v>
          </cell>
          <cell r="O132">
            <v>0</v>
          </cell>
          <cell r="R132">
            <v>0</v>
          </cell>
          <cell r="S132">
            <v>0</v>
          </cell>
          <cell r="V132" t="str">
            <v>Embedded</v>
          </cell>
          <cell r="W132" t="str">
            <v>Supply Services</v>
          </cell>
          <cell r="AA132" t="str">
            <v>[10601]  Commonwealth Edison CompanyEmbeddedSupply Services</v>
          </cell>
          <cell r="AB132" t="str">
            <v>[10601]  Commonwealth Edison CompanyEmbedded (Supply Services)Other Operating Expenses</v>
          </cell>
          <cell r="AC132" t="str">
            <v>[10601]  Commonwealth Edison CompanyEmbedded (Supply Services)Northern Region Stores (04560)</v>
          </cell>
          <cell r="AF132" t="e">
            <v>#N/A</v>
          </cell>
        </row>
        <row r="133">
          <cell r="E133">
            <v>0</v>
          </cell>
          <cell r="H133">
            <v>0</v>
          </cell>
          <cell r="I133">
            <v>0</v>
          </cell>
          <cell r="J133">
            <v>0</v>
          </cell>
          <cell r="M133">
            <v>0</v>
          </cell>
          <cell r="N133">
            <v>0</v>
          </cell>
          <cell r="R133">
            <v>0</v>
          </cell>
          <cell r="V133" t="str">
            <v>Embedded</v>
          </cell>
          <cell r="W133" t="str">
            <v>Supply Services</v>
          </cell>
          <cell r="AA133" t="str">
            <v>[10601]  Commonwealth Edison CompanyEmbeddedSupply Services</v>
          </cell>
          <cell r="AB133" t="str">
            <v>[10601]  Commonwealth Edison CompanyEmbedded (Supply Services)Other Operating Expenses</v>
          </cell>
          <cell r="AC133" t="str">
            <v>[10601]  Commonwealth Edison CompanyEmbedded (Supply Services)Northern Region Stores (04560)</v>
          </cell>
          <cell r="AF133" t="e">
            <v>#N/A</v>
          </cell>
        </row>
        <row r="134">
          <cell r="E134">
            <v>0</v>
          </cell>
          <cell r="H134">
            <v>0</v>
          </cell>
          <cell r="I134">
            <v>0</v>
          </cell>
          <cell r="J134">
            <v>0</v>
          </cell>
          <cell r="M134">
            <v>0</v>
          </cell>
          <cell r="N134">
            <v>0</v>
          </cell>
          <cell r="O134">
            <v>0</v>
          </cell>
          <cell r="R134">
            <v>0</v>
          </cell>
          <cell r="S134">
            <v>0</v>
          </cell>
          <cell r="V134" t="str">
            <v>Embedded</v>
          </cell>
          <cell r="W134" t="str">
            <v>Supply Services</v>
          </cell>
          <cell r="AA134" t="str">
            <v>[10601]  Commonwealth Edison CompanyEmbeddedSupply Services</v>
          </cell>
          <cell r="AB134" t="str">
            <v>[10601]  Commonwealth Edison CompanyEmbedded (Supply Services)Other Operating Expenses</v>
          </cell>
          <cell r="AC134" t="str">
            <v>[10601]  Commonwealth Edison CompanyEmbedded (Supply Services)Northern Region Stores (04560)</v>
          </cell>
          <cell r="AF134" t="e">
            <v>#N/A</v>
          </cell>
        </row>
        <row r="135">
          <cell r="E135">
            <v>0</v>
          </cell>
          <cell r="H135">
            <v>0</v>
          </cell>
          <cell r="I135">
            <v>0</v>
          </cell>
          <cell r="J135">
            <v>290</v>
          </cell>
          <cell r="M135">
            <v>-290</v>
          </cell>
          <cell r="N135">
            <v>0</v>
          </cell>
          <cell r="O135">
            <v>290</v>
          </cell>
          <cell r="R135">
            <v>-290</v>
          </cell>
          <cell r="S135">
            <v>0</v>
          </cell>
          <cell r="V135" t="str">
            <v>Embedded</v>
          </cell>
          <cell r="W135" t="str">
            <v>Supply Services</v>
          </cell>
          <cell r="AA135" t="str">
            <v>[10601]  Commonwealth Edison CompanyEmbeddedSupply Services</v>
          </cell>
          <cell r="AB135" t="str">
            <v>[10601]  Commonwealth Edison CompanyEmbedded (Supply Services)Overtime</v>
          </cell>
          <cell r="AC135" t="str">
            <v>[10601]  Commonwealth Edison CompanyEmbedded (Supply Services)Northern Region Stores (04560)</v>
          </cell>
          <cell r="AF135" t="e">
            <v>#N/A</v>
          </cell>
        </row>
        <row r="136">
          <cell r="E136">
            <v>0</v>
          </cell>
          <cell r="H136">
            <v>0</v>
          </cell>
          <cell r="I136">
            <v>0</v>
          </cell>
          <cell r="J136">
            <v>0</v>
          </cell>
          <cell r="M136">
            <v>0</v>
          </cell>
          <cell r="N136">
            <v>0</v>
          </cell>
          <cell r="R136">
            <v>0</v>
          </cell>
          <cell r="V136" t="str">
            <v>Embedded</v>
          </cell>
          <cell r="W136" t="str">
            <v>Supply Services</v>
          </cell>
          <cell r="AA136" t="str">
            <v>[10601]  Commonwealth Edison CompanyEmbeddedSupply Services</v>
          </cell>
          <cell r="AB136" t="str">
            <v>[10601]  Commonwealth Edison CompanyEmbedded (Supply Services)Transportation</v>
          </cell>
          <cell r="AC136" t="str">
            <v>[10601]  Commonwealth Edison CompanyEmbedded (Supply Services)Northern Region Stores (04560)</v>
          </cell>
          <cell r="AF136" t="e">
            <v>#N/A</v>
          </cell>
        </row>
        <row r="137">
          <cell r="E137">
            <v>0</v>
          </cell>
          <cell r="H137">
            <v>0</v>
          </cell>
          <cell r="I137">
            <v>0</v>
          </cell>
          <cell r="J137">
            <v>25</v>
          </cell>
          <cell r="M137">
            <v>-25</v>
          </cell>
          <cell r="N137">
            <v>0</v>
          </cell>
          <cell r="O137">
            <v>25</v>
          </cell>
          <cell r="R137">
            <v>-25</v>
          </cell>
          <cell r="S137">
            <v>0</v>
          </cell>
          <cell r="V137" t="str">
            <v>Embedded</v>
          </cell>
          <cell r="W137" t="str">
            <v>Supply Services</v>
          </cell>
          <cell r="AA137" t="str">
            <v>[10601]  Commonwealth Edison CompanyEmbeddedSupply Services</v>
          </cell>
          <cell r="AB137" t="str">
            <v>[10601]  Commonwealth Edison CompanyEmbedded (Supply Services)Contracting</v>
          </cell>
          <cell r="AC137" t="str">
            <v>[10601]  Commonwealth Edison CompanyEmbedded (Supply Services)Southern Region Stores (06560)</v>
          </cell>
          <cell r="AF137" t="e">
            <v>#N/A</v>
          </cell>
        </row>
        <row r="138">
          <cell r="E138">
            <v>0</v>
          </cell>
          <cell r="H138">
            <v>0</v>
          </cell>
          <cell r="I138">
            <v>0</v>
          </cell>
          <cell r="J138">
            <v>0</v>
          </cell>
          <cell r="M138">
            <v>0</v>
          </cell>
          <cell r="N138">
            <v>0</v>
          </cell>
          <cell r="R138">
            <v>0</v>
          </cell>
          <cell r="V138" t="str">
            <v>Embedded</v>
          </cell>
          <cell r="W138" t="str">
            <v>Supply Services</v>
          </cell>
          <cell r="AA138" t="str">
            <v>[10601]  Commonwealth Edison CompanyEmbeddedSupply Services</v>
          </cell>
          <cell r="AB138" t="str">
            <v>[10601]  Commonwealth Edison CompanyEmbedded (Supply Services)Materials and Supplies</v>
          </cell>
          <cell r="AC138" t="str">
            <v>[10601]  Commonwealth Edison CompanyEmbedded (Supply Services)Southern Region Stores (06560)</v>
          </cell>
          <cell r="AF138" t="e">
            <v>#N/A</v>
          </cell>
        </row>
        <row r="139">
          <cell r="E139">
            <v>0</v>
          </cell>
          <cell r="H139">
            <v>0</v>
          </cell>
          <cell r="I139">
            <v>0</v>
          </cell>
          <cell r="J139">
            <v>0</v>
          </cell>
          <cell r="M139">
            <v>0</v>
          </cell>
          <cell r="N139">
            <v>0</v>
          </cell>
          <cell r="O139">
            <v>0</v>
          </cell>
          <cell r="R139">
            <v>0</v>
          </cell>
          <cell r="S139">
            <v>0</v>
          </cell>
          <cell r="V139" t="str">
            <v>Embedded</v>
          </cell>
          <cell r="W139" t="str">
            <v>Supply Services</v>
          </cell>
          <cell r="AA139" t="str">
            <v>[10601]  Commonwealth Edison CompanyEmbeddedSupply Services</v>
          </cell>
          <cell r="AB139" t="str">
            <v>[10601]  Commonwealth Edison CompanyEmbedded (Supply Services)Travel, Entertainment &amp; Reimb</v>
          </cell>
          <cell r="AC139" t="str">
            <v>[10601]  Commonwealth Edison CompanyEmbedded (Supply Services)Southern Region Stores (06560)</v>
          </cell>
          <cell r="AF139" t="e">
            <v>#N/A</v>
          </cell>
        </row>
        <row r="140">
          <cell r="E140">
            <v>386</v>
          </cell>
          <cell r="H140">
            <v>-386</v>
          </cell>
          <cell r="I140">
            <v>-386</v>
          </cell>
          <cell r="J140">
            <v>1808</v>
          </cell>
          <cell r="M140">
            <v>-1808</v>
          </cell>
          <cell r="N140">
            <v>-386</v>
          </cell>
          <cell r="O140">
            <v>1808</v>
          </cell>
          <cell r="R140">
            <v>-1808</v>
          </cell>
          <cell r="S140">
            <v>-386</v>
          </cell>
          <cell r="V140" t="str">
            <v>Embedded</v>
          </cell>
          <cell r="W140" t="str">
            <v>Supply Services</v>
          </cell>
          <cell r="AA140" t="str">
            <v>[10601]  Commonwealth Edison CompanyEmbeddedSupply Services</v>
          </cell>
          <cell r="AB140" t="str">
            <v>[10601]  Commonwealth Edison CompanyEmbedded (Supply Services)Other Operating Expenses</v>
          </cell>
          <cell r="AC140" t="str">
            <v>[10601]  Commonwealth Edison CompanyEmbedded (Supply Services)Southern Region Stores (06560)</v>
          </cell>
          <cell r="AF140" t="e">
            <v>#N/A</v>
          </cell>
        </row>
        <row r="141">
          <cell r="E141">
            <v>0</v>
          </cell>
          <cell r="H141">
            <v>0</v>
          </cell>
          <cell r="I141">
            <v>0</v>
          </cell>
          <cell r="J141">
            <v>-1658</v>
          </cell>
          <cell r="M141">
            <v>1658</v>
          </cell>
          <cell r="N141">
            <v>0</v>
          </cell>
          <cell r="O141">
            <v>-1658</v>
          </cell>
          <cell r="R141">
            <v>1658</v>
          </cell>
          <cell r="S141">
            <v>0</v>
          </cell>
          <cell r="V141" t="str">
            <v>Embedded</v>
          </cell>
          <cell r="W141" t="str">
            <v>Supply Services</v>
          </cell>
          <cell r="AA141" t="str">
            <v>[10601]  Commonwealth Edison CompanyEmbeddedSupply Services</v>
          </cell>
          <cell r="AB141" t="str">
            <v>[10601]  Commonwealth Edison CompanyEmbedded (Supply Services)Other Operating Expenses</v>
          </cell>
          <cell r="AC141" t="str">
            <v>[10601]  Commonwealth Edison CompanyEmbedded (Supply Services)Southern Region Stores (06560)</v>
          </cell>
          <cell r="AF141" t="e">
            <v>#N/A</v>
          </cell>
        </row>
        <row r="142">
          <cell r="E142">
            <v>0</v>
          </cell>
          <cell r="H142">
            <v>0</v>
          </cell>
          <cell r="I142">
            <v>0</v>
          </cell>
          <cell r="J142">
            <v>0</v>
          </cell>
          <cell r="M142">
            <v>0</v>
          </cell>
          <cell r="N142">
            <v>0</v>
          </cell>
          <cell r="O142">
            <v>0</v>
          </cell>
          <cell r="R142">
            <v>0</v>
          </cell>
          <cell r="S142">
            <v>0</v>
          </cell>
          <cell r="V142" t="str">
            <v>Embedded</v>
          </cell>
          <cell r="W142" t="str">
            <v>Supply Services</v>
          </cell>
          <cell r="AA142" t="str">
            <v>[10601]  Commonwealth Edison CompanyEmbeddedSupply Services</v>
          </cell>
          <cell r="AB142" t="str">
            <v>[10601]  Commonwealth Edison CompanyEmbedded (Supply Services)Other Operating Expenses</v>
          </cell>
          <cell r="AC142" t="str">
            <v>[10601]  Commonwealth Edison CompanyEmbedded (Supply Services)Southern Region Stores (06560)</v>
          </cell>
          <cell r="AF142" t="e">
            <v>#N/A</v>
          </cell>
        </row>
        <row r="143">
          <cell r="E143">
            <v>0</v>
          </cell>
          <cell r="H143">
            <v>0</v>
          </cell>
          <cell r="I143">
            <v>0</v>
          </cell>
          <cell r="J143">
            <v>0</v>
          </cell>
          <cell r="M143">
            <v>0</v>
          </cell>
          <cell r="N143">
            <v>0</v>
          </cell>
          <cell r="R143">
            <v>0</v>
          </cell>
          <cell r="V143" t="str">
            <v>Embedded</v>
          </cell>
          <cell r="W143" t="str">
            <v>Supply Services</v>
          </cell>
          <cell r="AA143" t="str">
            <v>[10601]  Commonwealth Edison CompanyEmbeddedSupply Services</v>
          </cell>
          <cell r="AB143" t="str">
            <v>[10601]  Commonwealth Edison CompanyEmbedded (Supply Services)Transportation</v>
          </cell>
          <cell r="AC143" t="str">
            <v>[10601]  Commonwealth Edison CompanyEmbedded (Supply Services)Southern Region Stores (06560)</v>
          </cell>
          <cell r="AF143" t="e">
            <v>#N/A</v>
          </cell>
        </row>
        <row r="144">
          <cell r="E144">
            <v>0</v>
          </cell>
          <cell r="H144">
            <v>0</v>
          </cell>
          <cell r="I144">
            <v>0</v>
          </cell>
          <cell r="J144">
            <v>0</v>
          </cell>
          <cell r="M144">
            <v>0</v>
          </cell>
          <cell r="N144">
            <v>0</v>
          </cell>
          <cell r="O144">
            <v>0</v>
          </cell>
          <cell r="R144">
            <v>0</v>
          </cell>
          <cell r="S144">
            <v>0</v>
          </cell>
          <cell r="V144" t="str">
            <v>Embedded</v>
          </cell>
          <cell r="W144" t="str">
            <v>Supply Services</v>
          </cell>
          <cell r="AA144" t="str">
            <v>[10601]  Commonwealth Edison CompanyEmbeddedSupply Services</v>
          </cell>
          <cell r="AB144" t="str">
            <v>[10601]  Commonwealth Edison CompanyEmbedded (Supply Services)Contracting</v>
          </cell>
          <cell r="AC144" t="str">
            <v>[10601]  Commonwealth Edison CompanyEmbedded (Supply Services)CTEAM (06566)</v>
          </cell>
          <cell r="AF144" t="e">
            <v>#N/A</v>
          </cell>
        </row>
        <row r="145">
          <cell r="E145">
            <v>0</v>
          </cell>
          <cell r="H145">
            <v>0</v>
          </cell>
          <cell r="I145">
            <v>0</v>
          </cell>
          <cell r="J145">
            <v>75</v>
          </cell>
          <cell r="M145">
            <v>-75</v>
          </cell>
          <cell r="N145">
            <v>0</v>
          </cell>
          <cell r="O145">
            <v>75</v>
          </cell>
          <cell r="R145">
            <v>-75</v>
          </cell>
          <cell r="S145">
            <v>0</v>
          </cell>
          <cell r="V145" t="str">
            <v>Embedded</v>
          </cell>
          <cell r="W145" t="str">
            <v>Supply Services</v>
          </cell>
          <cell r="AA145" t="str">
            <v>[10601]  Commonwealth Edison CompanyEmbeddedSupply Services</v>
          </cell>
          <cell r="AB145" t="str">
            <v>[10601]  Commonwealth Edison CompanyEmbedded (Supply Services)Contracting</v>
          </cell>
          <cell r="AC145" t="str">
            <v>[10601]  Commonwealth Edison CompanyEmbedded (Supply Services)Rock River Region Stores (07560)</v>
          </cell>
          <cell r="AF145" t="e">
            <v>#N/A</v>
          </cell>
        </row>
        <row r="146">
          <cell r="E146">
            <v>0</v>
          </cell>
          <cell r="H146">
            <v>0</v>
          </cell>
          <cell r="I146">
            <v>0</v>
          </cell>
          <cell r="J146">
            <v>0</v>
          </cell>
          <cell r="M146">
            <v>0</v>
          </cell>
          <cell r="N146">
            <v>0</v>
          </cell>
          <cell r="O146">
            <v>0</v>
          </cell>
          <cell r="R146">
            <v>0</v>
          </cell>
          <cell r="S146">
            <v>0</v>
          </cell>
          <cell r="V146" t="str">
            <v>Embedded</v>
          </cell>
          <cell r="W146" t="str">
            <v>Supply Services</v>
          </cell>
          <cell r="AA146" t="str">
            <v>[10601]  Commonwealth Edison CompanyEmbeddedSupply Services</v>
          </cell>
          <cell r="AB146" t="str">
            <v>[10601]  Commonwealth Edison CompanyEmbedded (Supply Services)Business Services</v>
          </cell>
          <cell r="AC146" t="str">
            <v>[10601]  Commonwealth Edison CompanyEmbedded (Supply Services)Rock River Region Stores (07560)</v>
          </cell>
          <cell r="AF146" t="e">
            <v>#N/A</v>
          </cell>
        </row>
        <row r="147">
          <cell r="E147">
            <v>0</v>
          </cell>
          <cell r="H147">
            <v>0</v>
          </cell>
          <cell r="I147">
            <v>0</v>
          </cell>
          <cell r="J147">
            <v>0</v>
          </cell>
          <cell r="M147">
            <v>0</v>
          </cell>
          <cell r="N147">
            <v>0</v>
          </cell>
          <cell r="R147">
            <v>0</v>
          </cell>
          <cell r="V147" t="str">
            <v>Embedded</v>
          </cell>
          <cell r="W147" t="str">
            <v>Supply Services</v>
          </cell>
          <cell r="AA147" t="str">
            <v>[10601]  Commonwealth Edison CompanyEmbeddedSupply Services</v>
          </cell>
          <cell r="AB147" t="str">
            <v>[10601]  Commonwealth Edison CompanyEmbedded (Supply Services)Materials and Supplies</v>
          </cell>
          <cell r="AC147" t="str">
            <v>[10601]  Commonwealth Edison CompanyEmbedded (Supply Services)Rock River Region Stores (07560)</v>
          </cell>
          <cell r="AF147" t="e">
            <v>#N/A</v>
          </cell>
        </row>
        <row r="148">
          <cell r="E148">
            <v>0</v>
          </cell>
          <cell r="H148">
            <v>0</v>
          </cell>
          <cell r="I148">
            <v>0</v>
          </cell>
          <cell r="J148">
            <v>0</v>
          </cell>
          <cell r="M148">
            <v>0</v>
          </cell>
          <cell r="N148">
            <v>0</v>
          </cell>
          <cell r="O148">
            <v>0</v>
          </cell>
          <cell r="R148">
            <v>0</v>
          </cell>
          <cell r="S148">
            <v>0</v>
          </cell>
          <cell r="V148" t="str">
            <v>Embedded</v>
          </cell>
          <cell r="W148" t="str">
            <v>Supply Services</v>
          </cell>
          <cell r="AA148" t="str">
            <v>[10601]  Commonwealth Edison CompanyEmbeddedSupply Services</v>
          </cell>
          <cell r="AB148" t="str">
            <v>[10601]  Commonwealth Edison CompanyEmbedded (Supply Services)Travel, Entertainment &amp; Reimb</v>
          </cell>
          <cell r="AC148" t="str">
            <v>[10601]  Commonwealth Edison CompanyEmbedded (Supply Services)Rock River Region Stores (07560)</v>
          </cell>
          <cell r="AF148" t="e">
            <v>#N/A</v>
          </cell>
        </row>
        <row r="149">
          <cell r="E149">
            <v>0</v>
          </cell>
          <cell r="H149">
            <v>0</v>
          </cell>
          <cell r="I149">
            <v>0</v>
          </cell>
          <cell r="J149">
            <v>0</v>
          </cell>
          <cell r="M149">
            <v>0</v>
          </cell>
          <cell r="N149">
            <v>0</v>
          </cell>
          <cell r="O149">
            <v>0</v>
          </cell>
          <cell r="R149">
            <v>0</v>
          </cell>
          <cell r="S149">
            <v>0</v>
          </cell>
          <cell r="V149" t="str">
            <v>Embedded</v>
          </cell>
          <cell r="W149" t="str">
            <v>Supply Services</v>
          </cell>
          <cell r="AA149" t="str">
            <v>[10601]  Commonwealth Edison CompanyEmbeddedSupply Services</v>
          </cell>
          <cell r="AB149" t="str">
            <v>[10601]  Commonwealth Edison CompanyEmbedded (Supply Services)Other Operating Expenses</v>
          </cell>
          <cell r="AC149" t="str">
            <v>[10601]  Commonwealth Edison CompanyEmbedded (Supply Services)Rock River Region Stores (07560)</v>
          </cell>
          <cell r="AF149" t="e">
            <v>#N/A</v>
          </cell>
        </row>
        <row r="150">
          <cell r="E150">
            <v>0</v>
          </cell>
          <cell r="H150">
            <v>0</v>
          </cell>
          <cell r="I150">
            <v>0</v>
          </cell>
          <cell r="J150">
            <v>1433</v>
          </cell>
          <cell r="M150">
            <v>-1433</v>
          </cell>
          <cell r="N150">
            <v>0</v>
          </cell>
          <cell r="O150">
            <v>1433</v>
          </cell>
          <cell r="R150">
            <v>-1433</v>
          </cell>
          <cell r="S150">
            <v>0</v>
          </cell>
          <cell r="V150" t="str">
            <v>Embedded</v>
          </cell>
          <cell r="W150" t="str">
            <v>Supply Services</v>
          </cell>
          <cell r="AA150" t="str">
            <v>[10601]  Commonwealth Edison CompanyEmbeddedSupply Services</v>
          </cell>
          <cell r="AB150" t="str">
            <v>[10601]  Commonwealth Edison CompanyEmbedded (Supply Services)Overtime</v>
          </cell>
          <cell r="AC150" t="str">
            <v>[10601]  Commonwealth Edison CompanyEmbedded (Supply Services)Rock River Region Stores (07560)</v>
          </cell>
          <cell r="AF150" t="e">
            <v>#N/A</v>
          </cell>
        </row>
        <row r="151">
          <cell r="E151">
            <v>0</v>
          </cell>
          <cell r="H151">
            <v>0</v>
          </cell>
          <cell r="I151">
            <v>0</v>
          </cell>
          <cell r="J151">
            <v>0</v>
          </cell>
          <cell r="M151">
            <v>0</v>
          </cell>
          <cell r="N151">
            <v>0</v>
          </cell>
          <cell r="R151">
            <v>0</v>
          </cell>
          <cell r="V151" t="str">
            <v>Embedded</v>
          </cell>
          <cell r="W151" t="str">
            <v>Supply Services</v>
          </cell>
          <cell r="AA151" t="str">
            <v>[10601]  Commonwealth Edison CompanyEmbeddedSupply Services</v>
          </cell>
          <cell r="AB151" t="str">
            <v>[10601]  Commonwealth Edison CompanyEmbedded (Supply Services)Transportation</v>
          </cell>
          <cell r="AC151" t="str">
            <v>[10601]  Commonwealth Edison CompanyEmbedded (Supply Services)Rock River Region Stores (07560)</v>
          </cell>
          <cell r="AF151" t="e">
            <v>#N/A</v>
          </cell>
        </row>
        <row r="152">
          <cell r="E152">
            <v>0</v>
          </cell>
          <cell r="H152">
            <v>0</v>
          </cell>
          <cell r="I152">
            <v>0</v>
          </cell>
          <cell r="J152">
            <v>0</v>
          </cell>
          <cell r="M152">
            <v>0</v>
          </cell>
          <cell r="N152">
            <v>0</v>
          </cell>
          <cell r="O152">
            <v>0</v>
          </cell>
          <cell r="R152">
            <v>0</v>
          </cell>
          <cell r="S152">
            <v>0</v>
          </cell>
          <cell r="V152" t="str">
            <v>Embedded</v>
          </cell>
          <cell r="W152" t="str">
            <v>IT</v>
          </cell>
          <cell r="AA152" t="str">
            <v>[10601]  Commonwealth Edison CompanyEmbeddedIT</v>
          </cell>
          <cell r="AB152" t="str">
            <v>[10601]  Commonwealth Edison CompanyEmbedded (IT)Business Services</v>
          </cell>
          <cell r="AC152" t="str">
            <v>[10601]  Commonwealth Edison CompanyEmbedded (IT)Office of VP (08107)</v>
          </cell>
          <cell r="AF152" t="e">
            <v>#N/A</v>
          </cell>
        </row>
        <row r="153">
          <cell r="E153">
            <v>0</v>
          </cell>
          <cell r="H153">
            <v>0</v>
          </cell>
          <cell r="I153">
            <v>0</v>
          </cell>
          <cell r="J153">
            <v>582</v>
          </cell>
          <cell r="M153">
            <v>-582</v>
          </cell>
          <cell r="N153">
            <v>0</v>
          </cell>
          <cell r="O153">
            <v>582</v>
          </cell>
          <cell r="R153">
            <v>-582</v>
          </cell>
          <cell r="S153">
            <v>0</v>
          </cell>
          <cell r="V153" t="str">
            <v>Embedded</v>
          </cell>
          <cell r="W153" t="str">
            <v>IT</v>
          </cell>
          <cell r="AA153" t="str">
            <v>[10601]  Commonwealth Edison CompanyEmbeddedIT</v>
          </cell>
          <cell r="AB153" t="str">
            <v>[10601]  Commonwealth Edison CompanyEmbedded (IT)Other Operating Expenses</v>
          </cell>
          <cell r="AC153" t="str">
            <v>[10601]  Commonwealth Edison CompanyEmbedded (IT)Office of VP (08107)</v>
          </cell>
          <cell r="AF153" t="e">
            <v>#N/A</v>
          </cell>
        </row>
        <row r="154">
          <cell r="E154">
            <v>0</v>
          </cell>
          <cell r="H154">
            <v>0</v>
          </cell>
          <cell r="I154">
            <v>0</v>
          </cell>
          <cell r="J154">
            <v>0</v>
          </cell>
          <cell r="M154">
            <v>0</v>
          </cell>
          <cell r="N154">
            <v>0</v>
          </cell>
          <cell r="O154">
            <v>0</v>
          </cell>
          <cell r="R154">
            <v>0</v>
          </cell>
          <cell r="S154">
            <v>0</v>
          </cell>
          <cell r="V154" t="str">
            <v>Embedded</v>
          </cell>
          <cell r="W154" t="str">
            <v>IT</v>
          </cell>
          <cell r="AA154" t="str">
            <v>[10601]  Commonwealth Edison CompanyEmbeddedIT</v>
          </cell>
          <cell r="AB154" t="str">
            <v>[10601]  Commonwealth Edison CompanyEmbedded (IT)Other Operating Expenses</v>
          </cell>
          <cell r="AC154" t="str">
            <v>[10601]  Commonwealth Edison CompanyEmbedded (IT)Office of VP (08107)</v>
          </cell>
          <cell r="AF154" t="e">
            <v>#N/A</v>
          </cell>
        </row>
        <row r="155">
          <cell r="E155">
            <v>0</v>
          </cell>
          <cell r="H155">
            <v>0</v>
          </cell>
          <cell r="I155">
            <v>0</v>
          </cell>
          <cell r="J155">
            <v>0</v>
          </cell>
          <cell r="M155">
            <v>0</v>
          </cell>
          <cell r="N155">
            <v>0</v>
          </cell>
          <cell r="R155">
            <v>0</v>
          </cell>
          <cell r="V155" t="str">
            <v>Embedded</v>
          </cell>
          <cell r="W155" t="str">
            <v>Supply Services</v>
          </cell>
          <cell r="AA155" t="str">
            <v>[10601]  Commonwealth Edison CompanyEmbeddedSupply Services</v>
          </cell>
          <cell r="AB155" t="str">
            <v>[10601]  Commonwealth Edison CompanyEmbedded (Supply Services)Contracting</v>
          </cell>
          <cell r="AC155" t="str">
            <v>[10601]  Commonwealth Edison CompanyEmbedded (Supply Services)Supply T&amp;S Work Management (08506)</v>
          </cell>
          <cell r="AF155" t="e">
            <v>#N/A</v>
          </cell>
        </row>
        <row r="156">
          <cell r="E156">
            <v>0</v>
          </cell>
          <cell r="H156">
            <v>0</v>
          </cell>
          <cell r="I156">
            <v>0</v>
          </cell>
          <cell r="J156">
            <v>0</v>
          </cell>
          <cell r="M156">
            <v>0</v>
          </cell>
          <cell r="N156">
            <v>0</v>
          </cell>
          <cell r="O156">
            <v>0</v>
          </cell>
          <cell r="R156">
            <v>0</v>
          </cell>
          <cell r="S156">
            <v>0</v>
          </cell>
          <cell r="V156" t="str">
            <v>Embedded</v>
          </cell>
          <cell r="W156" t="str">
            <v>Supply Services</v>
          </cell>
          <cell r="AA156" t="str">
            <v>[10601]  Commonwealth Edison CompanyEmbeddedSupply Services</v>
          </cell>
          <cell r="AB156" t="str">
            <v>[10601]  Commonwealth Edison CompanyEmbedded (Supply Services)Other Operating Expenses</v>
          </cell>
          <cell r="AC156" t="str">
            <v>[10601]  Commonwealth Edison CompanyEmbedded (Supply Services)Supply T&amp;S Work Management (08506)</v>
          </cell>
          <cell r="AF156" t="e">
            <v>#N/A</v>
          </cell>
        </row>
        <row r="157">
          <cell r="E157">
            <v>0</v>
          </cell>
          <cell r="H157">
            <v>0</v>
          </cell>
          <cell r="I157">
            <v>0</v>
          </cell>
          <cell r="J157">
            <v>0</v>
          </cell>
          <cell r="M157">
            <v>0</v>
          </cell>
          <cell r="N157">
            <v>0</v>
          </cell>
          <cell r="R157">
            <v>0</v>
          </cell>
          <cell r="V157" t="str">
            <v>Embedded</v>
          </cell>
          <cell r="W157" t="str">
            <v>Supply Services</v>
          </cell>
          <cell r="AA157" t="str">
            <v>[10601]  Commonwealth Edison CompanyEmbeddedSupply Services</v>
          </cell>
          <cell r="AB157" t="str">
            <v>[10601]  Commonwealth Edison CompanyEmbedded (Supply Services)Travel, Entertainment &amp; Reimb</v>
          </cell>
          <cell r="AC157" t="str">
            <v>[10601]  Commonwealth Edison CompanyEmbedded (Supply Services)Supply T&amp;S Work Management (08506)</v>
          </cell>
          <cell r="AF157" t="e">
            <v>#N/A</v>
          </cell>
        </row>
        <row r="158">
          <cell r="E158">
            <v>108663</v>
          </cell>
          <cell r="H158">
            <v>17705</v>
          </cell>
          <cell r="I158">
            <v>10107</v>
          </cell>
          <cell r="J158">
            <v>481494</v>
          </cell>
          <cell r="M158">
            <v>21377</v>
          </cell>
          <cell r="N158">
            <v>10107</v>
          </cell>
          <cell r="O158">
            <v>1442987</v>
          </cell>
          <cell r="R158">
            <v>112950</v>
          </cell>
          <cell r="S158">
            <v>33659</v>
          </cell>
          <cell r="V158" t="str">
            <v>Embedded</v>
          </cell>
          <cell r="W158" t="str">
            <v>Supply Services</v>
          </cell>
          <cell r="AA158" t="str">
            <v>[10601]  Commonwealth Edison CompanyEmbeddedSupply Services</v>
          </cell>
          <cell r="AB158" t="str">
            <v>[10601]  Commonwealth Edison CompanyEmbedded (Supply Services)Salaries and Wages</v>
          </cell>
          <cell r="AC158" t="str">
            <v>[10601]  Commonwealth Edison CompanyEmbedded (Supply Services)Fabrication (08509)</v>
          </cell>
          <cell r="AF158" t="e">
            <v>#N/A</v>
          </cell>
        </row>
        <row r="159">
          <cell r="E159">
            <v>283</v>
          </cell>
          <cell r="H159">
            <v>328</v>
          </cell>
          <cell r="I159">
            <v>328</v>
          </cell>
          <cell r="J159">
            <v>1110</v>
          </cell>
          <cell r="M159">
            <v>1331</v>
          </cell>
          <cell r="N159">
            <v>328</v>
          </cell>
          <cell r="O159">
            <v>3331</v>
          </cell>
          <cell r="R159">
            <v>3994</v>
          </cell>
          <cell r="S159">
            <v>2991</v>
          </cell>
          <cell r="V159" t="str">
            <v>Embedded</v>
          </cell>
          <cell r="W159" t="str">
            <v>Supply Services</v>
          </cell>
          <cell r="AA159" t="str">
            <v>[10601]  Commonwealth Edison CompanyEmbeddedSupply Services</v>
          </cell>
          <cell r="AB159" t="str">
            <v>[10601]  Commonwealth Edison CompanyEmbedded (Supply Services)Travel, Entertainment &amp; Reimb</v>
          </cell>
          <cell r="AC159" t="str">
            <v>[10601]  Commonwealth Edison CompanyEmbedded (Supply Services)Fabrication (08509)</v>
          </cell>
          <cell r="AF159" t="e">
            <v>#N/A</v>
          </cell>
        </row>
        <row r="160">
          <cell r="E160">
            <v>18925</v>
          </cell>
          <cell r="H160">
            <v>-8092</v>
          </cell>
          <cell r="I160">
            <v>18003</v>
          </cell>
          <cell r="J160">
            <v>77622</v>
          </cell>
          <cell r="M160">
            <v>-34289</v>
          </cell>
          <cell r="N160">
            <v>18003</v>
          </cell>
          <cell r="O160">
            <v>549834</v>
          </cell>
          <cell r="R160">
            <v>-169834</v>
          </cell>
          <cell r="S160">
            <v>80384</v>
          </cell>
          <cell r="V160" t="str">
            <v>Embedded</v>
          </cell>
          <cell r="W160" t="str">
            <v>Supply Services</v>
          </cell>
          <cell r="AA160" t="str">
            <v>[10601]  Commonwealth Edison CompanyEmbeddedSupply Services</v>
          </cell>
          <cell r="AB160" t="str">
            <v>[10601]  Commonwealth Edison CompanyEmbedded (Supply Services)Contracting</v>
          </cell>
          <cell r="AC160" t="str">
            <v>[10601]  Commonwealth Edison CompanyEmbedded (Supply Services)Fabrication (08509)</v>
          </cell>
          <cell r="AF160" t="e">
            <v>#N/A</v>
          </cell>
        </row>
        <row r="161">
          <cell r="E161">
            <v>2504</v>
          </cell>
          <cell r="H161">
            <v>1796</v>
          </cell>
          <cell r="I161">
            <v>74</v>
          </cell>
          <cell r="J161">
            <v>10238</v>
          </cell>
          <cell r="M161">
            <v>6960</v>
          </cell>
          <cell r="N161">
            <v>74</v>
          </cell>
          <cell r="O161">
            <v>30715</v>
          </cell>
          <cell r="R161">
            <v>20879</v>
          </cell>
          <cell r="S161">
            <v>222</v>
          </cell>
          <cell r="V161" t="str">
            <v>Embedded</v>
          </cell>
          <cell r="W161" t="str">
            <v>Supply Services</v>
          </cell>
          <cell r="AA161" t="str">
            <v>[10601]  Commonwealth Edison CompanyEmbeddedSupply Services</v>
          </cell>
          <cell r="AB161" t="str">
            <v>[10601]  Commonwealth Edison CompanyEmbedded (Supply Services)Business Services</v>
          </cell>
          <cell r="AC161" t="str">
            <v>[10601]  Commonwealth Edison CompanyEmbedded (Supply Services)Fabrication (08509)</v>
          </cell>
          <cell r="AF161" t="e">
            <v>#N/A</v>
          </cell>
        </row>
        <row r="162">
          <cell r="E162">
            <v>99282</v>
          </cell>
          <cell r="H162">
            <v>-25311</v>
          </cell>
          <cell r="I162">
            <v>-47770</v>
          </cell>
          <cell r="J162">
            <v>64475</v>
          </cell>
          <cell r="M162">
            <v>231409</v>
          </cell>
          <cell r="N162">
            <v>-47770</v>
          </cell>
          <cell r="O162">
            <v>432130</v>
          </cell>
          <cell r="R162">
            <v>455524</v>
          </cell>
          <cell r="S162">
            <v>-3325</v>
          </cell>
          <cell r="V162" t="str">
            <v>Embedded</v>
          </cell>
          <cell r="W162" t="str">
            <v>Supply Services</v>
          </cell>
          <cell r="AA162" t="str">
            <v>[10601]  Commonwealth Edison CompanyEmbeddedSupply Services</v>
          </cell>
          <cell r="AB162" t="str">
            <v>[10601]  Commonwealth Edison CompanyEmbedded (Supply Services)Materials and Supplies</v>
          </cell>
          <cell r="AC162" t="str">
            <v>[10601]  Commonwealth Edison CompanyEmbedded (Supply Services)Fabrication (08509)</v>
          </cell>
          <cell r="AF162" t="e">
            <v>#N/A</v>
          </cell>
        </row>
        <row r="163">
          <cell r="E163">
            <v>0</v>
          </cell>
          <cell r="H163">
            <v>60</v>
          </cell>
          <cell r="I163">
            <v>474</v>
          </cell>
          <cell r="J163">
            <v>0</v>
          </cell>
          <cell r="M163">
            <v>241</v>
          </cell>
          <cell r="N163">
            <v>474</v>
          </cell>
          <cell r="O163">
            <v>3617</v>
          </cell>
          <cell r="R163">
            <v>-2894</v>
          </cell>
          <cell r="S163">
            <v>649</v>
          </cell>
          <cell r="V163" t="str">
            <v>Embedded</v>
          </cell>
          <cell r="W163" t="str">
            <v>Supply Services</v>
          </cell>
          <cell r="AA163" t="str">
            <v>[10601]  Commonwealth Edison CompanyEmbeddedSupply Services</v>
          </cell>
          <cell r="AB163" t="str">
            <v>[10601]  Commonwealth Edison CompanyEmbedded (Supply Services)Other Operating Expenses</v>
          </cell>
          <cell r="AC163" t="str">
            <v>[10601]  Commonwealth Edison CompanyEmbedded (Supply Services)Fabrication (08509)</v>
          </cell>
          <cell r="AF163" t="e">
            <v>#N/A</v>
          </cell>
        </row>
        <row r="164">
          <cell r="E164">
            <v>0</v>
          </cell>
          <cell r="H164">
            <v>0</v>
          </cell>
          <cell r="I164">
            <v>0</v>
          </cell>
          <cell r="J164">
            <v>3300</v>
          </cell>
          <cell r="M164">
            <v>-3300</v>
          </cell>
          <cell r="N164">
            <v>0</v>
          </cell>
          <cell r="O164">
            <v>3300</v>
          </cell>
          <cell r="R164">
            <v>-3300</v>
          </cell>
          <cell r="S164">
            <v>0</v>
          </cell>
          <cell r="V164" t="str">
            <v>Embedded</v>
          </cell>
          <cell r="W164" t="str">
            <v>Supply Services</v>
          </cell>
          <cell r="AA164" t="str">
            <v>[10601]  Commonwealth Edison CompanyEmbeddedSupply Services</v>
          </cell>
          <cell r="AB164" t="str">
            <v>[10601]  Commonwealth Edison CompanyEmbedded (Supply Services)Travel, Entertainment &amp; Reimb</v>
          </cell>
          <cell r="AC164" t="str">
            <v>[10601]  Commonwealth Edison CompanyEmbedded (Supply Services)Fabrication (08509)</v>
          </cell>
          <cell r="AF164" t="e">
            <v>#N/A</v>
          </cell>
        </row>
        <row r="165">
          <cell r="E165">
            <v>504</v>
          </cell>
          <cell r="H165">
            <v>-504</v>
          </cell>
          <cell r="I165">
            <v>36</v>
          </cell>
          <cell r="J165">
            <v>2125</v>
          </cell>
          <cell r="M165">
            <v>-2125</v>
          </cell>
          <cell r="N165">
            <v>36</v>
          </cell>
          <cell r="O165">
            <v>6376</v>
          </cell>
          <cell r="R165">
            <v>-6376</v>
          </cell>
          <cell r="S165">
            <v>109</v>
          </cell>
          <cell r="V165" t="str">
            <v>Embedded</v>
          </cell>
          <cell r="W165" t="str">
            <v>Supply Services</v>
          </cell>
          <cell r="AA165" t="str">
            <v>[10601]  Commonwealth Edison CompanyEmbeddedSupply Services</v>
          </cell>
          <cell r="AB165" t="str">
            <v>[10601]  Commonwealth Edison CompanyEmbedded (Supply Services)Other Operating Expenses</v>
          </cell>
          <cell r="AC165" t="str">
            <v>[10601]  Commonwealth Edison CompanyEmbedded (Supply Services)Fabrication (08509)</v>
          </cell>
          <cell r="AF165" t="e">
            <v>#N/A</v>
          </cell>
        </row>
        <row r="166">
          <cell r="E166">
            <v>8148</v>
          </cell>
          <cell r="H166">
            <v>3730</v>
          </cell>
          <cell r="I166">
            <v>3023</v>
          </cell>
          <cell r="J166">
            <v>34196</v>
          </cell>
          <cell r="M166">
            <v>13314</v>
          </cell>
          <cell r="N166">
            <v>3023</v>
          </cell>
          <cell r="O166">
            <v>104486</v>
          </cell>
          <cell r="R166">
            <v>38044</v>
          </cell>
          <cell r="S166">
            <v>22094</v>
          </cell>
          <cell r="V166" t="str">
            <v>Embedded</v>
          </cell>
          <cell r="W166" t="str">
            <v>Supply Services</v>
          </cell>
          <cell r="AA166" t="str">
            <v>[10601]  Commonwealth Edison CompanyEmbeddedSupply Services</v>
          </cell>
          <cell r="AB166" t="str">
            <v>[10601]  Commonwealth Edison CompanyEmbedded (Supply Services)Other Operating Expenses</v>
          </cell>
          <cell r="AC166" t="str">
            <v>[10601]  Commonwealth Edison CompanyEmbedded (Supply Services)Fabrication (08509)</v>
          </cell>
          <cell r="AF166" t="e">
            <v>#N/A</v>
          </cell>
        </row>
        <row r="167">
          <cell r="E167">
            <v>62</v>
          </cell>
          <cell r="H167">
            <v>-62</v>
          </cell>
          <cell r="I167">
            <v>1092</v>
          </cell>
          <cell r="J167">
            <v>1174</v>
          </cell>
          <cell r="M167">
            <v>-1174</v>
          </cell>
          <cell r="N167">
            <v>1092</v>
          </cell>
          <cell r="O167">
            <v>8222</v>
          </cell>
          <cell r="R167">
            <v>-8222</v>
          </cell>
          <cell r="S167">
            <v>3277</v>
          </cell>
          <cell r="V167" t="str">
            <v>Embedded</v>
          </cell>
          <cell r="W167" t="str">
            <v>Supply Services</v>
          </cell>
          <cell r="AA167" t="str">
            <v>[10601]  Commonwealth Edison CompanyEmbeddedSupply Services</v>
          </cell>
          <cell r="AB167" t="str">
            <v>[10601]  Commonwealth Edison CompanyEmbedded (Supply Services)Salaries and Wages</v>
          </cell>
          <cell r="AC167" t="str">
            <v>[10601]  Commonwealth Edison CompanyEmbedded (Supply Services)Fabrication (08509)</v>
          </cell>
          <cell r="AF167" t="e">
            <v>#N/A</v>
          </cell>
        </row>
        <row r="168">
          <cell r="E168">
            <v>1417</v>
          </cell>
          <cell r="H168">
            <v>9957</v>
          </cell>
          <cell r="I168">
            <v>13088</v>
          </cell>
          <cell r="J168">
            <v>9190</v>
          </cell>
          <cell r="M168">
            <v>36068</v>
          </cell>
          <cell r="N168">
            <v>13088</v>
          </cell>
          <cell r="O168">
            <v>125223</v>
          </cell>
          <cell r="R168">
            <v>14811</v>
          </cell>
          <cell r="S168">
            <v>13088</v>
          </cell>
          <cell r="V168" t="str">
            <v>Embedded</v>
          </cell>
          <cell r="W168" t="str">
            <v>Supply Services</v>
          </cell>
          <cell r="AA168" t="str">
            <v>[10601]  Commonwealth Edison CompanyEmbeddedSupply Services</v>
          </cell>
          <cell r="AB168" t="str">
            <v>[10601]  Commonwealth Edison CompanyEmbedded (Supply Services)Overtime</v>
          </cell>
          <cell r="AC168" t="str">
            <v>[10601]  Commonwealth Edison CompanyEmbedded (Supply Services)Fabrication (08509)</v>
          </cell>
          <cell r="AF168" t="e">
            <v>#N/A</v>
          </cell>
        </row>
        <row r="169">
          <cell r="E169">
            <v>64097</v>
          </cell>
          <cell r="H169">
            <v>10619</v>
          </cell>
          <cell r="I169">
            <v>5199</v>
          </cell>
          <cell r="J169">
            <v>280977</v>
          </cell>
          <cell r="M169">
            <v>16350</v>
          </cell>
          <cell r="N169">
            <v>5199</v>
          </cell>
          <cell r="O169">
            <v>841395</v>
          </cell>
          <cell r="R169">
            <v>78568</v>
          </cell>
          <cell r="S169">
            <v>23409</v>
          </cell>
          <cell r="V169" t="str">
            <v>Embedded</v>
          </cell>
          <cell r="W169" t="str">
            <v>Supply Services</v>
          </cell>
          <cell r="AA169" t="str">
            <v>[10601]  Commonwealth Edison CompanyEmbeddedSupply Services</v>
          </cell>
          <cell r="AB169" t="str">
            <v>[10601]  Commonwealth Edison CompanyEmbedded (Supply Services)Pension and Benefits</v>
          </cell>
          <cell r="AC169" t="str">
            <v>[10601]  Commonwealth Edison CompanyEmbedded (Supply Services)Fabrication (08509)</v>
          </cell>
          <cell r="AF169" t="e">
            <v>#N/A</v>
          </cell>
        </row>
        <row r="170">
          <cell r="E170">
            <v>12712</v>
          </cell>
          <cell r="H170">
            <v>-5021</v>
          </cell>
          <cell r="I170">
            <v>-5026</v>
          </cell>
          <cell r="J170">
            <v>35771</v>
          </cell>
          <cell r="M170">
            <v>-5008</v>
          </cell>
          <cell r="N170">
            <v>-5026</v>
          </cell>
          <cell r="O170">
            <v>107312</v>
          </cell>
          <cell r="R170">
            <v>-15023</v>
          </cell>
          <cell r="S170">
            <v>-15077</v>
          </cell>
          <cell r="V170" t="str">
            <v>Embedded</v>
          </cell>
          <cell r="W170" t="str">
            <v>Supply Services</v>
          </cell>
          <cell r="AA170" t="str">
            <v>[10601]  Commonwealth Edison CompanyEmbeddedSupply Services</v>
          </cell>
          <cell r="AB170" t="str">
            <v>[10601]  Commonwealth Edison CompanyEmbedded (Supply Services)Transportation</v>
          </cell>
          <cell r="AC170" t="str">
            <v>[10601]  Commonwealth Edison CompanyEmbedded (Supply Services)Fabrication (08509)</v>
          </cell>
          <cell r="AF170" t="e">
            <v>#N/A</v>
          </cell>
        </row>
        <row r="171">
          <cell r="E171">
            <v>0</v>
          </cell>
          <cell r="H171">
            <v>0</v>
          </cell>
          <cell r="I171">
            <v>0</v>
          </cell>
          <cell r="J171">
            <v>0</v>
          </cell>
          <cell r="M171">
            <v>0</v>
          </cell>
          <cell r="N171">
            <v>0</v>
          </cell>
          <cell r="R171">
            <v>0</v>
          </cell>
          <cell r="V171" t="str">
            <v>Embedded</v>
          </cell>
          <cell r="W171" t="str">
            <v>Supply Services</v>
          </cell>
          <cell r="AA171" t="str">
            <v>[10601]  Commonwealth Edison CompanyEmbeddedSupply Services</v>
          </cell>
          <cell r="AB171" t="str">
            <v>[10601]  Commonwealth Edison CompanyEmbedded (Supply Services)Travel, Entertainment &amp; Reimb</v>
          </cell>
          <cell r="AC171" t="str">
            <v>[10601]  Commonwealth Edison CompanyEmbedded (Supply Services)Material Availability - ComEd (08515)</v>
          </cell>
          <cell r="AF171" t="e">
            <v>#N/A</v>
          </cell>
        </row>
        <row r="172">
          <cell r="E172">
            <v>0</v>
          </cell>
          <cell r="H172">
            <v>0</v>
          </cell>
          <cell r="I172">
            <v>0</v>
          </cell>
          <cell r="J172">
            <v>0</v>
          </cell>
          <cell r="M172">
            <v>0</v>
          </cell>
          <cell r="N172">
            <v>0</v>
          </cell>
          <cell r="R172">
            <v>0</v>
          </cell>
          <cell r="V172" t="str">
            <v>Embedded</v>
          </cell>
          <cell r="W172" t="str">
            <v>Supply Services</v>
          </cell>
          <cell r="AA172" t="str">
            <v>[10601]  Commonwealth Edison CompanyEmbeddedSupply Services</v>
          </cell>
          <cell r="AB172" t="str">
            <v>[10601]  Commonwealth Edison CompanyEmbedded (Supply Services)Materials and Supplies</v>
          </cell>
          <cell r="AC172" t="str">
            <v>[10601]  Commonwealth Edison CompanyEmbedded (Supply Services)Material Availability - ComEd (08515)</v>
          </cell>
          <cell r="AF172" t="e">
            <v>#N/A</v>
          </cell>
        </row>
        <row r="173">
          <cell r="E173">
            <v>0</v>
          </cell>
          <cell r="H173">
            <v>0</v>
          </cell>
          <cell r="I173">
            <v>0</v>
          </cell>
          <cell r="J173">
            <v>0</v>
          </cell>
          <cell r="M173">
            <v>0</v>
          </cell>
          <cell r="N173">
            <v>0</v>
          </cell>
          <cell r="O173">
            <v>0</v>
          </cell>
          <cell r="R173">
            <v>0</v>
          </cell>
          <cell r="S173">
            <v>0</v>
          </cell>
          <cell r="V173" t="str">
            <v>Embedded</v>
          </cell>
          <cell r="W173" t="str">
            <v>Supply Services</v>
          </cell>
          <cell r="AA173" t="str">
            <v>[10601]  Commonwealth Edison CompanyEmbeddedSupply Services</v>
          </cell>
          <cell r="AB173" t="str">
            <v>[10601]  Commonwealth Edison CompanyEmbedded (Supply Services)Other Operating Expenses</v>
          </cell>
          <cell r="AC173" t="str">
            <v>[10601]  Commonwealth Edison CompanyEmbedded (Supply Services)Material Availability - ComEd (08515)</v>
          </cell>
          <cell r="AF173" t="e">
            <v>#N/A</v>
          </cell>
        </row>
        <row r="174">
          <cell r="E174">
            <v>0</v>
          </cell>
          <cell r="H174">
            <v>0</v>
          </cell>
          <cell r="I174">
            <v>0</v>
          </cell>
          <cell r="J174">
            <v>0</v>
          </cell>
          <cell r="M174">
            <v>0</v>
          </cell>
          <cell r="N174">
            <v>0</v>
          </cell>
          <cell r="R174">
            <v>0</v>
          </cell>
          <cell r="V174" t="str">
            <v>Embedded</v>
          </cell>
          <cell r="W174" t="str">
            <v>Supply Services</v>
          </cell>
          <cell r="AA174" t="str">
            <v>[10601]  Commonwealth Edison CompanyEmbeddedSupply Services</v>
          </cell>
          <cell r="AB174" t="str">
            <v>[10601]  Commonwealth Edison CompanyEmbedded (Supply Services)Other Operating Expenses</v>
          </cell>
          <cell r="AC174" t="str">
            <v>[10601]  Commonwealth Edison CompanyEmbedded (Supply Services)Material Availability - ComEd (08515)</v>
          </cell>
          <cell r="AF174" t="e">
            <v>#N/A</v>
          </cell>
        </row>
        <row r="175">
          <cell r="E175">
            <v>66140</v>
          </cell>
          <cell r="H175">
            <v>-66140</v>
          </cell>
          <cell r="I175">
            <v>-66140</v>
          </cell>
          <cell r="J175">
            <v>239186</v>
          </cell>
          <cell r="M175">
            <v>-239186</v>
          </cell>
          <cell r="N175">
            <v>-66140</v>
          </cell>
          <cell r="O175">
            <v>239186</v>
          </cell>
          <cell r="R175">
            <v>-239186</v>
          </cell>
          <cell r="S175">
            <v>-66140</v>
          </cell>
          <cell r="V175" t="str">
            <v>Corporate Allocated</v>
          </cell>
          <cell r="W175" t="str">
            <v>Executive Services</v>
          </cell>
          <cell r="AA175" t="str">
            <v>[10601]  Commonwealth Edison CompanyCorporate AllocatedExecutive Services</v>
          </cell>
          <cell r="AB175" t="str">
            <v>[10601]  Commonwealth Edison CompanyCorporate Allocated (Executive Services)Business Services</v>
          </cell>
          <cell r="AC175" t="str">
            <v>[10601]  Commonwealth Edison CompanyCorporate Allocated (Executive Services)Srvc Lev Agreements-Operations (08591)</v>
          </cell>
          <cell r="AF175" t="e">
            <v>#N/A</v>
          </cell>
        </row>
        <row r="176">
          <cell r="E176">
            <v>15564</v>
          </cell>
          <cell r="H176">
            <v>-15564</v>
          </cell>
          <cell r="I176">
            <v>-15564</v>
          </cell>
          <cell r="J176">
            <v>98324</v>
          </cell>
          <cell r="M176">
            <v>-98324</v>
          </cell>
          <cell r="N176">
            <v>-15564</v>
          </cell>
          <cell r="O176">
            <v>98324</v>
          </cell>
          <cell r="R176">
            <v>-98324</v>
          </cell>
          <cell r="S176">
            <v>-15564</v>
          </cell>
          <cell r="V176" t="str">
            <v>Corporate Allocated</v>
          </cell>
          <cell r="W176" t="str">
            <v>Executive Services</v>
          </cell>
          <cell r="AA176" t="str">
            <v>[10601]  Commonwealth Edison CompanyCorporate AllocatedExecutive Services</v>
          </cell>
          <cell r="AB176" t="str">
            <v>[10601]  Commonwealth Edison CompanyCorporate Allocated (Executive Services)Business Services</v>
          </cell>
          <cell r="AC176" t="str">
            <v>[10601]  Commonwealth Edison CompanyCorporate Allocated (Executive Services)Srvc Lev Agreements-Cust Serv (08593)</v>
          </cell>
          <cell r="AF176" t="e">
            <v>#N/A</v>
          </cell>
        </row>
        <row r="177">
          <cell r="E177">
            <v>41833</v>
          </cell>
          <cell r="H177">
            <v>3131</v>
          </cell>
          <cell r="I177">
            <v>3131</v>
          </cell>
          <cell r="J177">
            <v>157155</v>
          </cell>
          <cell r="M177">
            <v>21778</v>
          </cell>
          <cell r="N177">
            <v>3131</v>
          </cell>
          <cell r="O177">
            <v>531860</v>
          </cell>
          <cell r="R177">
            <v>21778</v>
          </cell>
          <cell r="S177">
            <v>3131</v>
          </cell>
          <cell r="V177" t="str">
            <v>Embedded</v>
          </cell>
          <cell r="W177" t="str">
            <v>Human Resources</v>
          </cell>
          <cell r="AA177" t="str">
            <v>[10200]  PECO Energy CompanyEmbeddedHuman Resources</v>
          </cell>
          <cell r="AB177" t="str">
            <v>[10200]  PECO Energy CompanyEmbedded (Human Resources)Salaries and Wages</v>
          </cell>
          <cell r="AC177" t="str">
            <v>[10200]  PECO Energy CompanyEmbedded (Human Resources)HR Operations PED (00125)</v>
          </cell>
          <cell r="AF177" t="e">
            <v>#N/A</v>
          </cell>
        </row>
        <row r="178">
          <cell r="E178">
            <v>2339</v>
          </cell>
          <cell r="H178">
            <v>461</v>
          </cell>
          <cell r="I178">
            <v>461</v>
          </cell>
          <cell r="J178">
            <v>5803</v>
          </cell>
          <cell r="M178">
            <v>5397</v>
          </cell>
          <cell r="N178">
            <v>461</v>
          </cell>
          <cell r="O178">
            <v>28203</v>
          </cell>
          <cell r="R178">
            <v>5397</v>
          </cell>
          <cell r="S178">
            <v>461</v>
          </cell>
          <cell r="V178" t="str">
            <v>Embedded</v>
          </cell>
          <cell r="W178" t="str">
            <v>Human Resources</v>
          </cell>
          <cell r="AA178" t="str">
            <v>[10200]  PECO Energy CompanyEmbeddedHuman Resources</v>
          </cell>
          <cell r="AB178" t="str">
            <v>[10200]  PECO Energy CompanyEmbedded (Human Resources)Travel, Entertainment &amp; Reimb</v>
          </cell>
          <cell r="AC178" t="str">
            <v>[10200]  PECO Energy CompanyEmbedded (Human Resources)HR Operations PED (00125)</v>
          </cell>
          <cell r="AF178" t="e">
            <v>#N/A</v>
          </cell>
        </row>
        <row r="179">
          <cell r="E179">
            <v>-5514</v>
          </cell>
          <cell r="H179">
            <v>7230</v>
          </cell>
          <cell r="I179">
            <v>7230</v>
          </cell>
          <cell r="J179">
            <v>1901</v>
          </cell>
          <cell r="M179">
            <v>4965</v>
          </cell>
          <cell r="N179">
            <v>7230</v>
          </cell>
          <cell r="O179">
            <v>15635</v>
          </cell>
          <cell r="R179">
            <v>4965</v>
          </cell>
          <cell r="S179">
            <v>7230</v>
          </cell>
          <cell r="V179" t="str">
            <v>Embedded</v>
          </cell>
          <cell r="W179" t="str">
            <v>Human Resources</v>
          </cell>
          <cell r="AA179" t="str">
            <v>[10200]  PECO Energy CompanyEmbeddedHuman Resources</v>
          </cell>
          <cell r="AB179" t="str">
            <v>[10200]  PECO Energy CompanyEmbedded (Human Resources)Contracting</v>
          </cell>
          <cell r="AC179" t="str">
            <v>[10200]  PECO Energy CompanyEmbedded (Human Resources)HR Operations PED (00125)</v>
          </cell>
          <cell r="AF179" t="e">
            <v>#N/A</v>
          </cell>
        </row>
        <row r="180">
          <cell r="E180">
            <v>5102</v>
          </cell>
          <cell r="H180">
            <v>-3185</v>
          </cell>
          <cell r="I180">
            <v>-3185</v>
          </cell>
          <cell r="J180">
            <v>12670</v>
          </cell>
          <cell r="M180">
            <v>-5003</v>
          </cell>
          <cell r="N180">
            <v>-3185</v>
          </cell>
          <cell r="O180">
            <v>28003</v>
          </cell>
          <cell r="R180">
            <v>-5003</v>
          </cell>
          <cell r="S180">
            <v>-3185</v>
          </cell>
          <cell r="V180" t="str">
            <v>Embedded</v>
          </cell>
          <cell r="W180" t="str">
            <v>Human Resources</v>
          </cell>
          <cell r="AA180" t="str">
            <v>[10200]  PECO Energy CompanyEmbeddedHuman Resources</v>
          </cell>
          <cell r="AB180" t="str">
            <v>[10200]  PECO Energy CompanyEmbedded (Human Resources)Business Services</v>
          </cell>
          <cell r="AC180" t="str">
            <v>[10200]  PECO Energy CompanyEmbedded (Human Resources)HR Operations PED (00125)</v>
          </cell>
          <cell r="AF180" t="e">
            <v>#N/A</v>
          </cell>
        </row>
        <row r="181">
          <cell r="E181">
            <v>0</v>
          </cell>
          <cell r="H181">
            <v>100</v>
          </cell>
          <cell r="I181">
            <v>100</v>
          </cell>
          <cell r="J181">
            <v>0</v>
          </cell>
          <cell r="M181">
            <v>200</v>
          </cell>
          <cell r="N181">
            <v>100</v>
          </cell>
          <cell r="O181">
            <v>400</v>
          </cell>
          <cell r="R181">
            <v>200</v>
          </cell>
          <cell r="S181">
            <v>100</v>
          </cell>
          <cell r="V181" t="str">
            <v>Embedded</v>
          </cell>
          <cell r="W181" t="str">
            <v>Human Resources</v>
          </cell>
          <cell r="AA181" t="str">
            <v>[10200]  PECO Energy CompanyEmbeddedHuman Resources</v>
          </cell>
          <cell r="AB181" t="str">
            <v>[10200]  PECO Energy CompanyEmbedded (Human Resources)Materials and Supplies</v>
          </cell>
          <cell r="AC181" t="str">
            <v>[10200]  PECO Energy CompanyEmbedded (Human Resources)HR Operations PED (00125)</v>
          </cell>
          <cell r="AF181" t="e">
            <v>#N/A</v>
          </cell>
        </row>
        <row r="182">
          <cell r="E182">
            <v>54</v>
          </cell>
          <cell r="H182">
            <v>1046</v>
          </cell>
          <cell r="I182">
            <v>1046</v>
          </cell>
          <cell r="J182">
            <v>1666</v>
          </cell>
          <cell r="M182">
            <v>2734</v>
          </cell>
          <cell r="N182">
            <v>1046</v>
          </cell>
          <cell r="O182">
            <v>55466</v>
          </cell>
          <cell r="R182">
            <v>2734</v>
          </cell>
          <cell r="S182">
            <v>1046</v>
          </cell>
          <cell r="V182" t="str">
            <v>Embedded</v>
          </cell>
          <cell r="W182" t="str">
            <v>Human Resources</v>
          </cell>
          <cell r="AA182" t="str">
            <v>[10200]  PECO Energy CompanyEmbeddedHuman Resources</v>
          </cell>
          <cell r="AB182" t="str">
            <v>[10200]  PECO Energy CompanyEmbedded (Human Resources)Travel, Entertainment &amp; Reimb</v>
          </cell>
          <cell r="AC182" t="str">
            <v>[10200]  PECO Energy CompanyEmbedded (Human Resources)HR Operations PED (00125)</v>
          </cell>
          <cell r="AF182" t="e">
            <v>#N/A</v>
          </cell>
        </row>
        <row r="183">
          <cell r="E183">
            <v>3101</v>
          </cell>
          <cell r="H183">
            <v>-758</v>
          </cell>
          <cell r="I183">
            <v>-758</v>
          </cell>
          <cell r="J183">
            <v>4847</v>
          </cell>
          <cell r="M183">
            <v>4125</v>
          </cell>
          <cell r="N183">
            <v>-758</v>
          </cell>
          <cell r="O183">
            <v>22789</v>
          </cell>
          <cell r="R183">
            <v>4125</v>
          </cell>
          <cell r="S183">
            <v>-758</v>
          </cell>
          <cell r="V183" t="str">
            <v>Embedded</v>
          </cell>
          <cell r="W183" t="str">
            <v>Human Resources</v>
          </cell>
          <cell r="AA183" t="str">
            <v>[10200]  PECO Energy CompanyEmbeddedHuman Resources</v>
          </cell>
          <cell r="AB183" t="str">
            <v>[10200]  PECO Energy CompanyEmbedded (Human Resources)Other Operating Expenses</v>
          </cell>
          <cell r="AC183" t="str">
            <v>[10200]  PECO Energy CompanyEmbedded (Human Resources)HR Operations PED (00125)</v>
          </cell>
          <cell r="AF183" t="e">
            <v>#N/A</v>
          </cell>
        </row>
        <row r="184">
          <cell r="E184">
            <v>0</v>
          </cell>
          <cell r="H184">
            <v>0</v>
          </cell>
          <cell r="I184">
            <v>0</v>
          </cell>
          <cell r="J184">
            <v>370</v>
          </cell>
          <cell r="M184">
            <v>-370</v>
          </cell>
          <cell r="N184">
            <v>0</v>
          </cell>
          <cell r="O184">
            <v>370</v>
          </cell>
          <cell r="R184">
            <v>-370</v>
          </cell>
          <cell r="S184">
            <v>0</v>
          </cell>
          <cell r="V184" t="str">
            <v>Embedded</v>
          </cell>
          <cell r="W184" t="str">
            <v>Human Resources</v>
          </cell>
          <cell r="AA184" t="str">
            <v>[10200]  PECO Energy CompanyEmbeddedHuman Resources</v>
          </cell>
          <cell r="AB184" t="str">
            <v>[10200]  PECO Energy CompanyEmbedded (Human Resources)Travel, Entertainment &amp; Reimb</v>
          </cell>
          <cell r="AC184" t="str">
            <v>[10200]  PECO Energy CompanyEmbedded (Human Resources)HR Operations PED (00125)</v>
          </cell>
          <cell r="AF184" t="e">
            <v>#N/A</v>
          </cell>
        </row>
        <row r="185">
          <cell r="E185">
            <v>1568</v>
          </cell>
          <cell r="H185">
            <v>-968</v>
          </cell>
          <cell r="I185">
            <v>-968</v>
          </cell>
          <cell r="J185">
            <v>5687</v>
          </cell>
          <cell r="M185">
            <v>-3287</v>
          </cell>
          <cell r="N185">
            <v>-968</v>
          </cell>
          <cell r="O185">
            <v>10487</v>
          </cell>
          <cell r="R185">
            <v>-3287</v>
          </cell>
          <cell r="S185">
            <v>-968</v>
          </cell>
          <cell r="V185" t="str">
            <v>Embedded</v>
          </cell>
          <cell r="W185" t="str">
            <v>Human Resources</v>
          </cell>
          <cell r="AA185" t="str">
            <v>[10200]  PECO Energy CompanyEmbeddedHuman Resources</v>
          </cell>
          <cell r="AB185" t="str">
            <v>[10200]  PECO Energy CompanyEmbedded (Human Resources)Other Operating Expenses</v>
          </cell>
          <cell r="AC185" t="str">
            <v>[10200]  PECO Energy CompanyEmbedded (Human Resources)HR Operations PED (00125)</v>
          </cell>
          <cell r="AF185" t="e">
            <v>#N/A</v>
          </cell>
        </row>
        <row r="186">
          <cell r="E186">
            <v>0</v>
          </cell>
          <cell r="H186">
            <v>417</v>
          </cell>
          <cell r="I186">
            <v>417</v>
          </cell>
          <cell r="J186">
            <v>410</v>
          </cell>
          <cell r="M186">
            <v>2057</v>
          </cell>
          <cell r="N186">
            <v>417</v>
          </cell>
          <cell r="O186">
            <v>3744</v>
          </cell>
          <cell r="R186">
            <v>4457</v>
          </cell>
          <cell r="S186">
            <v>417</v>
          </cell>
          <cell r="V186" t="str">
            <v>Embedded</v>
          </cell>
          <cell r="W186" t="str">
            <v>Human Resources</v>
          </cell>
          <cell r="AA186" t="str">
            <v>[10200]  PECO Energy CompanyEmbeddedHuman Resources</v>
          </cell>
          <cell r="AB186" t="str">
            <v>[10200]  PECO Energy CompanyEmbedded (Human Resources)Other Operating Expenses</v>
          </cell>
          <cell r="AC186" t="str">
            <v>[10200]  PECO Energy CompanyEmbedded (Human Resources)HR Operations PED (00125)</v>
          </cell>
          <cell r="AF186" t="e">
            <v>#N/A</v>
          </cell>
        </row>
        <row r="187">
          <cell r="E187">
            <v>0</v>
          </cell>
          <cell r="H187">
            <v>-1225</v>
          </cell>
          <cell r="I187">
            <v>-1225</v>
          </cell>
          <cell r="J187">
            <v>0</v>
          </cell>
          <cell r="M187">
            <v>-4900</v>
          </cell>
          <cell r="N187">
            <v>-1225</v>
          </cell>
          <cell r="O187">
            <v>-9800</v>
          </cell>
          <cell r="R187">
            <v>-4900</v>
          </cell>
          <cell r="S187">
            <v>-1225</v>
          </cell>
          <cell r="V187" t="str">
            <v>Embedded</v>
          </cell>
          <cell r="W187" t="str">
            <v>Human Resources</v>
          </cell>
          <cell r="AA187" t="str">
            <v>[10200]  PECO Energy CompanyEmbeddedHuman Resources</v>
          </cell>
          <cell r="AB187" t="str">
            <v>[10200]  PECO Energy CompanyEmbedded (Human Resources)Salaries and Wages</v>
          </cell>
          <cell r="AC187" t="str">
            <v>[10200]  PECO Energy CompanyEmbedded (Human Resources)HR Operations PED (00125)</v>
          </cell>
          <cell r="AF187" t="e">
            <v>#N/A</v>
          </cell>
        </row>
        <row r="188">
          <cell r="E188">
            <v>0</v>
          </cell>
          <cell r="H188">
            <v>833</v>
          </cell>
          <cell r="I188">
            <v>833</v>
          </cell>
          <cell r="J188">
            <v>0</v>
          </cell>
          <cell r="M188">
            <v>3333</v>
          </cell>
          <cell r="N188">
            <v>833</v>
          </cell>
          <cell r="O188">
            <v>6667</v>
          </cell>
          <cell r="R188">
            <v>3333</v>
          </cell>
          <cell r="S188">
            <v>833</v>
          </cell>
          <cell r="V188" t="str">
            <v>Embedded</v>
          </cell>
          <cell r="W188" t="str">
            <v>Human Resources</v>
          </cell>
          <cell r="AA188" t="str">
            <v>[10200]  PECO Energy CompanyEmbeddedHuman Resources</v>
          </cell>
          <cell r="AB188" t="str">
            <v>[10200]  PECO Energy CompanyEmbedded (Human Resources)Overtime</v>
          </cell>
          <cell r="AC188" t="str">
            <v>[10200]  PECO Energy CompanyEmbedded (Human Resources)HR Operations PED (00125)</v>
          </cell>
          <cell r="AF188" t="e">
            <v>#N/A</v>
          </cell>
        </row>
        <row r="189">
          <cell r="E189">
            <v>24925</v>
          </cell>
          <cell r="H189">
            <v>4412</v>
          </cell>
          <cell r="I189">
            <v>4412</v>
          </cell>
          <cell r="J189">
            <v>90316</v>
          </cell>
          <cell r="M189">
            <v>26431</v>
          </cell>
          <cell r="N189">
            <v>4412</v>
          </cell>
          <cell r="O189">
            <v>334796</v>
          </cell>
          <cell r="R189">
            <v>26431</v>
          </cell>
          <cell r="S189">
            <v>4412</v>
          </cell>
          <cell r="V189" t="str">
            <v>Embedded</v>
          </cell>
          <cell r="W189" t="str">
            <v>Human Resources</v>
          </cell>
          <cell r="AA189" t="str">
            <v>[10200]  PECO Energy CompanyEmbeddedHuman Resources</v>
          </cell>
          <cell r="AB189" t="str">
            <v>[10200]  PECO Energy CompanyEmbedded (Human Resources)Pension and Benefits</v>
          </cell>
          <cell r="AC189" t="str">
            <v>[10200]  PECO Energy CompanyEmbedded (Human Resources)HR Operations PED (00125)</v>
          </cell>
          <cell r="AF189" t="e">
            <v>#N/A</v>
          </cell>
        </row>
        <row r="190">
          <cell r="E190">
            <v>570602</v>
          </cell>
          <cell r="H190">
            <v>-73964</v>
          </cell>
          <cell r="I190">
            <v>-3923</v>
          </cell>
          <cell r="J190">
            <v>2195748</v>
          </cell>
          <cell r="M190">
            <v>-233099</v>
          </cell>
          <cell r="N190">
            <v>-3923</v>
          </cell>
          <cell r="O190">
            <v>6108150</v>
          </cell>
          <cell r="R190">
            <v>21997</v>
          </cell>
          <cell r="S190">
            <v>75729</v>
          </cell>
          <cell r="V190" t="str">
            <v>Corporate Allocated</v>
          </cell>
          <cell r="W190" t="str">
            <v>Human Resources</v>
          </cell>
          <cell r="AA190" t="str">
            <v>[10200]  PECO Energy CompanyCorporate AllocatedHuman Resources</v>
          </cell>
          <cell r="AB190" t="str">
            <v>[10200]  PECO Energy CompanyCorporate Allocated (Human Resources)Business Services</v>
          </cell>
          <cell r="AC190" t="str">
            <v>[10200]  PECO Energy CompanyCorporate Allocated (Human Resources)EBSC HR Ops PED (00183)</v>
          </cell>
          <cell r="AF190" t="e">
            <v>#N/A</v>
          </cell>
        </row>
        <row r="191">
          <cell r="E191">
            <v>41370</v>
          </cell>
          <cell r="H191">
            <v>1225</v>
          </cell>
          <cell r="I191">
            <v>1225</v>
          </cell>
          <cell r="J191">
            <v>163595</v>
          </cell>
          <cell r="M191">
            <v>5905</v>
          </cell>
          <cell r="N191">
            <v>1225</v>
          </cell>
          <cell r="O191">
            <v>518548</v>
          </cell>
          <cell r="R191">
            <v>5905</v>
          </cell>
          <cell r="S191">
            <v>1225</v>
          </cell>
          <cell r="V191" t="str">
            <v>Embedded</v>
          </cell>
          <cell r="W191" t="str">
            <v>Communications</v>
          </cell>
          <cell r="AA191" t="str">
            <v>[10200]  PECO Energy CompanyEmbeddedCommunications</v>
          </cell>
          <cell r="AB191" t="str">
            <v>[10200]  PECO Energy CompanyEmbedded (Communications)Salaries and Wages</v>
          </cell>
          <cell r="AC191" t="str">
            <v>[10200]  PECO Energy CompanyEmbedded (Communications)Communications - PECO (00190)</v>
          </cell>
          <cell r="AF191" t="e">
            <v>#N/A</v>
          </cell>
        </row>
        <row r="192">
          <cell r="E192">
            <v>1215</v>
          </cell>
          <cell r="H192">
            <v>3785</v>
          </cell>
          <cell r="I192">
            <v>3931</v>
          </cell>
          <cell r="J192">
            <v>2527</v>
          </cell>
          <cell r="M192">
            <v>3973</v>
          </cell>
          <cell r="N192">
            <v>3931</v>
          </cell>
          <cell r="O192">
            <v>13693</v>
          </cell>
          <cell r="R192">
            <v>2807</v>
          </cell>
          <cell r="S192">
            <v>3931</v>
          </cell>
          <cell r="V192" t="str">
            <v>Embedded</v>
          </cell>
          <cell r="W192" t="str">
            <v>Communications</v>
          </cell>
          <cell r="AA192" t="str">
            <v>[10200]  PECO Energy CompanyEmbeddedCommunications</v>
          </cell>
          <cell r="AB192" t="str">
            <v>[10200]  PECO Energy CompanyEmbedded (Communications)Travel, Entertainment &amp; Reimb</v>
          </cell>
          <cell r="AC192" t="str">
            <v>[10200]  PECO Energy CompanyEmbedded (Communications)Communications - PECO (00190)</v>
          </cell>
          <cell r="AF192" t="e">
            <v>#N/A</v>
          </cell>
        </row>
        <row r="193">
          <cell r="E193">
            <v>5800</v>
          </cell>
          <cell r="H193">
            <v>6533</v>
          </cell>
          <cell r="I193">
            <v>-1993</v>
          </cell>
          <cell r="J193">
            <v>18420</v>
          </cell>
          <cell r="M193">
            <v>36414</v>
          </cell>
          <cell r="N193">
            <v>-1993</v>
          </cell>
          <cell r="O193">
            <v>102631</v>
          </cell>
          <cell r="R193">
            <v>65869</v>
          </cell>
          <cell r="S193">
            <v>-1993</v>
          </cell>
          <cell r="V193" t="str">
            <v>Embedded</v>
          </cell>
          <cell r="W193" t="str">
            <v>Communications</v>
          </cell>
          <cell r="AA193" t="str">
            <v>[10200]  PECO Energy CompanyEmbeddedCommunications</v>
          </cell>
          <cell r="AB193" t="str">
            <v>[10200]  PECO Energy CompanyEmbedded (Communications)Contracting</v>
          </cell>
          <cell r="AC193" t="str">
            <v>[10200]  PECO Energy CompanyEmbedded (Communications)Communications - PECO (00190)</v>
          </cell>
          <cell r="AF193" t="e">
            <v>#N/A</v>
          </cell>
        </row>
        <row r="194">
          <cell r="E194">
            <v>1631</v>
          </cell>
          <cell r="H194">
            <v>-1631</v>
          </cell>
          <cell r="I194">
            <v>-1631</v>
          </cell>
          <cell r="J194">
            <v>6155</v>
          </cell>
          <cell r="M194">
            <v>-6155</v>
          </cell>
          <cell r="N194">
            <v>-1631</v>
          </cell>
          <cell r="O194">
            <v>6155</v>
          </cell>
          <cell r="R194">
            <v>-6155</v>
          </cell>
          <cell r="S194">
            <v>-1631</v>
          </cell>
          <cell r="V194" t="str">
            <v>Embedded</v>
          </cell>
          <cell r="W194" t="str">
            <v>Communications</v>
          </cell>
          <cell r="AA194" t="str">
            <v>[10200]  PECO Energy CompanyEmbeddedCommunications</v>
          </cell>
          <cell r="AB194" t="str">
            <v>[10200]  PECO Energy CompanyEmbedded (Communications)Business Services</v>
          </cell>
          <cell r="AC194" t="str">
            <v>[10200]  PECO Energy CompanyEmbedded (Communications)Communications - PECO (00190)</v>
          </cell>
          <cell r="AF194" t="e">
            <v>#N/A</v>
          </cell>
        </row>
        <row r="195">
          <cell r="E195">
            <v>673</v>
          </cell>
          <cell r="H195">
            <v>-473</v>
          </cell>
          <cell r="I195">
            <v>-317</v>
          </cell>
          <cell r="J195">
            <v>2341</v>
          </cell>
          <cell r="M195">
            <v>-1141</v>
          </cell>
          <cell r="N195">
            <v>-317</v>
          </cell>
          <cell r="O195">
            <v>5185</v>
          </cell>
          <cell r="R195">
            <v>-1935</v>
          </cell>
          <cell r="S195">
            <v>-317</v>
          </cell>
          <cell r="V195" t="str">
            <v>Embedded</v>
          </cell>
          <cell r="W195" t="str">
            <v>Communications</v>
          </cell>
          <cell r="AA195" t="str">
            <v>[10200]  PECO Energy CompanyEmbeddedCommunications</v>
          </cell>
          <cell r="AB195" t="str">
            <v>[10200]  PECO Energy CompanyEmbedded (Communications)Travel, Entertainment &amp; Reimb</v>
          </cell>
          <cell r="AC195" t="str">
            <v>[10200]  PECO Energy CompanyEmbedded (Communications)Communications - PECO (00190)</v>
          </cell>
          <cell r="AF195" t="e">
            <v>#N/A</v>
          </cell>
        </row>
        <row r="196">
          <cell r="E196">
            <v>2702</v>
          </cell>
          <cell r="H196">
            <v>-2552</v>
          </cell>
          <cell r="I196">
            <v>-2212</v>
          </cell>
          <cell r="J196">
            <v>10186</v>
          </cell>
          <cell r="M196">
            <v>-9786</v>
          </cell>
          <cell r="N196">
            <v>-2212</v>
          </cell>
          <cell r="O196">
            <v>14105</v>
          </cell>
          <cell r="R196">
            <v>-13405</v>
          </cell>
          <cell r="S196">
            <v>-2212</v>
          </cell>
          <cell r="V196" t="str">
            <v>Embedded</v>
          </cell>
          <cell r="W196" t="str">
            <v>Communications</v>
          </cell>
          <cell r="AA196" t="str">
            <v>[10200]  PECO Energy CompanyEmbeddedCommunications</v>
          </cell>
          <cell r="AB196" t="str">
            <v>[10200]  PECO Energy CompanyEmbedded (Communications)Other Operating Expenses</v>
          </cell>
          <cell r="AC196" t="str">
            <v>[10200]  PECO Energy CompanyEmbedded (Communications)Communications - PECO (00190)</v>
          </cell>
          <cell r="AF196" t="e">
            <v>#N/A</v>
          </cell>
        </row>
        <row r="197">
          <cell r="E197">
            <v>72</v>
          </cell>
          <cell r="H197">
            <v>-72</v>
          </cell>
          <cell r="I197">
            <v>-72</v>
          </cell>
          <cell r="J197">
            <v>352</v>
          </cell>
          <cell r="M197">
            <v>-352</v>
          </cell>
          <cell r="N197">
            <v>-72</v>
          </cell>
          <cell r="O197">
            <v>352</v>
          </cell>
          <cell r="R197">
            <v>-352</v>
          </cell>
          <cell r="S197">
            <v>-72</v>
          </cell>
          <cell r="V197" t="str">
            <v>Embedded</v>
          </cell>
          <cell r="W197" t="str">
            <v>Communications</v>
          </cell>
          <cell r="AA197" t="str">
            <v>[10200]  PECO Energy CompanyEmbeddedCommunications</v>
          </cell>
          <cell r="AB197" t="str">
            <v>[10200]  PECO Energy CompanyEmbedded (Communications)Travel, Entertainment &amp; Reimb</v>
          </cell>
          <cell r="AC197" t="str">
            <v>[10200]  PECO Energy CompanyEmbedded (Communications)Communications - PECO (00190)</v>
          </cell>
          <cell r="AF197" t="e">
            <v>#N/A</v>
          </cell>
        </row>
        <row r="198">
          <cell r="E198">
            <v>340</v>
          </cell>
          <cell r="H198">
            <v>2910</v>
          </cell>
          <cell r="I198">
            <v>1243</v>
          </cell>
          <cell r="J198">
            <v>1662</v>
          </cell>
          <cell r="M198">
            <v>11338</v>
          </cell>
          <cell r="N198">
            <v>1243</v>
          </cell>
          <cell r="O198">
            <v>14329</v>
          </cell>
          <cell r="R198">
            <v>24672</v>
          </cell>
          <cell r="S198">
            <v>1243</v>
          </cell>
          <cell r="V198" t="str">
            <v>Embedded</v>
          </cell>
          <cell r="W198" t="str">
            <v>Communications</v>
          </cell>
          <cell r="AA198" t="str">
            <v>[10200]  PECO Energy CompanyEmbeddedCommunications</v>
          </cell>
          <cell r="AB198" t="str">
            <v>[10200]  PECO Energy CompanyEmbedded (Communications)Other Operating Expenses</v>
          </cell>
          <cell r="AC198" t="str">
            <v>[10200]  PECO Energy CompanyEmbedded (Communications)Communications - PECO (00190)</v>
          </cell>
          <cell r="AF198" t="e">
            <v>#N/A</v>
          </cell>
        </row>
        <row r="199">
          <cell r="E199">
            <v>5534</v>
          </cell>
          <cell r="H199">
            <v>-4034</v>
          </cell>
          <cell r="I199">
            <v>-2272</v>
          </cell>
          <cell r="J199">
            <v>14744</v>
          </cell>
          <cell r="M199">
            <v>3256</v>
          </cell>
          <cell r="N199">
            <v>-2272</v>
          </cell>
          <cell r="O199">
            <v>40842</v>
          </cell>
          <cell r="R199">
            <v>-3342</v>
          </cell>
          <cell r="S199">
            <v>-2272</v>
          </cell>
          <cell r="V199" t="str">
            <v>Embedded</v>
          </cell>
          <cell r="W199" t="str">
            <v>Communications</v>
          </cell>
          <cell r="AA199" t="str">
            <v>[10200]  PECO Energy CompanyEmbeddedCommunications</v>
          </cell>
          <cell r="AB199" t="str">
            <v>[10200]  PECO Energy CompanyEmbedded (Communications)Other Operating Expenses</v>
          </cell>
          <cell r="AC199" t="str">
            <v>[10200]  PECO Energy CompanyEmbedded (Communications)Communications - PECO (00190)</v>
          </cell>
          <cell r="AF199" t="e">
            <v>#N/A</v>
          </cell>
        </row>
        <row r="200">
          <cell r="E200">
            <v>0</v>
          </cell>
          <cell r="H200">
            <v>0</v>
          </cell>
          <cell r="I200">
            <v>0</v>
          </cell>
          <cell r="J200">
            <v>38</v>
          </cell>
          <cell r="M200">
            <v>-38</v>
          </cell>
          <cell r="N200">
            <v>0</v>
          </cell>
          <cell r="O200">
            <v>38</v>
          </cell>
          <cell r="R200">
            <v>-38</v>
          </cell>
          <cell r="S200">
            <v>0</v>
          </cell>
          <cell r="V200" t="str">
            <v>Embedded</v>
          </cell>
          <cell r="W200" t="str">
            <v>Communications</v>
          </cell>
          <cell r="AA200" t="str">
            <v>[10200]  PECO Energy CompanyEmbeddedCommunications</v>
          </cell>
          <cell r="AB200" t="str">
            <v>[10200]  PECO Energy CompanyEmbedded (Communications)Overtime</v>
          </cell>
          <cell r="AC200" t="str">
            <v>[10200]  PECO Energy CompanyEmbedded (Communications)Communications - PECO (00190)</v>
          </cell>
          <cell r="AF200" t="e">
            <v>#N/A</v>
          </cell>
        </row>
        <row r="201">
          <cell r="E201">
            <v>24467</v>
          </cell>
          <cell r="H201">
            <v>3324</v>
          </cell>
          <cell r="I201">
            <v>3324</v>
          </cell>
          <cell r="J201">
            <v>91988</v>
          </cell>
          <cell r="M201">
            <v>18604</v>
          </cell>
          <cell r="N201">
            <v>3324</v>
          </cell>
          <cell r="O201">
            <v>323580</v>
          </cell>
          <cell r="R201">
            <v>18604</v>
          </cell>
          <cell r="S201">
            <v>3324</v>
          </cell>
          <cell r="V201" t="str">
            <v>Embedded</v>
          </cell>
          <cell r="W201" t="str">
            <v>Communications</v>
          </cell>
          <cell r="AA201" t="str">
            <v>[10200]  PECO Energy CompanyEmbeddedCommunications</v>
          </cell>
          <cell r="AB201" t="str">
            <v>[10200]  PECO Energy CompanyEmbedded (Communications)Pension and Benefits</v>
          </cell>
          <cell r="AC201" t="str">
            <v>[10200]  PECO Energy CompanyEmbedded (Communications)Communications - PECO (00190)</v>
          </cell>
          <cell r="AF201" t="e">
            <v>#N/A</v>
          </cell>
        </row>
        <row r="202">
          <cell r="E202">
            <v>242070</v>
          </cell>
          <cell r="H202">
            <v>48119</v>
          </cell>
          <cell r="I202">
            <v>38917</v>
          </cell>
          <cell r="J202">
            <v>836474</v>
          </cell>
          <cell r="M202">
            <v>319722</v>
          </cell>
          <cell r="N202">
            <v>38917</v>
          </cell>
          <cell r="O202">
            <v>2694985</v>
          </cell>
          <cell r="R202">
            <v>865265</v>
          </cell>
          <cell r="S202">
            <v>521521</v>
          </cell>
          <cell r="V202" t="str">
            <v>Embedded</v>
          </cell>
          <cell r="W202" t="str">
            <v>Finance</v>
          </cell>
          <cell r="AA202" t="str">
            <v>[10200]  PECO Energy CompanyEmbeddedFinance</v>
          </cell>
          <cell r="AB202" t="str">
            <v>[10200]  PECO Energy CompanyEmbedded (Finance)EDSS</v>
          </cell>
          <cell r="AC202" t="str">
            <v>[10200]  PECO Energy CompanyEmbedded (Finance)EDSS Business Ops PED (00198)</v>
          </cell>
          <cell r="AF202" t="str">
            <v>EEDFinanceEDSS</v>
          </cell>
        </row>
        <row r="203">
          <cell r="E203">
            <v>88248</v>
          </cell>
          <cell r="H203">
            <v>8754</v>
          </cell>
          <cell r="I203">
            <v>12462</v>
          </cell>
          <cell r="J203">
            <v>395559</v>
          </cell>
          <cell r="M203">
            <v>-22630</v>
          </cell>
          <cell r="N203">
            <v>12462</v>
          </cell>
          <cell r="O203">
            <v>1149533</v>
          </cell>
          <cell r="R203">
            <v>-39814</v>
          </cell>
          <cell r="S203">
            <v>8963</v>
          </cell>
          <cell r="V203" t="str">
            <v>Embedded</v>
          </cell>
          <cell r="W203" t="str">
            <v>IT</v>
          </cell>
          <cell r="AA203" t="str">
            <v>[10200]  PECO Energy CompanyEmbeddedIT</v>
          </cell>
          <cell r="AB203" t="str">
            <v>[10200]  PECO Energy CompanyEmbedded (IT)Salaries and Wages</v>
          </cell>
          <cell r="AC203" t="str">
            <v>[10200]  PECO Energy CompanyEmbedded (IT)IT Cust Serv Regulatory -PED (00315)</v>
          </cell>
          <cell r="AF203" t="e">
            <v>#N/A</v>
          </cell>
        </row>
        <row r="204">
          <cell r="E204">
            <v>0</v>
          </cell>
          <cell r="H204">
            <v>1200</v>
          </cell>
          <cell r="I204">
            <v>1200</v>
          </cell>
          <cell r="J204">
            <v>746</v>
          </cell>
          <cell r="M204">
            <v>454</v>
          </cell>
          <cell r="N204">
            <v>1200</v>
          </cell>
          <cell r="O204">
            <v>11546</v>
          </cell>
          <cell r="R204">
            <v>454</v>
          </cell>
          <cell r="S204">
            <v>1200</v>
          </cell>
          <cell r="V204" t="str">
            <v>Embedded</v>
          </cell>
          <cell r="W204" t="str">
            <v>IT</v>
          </cell>
          <cell r="AA204" t="str">
            <v>[10200]  PECO Energy CompanyEmbeddedIT</v>
          </cell>
          <cell r="AB204" t="str">
            <v>[10200]  PECO Energy CompanyEmbedded (IT)Travel, Entertainment &amp; Reimb</v>
          </cell>
          <cell r="AC204" t="str">
            <v>[10200]  PECO Energy CompanyEmbedded (IT)IT Cust Serv Regulatory -PED (00315)</v>
          </cell>
          <cell r="AF204" t="e">
            <v>#N/A</v>
          </cell>
        </row>
        <row r="205">
          <cell r="E205">
            <v>57312</v>
          </cell>
          <cell r="H205">
            <v>36566</v>
          </cell>
          <cell r="I205">
            <v>65417</v>
          </cell>
          <cell r="J205">
            <v>502451</v>
          </cell>
          <cell r="M205">
            <v>-131292</v>
          </cell>
          <cell r="N205">
            <v>65417</v>
          </cell>
          <cell r="O205">
            <v>1410151</v>
          </cell>
          <cell r="R205">
            <v>-460493</v>
          </cell>
          <cell r="S205">
            <v>-54393</v>
          </cell>
          <cell r="V205" t="str">
            <v>Embedded</v>
          </cell>
          <cell r="W205" t="str">
            <v>IT</v>
          </cell>
          <cell r="AA205" t="str">
            <v>[10200]  PECO Energy CompanyEmbeddedIT</v>
          </cell>
          <cell r="AB205" t="str">
            <v>[10200]  PECO Energy CompanyEmbedded (IT)Contracting</v>
          </cell>
          <cell r="AC205" t="str">
            <v>[10200]  PECO Energy CompanyEmbedded (IT)IT Cust Serv Regulatory -PED (00315)</v>
          </cell>
          <cell r="AF205" t="e">
            <v>#N/A</v>
          </cell>
        </row>
        <row r="206">
          <cell r="E206">
            <v>53820</v>
          </cell>
          <cell r="H206">
            <v>-50016</v>
          </cell>
          <cell r="I206">
            <v>-49870</v>
          </cell>
          <cell r="J206">
            <v>-48982</v>
          </cell>
          <cell r="M206">
            <v>63606</v>
          </cell>
          <cell r="N206">
            <v>-49870</v>
          </cell>
          <cell r="O206">
            <v>-19414</v>
          </cell>
          <cell r="R206">
            <v>62933</v>
          </cell>
          <cell r="S206">
            <v>-50007</v>
          </cell>
          <cell r="V206" t="str">
            <v>Embedded</v>
          </cell>
          <cell r="W206" t="str">
            <v>IT</v>
          </cell>
          <cell r="AA206" t="str">
            <v>[10200]  PECO Energy CompanyEmbeddedIT</v>
          </cell>
          <cell r="AB206" t="str">
            <v>[10200]  PECO Energy CompanyEmbedded (IT)Business Services</v>
          </cell>
          <cell r="AC206" t="str">
            <v>[10200]  PECO Energy CompanyEmbedded (IT)IT Cust Serv Regulatory -PED (00315)</v>
          </cell>
          <cell r="AF206" t="e">
            <v>#N/A</v>
          </cell>
        </row>
        <row r="207">
          <cell r="E207">
            <v>0</v>
          </cell>
          <cell r="H207">
            <v>0</v>
          </cell>
          <cell r="I207">
            <v>0</v>
          </cell>
          <cell r="J207">
            <v>100</v>
          </cell>
          <cell r="M207">
            <v>-100</v>
          </cell>
          <cell r="N207">
            <v>0</v>
          </cell>
          <cell r="O207">
            <v>100</v>
          </cell>
          <cell r="R207">
            <v>-100</v>
          </cell>
          <cell r="S207">
            <v>0</v>
          </cell>
          <cell r="V207" t="str">
            <v>Embedded</v>
          </cell>
          <cell r="W207" t="str">
            <v>IT</v>
          </cell>
          <cell r="AA207" t="str">
            <v>[10200]  PECO Energy CompanyEmbeddedIT</v>
          </cell>
          <cell r="AB207" t="str">
            <v>[10200]  PECO Energy CompanyEmbedded (IT)Travel, Entertainment &amp; Reimb</v>
          </cell>
          <cell r="AC207" t="str">
            <v>[10200]  PECO Energy CompanyEmbedded (IT)IT Cust Serv Regulatory -PED (00315)</v>
          </cell>
          <cell r="AF207" t="e">
            <v>#N/A</v>
          </cell>
        </row>
        <row r="208">
          <cell r="E208">
            <v>106</v>
          </cell>
          <cell r="H208">
            <v>-106</v>
          </cell>
          <cell r="I208">
            <v>-106</v>
          </cell>
          <cell r="J208">
            <v>106</v>
          </cell>
          <cell r="M208">
            <v>-106</v>
          </cell>
          <cell r="N208">
            <v>-106</v>
          </cell>
          <cell r="O208">
            <v>106</v>
          </cell>
          <cell r="R208">
            <v>-106</v>
          </cell>
          <cell r="S208">
            <v>-106</v>
          </cell>
          <cell r="V208" t="str">
            <v>Embedded</v>
          </cell>
          <cell r="W208" t="str">
            <v>IT</v>
          </cell>
          <cell r="AA208" t="str">
            <v>[10200]  PECO Energy CompanyEmbeddedIT</v>
          </cell>
          <cell r="AB208" t="str">
            <v>[10200]  PECO Energy CompanyEmbedded (IT)Other Operating Expenses</v>
          </cell>
          <cell r="AC208" t="str">
            <v>[10200]  PECO Energy CompanyEmbedded (IT)IT Cust Serv Regulatory -PED (00315)</v>
          </cell>
          <cell r="AF208" t="e">
            <v>#N/A</v>
          </cell>
        </row>
        <row r="209">
          <cell r="E209">
            <v>2400</v>
          </cell>
          <cell r="H209">
            <v>-2400</v>
          </cell>
          <cell r="I209">
            <v>-2400</v>
          </cell>
          <cell r="J209">
            <v>11553</v>
          </cell>
          <cell r="M209">
            <v>-11553</v>
          </cell>
          <cell r="N209">
            <v>-2400</v>
          </cell>
          <cell r="O209">
            <v>11553</v>
          </cell>
          <cell r="R209">
            <v>-11553</v>
          </cell>
          <cell r="S209">
            <v>-2400</v>
          </cell>
          <cell r="V209" t="str">
            <v>Embedded</v>
          </cell>
          <cell r="W209" t="str">
            <v>IT</v>
          </cell>
          <cell r="AA209" t="str">
            <v>[10200]  PECO Energy CompanyEmbeddedIT</v>
          </cell>
          <cell r="AB209" t="str">
            <v>[10200]  PECO Energy CompanyEmbedded (IT)Travel, Entertainment &amp; Reimb</v>
          </cell>
          <cell r="AC209" t="str">
            <v>[10200]  PECO Energy CompanyEmbedded (IT)IT Cust Serv Regulatory -PED (00315)</v>
          </cell>
          <cell r="AF209" t="e">
            <v>#N/A</v>
          </cell>
        </row>
        <row r="210">
          <cell r="E210">
            <v>109201</v>
          </cell>
          <cell r="H210">
            <v>33677</v>
          </cell>
          <cell r="I210">
            <v>86310</v>
          </cell>
          <cell r="J210">
            <v>309878</v>
          </cell>
          <cell r="M210">
            <v>-158751</v>
          </cell>
          <cell r="N210">
            <v>86310</v>
          </cell>
          <cell r="O210">
            <v>1240955</v>
          </cell>
          <cell r="R210">
            <v>366985</v>
          </cell>
          <cell r="S210">
            <v>672990</v>
          </cell>
          <cell r="V210" t="str">
            <v>Embedded</v>
          </cell>
          <cell r="W210" t="str">
            <v>IT</v>
          </cell>
          <cell r="AA210" t="str">
            <v>[10200]  PECO Energy CompanyEmbeddedIT</v>
          </cell>
          <cell r="AB210" t="str">
            <v>[10200]  PECO Energy CompanyEmbedded (IT)Other Operating Expenses</v>
          </cell>
          <cell r="AC210" t="str">
            <v>[10200]  PECO Energy CompanyEmbedded (IT)IT Cust Serv Regulatory -PED (00315)</v>
          </cell>
          <cell r="AF210" t="e">
            <v>#N/A</v>
          </cell>
        </row>
        <row r="211">
          <cell r="E211">
            <v>0</v>
          </cell>
          <cell r="H211">
            <v>7200</v>
          </cell>
          <cell r="I211">
            <v>7200</v>
          </cell>
          <cell r="J211">
            <v>0</v>
          </cell>
          <cell r="M211">
            <v>31200</v>
          </cell>
          <cell r="N211">
            <v>7200</v>
          </cell>
          <cell r="O211">
            <v>43200</v>
          </cell>
          <cell r="R211">
            <v>31200</v>
          </cell>
          <cell r="S211">
            <v>7200</v>
          </cell>
          <cell r="V211" t="str">
            <v>Embedded</v>
          </cell>
          <cell r="W211" t="str">
            <v>IT</v>
          </cell>
          <cell r="AA211" t="str">
            <v>[10200]  PECO Energy CompanyEmbeddedIT</v>
          </cell>
          <cell r="AB211" t="str">
            <v>[10200]  PECO Energy CompanyEmbedded (IT)Other Operating Expenses</v>
          </cell>
          <cell r="AC211" t="str">
            <v>[10200]  PECO Energy CompanyEmbedded (IT)IT Cust Serv Regulatory -PED (00315)</v>
          </cell>
          <cell r="AF211" t="e">
            <v>#N/A</v>
          </cell>
        </row>
        <row r="212">
          <cell r="E212">
            <v>70944</v>
          </cell>
          <cell r="H212">
            <v>7037</v>
          </cell>
          <cell r="I212">
            <v>-70944</v>
          </cell>
          <cell r="J212">
            <v>317978</v>
          </cell>
          <cell r="M212">
            <v>-18173</v>
          </cell>
          <cell r="N212">
            <v>-70944</v>
          </cell>
          <cell r="O212">
            <v>924114</v>
          </cell>
          <cell r="R212">
            <v>-31987</v>
          </cell>
          <cell r="S212">
            <v>-677080</v>
          </cell>
          <cell r="V212" t="str">
            <v>Embedded</v>
          </cell>
          <cell r="W212" t="str">
            <v>IT</v>
          </cell>
          <cell r="AA212" t="str">
            <v>[10200]  PECO Energy CompanyEmbeddedIT</v>
          </cell>
          <cell r="AB212" t="str">
            <v>[10200]  PECO Energy CompanyEmbedded (IT)Pension and Benefits</v>
          </cell>
          <cell r="AC212" t="str">
            <v>[10200]  PECO Energy CompanyEmbedded (IT)IT Cust Serv Regulatory -PED (00315)</v>
          </cell>
          <cell r="AF212" t="e">
            <v>#N/A</v>
          </cell>
        </row>
        <row r="213">
          <cell r="E213">
            <v>0</v>
          </cell>
          <cell r="H213">
            <v>0</v>
          </cell>
          <cell r="I213">
            <v>0</v>
          </cell>
          <cell r="J213">
            <v>317</v>
          </cell>
          <cell r="M213">
            <v>-317</v>
          </cell>
          <cell r="N213">
            <v>0</v>
          </cell>
          <cell r="O213">
            <v>317</v>
          </cell>
          <cell r="R213">
            <v>2083</v>
          </cell>
          <cell r="S213">
            <v>0</v>
          </cell>
          <cell r="V213" t="str">
            <v>Embedded</v>
          </cell>
          <cell r="W213" t="str">
            <v>IT</v>
          </cell>
          <cell r="AA213" t="str">
            <v>[10200]  PECO Energy CompanyEmbeddedIT</v>
          </cell>
          <cell r="AB213" t="str">
            <v>[10200]  PECO Energy CompanyEmbedded (IT)Travel, Entertainment &amp; Reimb</v>
          </cell>
          <cell r="AC213" t="str">
            <v>[10200]  PECO Energy CompanyEmbedded (IT)IT Ops Asset Mgmt Supp -PED (00316)</v>
          </cell>
          <cell r="AF213" t="e">
            <v>#N/A</v>
          </cell>
        </row>
        <row r="214">
          <cell r="E214">
            <v>52535</v>
          </cell>
          <cell r="H214">
            <v>6409</v>
          </cell>
          <cell r="I214">
            <v>21646</v>
          </cell>
          <cell r="J214">
            <v>120349</v>
          </cell>
          <cell r="M214">
            <v>124306</v>
          </cell>
          <cell r="N214">
            <v>21646</v>
          </cell>
          <cell r="O214">
            <v>543330</v>
          </cell>
          <cell r="R214">
            <v>161839</v>
          </cell>
          <cell r="S214">
            <v>16236</v>
          </cell>
          <cell r="V214" t="str">
            <v>Embedded</v>
          </cell>
          <cell r="W214" t="str">
            <v>IT</v>
          </cell>
          <cell r="AA214" t="str">
            <v>[10200]  PECO Energy CompanyEmbeddedIT</v>
          </cell>
          <cell r="AB214" t="str">
            <v>[10200]  PECO Energy CompanyEmbedded (IT)Contracting</v>
          </cell>
          <cell r="AC214" t="str">
            <v>[10200]  PECO Energy CompanyEmbedded (IT)IT Ops Asset Mgmt Supp -PED (00316)</v>
          </cell>
          <cell r="AF214" t="e">
            <v>#N/A</v>
          </cell>
        </row>
        <row r="215">
          <cell r="E215">
            <v>0</v>
          </cell>
          <cell r="H215">
            <v>4411</v>
          </cell>
          <cell r="I215">
            <v>5982</v>
          </cell>
          <cell r="J215">
            <v>0</v>
          </cell>
          <cell r="M215">
            <v>26143</v>
          </cell>
          <cell r="N215">
            <v>5982</v>
          </cell>
          <cell r="O215">
            <v>81006</v>
          </cell>
          <cell r="R215">
            <v>7422</v>
          </cell>
          <cell r="S215">
            <v>5982</v>
          </cell>
          <cell r="V215" t="str">
            <v>Embedded</v>
          </cell>
          <cell r="W215" t="str">
            <v>IT</v>
          </cell>
          <cell r="AA215" t="str">
            <v>[10200]  PECO Energy CompanyEmbeddedIT</v>
          </cell>
          <cell r="AB215" t="str">
            <v>[10200]  PECO Energy CompanyEmbedded (IT)Business Services</v>
          </cell>
          <cell r="AC215" t="str">
            <v>[10200]  PECO Energy CompanyEmbedded (IT)IT Ops Asset Mgmt Supp -PED (00316)</v>
          </cell>
          <cell r="AF215" t="e">
            <v>#N/A</v>
          </cell>
        </row>
        <row r="216">
          <cell r="E216">
            <v>0</v>
          </cell>
          <cell r="H216">
            <v>0</v>
          </cell>
          <cell r="I216">
            <v>0</v>
          </cell>
          <cell r="J216">
            <v>16</v>
          </cell>
          <cell r="M216">
            <v>-16</v>
          </cell>
          <cell r="N216">
            <v>0</v>
          </cell>
          <cell r="O216">
            <v>16</v>
          </cell>
          <cell r="R216">
            <v>-16</v>
          </cell>
          <cell r="S216">
            <v>0</v>
          </cell>
          <cell r="V216" t="str">
            <v>Embedded</v>
          </cell>
          <cell r="W216" t="str">
            <v>IT</v>
          </cell>
          <cell r="AA216" t="str">
            <v>[10200]  PECO Energy CompanyEmbeddedIT</v>
          </cell>
          <cell r="AB216" t="str">
            <v>[10200]  PECO Energy CompanyEmbedded (IT)Travel, Entertainment &amp; Reimb</v>
          </cell>
          <cell r="AC216" t="str">
            <v>[10200]  PECO Energy CompanyEmbedded (IT)IT Ops Asset Mgmt Supp -PED (00316)</v>
          </cell>
          <cell r="AF216" t="e">
            <v>#N/A</v>
          </cell>
        </row>
        <row r="217">
          <cell r="E217">
            <v>0</v>
          </cell>
          <cell r="H217">
            <v>0</v>
          </cell>
          <cell r="I217">
            <v>0</v>
          </cell>
          <cell r="J217">
            <v>425</v>
          </cell>
          <cell r="M217">
            <v>-425</v>
          </cell>
          <cell r="N217">
            <v>0</v>
          </cell>
          <cell r="O217">
            <v>425</v>
          </cell>
          <cell r="R217">
            <v>-425</v>
          </cell>
          <cell r="S217">
            <v>0</v>
          </cell>
          <cell r="V217" t="str">
            <v>Embedded</v>
          </cell>
          <cell r="W217" t="str">
            <v>IT</v>
          </cell>
          <cell r="AA217" t="str">
            <v>[10200]  PECO Energy CompanyEmbeddedIT</v>
          </cell>
          <cell r="AB217" t="str">
            <v>[10200]  PECO Energy CompanyEmbedded (IT)Other Operating Expenses</v>
          </cell>
          <cell r="AC217" t="str">
            <v>[10200]  PECO Energy CompanyEmbedded (IT)IT Ops Asset Mgmt Supp -PED (00316)</v>
          </cell>
          <cell r="AF217" t="e">
            <v>#N/A</v>
          </cell>
        </row>
        <row r="218">
          <cell r="E218">
            <v>0</v>
          </cell>
          <cell r="H218">
            <v>0</v>
          </cell>
          <cell r="I218">
            <v>0</v>
          </cell>
          <cell r="J218">
            <v>32</v>
          </cell>
          <cell r="M218">
            <v>-32</v>
          </cell>
          <cell r="N218">
            <v>0</v>
          </cell>
          <cell r="O218">
            <v>32</v>
          </cell>
          <cell r="R218">
            <v>-32</v>
          </cell>
          <cell r="S218">
            <v>0</v>
          </cell>
          <cell r="V218" t="str">
            <v>Embedded</v>
          </cell>
          <cell r="W218" t="str">
            <v>IT</v>
          </cell>
          <cell r="AA218" t="str">
            <v>[10200]  PECO Energy CompanyEmbeddedIT</v>
          </cell>
          <cell r="AB218" t="str">
            <v>[10200]  PECO Energy CompanyEmbedded (IT)Travel, Entertainment &amp; Reimb</v>
          </cell>
          <cell r="AC218" t="str">
            <v>[10200]  PECO Energy CompanyEmbedded (IT)IT Ops Asset Mgmt Supp -PED (00316)</v>
          </cell>
          <cell r="AF218" t="e">
            <v>#N/A</v>
          </cell>
        </row>
        <row r="219">
          <cell r="E219">
            <v>176807</v>
          </cell>
          <cell r="H219">
            <v>-28624</v>
          </cell>
          <cell r="I219">
            <v>-40758</v>
          </cell>
          <cell r="J219">
            <v>862759</v>
          </cell>
          <cell r="M219">
            <v>-269300</v>
          </cell>
          <cell r="N219">
            <v>-40758</v>
          </cell>
          <cell r="O219">
            <v>2073510</v>
          </cell>
          <cell r="R219">
            <v>-117860</v>
          </cell>
          <cell r="S219">
            <v>42089</v>
          </cell>
          <cell r="V219" t="str">
            <v>Embedded</v>
          </cell>
          <cell r="W219" t="str">
            <v>IT</v>
          </cell>
          <cell r="AA219" t="str">
            <v>[10200]  PECO Energy CompanyEmbeddedIT</v>
          </cell>
          <cell r="AB219" t="str">
            <v>[10200]  PECO Energy CompanyEmbedded (IT)Other Operating Expenses</v>
          </cell>
          <cell r="AC219" t="str">
            <v>[10200]  PECO Energy CompanyEmbedded (IT)IT Ops Asset Mgmt Supp -PED (00316)</v>
          </cell>
          <cell r="AF219" t="e">
            <v>#N/A</v>
          </cell>
        </row>
        <row r="220">
          <cell r="E220">
            <v>0</v>
          </cell>
          <cell r="H220">
            <v>4000</v>
          </cell>
          <cell r="I220">
            <v>4000</v>
          </cell>
          <cell r="J220">
            <v>1704</v>
          </cell>
          <cell r="M220">
            <v>14296</v>
          </cell>
          <cell r="N220">
            <v>4000</v>
          </cell>
          <cell r="O220">
            <v>37704</v>
          </cell>
          <cell r="R220">
            <v>15296</v>
          </cell>
          <cell r="S220">
            <v>4000</v>
          </cell>
          <cell r="V220" t="str">
            <v>Embedded</v>
          </cell>
          <cell r="W220" t="str">
            <v>IT</v>
          </cell>
          <cell r="AA220" t="str">
            <v>[10200]  PECO Energy CompanyEmbeddedIT</v>
          </cell>
          <cell r="AB220" t="str">
            <v>[10200]  PECO Energy CompanyEmbedded (IT)Other Operating Expenses</v>
          </cell>
          <cell r="AC220" t="str">
            <v>[10200]  PECO Energy CompanyEmbedded (IT)IT Ops Asset Mgmt Supp -PED (00316)</v>
          </cell>
          <cell r="AF220" t="e">
            <v>#N/A</v>
          </cell>
        </row>
        <row r="221">
          <cell r="E221">
            <v>16222</v>
          </cell>
          <cell r="H221">
            <v>287</v>
          </cell>
          <cell r="I221">
            <v>2580</v>
          </cell>
          <cell r="J221">
            <v>63575</v>
          </cell>
          <cell r="M221">
            <v>-291</v>
          </cell>
          <cell r="N221">
            <v>2580</v>
          </cell>
          <cell r="O221">
            <v>210319</v>
          </cell>
          <cell r="R221">
            <v>-14965</v>
          </cell>
          <cell r="S221">
            <v>7739</v>
          </cell>
          <cell r="V221" t="str">
            <v>Embedded</v>
          </cell>
          <cell r="W221" t="str">
            <v>IT</v>
          </cell>
          <cell r="AA221" t="str">
            <v>[10200]  PECO Energy CompanyEmbeddedIT</v>
          </cell>
          <cell r="AB221" t="str">
            <v>[10200]  PECO Energy CompanyEmbedded (IT)Salaries and Wages</v>
          </cell>
          <cell r="AC221" t="str">
            <v>[10200]  PECO Energy CompanyEmbedded (IT)IT Real Time -PED (00317)</v>
          </cell>
          <cell r="AF221" t="e">
            <v>#N/A</v>
          </cell>
        </row>
        <row r="222">
          <cell r="E222">
            <v>0</v>
          </cell>
          <cell r="H222">
            <v>0</v>
          </cell>
          <cell r="I222">
            <v>0</v>
          </cell>
          <cell r="J222">
            <v>403</v>
          </cell>
          <cell r="M222">
            <v>-403</v>
          </cell>
          <cell r="N222">
            <v>0</v>
          </cell>
          <cell r="O222">
            <v>1403</v>
          </cell>
          <cell r="R222">
            <v>597</v>
          </cell>
          <cell r="S222">
            <v>0</v>
          </cell>
          <cell r="V222" t="str">
            <v>Embedded</v>
          </cell>
          <cell r="W222" t="str">
            <v>IT</v>
          </cell>
          <cell r="AA222" t="str">
            <v>[10200]  PECO Energy CompanyEmbeddedIT</v>
          </cell>
          <cell r="AB222" t="str">
            <v>[10200]  PECO Energy CompanyEmbedded (IT)Travel, Entertainment &amp; Reimb</v>
          </cell>
          <cell r="AC222" t="str">
            <v>[10200]  PECO Energy CompanyEmbedded (IT)IT Real Time -PED (00317)</v>
          </cell>
          <cell r="AF222" t="e">
            <v>#N/A</v>
          </cell>
        </row>
        <row r="223">
          <cell r="E223">
            <v>0</v>
          </cell>
          <cell r="H223">
            <v>2083</v>
          </cell>
          <cell r="I223">
            <v>2083</v>
          </cell>
          <cell r="J223">
            <v>-153064</v>
          </cell>
          <cell r="M223">
            <v>161397</v>
          </cell>
          <cell r="N223">
            <v>2083</v>
          </cell>
          <cell r="O223">
            <v>-136397</v>
          </cell>
          <cell r="R223">
            <v>161397</v>
          </cell>
          <cell r="S223">
            <v>2083</v>
          </cell>
          <cell r="V223" t="str">
            <v>Embedded</v>
          </cell>
          <cell r="W223" t="str">
            <v>IT</v>
          </cell>
          <cell r="AA223" t="str">
            <v>[10200]  PECO Energy CompanyEmbeddedIT</v>
          </cell>
          <cell r="AB223" t="str">
            <v>[10200]  PECO Energy CompanyEmbedded (IT)Contracting</v>
          </cell>
          <cell r="AC223" t="str">
            <v>[10200]  PECO Energy CompanyEmbedded (IT)IT Real Time -PED (00317)</v>
          </cell>
          <cell r="AF223" t="e">
            <v>#N/A</v>
          </cell>
        </row>
        <row r="224">
          <cell r="E224">
            <v>636</v>
          </cell>
          <cell r="H224">
            <v>11</v>
          </cell>
          <cell r="I224">
            <v>101</v>
          </cell>
          <cell r="J224">
            <v>2493</v>
          </cell>
          <cell r="M224">
            <v>-11</v>
          </cell>
          <cell r="N224">
            <v>101</v>
          </cell>
          <cell r="O224">
            <v>8248</v>
          </cell>
          <cell r="R224">
            <v>-587</v>
          </cell>
          <cell r="S224">
            <v>304</v>
          </cell>
          <cell r="V224" t="str">
            <v>Embedded</v>
          </cell>
          <cell r="W224" t="str">
            <v>IT</v>
          </cell>
          <cell r="AA224" t="str">
            <v>[10200]  PECO Energy CompanyEmbeddedIT</v>
          </cell>
          <cell r="AB224" t="str">
            <v>[10200]  PECO Energy CompanyEmbedded (IT)Business Services</v>
          </cell>
          <cell r="AC224" t="str">
            <v>[10200]  PECO Energy CompanyEmbedded (IT)IT Real Time -PED (00317)</v>
          </cell>
          <cell r="AF224" t="e">
            <v>#N/A</v>
          </cell>
        </row>
        <row r="225">
          <cell r="E225">
            <v>1691</v>
          </cell>
          <cell r="H225">
            <v>-1691</v>
          </cell>
          <cell r="I225">
            <v>-1691</v>
          </cell>
          <cell r="J225">
            <v>1795</v>
          </cell>
          <cell r="M225">
            <v>-1795</v>
          </cell>
          <cell r="N225">
            <v>-1691</v>
          </cell>
          <cell r="O225">
            <v>1795</v>
          </cell>
          <cell r="R225">
            <v>-1795</v>
          </cell>
          <cell r="S225">
            <v>-1691</v>
          </cell>
          <cell r="V225" t="str">
            <v>Embedded</v>
          </cell>
          <cell r="W225" t="str">
            <v>IT</v>
          </cell>
          <cell r="AA225" t="str">
            <v>[10200]  PECO Energy CompanyEmbeddedIT</v>
          </cell>
          <cell r="AB225" t="str">
            <v>[10200]  PECO Energy CompanyEmbedded (IT)Materials and Supplies</v>
          </cell>
          <cell r="AC225" t="str">
            <v>[10200]  PECO Energy CompanyEmbedded (IT)IT Real Time -PED (00317)</v>
          </cell>
          <cell r="AF225" t="e">
            <v>#N/A</v>
          </cell>
        </row>
        <row r="226">
          <cell r="E226">
            <v>0</v>
          </cell>
          <cell r="H226">
            <v>0</v>
          </cell>
          <cell r="I226">
            <v>0</v>
          </cell>
          <cell r="J226">
            <v>128</v>
          </cell>
          <cell r="M226">
            <v>-128</v>
          </cell>
          <cell r="N226">
            <v>0</v>
          </cell>
          <cell r="O226">
            <v>128</v>
          </cell>
          <cell r="R226">
            <v>-128</v>
          </cell>
          <cell r="S226">
            <v>0</v>
          </cell>
          <cell r="V226" t="str">
            <v>Embedded</v>
          </cell>
          <cell r="W226" t="str">
            <v>IT</v>
          </cell>
          <cell r="AA226" t="str">
            <v>[10200]  PECO Energy CompanyEmbeddedIT</v>
          </cell>
          <cell r="AB226" t="str">
            <v>[10200]  PECO Energy CompanyEmbedded (IT)Travel, Entertainment &amp; Reimb</v>
          </cell>
          <cell r="AC226" t="str">
            <v>[10200]  PECO Energy CompanyEmbedded (IT)IT Real Time -PED (00317)</v>
          </cell>
          <cell r="AF226" t="e">
            <v>#N/A</v>
          </cell>
        </row>
        <row r="227">
          <cell r="E227">
            <v>349</v>
          </cell>
          <cell r="H227">
            <v>-349</v>
          </cell>
          <cell r="I227">
            <v>-349</v>
          </cell>
          <cell r="J227">
            <v>349</v>
          </cell>
          <cell r="M227">
            <v>-349</v>
          </cell>
          <cell r="N227">
            <v>-349</v>
          </cell>
          <cell r="O227">
            <v>349</v>
          </cell>
          <cell r="R227">
            <v>-349</v>
          </cell>
          <cell r="S227">
            <v>-349</v>
          </cell>
          <cell r="V227" t="str">
            <v>Embedded</v>
          </cell>
          <cell r="W227" t="str">
            <v>IT</v>
          </cell>
          <cell r="AA227" t="str">
            <v>[10200]  PECO Energy CompanyEmbeddedIT</v>
          </cell>
          <cell r="AB227" t="str">
            <v>[10200]  PECO Energy CompanyEmbedded (IT)Other Operating Expenses</v>
          </cell>
          <cell r="AC227" t="str">
            <v>[10200]  PECO Energy CompanyEmbedded (IT)IT Real Time -PED (00317)</v>
          </cell>
          <cell r="AF227" t="e">
            <v>#N/A</v>
          </cell>
        </row>
        <row r="228">
          <cell r="E228">
            <v>0</v>
          </cell>
          <cell r="H228">
            <v>0</v>
          </cell>
          <cell r="I228">
            <v>0</v>
          </cell>
          <cell r="J228">
            <v>38</v>
          </cell>
          <cell r="M228">
            <v>-38</v>
          </cell>
          <cell r="N228">
            <v>0</v>
          </cell>
          <cell r="O228">
            <v>38</v>
          </cell>
          <cell r="R228">
            <v>-38</v>
          </cell>
          <cell r="S228">
            <v>0</v>
          </cell>
          <cell r="V228" t="str">
            <v>Embedded</v>
          </cell>
          <cell r="W228" t="str">
            <v>IT</v>
          </cell>
          <cell r="AA228" t="str">
            <v>[10200]  PECO Energy CompanyEmbeddedIT</v>
          </cell>
          <cell r="AB228" t="str">
            <v>[10200]  PECO Energy CompanyEmbedded (IT)Travel, Entertainment &amp; Reimb</v>
          </cell>
          <cell r="AC228" t="str">
            <v>[10200]  PECO Energy CompanyEmbedded (IT)IT Real Time -PED (00317)</v>
          </cell>
          <cell r="AF228" t="e">
            <v>#N/A</v>
          </cell>
        </row>
        <row r="229">
          <cell r="E229">
            <v>18569</v>
          </cell>
          <cell r="H229">
            <v>30404</v>
          </cell>
          <cell r="I229">
            <v>35955</v>
          </cell>
          <cell r="J229">
            <v>49616</v>
          </cell>
          <cell r="M229">
            <v>184033</v>
          </cell>
          <cell r="N229">
            <v>35955</v>
          </cell>
          <cell r="O229">
            <v>1014049</v>
          </cell>
          <cell r="R229">
            <v>71321</v>
          </cell>
          <cell r="S229">
            <v>159956</v>
          </cell>
          <cell r="V229" t="str">
            <v>Embedded</v>
          </cell>
          <cell r="W229" t="str">
            <v>IT</v>
          </cell>
          <cell r="AA229" t="str">
            <v>[10200]  PECO Energy CompanyEmbeddedIT</v>
          </cell>
          <cell r="AB229" t="str">
            <v>[10200]  PECO Energy CompanyEmbedded (IT)Other Operating Expenses</v>
          </cell>
          <cell r="AC229" t="str">
            <v>[10200]  PECO Energy CompanyEmbedded (IT)IT Real Time -PED (00317)</v>
          </cell>
          <cell r="AF229" t="e">
            <v>#N/A</v>
          </cell>
        </row>
        <row r="230">
          <cell r="E230">
            <v>11551</v>
          </cell>
          <cell r="H230">
            <v>-11551</v>
          </cell>
          <cell r="I230">
            <v>-11551</v>
          </cell>
          <cell r="J230">
            <v>28771</v>
          </cell>
          <cell r="M230">
            <v>-28771</v>
          </cell>
          <cell r="N230">
            <v>-11551</v>
          </cell>
          <cell r="O230">
            <v>28771</v>
          </cell>
          <cell r="R230">
            <v>-28771</v>
          </cell>
          <cell r="S230">
            <v>-11551</v>
          </cell>
          <cell r="V230" t="str">
            <v>Embedded</v>
          </cell>
          <cell r="W230" t="str">
            <v>IT</v>
          </cell>
          <cell r="AA230" t="str">
            <v>[10200]  PECO Energy CompanyEmbeddedIT</v>
          </cell>
          <cell r="AB230" t="str">
            <v>[10200]  PECO Energy CompanyEmbedded (IT)Other Operating Expenses</v>
          </cell>
          <cell r="AC230" t="str">
            <v>[10200]  PECO Energy CompanyEmbedded (IT)IT Real Time -PED (00317)</v>
          </cell>
          <cell r="AF230" t="e">
            <v>#N/A</v>
          </cell>
        </row>
        <row r="231">
          <cell r="E231">
            <v>13041</v>
          </cell>
          <cell r="H231">
            <v>230</v>
          </cell>
          <cell r="I231">
            <v>-13041</v>
          </cell>
          <cell r="J231">
            <v>51109</v>
          </cell>
          <cell r="M231">
            <v>-234</v>
          </cell>
          <cell r="N231">
            <v>-13041</v>
          </cell>
          <cell r="O231">
            <v>169080</v>
          </cell>
          <cell r="R231">
            <v>-12031</v>
          </cell>
          <cell r="S231">
            <v>-131012</v>
          </cell>
          <cell r="V231" t="str">
            <v>Embedded</v>
          </cell>
          <cell r="W231" t="str">
            <v>IT</v>
          </cell>
          <cell r="AA231" t="str">
            <v>[10200]  PECO Energy CompanyEmbeddedIT</v>
          </cell>
          <cell r="AB231" t="str">
            <v>[10200]  PECO Energy CompanyEmbedded (IT)Pension and Benefits</v>
          </cell>
          <cell r="AC231" t="str">
            <v>[10200]  PECO Energy CompanyEmbedded (IT)IT Real Time -PED (00317)</v>
          </cell>
          <cell r="AF231" t="e">
            <v>#N/A</v>
          </cell>
        </row>
        <row r="232">
          <cell r="E232">
            <v>1592</v>
          </cell>
          <cell r="H232">
            <v>-1592</v>
          </cell>
          <cell r="I232">
            <v>-1592</v>
          </cell>
          <cell r="J232">
            <v>6396</v>
          </cell>
          <cell r="M232">
            <v>-6396</v>
          </cell>
          <cell r="N232">
            <v>-1592</v>
          </cell>
          <cell r="O232">
            <v>6396</v>
          </cell>
          <cell r="R232">
            <v>-6396</v>
          </cell>
          <cell r="S232">
            <v>-1592</v>
          </cell>
          <cell r="V232" t="str">
            <v>Embedded</v>
          </cell>
          <cell r="W232" t="str">
            <v>IT</v>
          </cell>
          <cell r="AA232" t="str">
            <v>[10200]  PECO Energy CompanyEmbeddedIT</v>
          </cell>
          <cell r="AB232" t="str">
            <v>[10200]  PECO Energy CompanyEmbedded (IT)Transportation</v>
          </cell>
          <cell r="AC232" t="str">
            <v>[10200]  PECO Energy CompanyEmbedded (IT)IT Real Time -PED (00317)</v>
          </cell>
          <cell r="AF232" t="e">
            <v>#N/A</v>
          </cell>
        </row>
        <row r="233">
          <cell r="E233">
            <v>1850326</v>
          </cell>
          <cell r="H233">
            <v>-237514</v>
          </cell>
          <cell r="I233">
            <v>-237514</v>
          </cell>
          <cell r="J233">
            <v>6468555</v>
          </cell>
          <cell r="M233">
            <v>-17308</v>
          </cell>
          <cell r="N233">
            <v>-237514</v>
          </cell>
          <cell r="O233">
            <v>20749524</v>
          </cell>
          <cell r="R233">
            <v>-1395784</v>
          </cell>
          <cell r="S233">
            <v>-1090711</v>
          </cell>
          <cell r="V233" t="str">
            <v>EBSC Transactional</v>
          </cell>
          <cell r="W233" t="str">
            <v>IT</v>
          </cell>
          <cell r="AA233" t="str">
            <v>[10200]  PECO Energy CompanyEBSC TransactionalIT</v>
          </cell>
          <cell r="AB233" t="str">
            <v>[10200]  PECO Energy CompanyEBSC Transactional (IT)Business Services</v>
          </cell>
          <cell r="AC233" t="str">
            <v>[10200]  PECO Energy CompanyEBSC Transactional (IT)EBSC IT Serv - PED (00318)</v>
          </cell>
          <cell r="AF233" t="e">
            <v>#N/A</v>
          </cell>
        </row>
        <row r="234">
          <cell r="E234">
            <v>856</v>
          </cell>
          <cell r="H234">
            <v>-856</v>
          </cell>
          <cell r="I234">
            <v>-856</v>
          </cell>
          <cell r="J234">
            <v>3442</v>
          </cell>
          <cell r="M234">
            <v>-3442</v>
          </cell>
          <cell r="N234">
            <v>-856</v>
          </cell>
          <cell r="O234">
            <v>3442</v>
          </cell>
          <cell r="R234">
            <v>-3442</v>
          </cell>
          <cell r="S234">
            <v>-856</v>
          </cell>
          <cell r="V234" t="str">
            <v>EBSC Transactional</v>
          </cell>
          <cell r="W234" t="str">
            <v>IT</v>
          </cell>
          <cell r="AA234" t="str">
            <v>[10200]  PECO Energy CompanyEBSC TransactionalIT</v>
          </cell>
          <cell r="AB234" t="str">
            <v>[10200]  PECO Energy CompanyEBSC Transactional (IT)Other Operating Expenses</v>
          </cell>
          <cell r="AC234" t="str">
            <v>[10200]  PECO Energy CompanyEBSC Transactional (IT)EBSC IT Serv - PED (00318)</v>
          </cell>
          <cell r="AF234" t="e">
            <v>#N/A</v>
          </cell>
        </row>
        <row r="235">
          <cell r="E235">
            <v>0</v>
          </cell>
          <cell r="H235">
            <v>0</v>
          </cell>
          <cell r="I235">
            <v>0</v>
          </cell>
          <cell r="J235">
            <v>0</v>
          </cell>
          <cell r="M235">
            <v>0</v>
          </cell>
          <cell r="N235">
            <v>0</v>
          </cell>
          <cell r="O235">
            <v>0</v>
          </cell>
          <cell r="R235">
            <v>0</v>
          </cell>
          <cell r="S235">
            <v>-307659</v>
          </cell>
          <cell r="V235" t="str">
            <v>EBSC Transactional</v>
          </cell>
          <cell r="W235" t="str">
            <v>IT</v>
          </cell>
          <cell r="AA235" t="str">
            <v>[10200]  PECO Energy CompanyEBSC TransactionalIT</v>
          </cell>
          <cell r="AB235" t="str">
            <v>[10200]  PECO Energy CompanyEBSC Transactional (IT)Other Operating Expenses</v>
          </cell>
          <cell r="AC235" t="str">
            <v>[10200]  PECO Energy CompanyEBSC Transactional (IT)EBSC IT Serv - PED (00318)</v>
          </cell>
          <cell r="AF235" t="e">
            <v>#N/A</v>
          </cell>
        </row>
        <row r="236">
          <cell r="E236">
            <v>14351</v>
          </cell>
          <cell r="H236">
            <v>56548</v>
          </cell>
          <cell r="I236">
            <v>33519</v>
          </cell>
          <cell r="J236">
            <v>313140</v>
          </cell>
          <cell r="M236">
            <v>-30725</v>
          </cell>
          <cell r="N236">
            <v>33519</v>
          </cell>
          <cell r="O236">
            <v>709776</v>
          </cell>
          <cell r="R236">
            <v>161186</v>
          </cell>
          <cell r="S236">
            <v>33519</v>
          </cell>
          <cell r="V236" t="str">
            <v>Embedded</v>
          </cell>
          <cell r="W236" t="str">
            <v>Finance</v>
          </cell>
          <cell r="AA236" t="str">
            <v>[10200]  PECO Energy CompanyEmbeddedFinance</v>
          </cell>
          <cell r="AB236" t="str">
            <v>[10200]  PECO Energy CompanyEmbedded (Finance)Salaries and Wages</v>
          </cell>
          <cell r="AC236" t="str">
            <v>[10200]  PECO Energy CompanyEmbedded (Finance)Finance - PECO (00338)</v>
          </cell>
          <cell r="AF236" t="str">
            <v>EEDFinanceSalaries and Wages</v>
          </cell>
        </row>
        <row r="237">
          <cell r="E237">
            <v>30</v>
          </cell>
          <cell r="H237">
            <v>2703</v>
          </cell>
          <cell r="I237">
            <v>2703</v>
          </cell>
          <cell r="J237">
            <v>1715</v>
          </cell>
          <cell r="M237">
            <v>9218</v>
          </cell>
          <cell r="N237">
            <v>2703</v>
          </cell>
          <cell r="O237">
            <v>23582</v>
          </cell>
          <cell r="R237">
            <v>9218</v>
          </cell>
          <cell r="S237">
            <v>2703</v>
          </cell>
          <cell r="V237" t="str">
            <v>Embedded</v>
          </cell>
          <cell r="W237" t="str">
            <v>Finance</v>
          </cell>
          <cell r="AA237" t="str">
            <v>[10200]  PECO Energy CompanyEmbeddedFinance</v>
          </cell>
          <cell r="AB237" t="str">
            <v>[10200]  PECO Energy CompanyEmbedded (Finance)Travel, Entertainment &amp; Reimb</v>
          </cell>
          <cell r="AC237" t="str">
            <v>[10200]  PECO Energy CompanyEmbedded (Finance)Finance - PECO (00338)</v>
          </cell>
          <cell r="AF237" t="str">
            <v>EEDFinanceTravel, Entertainment &amp; Reimb</v>
          </cell>
        </row>
        <row r="238">
          <cell r="E238">
            <v>3127</v>
          </cell>
          <cell r="H238">
            <v>625</v>
          </cell>
          <cell r="I238">
            <v>625</v>
          </cell>
          <cell r="J238">
            <v>14890</v>
          </cell>
          <cell r="M238">
            <v>118</v>
          </cell>
          <cell r="N238">
            <v>625</v>
          </cell>
          <cell r="O238">
            <v>44906</v>
          </cell>
          <cell r="R238">
            <v>118</v>
          </cell>
          <cell r="S238">
            <v>625</v>
          </cell>
          <cell r="V238" t="str">
            <v>Embedded</v>
          </cell>
          <cell r="W238" t="str">
            <v>Finance</v>
          </cell>
          <cell r="AA238" t="str">
            <v>[10200]  PECO Energy CompanyEmbeddedFinance</v>
          </cell>
          <cell r="AB238" t="str">
            <v>[10200]  PECO Energy CompanyEmbedded (Finance)Business Services</v>
          </cell>
          <cell r="AC238" t="str">
            <v>[10200]  PECO Energy CompanyEmbedded (Finance)Finance - PECO (00338)</v>
          </cell>
          <cell r="AF238" t="str">
            <v>EEDFinanceBusiness Services</v>
          </cell>
        </row>
        <row r="239">
          <cell r="E239">
            <v>0</v>
          </cell>
          <cell r="H239">
            <v>0</v>
          </cell>
          <cell r="I239">
            <v>0</v>
          </cell>
          <cell r="J239">
            <v>3</v>
          </cell>
          <cell r="M239">
            <v>-3</v>
          </cell>
          <cell r="N239">
            <v>0</v>
          </cell>
          <cell r="O239">
            <v>3</v>
          </cell>
          <cell r="R239">
            <v>-3</v>
          </cell>
          <cell r="S239">
            <v>0</v>
          </cell>
          <cell r="V239" t="str">
            <v>Embedded</v>
          </cell>
          <cell r="W239" t="str">
            <v>Finance</v>
          </cell>
          <cell r="AA239" t="str">
            <v>[10200]  PECO Energy CompanyEmbeddedFinance</v>
          </cell>
          <cell r="AB239" t="str">
            <v>[10200]  PECO Energy CompanyEmbedded (Finance)Materials and Supplies</v>
          </cell>
          <cell r="AC239" t="str">
            <v>[10200]  PECO Energy CompanyEmbedded (Finance)Finance - PECO (00338)</v>
          </cell>
          <cell r="AF239" t="str">
            <v>EEDFinanceMaterials and Supplies</v>
          </cell>
        </row>
        <row r="240">
          <cell r="E240">
            <v>1117</v>
          </cell>
          <cell r="H240">
            <v>-1117</v>
          </cell>
          <cell r="I240">
            <v>-1117</v>
          </cell>
          <cell r="J240">
            <v>6542</v>
          </cell>
          <cell r="M240">
            <v>-6542</v>
          </cell>
          <cell r="N240">
            <v>-1117</v>
          </cell>
          <cell r="O240">
            <v>6542</v>
          </cell>
          <cell r="R240">
            <v>-6542</v>
          </cell>
          <cell r="S240">
            <v>-1117</v>
          </cell>
          <cell r="V240" t="str">
            <v>Embedded</v>
          </cell>
          <cell r="W240" t="str">
            <v>Finance</v>
          </cell>
          <cell r="AA240" t="str">
            <v>[10200]  PECO Energy CompanyEmbeddedFinance</v>
          </cell>
          <cell r="AB240" t="str">
            <v>[10200]  PECO Energy CompanyEmbedded (Finance)Travel, Entertainment &amp; Reimb</v>
          </cell>
          <cell r="AC240" t="str">
            <v>[10200]  PECO Energy CompanyEmbedded (Finance)Finance - PECO (00338)</v>
          </cell>
          <cell r="AF240" t="str">
            <v>EEDFinanceTravel, Entertainment &amp; Reimb</v>
          </cell>
        </row>
        <row r="241">
          <cell r="E241">
            <v>2642</v>
          </cell>
          <cell r="H241">
            <v>-1751</v>
          </cell>
          <cell r="I241">
            <v>-1751</v>
          </cell>
          <cell r="J241">
            <v>8996</v>
          </cell>
          <cell r="M241">
            <v>-5430</v>
          </cell>
          <cell r="N241">
            <v>-1751</v>
          </cell>
          <cell r="O241">
            <v>16126</v>
          </cell>
          <cell r="R241">
            <v>-5430</v>
          </cell>
          <cell r="S241">
            <v>-1751</v>
          </cell>
          <cell r="V241" t="str">
            <v>Embedded</v>
          </cell>
          <cell r="W241" t="str">
            <v>Finance</v>
          </cell>
          <cell r="AA241" t="str">
            <v>[10200]  PECO Energy CompanyEmbeddedFinance</v>
          </cell>
          <cell r="AB241" t="str">
            <v>[10200]  PECO Energy CompanyEmbedded (Finance)Other Operating Expenses</v>
          </cell>
          <cell r="AC241" t="str">
            <v>[10200]  PECO Energy CompanyEmbedded (Finance)Finance - PECO (00338)</v>
          </cell>
          <cell r="AF241" t="str">
            <v>EEDFinanceOther Operating Expenses</v>
          </cell>
        </row>
        <row r="242">
          <cell r="E242">
            <v>0</v>
          </cell>
          <cell r="H242">
            <v>0</v>
          </cell>
          <cell r="I242">
            <v>0</v>
          </cell>
          <cell r="J242">
            <v>4546</v>
          </cell>
          <cell r="M242">
            <v>-4546</v>
          </cell>
          <cell r="N242">
            <v>0</v>
          </cell>
          <cell r="O242">
            <v>4546</v>
          </cell>
          <cell r="R242">
            <v>-4546</v>
          </cell>
          <cell r="S242">
            <v>0</v>
          </cell>
          <cell r="V242" t="str">
            <v>Embedded</v>
          </cell>
          <cell r="W242" t="str">
            <v>Finance</v>
          </cell>
          <cell r="AA242" t="str">
            <v>[10200]  PECO Energy CompanyEmbeddedFinance</v>
          </cell>
          <cell r="AB242" t="str">
            <v>[10200]  PECO Energy CompanyEmbedded (Finance)Travel, Entertainment &amp; Reimb</v>
          </cell>
          <cell r="AC242" t="str">
            <v>[10200]  PECO Energy CompanyEmbedded (Finance)Finance - PECO (00338)</v>
          </cell>
          <cell r="AF242" t="str">
            <v>EEDFinanceTravel, Entertainment &amp; Reimb</v>
          </cell>
        </row>
        <row r="243">
          <cell r="E243">
            <v>451</v>
          </cell>
          <cell r="H243">
            <v>473</v>
          </cell>
          <cell r="I243">
            <v>473</v>
          </cell>
          <cell r="J243">
            <v>1647</v>
          </cell>
          <cell r="M243">
            <v>2049</v>
          </cell>
          <cell r="N243">
            <v>473</v>
          </cell>
          <cell r="O243">
            <v>9039</v>
          </cell>
          <cell r="R243">
            <v>2049</v>
          </cell>
          <cell r="S243">
            <v>473</v>
          </cell>
          <cell r="V243" t="str">
            <v>Embedded</v>
          </cell>
          <cell r="W243" t="str">
            <v>Finance</v>
          </cell>
          <cell r="AA243" t="str">
            <v>[10200]  PECO Energy CompanyEmbeddedFinance</v>
          </cell>
          <cell r="AB243" t="str">
            <v>[10200]  PECO Energy CompanyEmbedded (Finance)Other Operating Expenses</v>
          </cell>
          <cell r="AC243" t="str">
            <v>[10200]  PECO Energy CompanyEmbedded (Finance)Finance - PECO (00338)</v>
          </cell>
          <cell r="AF243" t="str">
            <v>EEDFinanceOther Operating Expenses</v>
          </cell>
        </row>
        <row r="244">
          <cell r="E244">
            <v>46474</v>
          </cell>
          <cell r="H244">
            <v>-43674</v>
          </cell>
          <cell r="I244">
            <v>-43674</v>
          </cell>
          <cell r="J244">
            <v>47024</v>
          </cell>
          <cell r="M244">
            <v>-35824</v>
          </cell>
          <cell r="N244">
            <v>-43674</v>
          </cell>
          <cell r="O244">
            <v>69424</v>
          </cell>
          <cell r="R244">
            <v>-35824</v>
          </cell>
          <cell r="S244">
            <v>-43674</v>
          </cell>
          <cell r="V244" t="str">
            <v>Embedded</v>
          </cell>
          <cell r="W244" t="str">
            <v>Finance</v>
          </cell>
          <cell r="AA244" t="str">
            <v>[10200]  PECO Energy CompanyEmbeddedFinance</v>
          </cell>
          <cell r="AB244" t="str">
            <v>[10200]  PECO Energy CompanyEmbedded (Finance)Other Operating Expenses</v>
          </cell>
          <cell r="AC244" t="str">
            <v>[10200]  PECO Energy CompanyEmbedded (Finance)Finance - PECO (00338)</v>
          </cell>
          <cell r="AF244" t="str">
            <v>EEDFinanceOther Operating Expenses</v>
          </cell>
        </row>
        <row r="245">
          <cell r="E245">
            <v>0</v>
          </cell>
          <cell r="H245">
            <v>0</v>
          </cell>
          <cell r="I245">
            <v>0</v>
          </cell>
          <cell r="J245">
            <v>-594</v>
          </cell>
          <cell r="M245">
            <v>594</v>
          </cell>
          <cell r="N245">
            <v>0</v>
          </cell>
          <cell r="O245">
            <v>-594</v>
          </cell>
          <cell r="R245">
            <v>594</v>
          </cell>
          <cell r="S245">
            <v>0</v>
          </cell>
          <cell r="V245" t="str">
            <v>Embedded</v>
          </cell>
          <cell r="W245" t="str">
            <v>Finance</v>
          </cell>
          <cell r="AA245" t="str">
            <v>[10200]  PECO Energy CompanyEmbeddedFinance</v>
          </cell>
          <cell r="AB245" t="str">
            <v>[10200]  PECO Energy CompanyEmbedded (Finance)Overtime</v>
          </cell>
          <cell r="AC245" t="str">
            <v>[10200]  PECO Energy CompanyEmbedded (Finance)Finance - PECO (00338)</v>
          </cell>
          <cell r="AF245" t="str">
            <v>EEDFinanceOvertime</v>
          </cell>
        </row>
        <row r="246">
          <cell r="E246">
            <v>10529</v>
          </cell>
          <cell r="H246">
            <v>35729</v>
          </cell>
          <cell r="I246">
            <v>18051</v>
          </cell>
          <cell r="J246">
            <v>198099</v>
          </cell>
          <cell r="M246">
            <v>-13837</v>
          </cell>
          <cell r="N246">
            <v>18051</v>
          </cell>
          <cell r="O246">
            <v>434790</v>
          </cell>
          <cell r="R246">
            <v>133474</v>
          </cell>
          <cell r="S246">
            <v>18051</v>
          </cell>
          <cell r="V246" t="str">
            <v>Embedded</v>
          </cell>
          <cell r="W246" t="str">
            <v>Finance</v>
          </cell>
          <cell r="AA246" t="str">
            <v>[10200]  PECO Energy CompanyEmbeddedFinance</v>
          </cell>
          <cell r="AB246" t="str">
            <v>[10200]  PECO Energy CompanyEmbedded (Finance)Pension and Benefits</v>
          </cell>
          <cell r="AC246" t="str">
            <v>[10200]  PECO Energy CompanyEmbedded (Finance)Finance - PECO (00338)</v>
          </cell>
          <cell r="AF246" t="str">
            <v>EEDFinancePension and Benefits</v>
          </cell>
        </row>
        <row r="247">
          <cell r="E247">
            <v>1599774</v>
          </cell>
          <cell r="H247">
            <v>-10396</v>
          </cell>
          <cell r="I247">
            <v>-19599</v>
          </cell>
          <cell r="J247">
            <v>5847346</v>
          </cell>
          <cell r="M247">
            <v>502557</v>
          </cell>
          <cell r="N247">
            <v>-19599</v>
          </cell>
          <cell r="O247">
            <v>19709849</v>
          </cell>
          <cell r="R247">
            <v>487806</v>
          </cell>
          <cell r="S247">
            <v>140412</v>
          </cell>
          <cell r="V247" t="str">
            <v>Corporate Allocated</v>
          </cell>
          <cell r="W247" t="str">
            <v>Finance</v>
          </cell>
          <cell r="AA247" t="str">
            <v>[10200]  PECO Energy CompanyCorporate AllocatedFinance</v>
          </cell>
          <cell r="AB247" t="str">
            <v>[10200]  PECO Energy CompanyCorporate Allocated (Finance)Business Services</v>
          </cell>
          <cell r="AC247" t="str">
            <v>[10200]  PECO Energy CompanyCorporate Allocated (Finance)EBSC Fin Srvcs PED (00339)</v>
          </cell>
          <cell r="AF247" t="e">
            <v>#N/A</v>
          </cell>
        </row>
        <row r="248">
          <cell r="E248">
            <v>67533</v>
          </cell>
          <cell r="H248">
            <v>-19202</v>
          </cell>
          <cell r="I248">
            <v>-18399</v>
          </cell>
          <cell r="J248">
            <v>231624</v>
          </cell>
          <cell r="M248">
            <v>-39127</v>
          </cell>
          <cell r="N248">
            <v>-18399</v>
          </cell>
          <cell r="O248">
            <v>744378</v>
          </cell>
          <cell r="R248">
            <v>-87129</v>
          </cell>
          <cell r="S248">
            <v>-140792</v>
          </cell>
          <cell r="V248" t="str">
            <v>Embedded</v>
          </cell>
          <cell r="W248" t="str">
            <v>Finance</v>
          </cell>
          <cell r="AA248" t="str">
            <v>[10200]  PECO Energy CompanyEmbeddedFinance</v>
          </cell>
          <cell r="AB248" t="str">
            <v>[10200]  PECO Energy CompanyEmbedded (Finance)EDSS</v>
          </cell>
          <cell r="AC248" t="str">
            <v>[10200]  PECO Energy CompanyEmbedded (Finance)EDSS Fin Srvcs PED (00340)</v>
          </cell>
          <cell r="AF248" t="str">
            <v>EEDControllerEDSS</v>
          </cell>
        </row>
        <row r="249">
          <cell r="E249">
            <v>664866</v>
          </cell>
          <cell r="H249">
            <v>-346261</v>
          </cell>
          <cell r="I249">
            <v>-302827</v>
          </cell>
          <cell r="J249">
            <v>1895096</v>
          </cell>
          <cell r="M249">
            <v>-104298</v>
          </cell>
          <cell r="N249">
            <v>-302827</v>
          </cell>
          <cell r="O249">
            <v>5533005</v>
          </cell>
          <cell r="R249">
            <v>-459280</v>
          </cell>
          <cell r="S249">
            <v>-647485</v>
          </cell>
          <cell r="V249" t="str">
            <v>Corporate Allocated</v>
          </cell>
          <cell r="W249" t="str">
            <v>Communications</v>
          </cell>
          <cell r="AA249" t="str">
            <v>[10200]  PECO Energy CompanyCorporate AllocatedCommunications</v>
          </cell>
          <cell r="AB249" t="str">
            <v>[10200]  PECO Energy CompanyCorporate Allocated (Communications)Business Services</v>
          </cell>
          <cell r="AC249" t="str">
            <v>[10200]  PECO Energy CompanyCorporate Allocated (Communications)EBSC Comm Srvcs - PECO (00346)</v>
          </cell>
          <cell r="AF249" t="e">
            <v>#N/A</v>
          </cell>
        </row>
        <row r="250">
          <cell r="E250">
            <v>347010</v>
          </cell>
          <cell r="H250">
            <v>94024</v>
          </cell>
          <cell r="I250">
            <v>88522</v>
          </cell>
          <cell r="J250">
            <v>1370362</v>
          </cell>
          <cell r="M250">
            <v>395191</v>
          </cell>
          <cell r="N250">
            <v>88522</v>
          </cell>
          <cell r="O250">
            <v>5076560</v>
          </cell>
          <cell r="R250">
            <v>423885</v>
          </cell>
          <cell r="S250">
            <v>151425</v>
          </cell>
          <cell r="V250" t="str">
            <v>Corporate Allocated</v>
          </cell>
          <cell r="W250" t="str">
            <v>Legal Governance</v>
          </cell>
          <cell r="AA250" t="str">
            <v>[10200]  PECO Energy CompanyCorporate AllocatedLegal Governance</v>
          </cell>
          <cell r="AB250" t="str">
            <v>[10200]  PECO Energy CompanyCorporate Allocated (Legal Governance)Business Services</v>
          </cell>
          <cell r="AC250" t="str">
            <v>[10200]  PECO Energy CompanyCorporate Allocated (Legal Governance)EBSC Leg Gov - PECO (00355)</v>
          </cell>
          <cell r="AF250" t="e">
            <v>#N/A</v>
          </cell>
        </row>
        <row r="251">
          <cell r="E251">
            <v>2129860</v>
          </cell>
          <cell r="H251">
            <v>-1450805</v>
          </cell>
          <cell r="I251">
            <v>-1355279</v>
          </cell>
          <cell r="J251">
            <v>4573135</v>
          </cell>
          <cell r="M251">
            <v>-1493012</v>
          </cell>
          <cell r="N251">
            <v>-1355279</v>
          </cell>
          <cell r="O251">
            <v>9780935</v>
          </cell>
          <cell r="R251">
            <v>57286</v>
          </cell>
          <cell r="S251">
            <v>558240</v>
          </cell>
          <cell r="V251" t="str">
            <v>Corporate Allocated</v>
          </cell>
          <cell r="W251" t="str">
            <v>Executive Services</v>
          </cell>
          <cell r="AA251" t="str">
            <v>[10200]  PECO Energy CompanyCorporate AllocatedExecutive Services</v>
          </cell>
          <cell r="AB251" t="str">
            <v>[10200]  PECO Energy CompanyCorporate Allocated (Executive Services)Business Services</v>
          </cell>
          <cell r="AC251" t="str">
            <v>[10200]  PECO Energy CompanyCorporate Allocated (Executive Services)EBSC Exec Srvcs - PECO (00366)</v>
          </cell>
          <cell r="AF251" t="e">
            <v>#N/A</v>
          </cell>
        </row>
        <row r="252">
          <cell r="E252">
            <v>224916</v>
          </cell>
          <cell r="H252">
            <v>38306</v>
          </cell>
          <cell r="I252">
            <v>38306</v>
          </cell>
          <cell r="J252">
            <v>978905</v>
          </cell>
          <cell r="M252">
            <v>73984</v>
          </cell>
          <cell r="N252">
            <v>38306</v>
          </cell>
          <cell r="O252">
            <v>3084683</v>
          </cell>
          <cell r="R252">
            <v>73984</v>
          </cell>
          <cell r="S252">
            <v>38306</v>
          </cell>
          <cell r="V252" t="str">
            <v>EBSC Transactional</v>
          </cell>
          <cell r="W252" t="str">
            <v>HR &amp; Fin Srvcs</v>
          </cell>
          <cell r="AA252" t="str">
            <v>[10200]  PECO Energy CompanyEBSC TransactionalHR &amp; Fin Srvcs</v>
          </cell>
          <cell r="AB252" t="str">
            <v>[10200]  PECO Energy CompanyEBSC Transactional (HR &amp; Fin Srvcs)Business Services</v>
          </cell>
          <cell r="AC252" t="str">
            <v>[10200]  PECO Energy CompanyEBSC Transactional (HR &amp; Fin Srvcs)EBSC Hr &amp; Fin Srvcs - PECO (00373)</v>
          </cell>
          <cell r="AF252" t="e">
            <v>#N/A</v>
          </cell>
        </row>
        <row r="253">
          <cell r="E253">
            <v>38959</v>
          </cell>
          <cell r="H253">
            <v>4767</v>
          </cell>
          <cell r="I253">
            <v>1415</v>
          </cell>
          <cell r="J253">
            <v>155417</v>
          </cell>
          <cell r="M253">
            <v>20833</v>
          </cell>
          <cell r="N253">
            <v>1415</v>
          </cell>
          <cell r="O253">
            <v>533366</v>
          </cell>
          <cell r="R253">
            <v>8917</v>
          </cell>
          <cell r="S253">
            <v>1415</v>
          </cell>
          <cell r="V253" t="str">
            <v>Corporate Allocated</v>
          </cell>
          <cell r="W253" t="str">
            <v>Security</v>
          </cell>
          <cell r="AA253" t="str">
            <v>[10200]  PECO Energy CompanyCorporate AllocatedSecurity</v>
          </cell>
          <cell r="AB253" t="str">
            <v>[10200]  PECO Energy CompanyCorporate Allocated (Security)Business Services</v>
          </cell>
          <cell r="AC253" t="str">
            <v>[10200]  PECO Energy CompanyCorporate Allocated (Security)EBSC Security Srvcs - PED (00380)</v>
          </cell>
          <cell r="AF253" t="e">
            <v>#N/A</v>
          </cell>
        </row>
        <row r="254">
          <cell r="E254">
            <v>311092</v>
          </cell>
          <cell r="H254">
            <v>204024</v>
          </cell>
          <cell r="I254">
            <v>194024</v>
          </cell>
          <cell r="J254">
            <v>1691557</v>
          </cell>
          <cell r="M254">
            <v>368907</v>
          </cell>
          <cell r="N254">
            <v>194024</v>
          </cell>
          <cell r="O254">
            <v>5381390</v>
          </cell>
          <cell r="R254">
            <v>800000</v>
          </cell>
          <cell r="S254">
            <v>500000</v>
          </cell>
          <cell r="V254" t="str">
            <v>EBSC Transactional</v>
          </cell>
          <cell r="W254" t="str">
            <v>Legal Services</v>
          </cell>
          <cell r="AA254" t="str">
            <v>[10200]  PECO Energy CompanyEBSC TransactionalLegal Services</v>
          </cell>
          <cell r="AB254" t="str">
            <v>[10200]  PECO Energy CompanyEBSC Transactional (Legal Services)Business Services</v>
          </cell>
          <cell r="AC254" t="str">
            <v>[10200]  PECO Energy CompanyEBSC Transactional (Legal Services)EBSC Legal Srvcs - PED (00385)</v>
          </cell>
          <cell r="AF254" t="e">
            <v>#N/A</v>
          </cell>
        </row>
        <row r="255">
          <cell r="E255">
            <v>82070</v>
          </cell>
          <cell r="H255">
            <v>-24760</v>
          </cell>
          <cell r="I255">
            <v>-14931</v>
          </cell>
          <cell r="J255">
            <v>334320</v>
          </cell>
          <cell r="M255">
            <v>-103514</v>
          </cell>
          <cell r="N255">
            <v>-14931</v>
          </cell>
          <cell r="O255">
            <v>791232</v>
          </cell>
          <cell r="R255">
            <v>-65446</v>
          </cell>
          <cell r="S255">
            <v>-17169</v>
          </cell>
          <cell r="V255" t="str">
            <v>Corporate Allocated</v>
          </cell>
          <cell r="W255" t="str">
            <v>Supply Services</v>
          </cell>
          <cell r="AA255" t="str">
            <v>[10200]  PECO Energy CompanyCorporate AllocatedSupply Services</v>
          </cell>
          <cell r="AB255" t="str">
            <v>[10200]  PECO Energy CompanyCorporate Allocated (Supply Services)Business Services</v>
          </cell>
          <cell r="AC255" t="str">
            <v>[10200]  PECO Energy CompanyCorporate Allocated (Supply Services)EBSC Sup Srvcs -PED (00394)</v>
          </cell>
          <cell r="AF255" t="e">
            <v>#N/A</v>
          </cell>
        </row>
        <row r="256">
          <cell r="E256">
            <v>2344</v>
          </cell>
          <cell r="H256">
            <v>-2344</v>
          </cell>
          <cell r="I256">
            <v>3790</v>
          </cell>
          <cell r="J256">
            <v>10146</v>
          </cell>
          <cell r="M256">
            <v>-10146</v>
          </cell>
          <cell r="N256">
            <v>3790</v>
          </cell>
          <cell r="O256">
            <v>29356</v>
          </cell>
          <cell r="R256">
            <v>-29356</v>
          </cell>
          <cell r="S256">
            <v>-2676</v>
          </cell>
          <cell r="V256" t="str">
            <v>EBSC Transactional</v>
          </cell>
          <cell r="W256" t="str">
            <v>IT</v>
          </cell>
          <cell r="AA256" t="str">
            <v>[10200]  PECO Energy CompanyEBSC TransactionalIT</v>
          </cell>
          <cell r="AB256" t="str">
            <v>[10200]  PECO Energy CompanyEBSC Transactional (IT)Salaries and Wages</v>
          </cell>
          <cell r="AC256" t="str">
            <v>[10200]  PECO Energy CompanyEBSC Transactional (IT)IT Projects - PECO (00396)</v>
          </cell>
          <cell r="AF256" t="e">
            <v>#N/A</v>
          </cell>
        </row>
        <row r="257">
          <cell r="E257">
            <v>14</v>
          </cell>
          <cell r="H257">
            <v>-14</v>
          </cell>
          <cell r="I257">
            <v>-14</v>
          </cell>
          <cell r="J257">
            <v>7815</v>
          </cell>
          <cell r="M257">
            <v>-7815</v>
          </cell>
          <cell r="N257">
            <v>-14</v>
          </cell>
          <cell r="O257">
            <v>7815</v>
          </cell>
          <cell r="R257">
            <v>-7815</v>
          </cell>
          <cell r="S257">
            <v>-14</v>
          </cell>
          <cell r="V257" t="str">
            <v>EBSC Transactional</v>
          </cell>
          <cell r="W257" t="str">
            <v>IT</v>
          </cell>
          <cell r="AA257" t="str">
            <v>[10200]  PECO Energy CompanyEBSC TransactionalIT</v>
          </cell>
          <cell r="AB257" t="str">
            <v>[10200]  PECO Energy CompanyEBSC Transactional (IT)Travel, Entertainment &amp; Reimb</v>
          </cell>
          <cell r="AC257" t="str">
            <v>[10200]  PECO Energy CompanyEBSC Transactional (IT)IT Projects - PECO (00396)</v>
          </cell>
          <cell r="AF257" t="e">
            <v>#N/A</v>
          </cell>
        </row>
        <row r="258">
          <cell r="E258">
            <v>30054</v>
          </cell>
          <cell r="H258">
            <v>-30054</v>
          </cell>
          <cell r="I258">
            <v>-26694</v>
          </cell>
          <cell r="J258">
            <v>35330</v>
          </cell>
          <cell r="M258">
            <v>-35330</v>
          </cell>
          <cell r="N258">
            <v>-26694</v>
          </cell>
          <cell r="O258">
            <v>37570</v>
          </cell>
          <cell r="R258">
            <v>-37570</v>
          </cell>
          <cell r="S258">
            <v>-18854</v>
          </cell>
          <cell r="V258" t="str">
            <v>EBSC Transactional</v>
          </cell>
          <cell r="W258" t="str">
            <v>IT</v>
          </cell>
          <cell r="AA258" t="str">
            <v>[10200]  PECO Energy CompanyEBSC TransactionalIT</v>
          </cell>
          <cell r="AB258" t="str">
            <v>[10200]  PECO Energy CompanyEBSC Transactional (IT)Contracting</v>
          </cell>
          <cell r="AC258" t="str">
            <v>[10200]  PECO Energy CompanyEBSC Transactional (IT)IT Projects - PECO (00396)</v>
          </cell>
          <cell r="AF258" t="e">
            <v>#N/A</v>
          </cell>
        </row>
        <row r="259">
          <cell r="E259">
            <v>173415</v>
          </cell>
          <cell r="H259">
            <v>-123215</v>
          </cell>
          <cell r="I259">
            <v>-33855</v>
          </cell>
          <cell r="J259">
            <v>239784</v>
          </cell>
          <cell r="M259">
            <v>-139384</v>
          </cell>
          <cell r="N259">
            <v>-33855</v>
          </cell>
          <cell r="O259">
            <v>617664</v>
          </cell>
          <cell r="R259">
            <v>482336</v>
          </cell>
          <cell r="S259">
            <v>-285525</v>
          </cell>
          <cell r="V259" t="str">
            <v>EBSC Transactional</v>
          </cell>
          <cell r="W259" t="str">
            <v>IT</v>
          </cell>
          <cell r="AA259" t="str">
            <v>[10200]  PECO Energy CompanyEBSC TransactionalIT</v>
          </cell>
          <cell r="AB259" t="str">
            <v>[10200]  PECO Energy CompanyEBSC Transactional (IT)Business Services</v>
          </cell>
          <cell r="AC259" t="str">
            <v>[10200]  PECO Energy CompanyEBSC Transactional (IT)IT Projects - PECO (00396)</v>
          </cell>
          <cell r="AF259" t="e">
            <v>#N/A</v>
          </cell>
        </row>
        <row r="260">
          <cell r="E260">
            <v>0</v>
          </cell>
          <cell r="H260">
            <v>0</v>
          </cell>
          <cell r="I260">
            <v>0</v>
          </cell>
          <cell r="J260">
            <v>0</v>
          </cell>
          <cell r="M260">
            <v>0</v>
          </cell>
          <cell r="N260">
            <v>0</v>
          </cell>
          <cell r="O260">
            <v>196000</v>
          </cell>
          <cell r="R260">
            <v>-196000</v>
          </cell>
          <cell r="S260">
            <v>0</v>
          </cell>
          <cell r="V260" t="str">
            <v>EBSC Transactional</v>
          </cell>
          <cell r="W260" t="str">
            <v>IT</v>
          </cell>
          <cell r="AA260" t="str">
            <v>[10200]  PECO Energy CompanyEBSC TransactionalIT</v>
          </cell>
          <cell r="AB260" t="str">
            <v>[10200]  PECO Energy CompanyEBSC Transactional (IT)Materials and Supplies</v>
          </cell>
          <cell r="AC260" t="str">
            <v>[10200]  PECO Energy CompanyEBSC Transactional (IT)IT Projects - PECO (00396)</v>
          </cell>
          <cell r="AF260" t="e">
            <v>#N/A</v>
          </cell>
        </row>
        <row r="261">
          <cell r="E261">
            <v>329</v>
          </cell>
          <cell r="H261">
            <v>-329</v>
          </cell>
          <cell r="I261">
            <v>-329</v>
          </cell>
          <cell r="J261">
            <v>394</v>
          </cell>
          <cell r="M261">
            <v>-394</v>
          </cell>
          <cell r="N261">
            <v>-329</v>
          </cell>
          <cell r="O261">
            <v>394</v>
          </cell>
          <cell r="R261">
            <v>-394</v>
          </cell>
          <cell r="S261">
            <v>-329</v>
          </cell>
          <cell r="V261" t="str">
            <v>EBSC Transactional</v>
          </cell>
          <cell r="W261" t="str">
            <v>IT</v>
          </cell>
          <cell r="AA261" t="str">
            <v>[10200]  PECO Energy CompanyEBSC TransactionalIT</v>
          </cell>
          <cell r="AB261" t="str">
            <v>[10200]  PECO Energy CompanyEBSC Transactional (IT)Travel, Entertainment &amp; Reimb</v>
          </cell>
          <cell r="AC261" t="str">
            <v>[10200]  PECO Energy CompanyEBSC Transactional (IT)IT Projects - PECO (00396)</v>
          </cell>
          <cell r="AF261" t="e">
            <v>#N/A</v>
          </cell>
        </row>
        <row r="262">
          <cell r="E262">
            <v>283</v>
          </cell>
          <cell r="H262">
            <v>-283</v>
          </cell>
          <cell r="I262">
            <v>-283</v>
          </cell>
          <cell r="J262">
            <v>283</v>
          </cell>
          <cell r="M262">
            <v>-283</v>
          </cell>
          <cell r="N262">
            <v>-283</v>
          </cell>
          <cell r="O262">
            <v>283</v>
          </cell>
          <cell r="R262">
            <v>-283</v>
          </cell>
          <cell r="S262">
            <v>-283</v>
          </cell>
          <cell r="V262" t="str">
            <v>EBSC Transactional</v>
          </cell>
          <cell r="W262" t="str">
            <v>IT</v>
          </cell>
          <cell r="AA262" t="str">
            <v>[10200]  PECO Energy CompanyEBSC TransactionalIT</v>
          </cell>
          <cell r="AB262" t="str">
            <v>[10200]  PECO Energy CompanyEBSC Transactional (IT)Other Operating Expenses</v>
          </cell>
          <cell r="AC262" t="str">
            <v>[10200]  PECO Energy CompanyEBSC Transactional (IT)IT Projects - PECO (00396)</v>
          </cell>
          <cell r="AF262" t="e">
            <v>#N/A</v>
          </cell>
        </row>
        <row r="263">
          <cell r="E263">
            <v>-6935</v>
          </cell>
          <cell r="H263">
            <v>6935</v>
          </cell>
          <cell r="I263">
            <v>6935</v>
          </cell>
          <cell r="J263">
            <v>-89123</v>
          </cell>
          <cell r="M263">
            <v>89123</v>
          </cell>
          <cell r="N263">
            <v>6935</v>
          </cell>
          <cell r="O263">
            <v>-62123</v>
          </cell>
          <cell r="R263">
            <v>62123</v>
          </cell>
          <cell r="S263">
            <v>573694</v>
          </cell>
          <cell r="V263" t="str">
            <v>EBSC Transactional</v>
          </cell>
          <cell r="W263" t="str">
            <v>IT</v>
          </cell>
          <cell r="AA263" t="str">
            <v>[10200]  PECO Energy CompanyEBSC TransactionalIT</v>
          </cell>
          <cell r="AB263" t="str">
            <v>[10200]  PECO Energy CompanyEBSC Transactional (IT)Other Operating Expenses</v>
          </cell>
          <cell r="AC263" t="str">
            <v>[10200]  PECO Energy CompanyEBSC Transactional (IT)IT Projects - PECO (00396)</v>
          </cell>
          <cell r="AF263" t="e">
            <v>#N/A</v>
          </cell>
        </row>
        <row r="264">
          <cell r="E264">
            <v>376</v>
          </cell>
          <cell r="H264">
            <v>-376</v>
          </cell>
          <cell r="I264">
            <v>-376</v>
          </cell>
          <cell r="J264">
            <v>376</v>
          </cell>
          <cell r="M264">
            <v>-376</v>
          </cell>
          <cell r="N264">
            <v>-376</v>
          </cell>
          <cell r="O264">
            <v>376</v>
          </cell>
          <cell r="R264">
            <v>-376</v>
          </cell>
          <cell r="S264">
            <v>-376</v>
          </cell>
          <cell r="V264" t="str">
            <v>EBSC Transactional</v>
          </cell>
          <cell r="W264" t="str">
            <v>IT</v>
          </cell>
          <cell r="AA264" t="str">
            <v>[10200]  PECO Energy CompanyEBSC TransactionalIT</v>
          </cell>
          <cell r="AB264" t="str">
            <v>[10200]  PECO Energy CompanyEBSC Transactional (IT)Other Operating Expenses</v>
          </cell>
          <cell r="AC264" t="str">
            <v>[10200]  PECO Energy CompanyEBSC Transactional (IT)IT Projects - PECO (00396)</v>
          </cell>
          <cell r="AF264" t="e">
            <v>#N/A</v>
          </cell>
        </row>
        <row r="265">
          <cell r="E265">
            <v>1884</v>
          </cell>
          <cell r="H265">
            <v>-1884</v>
          </cell>
          <cell r="I265">
            <v>-1884</v>
          </cell>
          <cell r="J265">
            <v>8006</v>
          </cell>
          <cell r="M265">
            <v>-8006</v>
          </cell>
          <cell r="N265">
            <v>-1884</v>
          </cell>
          <cell r="O265">
            <v>219155</v>
          </cell>
          <cell r="R265">
            <v>-219155</v>
          </cell>
          <cell r="S265">
            <v>-213033</v>
          </cell>
          <cell r="V265" t="str">
            <v>EBSC Transactional</v>
          </cell>
          <cell r="W265" t="str">
            <v>IT</v>
          </cell>
          <cell r="AA265" t="str">
            <v>[10200]  PECO Energy CompanyEBSC TransactionalIT</v>
          </cell>
          <cell r="AB265" t="str">
            <v>[10200]  PECO Energy CompanyEBSC Transactional (IT)Pension and Benefits</v>
          </cell>
          <cell r="AC265" t="str">
            <v>[10200]  PECO Energy CompanyEBSC Transactional (IT)IT Projects - PECO (00396)</v>
          </cell>
          <cell r="AF265" t="e">
            <v>#N/A</v>
          </cell>
        </row>
        <row r="266">
          <cell r="E266">
            <v>-81916</v>
          </cell>
          <cell r="H266">
            <v>266800</v>
          </cell>
          <cell r="I266">
            <v>262316</v>
          </cell>
          <cell r="J266">
            <v>300433</v>
          </cell>
          <cell r="M266">
            <v>439103</v>
          </cell>
          <cell r="N266">
            <v>262316</v>
          </cell>
          <cell r="O266">
            <v>2066237</v>
          </cell>
          <cell r="R266">
            <v>152368</v>
          </cell>
          <cell r="S266">
            <v>459</v>
          </cell>
          <cell r="V266" t="str">
            <v>Embedded</v>
          </cell>
          <cell r="W266" t="str">
            <v>Legal Services</v>
          </cell>
          <cell r="AA266" t="str">
            <v>[10200]  PECO Energy CompanyEmbeddedLegal Services</v>
          </cell>
          <cell r="AB266" t="str">
            <v>[10200]  PECO Energy CompanyEmbedded (Legal Services)Contracting</v>
          </cell>
          <cell r="AC266" t="str">
            <v>[10200]  PECO Energy CompanyEmbedded (Legal Services)Legal Ext. Srvcs - PECO (00403)</v>
          </cell>
          <cell r="AF266" t="e">
            <v>#N/A</v>
          </cell>
        </row>
        <row r="267">
          <cell r="E267">
            <v>435</v>
          </cell>
          <cell r="H267">
            <v>-435</v>
          </cell>
          <cell r="I267">
            <v>-435</v>
          </cell>
          <cell r="J267">
            <v>1441</v>
          </cell>
          <cell r="M267">
            <v>-1441</v>
          </cell>
          <cell r="N267">
            <v>-435</v>
          </cell>
          <cell r="O267">
            <v>1441</v>
          </cell>
          <cell r="R267">
            <v>-1441</v>
          </cell>
          <cell r="S267">
            <v>-435</v>
          </cell>
          <cell r="V267" t="str">
            <v>Embedded</v>
          </cell>
          <cell r="W267" t="str">
            <v>Legal Services</v>
          </cell>
          <cell r="AA267" t="str">
            <v>[10200]  PECO Energy CompanyEmbeddedLegal Services</v>
          </cell>
          <cell r="AB267" t="str">
            <v>[10200]  PECO Energy CompanyEmbedded (Legal Services)Business Services</v>
          </cell>
          <cell r="AC267" t="str">
            <v>[10200]  PECO Energy CompanyEmbedded (Legal Services)Legal Ext. Srvcs - PECO (00403)</v>
          </cell>
          <cell r="AF267" t="e">
            <v>#N/A</v>
          </cell>
        </row>
        <row r="268">
          <cell r="E268">
            <v>24</v>
          </cell>
          <cell r="H268">
            <v>-24</v>
          </cell>
          <cell r="I268">
            <v>-24</v>
          </cell>
          <cell r="J268">
            <v>47</v>
          </cell>
          <cell r="M268">
            <v>-47</v>
          </cell>
          <cell r="N268">
            <v>-24</v>
          </cell>
          <cell r="O268">
            <v>47</v>
          </cell>
          <cell r="R268">
            <v>-47</v>
          </cell>
          <cell r="S268">
            <v>-24</v>
          </cell>
          <cell r="V268" t="str">
            <v>Embedded</v>
          </cell>
          <cell r="W268" t="str">
            <v>Legal Services</v>
          </cell>
          <cell r="AA268" t="str">
            <v>[10200]  PECO Energy CompanyEmbeddedLegal Services</v>
          </cell>
          <cell r="AB268" t="str">
            <v>[10200]  PECO Energy CompanyEmbedded (Legal Services)Other Operating Expenses</v>
          </cell>
          <cell r="AC268" t="str">
            <v>[10200]  PECO Energy CompanyEmbedded (Legal Services)Legal Ext. Srvcs - PECO (00403)</v>
          </cell>
          <cell r="AF268" t="e">
            <v>#N/A</v>
          </cell>
        </row>
        <row r="269">
          <cell r="E269">
            <v>0</v>
          </cell>
          <cell r="H269">
            <v>0</v>
          </cell>
          <cell r="I269">
            <v>0</v>
          </cell>
          <cell r="J269">
            <v>881</v>
          </cell>
          <cell r="M269">
            <v>-881</v>
          </cell>
          <cell r="N269">
            <v>0</v>
          </cell>
          <cell r="O269">
            <v>881</v>
          </cell>
          <cell r="R269">
            <v>-881</v>
          </cell>
          <cell r="S269">
            <v>0</v>
          </cell>
          <cell r="V269" t="str">
            <v>Embedded</v>
          </cell>
          <cell r="W269" t="str">
            <v>Legal Services</v>
          </cell>
          <cell r="AA269" t="str">
            <v>[10200]  PECO Energy CompanyEmbeddedLegal Services</v>
          </cell>
          <cell r="AB269" t="str">
            <v>[10200]  PECO Energy CompanyEmbedded (Legal Services)Other Operating Expenses</v>
          </cell>
          <cell r="AC269" t="str">
            <v>[10200]  PECO Energy CompanyEmbedded (Legal Services)Legal Ext. Srvcs - PECO (00403)</v>
          </cell>
          <cell r="AF269" t="e">
            <v>#N/A</v>
          </cell>
        </row>
        <row r="270">
          <cell r="E270">
            <v>843</v>
          </cell>
          <cell r="H270">
            <v>560973</v>
          </cell>
          <cell r="I270">
            <v>560973</v>
          </cell>
          <cell r="J270">
            <v>3373</v>
          </cell>
          <cell r="M270">
            <v>2243892</v>
          </cell>
          <cell r="N270">
            <v>560973</v>
          </cell>
          <cell r="O270">
            <v>3373</v>
          </cell>
          <cell r="R270">
            <v>6738423</v>
          </cell>
          <cell r="S270">
            <v>5358687</v>
          </cell>
          <cell r="V270" t="str">
            <v>Embedded</v>
          </cell>
          <cell r="W270" t="str">
            <v>IT</v>
          </cell>
          <cell r="AA270" t="str">
            <v>[10200]  PECO Energy CompanyEmbeddedIT</v>
          </cell>
          <cell r="AB270" t="str">
            <v>[10200]  PECO Energy CompanyEmbedded (IT)Business Services</v>
          </cell>
          <cell r="AC270" t="str">
            <v>[10200]  PECO Energy CompanyEmbedded (IT)IT passthrough-PECO (00417)</v>
          </cell>
          <cell r="AF270" t="e">
            <v>#N/A</v>
          </cell>
        </row>
        <row r="271">
          <cell r="E271">
            <v>312580</v>
          </cell>
          <cell r="H271">
            <v>-312580</v>
          </cell>
          <cell r="I271">
            <v>-312580</v>
          </cell>
          <cell r="J271">
            <v>1264811</v>
          </cell>
          <cell r="M271">
            <v>-1264811</v>
          </cell>
          <cell r="N271">
            <v>-312580</v>
          </cell>
          <cell r="O271">
            <v>6012525</v>
          </cell>
          <cell r="R271">
            <v>-6012525</v>
          </cell>
          <cell r="S271">
            <v>-5060295</v>
          </cell>
          <cell r="V271" t="str">
            <v>Embedded</v>
          </cell>
          <cell r="W271" t="str">
            <v>IT</v>
          </cell>
          <cell r="AA271" t="str">
            <v>[10200]  PECO Energy CompanyEmbeddedIT</v>
          </cell>
          <cell r="AB271" t="str">
            <v>[10200]  PECO Energy CompanyEmbedded (IT)Other Operating Expenses</v>
          </cell>
          <cell r="AC271" t="str">
            <v>[10200]  PECO Energy CompanyEmbedded (IT)IT passthrough-PECO (00417)</v>
          </cell>
          <cell r="AF271" t="e">
            <v>#N/A</v>
          </cell>
        </row>
        <row r="272">
          <cell r="E272">
            <v>176908</v>
          </cell>
          <cell r="H272">
            <v>-176908</v>
          </cell>
          <cell r="I272">
            <v>-176908</v>
          </cell>
          <cell r="J272">
            <v>707968</v>
          </cell>
          <cell r="M272">
            <v>-707968</v>
          </cell>
          <cell r="N272">
            <v>-176908</v>
          </cell>
          <cell r="O272">
            <v>707968</v>
          </cell>
          <cell r="R272">
            <v>-707968</v>
          </cell>
          <cell r="S272">
            <v>-280463</v>
          </cell>
          <cell r="V272" t="str">
            <v>Embedded</v>
          </cell>
          <cell r="W272" t="str">
            <v>IT</v>
          </cell>
          <cell r="AA272" t="str">
            <v>[10200]  PECO Energy CompanyEmbeddedIT</v>
          </cell>
          <cell r="AB272" t="str">
            <v>[10200]  PECO Energy CompanyEmbedded (IT)Other Operating Expenses</v>
          </cell>
          <cell r="AC272" t="str">
            <v>[10200]  PECO Energy CompanyEmbedded (IT)IT passthrough-PECO (00417)</v>
          </cell>
          <cell r="AF272" t="e">
            <v>#N/A</v>
          </cell>
        </row>
        <row r="273">
          <cell r="E273">
            <v>176154</v>
          </cell>
          <cell r="H273">
            <v>22619</v>
          </cell>
          <cell r="I273">
            <v>15453</v>
          </cell>
          <cell r="J273">
            <v>620702</v>
          </cell>
          <cell r="M273">
            <v>190487</v>
          </cell>
          <cell r="N273">
            <v>15453</v>
          </cell>
          <cell r="O273">
            <v>2476073</v>
          </cell>
          <cell r="R273">
            <v>116129</v>
          </cell>
          <cell r="S273">
            <v>89531</v>
          </cell>
          <cell r="V273" t="str">
            <v>Corporate Allocated</v>
          </cell>
          <cell r="W273" t="str">
            <v>Gov Env &amp; Pub Affairs</v>
          </cell>
          <cell r="AA273" t="str">
            <v>[10200]  PECO Energy CompanyCorporate AllocatedGov Env &amp; Pub Affairs</v>
          </cell>
          <cell r="AB273" t="str">
            <v>[10200]  PECO Energy CompanyCorporate Allocated (Gov Env &amp; Pub Affairs)Business Services</v>
          </cell>
          <cell r="AC273" t="str">
            <v>[10200]  PECO Energy CompanyCorporate Allocated (Gov Env &amp; Pub Affairs)EBSC Gov Env &amp; Pub Affairs PED (00776)</v>
          </cell>
          <cell r="AF273" t="e">
            <v>#N/A</v>
          </cell>
        </row>
        <row r="274">
          <cell r="E274">
            <v>30684</v>
          </cell>
          <cell r="H274">
            <v>-1791</v>
          </cell>
          <cell r="I274">
            <v>-1791</v>
          </cell>
          <cell r="J274">
            <v>104731</v>
          </cell>
          <cell r="M274">
            <v>3107</v>
          </cell>
          <cell r="N274">
            <v>-1791</v>
          </cell>
          <cell r="O274">
            <v>385193</v>
          </cell>
          <cell r="R274">
            <v>3107</v>
          </cell>
          <cell r="S274">
            <v>-1791</v>
          </cell>
          <cell r="V274" t="str">
            <v>Embedded</v>
          </cell>
          <cell r="W274" t="str">
            <v>Finance</v>
          </cell>
          <cell r="AA274" t="str">
            <v>[10200]  PECO Energy CompanyEmbeddedFinance</v>
          </cell>
          <cell r="AB274" t="str">
            <v>[10200]  PECO Energy CompanyEmbedded (Finance)Salaries and Wages</v>
          </cell>
          <cell r="AC274" t="str">
            <v>[10200]  PECO Energy CompanyEmbedded (Finance)Tax-PECO (00817)</v>
          </cell>
          <cell r="AF274" t="str">
            <v>EEDTaxSalaries and Wages</v>
          </cell>
        </row>
        <row r="275">
          <cell r="E275">
            <v>2014</v>
          </cell>
          <cell r="H275">
            <v>-14</v>
          </cell>
          <cell r="I275">
            <v>-14</v>
          </cell>
          <cell r="J275">
            <v>3001</v>
          </cell>
          <cell r="M275">
            <v>4999</v>
          </cell>
          <cell r="N275">
            <v>-14</v>
          </cell>
          <cell r="O275">
            <v>19001</v>
          </cell>
          <cell r="R275">
            <v>4999</v>
          </cell>
          <cell r="S275">
            <v>-14</v>
          </cell>
          <cell r="V275" t="str">
            <v>Embedded</v>
          </cell>
          <cell r="W275" t="str">
            <v>Finance</v>
          </cell>
          <cell r="AA275" t="str">
            <v>[10200]  PECO Energy CompanyEmbeddedFinance</v>
          </cell>
          <cell r="AB275" t="str">
            <v>[10200]  PECO Energy CompanyEmbedded (Finance)Travel, Entertainment &amp; Reimb</v>
          </cell>
          <cell r="AC275" t="str">
            <v>[10200]  PECO Energy CompanyEmbedded (Finance)Tax-PECO (00817)</v>
          </cell>
          <cell r="AF275" t="str">
            <v>EEDTaxTravel, Entertainment &amp; Reimb</v>
          </cell>
        </row>
        <row r="276">
          <cell r="E276">
            <v>8733872</v>
          </cell>
          <cell r="H276">
            <v>-8719722</v>
          </cell>
          <cell r="I276">
            <v>-8719722</v>
          </cell>
          <cell r="J276">
            <v>8736925</v>
          </cell>
          <cell r="M276">
            <v>-8680325</v>
          </cell>
          <cell r="N276">
            <v>-8719722</v>
          </cell>
          <cell r="O276">
            <v>8850125</v>
          </cell>
          <cell r="R276">
            <v>-8680325</v>
          </cell>
          <cell r="S276">
            <v>-8719722</v>
          </cell>
          <cell r="V276" t="str">
            <v>Embedded</v>
          </cell>
          <cell r="W276" t="str">
            <v>Finance</v>
          </cell>
          <cell r="AA276" t="str">
            <v>[10200]  PECO Energy CompanyEmbeddedFinance</v>
          </cell>
          <cell r="AB276" t="str">
            <v>[10200]  PECO Energy CompanyEmbedded (Finance)Contracting</v>
          </cell>
          <cell r="AC276" t="str">
            <v>[10200]  PECO Energy CompanyEmbedded (Finance)Tax-PECO (00817)</v>
          </cell>
          <cell r="AF276" t="str">
            <v>EEDTaxContracting</v>
          </cell>
        </row>
        <row r="277">
          <cell r="E277">
            <v>1937</v>
          </cell>
          <cell r="H277">
            <v>-1537</v>
          </cell>
          <cell r="I277">
            <v>-1537</v>
          </cell>
          <cell r="J277">
            <v>7979</v>
          </cell>
          <cell r="M277">
            <v>-6379</v>
          </cell>
          <cell r="N277">
            <v>-1537</v>
          </cell>
          <cell r="O277">
            <v>11179</v>
          </cell>
          <cell r="R277">
            <v>-6379</v>
          </cell>
          <cell r="S277">
            <v>-1537</v>
          </cell>
          <cell r="V277" t="str">
            <v>Embedded</v>
          </cell>
          <cell r="W277" t="str">
            <v>Finance</v>
          </cell>
          <cell r="AA277" t="str">
            <v>[10200]  PECO Energy CompanyEmbeddedFinance</v>
          </cell>
          <cell r="AB277" t="str">
            <v>[10200]  PECO Energy CompanyEmbedded (Finance)Business Services</v>
          </cell>
          <cell r="AC277" t="str">
            <v>[10200]  PECO Energy CompanyEmbedded (Finance)Tax-PECO (00817)</v>
          </cell>
          <cell r="AF277" t="str">
            <v>EEDTaxBusiness Services</v>
          </cell>
        </row>
        <row r="278">
          <cell r="E278">
            <v>1</v>
          </cell>
          <cell r="H278">
            <v>749</v>
          </cell>
          <cell r="I278">
            <v>749</v>
          </cell>
          <cell r="J278">
            <v>141</v>
          </cell>
          <cell r="M278">
            <v>2859</v>
          </cell>
          <cell r="N278">
            <v>749</v>
          </cell>
          <cell r="O278">
            <v>6141</v>
          </cell>
          <cell r="R278">
            <v>2859</v>
          </cell>
          <cell r="S278">
            <v>749</v>
          </cell>
          <cell r="V278" t="str">
            <v>Embedded</v>
          </cell>
          <cell r="W278" t="str">
            <v>Finance</v>
          </cell>
          <cell r="AA278" t="str">
            <v>[10200]  PECO Energy CompanyEmbeddedFinance</v>
          </cell>
          <cell r="AB278" t="str">
            <v>[10200]  PECO Energy CompanyEmbedded (Finance)Materials and Supplies</v>
          </cell>
          <cell r="AC278" t="str">
            <v>[10200]  PECO Energy CompanyEmbedded (Finance)Tax-PECO (00817)</v>
          </cell>
          <cell r="AF278" t="str">
            <v>EEDTaxMaterials and Supplies</v>
          </cell>
        </row>
        <row r="279">
          <cell r="E279">
            <v>68</v>
          </cell>
          <cell r="H279">
            <v>-68</v>
          </cell>
          <cell r="I279">
            <v>-68</v>
          </cell>
          <cell r="J279">
            <v>402</v>
          </cell>
          <cell r="M279">
            <v>-402</v>
          </cell>
          <cell r="N279">
            <v>-68</v>
          </cell>
          <cell r="O279">
            <v>402</v>
          </cell>
          <cell r="R279">
            <v>-402</v>
          </cell>
          <cell r="S279">
            <v>-68</v>
          </cell>
          <cell r="V279" t="str">
            <v>Embedded</v>
          </cell>
          <cell r="W279" t="str">
            <v>Finance</v>
          </cell>
          <cell r="AA279" t="str">
            <v>[10200]  PECO Energy CompanyEmbeddedFinance</v>
          </cell>
          <cell r="AB279" t="str">
            <v>[10200]  PECO Energy CompanyEmbedded (Finance)Travel, Entertainment &amp; Reimb</v>
          </cell>
          <cell r="AC279" t="str">
            <v>[10200]  PECO Energy CompanyEmbedded (Finance)Tax-PECO (00817)</v>
          </cell>
          <cell r="AF279" t="str">
            <v>EEDTaxTravel, Entertainment &amp; Reimb</v>
          </cell>
        </row>
        <row r="280">
          <cell r="E280">
            <v>240</v>
          </cell>
          <cell r="H280">
            <v>10</v>
          </cell>
          <cell r="I280">
            <v>10</v>
          </cell>
          <cell r="J280">
            <v>341</v>
          </cell>
          <cell r="M280">
            <v>12500659</v>
          </cell>
          <cell r="N280">
            <v>10</v>
          </cell>
          <cell r="O280">
            <v>2341</v>
          </cell>
          <cell r="R280">
            <v>12500659</v>
          </cell>
          <cell r="S280">
            <v>10</v>
          </cell>
          <cell r="V280" t="str">
            <v>Embedded</v>
          </cell>
          <cell r="W280" t="str">
            <v>Finance</v>
          </cell>
          <cell r="AA280" t="str">
            <v>[10200]  PECO Energy CompanyEmbeddedFinance</v>
          </cell>
          <cell r="AB280" t="str">
            <v>[10200]  PECO Energy CompanyEmbedded (Finance)Other Operating Expenses</v>
          </cell>
          <cell r="AC280" t="str">
            <v>[10200]  PECO Energy CompanyEmbedded (Finance)Tax-PECO (00817)</v>
          </cell>
          <cell r="AF280" t="str">
            <v>EEDTaxOther Operating Expenses</v>
          </cell>
        </row>
        <row r="281">
          <cell r="E281">
            <v>2445</v>
          </cell>
          <cell r="H281">
            <v>-2445</v>
          </cell>
          <cell r="I281">
            <v>-2445</v>
          </cell>
          <cell r="J281">
            <v>2437</v>
          </cell>
          <cell r="M281">
            <v>-2437</v>
          </cell>
          <cell r="N281">
            <v>-2445</v>
          </cell>
          <cell r="O281">
            <v>2437</v>
          </cell>
          <cell r="R281">
            <v>-2437</v>
          </cell>
          <cell r="S281">
            <v>-2445</v>
          </cell>
          <cell r="V281" t="str">
            <v>Embedded</v>
          </cell>
          <cell r="W281" t="str">
            <v>Finance</v>
          </cell>
          <cell r="AA281" t="str">
            <v>[10200]  PECO Energy CompanyEmbeddedFinance</v>
          </cell>
          <cell r="AB281" t="str">
            <v>[10200]  PECO Energy CompanyEmbedded (Finance)Travel, Entertainment &amp; Reimb</v>
          </cell>
          <cell r="AC281" t="str">
            <v>[10200]  PECO Energy CompanyEmbedded (Finance)Tax-PECO (00817)</v>
          </cell>
          <cell r="AF281" t="str">
            <v>EEDTaxTravel, Entertainment &amp; Reimb</v>
          </cell>
        </row>
        <row r="282">
          <cell r="E282">
            <v>178</v>
          </cell>
          <cell r="H282">
            <v>-178</v>
          </cell>
          <cell r="I282">
            <v>-178</v>
          </cell>
          <cell r="J282">
            <v>517</v>
          </cell>
          <cell r="M282">
            <v>-517</v>
          </cell>
          <cell r="N282">
            <v>-178</v>
          </cell>
          <cell r="O282">
            <v>517</v>
          </cell>
          <cell r="R282">
            <v>-517</v>
          </cell>
          <cell r="S282">
            <v>-178</v>
          </cell>
          <cell r="V282" t="str">
            <v>Embedded</v>
          </cell>
          <cell r="W282" t="str">
            <v>Finance</v>
          </cell>
          <cell r="AA282" t="str">
            <v>[10200]  PECO Energy CompanyEmbeddedFinance</v>
          </cell>
          <cell r="AB282" t="str">
            <v>[10200]  PECO Energy CompanyEmbedded (Finance)Other Operating Expenses</v>
          </cell>
          <cell r="AC282" t="str">
            <v>[10200]  PECO Energy CompanyEmbedded (Finance)Tax-PECO (00817)</v>
          </cell>
          <cell r="AF282" t="str">
            <v>EEDTaxOther Operating Expenses</v>
          </cell>
        </row>
        <row r="283">
          <cell r="E283">
            <v>1806</v>
          </cell>
          <cell r="H283">
            <v>594</v>
          </cell>
          <cell r="I283">
            <v>594</v>
          </cell>
          <cell r="J283">
            <v>2087</v>
          </cell>
          <cell r="M283">
            <v>7513</v>
          </cell>
          <cell r="N283">
            <v>594</v>
          </cell>
          <cell r="O283">
            <v>21287</v>
          </cell>
          <cell r="R283">
            <v>7513</v>
          </cell>
          <cell r="S283">
            <v>594</v>
          </cell>
          <cell r="V283" t="str">
            <v>Embedded</v>
          </cell>
          <cell r="W283" t="str">
            <v>Finance</v>
          </cell>
          <cell r="AA283" t="str">
            <v>[10200]  PECO Energy CompanyEmbeddedFinance</v>
          </cell>
          <cell r="AB283" t="str">
            <v>[10200]  PECO Energy CompanyEmbedded (Finance)Other Operating Expenses</v>
          </cell>
          <cell r="AC283" t="str">
            <v>[10200]  PECO Energy CompanyEmbedded (Finance)Tax-PECO (00817)</v>
          </cell>
          <cell r="AF283" t="str">
            <v>EEDTaxOther Operating Expenses</v>
          </cell>
        </row>
        <row r="284">
          <cell r="E284">
            <v>19217</v>
          </cell>
          <cell r="H284">
            <v>-2043</v>
          </cell>
          <cell r="I284">
            <v>-2043</v>
          </cell>
          <cell r="J284">
            <v>65401</v>
          </cell>
          <cell r="M284">
            <v>2945</v>
          </cell>
          <cell r="N284">
            <v>-2043</v>
          </cell>
          <cell r="O284">
            <v>193171</v>
          </cell>
          <cell r="R284">
            <v>2945</v>
          </cell>
          <cell r="S284">
            <v>-2043</v>
          </cell>
          <cell r="V284" t="str">
            <v>Embedded</v>
          </cell>
          <cell r="W284" t="str">
            <v>Finance</v>
          </cell>
          <cell r="AA284" t="str">
            <v>[10200]  PECO Energy CompanyEmbeddedFinance</v>
          </cell>
          <cell r="AB284" t="str">
            <v>[10200]  PECO Energy CompanyEmbedded (Finance)Pension and Benefits</v>
          </cell>
          <cell r="AC284" t="str">
            <v>[10200]  PECO Energy CompanyEmbedded (Finance)Tax-PECO (00817)</v>
          </cell>
          <cell r="AF284" t="str">
            <v>EEDTaxPension and Benefits</v>
          </cell>
        </row>
        <row r="285">
          <cell r="E285">
            <v>108882</v>
          </cell>
          <cell r="H285">
            <v>1620</v>
          </cell>
          <cell r="I285">
            <v>1620</v>
          </cell>
          <cell r="J285">
            <v>384360</v>
          </cell>
          <cell r="M285">
            <v>55373</v>
          </cell>
          <cell r="N285">
            <v>1620</v>
          </cell>
          <cell r="O285">
            <v>1304169</v>
          </cell>
          <cell r="R285">
            <v>49501</v>
          </cell>
          <cell r="S285">
            <v>51496</v>
          </cell>
          <cell r="V285" t="str">
            <v>Embedded</v>
          </cell>
          <cell r="W285" t="str">
            <v>Finance</v>
          </cell>
          <cell r="AA285" t="str">
            <v>[10200]  PECO Energy CompanyEmbeddedFinance</v>
          </cell>
          <cell r="AB285" t="str">
            <v>[10200]  PECO Energy CompanyEmbedded (Finance)Salaries and Wages</v>
          </cell>
          <cell r="AC285" t="str">
            <v>[10200]  PECO Energy CompanyEmbedded (Finance)Controller EED PECO (00825)</v>
          </cell>
          <cell r="AF285" t="str">
            <v>EEDControllerSalaries and Wages</v>
          </cell>
        </row>
        <row r="286">
          <cell r="E286">
            <v>2914</v>
          </cell>
          <cell r="H286">
            <v>-1414</v>
          </cell>
          <cell r="I286">
            <v>-1574</v>
          </cell>
          <cell r="J286">
            <v>9171</v>
          </cell>
          <cell r="M286">
            <v>-3171</v>
          </cell>
          <cell r="N286">
            <v>-1574</v>
          </cell>
          <cell r="O286">
            <v>19891</v>
          </cell>
          <cell r="R286">
            <v>-1891</v>
          </cell>
          <cell r="S286">
            <v>-1574</v>
          </cell>
          <cell r="V286" t="str">
            <v>Embedded</v>
          </cell>
          <cell r="W286" t="str">
            <v>Finance</v>
          </cell>
          <cell r="AA286" t="str">
            <v>[10200]  PECO Energy CompanyEmbeddedFinance</v>
          </cell>
          <cell r="AB286" t="str">
            <v>[10200]  PECO Energy CompanyEmbedded (Finance)Travel, Entertainment &amp; Reimb</v>
          </cell>
          <cell r="AC286" t="str">
            <v>[10200]  PECO Energy CompanyEmbedded (Finance)Controller EED PECO (00825)</v>
          </cell>
          <cell r="AF286" t="str">
            <v>EEDControllerTravel, Entertainment &amp; Reimb</v>
          </cell>
        </row>
        <row r="287">
          <cell r="E287">
            <v>32828</v>
          </cell>
          <cell r="H287">
            <v>-14855</v>
          </cell>
          <cell r="I287">
            <v>-19826</v>
          </cell>
          <cell r="J287">
            <v>143788</v>
          </cell>
          <cell r="M287">
            <v>-71281</v>
          </cell>
          <cell r="N287">
            <v>-19826</v>
          </cell>
          <cell r="O287">
            <v>182487</v>
          </cell>
          <cell r="R287">
            <v>-42502</v>
          </cell>
          <cell r="S287">
            <v>-19826</v>
          </cell>
          <cell r="V287" t="str">
            <v>Embedded</v>
          </cell>
          <cell r="W287" t="str">
            <v>Finance</v>
          </cell>
          <cell r="AA287" t="str">
            <v>[10200]  PECO Energy CompanyEmbeddedFinance</v>
          </cell>
          <cell r="AB287" t="str">
            <v>[10200]  PECO Energy CompanyEmbedded (Finance)Contracting</v>
          </cell>
          <cell r="AC287" t="str">
            <v>[10200]  PECO Energy CompanyEmbedded (Finance)Controller EED PECO (00825)</v>
          </cell>
          <cell r="AF287" t="str">
            <v>EEDControllerContracting</v>
          </cell>
        </row>
        <row r="288">
          <cell r="E288">
            <v>0</v>
          </cell>
          <cell r="H288">
            <v>0</v>
          </cell>
          <cell r="I288">
            <v>0</v>
          </cell>
          <cell r="J288">
            <v>0</v>
          </cell>
          <cell r="M288">
            <v>0</v>
          </cell>
          <cell r="N288">
            <v>0</v>
          </cell>
          <cell r="R288">
            <v>0</v>
          </cell>
          <cell r="V288" t="str">
            <v>Embedded</v>
          </cell>
          <cell r="W288" t="str">
            <v>Finance</v>
          </cell>
          <cell r="AA288" t="str">
            <v>[10200]  PECO Energy CompanyEmbeddedFinance</v>
          </cell>
          <cell r="AB288" t="str">
            <v>[10200]  PECO Energy CompanyEmbedded (Finance)EDSS</v>
          </cell>
          <cell r="AC288" t="str">
            <v>[10200]  PECO Energy CompanyEmbedded (Finance)Controller EED PECO (00825)</v>
          </cell>
          <cell r="AF288" t="str">
            <v>EEDControllerEDSS</v>
          </cell>
        </row>
        <row r="289">
          <cell r="E289">
            <v>6795</v>
          </cell>
          <cell r="H289">
            <v>-495</v>
          </cell>
          <cell r="I289">
            <v>-495</v>
          </cell>
          <cell r="J289">
            <v>26986</v>
          </cell>
          <cell r="M289">
            <v>-1786</v>
          </cell>
          <cell r="N289">
            <v>-495</v>
          </cell>
          <cell r="O289">
            <v>77386</v>
          </cell>
          <cell r="R289">
            <v>-1786</v>
          </cell>
          <cell r="S289">
            <v>-495</v>
          </cell>
          <cell r="V289" t="str">
            <v>Embedded</v>
          </cell>
          <cell r="W289" t="str">
            <v>Finance</v>
          </cell>
          <cell r="AA289" t="str">
            <v>[10200]  PECO Energy CompanyEmbeddedFinance</v>
          </cell>
          <cell r="AB289" t="str">
            <v>[10200]  PECO Energy CompanyEmbedded (Finance)Business Services</v>
          </cell>
          <cell r="AC289" t="str">
            <v>[10200]  PECO Energy CompanyEmbedded (Finance)Controller EED PECO (00825)</v>
          </cell>
          <cell r="AF289" t="str">
            <v>EEDControllerBusiness Services</v>
          </cell>
        </row>
        <row r="290">
          <cell r="E290">
            <v>28</v>
          </cell>
          <cell r="H290">
            <v>-28</v>
          </cell>
          <cell r="I290">
            <v>-28</v>
          </cell>
          <cell r="J290">
            <v>206</v>
          </cell>
          <cell r="M290">
            <v>-206</v>
          </cell>
          <cell r="N290">
            <v>-28</v>
          </cell>
          <cell r="O290">
            <v>206</v>
          </cell>
          <cell r="R290">
            <v>-206</v>
          </cell>
          <cell r="S290">
            <v>-28</v>
          </cell>
          <cell r="V290" t="str">
            <v>Embedded</v>
          </cell>
          <cell r="W290" t="str">
            <v>Finance</v>
          </cell>
          <cell r="AA290" t="str">
            <v>[10200]  PECO Energy CompanyEmbeddedFinance</v>
          </cell>
          <cell r="AB290" t="str">
            <v>[10200]  PECO Energy CompanyEmbedded (Finance)Materials and Supplies</v>
          </cell>
          <cell r="AC290" t="str">
            <v>[10200]  PECO Energy CompanyEmbedded (Finance)Controller EED PECO (00825)</v>
          </cell>
          <cell r="AF290" t="str">
            <v>EEDControllerMaterials and Supplies</v>
          </cell>
        </row>
        <row r="291">
          <cell r="E291">
            <v>4197</v>
          </cell>
          <cell r="H291">
            <v>-3497</v>
          </cell>
          <cell r="I291">
            <v>-3660</v>
          </cell>
          <cell r="J291">
            <v>10484</v>
          </cell>
          <cell r="M291">
            <v>-7684</v>
          </cell>
          <cell r="N291">
            <v>-3660</v>
          </cell>
          <cell r="O291">
            <v>14780</v>
          </cell>
          <cell r="R291">
            <v>-6380</v>
          </cell>
          <cell r="S291">
            <v>-3660</v>
          </cell>
          <cell r="V291" t="str">
            <v>Embedded</v>
          </cell>
          <cell r="W291" t="str">
            <v>Finance</v>
          </cell>
          <cell r="AA291" t="str">
            <v>[10200]  PECO Energy CompanyEmbeddedFinance</v>
          </cell>
          <cell r="AB291" t="str">
            <v>[10200]  PECO Energy CompanyEmbedded (Finance)Travel, Entertainment &amp; Reimb</v>
          </cell>
          <cell r="AC291" t="str">
            <v>[10200]  PECO Energy CompanyEmbedded (Finance)Controller EED PECO (00825)</v>
          </cell>
          <cell r="AF291" t="str">
            <v>EEDControllerTravel, Entertainment &amp; Reimb</v>
          </cell>
        </row>
        <row r="292">
          <cell r="E292">
            <v>2404</v>
          </cell>
          <cell r="H292">
            <v>-1304</v>
          </cell>
          <cell r="I292">
            <v>-1172</v>
          </cell>
          <cell r="J292">
            <v>8661</v>
          </cell>
          <cell r="M292">
            <v>-4261</v>
          </cell>
          <cell r="N292">
            <v>-1172</v>
          </cell>
          <cell r="O292">
            <v>18518</v>
          </cell>
          <cell r="R292">
            <v>-5318</v>
          </cell>
          <cell r="S292">
            <v>-1172</v>
          </cell>
          <cell r="V292" t="str">
            <v>Embedded</v>
          </cell>
          <cell r="W292" t="str">
            <v>Finance</v>
          </cell>
          <cell r="AA292" t="str">
            <v>[10200]  PECO Energy CompanyEmbeddedFinance</v>
          </cell>
          <cell r="AB292" t="str">
            <v>[10200]  PECO Energy CompanyEmbedded (Finance)Other Operating Expenses</v>
          </cell>
          <cell r="AC292" t="str">
            <v>[10200]  PECO Energy CompanyEmbedded (Finance)Controller EED PECO (00825)</v>
          </cell>
          <cell r="AF292" t="str">
            <v>EEDControllerOther Operating Expenses</v>
          </cell>
        </row>
        <row r="293">
          <cell r="E293">
            <v>960</v>
          </cell>
          <cell r="H293">
            <v>-160</v>
          </cell>
          <cell r="I293">
            <v>-192</v>
          </cell>
          <cell r="J293">
            <v>3840</v>
          </cell>
          <cell r="M293">
            <v>-640</v>
          </cell>
          <cell r="N293">
            <v>-192</v>
          </cell>
          <cell r="O293">
            <v>9984</v>
          </cell>
          <cell r="R293">
            <v>-384</v>
          </cell>
          <cell r="S293">
            <v>-192</v>
          </cell>
          <cell r="V293" t="str">
            <v>Embedded</v>
          </cell>
          <cell r="W293" t="str">
            <v>Finance</v>
          </cell>
          <cell r="AA293" t="str">
            <v>[10200]  PECO Energy CompanyEmbeddedFinance</v>
          </cell>
          <cell r="AB293" t="str">
            <v>[10200]  PECO Energy CompanyEmbedded (Finance)Travel, Entertainment &amp; Reimb</v>
          </cell>
          <cell r="AC293" t="str">
            <v>[10200]  PECO Energy CompanyEmbedded (Finance)Controller EED PECO (00825)</v>
          </cell>
          <cell r="AF293" t="str">
            <v>EEDControllerTravel, Entertainment &amp; Reimb</v>
          </cell>
        </row>
        <row r="294">
          <cell r="E294">
            <v>474</v>
          </cell>
          <cell r="H294">
            <v>526</v>
          </cell>
          <cell r="I294">
            <v>663</v>
          </cell>
          <cell r="J294">
            <v>1779</v>
          </cell>
          <cell r="M294">
            <v>2221</v>
          </cell>
          <cell r="N294">
            <v>663</v>
          </cell>
          <cell r="O294">
            <v>10875</v>
          </cell>
          <cell r="R294">
            <v>1125</v>
          </cell>
          <cell r="S294">
            <v>663</v>
          </cell>
          <cell r="V294" t="str">
            <v>Embedded</v>
          </cell>
          <cell r="W294" t="str">
            <v>Finance</v>
          </cell>
          <cell r="AA294" t="str">
            <v>[10200]  PECO Energy CompanyEmbeddedFinance</v>
          </cell>
          <cell r="AB294" t="str">
            <v>[10200]  PECO Energy CompanyEmbedded (Finance)Other Operating Expenses</v>
          </cell>
          <cell r="AC294" t="str">
            <v>[10200]  PECO Energy CompanyEmbedded (Finance)Controller EED PECO (00825)</v>
          </cell>
          <cell r="AF294" t="str">
            <v>EEDControllerOther Operating Expenses</v>
          </cell>
        </row>
        <row r="295">
          <cell r="E295">
            <v>-1289</v>
          </cell>
          <cell r="H295">
            <v>4689</v>
          </cell>
          <cell r="I295">
            <v>4655</v>
          </cell>
          <cell r="J295">
            <v>6176</v>
          </cell>
          <cell r="M295">
            <v>7424</v>
          </cell>
          <cell r="N295">
            <v>4655</v>
          </cell>
          <cell r="O295">
            <v>33104</v>
          </cell>
          <cell r="R295">
            <v>7696</v>
          </cell>
          <cell r="S295">
            <v>4655</v>
          </cell>
          <cell r="V295" t="str">
            <v>Embedded</v>
          </cell>
          <cell r="W295" t="str">
            <v>Finance</v>
          </cell>
          <cell r="AA295" t="str">
            <v>[10200]  PECO Energy CompanyEmbeddedFinance</v>
          </cell>
          <cell r="AB295" t="str">
            <v>[10200]  PECO Energy CompanyEmbedded (Finance)Other Operating Expenses</v>
          </cell>
          <cell r="AC295" t="str">
            <v>[10200]  PECO Energy CompanyEmbedded (Finance)Controller EED PECO (00825)</v>
          </cell>
          <cell r="AF295" t="str">
            <v>EEDControllerOther Operating Expenses</v>
          </cell>
        </row>
        <row r="296">
          <cell r="E296">
            <v>0</v>
          </cell>
          <cell r="H296">
            <v>0</v>
          </cell>
          <cell r="I296">
            <v>0</v>
          </cell>
          <cell r="J296">
            <v>1539</v>
          </cell>
          <cell r="M296">
            <v>-1539</v>
          </cell>
          <cell r="N296">
            <v>0</v>
          </cell>
          <cell r="O296">
            <v>1539</v>
          </cell>
          <cell r="R296">
            <v>-1539</v>
          </cell>
          <cell r="S296">
            <v>0</v>
          </cell>
          <cell r="V296" t="str">
            <v>Embedded</v>
          </cell>
          <cell r="W296" t="str">
            <v>Finance</v>
          </cell>
          <cell r="AA296" t="str">
            <v>[10200]  PECO Energy CompanyEmbeddedFinance</v>
          </cell>
          <cell r="AB296" t="str">
            <v>[10200]  PECO Energy CompanyEmbedded (Finance)Salaries and Wages</v>
          </cell>
          <cell r="AC296" t="str">
            <v>[10200]  PECO Energy CompanyEmbedded (Finance)Controller EED PECO (00825)</v>
          </cell>
          <cell r="AF296" t="str">
            <v>EEDControllerSalaries and Wages</v>
          </cell>
        </row>
        <row r="297">
          <cell r="E297">
            <v>143</v>
          </cell>
          <cell r="H297">
            <v>-143</v>
          </cell>
          <cell r="I297">
            <v>-143</v>
          </cell>
          <cell r="J297">
            <v>667</v>
          </cell>
          <cell r="M297">
            <v>-667</v>
          </cell>
          <cell r="N297">
            <v>-143</v>
          </cell>
          <cell r="O297">
            <v>667</v>
          </cell>
          <cell r="R297">
            <v>-667</v>
          </cell>
          <cell r="S297">
            <v>-143</v>
          </cell>
          <cell r="V297" t="str">
            <v>Embedded</v>
          </cell>
          <cell r="W297" t="str">
            <v>Finance</v>
          </cell>
          <cell r="AA297" t="str">
            <v>[10200]  PECO Energy CompanyEmbeddedFinance</v>
          </cell>
          <cell r="AB297" t="str">
            <v>[10200]  PECO Energy CompanyEmbedded (Finance)Overtime</v>
          </cell>
          <cell r="AC297" t="str">
            <v>[10200]  PECO Energy CompanyEmbedded (Finance)Controller EED PECO (00825)</v>
          </cell>
          <cell r="AF297" t="str">
            <v>EEDControllerOvertime</v>
          </cell>
        </row>
        <row r="298">
          <cell r="E298">
            <v>68122</v>
          </cell>
          <cell r="H298">
            <v>1086</v>
          </cell>
          <cell r="I298">
            <v>1086</v>
          </cell>
          <cell r="J298">
            <v>240656</v>
          </cell>
          <cell r="M298">
            <v>34752</v>
          </cell>
          <cell r="N298">
            <v>1086</v>
          </cell>
          <cell r="O298">
            <v>818213</v>
          </cell>
          <cell r="R298">
            <v>29598</v>
          </cell>
          <cell r="S298">
            <v>30843</v>
          </cell>
          <cell r="V298" t="str">
            <v>Embedded</v>
          </cell>
          <cell r="W298" t="str">
            <v>Finance</v>
          </cell>
          <cell r="AA298" t="str">
            <v>[10200]  PECO Energy CompanyEmbeddedFinance</v>
          </cell>
          <cell r="AB298" t="str">
            <v>[10200]  PECO Energy CompanyEmbedded (Finance)Pension and Benefits</v>
          </cell>
          <cell r="AC298" t="str">
            <v>[10200]  PECO Energy CompanyEmbedded (Finance)Controller EED PECO (00825)</v>
          </cell>
          <cell r="AF298" t="str">
            <v>EEDControllerPension and Benefits</v>
          </cell>
        </row>
        <row r="299">
          <cell r="E299">
            <v>66302</v>
          </cell>
          <cell r="H299">
            <v>58698</v>
          </cell>
          <cell r="I299">
            <v>58698</v>
          </cell>
          <cell r="J299">
            <v>349887</v>
          </cell>
          <cell r="M299">
            <v>150113</v>
          </cell>
          <cell r="N299">
            <v>58698</v>
          </cell>
          <cell r="O299">
            <v>1349887</v>
          </cell>
          <cell r="R299">
            <v>150113</v>
          </cell>
          <cell r="S299">
            <v>58698</v>
          </cell>
          <cell r="V299" t="str">
            <v>Embedded</v>
          </cell>
          <cell r="W299" t="str">
            <v>Finance</v>
          </cell>
          <cell r="AA299" t="str">
            <v>[10200]  PECO Energy CompanyEmbeddedFinance</v>
          </cell>
          <cell r="AB299" t="str">
            <v>[10200]  PECO Energy CompanyEmbedded (Finance)Other Operating Expenses</v>
          </cell>
          <cell r="AC299" t="str">
            <v>[10200]  PECO Energy CompanyEmbedded (Finance)Bank Fees PECO (00880)</v>
          </cell>
          <cell r="AF299" t="str">
            <v>EEDBank FeesOther Operating Expenses</v>
          </cell>
        </row>
        <row r="300">
          <cell r="E300">
            <v>67</v>
          </cell>
          <cell r="H300">
            <v>-67</v>
          </cell>
          <cell r="I300">
            <v>-67</v>
          </cell>
          <cell r="J300">
            <v>290</v>
          </cell>
          <cell r="M300">
            <v>-290</v>
          </cell>
          <cell r="N300">
            <v>-67</v>
          </cell>
          <cell r="O300">
            <v>290</v>
          </cell>
          <cell r="R300">
            <v>-290</v>
          </cell>
          <cell r="S300">
            <v>-67</v>
          </cell>
          <cell r="V300" t="str">
            <v>Embedded</v>
          </cell>
          <cell r="W300" t="str">
            <v>Supply Services</v>
          </cell>
          <cell r="AA300" t="str">
            <v>[10200]  PECO Energy CompanyEmbeddedSupply Services</v>
          </cell>
          <cell r="AB300" t="str">
            <v>[10200]  PECO Energy CompanyEmbedded (Supply Services)Business Services</v>
          </cell>
          <cell r="AC300" t="str">
            <v>[10200]  PECO Energy CompanyEmbedded (Supply Services)Material Management (20880)</v>
          </cell>
          <cell r="AF300" t="e">
            <v>#N/A</v>
          </cell>
        </row>
        <row r="301">
          <cell r="E301">
            <v>0</v>
          </cell>
          <cell r="H301">
            <v>0</v>
          </cell>
          <cell r="I301">
            <v>0</v>
          </cell>
          <cell r="J301">
            <v>3</v>
          </cell>
          <cell r="M301">
            <v>-3</v>
          </cell>
          <cell r="N301">
            <v>0</v>
          </cell>
          <cell r="O301">
            <v>3</v>
          </cell>
          <cell r="R301">
            <v>-3</v>
          </cell>
          <cell r="S301">
            <v>0</v>
          </cell>
          <cell r="V301" t="str">
            <v>Embedded</v>
          </cell>
          <cell r="W301" t="str">
            <v>Supply Services</v>
          </cell>
          <cell r="AA301" t="str">
            <v>[10200]  PECO Energy CompanyEmbeddedSupply Services</v>
          </cell>
          <cell r="AB301" t="str">
            <v>[10200]  PECO Energy CompanyEmbedded (Supply Services)Travel, Entertainment &amp; Reimb</v>
          </cell>
          <cell r="AC301" t="str">
            <v>[10200]  PECO Energy CompanyEmbedded (Supply Services)Transportation Operations (20890)</v>
          </cell>
          <cell r="AF301" t="e">
            <v>#N/A</v>
          </cell>
        </row>
        <row r="302">
          <cell r="E302">
            <v>153</v>
          </cell>
          <cell r="H302">
            <v>-153</v>
          </cell>
          <cell r="I302">
            <v>-153</v>
          </cell>
          <cell r="J302">
            <v>293</v>
          </cell>
          <cell r="M302">
            <v>-293</v>
          </cell>
          <cell r="N302">
            <v>-153</v>
          </cell>
          <cell r="O302">
            <v>293</v>
          </cell>
          <cell r="R302">
            <v>-293</v>
          </cell>
          <cell r="S302">
            <v>-153</v>
          </cell>
          <cell r="V302" t="str">
            <v>Embedded</v>
          </cell>
          <cell r="W302" t="str">
            <v>Supply Services</v>
          </cell>
          <cell r="AA302" t="str">
            <v>[10200]  PECO Energy CompanyEmbeddedSupply Services</v>
          </cell>
          <cell r="AB302" t="str">
            <v>[10200]  PECO Energy CompanyEmbedded (Supply Services)Travel, Entertainment &amp; Reimb</v>
          </cell>
          <cell r="AC302" t="str">
            <v>[10200]  PECO Energy CompanyEmbedded (Supply Services)Transportation Operations (20890)</v>
          </cell>
          <cell r="AF302" t="e">
            <v>#N/A</v>
          </cell>
        </row>
        <row r="303">
          <cell r="E303">
            <v>0</v>
          </cell>
          <cell r="H303">
            <v>0</v>
          </cell>
          <cell r="I303">
            <v>0</v>
          </cell>
          <cell r="J303">
            <v>0</v>
          </cell>
          <cell r="M303">
            <v>0</v>
          </cell>
          <cell r="N303">
            <v>0</v>
          </cell>
          <cell r="O303">
            <v>0</v>
          </cell>
          <cell r="R303">
            <v>0</v>
          </cell>
          <cell r="S303">
            <v>0</v>
          </cell>
          <cell r="V303" t="str">
            <v>Embedded</v>
          </cell>
          <cell r="W303" t="str">
            <v>Supply Services</v>
          </cell>
          <cell r="AA303" t="str">
            <v>[10200]  PECO Energy CompanyEmbeddedSupply Services</v>
          </cell>
          <cell r="AB303" t="str">
            <v>[10200]  PECO Energy CompanyEmbedded (Supply Services)Other Operating Expenses</v>
          </cell>
          <cell r="AC303" t="str">
            <v>[10200]  PECO Energy CompanyEmbedded (Supply Services)Transportation Operations (20890)</v>
          </cell>
          <cell r="AF303" t="e">
            <v>#N/A</v>
          </cell>
        </row>
        <row r="304">
          <cell r="E304">
            <v>5143</v>
          </cell>
          <cell r="H304">
            <v>-5143</v>
          </cell>
          <cell r="I304">
            <v>-5143</v>
          </cell>
          <cell r="J304">
            <v>4110</v>
          </cell>
          <cell r="M304">
            <v>-4110</v>
          </cell>
          <cell r="N304">
            <v>-5143</v>
          </cell>
          <cell r="O304">
            <v>4110</v>
          </cell>
          <cell r="R304">
            <v>-4110</v>
          </cell>
          <cell r="S304">
            <v>-5143</v>
          </cell>
          <cell r="V304" t="str">
            <v>Embedded</v>
          </cell>
          <cell r="W304" t="str">
            <v>Supply Services</v>
          </cell>
          <cell r="AA304" t="str">
            <v>[10200]  PECO Energy CompanyEmbeddedSupply Services</v>
          </cell>
          <cell r="AB304" t="str">
            <v>[10200]  PECO Energy CompanyEmbedded (Supply Services)Overtime</v>
          </cell>
          <cell r="AC304" t="str">
            <v>[10200]  PECO Energy CompanyEmbedded (Supply Services)Transportation Operations (20890)</v>
          </cell>
          <cell r="AF304" t="e">
            <v>#N/A</v>
          </cell>
        </row>
        <row r="305">
          <cell r="E305">
            <v>5484</v>
          </cell>
          <cell r="H305">
            <v>-5484</v>
          </cell>
          <cell r="I305">
            <v>-5484</v>
          </cell>
          <cell r="J305">
            <v>4891</v>
          </cell>
          <cell r="M305">
            <v>-4891</v>
          </cell>
          <cell r="N305">
            <v>-5484</v>
          </cell>
          <cell r="O305">
            <v>4891</v>
          </cell>
          <cell r="R305">
            <v>-4891</v>
          </cell>
          <cell r="S305">
            <v>-5484</v>
          </cell>
          <cell r="V305" t="str">
            <v>Embedded</v>
          </cell>
          <cell r="W305" t="str">
            <v>Supply Services</v>
          </cell>
          <cell r="AA305" t="str">
            <v>[10200]  PECO Energy CompanyEmbeddedSupply Services</v>
          </cell>
          <cell r="AB305" t="str">
            <v>[10200]  PECO Energy CompanyEmbedded (Supply Services)Salaries and Wages</v>
          </cell>
          <cell r="AC305" t="str">
            <v>[10200]  PECO Energy CompanyEmbedded (Supply Services)Material &amp; Logistics (20892)</v>
          </cell>
          <cell r="AF305" t="e">
            <v>#N/A</v>
          </cell>
        </row>
        <row r="306">
          <cell r="E306">
            <v>12</v>
          </cell>
          <cell r="H306">
            <v>-12</v>
          </cell>
          <cell r="I306">
            <v>-12</v>
          </cell>
          <cell r="J306">
            <v>12</v>
          </cell>
          <cell r="M306">
            <v>-12</v>
          </cell>
          <cell r="N306">
            <v>-12</v>
          </cell>
          <cell r="O306">
            <v>12</v>
          </cell>
          <cell r="R306">
            <v>-12</v>
          </cell>
          <cell r="S306">
            <v>-12</v>
          </cell>
          <cell r="V306" t="str">
            <v>Embedded</v>
          </cell>
          <cell r="W306" t="str">
            <v>Supply Services</v>
          </cell>
          <cell r="AA306" t="str">
            <v>[10200]  PECO Energy CompanyEmbeddedSupply Services</v>
          </cell>
          <cell r="AB306" t="str">
            <v>[10200]  PECO Energy CompanyEmbedded (Supply Services)Travel, Entertainment &amp; Reimb</v>
          </cell>
          <cell r="AC306" t="str">
            <v>[10200]  PECO Energy CompanyEmbedded (Supply Services)Material &amp; Logistics (20892)</v>
          </cell>
          <cell r="AF306" t="e">
            <v>#N/A</v>
          </cell>
        </row>
        <row r="307">
          <cell r="E307">
            <v>0</v>
          </cell>
          <cell r="H307">
            <v>0</v>
          </cell>
          <cell r="I307">
            <v>0</v>
          </cell>
          <cell r="J307">
            <v>0</v>
          </cell>
          <cell r="M307">
            <v>0</v>
          </cell>
          <cell r="N307">
            <v>0</v>
          </cell>
          <cell r="R307">
            <v>0</v>
          </cell>
          <cell r="V307" t="str">
            <v>Embedded</v>
          </cell>
          <cell r="W307" t="str">
            <v>Supply Services</v>
          </cell>
          <cell r="AA307" t="str">
            <v>[10200]  PECO Energy CompanyEmbeddedSupply Services</v>
          </cell>
          <cell r="AB307" t="str">
            <v>[10200]  PECO Energy CompanyEmbedded (Supply Services)Materials and Supplies</v>
          </cell>
          <cell r="AC307" t="str">
            <v>[10200]  PECO Energy CompanyEmbedded (Supply Services)Material &amp; Logistics (20892)</v>
          </cell>
          <cell r="AF307" t="e">
            <v>#N/A</v>
          </cell>
        </row>
        <row r="308">
          <cell r="E308">
            <v>27</v>
          </cell>
          <cell r="H308">
            <v>-27</v>
          </cell>
          <cell r="I308">
            <v>-27</v>
          </cell>
          <cell r="J308">
            <v>27</v>
          </cell>
          <cell r="M308">
            <v>-27</v>
          </cell>
          <cell r="N308">
            <v>-27</v>
          </cell>
          <cell r="O308">
            <v>27</v>
          </cell>
          <cell r="R308">
            <v>-27</v>
          </cell>
          <cell r="S308">
            <v>-27</v>
          </cell>
          <cell r="V308" t="str">
            <v>Embedded</v>
          </cell>
          <cell r="W308" t="str">
            <v>Supply Services</v>
          </cell>
          <cell r="AA308" t="str">
            <v>[10200]  PECO Energy CompanyEmbeddedSupply Services</v>
          </cell>
          <cell r="AB308" t="str">
            <v>[10200]  PECO Energy CompanyEmbedded (Supply Services)Travel, Entertainment &amp; Reimb</v>
          </cell>
          <cell r="AC308" t="str">
            <v>[10200]  PECO Energy CompanyEmbedded (Supply Services)Material &amp; Logistics (20892)</v>
          </cell>
          <cell r="AF308" t="e">
            <v>#N/A</v>
          </cell>
        </row>
        <row r="309">
          <cell r="E309">
            <v>0</v>
          </cell>
          <cell r="H309">
            <v>0</v>
          </cell>
          <cell r="I309">
            <v>0</v>
          </cell>
          <cell r="J309">
            <v>4</v>
          </cell>
          <cell r="M309">
            <v>-4</v>
          </cell>
          <cell r="N309">
            <v>0</v>
          </cell>
          <cell r="O309">
            <v>4</v>
          </cell>
          <cell r="R309">
            <v>-4</v>
          </cell>
          <cell r="S309">
            <v>0</v>
          </cell>
          <cell r="V309" t="str">
            <v>Embedded</v>
          </cell>
          <cell r="W309" t="str">
            <v>Supply Services</v>
          </cell>
          <cell r="AA309" t="str">
            <v>[10200]  PECO Energy CompanyEmbeddedSupply Services</v>
          </cell>
          <cell r="AB309" t="str">
            <v>[10200]  PECO Energy CompanyEmbedded (Supply Services)Other Operating Expenses</v>
          </cell>
          <cell r="AC309" t="str">
            <v>[10200]  PECO Energy CompanyEmbedded (Supply Services)Material &amp; Logistics (20892)</v>
          </cell>
          <cell r="AF309" t="e">
            <v>#N/A</v>
          </cell>
        </row>
        <row r="310">
          <cell r="E310">
            <v>3435</v>
          </cell>
          <cell r="H310">
            <v>-3435</v>
          </cell>
          <cell r="I310">
            <v>-3435</v>
          </cell>
          <cell r="J310">
            <v>3063</v>
          </cell>
          <cell r="M310">
            <v>-3063</v>
          </cell>
          <cell r="N310">
            <v>-3435</v>
          </cell>
          <cell r="O310">
            <v>3063</v>
          </cell>
          <cell r="R310">
            <v>-3063</v>
          </cell>
          <cell r="S310">
            <v>-3435</v>
          </cell>
          <cell r="V310" t="str">
            <v>Embedded</v>
          </cell>
          <cell r="W310" t="str">
            <v>Supply Services</v>
          </cell>
          <cell r="AA310" t="str">
            <v>[10200]  PECO Energy CompanyEmbeddedSupply Services</v>
          </cell>
          <cell r="AB310" t="str">
            <v>[10200]  PECO Energy CompanyEmbedded (Supply Services)Pension and Benefits</v>
          </cell>
          <cell r="AC310" t="str">
            <v>[10200]  PECO Energy CompanyEmbedded (Supply Services)Material &amp; Logistics (20892)</v>
          </cell>
          <cell r="AF310" t="e">
            <v>#N/A</v>
          </cell>
        </row>
        <row r="311">
          <cell r="E311">
            <v>0</v>
          </cell>
          <cell r="H311">
            <v>0</v>
          </cell>
          <cell r="I311">
            <v>0</v>
          </cell>
          <cell r="J311">
            <v>56</v>
          </cell>
          <cell r="M311">
            <v>-56</v>
          </cell>
          <cell r="N311">
            <v>0</v>
          </cell>
          <cell r="O311">
            <v>56</v>
          </cell>
          <cell r="R311">
            <v>-56</v>
          </cell>
          <cell r="S311">
            <v>0</v>
          </cell>
          <cell r="V311" t="str">
            <v>Embedded</v>
          </cell>
          <cell r="W311" t="str">
            <v>Supply Services</v>
          </cell>
          <cell r="AA311" t="str">
            <v>[10200]  PECO Energy CompanyEmbeddedSupply Services</v>
          </cell>
          <cell r="AB311" t="str">
            <v>[10200]  PECO Energy CompanyEmbedded (Supply Services)Salaries and Wages</v>
          </cell>
          <cell r="AC311" t="str">
            <v>[10200]  PECO Energy CompanyEmbedded (Supply Services)Berwyn Central Warehouse (20894)</v>
          </cell>
          <cell r="AF311" t="e">
            <v>#N/A</v>
          </cell>
        </row>
        <row r="312">
          <cell r="E312">
            <v>0</v>
          </cell>
          <cell r="H312">
            <v>0</v>
          </cell>
          <cell r="I312">
            <v>0</v>
          </cell>
          <cell r="J312">
            <v>428</v>
          </cell>
          <cell r="M312">
            <v>-428</v>
          </cell>
          <cell r="N312">
            <v>0</v>
          </cell>
          <cell r="O312">
            <v>428</v>
          </cell>
          <cell r="R312">
            <v>-428</v>
          </cell>
          <cell r="S312">
            <v>0</v>
          </cell>
          <cell r="V312" t="str">
            <v>Embedded</v>
          </cell>
          <cell r="W312" t="str">
            <v>Supply Services</v>
          </cell>
          <cell r="AA312" t="str">
            <v>[10200]  PECO Energy CompanyEmbeddedSupply Services</v>
          </cell>
          <cell r="AB312" t="str">
            <v>[10200]  PECO Energy CompanyEmbedded (Supply Services)Materials and Supplies</v>
          </cell>
          <cell r="AC312" t="str">
            <v>[10200]  PECO Energy CompanyEmbedded (Supply Services)Berwyn Central Warehouse (20894)</v>
          </cell>
          <cell r="AF312" t="e">
            <v>#N/A</v>
          </cell>
        </row>
        <row r="313">
          <cell r="E313">
            <v>0</v>
          </cell>
          <cell r="H313">
            <v>0</v>
          </cell>
          <cell r="I313">
            <v>0</v>
          </cell>
          <cell r="J313">
            <v>107</v>
          </cell>
          <cell r="M313">
            <v>-107</v>
          </cell>
          <cell r="N313">
            <v>0</v>
          </cell>
          <cell r="O313">
            <v>107</v>
          </cell>
          <cell r="R313">
            <v>-107</v>
          </cell>
          <cell r="S313">
            <v>0</v>
          </cell>
          <cell r="V313" t="str">
            <v>Embedded</v>
          </cell>
          <cell r="W313" t="str">
            <v>Supply Services</v>
          </cell>
          <cell r="AA313" t="str">
            <v>[10200]  PECO Energy CompanyEmbeddedSupply Services</v>
          </cell>
          <cell r="AB313" t="str">
            <v>[10200]  PECO Energy CompanyEmbedded (Supply Services)Travel, Entertainment &amp; Reimb</v>
          </cell>
          <cell r="AC313" t="str">
            <v>[10200]  PECO Energy CompanyEmbedded (Supply Services)Berwyn Central Warehouse (20894)</v>
          </cell>
          <cell r="AF313" t="e">
            <v>#N/A</v>
          </cell>
        </row>
        <row r="314">
          <cell r="E314">
            <v>0</v>
          </cell>
          <cell r="H314">
            <v>0</v>
          </cell>
          <cell r="I314">
            <v>0</v>
          </cell>
          <cell r="J314">
            <v>0</v>
          </cell>
          <cell r="M314">
            <v>0</v>
          </cell>
          <cell r="N314">
            <v>0</v>
          </cell>
          <cell r="O314">
            <v>0</v>
          </cell>
          <cell r="R314">
            <v>0</v>
          </cell>
          <cell r="S314">
            <v>0</v>
          </cell>
          <cell r="V314" t="str">
            <v>Embedded</v>
          </cell>
          <cell r="W314" t="str">
            <v>Supply Services</v>
          </cell>
          <cell r="AA314" t="str">
            <v>[10200]  PECO Energy CompanyEmbeddedSupply Services</v>
          </cell>
          <cell r="AB314" t="str">
            <v>[10200]  PECO Energy CompanyEmbedded (Supply Services)Other Operating Expenses</v>
          </cell>
          <cell r="AC314" t="str">
            <v>[10200]  PECO Energy CompanyEmbedded (Supply Services)Berwyn Central Warehouse (20894)</v>
          </cell>
          <cell r="AF314" t="e">
            <v>#N/A</v>
          </cell>
        </row>
        <row r="315">
          <cell r="E315">
            <v>0</v>
          </cell>
          <cell r="H315">
            <v>0</v>
          </cell>
          <cell r="I315">
            <v>0</v>
          </cell>
          <cell r="J315">
            <v>0</v>
          </cell>
          <cell r="M315">
            <v>0</v>
          </cell>
          <cell r="N315">
            <v>0</v>
          </cell>
          <cell r="O315">
            <v>0</v>
          </cell>
          <cell r="R315">
            <v>0</v>
          </cell>
          <cell r="S315">
            <v>0</v>
          </cell>
          <cell r="V315" t="str">
            <v>Embedded</v>
          </cell>
          <cell r="W315" t="str">
            <v>Supply Services</v>
          </cell>
          <cell r="AA315" t="str">
            <v>[10200]  PECO Energy CompanyEmbeddedSupply Services</v>
          </cell>
          <cell r="AB315" t="str">
            <v>[10200]  PECO Energy CompanyEmbedded (Supply Services)Travel, Entertainment &amp; Reimb</v>
          </cell>
          <cell r="AC315" t="str">
            <v>[10200]  PECO Energy CompanyEmbedded (Supply Services)Berwyn Central Warehouse (20894)</v>
          </cell>
          <cell r="AF315" t="e">
            <v>#N/A</v>
          </cell>
        </row>
        <row r="316">
          <cell r="E316">
            <v>0</v>
          </cell>
          <cell r="H316">
            <v>0</v>
          </cell>
          <cell r="I316">
            <v>0</v>
          </cell>
          <cell r="J316">
            <v>45</v>
          </cell>
          <cell r="M316">
            <v>-45</v>
          </cell>
          <cell r="N316">
            <v>0</v>
          </cell>
          <cell r="O316">
            <v>45</v>
          </cell>
          <cell r="R316">
            <v>-45</v>
          </cell>
          <cell r="S316">
            <v>0</v>
          </cell>
          <cell r="V316" t="str">
            <v>Embedded</v>
          </cell>
          <cell r="W316" t="str">
            <v>Supply Services</v>
          </cell>
          <cell r="AA316" t="str">
            <v>[10200]  PECO Energy CompanyEmbeddedSupply Services</v>
          </cell>
          <cell r="AB316" t="str">
            <v>[10200]  PECO Energy CompanyEmbedded (Supply Services)Other Operating Expenses</v>
          </cell>
          <cell r="AC316" t="str">
            <v>[10200]  PECO Energy CompanyEmbedded (Supply Services)Berwyn Central Warehouse (20894)</v>
          </cell>
          <cell r="AF316" t="e">
            <v>#N/A</v>
          </cell>
        </row>
        <row r="317">
          <cell r="E317">
            <v>-276</v>
          </cell>
          <cell r="H317">
            <v>276</v>
          </cell>
          <cell r="I317">
            <v>276</v>
          </cell>
          <cell r="J317">
            <v>-32</v>
          </cell>
          <cell r="M317">
            <v>32</v>
          </cell>
          <cell r="N317">
            <v>276</v>
          </cell>
          <cell r="O317">
            <v>-32</v>
          </cell>
          <cell r="R317">
            <v>32</v>
          </cell>
          <cell r="S317">
            <v>276</v>
          </cell>
          <cell r="V317" t="str">
            <v>Embedded</v>
          </cell>
          <cell r="W317" t="str">
            <v>Supply Services</v>
          </cell>
          <cell r="AA317" t="str">
            <v>[10200]  PECO Energy CompanyEmbeddedSupply Services</v>
          </cell>
          <cell r="AB317" t="str">
            <v>[10200]  PECO Energy CompanyEmbedded (Supply Services)Overtime</v>
          </cell>
          <cell r="AC317" t="str">
            <v>[10200]  PECO Energy CompanyEmbedded (Supply Services)Berwyn Central Warehouse (20894)</v>
          </cell>
          <cell r="AF317" t="e">
            <v>#N/A</v>
          </cell>
        </row>
        <row r="318">
          <cell r="E318">
            <v>0</v>
          </cell>
          <cell r="H318">
            <v>0</v>
          </cell>
          <cell r="I318">
            <v>0</v>
          </cell>
          <cell r="J318">
            <v>35</v>
          </cell>
          <cell r="M318">
            <v>-35</v>
          </cell>
          <cell r="N318">
            <v>0</v>
          </cell>
          <cell r="O318">
            <v>35</v>
          </cell>
          <cell r="R318">
            <v>-35</v>
          </cell>
          <cell r="S318">
            <v>0</v>
          </cell>
          <cell r="V318" t="str">
            <v>Embedded</v>
          </cell>
          <cell r="W318" t="str">
            <v>Supply Services</v>
          </cell>
          <cell r="AA318" t="str">
            <v>[10200]  PECO Energy CompanyEmbeddedSupply Services</v>
          </cell>
          <cell r="AB318" t="str">
            <v>[10200]  PECO Energy CompanyEmbedded (Supply Services)Pension and Benefits</v>
          </cell>
          <cell r="AC318" t="str">
            <v>[10200]  PECO Energy CompanyEmbedded (Supply Services)Berwyn Central Warehouse (20894)</v>
          </cell>
          <cell r="AF318" t="e">
            <v>#N/A</v>
          </cell>
        </row>
        <row r="319">
          <cell r="E319">
            <v>0</v>
          </cell>
          <cell r="H319">
            <v>0</v>
          </cell>
          <cell r="I319">
            <v>0</v>
          </cell>
          <cell r="J319">
            <v>111</v>
          </cell>
          <cell r="M319">
            <v>-111</v>
          </cell>
          <cell r="N319">
            <v>0</v>
          </cell>
          <cell r="O319">
            <v>111</v>
          </cell>
          <cell r="R319">
            <v>-111</v>
          </cell>
          <cell r="S319">
            <v>0</v>
          </cell>
          <cell r="V319" t="str">
            <v>Embedded</v>
          </cell>
          <cell r="W319" t="str">
            <v>Supply Services</v>
          </cell>
          <cell r="AA319" t="str">
            <v>[10200]  PECO Energy CompanyEmbeddedSupply Services</v>
          </cell>
          <cell r="AB319" t="str">
            <v>[10200]  PECO Energy CompanyEmbedded (Supply Services)Salaries and Wages</v>
          </cell>
          <cell r="AC319" t="str">
            <v>[10200]  PECO Energy CompanyEmbedded (Supply Services)BM Storeroom (20895)</v>
          </cell>
          <cell r="AF319" t="e">
            <v>#N/A</v>
          </cell>
        </row>
        <row r="320">
          <cell r="E320">
            <v>0</v>
          </cell>
          <cell r="H320">
            <v>0</v>
          </cell>
          <cell r="I320">
            <v>0</v>
          </cell>
          <cell r="J320">
            <v>37</v>
          </cell>
          <cell r="M320">
            <v>-37</v>
          </cell>
          <cell r="N320">
            <v>0</v>
          </cell>
          <cell r="O320">
            <v>37</v>
          </cell>
          <cell r="R320">
            <v>-37</v>
          </cell>
          <cell r="S320">
            <v>0</v>
          </cell>
          <cell r="V320" t="str">
            <v>Embedded</v>
          </cell>
          <cell r="W320" t="str">
            <v>Supply Services</v>
          </cell>
          <cell r="AA320" t="str">
            <v>[10200]  PECO Energy CompanyEmbeddedSupply Services</v>
          </cell>
          <cell r="AB320" t="str">
            <v>[10200]  PECO Energy CompanyEmbedded (Supply Services)Travel, Entertainment &amp; Reimb</v>
          </cell>
          <cell r="AC320" t="str">
            <v>[10200]  PECO Energy CompanyEmbedded (Supply Services)BM Storeroom (20895)</v>
          </cell>
          <cell r="AF320" t="e">
            <v>#N/A</v>
          </cell>
        </row>
        <row r="321">
          <cell r="E321">
            <v>0</v>
          </cell>
          <cell r="H321">
            <v>0</v>
          </cell>
          <cell r="I321">
            <v>0</v>
          </cell>
          <cell r="J321">
            <v>7196</v>
          </cell>
          <cell r="M321">
            <v>-7196</v>
          </cell>
          <cell r="N321">
            <v>0</v>
          </cell>
          <cell r="O321">
            <v>7196</v>
          </cell>
          <cell r="R321">
            <v>-7196</v>
          </cell>
          <cell r="S321">
            <v>0</v>
          </cell>
          <cell r="V321" t="str">
            <v>Embedded</v>
          </cell>
          <cell r="W321" t="str">
            <v>Supply Services</v>
          </cell>
          <cell r="AA321" t="str">
            <v>[10200]  PECO Energy CompanyEmbeddedSupply Services</v>
          </cell>
          <cell r="AB321" t="str">
            <v>[10200]  PECO Energy CompanyEmbedded (Supply Services)Materials and Supplies</v>
          </cell>
          <cell r="AC321" t="str">
            <v>[10200]  PECO Energy CompanyEmbedded (Supply Services)BM Storeroom (20895)</v>
          </cell>
          <cell r="AF321" t="e">
            <v>#N/A</v>
          </cell>
        </row>
        <row r="322">
          <cell r="E322">
            <v>0</v>
          </cell>
          <cell r="H322">
            <v>0</v>
          </cell>
          <cell r="I322">
            <v>0</v>
          </cell>
          <cell r="J322">
            <v>92</v>
          </cell>
          <cell r="M322">
            <v>-92</v>
          </cell>
          <cell r="N322">
            <v>0</v>
          </cell>
          <cell r="O322">
            <v>92</v>
          </cell>
          <cell r="R322">
            <v>-92</v>
          </cell>
          <cell r="S322">
            <v>0</v>
          </cell>
          <cell r="V322" t="str">
            <v>Embedded</v>
          </cell>
          <cell r="W322" t="str">
            <v>Supply Services</v>
          </cell>
          <cell r="AA322" t="str">
            <v>[10200]  PECO Energy CompanyEmbeddedSupply Services</v>
          </cell>
          <cell r="AB322" t="str">
            <v>[10200]  PECO Energy CompanyEmbedded (Supply Services)Travel, Entertainment &amp; Reimb</v>
          </cell>
          <cell r="AC322" t="str">
            <v>[10200]  PECO Energy CompanyEmbedded (Supply Services)BM Storeroom (20895)</v>
          </cell>
          <cell r="AF322" t="e">
            <v>#N/A</v>
          </cell>
        </row>
        <row r="323">
          <cell r="E323">
            <v>0</v>
          </cell>
          <cell r="H323">
            <v>0</v>
          </cell>
          <cell r="I323">
            <v>0</v>
          </cell>
          <cell r="J323">
            <v>0</v>
          </cell>
          <cell r="M323">
            <v>0</v>
          </cell>
          <cell r="N323">
            <v>0</v>
          </cell>
          <cell r="R323">
            <v>0</v>
          </cell>
          <cell r="V323" t="str">
            <v>Embedded</v>
          </cell>
          <cell r="W323" t="str">
            <v>Supply Services</v>
          </cell>
          <cell r="AA323" t="str">
            <v>[10200]  PECO Energy CompanyEmbeddedSupply Services</v>
          </cell>
          <cell r="AB323" t="str">
            <v>[10200]  PECO Energy CompanyEmbedded (Supply Services)Other Operating Expenses</v>
          </cell>
          <cell r="AC323" t="str">
            <v>[10200]  PECO Energy CompanyEmbedded (Supply Services)BM Storeroom (20895)</v>
          </cell>
          <cell r="AF323" t="e">
            <v>#N/A</v>
          </cell>
        </row>
        <row r="324">
          <cell r="E324">
            <v>0</v>
          </cell>
          <cell r="H324">
            <v>0</v>
          </cell>
          <cell r="I324">
            <v>0</v>
          </cell>
          <cell r="J324">
            <v>9</v>
          </cell>
          <cell r="M324">
            <v>-9</v>
          </cell>
          <cell r="N324">
            <v>0</v>
          </cell>
          <cell r="O324">
            <v>9</v>
          </cell>
          <cell r="R324">
            <v>-9</v>
          </cell>
          <cell r="S324">
            <v>0</v>
          </cell>
          <cell r="V324" t="str">
            <v>Embedded</v>
          </cell>
          <cell r="W324" t="str">
            <v>Supply Services</v>
          </cell>
          <cell r="AA324" t="str">
            <v>[10200]  PECO Energy CompanyEmbeddedSupply Services</v>
          </cell>
          <cell r="AB324" t="str">
            <v>[10200]  PECO Energy CompanyEmbedded (Supply Services)Other Operating Expenses</v>
          </cell>
          <cell r="AC324" t="str">
            <v>[10200]  PECO Energy CompanyEmbedded (Supply Services)BM Storeroom (20895)</v>
          </cell>
          <cell r="AF324" t="e">
            <v>#N/A</v>
          </cell>
        </row>
        <row r="325">
          <cell r="E325">
            <v>986</v>
          </cell>
          <cell r="H325">
            <v>-986</v>
          </cell>
          <cell r="I325">
            <v>-986</v>
          </cell>
          <cell r="J325">
            <v>3580</v>
          </cell>
          <cell r="M325">
            <v>-3580</v>
          </cell>
          <cell r="N325">
            <v>-986</v>
          </cell>
          <cell r="O325">
            <v>3580</v>
          </cell>
          <cell r="R325">
            <v>-3580</v>
          </cell>
          <cell r="S325">
            <v>-986</v>
          </cell>
          <cell r="V325" t="str">
            <v>Embedded</v>
          </cell>
          <cell r="W325" t="str">
            <v>Supply Services</v>
          </cell>
          <cell r="AA325" t="str">
            <v>[10200]  PECO Energy CompanyEmbeddedSupply Services</v>
          </cell>
          <cell r="AB325" t="str">
            <v>[10200]  PECO Energy CompanyEmbedded (Supply Services)Overtime</v>
          </cell>
          <cell r="AC325" t="str">
            <v>[10200]  PECO Energy CompanyEmbedded (Supply Services)BM Storeroom (20895)</v>
          </cell>
          <cell r="AF325" t="e">
            <v>#N/A</v>
          </cell>
        </row>
        <row r="326">
          <cell r="E326">
            <v>0</v>
          </cell>
          <cell r="H326">
            <v>0</v>
          </cell>
          <cell r="I326">
            <v>0</v>
          </cell>
          <cell r="J326">
            <v>70</v>
          </cell>
          <cell r="M326">
            <v>-70</v>
          </cell>
          <cell r="N326">
            <v>0</v>
          </cell>
          <cell r="O326">
            <v>70</v>
          </cell>
          <cell r="R326">
            <v>-70</v>
          </cell>
          <cell r="S326">
            <v>0</v>
          </cell>
          <cell r="V326" t="str">
            <v>Embedded</v>
          </cell>
          <cell r="W326" t="str">
            <v>Supply Services</v>
          </cell>
          <cell r="AA326" t="str">
            <v>[10200]  PECO Energy CompanyEmbeddedSupply Services</v>
          </cell>
          <cell r="AB326" t="str">
            <v>[10200]  PECO Energy CompanyEmbedded (Supply Services)Pension and Benefits</v>
          </cell>
          <cell r="AC326" t="str">
            <v>[10200]  PECO Energy CompanyEmbedded (Supply Services)BM Storeroom (20895)</v>
          </cell>
          <cell r="AF326" t="e">
            <v>#N/A</v>
          </cell>
        </row>
        <row r="327">
          <cell r="E327">
            <v>0</v>
          </cell>
          <cell r="H327">
            <v>0</v>
          </cell>
          <cell r="I327">
            <v>0</v>
          </cell>
          <cell r="J327">
            <v>-147</v>
          </cell>
          <cell r="M327">
            <v>147</v>
          </cell>
          <cell r="N327">
            <v>0</v>
          </cell>
          <cell r="O327">
            <v>-147</v>
          </cell>
          <cell r="R327">
            <v>147</v>
          </cell>
          <cell r="S327">
            <v>0</v>
          </cell>
          <cell r="V327" t="str">
            <v>Embedded</v>
          </cell>
          <cell r="W327" t="str">
            <v>Supply Services</v>
          </cell>
          <cell r="AA327" t="str">
            <v>[10200]  PECO Energy CompanyEmbeddedSupply Services</v>
          </cell>
          <cell r="AB327" t="str">
            <v>[10200]  PECO Energy CompanyEmbedded (Supply Services)Salaries and Wages</v>
          </cell>
          <cell r="AC327" t="str">
            <v>[10200]  PECO Energy CompanyEmbedded (Supply Services)Electrical Shops (20900)</v>
          </cell>
          <cell r="AF327" t="e">
            <v>#N/A</v>
          </cell>
        </row>
        <row r="328">
          <cell r="E328">
            <v>0</v>
          </cell>
          <cell r="H328">
            <v>0</v>
          </cell>
          <cell r="I328">
            <v>0</v>
          </cell>
          <cell r="J328">
            <v>-275</v>
          </cell>
          <cell r="M328">
            <v>275</v>
          </cell>
          <cell r="N328">
            <v>0</v>
          </cell>
          <cell r="O328">
            <v>-275</v>
          </cell>
          <cell r="R328">
            <v>275</v>
          </cell>
          <cell r="S328">
            <v>0</v>
          </cell>
          <cell r="V328" t="str">
            <v>Embedded</v>
          </cell>
          <cell r="W328" t="str">
            <v>Supply Services</v>
          </cell>
          <cell r="AA328" t="str">
            <v>[10200]  PECO Energy CompanyEmbeddedSupply Services</v>
          </cell>
          <cell r="AB328" t="str">
            <v>[10200]  PECO Energy CompanyEmbedded (Supply Services)Travel, Entertainment &amp; Reimb</v>
          </cell>
          <cell r="AC328" t="str">
            <v>[10200]  PECO Energy CompanyEmbedded (Supply Services)Electrical Shops (20900)</v>
          </cell>
          <cell r="AF328" t="e">
            <v>#N/A</v>
          </cell>
        </row>
        <row r="329">
          <cell r="E329">
            <v>0</v>
          </cell>
          <cell r="H329">
            <v>0</v>
          </cell>
          <cell r="I329">
            <v>0</v>
          </cell>
          <cell r="J329">
            <v>0</v>
          </cell>
          <cell r="M329">
            <v>0</v>
          </cell>
          <cell r="N329">
            <v>0</v>
          </cell>
          <cell r="R329">
            <v>0</v>
          </cell>
          <cell r="V329" t="str">
            <v>Embedded</v>
          </cell>
          <cell r="W329" t="str">
            <v>Supply Services</v>
          </cell>
          <cell r="AA329" t="str">
            <v>[10200]  PECO Energy CompanyEmbeddedSupply Services</v>
          </cell>
          <cell r="AB329" t="str">
            <v>[10200]  PECO Energy CompanyEmbedded (Supply Services)Business Services</v>
          </cell>
          <cell r="AC329" t="str">
            <v>[10200]  PECO Energy CompanyEmbedded (Supply Services)Electrical Shops (20900)</v>
          </cell>
          <cell r="AF329" t="e">
            <v>#N/A</v>
          </cell>
        </row>
        <row r="330">
          <cell r="E330">
            <v>0</v>
          </cell>
          <cell r="H330">
            <v>0</v>
          </cell>
          <cell r="I330">
            <v>0</v>
          </cell>
          <cell r="J330">
            <v>0</v>
          </cell>
          <cell r="M330">
            <v>0</v>
          </cell>
          <cell r="N330">
            <v>0</v>
          </cell>
          <cell r="R330">
            <v>0</v>
          </cell>
          <cell r="V330" t="str">
            <v>Embedded</v>
          </cell>
          <cell r="W330" t="str">
            <v>Supply Services</v>
          </cell>
          <cell r="AA330" t="str">
            <v>[10200]  PECO Energy CompanyEmbeddedSupply Services</v>
          </cell>
          <cell r="AB330" t="str">
            <v>[10200]  PECO Energy CompanyEmbedded (Supply Services)Materials and Supplies</v>
          </cell>
          <cell r="AC330" t="str">
            <v>[10200]  PECO Energy CompanyEmbedded (Supply Services)Electrical Shops (20900)</v>
          </cell>
          <cell r="AF330" t="e">
            <v>#N/A</v>
          </cell>
        </row>
        <row r="331">
          <cell r="E331">
            <v>0</v>
          </cell>
          <cell r="H331">
            <v>0</v>
          </cell>
          <cell r="I331">
            <v>0</v>
          </cell>
          <cell r="J331">
            <v>47</v>
          </cell>
          <cell r="M331">
            <v>-47</v>
          </cell>
          <cell r="N331">
            <v>0</v>
          </cell>
          <cell r="O331">
            <v>47</v>
          </cell>
          <cell r="R331">
            <v>-47</v>
          </cell>
          <cell r="S331">
            <v>0</v>
          </cell>
          <cell r="V331" t="str">
            <v>Embedded</v>
          </cell>
          <cell r="W331" t="str">
            <v>Supply Services</v>
          </cell>
          <cell r="AA331" t="str">
            <v>[10200]  PECO Energy CompanyEmbeddedSupply Services</v>
          </cell>
          <cell r="AB331" t="str">
            <v>[10200]  PECO Energy CompanyEmbedded (Supply Services)Other Operating Expenses</v>
          </cell>
          <cell r="AC331" t="str">
            <v>[10200]  PECO Energy CompanyEmbedded (Supply Services)Electrical Shops (20900)</v>
          </cell>
          <cell r="AF331" t="e">
            <v>#N/A</v>
          </cell>
        </row>
        <row r="332">
          <cell r="E332">
            <v>120</v>
          </cell>
          <cell r="H332">
            <v>-120</v>
          </cell>
          <cell r="I332">
            <v>-120</v>
          </cell>
          <cell r="J332">
            <v>-2248</v>
          </cell>
          <cell r="M332">
            <v>2248</v>
          </cell>
          <cell r="N332">
            <v>-120</v>
          </cell>
          <cell r="O332">
            <v>-2248</v>
          </cell>
          <cell r="R332">
            <v>2248</v>
          </cell>
          <cell r="S332">
            <v>-120</v>
          </cell>
          <cell r="V332" t="str">
            <v>Embedded</v>
          </cell>
          <cell r="W332" t="str">
            <v>Supply Services</v>
          </cell>
          <cell r="AA332" t="str">
            <v>[10200]  PECO Energy CompanyEmbeddedSupply Services</v>
          </cell>
          <cell r="AB332" t="str">
            <v>[10200]  PECO Energy CompanyEmbedded (Supply Services)Overtime</v>
          </cell>
          <cell r="AC332" t="str">
            <v>[10200]  PECO Energy CompanyEmbedded (Supply Services)Electrical Shops (20900)</v>
          </cell>
          <cell r="AF332" t="e">
            <v>#N/A</v>
          </cell>
        </row>
        <row r="333">
          <cell r="E333">
            <v>0</v>
          </cell>
          <cell r="H333">
            <v>0</v>
          </cell>
          <cell r="I333">
            <v>0</v>
          </cell>
          <cell r="J333">
            <v>-92</v>
          </cell>
          <cell r="M333">
            <v>92</v>
          </cell>
          <cell r="N333">
            <v>0</v>
          </cell>
          <cell r="O333">
            <v>-92</v>
          </cell>
          <cell r="R333">
            <v>92</v>
          </cell>
          <cell r="S333">
            <v>0</v>
          </cell>
          <cell r="V333" t="str">
            <v>Embedded</v>
          </cell>
          <cell r="W333" t="str">
            <v>Supply Services</v>
          </cell>
          <cell r="AA333" t="str">
            <v>[10200]  PECO Energy CompanyEmbeddedSupply Services</v>
          </cell>
          <cell r="AB333" t="str">
            <v>[10200]  PECO Energy CompanyEmbedded (Supply Services)Pension and Benefits</v>
          </cell>
          <cell r="AC333" t="str">
            <v>[10200]  PECO Energy CompanyEmbedded (Supply Services)Electrical Shops (20900)</v>
          </cell>
          <cell r="AF333" t="e">
            <v>#N/A</v>
          </cell>
        </row>
        <row r="334">
          <cell r="E334">
            <v>0</v>
          </cell>
          <cell r="H334">
            <v>0</v>
          </cell>
          <cell r="I334">
            <v>0</v>
          </cell>
          <cell r="J334">
            <v>0</v>
          </cell>
          <cell r="M334">
            <v>0</v>
          </cell>
          <cell r="N334">
            <v>0</v>
          </cell>
          <cell r="O334">
            <v>0</v>
          </cell>
          <cell r="R334">
            <v>0</v>
          </cell>
          <cell r="S334">
            <v>0</v>
          </cell>
          <cell r="V334" t="str">
            <v>Embedded</v>
          </cell>
          <cell r="W334" t="str">
            <v>Supply Services</v>
          </cell>
          <cell r="AA334" t="str">
            <v>[10200]  PECO Energy CompanyEmbeddedSupply Services</v>
          </cell>
          <cell r="AB334" t="str">
            <v>[10200]  PECO Energy CompanyEmbedded (Supply Services)Materials and Supplies</v>
          </cell>
          <cell r="AC334" t="str">
            <v>[10200]  PECO Energy CompanyEmbedded (Supply Services)Tool Repair Shop (20907)</v>
          </cell>
          <cell r="AF334" t="e">
            <v>#N/A</v>
          </cell>
        </row>
        <row r="335">
          <cell r="E335">
            <v>364</v>
          </cell>
          <cell r="H335">
            <v>-364</v>
          </cell>
          <cell r="I335">
            <v>-364</v>
          </cell>
          <cell r="J335">
            <v>364</v>
          </cell>
          <cell r="M335">
            <v>-364</v>
          </cell>
          <cell r="N335">
            <v>-364</v>
          </cell>
          <cell r="O335">
            <v>364</v>
          </cell>
          <cell r="R335">
            <v>-364</v>
          </cell>
          <cell r="S335">
            <v>-364</v>
          </cell>
          <cell r="V335" t="str">
            <v>Embedded</v>
          </cell>
          <cell r="W335" t="str">
            <v>Supply Services</v>
          </cell>
          <cell r="AA335" t="str">
            <v>[10200]  PECO Energy CompanyEmbeddedSupply Services</v>
          </cell>
          <cell r="AB335" t="str">
            <v>[10200]  PECO Energy CompanyEmbedded (Supply Services)Overtime</v>
          </cell>
          <cell r="AC335" t="str">
            <v>[10200]  PECO Energy CompanyEmbedded (Supply Services)Tool Repair Shop (20907)</v>
          </cell>
          <cell r="AF335" t="e">
            <v>#N/A</v>
          </cell>
        </row>
        <row r="336">
          <cell r="E336">
            <v>986</v>
          </cell>
          <cell r="H336">
            <v>-986</v>
          </cell>
          <cell r="I336">
            <v>-986</v>
          </cell>
          <cell r="J336">
            <v>3425</v>
          </cell>
          <cell r="M336">
            <v>-3425</v>
          </cell>
          <cell r="N336">
            <v>-986</v>
          </cell>
          <cell r="O336">
            <v>3425</v>
          </cell>
          <cell r="R336">
            <v>-3425</v>
          </cell>
          <cell r="S336">
            <v>-986</v>
          </cell>
          <cell r="V336" t="str">
            <v>Embedded</v>
          </cell>
          <cell r="W336" t="str">
            <v>Supply Services</v>
          </cell>
          <cell r="AA336" t="str">
            <v>[10200]  PECO Energy CompanyEmbeddedSupply Services</v>
          </cell>
          <cell r="AB336" t="str">
            <v>[10200]  PECO Energy CompanyEmbedded (Supply Services)Salaries and Wages</v>
          </cell>
          <cell r="AC336" t="str">
            <v>[10200]  PECO Energy CompanyEmbedded (Supply Services)T&amp;S Parts Team (20910)</v>
          </cell>
          <cell r="AF336" t="e">
            <v>#N/A</v>
          </cell>
        </row>
        <row r="337">
          <cell r="E337">
            <v>912</v>
          </cell>
          <cell r="H337">
            <v>-912</v>
          </cell>
          <cell r="I337">
            <v>-912</v>
          </cell>
          <cell r="J337">
            <v>912</v>
          </cell>
          <cell r="M337">
            <v>-912</v>
          </cell>
          <cell r="N337">
            <v>-912</v>
          </cell>
          <cell r="O337">
            <v>912</v>
          </cell>
          <cell r="R337">
            <v>-912</v>
          </cell>
          <cell r="S337">
            <v>-912</v>
          </cell>
          <cell r="V337" t="str">
            <v>Embedded</v>
          </cell>
          <cell r="W337" t="str">
            <v>Supply Services</v>
          </cell>
          <cell r="AA337" t="str">
            <v>[10200]  PECO Energy CompanyEmbeddedSupply Services</v>
          </cell>
          <cell r="AB337" t="str">
            <v>[10200]  PECO Energy CompanyEmbedded (Supply Services)Travel, Entertainment &amp; Reimb</v>
          </cell>
          <cell r="AC337" t="str">
            <v>[10200]  PECO Energy CompanyEmbedded (Supply Services)T&amp;S Parts Team (20910)</v>
          </cell>
          <cell r="AF337" t="e">
            <v>#N/A</v>
          </cell>
        </row>
        <row r="338">
          <cell r="E338">
            <v>38</v>
          </cell>
          <cell r="H338">
            <v>-38</v>
          </cell>
          <cell r="I338">
            <v>-38</v>
          </cell>
          <cell r="J338">
            <v>-444</v>
          </cell>
          <cell r="M338">
            <v>444</v>
          </cell>
          <cell r="N338">
            <v>-38</v>
          </cell>
          <cell r="O338">
            <v>-444</v>
          </cell>
          <cell r="R338">
            <v>444</v>
          </cell>
          <cell r="S338">
            <v>-38</v>
          </cell>
          <cell r="V338" t="str">
            <v>Embedded</v>
          </cell>
          <cell r="W338" t="str">
            <v>Supply Services</v>
          </cell>
          <cell r="AA338" t="str">
            <v>[10200]  PECO Energy CompanyEmbeddedSupply Services</v>
          </cell>
          <cell r="AB338" t="str">
            <v>[10200]  PECO Energy CompanyEmbedded (Supply Services)Materials and Supplies</v>
          </cell>
          <cell r="AC338" t="str">
            <v>[10200]  PECO Energy CompanyEmbedded (Supply Services)T&amp;S Parts Team (20910)</v>
          </cell>
          <cell r="AF338" t="e">
            <v>#N/A</v>
          </cell>
        </row>
        <row r="339">
          <cell r="E339">
            <v>0</v>
          </cell>
          <cell r="H339">
            <v>0</v>
          </cell>
          <cell r="I339">
            <v>0</v>
          </cell>
          <cell r="J339">
            <v>13</v>
          </cell>
          <cell r="M339">
            <v>-13</v>
          </cell>
          <cell r="N339">
            <v>0</v>
          </cell>
          <cell r="O339">
            <v>13</v>
          </cell>
          <cell r="R339">
            <v>-13</v>
          </cell>
          <cell r="S339">
            <v>0</v>
          </cell>
          <cell r="V339" t="str">
            <v>Embedded</v>
          </cell>
          <cell r="W339" t="str">
            <v>Supply Services</v>
          </cell>
          <cell r="AA339" t="str">
            <v>[10200]  PECO Energy CompanyEmbeddedSupply Services</v>
          </cell>
          <cell r="AB339" t="str">
            <v>[10200]  PECO Energy CompanyEmbedded (Supply Services)Other Operating Expenses</v>
          </cell>
          <cell r="AC339" t="str">
            <v>[10200]  PECO Energy CompanyEmbedded (Supply Services)T&amp;S Parts Team (20910)</v>
          </cell>
          <cell r="AF339" t="e">
            <v>#N/A</v>
          </cell>
        </row>
        <row r="340">
          <cell r="E340">
            <v>0</v>
          </cell>
          <cell r="H340">
            <v>0</v>
          </cell>
          <cell r="I340">
            <v>0</v>
          </cell>
          <cell r="J340">
            <v>29</v>
          </cell>
          <cell r="M340">
            <v>-29</v>
          </cell>
          <cell r="N340">
            <v>0</v>
          </cell>
          <cell r="O340">
            <v>29</v>
          </cell>
          <cell r="R340">
            <v>-29</v>
          </cell>
          <cell r="S340">
            <v>0</v>
          </cell>
          <cell r="V340" t="str">
            <v>Embedded</v>
          </cell>
          <cell r="W340" t="str">
            <v>Supply Services</v>
          </cell>
          <cell r="AA340" t="str">
            <v>[10200]  PECO Energy CompanyEmbeddedSupply Services</v>
          </cell>
          <cell r="AB340" t="str">
            <v>[10200]  PECO Energy CompanyEmbedded (Supply Services)Other Operating Expenses</v>
          </cell>
          <cell r="AC340" t="str">
            <v>[10200]  PECO Energy CompanyEmbedded (Supply Services)T&amp;S Parts Team (20910)</v>
          </cell>
          <cell r="AF340" t="e">
            <v>#N/A</v>
          </cell>
        </row>
        <row r="341">
          <cell r="E341">
            <v>1204</v>
          </cell>
          <cell r="H341">
            <v>-1204</v>
          </cell>
          <cell r="I341">
            <v>-1204</v>
          </cell>
          <cell r="J341">
            <v>5633</v>
          </cell>
          <cell r="M341">
            <v>-5633</v>
          </cell>
          <cell r="N341">
            <v>-1204</v>
          </cell>
          <cell r="O341">
            <v>5633</v>
          </cell>
          <cell r="R341">
            <v>-5633</v>
          </cell>
          <cell r="S341">
            <v>-1204</v>
          </cell>
          <cell r="V341" t="str">
            <v>Embedded</v>
          </cell>
          <cell r="W341" t="str">
            <v>Supply Services</v>
          </cell>
          <cell r="AA341" t="str">
            <v>[10200]  PECO Energy CompanyEmbeddedSupply Services</v>
          </cell>
          <cell r="AB341" t="str">
            <v>[10200]  PECO Energy CompanyEmbedded (Supply Services)Other Operating Expenses</v>
          </cell>
          <cell r="AC341" t="str">
            <v>[10200]  PECO Energy CompanyEmbedded (Supply Services)T&amp;S Parts Team (20910)</v>
          </cell>
          <cell r="AF341" t="e">
            <v>#N/A</v>
          </cell>
        </row>
        <row r="342">
          <cell r="E342">
            <v>617</v>
          </cell>
          <cell r="H342">
            <v>-617</v>
          </cell>
          <cell r="I342">
            <v>-617</v>
          </cell>
          <cell r="J342">
            <v>2145</v>
          </cell>
          <cell r="M342">
            <v>-2145</v>
          </cell>
          <cell r="N342">
            <v>-617</v>
          </cell>
          <cell r="O342">
            <v>2145</v>
          </cell>
          <cell r="R342">
            <v>-2145</v>
          </cell>
          <cell r="S342">
            <v>-617</v>
          </cell>
          <cell r="V342" t="str">
            <v>Embedded</v>
          </cell>
          <cell r="W342" t="str">
            <v>Supply Services</v>
          </cell>
          <cell r="AA342" t="str">
            <v>[10200]  PECO Energy CompanyEmbeddedSupply Services</v>
          </cell>
          <cell r="AB342" t="str">
            <v>[10200]  PECO Energy CompanyEmbedded (Supply Services)Pension and Benefits</v>
          </cell>
          <cell r="AC342" t="str">
            <v>[10200]  PECO Energy CompanyEmbedded (Supply Services)T&amp;S Parts Team (20910)</v>
          </cell>
          <cell r="AF342" t="e">
            <v>#N/A</v>
          </cell>
        </row>
        <row r="343">
          <cell r="E343">
            <v>515</v>
          </cell>
          <cell r="H343">
            <v>-515</v>
          </cell>
          <cell r="I343">
            <v>-515</v>
          </cell>
          <cell r="J343">
            <v>739</v>
          </cell>
          <cell r="M343">
            <v>-739</v>
          </cell>
          <cell r="N343">
            <v>-515</v>
          </cell>
          <cell r="O343">
            <v>739</v>
          </cell>
          <cell r="R343">
            <v>-739</v>
          </cell>
          <cell r="S343">
            <v>-515</v>
          </cell>
          <cell r="V343" t="str">
            <v>Embedded</v>
          </cell>
          <cell r="W343" t="str">
            <v>Supply Services</v>
          </cell>
          <cell r="AA343" t="str">
            <v>[10200]  PECO Energy CompanyEmbeddedSupply Services</v>
          </cell>
          <cell r="AB343" t="str">
            <v>[10200]  PECO Energy CompanyEmbedded (Supply Services)Salaries and Wages</v>
          </cell>
          <cell r="AC343" t="str">
            <v>[10200]  PECO Energy CompanyEmbedded (Supply Services)Material Availability - PECO (20930)</v>
          </cell>
          <cell r="AF343" t="e">
            <v>#N/A</v>
          </cell>
        </row>
        <row r="344">
          <cell r="E344">
            <v>0</v>
          </cell>
          <cell r="H344">
            <v>0</v>
          </cell>
          <cell r="I344">
            <v>0</v>
          </cell>
          <cell r="J344">
            <v>0</v>
          </cell>
          <cell r="M344">
            <v>0</v>
          </cell>
          <cell r="N344">
            <v>0</v>
          </cell>
          <cell r="O344">
            <v>0</v>
          </cell>
          <cell r="R344">
            <v>0</v>
          </cell>
          <cell r="S344">
            <v>0</v>
          </cell>
          <cell r="V344" t="str">
            <v>Embedded</v>
          </cell>
          <cell r="W344" t="str">
            <v>Supply Services</v>
          </cell>
          <cell r="AA344" t="str">
            <v>[10200]  PECO Energy CompanyEmbeddedSupply Services</v>
          </cell>
          <cell r="AB344" t="str">
            <v>[10200]  PECO Energy CompanyEmbedded (Supply Services)Materials and Supplies</v>
          </cell>
          <cell r="AC344" t="str">
            <v>[10200]  PECO Energy CompanyEmbedded (Supply Services)Material Availability - PECO (20930)</v>
          </cell>
          <cell r="AF344" t="e">
            <v>#N/A</v>
          </cell>
        </row>
        <row r="345">
          <cell r="E345">
            <v>0</v>
          </cell>
          <cell r="H345">
            <v>0</v>
          </cell>
          <cell r="I345">
            <v>0</v>
          </cell>
          <cell r="J345">
            <v>0</v>
          </cell>
          <cell r="M345">
            <v>0</v>
          </cell>
          <cell r="N345">
            <v>0</v>
          </cell>
          <cell r="O345">
            <v>0</v>
          </cell>
          <cell r="R345">
            <v>0</v>
          </cell>
          <cell r="S345">
            <v>0</v>
          </cell>
          <cell r="V345" t="str">
            <v>Embedded</v>
          </cell>
          <cell r="W345" t="str">
            <v>Supply Services</v>
          </cell>
          <cell r="AA345" t="str">
            <v>[10200]  PECO Energy CompanyEmbeddedSupply Services</v>
          </cell>
          <cell r="AB345" t="str">
            <v>[10200]  PECO Energy CompanyEmbedded (Supply Services)Travel, Entertainment &amp; Reimb</v>
          </cell>
          <cell r="AC345" t="str">
            <v>[10200]  PECO Energy CompanyEmbedded (Supply Services)Material Availability - PECO (20930)</v>
          </cell>
          <cell r="AF345" t="e">
            <v>#N/A</v>
          </cell>
        </row>
        <row r="346">
          <cell r="E346">
            <v>0</v>
          </cell>
          <cell r="H346">
            <v>0</v>
          </cell>
          <cell r="I346">
            <v>0</v>
          </cell>
          <cell r="J346">
            <v>8</v>
          </cell>
          <cell r="M346">
            <v>-8</v>
          </cell>
          <cell r="N346">
            <v>0</v>
          </cell>
          <cell r="O346">
            <v>8</v>
          </cell>
          <cell r="R346">
            <v>-8</v>
          </cell>
          <cell r="S346">
            <v>0</v>
          </cell>
          <cell r="V346" t="str">
            <v>Embedded</v>
          </cell>
          <cell r="W346" t="str">
            <v>Supply Services</v>
          </cell>
          <cell r="AA346" t="str">
            <v>[10200]  PECO Energy CompanyEmbeddedSupply Services</v>
          </cell>
          <cell r="AB346" t="str">
            <v>[10200]  PECO Energy CompanyEmbedded (Supply Services)Other Operating Expenses</v>
          </cell>
          <cell r="AC346" t="str">
            <v>[10200]  PECO Energy CompanyEmbedded (Supply Services)Material Availability - PECO (20930)</v>
          </cell>
          <cell r="AF346" t="e">
            <v>#N/A</v>
          </cell>
        </row>
        <row r="347">
          <cell r="E347">
            <v>322</v>
          </cell>
          <cell r="H347">
            <v>-322</v>
          </cell>
          <cell r="I347">
            <v>-322</v>
          </cell>
          <cell r="J347">
            <v>463</v>
          </cell>
          <cell r="M347">
            <v>-463</v>
          </cell>
          <cell r="N347">
            <v>-322</v>
          </cell>
          <cell r="O347">
            <v>463</v>
          </cell>
          <cell r="R347">
            <v>-463</v>
          </cell>
          <cell r="S347">
            <v>-322</v>
          </cell>
          <cell r="V347" t="str">
            <v>Embedded</v>
          </cell>
          <cell r="W347" t="str">
            <v>Supply Services</v>
          </cell>
          <cell r="AA347" t="str">
            <v>[10200]  PECO Energy CompanyEmbeddedSupply Services</v>
          </cell>
          <cell r="AB347" t="str">
            <v>[10200]  PECO Energy CompanyEmbedded (Supply Services)Pension and Benefits</v>
          </cell>
          <cell r="AC347" t="str">
            <v>[10200]  PECO Energy CompanyEmbedded (Supply Services)Material Availability - PECO (20930)</v>
          </cell>
          <cell r="AF347" t="e">
            <v>#N/A</v>
          </cell>
        </row>
        <row r="348">
          <cell r="E348">
            <v>810</v>
          </cell>
          <cell r="H348">
            <v>-810</v>
          </cell>
          <cell r="I348">
            <v>-810</v>
          </cell>
          <cell r="J348">
            <v>3314</v>
          </cell>
          <cell r="M348">
            <v>-3314</v>
          </cell>
          <cell r="N348">
            <v>-810</v>
          </cell>
          <cell r="O348">
            <v>3314</v>
          </cell>
          <cell r="R348">
            <v>-3314</v>
          </cell>
          <cell r="S348">
            <v>-810</v>
          </cell>
          <cell r="V348" t="str">
            <v>Embedded</v>
          </cell>
          <cell r="W348" t="str">
            <v>Communications</v>
          </cell>
          <cell r="AA348" t="str">
            <v>[10200]  PECO Energy CompanyEmbeddedCommunications</v>
          </cell>
          <cell r="AB348" t="str">
            <v>[10200]  PECO Energy CompanyEmbedded (Communications)Business Services</v>
          </cell>
          <cell r="AC348" t="str">
            <v>[10200]  PECO Energy CompanyEmbedded (Communications)Communications &amp; External Rela (21060)</v>
          </cell>
          <cell r="AF348" t="e">
            <v>#N/A</v>
          </cell>
        </row>
        <row r="349">
          <cell r="E349">
            <v>171</v>
          </cell>
          <cell r="H349">
            <v>-171</v>
          </cell>
          <cell r="I349">
            <v>-171</v>
          </cell>
          <cell r="J349">
            <v>549</v>
          </cell>
          <cell r="M349">
            <v>-549</v>
          </cell>
          <cell r="N349">
            <v>-171</v>
          </cell>
          <cell r="O349">
            <v>549</v>
          </cell>
          <cell r="R349">
            <v>-549</v>
          </cell>
          <cell r="S349">
            <v>-171</v>
          </cell>
          <cell r="V349" t="str">
            <v>Embedded</v>
          </cell>
          <cell r="W349" t="str">
            <v>Communications</v>
          </cell>
          <cell r="AA349" t="str">
            <v>[10200]  PECO Energy CompanyEmbeddedCommunications</v>
          </cell>
          <cell r="AB349" t="str">
            <v>[10200]  PECO Energy CompanyEmbedded (Communications)Other Operating Expenses</v>
          </cell>
          <cell r="AC349" t="str">
            <v>[10200]  PECO Energy CompanyEmbedded (Communications)Communications &amp; External Rela (21060)</v>
          </cell>
          <cell r="AF349" t="e">
            <v>#N/A</v>
          </cell>
        </row>
        <row r="350">
          <cell r="E350">
            <v>37332572</v>
          </cell>
          <cell r="H350">
            <v>-13597715</v>
          </cell>
          <cell r="I350">
            <v>-12763699</v>
          </cell>
          <cell r="J350">
            <v>106682059</v>
          </cell>
          <cell r="M350">
            <v>2310331</v>
          </cell>
          <cell r="N350">
            <v>-12763699</v>
          </cell>
          <cell r="O350">
            <v>309929946</v>
          </cell>
          <cell r="R350">
            <v>3649415</v>
          </cell>
          <cell r="S350">
            <v>-9587746</v>
          </cell>
          <cell r="V350" t="e">
            <v>#N/A</v>
          </cell>
          <cell r="W350" t="e">
            <v>#N/A</v>
          </cell>
          <cell r="AA350" t="e">
            <v>#N/A</v>
          </cell>
          <cell r="AB350" t="e">
            <v>#N/A</v>
          </cell>
          <cell r="AC350" t="e">
            <v>#N/A</v>
          </cell>
          <cell r="AF350" t="e">
            <v>#N/A</v>
          </cell>
        </row>
        <row r="351">
          <cell r="V351" t="e">
            <v>#N/A</v>
          </cell>
          <cell r="W351" t="e">
            <v>#N/A</v>
          </cell>
          <cell r="AA351" t="e">
            <v>#N/A</v>
          </cell>
          <cell r="AB351" t="e">
            <v>#N/A</v>
          </cell>
          <cell r="AC351" t="e">
            <v>#N/A</v>
          </cell>
          <cell r="AF351" t="e">
            <v>#N/A</v>
          </cell>
        </row>
        <row r="352">
          <cell r="V352" t="e">
            <v>#N/A</v>
          </cell>
          <cell r="W352" t="e">
            <v>#N/A</v>
          </cell>
          <cell r="AA352" t="e">
            <v>#N/A</v>
          </cell>
          <cell r="AB352" t="e">
            <v>#N/A</v>
          </cell>
          <cell r="AC352" t="e">
            <v>#N/A</v>
          </cell>
          <cell r="AF352" t="e">
            <v>#N/A</v>
          </cell>
        </row>
        <row r="353">
          <cell r="V353" t="e">
            <v>#N/A</v>
          </cell>
          <cell r="W353" t="e">
            <v>#N/A</v>
          </cell>
          <cell r="AA353" t="e">
            <v>#N/A</v>
          </cell>
          <cell r="AB353" t="e">
            <v>#N/A</v>
          </cell>
          <cell r="AC353" t="e">
            <v>#N/A</v>
          </cell>
          <cell r="AF353" t="e">
            <v>#N/A</v>
          </cell>
        </row>
        <row r="354">
          <cell r="V354" t="e">
            <v>#N/A</v>
          </cell>
          <cell r="W354" t="e">
            <v>#N/A</v>
          </cell>
          <cell r="AA354" t="e">
            <v>#N/A</v>
          </cell>
          <cell r="AB354" t="e">
            <v>#N/A</v>
          </cell>
          <cell r="AC354" t="e">
            <v>#N/A</v>
          </cell>
          <cell r="AF354" t="e">
            <v>#N/A</v>
          </cell>
        </row>
        <row r="355">
          <cell r="V355" t="e">
            <v>#N/A</v>
          </cell>
          <cell r="W355" t="e">
            <v>#N/A</v>
          </cell>
          <cell r="AA355" t="e">
            <v>#N/A</v>
          </cell>
          <cell r="AB355" t="e">
            <v>#N/A</v>
          </cell>
          <cell r="AC355" t="e">
            <v>#N/A</v>
          </cell>
          <cell r="AF355" t="e">
            <v>#N/A</v>
          </cell>
        </row>
        <row r="356">
          <cell r="V356" t="e">
            <v>#N/A</v>
          </cell>
          <cell r="W356" t="e">
            <v>#N/A</v>
          </cell>
          <cell r="AA356" t="e">
            <v>#N/A</v>
          </cell>
          <cell r="AB356" t="e">
            <v>#N/A</v>
          </cell>
          <cell r="AC356" t="e">
            <v>#N/A</v>
          </cell>
          <cell r="AF356" t="e">
            <v>#N/A</v>
          </cell>
        </row>
        <row r="357">
          <cell r="V357" t="e">
            <v>#N/A</v>
          </cell>
          <cell r="W357" t="e">
            <v>#N/A</v>
          </cell>
          <cell r="AA357" t="e">
            <v>#N/A</v>
          </cell>
          <cell r="AB357" t="e">
            <v>#N/A</v>
          </cell>
          <cell r="AC357" t="e">
            <v>#N/A</v>
          </cell>
          <cell r="AF357" t="e">
            <v>#N/A</v>
          </cell>
        </row>
        <row r="358">
          <cell r="V358" t="e">
            <v>#N/A</v>
          </cell>
          <cell r="W358" t="e">
            <v>#N/A</v>
          </cell>
          <cell r="AA358" t="e">
            <v>#N/A</v>
          </cell>
          <cell r="AB358" t="e">
            <v>#N/A</v>
          </cell>
          <cell r="AC358" t="e">
            <v>#N/A</v>
          </cell>
          <cell r="AF358" t="e">
            <v>#N/A</v>
          </cell>
        </row>
        <row r="359">
          <cell r="E359">
            <v>-8700000</v>
          </cell>
          <cell r="H359">
            <v>8700000</v>
          </cell>
          <cell r="I359">
            <v>8700000</v>
          </cell>
          <cell r="J359">
            <v>0</v>
          </cell>
          <cell r="M359">
            <v>0</v>
          </cell>
          <cell r="N359">
            <v>8700000</v>
          </cell>
          <cell r="O359">
            <v>0</v>
          </cell>
          <cell r="R359">
            <v>0</v>
          </cell>
          <cell r="S359">
            <v>8700000</v>
          </cell>
          <cell r="V359" t="str">
            <v>Embedded</v>
          </cell>
          <cell r="W359" t="str">
            <v>Finance</v>
          </cell>
          <cell r="AA359" t="str">
            <v>[10200]  PECO Energy CompanyEmbeddedFinance</v>
          </cell>
          <cell r="AB359" t="str">
            <v>[10200]  PECO Energy CompanyEmbedded (Finance)Contracting</v>
          </cell>
          <cell r="AC359" t="str">
            <v>[10200]  PECO Energy CompanyEmbedded (Finance)Tax-PECO (00817)</v>
          </cell>
          <cell r="AF359" t="str">
            <v>EEDTaxContracting</v>
          </cell>
        </row>
        <row r="360">
          <cell r="V360" t="e">
            <v>#N/A</v>
          </cell>
          <cell r="W360" t="e">
            <v>#N/A</v>
          </cell>
          <cell r="AA360" t="e">
            <v>#N/A</v>
          </cell>
          <cell r="AB360" t="e">
            <v>#N/A</v>
          </cell>
          <cell r="AC360" t="e">
            <v>#N/A</v>
          </cell>
          <cell r="AF360" t="e">
            <v>#N/A</v>
          </cell>
        </row>
        <row r="361">
          <cell r="E361">
            <v>0</v>
          </cell>
          <cell r="H361">
            <v>0</v>
          </cell>
          <cell r="I361">
            <v>0</v>
          </cell>
          <cell r="J361">
            <v>0</v>
          </cell>
          <cell r="M361">
            <v>0</v>
          </cell>
          <cell r="N361">
            <v>0</v>
          </cell>
          <cell r="O361">
            <v>0</v>
          </cell>
          <cell r="R361">
            <v>0</v>
          </cell>
          <cell r="S361">
            <v>3083600</v>
          </cell>
          <cell r="V361" t="str">
            <v>EBSC Transactional2</v>
          </cell>
          <cell r="W361" t="str">
            <v>Tools For People</v>
          </cell>
          <cell r="AA361" t="str">
            <v>[10200]  PECO Energy CompanyEBSC TransactionalTools For People</v>
          </cell>
          <cell r="AB361" t="str">
            <v>[10200]  PECO Energy CompanyEBSC Transactional (Tools For People)Business Services</v>
          </cell>
          <cell r="AC361" t="str">
            <v>[10200]  PECO Energy CompanyEBSC Transactional (Tools For People)Cust&amp;Mrkt Svcs&amp;Fleet Mgmt-PECO (Peco Customer Service Systems)</v>
          </cell>
          <cell r="AF361" t="e">
            <v>#N/A</v>
          </cell>
        </row>
        <row r="362">
          <cell r="V362" t="e">
            <v>#N/A</v>
          </cell>
          <cell r="W362" t="e">
            <v>#N/A</v>
          </cell>
          <cell r="AA362" t="e">
            <v>#N/A</v>
          </cell>
          <cell r="AB362" t="e">
            <v>#N/A</v>
          </cell>
          <cell r="AC362" t="e">
            <v>#N/A</v>
          </cell>
          <cell r="AF362" t="e">
            <v>#N/A</v>
          </cell>
        </row>
        <row r="363">
          <cell r="E363" t="str">
            <v>Actual Activity Amount</v>
          </cell>
          <cell r="H363" t="str">
            <v>Variance to Mon Budget</v>
          </cell>
          <cell r="I363" t="str">
            <v>Variance to Mo QtrLE</v>
          </cell>
          <cell r="J363" t="str">
            <v>Actual YTD Activity Amount</v>
          </cell>
          <cell r="M363" t="str">
            <v>Variance to YTD Budget</v>
          </cell>
          <cell r="N363" t="str">
            <v>Variance to YTD Qtr LE</v>
          </cell>
          <cell r="O363" t="str">
            <v>YEND Planning Amount(EED O&amp;M FY LE)</v>
          </cell>
          <cell r="R363" t="str">
            <v>Variance YE Budget</v>
          </cell>
          <cell r="S363" t="str">
            <v>Variance YE Qtr LE</v>
          </cell>
          <cell r="V363" t="e">
            <v>#N/A</v>
          </cell>
          <cell r="W363" t="e">
            <v>#N/A</v>
          </cell>
          <cell r="AA363" t="e">
            <v>#N/A</v>
          </cell>
          <cell r="AB363" t="e">
            <v>#N/A</v>
          </cell>
          <cell r="AC363" t="e">
            <v>#N/A</v>
          </cell>
          <cell r="AF363" t="e">
            <v>#N/A</v>
          </cell>
        </row>
        <row r="364">
          <cell r="E364">
            <v>-632000</v>
          </cell>
          <cell r="H364">
            <v>632000</v>
          </cell>
          <cell r="I364">
            <v>632000</v>
          </cell>
          <cell r="J364">
            <v>-2064764</v>
          </cell>
          <cell r="M364">
            <v>2064764</v>
          </cell>
          <cell r="N364">
            <v>632000</v>
          </cell>
          <cell r="O364">
            <v>-2064764</v>
          </cell>
          <cell r="R364">
            <v>2064764</v>
          </cell>
          <cell r="S364">
            <v>632000</v>
          </cell>
          <cell r="V364" t="str">
            <v>EBSC Transactional2</v>
          </cell>
          <cell r="W364" t="str">
            <v>Tools For People</v>
          </cell>
          <cell r="AA364" t="str">
            <v>[10601]  Commonwealth Edison CompanyEBSC TransactionalTools For People</v>
          </cell>
          <cell r="AB364" t="str">
            <v>[10601]  Commonwealth Edison CompanyEBSC Transactional (Tools For People)Business Services</v>
          </cell>
          <cell r="AC364" t="str">
            <v>[10601]  Commonwealth Edison CompanyEBSC Transactional (Tools For People)Capitalized Overheads - ComEd (00412 - Capitalzed Overheads-CED)</v>
          </cell>
          <cell r="AF364" t="e">
            <v>#N/A</v>
          </cell>
        </row>
        <row r="365">
          <cell r="E365">
            <v>0</v>
          </cell>
          <cell r="H365">
            <v>0</v>
          </cell>
          <cell r="I365">
            <v>0</v>
          </cell>
          <cell r="J365">
            <v>0</v>
          </cell>
          <cell r="M365">
            <v>0</v>
          </cell>
          <cell r="N365">
            <v>0</v>
          </cell>
          <cell r="O365">
            <v>0</v>
          </cell>
          <cell r="R365">
            <v>0</v>
          </cell>
          <cell r="S365">
            <v>0</v>
          </cell>
          <cell r="V365" t="str">
            <v>EBSC Transactional2</v>
          </cell>
          <cell r="W365" t="str">
            <v>Passthroughs</v>
          </cell>
          <cell r="AA365" t="str">
            <v>[10601]  Commonwealth Edison CompanyEBSC TransactionalPassthroughs</v>
          </cell>
          <cell r="AB365" t="str">
            <v>[10601]  Commonwealth Edison CompanyEBSC Transactional (Passthroughs)Other Operating Expenses</v>
          </cell>
          <cell r="AC365" t="str">
            <v>[10601]  Commonwealth Edison CompanyEBSC Transactional (Passthroughs)Capitalized Overheads - ComEd (00412 - Capitalzed Overheads-CED)</v>
          </cell>
          <cell r="AF365" t="e">
            <v>#N/A</v>
          </cell>
        </row>
        <row r="366">
          <cell r="E366">
            <v>121266</v>
          </cell>
          <cell r="H366">
            <v>9034</v>
          </cell>
          <cell r="I366">
            <v>9034</v>
          </cell>
          <cell r="J366">
            <v>497888</v>
          </cell>
          <cell r="M366">
            <v>23312</v>
          </cell>
          <cell r="N366">
            <v>9034</v>
          </cell>
          <cell r="O366">
            <v>1540288</v>
          </cell>
          <cell r="R366">
            <v>23312</v>
          </cell>
          <cell r="S366">
            <v>9034</v>
          </cell>
          <cell r="V366" t="str">
            <v>EBSC Transactional2</v>
          </cell>
          <cell r="W366" t="str">
            <v>Tools For People</v>
          </cell>
          <cell r="AA366" t="str">
            <v>[10601]  Commonwealth Edison CompanyEBSC TransactionalTools For People</v>
          </cell>
          <cell r="AB366" t="str">
            <v>[10601]  Commonwealth Edison CompanyEBSC Transactional (Tools For People)Business Services</v>
          </cell>
          <cell r="AC366" t="str">
            <v>[10601]  Commonwealth Edison CompanyEBSC Transactional (Tools For People)Cust&amp;Mrkt Srvcs Fleet Mgmt-CED (ComEd Customer Contact Center)</v>
          </cell>
          <cell r="AF366" t="e">
            <v>#N/A</v>
          </cell>
        </row>
        <row r="367">
          <cell r="E367">
            <v>165077</v>
          </cell>
          <cell r="H367">
            <v>25105</v>
          </cell>
          <cell r="I367">
            <v>25105</v>
          </cell>
          <cell r="J367">
            <v>602035</v>
          </cell>
          <cell r="M367">
            <v>22349</v>
          </cell>
          <cell r="N367">
            <v>25105</v>
          </cell>
          <cell r="O367">
            <v>2174650</v>
          </cell>
          <cell r="R367">
            <v>22349</v>
          </cell>
          <cell r="S367">
            <v>25105</v>
          </cell>
          <cell r="V367" t="str">
            <v>EBSC Transactional2</v>
          </cell>
          <cell r="W367" t="str">
            <v>Passthroughs</v>
          </cell>
          <cell r="AA367" t="str">
            <v>[10601]  Commonwealth Edison CompanyEBSC TransactionalPassthroughs</v>
          </cell>
          <cell r="AB367" t="str">
            <v>[10601]  Commonwealth Edison CompanyEBSC Transactional (Passthroughs)Other Operating Expenses</v>
          </cell>
          <cell r="AC367" t="str">
            <v>[10601]  Commonwealth Edison CompanyEBSC Transactional (Passthroughs)Cust&amp;Mrkt Srvcs Fleet Mgmt-CED (ComEd Customer Contact Center)</v>
          </cell>
          <cell r="AF367" t="e">
            <v>#N/A</v>
          </cell>
        </row>
        <row r="368">
          <cell r="E368">
            <v>39944</v>
          </cell>
          <cell r="H368">
            <v>9935</v>
          </cell>
          <cell r="I368">
            <v>9686</v>
          </cell>
          <cell r="J368">
            <v>173209</v>
          </cell>
          <cell r="M368">
            <v>26309</v>
          </cell>
          <cell r="N368">
            <v>9686</v>
          </cell>
          <cell r="O368">
            <v>575471</v>
          </cell>
          <cell r="R368">
            <v>24573</v>
          </cell>
          <cell r="S368">
            <v>9686</v>
          </cell>
          <cell r="V368" t="str">
            <v>EBSC Transactional2</v>
          </cell>
          <cell r="W368" t="str">
            <v>Tools For People</v>
          </cell>
          <cell r="AA368" t="str">
            <v>[10601]  Commonwealth Edison CompanyEBSC TransactionalTools For People</v>
          </cell>
          <cell r="AB368" t="str">
            <v>[10601]  Commonwealth Edison CompanyEBSC Transactional (Tools For People)Business Services</v>
          </cell>
          <cell r="AC368" t="str">
            <v>[10601]  Commonwealth Edison CompanyEBSC Transactional (Tools For People)Cust&amp;Mrkt Srvcs Fleet Mgmt-CED (ComEd Customer Financial Ops)</v>
          </cell>
          <cell r="AF368" t="e">
            <v>#N/A</v>
          </cell>
        </row>
        <row r="369">
          <cell r="E369">
            <v>10497</v>
          </cell>
          <cell r="H369">
            <v>-9912</v>
          </cell>
          <cell r="I369">
            <v>-9912</v>
          </cell>
          <cell r="J369">
            <v>22616</v>
          </cell>
          <cell r="M369">
            <v>-20276</v>
          </cell>
          <cell r="N369">
            <v>-9912</v>
          </cell>
          <cell r="O369">
            <v>28286</v>
          </cell>
          <cell r="R369">
            <v>-20469</v>
          </cell>
          <cell r="S369">
            <v>-9912</v>
          </cell>
          <cell r="V369" t="str">
            <v>EBSC Transactional2</v>
          </cell>
          <cell r="W369" t="str">
            <v>Passthroughs</v>
          </cell>
          <cell r="AA369" t="str">
            <v>[10601]  Commonwealth Edison CompanyEBSC TransactionalPassthroughs</v>
          </cell>
          <cell r="AB369" t="str">
            <v>[10601]  Commonwealth Edison CompanyEBSC Transactional (Passthroughs)Other Operating Expenses</v>
          </cell>
          <cell r="AC369" t="str">
            <v>[10601]  Commonwealth Edison CompanyEBSC Transactional (Passthroughs)Cust&amp;Mrkt Srvcs Fleet Mgmt-CED (ComEd Customer Financial Ops)</v>
          </cell>
          <cell r="AF369" t="e">
            <v>#N/A</v>
          </cell>
        </row>
        <row r="370">
          <cell r="E370">
            <v>0</v>
          </cell>
          <cell r="H370">
            <v>1200</v>
          </cell>
          <cell r="I370">
            <v>1200</v>
          </cell>
          <cell r="J370">
            <v>0</v>
          </cell>
          <cell r="M370">
            <v>4800</v>
          </cell>
          <cell r="N370">
            <v>1200</v>
          </cell>
          <cell r="O370">
            <v>9600</v>
          </cell>
          <cell r="R370">
            <v>4800</v>
          </cell>
          <cell r="S370">
            <v>1200</v>
          </cell>
          <cell r="V370" t="str">
            <v>EBSC Transactional2</v>
          </cell>
          <cell r="W370" t="str">
            <v>Passthroughs</v>
          </cell>
          <cell r="AA370" t="str">
            <v>[10601]  Commonwealth Edison CompanyEBSC TransactionalPassthroughs</v>
          </cell>
          <cell r="AB370" t="str">
            <v>[10601]  Commonwealth Edison CompanyEBSC Transactional (Passthroughs)Contracting</v>
          </cell>
          <cell r="AC370" t="str">
            <v>[10601]  Commonwealth Edison CompanyEBSC Transactional (Passthroughs)Cust&amp;Mrkt Srvcs Fleet Mgmt-CED (ComEd Cust Strategies &amp; Supprt)</v>
          </cell>
          <cell r="AF370" t="e">
            <v>#N/A</v>
          </cell>
        </row>
        <row r="371">
          <cell r="E371">
            <v>520660</v>
          </cell>
          <cell r="H371">
            <v>131336</v>
          </cell>
          <cell r="I371">
            <v>131336</v>
          </cell>
          <cell r="J371">
            <v>2326289</v>
          </cell>
          <cell r="M371">
            <v>281695</v>
          </cell>
          <cell r="N371">
            <v>131336</v>
          </cell>
          <cell r="O371">
            <v>7542257</v>
          </cell>
          <cell r="R371">
            <v>281695</v>
          </cell>
          <cell r="S371">
            <v>131336</v>
          </cell>
          <cell r="V371" t="str">
            <v>EBSC Transactional2</v>
          </cell>
          <cell r="W371" t="str">
            <v>Tools For People</v>
          </cell>
          <cell r="AA371" t="str">
            <v>[10601]  Commonwealth Edison CompanyEBSC TransactionalTools For People</v>
          </cell>
          <cell r="AB371" t="str">
            <v>[10601]  Commonwealth Edison CompanyEBSC Transactional (Tools For People)Business Services</v>
          </cell>
          <cell r="AC371" t="str">
            <v>[10601]  Commonwealth Edison CompanyEBSC Transactional (Tools For People)Cust&amp;Mrkt Srvcs Fleet Mgmt-CED (ComEd Cust Strategies &amp; Supprt)</v>
          </cell>
          <cell r="AF371" t="e">
            <v>#N/A</v>
          </cell>
        </row>
        <row r="372">
          <cell r="E372">
            <v>860</v>
          </cell>
          <cell r="H372">
            <v>1341</v>
          </cell>
          <cell r="I372">
            <v>1341</v>
          </cell>
          <cell r="J372">
            <v>4086</v>
          </cell>
          <cell r="M372">
            <v>4718</v>
          </cell>
          <cell r="N372">
            <v>1341</v>
          </cell>
          <cell r="O372">
            <v>21694</v>
          </cell>
          <cell r="R372">
            <v>4718</v>
          </cell>
          <cell r="S372">
            <v>1341</v>
          </cell>
          <cell r="V372" t="str">
            <v>EBSC Transactional2</v>
          </cell>
          <cell r="W372" t="str">
            <v>Passthroughs</v>
          </cell>
          <cell r="AA372" t="str">
            <v>[10601]  Commonwealth Edison CompanyEBSC TransactionalPassthroughs</v>
          </cell>
          <cell r="AB372" t="str">
            <v>[10601]  Commonwealth Edison CompanyEBSC Transactional (Passthroughs)Other Operating Expenses</v>
          </cell>
          <cell r="AC372" t="str">
            <v>[10601]  Commonwealth Edison CompanyEBSC Transactional (Passthroughs)Cust&amp;Mrkt Srvcs Fleet Mgmt-CED (ComEd Cust Strategies &amp; Supprt)</v>
          </cell>
          <cell r="AF372" t="e">
            <v>#N/A</v>
          </cell>
        </row>
        <row r="373">
          <cell r="E373">
            <v>673</v>
          </cell>
          <cell r="H373">
            <v>-673</v>
          </cell>
          <cell r="I373">
            <v>-673</v>
          </cell>
          <cell r="J373">
            <v>819</v>
          </cell>
          <cell r="M373">
            <v>-819</v>
          </cell>
          <cell r="N373">
            <v>-673</v>
          </cell>
          <cell r="O373">
            <v>819</v>
          </cell>
          <cell r="R373">
            <v>-819</v>
          </cell>
          <cell r="S373">
            <v>-673</v>
          </cell>
          <cell r="V373" t="str">
            <v>EBSC Transactional2</v>
          </cell>
          <cell r="W373" t="str">
            <v>Passthroughs</v>
          </cell>
          <cell r="AA373" t="str">
            <v>[10601]  Commonwealth Edison CompanyEBSC TransactionalPassthroughs</v>
          </cell>
          <cell r="AB373" t="str">
            <v>[10601]  Commonwealth Edison CompanyEBSC Transactional (Passthroughs)Contracting</v>
          </cell>
          <cell r="AC373" t="str">
            <v>[10601]  Commonwealth Edison CompanyEBSC Transactional (Passthroughs)Cust&amp;Mrkt Srvcs Fleet Mgmt-CED (ComEd Energy &amp; Marketing Srvcs)</v>
          </cell>
          <cell r="AF373" t="e">
            <v>#N/A</v>
          </cell>
        </row>
        <row r="374">
          <cell r="E374">
            <v>64602</v>
          </cell>
          <cell r="H374">
            <v>3747</v>
          </cell>
          <cell r="I374">
            <v>3747</v>
          </cell>
          <cell r="J374">
            <v>271044</v>
          </cell>
          <cell r="M374">
            <v>2352</v>
          </cell>
          <cell r="N374">
            <v>3747</v>
          </cell>
          <cell r="O374">
            <v>831850</v>
          </cell>
          <cell r="R374">
            <v>2350</v>
          </cell>
          <cell r="S374">
            <v>3747</v>
          </cell>
          <cell r="V374" t="str">
            <v>EBSC Transactional2</v>
          </cell>
          <cell r="W374" t="str">
            <v>Tools For People</v>
          </cell>
          <cell r="AA374" t="str">
            <v>[10601]  Commonwealth Edison CompanyEBSC TransactionalTools For People</v>
          </cell>
          <cell r="AB374" t="str">
            <v>[10601]  Commonwealth Edison CompanyEBSC Transactional (Tools For People)Business Services</v>
          </cell>
          <cell r="AC374" t="str">
            <v>[10601]  Commonwealth Edison CompanyEBSC Transactional (Tools For People)Cust&amp;Mrkt Srvcs Fleet Mgmt-CED (ComEd Energy &amp; Marketing Srvcs)</v>
          </cell>
          <cell r="AF374" t="e">
            <v>#N/A</v>
          </cell>
        </row>
        <row r="375">
          <cell r="E375">
            <v>8007</v>
          </cell>
          <cell r="H375">
            <v>-8007</v>
          </cell>
          <cell r="I375">
            <v>-8007</v>
          </cell>
          <cell r="J375">
            <v>27547</v>
          </cell>
          <cell r="M375">
            <v>-27547</v>
          </cell>
          <cell r="N375">
            <v>-8007</v>
          </cell>
          <cell r="O375">
            <v>27547</v>
          </cell>
          <cell r="R375">
            <v>-27547</v>
          </cell>
          <cell r="S375">
            <v>-8007</v>
          </cell>
          <cell r="V375" t="str">
            <v>EBSC Transactional2</v>
          </cell>
          <cell r="W375" t="str">
            <v>Passthroughs</v>
          </cell>
          <cell r="AA375" t="str">
            <v>[10601]  Commonwealth Edison CompanyEBSC TransactionalPassthroughs</v>
          </cell>
          <cell r="AB375" t="str">
            <v>[10601]  Commonwealth Edison CompanyEBSC Transactional (Passthroughs)Other Operating Expenses</v>
          </cell>
          <cell r="AC375" t="str">
            <v>[10601]  Commonwealth Edison CompanyEBSC Transactional (Passthroughs)Cust&amp;Mrkt Srvcs Fleet Mgmt-CED (ComEd Energy &amp; Marketing Srvcs)</v>
          </cell>
          <cell r="AF375" t="e">
            <v>#N/A</v>
          </cell>
        </row>
        <row r="376">
          <cell r="E376">
            <v>59401</v>
          </cell>
          <cell r="H376">
            <v>21599</v>
          </cell>
          <cell r="I376">
            <v>2924</v>
          </cell>
          <cell r="J376">
            <v>245504</v>
          </cell>
          <cell r="M376">
            <v>78496</v>
          </cell>
          <cell r="N376">
            <v>2924</v>
          </cell>
          <cell r="O376">
            <v>744104</v>
          </cell>
          <cell r="R376">
            <v>228896</v>
          </cell>
          <cell r="S376">
            <v>2924</v>
          </cell>
          <cell r="V376" t="str">
            <v>EBSC Transactional2</v>
          </cell>
          <cell r="W376" t="str">
            <v>Tools For People</v>
          </cell>
          <cell r="AA376" t="str">
            <v>[10601]  Commonwealth Edison CompanyEBSC TransactionalTools For People</v>
          </cell>
          <cell r="AB376" t="str">
            <v>[10601]  Commonwealth Edison CompanyEBSC Transactional (Tools For People)Business Services</v>
          </cell>
          <cell r="AC376" t="str">
            <v>[10601]  Commonwealth Edison CompanyEBSC Transactional (Tools For People)Cust&amp;Mrkt Srvcs Fleet Mgmt-CED (ComEd Field Operations)</v>
          </cell>
          <cell r="AF376" t="e">
            <v>#N/A</v>
          </cell>
        </row>
        <row r="377">
          <cell r="E377">
            <v>24627</v>
          </cell>
          <cell r="H377">
            <v>-24627</v>
          </cell>
          <cell r="I377">
            <v>-24627</v>
          </cell>
          <cell r="J377">
            <v>98104</v>
          </cell>
          <cell r="M377">
            <v>-98104</v>
          </cell>
          <cell r="N377">
            <v>-24627</v>
          </cell>
          <cell r="O377">
            <v>98104</v>
          </cell>
          <cell r="R377">
            <v>-98104</v>
          </cell>
          <cell r="S377">
            <v>-24627</v>
          </cell>
          <cell r="V377" t="str">
            <v>EBSC Transactional2</v>
          </cell>
          <cell r="W377" t="str">
            <v>Passthroughs</v>
          </cell>
          <cell r="AA377" t="str">
            <v>[10601]  Commonwealth Edison CompanyEBSC TransactionalPassthroughs</v>
          </cell>
          <cell r="AB377" t="str">
            <v>[10601]  Commonwealth Edison CompanyEBSC Transactional (Passthroughs)Other Operating Expenses</v>
          </cell>
          <cell r="AC377" t="str">
            <v>[10601]  Commonwealth Edison CompanyEBSC Transactional (Passthroughs)Cust&amp;Mrkt Srvcs Fleet Mgmt-CED (ComEd Field Operations)</v>
          </cell>
          <cell r="AF377" t="e">
            <v>#N/A</v>
          </cell>
        </row>
        <row r="378">
          <cell r="E378">
            <v>113</v>
          </cell>
          <cell r="H378">
            <v>-113</v>
          </cell>
          <cell r="I378">
            <v>-113</v>
          </cell>
          <cell r="J378">
            <v>453</v>
          </cell>
          <cell r="M378">
            <v>-453</v>
          </cell>
          <cell r="N378">
            <v>-113</v>
          </cell>
          <cell r="O378">
            <v>453</v>
          </cell>
          <cell r="R378">
            <v>-453</v>
          </cell>
          <cell r="S378">
            <v>-113</v>
          </cell>
          <cell r="V378" t="str">
            <v>EBSC Transactional2</v>
          </cell>
          <cell r="W378" t="str">
            <v>Tools For People</v>
          </cell>
          <cell r="AA378" t="str">
            <v>[10601]  Commonwealth Edison CompanyEBSC TransactionalTools For People</v>
          </cell>
          <cell r="AB378" t="str">
            <v>[10601]  Commonwealth Edison CompanyEBSC Transactional (Tools For People)Business Services</v>
          </cell>
          <cell r="AC378" t="str">
            <v>[10601]  Commonwealth Edison CompanyEBSC Transactional (Tools For People)Cust&amp;Mrkt Srvcs Fleet Mgmt-CED (Office of the VP)</v>
          </cell>
          <cell r="AF378" t="e">
            <v>#N/A</v>
          </cell>
        </row>
        <row r="379">
          <cell r="E379">
            <v>34</v>
          </cell>
          <cell r="H379">
            <v>-34</v>
          </cell>
          <cell r="I379">
            <v>-34</v>
          </cell>
          <cell r="J379">
            <v>111</v>
          </cell>
          <cell r="M379">
            <v>-111</v>
          </cell>
          <cell r="N379">
            <v>-34</v>
          </cell>
          <cell r="O379">
            <v>111</v>
          </cell>
          <cell r="R379">
            <v>-111</v>
          </cell>
          <cell r="S379">
            <v>-34</v>
          </cell>
          <cell r="V379" t="str">
            <v>EBSC Transactional2</v>
          </cell>
          <cell r="W379" t="str">
            <v>Passthroughs</v>
          </cell>
          <cell r="AA379" t="str">
            <v>[10601]  Commonwealth Edison CompanyEBSC TransactionalPassthroughs</v>
          </cell>
          <cell r="AB379" t="str">
            <v>[10601]  Commonwealth Edison CompanyEBSC Transactional (Passthroughs)Other Operating Expenses</v>
          </cell>
          <cell r="AC379" t="str">
            <v>[10601]  Commonwealth Edison CompanyEBSC Transactional (Passthroughs)Cust&amp;Mrkt Srvcs Fleet Mgmt-CED (Office of the VP)</v>
          </cell>
          <cell r="AF379" t="e">
            <v>#N/A</v>
          </cell>
        </row>
        <row r="380">
          <cell r="E380">
            <v>57</v>
          </cell>
          <cell r="H380">
            <v>-57</v>
          </cell>
          <cell r="I380">
            <v>-57</v>
          </cell>
          <cell r="J380">
            <v>61</v>
          </cell>
          <cell r="M380">
            <v>-61</v>
          </cell>
          <cell r="N380">
            <v>-57</v>
          </cell>
          <cell r="O380">
            <v>61</v>
          </cell>
          <cell r="R380">
            <v>-61</v>
          </cell>
          <cell r="S380">
            <v>-57</v>
          </cell>
          <cell r="V380" t="str">
            <v>EBSC Transactional2</v>
          </cell>
          <cell r="W380" t="str">
            <v>Tools For People</v>
          </cell>
          <cell r="AA380" t="str">
            <v>[10601]  Commonwealth Edison CompanyEBSC TransactionalTools For People</v>
          </cell>
          <cell r="AB380" t="str">
            <v>[10601]  Commonwealth Edison CompanyEBSC Transactional (Tools For People)Business Services</v>
          </cell>
          <cell r="AC380" t="str">
            <v>[10601]  Commonwealth Edison CompanyEBSC Transactional (Tools For People)Gen Company Activities-ComEd (01485 - Team Edison)</v>
          </cell>
          <cell r="AF380" t="e">
            <v>#N/A</v>
          </cell>
        </row>
        <row r="381">
          <cell r="E381">
            <v>179</v>
          </cell>
          <cell r="H381">
            <v>-179</v>
          </cell>
          <cell r="I381">
            <v>-179</v>
          </cell>
          <cell r="J381">
            <v>179</v>
          </cell>
          <cell r="M381">
            <v>-179</v>
          </cell>
          <cell r="N381">
            <v>-179</v>
          </cell>
          <cell r="O381">
            <v>179</v>
          </cell>
          <cell r="R381">
            <v>-179</v>
          </cell>
          <cell r="S381">
            <v>-179</v>
          </cell>
          <cell r="V381" t="str">
            <v>EBSC Transactional2</v>
          </cell>
          <cell r="W381" t="str">
            <v>Tools For People</v>
          </cell>
          <cell r="AA381" t="str">
            <v>[10601]  Commonwealth Edison CompanyEBSC TransactionalTools For People</v>
          </cell>
          <cell r="AB381" t="str">
            <v>[10601]  Commonwealth Edison CompanyEBSC Transactional (Tools For People)Business Services</v>
          </cell>
          <cell r="AC381" t="str">
            <v>[10601]  Commonwealth Edison CompanyEBSC Transactional (Tools For People)Gen Company Activities-ComEd (03603 - Region Lead-Chicago South)</v>
          </cell>
          <cell r="AF381" t="e">
            <v>#N/A</v>
          </cell>
        </row>
        <row r="382">
          <cell r="E382">
            <v>0</v>
          </cell>
          <cell r="H382">
            <v>0</v>
          </cell>
          <cell r="I382">
            <v>0</v>
          </cell>
          <cell r="J382">
            <v>0</v>
          </cell>
          <cell r="M382">
            <v>0</v>
          </cell>
          <cell r="N382">
            <v>0</v>
          </cell>
          <cell r="O382">
            <v>0</v>
          </cell>
          <cell r="R382">
            <v>0</v>
          </cell>
          <cell r="S382">
            <v>0</v>
          </cell>
          <cell r="V382" t="str">
            <v>EBSC Transactional2</v>
          </cell>
          <cell r="W382" t="str">
            <v>Passthroughs</v>
          </cell>
          <cell r="AA382" t="str">
            <v>[10601]  Commonwealth Edison CompanyEBSC TransactionalPassthroughs</v>
          </cell>
          <cell r="AB382" t="str">
            <v>[10601]  Commonwealth Edison CompanyEBSC Transactional (Passthroughs)Other Operating Expenses</v>
          </cell>
          <cell r="AC382" t="str">
            <v>[10601]  Commonwealth Edison CompanyEBSC Transactional (Passthroughs)Gen Company Activities-ComEd (03603 - Region Lead-Chicago South)</v>
          </cell>
          <cell r="AF382" t="e">
            <v>#N/A</v>
          </cell>
        </row>
        <row r="383">
          <cell r="E383">
            <v>74</v>
          </cell>
          <cell r="H383">
            <v>-74</v>
          </cell>
          <cell r="I383">
            <v>-74</v>
          </cell>
          <cell r="J383">
            <v>150</v>
          </cell>
          <cell r="M383">
            <v>-150</v>
          </cell>
          <cell r="N383">
            <v>-74</v>
          </cell>
          <cell r="O383">
            <v>150</v>
          </cell>
          <cell r="R383">
            <v>-150</v>
          </cell>
          <cell r="S383">
            <v>-74</v>
          </cell>
          <cell r="V383" t="str">
            <v>EBSC Transactional2</v>
          </cell>
          <cell r="W383" t="str">
            <v>Tools For People</v>
          </cell>
          <cell r="AA383" t="str">
            <v>[10601]  Commonwealth Edison CompanyEBSC TransactionalTools For People</v>
          </cell>
          <cell r="AB383" t="str">
            <v>[10601]  Commonwealth Edison CompanyEBSC Transactional (Tools For People)Business Services</v>
          </cell>
          <cell r="AC383" t="str">
            <v>[10601]  Commonwealth Edison CompanyEBSC Transactional (Tools For People)Gen Company Activities-ComEd (07999 - T&amp;D General Co Activities)</v>
          </cell>
          <cell r="AF383" t="e">
            <v>#N/A</v>
          </cell>
        </row>
        <row r="384">
          <cell r="E384">
            <v>291</v>
          </cell>
          <cell r="H384">
            <v>-291</v>
          </cell>
          <cell r="I384">
            <v>-291</v>
          </cell>
          <cell r="J384">
            <v>396</v>
          </cell>
          <cell r="M384">
            <v>-396</v>
          </cell>
          <cell r="N384">
            <v>-291</v>
          </cell>
          <cell r="O384">
            <v>396</v>
          </cell>
          <cell r="R384">
            <v>-396</v>
          </cell>
          <cell r="S384">
            <v>-291</v>
          </cell>
          <cell r="V384" t="str">
            <v>EBSC Transactional2</v>
          </cell>
          <cell r="W384" t="str">
            <v>Passthroughs</v>
          </cell>
          <cell r="AA384" t="str">
            <v>[10601]  Commonwealth Edison CompanyEBSC TransactionalPassthroughs</v>
          </cell>
          <cell r="AB384" t="str">
            <v>[10601]  Commonwealth Edison CompanyEBSC Transactional (Passthroughs)Other Operating Expenses</v>
          </cell>
          <cell r="AC384" t="str">
            <v>[10601]  Commonwealth Edison CompanyEBSC Transactional (Passthroughs)Gen Company Activities-ComEd (07999 - T&amp;D General Co Activities)</v>
          </cell>
          <cell r="AF384" t="e">
            <v>#N/A</v>
          </cell>
        </row>
        <row r="385">
          <cell r="E385">
            <v>0</v>
          </cell>
          <cell r="H385">
            <v>0</v>
          </cell>
          <cell r="I385">
            <v>0</v>
          </cell>
          <cell r="J385">
            <v>178785</v>
          </cell>
          <cell r="M385">
            <v>-178785</v>
          </cell>
          <cell r="N385">
            <v>0</v>
          </cell>
          <cell r="O385">
            <v>178785</v>
          </cell>
          <cell r="R385">
            <v>-178785</v>
          </cell>
          <cell r="S385">
            <v>0</v>
          </cell>
          <cell r="V385" t="str">
            <v>EBSC Transactional2</v>
          </cell>
          <cell r="W385" t="str">
            <v>Tools For People</v>
          </cell>
          <cell r="AA385" t="str">
            <v>[10601]  Commonwealth Edison CompanyEBSC TransactionalTools For People</v>
          </cell>
          <cell r="AB385" t="str">
            <v>[10601]  Commonwealth Edison CompanyEBSC Transactional (Tools For People)Business Services</v>
          </cell>
          <cell r="AC385" t="str">
            <v>[10601]  Commonwealth Edison CompanyEBSC Transactional (Tools For People)Gen Company Activities-ComEd (08000 - CED Exelon Way)</v>
          </cell>
          <cell r="AF385" t="e">
            <v>#N/A</v>
          </cell>
        </row>
        <row r="386">
          <cell r="E386">
            <v>0</v>
          </cell>
          <cell r="H386">
            <v>0</v>
          </cell>
          <cell r="I386">
            <v>0</v>
          </cell>
          <cell r="J386">
            <v>3</v>
          </cell>
          <cell r="M386">
            <v>-3</v>
          </cell>
          <cell r="N386">
            <v>0</v>
          </cell>
          <cell r="O386">
            <v>3</v>
          </cell>
          <cell r="R386">
            <v>-3</v>
          </cell>
          <cell r="S386">
            <v>0</v>
          </cell>
          <cell r="V386" t="str">
            <v>EBSC Transactional2</v>
          </cell>
          <cell r="W386" t="str">
            <v>Tools For People</v>
          </cell>
          <cell r="AA386" t="str">
            <v>[10601]  Commonwealth Edison CompanyEBSC TransactionalTools For People</v>
          </cell>
          <cell r="AB386" t="str">
            <v>[10601]  Commonwealth Edison CompanyEBSC Transactional (Tools For People)Business Services</v>
          </cell>
          <cell r="AC386" t="str">
            <v>[10601]  Commonwealth Edison CompanyEBSC Transactional (Tools For People)Gen Company Activities-ComEd (08264 - CED Incentive)</v>
          </cell>
          <cell r="AF386" t="e">
            <v>#N/A</v>
          </cell>
        </row>
        <row r="387">
          <cell r="E387">
            <v>0</v>
          </cell>
          <cell r="H387">
            <v>0</v>
          </cell>
          <cell r="I387">
            <v>0</v>
          </cell>
          <cell r="J387">
            <v>17</v>
          </cell>
          <cell r="M387">
            <v>-17</v>
          </cell>
          <cell r="N387">
            <v>0</v>
          </cell>
          <cell r="O387">
            <v>17</v>
          </cell>
          <cell r="R387">
            <v>-17</v>
          </cell>
          <cell r="S387">
            <v>0</v>
          </cell>
          <cell r="V387" t="str">
            <v>EBSC Transactional2</v>
          </cell>
          <cell r="W387" t="str">
            <v>Tools For People</v>
          </cell>
          <cell r="AA387" t="str">
            <v>[10601]  Commonwealth Edison CompanyEBSC TransactionalTools For People</v>
          </cell>
          <cell r="AB387" t="str">
            <v>[10601]  Commonwealth Edison CompanyEBSC Transactional (Tools For People)Business Services</v>
          </cell>
          <cell r="AC387" t="str">
            <v>[10601]  Commonwealth Edison CompanyEBSC Transactional (Tools For People)Gen Company Activities-ComEd (09950 - DCU Retirees' spouses)</v>
          </cell>
          <cell r="AF387" t="e">
            <v>#N/A</v>
          </cell>
        </row>
        <row r="388">
          <cell r="E388">
            <v>39</v>
          </cell>
          <cell r="H388">
            <v>-39</v>
          </cell>
          <cell r="I388">
            <v>-39</v>
          </cell>
          <cell r="J388">
            <v>156</v>
          </cell>
          <cell r="M388">
            <v>-156</v>
          </cell>
          <cell r="N388">
            <v>-39</v>
          </cell>
          <cell r="O388">
            <v>156</v>
          </cell>
          <cell r="R388">
            <v>-156</v>
          </cell>
          <cell r="S388">
            <v>-39</v>
          </cell>
          <cell r="V388" t="str">
            <v>EBSC Transactional2</v>
          </cell>
          <cell r="W388" t="str">
            <v>Tools For People</v>
          </cell>
          <cell r="AA388" t="str">
            <v>[10601]  Commonwealth Edison CompanyEBSC TransactionalTools For People</v>
          </cell>
          <cell r="AB388" t="str">
            <v>[10601]  Commonwealth Edison CompanyEBSC Transactional (Tools For People)Business Services</v>
          </cell>
          <cell r="AC388" t="str">
            <v>[10601]  Commonwealth Edison CompanyEBSC Transactional (Tools For People)Gen Company Activities-ComEd (10601 Unassigned Departments)</v>
          </cell>
          <cell r="AF388" t="e">
            <v>#N/A</v>
          </cell>
        </row>
        <row r="389">
          <cell r="E389">
            <v>6375</v>
          </cell>
          <cell r="H389">
            <v>-1275</v>
          </cell>
          <cell r="I389">
            <v>-1275</v>
          </cell>
          <cell r="J389">
            <v>24109</v>
          </cell>
          <cell r="M389">
            <v>-3709</v>
          </cell>
          <cell r="N389">
            <v>-1275</v>
          </cell>
          <cell r="O389">
            <v>64909</v>
          </cell>
          <cell r="R389">
            <v>-3709</v>
          </cell>
          <cell r="S389">
            <v>-1275</v>
          </cell>
          <cell r="V389" t="str">
            <v>EBSC Transactional2</v>
          </cell>
          <cell r="W389" t="str">
            <v>Tools For People</v>
          </cell>
          <cell r="AA389" t="str">
            <v>[10601]  Commonwealth Edison CompanyEBSC TransactionalTools For People</v>
          </cell>
          <cell r="AB389" t="str">
            <v>[10601]  Commonwealth Edison CompanyEBSC Transactional (Tools For People)Business Services</v>
          </cell>
          <cell r="AC389" t="str">
            <v>[10601]  Commonwealth Edison CompanyEBSC Transactional (Tools For People)Office of the President -ComEd (CED Claims)</v>
          </cell>
          <cell r="AF389" t="e">
            <v>#N/A</v>
          </cell>
        </row>
        <row r="390">
          <cell r="E390">
            <v>2283</v>
          </cell>
          <cell r="H390">
            <v>-199</v>
          </cell>
          <cell r="I390">
            <v>-199</v>
          </cell>
          <cell r="J390">
            <v>8900</v>
          </cell>
          <cell r="M390">
            <v>-567</v>
          </cell>
          <cell r="N390">
            <v>-199</v>
          </cell>
          <cell r="O390">
            <v>25567</v>
          </cell>
          <cell r="R390">
            <v>-567</v>
          </cell>
          <cell r="S390">
            <v>-199</v>
          </cell>
          <cell r="V390" t="str">
            <v>EBSC Transactional2</v>
          </cell>
          <cell r="W390" t="str">
            <v>Passthroughs</v>
          </cell>
          <cell r="AA390" t="str">
            <v>[10601]  Commonwealth Edison CompanyEBSC TransactionalPassthroughs</v>
          </cell>
          <cell r="AB390" t="str">
            <v>[10601]  Commonwealth Edison CompanyEBSC Transactional (Passthroughs)Other Operating Expenses</v>
          </cell>
          <cell r="AC390" t="str">
            <v>[10601]  Commonwealth Edison CompanyEBSC Transactional (Passthroughs)Office of the President -ComEd (CED Claims)</v>
          </cell>
          <cell r="AF390" t="e">
            <v>#N/A</v>
          </cell>
        </row>
        <row r="391">
          <cell r="E391">
            <v>9366</v>
          </cell>
          <cell r="H391">
            <v>-384</v>
          </cell>
          <cell r="I391">
            <v>-384</v>
          </cell>
          <cell r="J391">
            <v>43818</v>
          </cell>
          <cell r="M391">
            <v>-7890</v>
          </cell>
          <cell r="N391">
            <v>-384</v>
          </cell>
          <cell r="O391">
            <v>115674</v>
          </cell>
          <cell r="R391">
            <v>-7890</v>
          </cell>
          <cell r="S391">
            <v>-384</v>
          </cell>
          <cell r="V391" t="str">
            <v>EBSC Transactional2</v>
          </cell>
          <cell r="W391" t="str">
            <v>Tools For People</v>
          </cell>
          <cell r="AA391" t="str">
            <v>[10601]  Commonwealth Edison CompanyEBSC TransactionalTools For People</v>
          </cell>
          <cell r="AB391" t="str">
            <v>[10601]  Commonwealth Edison CompanyEBSC Transactional (Tools For People)Business Services</v>
          </cell>
          <cell r="AC391" t="str">
            <v>[10601]  Commonwealth Edison CompanyEBSC Transactional (Tools For People)Office of the President -ComEd (CED External &amp; Gov't Affairs)</v>
          </cell>
          <cell r="AF391" t="e">
            <v>#N/A</v>
          </cell>
        </row>
        <row r="392">
          <cell r="E392">
            <v>4008</v>
          </cell>
          <cell r="H392">
            <v>1807</v>
          </cell>
          <cell r="I392">
            <v>1807</v>
          </cell>
          <cell r="J392">
            <v>26232</v>
          </cell>
          <cell r="M392">
            <v>-2972</v>
          </cell>
          <cell r="N392">
            <v>1807</v>
          </cell>
          <cell r="O392">
            <v>74752</v>
          </cell>
          <cell r="R392">
            <v>-2972</v>
          </cell>
          <cell r="S392">
            <v>1807</v>
          </cell>
          <cell r="V392" t="str">
            <v>EBSC Transactional2</v>
          </cell>
          <cell r="W392" t="str">
            <v>Passthroughs</v>
          </cell>
          <cell r="AA392" t="str">
            <v>[10601]  Commonwealth Edison CompanyEBSC TransactionalPassthroughs</v>
          </cell>
          <cell r="AB392" t="str">
            <v>[10601]  Commonwealth Edison CompanyEBSC Transactional (Passthroughs)Other Operating Expenses</v>
          </cell>
          <cell r="AC392" t="str">
            <v>[10601]  Commonwealth Edison CompanyEBSC Transactional (Passthroughs)Office of the President -ComEd (CED External &amp; Gov't Affairs)</v>
          </cell>
          <cell r="AF392" t="e">
            <v>#N/A</v>
          </cell>
        </row>
        <row r="393">
          <cell r="E393">
            <v>2832</v>
          </cell>
          <cell r="H393">
            <v>3918</v>
          </cell>
          <cell r="I393">
            <v>3918</v>
          </cell>
          <cell r="J393">
            <v>11801</v>
          </cell>
          <cell r="M393">
            <v>15199</v>
          </cell>
          <cell r="N393">
            <v>3918</v>
          </cell>
          <cell r="O393">
            <v>65801</v>
          </cell>
          <cell r="R393">
            <v>15199</v>
          </cell>
          <cell r="S393">
            <v>3918</v>
          </cell>
          <cell r="V393" t="str">
            <v>EBSC Transactional2</v>
          </cell>
          <cell r="W393" t="str">
            <v>Tools For People</v>
          </cell>
          <cell r="AA393" t="str">
            <v>[10601]  Commonwealth Edison CompanyEBSC TransactionalTools For People</v>
          </cell>
          <cell r="AB393" t="str">
            <v>[10601]  Commonwealth Edison CompanyEBSC Transactional (Tools For People)Business Services</v>
          </cell>
          <cell r="AC393" t="str">
            <v>[10601]  Commonwealth Edison CompanyEBSC Transactional (Tools For People)Office of the President -ComEd (CED - Office of President)</v>
          </cell>
          <cell r="AF393" t="e">
            <v>#N/A</v>
          </cell>
        </row>
        <row r="394">
          <cell r="E394">
            <v>1864</v>
          </cell>
          <cell r="H394">
            <v>-614</v>
          </cell>
          <cell r="I394">
            <v>-614</v>
          </cell>
          <cell r="J394">
            <v>6526</v>
          </cell>
          <cell r="M394">
            <v>-1526</v>
          </cell>
          <cell r="N394">
            <v>-614</v>
          </cell>
          <cell r="O394">
            <v>16526</v>
          </cell>
          <cell r="R394">
            <v>-1526</v>
          </cell>
          <cell r="S394">
            <v>-614</v>
          </cell>
          <cell r="V394" t="str">
            <v>EBSC Transactional2</v>
          </cell>
          <cell r="W394" t="str">
            <v>Passthroughs</v>
          </cell>
          <cell r="AA394" t="str">
            <v>[10601]  Commonwealth Edison CompanyEBSC TransactionalPassthroughs</v>
          </cell>
          <cell r="AB394" t="str">
            <v>[10601]  Commonwealth Edison CompanyEBSC Transactional (Passthroughs)Other Operating Expenses</v>
          </cell>
          <cell r="AC394" t="str">
            <v>[10601]  Commonwealth Edison CompanyEBSC Transactional (Passthroughs)Office of the President -ComEd (CED - Office of President)</v>
          </cell>
          <cell r="AF394" t="e">
            <v>#N/A</v>
          </cell>
        </row>
        <row r="395">
          <cell r="E395">
            <v>0</v>
          </cell>
          <cell r="H395">
            <v>1150</v>
          </cell>
          <cell r="I395">
            <v>1150</v>
          </cell>
          <cell r="J395">
            <v>0</v>
          </cell>
          <cell r="M395">
            <v>4600</v>
          </cell>
          <cell r="N395">
            <v>1150</v>
          </cell>
          <cell r="O395">
            <v>9200</v>
          </cell>
          <cell r="R395">
            <v>4600</v>
          </cell>
          <cell r="S395">
            <v>1150</v>
          </cell>
          <cell r="V395" t="str">
            <v>EBSC Transactional2</v>
          </cell>
          <cell r="W395" t="str">
            <v>Passthroughs</v>
          </cell>
          <cell r="AA395" t="str">
            <v>[10601]  Commonwealth Edison CompanyEBSC TransactionalPassthroughs</v>
          </cell>
          <cell r="AB395" t="str">
            <v>[10601]  Commonwealth Edison CompanyEBSC Transactional (Passthroughs)Contracting</v>
          </cell>
          <cell r="AC395" t="str">
            <v>[10601]  Commonwealth Edison CompanyEBSC Transactional (Passthroughs)Office of the President -ComEd (CED Real Estate &amp; Facilities)</v>
          </cell>
          <cell r="AF395" t="e">
            <v>#N/A</v>
          </cell>
        </row>
        <row r="396">
          <cell r="E396">
            <v>24744</v>
          </cell>
          <cell r="H396">
            <v>-24744</v>
          </cell>
          <cell r="I396">
            <v>-24744</v>
          </cell>
          <cell r="J396">
            <v>106796</v>
          </cell>
          <cell r="M396">
            <v>-106796</v>
          </cell>
          <cell r="N396">
            <v>-24744</v>
          </cell>
          <cell r="O396">
            <v>106796</v>
          </cell>
          <cell r="R396">
            <v>-106796</v>
          </cell>
          <cell r="S396">
            <v>-24744</v>
          </cell>
          <cell r="V396" t="str">
            <v>EBSC Transactional2</v>
          </cell>
          <cell r="W396" t="str">
            <v>Tools For People</v>
          </cell>
          <cell r="AA396" t="str">
            <v>[10601]  Commonwealth Edison CompanyEBSC TransactionalTools For People</v>
          </cell>
          <cell r="AB396" t="str">
            <v>[10601]  Commonwealth Edison CompanyEBSC Transactional (Tools For People)Business Services</v>
          </cell>
          <cell r="AC396" t="str">
            <v>[10601]  Commonwealth Edison CompanyEBSC Transactional (Tools For People)Office of the President -ComEd (CED Real Estate &amp; Facilities)</v>
          </cell>
          <cell r="AF396" t="e">
            <v>#N/A</v>
          </cell>
        </row>
        <row r="397">
          <cell r="E397">
            <v>-4251</v>
          </cell>
          <cell r="H397">
            <v>45352</v>
          </cell>
          <cell r="I397">
            <v>45352</v>
          </cell>
          <cell r="J397">
            <v>10362</v>
          </cell>
          <cell r="M397">
            <v>154042</v>
          </cell>
          <cell r="N397">
            <v>45352</v>
          </cell>
          <cell r="O397">
            <v>327670</v>
          </cell>
          <cell r="R397">
            <v>154042</v>
          </cell>
          <cell r="S397">
            <v>45352</v>
          </cell>
          <cell r="V397" t="str">
            <v>EBSC Transactional2</v>
          </cell>
          <cell r="W397" t="str">
            <v>Passthroughs</v>
          </cell>
          <cell r="AA397" t="str">
            <v>[10601]  Commonwealth Edison CompanyEBSC TransactionalPassthroughs</v>
          </cell>
          <cell r="AB397" t="str">
            <v>[10601]  Commonwealth Edison CompanyEBSC Transactional (Passthroughs)Other Operating Expenses</v>
          </cell>
          <cell r="AC397" t="str">
            <v>[10601]  Commonwealth Edison CompanyEBSC Transactional (Passthroughs)Office of the President -ComEd (CED Real Estate &amp; Facilities)</v>
          </cell>
          <cell r="AF397" t="e">
            <v>#N/A</v>
          </cell>
        </row>
        <row r="398">
          <cell r="E398">
            <v>10212</v>
          </cell>
          <cell r="H398">
            <v>5386</v>
          </cell>
          <cell r="I398">
            <v>5456</v>
          </cell>
          <cell r="J398">
            <v>41710</v>
          </cell>
          <cell r="M398">
            <v>20682</v>
          </cell>
          <cell r="N398">
            <v>5456</v>
          </cell>
          <cell r="O398">
            <v>171774</v>
          </cell>
          <cell r="R398">
            <v>15402</v>
          </cell>
          <cell r="S398">
            <v>732</v>
          </cell>
          <cell r="V398" t="str">
            <v>EBSC Transactional2</v>
          </cell>
          <cell r="W398" t="str">
            <v>Tools For People</v>
          </cell>
          <cell r="AA398" t="str">
            <v>[10601]  Commonwealth Edison CompanyEBSC TransactionalTools For People</v>
          </cell>
          <cell r="AB398" t="str">
            <v>[10601]  Commonwealth Edison CompanyEBSC Transactional (Tools For People)Business Services</v>
          </cell>
          <cell r="AC398" t="str">
            <v>[10601]  Commonwealth Edison CompanyEBSC Transactional (Tools For People)Office of the President -ComEd (CED - Reg &amp; Strategic Srvcs)</v>
          </cell>
          <cell r="AF398" t="e">
            <v>#N/A</v>
          </cell>
        </row>
        <row r="399">
          <cell r="E399">
            <v>732</v>
          </cell>
          <cell r="H399">
            <v>-732</v>
          </cell>
          <cell r="I399">
            <v>-732</v>
          </cell>
          <cell r="J399">
            <v>11552</v>
          </cell>
          <cell r="M399">
            <v>-11552</v>
          </cell>
          <cell r="N399">
            <v>-732</v>
          </cell>
          <cell r="O399">
            <v>11552</v>
          </cell>
          <cell r="R399">
            <v>-11552</v>
          </cell>
          <cell r="S399">
            <v>-732</v>
          </cell>
          <cell r="V399" t="str">
            <v>EBSC Transactional2</v>
          </cell>
          <cell r="W399" t="str">
            <v>Passthroughs</v>
          </cell>
          <cell r="AA399" t="str">
            <v>[10601]  Commonwealth Edison CompanyEBSC TransactionalPassthroughs</v>
          </cell>
          <cell r="AB399" t="str">
            <v>[10601]  Commonwealth Edison CompanyEBSC Transactional (Passthroughs)Other Operating Expenses</v>
          </cell>
          <cell r="AC399" t="str">
            <v>[10601]  Commonwealth Edison CompanyEBSC Transactional (Passthroughs)Office of the President -ComEd (CED - Reg &amp; Strategic Srvcs)</v>
          </cell>
          <cell r="AF399" t="e">
            <v>#N/A</v>
          </cell>
        </row>
        <row r="400">
          <cell r="E400">
            <v>2197</v>
          </cell>
          <cell r="H400">
            <v>-2197</v>
          </cell>
          <cell r="I400">
            <v>-2197</v>
          </cell>
          <cell r="J400">
            <v>10483</v>
          </cell>
          <cell r="M400">
            <v>-10483</v>
          </cell>
          <cell r="N400">
            <v>-2197</v>
          </cell>
          <cell r="O400">
            <v>10483</v>
          </cell>
          <cell r="R400">
            <v>-10483</v>
          </cell>
          <cell r="S400">
            <v>-2197</v>
          </cell>
          <cell r="V400" t="str">
            <v>EBSC Transactional2</v>
          </cell>
          <cell r="W400" t="str">
            <v>Tools For People</v>
          </cell>
          <cell r="AA400" t="str">
            <v>[10601]  Commonwealth Edison CompanyEBSC TransactionalTools For People</v>
          </cell>
          <cell r="AB400" t="str">
            <v>[10601]  Commonwealth Edison CompanyEBSC Transactional (Tools For People)Business Services</v>
          </cell>
          <cell r="AC400" t="str">
            <v>[10601]  Commonwealth Edison CompanyEBSC Transactional (Tools For People)Office of the President -ComEd (ComEd Energy Acquisition)</v>
          </cell>
          <cell r="AF400" t="e">
            <v>#N/A</v>
          </cell>
        </row>
        <row r="401">
          <cell r="E401">
            <v>335</v>
          </cell>
          <cell r="H401">
            <v>3915</v>
          </cell>
          <cell r="I401">
            <v>2355</v>
          </cell>
          <cell r="J401">
            <v>5906</v>
          </cell>
          <cell r="M401">
            <v>11094</v>
          </cell>
          <cell r="N401">
            <v>2355</v>
          </cell>
          <cell r="O401">
            <v>33666</v>
          </cell>
          <cell r="R401">
            <v>17334</v>
          </cell>
          <cell r="S401">
            <v>2355</v>
          </cell>
          <cell r="V401" t="str">
            <v>EBSC Transactional2</v>
          </cell>
          <cell r="W401" t="str">
            <v>Passthroughs</v>
          </cell>
          <cell r="AA401" t="str">
            <v>[10601]  Commonwealth Edison CompanyEBSC TransactionalPassthroughs</v>
          </cell>
          <cell r="AB401" t="str">
            <v>[10601]  Commonwealth Edison CompanyEBSC Transactional (Passthroughs)Other Operating Expenses</v>
          </cell>
          <cell r="AC401" t="str">
            <v>[10601]  Commonwealth Edison CompanyEBSC Transactional (Passthroughs)Office of the President -ComEd (ComEd Energy Acquisition)</v>
          </cell>
          <cell r="AF401" t="e">
            <v>#N/A</v>
          </cell>
        </row>
        <row r="402">
          <cell r="E402">
            <v>1653</v>
          </cell>
          <cell r="H402">
            <v>6780</v>
          </cell>
          <cell r="I402">
            <v>8267</v>
          </cell>
          <cell r="J402">
            <v>9664</v>
          </cell>
          <cell r="M402">
            <v>24069</v>
          </cell>
          <cell r="N402">
            <v>8267</v>
          </cell>
          <cell r="O402">
            <v>95152</v>
          </cell>
          <cell r="R402">
            <v>6048</v>
          </cell>
          <cell r="S402">
            <v>2137</v>
          </cell>
          <cell r="V402" t="str">
            <v>EBSC Transactional2</v>
          </cell>
          <cell r="W402" t="str">
            <v>Tools For People</v>
          </cell>
          <cell r="AA402" t="str">
            <v>[10601]  Commonwealth Edison CompanyEBSC TransactionalTools For People</v>
          </cell>
          <cell r="AB402" t="str">
            <v>[10601]  Commonwealth Edison CompanyEBSC Transactional (Tools For People)Business Services</v>
          </cell>
          <cell r="AC402" t="str">
            <v>[10601]  Commonwealth Edison CompanyEBSC Transactional (Tools For People)Office of the President -ComEd (Post 2006 Team)</v>
          </cell>
          <cell r="AF402" t="e">
            <v>#N/A</v>
          </cell>
        </row>
        <row r="403">
          <cell r="E403">
            <v>955</v>
          </cell>
          <cell r="H403">
            <v>-955</v>
          </cell>
          <cell r="I403">
            <v>-955</v>
          </cell>
          <cell r="J403">
            <v>2602</v>
          </cell>
          <cell r="M403">
            <v>-2602</v>
          </cell>
          <cell r="N403">
            <v>-955</v>
          </cell>
          <cell r="O403">
            <v>2602</v>
          </cell>
          <cell r="R403">
            <v>-2602</v>
          </cell>
          <cell r="S403">
            <v>-955</v>
          </cell>
          <cell r="V403" t="str">
            <v>EBSC Transactional2</v>
          </cell>
          <cell r="W403" t="str">
            <v>Passthroughs</v>
          </cell>
          <cell r="AA403" t="str">
            <v>[10601]  Commonwealth Edison CompanyEBSC TransactionalPassthroughs</v>
          </cell>
          <cell r="AB403" t="str">
            <v>[10601]  Commonwealth Edison CompanyEBSC Transactional (Passthroughs)Other Operating Expenses</v>
          </cell>
          <cell r="AC403" t="str">
            <v>[10601]  Commonwealth Edison CompanyEBSC Transactional (Passthroughs)Office of the President -ComEd (Post 2006 Team)</v>
          </cell>
          <cell r="AF403" t="e">
            <v>#N/A</v>
          </cell>
        </row>
        <row r="404">
          <cell r="E404">
            <v>2091</v>
          </cell>
          <cell r="H404">
            <v>-2091</v>
          </cell>
          <cell r="I404">
            <v>2909</v>
          </cell>
          <cell r="J404">
            <v>9840</v>
          </cell>
          <cell r="M404">
            <v>-9840</v>
          </cell>
          <cell r="N404">
            <v>2909</v>
          </cell>
          <cell r="O404">
            <v>49840</v>
          </cell>
          <cell r="R404">
            <v>-49840</v>
          </cell>
          <cell r="S404">
            <v>2909</v>
          </cell>
          <cell r="V404" t="str">
            <v>EBSC Transactional2</v>
          </cell>
          <cell r="W404" t="str">
            <v>Tools For People</v>
          </cell>
          <cell r="AA404" t="str">
            <v>[10601]  Commonwealth Edison CompanyEBSC TransactionalTools For People</v>
          </cell>
          <cell r="AB404" t="str">
            <v>[10601]  Commonwealth Edison CompanyEBSC Transactional (Tools For People)Business Services</v>
          </cell>
          <cell r="AC404" t="str">
            <v>[10601]  Commonwealth Edison CompanyEBSC Transactional (Tools For People)Operations - ComEd (00200 - Office EVP Operations)</v>
          </cell>
          <cell r="AF404" t="e">
            <v>#N/A</v>
          </cell>
        </row>
        <row r="405">
          <cell r="E405">
            <v>19</v>
          </cell>
          <cell r="H405">
            <v>-19</v>
          </cell>
          <cell r="I405">
            <v>-19</v>
          </cell>
          <cell r="J405">
            <v>22121</v>
          </cell>
          <cell r="M405">
            <v>-22121</v>
          </cell>
          <cell r="N405">
            <v>-19</v>
          </cell>
          <cell r="O405">
            <v>22121</v>
          </cell>
          <cell r="R405">
            <v>-22121</v>
          </cell>
          <cell r="S405">
            <v>-19</v>
          </cell>
          <cell r="V405" t="str">
            <v>EBSC Transactional2</v>
          </cell>
          <cell r="W405" t="str">
            <v>Passthroughs</v>
          </cell>
          <cell r="AA405" t="str">
            <v>[10601]  Commonwealth Edison CompanyEBSC TransactionalPassthroughs</v>
          </cell>
          <cell r="AB405" t="str">
            <v>[10601]  Commonwealth Edison CompanyEBSC Transactional (Passthroughs)Other Operating Expenses</v>
          </cell>
          <cell r="AC405" t="str">
            <v>[10601]  Commonwealth Edison CompanyEBSC Transactional (Passthroughs)Operations - ComEd (00200 - Office EVP Operations)</v>
          </cell>
          <cell r="AF405" t="e">
            <v>#N/A</v>
          </cell>
        </row>
        <row r="406">
          <cell r="E406">
            <v>25049</v>
          </cell>
          <cell r="H406">
            <v>-4957</v>
          </cell>
          <cell r="I406">
            <v>-4957</v>
          </cell>
          <cell r="J406">
            <v>96951</v>
          </cell>
          <cell r="M406">
            <v>-20010</v>
          </cell>
          <cell r="N406">
            <v>-4957</v>
          </cell>
          <cell r="O406">
            <v>269686</v>
          </cell>
          <cell r="R406">
            <v>-20010</v>
          </cell>
          <cell r="S406">
            <v>-4957</v>
          </cell>
          <cell r="V406" t="str">
            <v>EBSC Transactional2</v>
          </cell>
          <cell r="W406" t="str">
            <v>Tools For People</v>
          </cell>
          <cell r="AA406" t="str">
            <v>[10601]  Commonwealth Edison CompanyEBSC TransactionalTools For People</v>
          </cell>
          <cell r="AB406" t="str">
            <v>[10601]  Commonwealth Edison CompanyEBSC Transactional (Tools For People)Business Services</v>
          </cell>
          <cell r="AC406" t="str">
            <v>[10601]  Commonwealth Edison CompanyEBSC Transactional (Tools For People)Operations - ComEd (Construction&amp;Maintenance-ComEd)</v>
          </cell>
          <cell r="AF406" t="e">
            <v>#N/A</v>
          </cell>
        </row>
        <row r="407">
          <cell r="E407">
            <v>17346</v>
          </cell>
          <cell r="H407">
            <v>-17346</v>
          </cell>
          <cell r="I407">
            <v>-17346</v>
          </cell>
          <cell r="J407">
            <v>84981</v>
          </cell>
          <cell r="M407">
            <v>-84981</v>
          </cell>
          <cell r="N407">
            <v>-17346</v>
          </cell>
          <cell r="O407">
            <v>84981</v>
          </cell>
          <cell r="R407">
            <v>-84981</v>
          </cell>
          <cell r="S407">
            <v>-17346</v>
          </cell>
          <cell r="V407" t="str">
            <v>EBSC Transactional2</v>
          </cell>
          <cell r="W407" t="str">
            <v>Passthroughs</v>
          </cell>
          <cell r="AA407" t="str">
            <v>[10601]  Commonwealth Edison CompanyEBSC TransactionalPassthroughs</v>
          </cell>
          <cell r="AB407" t="str">
            <v>[10601]  Commonwealth Edison CompanyEBSC Transactional (Passthroughs)Other Operating Expenses</v>
          </cell>
          <cell r="AC407" t="str">
            <v>[10601]  Commonwealth Edison CompanyEBSC Transactional (Passthroughs)Operations - ComEd (Construction&amp;Maintenance-ComEd)</v>
          </cell>
          <cell r="AF407" t="e">
            <v>#N/A</v>
          </cell>
        </row>
        <row r="408">
          <cell r="E408">
            <v>85162</v>
          </cell>
          <cell r="H408">
            <v>10931</v>
          </cell>
          <cell r="I408">
            <v>26277</v>
          </cell>
          <cell r="J408">
            <v>324280</v>
          </cell>
          <cell r="M408">
            <v>56969</v>
          </cell>
          <cell r="N408">
            <v>26277</v>
          </cell>
          <cell r="O408">
            <v>1020296</v>
          </cell>
          <cell r="R408">
            <v>133795</v>
          </cell>
          <cell r="S408">
            <v>133795</v>
          </cell>
          <cell r="V408" t="str">
            <v>EBSC Transactional2</v>
          </cell>
          <cell r="W408" t="str">
            <v>Tools For People</v>
          </cell>
          <cell r="AA408" t="str">
            <v>[10601]  Commonwealth Edison CompanyEBSC TransactionalTools For People</v>
          </cell>
          <cell r="AB408" t="str">
            <v>[10601]  Commonwealth Edison CompanyEBSC Transactional (Tools For People)Business Services</v>
          </cell>
          <cell r="AC408" t="str">
            <v>[10601]  Commonwealth Edison CompanyEBSC Transactional (Tools For People)Operations - ComEd (Dispatch &amp; Operations - ComEd)</v>
          </cell>
          <cell r="AF408" t="e">
            <v>#N/A</v>
          </cell>
        </row>
        <row r="409">
          <cell r="E409">
            <v>65484</v>
          </cell>
          <cell r="H409">
            <v>-65484</v>
          </cell>
          <cell r="I409">
            <v>-65484</v>
          </cell>
          <cell r="J409">
            <v>264621</v>
          </cell>
          <cell r="M409">
            <v>-264621</v>
          </cell>
          <cell r="N409">
            <v>-65484</v>
          </cell>
          <cell r="O409">
            <v>264621</v>
          </cell>
          <cell r="R409">
            <v>-264621</v>
          </cell>
          <cell r="S409">
            <v>-65484</v>
          </cell>
          <cell r="V409" t="str">
            <v>EBSC Transactional2</v>
          </cell>
          <cell r="W409" t="str">
            <v>Passthroughs</v>
          </cell>
          <cell r="AA409" t="str">
            <v>[10601]  Commonwealth Edison CompanyEBSC TransactionalPassthroughs</v>
          </cell>
          <cell r="AB409" t="str">
            <v>[10601]  Commonwealth Edison CompanyEBSC Transactional (Passthroughs)Other Operating Expenses</v>
          </cell>
          <cell r="AC409" t="str">
            <v>[10601]  Commonwealth Edison CompanyEBSC Transactional (Passthroughs)Operations - ComEd (Dispatch &amp; Operations - ComEd)</v>
          </cell>
          <cell r="AF409" t="e">
            <v>#N/A</v>
          </cell>
        </row>
        <row r="410">
          <cell r="E410">
            <v>6477</v>
          </cell>
          <cell r="H410">
            <v>523</v>
          </cell>
          <cell r="I410">
            <v>523</v>
          </cell>
          <cell r="J410">
            <v>27716</v>
          </cell>
          <cell r="M410">
            <v>284</v>
          </cell>
          <cell r="N410">
            <v>523</v>
          </cell>
          <cell r="O410">
            <v>83716</v>
          </cell>
          <cell r="R410">
            <v>284</v>
          </cell>
          <cell r="S410">
            <v>523</v>
          </cell>
          <cell r="V410" t="str">
            <v>EBSC Transactional2</v>
          </cell>
          <cell r="W410" t="str">
            <v>Tools For People</v>
          </cell>
          <cell r="AA410" t="str">
            <v>[10601]  Commonwealth Edison CompanyEBSC TransactionalTools For People</v>
          </cell>
          <cell r="AB410" t="str">
            <v>[10601]  Commonwealth Edison CompanyEBSC Transactional (Tools For People)Business Services</v>
          </cell>
          <cell r="AC410" t="str">
            <v>[10601]  Commonwealth Edison CompanyEBSC Transactional (Tools For People)Operations - ComEd (Environ Safety &amp; Indust Hygien)</v>
          </cell>
          <cell r="AF410" t="e">
            <v>#N/A</v>
          </cell>
        </row>
        <row r="411">
          <cell r="E411">
            <v>3590</v>
          </cell>
          <cell r="H411">
            <v>-3590</v>
          </cell>
          <cell r="I411">
            <v>-3590</v>
          </cell>
          <cell r="J411">
            <v>13623</v>
          </cell>
          <cell r="M411">
            <v>-13623</v>
          </cell>
          <cell r="N411">
            <v>-3590</v>
          </cell>
          <cell r="O411">
            <v>13623</v>
          </cell>
          <cell r="R411">
            <v>-13623</v>
          </cell>
          <cell r="S411">
            <v>-3590</v>
          </cell>
          <cell r="V411" t="str">
            <v>EBSC Transactional2</v>
          </cell>
          <cell r="W411" t="str">
            <v>Passthroughs</v>
          </cell>
          <cell r="AA411" t="str">
            <v>[10601]  Commonwealth Edison CompanyEBSC TransactionalPassthroughs</v>
          </cell>
          <cell r="AB411" t="str">
            <v>[10601]  Commonwealth Edison CompanyEBSC Transactional (Passthroughs)Other Operating Expenses</v>
          </cell>
          <cell r="AC411" t="str">
            <v>[10601]  Commonwealth Edison CompanyEBSC Transactional (Passthroughs)Operations - ComEd (Environ Safety &amp; Indust Hygien)</v>
          </cell>
          <cell r="AF411" t="e">
            <v>#N/A</v>
          </cell>
        </row>
        <row r="412">
          <cell r="E412">
            <v>651</v>
          </cell>
          <cell r="H412">
            <v>1049</v>
          </cell>
          <cell r="I412">
            <v>1049</v>
          </cell>
          <cell r="J412">
            <v>2595</v>
          </cell>
          <cell r="M412">
            <v>4205</v>
          </cell>
          <cell r="N412">
            <v>1049</v>
          </cell>
          <cell r="O412">
            <v>16195</v>
          </cell>
          <cell r="R412">
            <v>4205</v>
          </cell>
          <cell r="S412">
            <v>1049</v>
          </cell>
          <cell r="V412" t="str">
            <v>EBSC Transactional2</v>
          </cell>
          <cell r="W412" t="str">
            <v>Tools For People</v>
          </cell>
          <cell r="AA412" t="str">
            <v>[10601]  Commonwealth Edison CompanyEBSC TransactionalTools For People</v>
          </cell>
          <cell r="AB412" t="str">
            <v>[10601]  Commonwealth Edison CompanyEBSC Transactional (Tools For People)Business Services</v>
          </cell>
          <cell r="AC412" t="str">
            <v>[10601]  Commonwealth Edison CompanyEBSC Transactional (Tools For People)Operations - ComEd (Methods - ComEd)</v>
          </cell>
          <cell r="AF412" t="e">
            <v>#N/A</v>
          </cell>
        </row>
        <row r="413">
          <cell r="E413">
            <v>343</v>
          </cell>
          <cell r="H413">
            <v>-343</v>
          </cell>
          <cell r="I413">
            <v>-343</v>
          </cell>
          <cell r="J413">
            <v>1225</v>
          </cell>
          <cell r="M413">
            <v>-1225</v>
          </cell>
          <cell r="N413">
            <v>-343</v>
          </cell>
          <cell r="O413">
            <v>1225</v>
          </cell>
          <cell r="R413">
            <v>-1225</v>
          </cell>
          <cell r="S413">
            <v>-343</v>
          </cell>
          <cell r="V413" t="str">
            <v>EBSC Transactional2</v>
          </cell>
          <cell r="W413" t="str">
            <v>Passthroughs</v>
          </cell>
          <cell r="AA413" t="str">
            <v>[10601]  Commonwealth Edison CompanyEBSC TransactionalPassthroughs</v>
          </cell>
          <cell r="AB413" t="str">
            <v>[10601]  Commonwealth Edison CompanyEBSC Transactional (Passthroughs)Other Operating Expenses</v>
          </cell>
          <cell r="AC413" t="str">
            <v>[10601]  Commonwealth Edison CompanyEBSC Transactional (Passthroughs)Operations - ComEd (Methods - ComEd)</v>
          </cell>
          <cell r="AF413" t="e">
            <v>#N/A</v>
          </cell>
        </row>
        <row r="414">
          <cell r="E414">
            <v>34094</v>
          </cell>
          <cell r="H414">
            <v>-34094</v>
          </cell>
          <cell r="I414">
            <v>-34094</v>
          </cell>
          <cell r="J414">
            <v>144727</v>
          </cell>
          <cell r="M414">
            <v>-108540</v>
          </cell>
          <cell r="N414">
            <v>-34094</v>
          </cell>
          <cell r="O414">
            <v>144727</v>
          </cell>
          <cell r="R414">
            <v>-108540</v>
          </cell>
          <cell r="S414">
            <v>-34094</v>
          </cell>
          <cell r="V414" t="str">
            <v>EBSC Transactional2</v>
          </cell>
          <cell r="W414" t="str">
            <v>Tools For People</v>
          </cell>
          <cell r="AA414" t="str">
            <v>[10601]  Commonwealth Edison CompanyEBSC TransactionalTools For People</v>
          </cell>
          <cell r="AB414" t="str">
            <v>[10601]  Commonwealth Edison CompanyEBSC Transactional (Tools For People)Business Services</v>
          </cell>
          <cell r="AC414" t="str">
            <v>[10601]  Commonwealth Edison CompanyEBSC Transactional (Tools For People)Operations - ComEd (Training West)</v>
          </cell>
          <cell r="AF414" t="e">
            <v>#N/A</v>
          </cell>
        </row>
        <row r="415">
          <cell r="E415">
            <v>1229</v>
          </cell>
          <cell r="H415">
            <v>-1229</v>
          </cell>
          <cell r="I415">
            <v>-1229</v>
          </cell>
          <cell r="J415">
            <v>5215</v>
          </cell>
          <cell r="M415">
            <v>-3914</v>
          </cell>
          <cell r="N415">
            <v>-1229</v>
          </cell>
          <cell r="O415">
            <v>5215</v>
          </cell>
          <cell r="R415">
            <v>-3914</v>
          </cell>
          <cell r="S415">
            <v>-1229</v>
          </cell>
          <cell r="V415" t="str">
            <v>EBSC Transactional2</v>
          </cell>
          <cell r="W415" t="str">
            <v>Passthroughs</v>
          </cell>
          <cell r="AA415" t="str">
            <v>[10601]  Commonwealth Edison CompanyEBSC TransactionalPassthroughs</v>
          </cell>
          <cell r="AB415" t="str">
            <v>[10601]  Commonwealth Edison CompanyEBSC Transactional (Passthroughs)Other Operating Expenses</v>
          </cell>
          <cell r="AC415" t="str">
            <v>[10601]  Commonwealth Edison CompanyEBSC Transactional (Passthroughs)Operations - ComEd (Training West)</v>
          </cell>
          <cell r="AF415" t="e">
            <v>#N/A</v>
          </cell>
        </row>
        <row r="416">
          <cell r="E416">
            <v>61642</v>
          </cell>
          <cell r="H416">
            <v>2642</v>
          </cell>
          <cell r="I416">
            <v>2642</v>
          </cell>
          <cell r="J416">
            <v>252138</v>
          </cell>
          <cell r="M416">
            <v>6688</v>
          </cell>
          <cell r="N416">
            <v>2642</v>
          </cell>
          <cell r="O416">
            <v>805473</v>
          </cell>
          <cell r="R416">
            <v>28688</v>
          </cell>
          <cell r="S416">
            <v>24642</v>
          </cell>
          <cell r="V416" t="str">
            <v>EBSC Transactional2</v>
          </cell>
          <cell r="W416" t="str">
            <v>Tools For People</v>
          </cell>
          <cell r="AA416" t="str">
            <v>[10601]  Commonwealth Edison CompanyEBSC TransactionalTools For People</v>
          </cell>
          <cell r="AB416" t="str">
            <v>[10601]  Commonwealth Edison CompanyEBSC Transactional (Tools For People)Business Services</v>
          </cell>
          <cell r="AC416" t="str">
            <v>[10601]  Commonwealth Edison CompanyEBSC Transactional (Tools For People)Operations - ComEd (Transmission&amp;Substation-ComEd)</v>
          </cell>
          <cell r="AF416" t="e">
            <v>#N/A</v>
          </cell>
        </row>
        <row r="417">
          <cell r="E417">
            <v>30434</v>
          </cell>
          <cell r="H417">
            <v>-30434</v>
          </cell>
          <cell r="I417">
            <v>-30434</v>
          </cell>
          <cell r="J417">
            <v>132203</v>
          </cell>
          <cell r="M417">
            <v>-132203</v>
          </cell>
          <cell r="N417">
            <v>-30434</v>
          </cell>
          <cell r="O417">
            <v>132203</v>
          </cell>
          <cell r="R417">
            <v>-132203</v>
          </cell>
          <cell r="S417">
            <v>-30434</v>
          </cell>
          <cell r="V417" t="str">
            <v>EBSC Transactional2</v>
          </cell>
          <cell r="W417" t="str">
            <v>Passthroughs</v>
          </cell>
          <cell r="AA417" t="str">
            <v>[10601]  Commonwealth Edison CompanyEBSC TransactionalPassthroughs</v>
          </cell>
          <cell r="AB417" t="str">
            <v>[10601]  Commonwealth Edison CompanyEBSC Transactional (Passthroughs)Other Operating Expenses</v>
          </cell>
          <cell r="AC417" t="str">
            <v>[10601]  Commonwealth Edison CompanyEBSC Transactional (Passthroughs)Operations - ComEd (Transmission&amp;Substation-ComEd)</v>
          </cell>
          <cell r="AF417" t="e">
            <v>#N/A</v>
          </cell>
        </row>
        <row r="418">
          <cell r="E418">
            <v>16080</v>
          </cell>
          <cell r="H418">
            <v>12650</v>
          </cell>
          <cell r="I418">
            <v>9430</v>
          </cell>
          <cell r="J418">
            <v>74526</v>
          </cell>
          <cell r="M418">
            <v>40394</v>
          </cell>
          <cell r="N418">
            <v>9430</v>
          </cell>
          <cell r="O418">
            <v>278603</v>
          </cell>
          <cell r="R418">
            <v>66158</v>
          </cell>
          <cell r="S418">
            <v>9430</v>
          </cell>
          <cell r="V418" t="str">
            <v>EBSC Transactional2</v>
          </cell>
          <cell r="W418" t="str">
            <v>Tools For People</v>
          </cell>
          <cell r="AA418" t="str">
            <v>[10601]  Commonwealth Edison CompanyEBSC TransactionalTools For People</v>
          </cell>
          <cell r="AB418" t="str">
            <v>[10601]  Commonwealth Edison CompanyEBSC Transactional (Tools For People)Business Services</v>
          </cell>
          <cell r="AC418" t="str">
            <v>[10601]  Commonwealth Edison CompanyEBSC Transactional (Tools For People)Operations - ComEd (Work Management - ComEd)</v>
          </cell>
          <cell r="AF418" t="e">
            <v>#N/A</v>
          </cell>
        </row>
        <row r="419">
          <cell r="E419">
            <v>6920</v>
          </cell>
          <cell r="H419">
            <v>-6920</v>
          </cell>
          <cell r="I419">
            <v>-6920</v>
          </cell>
          <cell r="J419">
            <v>45861</v>
          </cell>
          <cell r="M419">
            <v>-45861</v>
          </cell>
          <cell r="N419">
            <v>-6920</v>
          </cell>
          <cell r="O419">
            <v>45861</v>
          </cell>
          <cell r="R419">
            <v>-45861</v>
          </cell>
          <cell r="S419">
            <v>-6920</v>
          </cell>
          <cell r="V419" t="str">
            <v>EBSC Transactional2</v>
          </cell>
          <cell r="W419" t="str">
            <v>Passthroughs</v>
          </cell>
          <cell r="AA419" t="str">
            <v>[10601]  Commonwealth Edison CompanyEBSC TransactionalPassthroughs</v>
          </cell>
          <cell r="AB419" t="str">
            <v>[10601]  Commonwealth Edison CompanyEBSC Transactional (Passthroughs)Other Operating Expenses</v>
          </cell>
          <cell r="AC419" t="str">
            <v>[10601]  Commonwealth Edison CompanyEBSC Transactional (Passthroughs)Operations - ComEd (Work Management - ComEd)</v>
          </cell>
          <cell r="AF419" t="e">
            <v>#N/A</v>
          </cell>
        </row>
        <row r="420">
          <cell r="E420">
            <v>10</v>
          </cell>
          <cell r="H420">
            <v>-10</v>
          </cell>
          <cell r="I420">
            <v>-10</v>
          </cell>
          <cell r="J420">
            <v>26</v>
          </cell>
          <cell r="M420">
            <v>-26</v>
          </cell>
          <cell r="N420">
            <v>-10</v>
          </cell>
          <cell r="O420">
            <v>26</v>
          </cell>
          <cell r="R420">
            <v>-26</v>
          </cell>
          <cell r="S420">
            <v>-10</v>
          </cell>
          <cell r="V420" t="str">
            <v>EBSC Transactional2</v>
          </cell>
          <cell r="W420" t="str">
            <v>Tools For People</v>
          </cell>
          <cell r="AA420" t="str">
            <v>[10601]  Commonwealth Edison CompanyEBSC TransactionalTools For People</v>
          </cell>
          <cell r="AB420" t="str">
            <v>[10601]  Commonwealth Edison CompanyEBSC Transactional (Tools For People)Business Services</v>
          </cell>
          <cell r="AC420" t="str">
            <v>[10601]  Commonwealth Edison CompanyEBSC Transactional (Tools For People)Storm Fund - ComEd (00411 - Storm Fund-CED)</v>
          </cell>
          <cell r="AF420" t="e">
            <v>#N/A</v>
          </cell>
        </row>
        <row r="421">
          <cell r="E421">
            <v>0</v>
          </cell>
          <cell r="H421">
            <v>0</v>
          </cell>
          <cell r="I421">
            <v>0</v>
          </cell>
          <cell r="J421">
            <v>22828</v>
          </cell>
          <cell r="M421">
            <v>-22828</v>
          </cell>
          <cell r="N421">
            <v>0</v>
          </cell>
          <cell r="O421">
            <v>22828</v>
          </cell>
          <cell r="R421">
            <v>-22828</v>
          </cell>
          <cell r="S421">
            <v>0</v>
          </cell>
          <cell r="V421" t="str">
            <v>EBSC Transactional2</v>
          </cell>
          <cell r="W421" t="str">
            <v>Passthroughs</v>
          </cell>
          <cell r="AA421" t="str">
            <v>[10601]  Commonwealth Edison CompanyEBSC TransactionalPassthroughs</v>
          </cell>
          <cell r="AB421" t="str">
            <v>[10601]  Commonwealth Edison CompanyEBSC Transactional (Passthroughs)Other Operating Expenses</v>
          </cell>
          <cell r="AC421" t="str">
            <v>[10601]  Commonwealth Edison CompanyEBSC Transactional (Passthroughs)Storm Fund - ComEd (00411 - Storm Fund-CED)</v>
          </cell>
          <cell r="AF421" t="e">
            <v>#N/A</v>
          </cell>
        </row>
        <row r="422">
          <cell r="E422">
            <v>428</v>
          </cell>
          <cell r="H422">
            <v>-428</v>
          </cell>
          <cell r="I422">
            <v>-428</v>
          </cell>
          <cell r="J422">
            <v>1840</v>
          </cell>
          <cell r="M422">
            <v>-1840</v>
          </cell>
          <cell r="N422">
            <v>-428</v>
          </cell>
          <cell r="O422">
            <v>1840</v>
          </cell>
          <cell r="R422">
            <v>-1840</v>
          </cell>
          <cell r="S422">
            <v>-428</v>
          </cell>
          <cell r="V422" t="str">
            <v>EBSC Transactional2</v>
          </cell>
          <cell r="W422" t="str">
            <v>Tools For People</v>
          </cell>
          <cell r="AA422" t="str">
            <v>[10601]  Commonwealth Edison CompanyEBSC TransactionalTools For People</v>
          </cell>
          <cell r="AB422" t="str">
            <v>[10601]  Commonwealth Edison CompanyEBSC Transactional (Tools For People)Business Services</v>
          </cell>
          <cell r="AC422" t="str">
            <v>[10601]  Commonwealth Edison CompanyEBSC Transactional (Tools For People)Technical Services - CED (00660 - Ofc VP Sys Engineer &amp; Planning)</v>
          </cell>
          <cell r="AF422" t="e">
            <v>#N/A</v>
          </cell>
        </row>
        <row r="423">
          <cell r="E423">
            <v>44</v>
          </cell>
          <cell r="H423">
            <v>-44</v>
          </cell>
          <cell r="I423">
            <v>-44</v>
          </cell>
          <cell r="J423">
            <v>267</v>
          </cell>
          <cell r="M423">
            <v>-267</v>
          </cell>
          <cell r="N423">
            <v>-44</v>
          </cell>
          <cell r="O423">
            <v>267</v>
          </cell>
          <cell r="R423">
            <v>-267</v>
          </cell>
          <cell r="S423">
            <v>-44</v>
          </cell>
          <cell r="V423" t="str">
            <v>EBSC Transactional2</v>
          </cell>
          <cell r="W423" t="str">
            <v>Passthroughs</v>
          </cell>
          <cell r="AA423" t="str">
            <v>[10601]  Commonwealth Edison CompanyEBSC TransactionalPassthroughs</v>
          </cell>
          <cell r="AB423" t="str">
            <v>[10601]  Commonwealth Edison CompanyEBSC Transactional (Passthroughs)Other Operating Expenses</v>
          </cell>
          <cell r="AC423" t="str">
            <v>[10601]  Commonwealth Edison CompanyEBSC Transactional (Passthroughs)Technical Services - CED (00660 - Ofc VP Sys Engineer &amp; Planning)</v>
          </cell>
          <cell r="AF423" t="e">
            <v>#N/A</v>
          </cell>
        </row>
        <row r="424">
          <cell r="E424">
            <v>2877</v>
          </cell>
          <cell r="H424">
            <v>596</v>
          </cell>
          <cell r="I424">
            <v>596</v>
          </cell>
          <cell r="J424">
            <v>8490</v>
          </cell>
          <cell r="M424">
            <v>5399</v>
          </cell>
          <cell r="N424">
            <v>596</v>
          </cell>
          <cell r="O424">
            <v>36268</v>
          </cell>
          <cell r="R424">
            <v>5399</v>
          </cell>
          <cell r="S424">
            <v>596</v>
          </cell>
          <cell r="V424" t="str">
            <v>EBSC Transactional2</v>
          </cell>
          <cell r="W424" t="str">
            <v>Tools For People</v>
          </cell>
          <cell r="AA424" t="str">
            <v>[10601]  Commonwealth Edison CompanyEBSC TransactionalTools For People</v>
          </cell>
          <cell r="AB424" t="str">
            <v>[10601]  Commonwealth Edison CompanyEBSC Transactional (Tools For People)Business Services</v>
          </cell>
          <cell r="AC424" t="str">
            <v>[10601]  Commonwealth Edison CompanyEBSC Transactional (Tools For People)Technical Services - CED (Asset Perf&amp;Invst Strategy-CED)</v>
          </cell>
          <cell r="AF424" t="e">
            <v>#N/A</v>
          </cell>
        </row>
        <row r="425">
          <cell r="E425">
            <v>391</v>
          </cell>
          <cell r="H425">
            <v>-391</v>
          </cell>
          <cell r="I425">
            <v>-391</v>
          </cell>
          <cell r="J425">
            <v>2126</v>
          </cell>
          <cell r="M425">
            <v>-2126</v>
          </cell>
          <cell r="N425">
            <v>-391</v>
          </cell>
          <cell r="O425">
            <v>2126</v>
          </cell>
          <cell r="R425">
            <v>-2126</v>
          </cell>
          <cell r="S425">
            <v>-391</v>
          </cell>
          <cell r="V425" t="str">
            <v>EBSC Transactional2</v>
          </cell>
          <cell r="W425" t="str">
            <v>Passthroughs</v>
          </cell>
          <cell r="AA425" t="str">
            <v>[10601]  Commonwealth Edison CompanyEBSC TransactionalPassthroughs</v>
          </cell>
          <cell r="AB425" t="str">
            <v>[10601]  Commonwealth Edison CompanyEBSC Transactional (Passthroughs)Other Operating Expenses</v>
          </cell>
          <cell r="AC425" t="str">
            <v>[10601]  Commonwealth Edison CompanyEBSC Transactional (Passthroughs)Technical Services - CED (Asset Perf&amp;Invst Strategy-CED)</v>
          </cell>
          <cell r="AF425" t="e">
            <v>#N/A</v>
          </cell>
        </row>
        <row r="426">
          <cell r="E426">
            <v>0</v>
          </cell>
          <cell r="H426">
            <v>0</v>
          </cell>
          <cell r="I426">
            <v>0</v>
          </cell>
          <cell r="J426">
            <v>5</v>
          </cell>
          <cell r="M426">
            <v>-5</v>
          </cell>
          <cell r="N426">
            <v>0</v>
          </cell>
          <cell r="O426">
            <v>5</v>
          </cell>
          <cell r="R426">
            <v>-5</v>
          </cell>
          <cell r="S426">
            <v>0</v>
          </cell>
          <cell r="V426" t="str">
            <v>EBSC Transactional2</v>
          </cell>
          <cell r="W426" t="str">
            <v>Passthroughs</v>
          </cell>
          <cell r="AA426" t="str">
            <v>[10601]  Commonwealth Edison CompanyEBSC TransactionalPassthroughs</v>
          </cell>
          <cell r="AB426" t="str">
            <v>[10601]  Commonwealth Edison CompanyEBSC Transactional (Passthroughs)Contracting</v>
          </cell>
          <cell r="AC426" t="str">
            <v>[10601]  Commonwealth Edison CompanyEBSC Transactional (Passthroughs)Technical Services - CED (Engineering &amp; System Perf.)</v>
          </cell>
          <cell r="AF426" t="e">
            <v>#N/A</v>
          </cell>
        </row>
        <row r="427">
          <cell r="E427">
            <v>28866</v>
          </cell>
          <cell r="H427">
            <v>-1846</v>
          </cell>
          <cell r="I427">
            <v>-1846</v>
          </cell>
          <cell r="J427">
            <v>97867</v>
          </cell>
          <cell r="M427">
            <v>10215</v>
          </cell>
          <cell r="N427">
            <v>-1846</v>
          </cell>
          <cell r="O427">
            <v>114031</v>
          </cell>
          <cell r="R427">
            <v>210215</v>
          </cell>
          <cell r="S427">
            <v>198154</v>
          </cell>
          <cell r="V427" t="str">
            <v>EBSC Transactional2</v>
          </cell>
          <cell r="W427" t="str">
            <v>Tools For People</v>
          </cell>
          <cell r="AA427" t="str">
            <v>[10601]  Commonwealth Edison CompanyEBSC TransactionalTools For People</v>
          </cell>
          <cell r="AB427" t="str">
            <v>[10601]  Commonwealth Edison CompanyEBSC Transactional (Tools For People)Business Services</v>
          </cell>
          <cell r="AC427" t="str">
            <v>[10601]  Commonwealth Edison CompanyEBSC Transactional (Tools For People)Technical Services - CED (Engineering &amp; System Perf.)</v>
          </cell>
          <cell r="AF427" t="e">
            <v>#N/A</v>
          </cell>
        </row>
        <row r="428">
          <cell r="E428">
            <v>191252</v>
          </cell>
          <cell r="H428">
            <v>-191252</v>
          </cell>
          <cell r="I428">
            <v>-191252</v>
          </cell>
          <cell r="J428">
            <v>559330</v>
          </cell>
          <cell r="M428">
            <v>-559330</v>
          </cell>
          <cell r="N428">
            <v>-191252</v>
          </cell>
          <cell r="O428">
            <v>559330</v>
          </cell>
          <cell r="R428">
            <v>-559330</v>
          </cell>
          <cell r="S428">
            <v>-191252</v>
          </cell>
          <cell r="V428" t="str">
            <v>EBSC Transactional2</v>
          </cell>
          <cell r="W428" t="str">
            <v>Passthroughs</v>
          </cell>
          <cell r="AA428" t="str">
            <v>[10601]  Commonwealth Edison CompanyEBSC TransactionalPassthroughs</v>
          </cell>
          <cell r="AB428" t="str">
            <v>[10601]  Commonwealth Edison CompanyEBSC Transactional (Passthroughs)Other Operating Expenses</v>
          </cell>
          <cell r="AC428" t="str">
            <v>[10601]  Commonwealth Edison CompanyEBSC Transactional (Passthroughs)Technical Services - CED (Engineering &amp; System Perf.)</v>
          </cell>
          <cell r="AF428" t="e">
            <v>#N/A</v>
          </cell>
        </row>
        <row r="429">
          <cell r="E429">
            <v>27016</v>
          </cell>
          <cell r="H429">
            <v>-18077</v>
          </cell>
          <cell r="I429">
            <v>-18077</v>
          </cell>
          <cell r="J429">
            <v>59914</v>
          </cell>
          <cell r="M429">
            <v>-24157</v>
          </cell>
          <cell r="N429">
            <v>-18077</v>
          </cell>
          <cell r="O429">
            <v>107271</v>
          </cell>
          <cell r="R429">
            <v>0</v>
          </cell>
          <cell r="S429">
            <v>0</v>
          </cell>
          <cell r="V429" t="str">
            <v>EBSC Transactional2</v>
          </cell>
          <cell r="W429" t="str">
            <v>Tools For People</v>
          </cell>
          <cell r="AA429" t="str">
            <v>[10601]  Commonwealth Edison CompanyEBSC TransactionalTools For People</v>
          </cell>
          <cell r="AB429" t="str">
            <v>[10601]  Commonwealth Edison CompanyEBSC Transactional (Tools For People)Business Services</v>
          </cell>
          <cell r="AC429" t="str">
            <v>[10601]  Commonwealth Edison CompanyEBSC Transactional (Tools For People)Technical Services - CED (New Business - ComEd)</v>
          </cell>
          <cell r="AF429" t="e">
            <v>#N/A</v>
          </cell>
        </row>
        <row r="430">
          <cell r="E430">
            <v>10541</v>
          </cell>
          <cell r="H430">
            <v>-10541</v>
          </cell>
          <cell r="I430">
            <v>-10541</v>
          </cell>
          <cell r="J430">
            <v>28124</v>
          </cell>
          <cell r="M430">
            <v>-28124</v>
          </cell>
          <cell r="N430">
            <v>-10541</v>
          </cell>
          <cell r="O430">
            <v>28124</v>
          </cell>
          <cell r="R430">
            <v>-28124</v>
          </cell>
          <cell r="S430">
            <v>-10541</v>
          </cell>
          <cell r="V430" t="str">
            <v>EBSC Transactional2</v>
          </cell>
          <cell r="W430" t="str">
            <v>Passthroughs</v>
          </cell>
          <cell r="AA430" t="str">
            <v>[10601]  Commonwealth Edison CompanyEBSC TransactionalPassthroughs</v>
          </cell>
          <cell r="AB430" t="str">
            <v>[10601]  Commonwealth Edison CompanyEBSC Transactional (Passthroughs)Other Operating Expenses</v>
          </cell>
          <cell r="AC430" t="str">
            <v>[10601]  Commonwealth Edison CompanyEBSC Transactional (Passthroughs)Technical Services - CED (New Business - ComEd)</v>
          </cell>
          <cell r="AF430" t="e">
            <v>#N/A</v>
          </cell>
        </row>
        <row r="431">
          <cell r="E431">
            <v>12898</v>
          </cell>
          <cell r="H431">
            <v>-969</v>
          </cell>
          <cell r="I431">
            <v>-969</v>
          </cell>
          <cell r="J431">
            <v>51317</v>
          </cell>
          <cell r="M431">
            <v>-3600</v>
          </cell>
          <cell r="N431">
            <v>-969</v>
          </cell>
          <cell r="O431">
            <v>146752</v>
          </cell>
          <cell r="R431">
            <v>-3600</v>
          </cell>
          <cell r="S431">
            <v>-969</v>
          </cell>
          <cell r="V431" t="str">
            <v>EBSC Transactional2</v>
          </cell>
          <cell r="W431" t="str">
            <v>Tools For People</v>
          </cell>
          <cell r="AA431" t="str">
            <v>[10601]  Commonwealth Edison CompanyEBSC TransactionalTools For People</v>
          </cell>
          <cell r="AB431" t="str">
            <v>[10601]  Commonwealth Edison CompanyEBSC Transactional (Tools For People)Business Services</v>
          </cell>
          <cell r="AC431" t="str">
            <v>[10601]  Commonwealth Edison CompanyEBSC Transactional (Tools For People)Technical Services - CED (Proj&amp;Contract Management-ComEd)</v>
          </cell>
          <cell r="AF431" t="e">
            <v>#N/A</v>
          </cell>
        </row>
        <row r="432">
          <cell r="E432">
            <v>2578</v>
          </cell>
          <cell r="H432">
            <v>-2578</v>
          </cell>
          <cell r="I432">
            <v>-2578</v>
          </cell>
          <cell r="J432">
            <v>21701</v>
          </cell>
          <cell r="M432">
            <v>-21701</v>
          </cell>
          <cell r="N432">
            <v>-2578</v>
          </cell>
          <cell r="O432">
            <v>21701</v>
          </cell>
          <cell r="R432">
            <v>-21701</v>
          </cell>
          <cell r="S432">
            <v>-2578</v>
          </cell>
          <cell r="V432" t="str">
            <v>EBSC Transactional2</v>
          </cell>
          <cell r="W432" t="str">
            <v>Passthroughs</v>
          </cell>
          <cell r="AA432" t="str">
            <v>[10601]  Commonwealth Edison CompanyEBSC TransactionalPassthroughs</v>
          </cell>
          <cell r="AB432" t="str">
            <v>[10601]  Commonwealth Edison CompanyEBSC Transactional (Passthroughs)Other Operating Expenses</v>
          </cell>
          <cell r="AC432" t="str">
            <v>[10601]  Commonwealth Edison CompanyEBSC Transactional (Passthroughs)Technical Services - CED (Proj&amp;Contract Management-ComEd)</v>
          </cell>
          <cell r="AF432" t="e">
            <v>#N/A</v>
          </cell>
        </row>
        <row r="433">
          <cell r="E433">
            <v>0</v>
          </cell>
          <cell r="H433">
            <v>0</v>
          </cell>
          <cell r="I433">
            <v>0</v>
          </cell>
          <cell r="J433">
            <v>0</v>
          </cell>
          <cell r="M433">
            <v>100</v>
          </cell>
          <cell r="N433">
            <v>0</v>
          </cell>
          <cell r="O433">
            <v>750</v>
          </cell>
          <cell r="R433">
            <v>100</v>
          </cell>
          <cell r="S433">
            <v>0</v>
          </cell>
          <cell r="V433" t="str">
            <v>EBSC Transactional2</v>
          </cell>
          <cell r="W433" t="str">
            <v>Passthroughs</v>
          </cell>
          <cell r="AA433" t="str">
            <v>[10601]  Commonwealth Edison CompanyEBSC TransactionalPassthroughs</v>
          </cell>
          <cell r="AB433" t="str">
            <v>[10601]  Commonwealth Edison CompanyEBSC Transactional (Passthroughs)Contracting</v>
          </cell>
          <cell r="AC433" t="str">
            <v>[10601]  Commonwealth Edison CompanyEBSC Transactional (Passthroughs)Transmission Operations-ComEd (CEDTransmission Operation West)</v>
          </cell>
          <cell r="AF433" t="e">
            <v>#N/A</v>
          </cell>
        </row>
        <row r="434">
          <cell r="E434">
            <v>18153</v>
          </cell>
          <cell r="H434">
            <v>4330</v>
          </cell>
          <cell r="I434">
            <v>4330</v>
          </cell>
          <cell r="J434">
            <v>68632</v>
          </cell>
          <cell r="M434">
            <v>21301</v>
          </cell>
          <cell r="N434">
            <v>4330</v>
          </cell>
          <cell r="O434">
            <v>248499</v>
          </cell>
          <cell r="R434">
            <v>21301</v>
          </cell>
          <cell r="S434">
            <v>4330</v>
          </cell>
          <cell r="V434" t="str">
            <v>EBSC Transactional2</v>
          </cell>
          <cell r="W434" t="str">
            <v>Tools For People</v>
          </cell>
          <cell r="AA434" t="str">
            <v>[10601]  Commonwealth Edison CompanyEBSC TransactionalTools For People</v>
          </cell>
          <cell r="AB434" t="str">
            <v>[10601]  Commonwealth Edison CompanyEBSC Transactional (Tools For People)Business Services</v>
          </cell>
          <cell r="AC434" t="str">
            <v>[10601]  Commonwealth Edison CompanyEBSC Transactional (Tools For People)Transmission Operations-ComEd (CEDTransmission Operation West)</v>
          </cell>
          <cell r="AF434" t="e">
            <v>#N/A</v>
          </cell>
        </row>
        <row r="435">
          <cell r="E435">
            <v>1504</v>
          </cell>
          <cell r="H435">
            <v>1830</v>
          </cell>
          <cell r="I435">
            <v>1830</v>
          </cell>
          <cell r="J435">
            <v>11111</v>
          </cell>
          <cell r="M435">
            <v>2222</v>
          </cell>
          <cell r="N435">
            <v>1830</v>
          </cell>
          <cell r="O435">
            <v>37778</v>
          </cell>
          <cell r="R435">
            <v>2222</v>
          </cell>
          <cell r="S435">
            <v>1830</v>
          </cell>
          <cell r="V435" t="str">
            <v>EBSC Transactional2</v>
          </cell>
          <cell r="W435" t="str">
            <v>Passthroughs</v>
          </cell>
          <cell r="AA435" t="str">
            <v>[10601]  Commonwealth Edison CompanyEBSC TransactionalPassthroughs</v>
          </cell>
          <cell r="AB435" t="str">
            <v>[10601]  Commonwealth Edison CompanyEBSC Transactional (Passthroughs)Other Operating Expenses</v>
          </cell>
          <cell r="AC435" t="str">
            <v>[10601]  Commonwealth Edison CompanyEBSC Transactional (Passthroughs)Transmission Operations-ComEd (CEDTransmission Operation West)</v>
          </cell>
          <cell r="AF435" t="e">
            <v>#N/A</v>
          </cell>
        </row>
        <row r="436">
          <cell r="E436">
            <v>4130</v>
          </cell>
          <cell r="H436">
            <v>220</v>
          </cell>
          <cell r="I436">
            <v>220</v>
          </cell>
          <cell r="J436">
            <v>16674</v>
          </cell>
          <cell r="M436">
            <v>726</v>
          </cell>
          <cell r="N436">
            <v>220</v>
          </cell>
          <cell r="O436">
            <v>51474</v>
          </cell>
          <cell r="R436">
            <v>726</v>
          </cell>
          <cell r="S436">
            <v>220</v>
          </cell>
          <cell r="V436" t="str">
            <v>EBSC Transactional2</v>
          </cell>
          <cell r="W436" t="str">
            <v>Tools For People</v>
          </cell>
          <cell r="AA436" t="str">
            <v>[10601]  Commonwealth Edison CompanyEBSC TransactionalTools For People</v>
          </cell>
          <cell r="AB436" t="str">
            <v>[10601]  Commonwealth Edison CompanyEBSC Transactional (Tools For People)Business Services</v>
          </cell>
          <cell r="AC436" t="str">
            <v>[10601]  Commonwealth Edison CompanyEBSC Transactional (Tools For People)Transmission Operations-ComEd (CED Transmission Planning West)</v>
          </cell>
          <cell r="AF436" t="e">
            <v>#N/A</v>
          </cell>
        </row>
        <row r="437">
          <cell r="E437">
            <v>229</v>
          </cell>
          <cell r="H437">
            <v>271</v>
          </cell>
          <cell r="I437">
            <v>271</v>
          </cell>
          <cell r="J437">
            <v>1124</v>
          </cell>
          <cell r="M437">
            <v>876</v>
          </cell>
          <cell r="N437">
            <v>271</v>
          </cell>
          <cell r="O437">
            <v>5124</v>
          </cell>
          <cell r="R437">
            <v>876</v>
          </cell>
          <cell r="S437">
            <v>271</v>
          </cell>
          <cell r="V437" t="str">
            <v>EBSC Transactional2</v>
          </cell>
          <cell r="W437" t="str">
            <v>Passthroughs</v>
          </cell>
          <cell r="AA437" t="str">
            <v>[10601]  Commonwealth Edison CompanyEBSC TransactionalPassthroughs</v>
          </cell>
          <cell r="AB437" t="str">
            <v>[10601]  Commonwealth Edison CompanyEBSC Transactional (Passthroughs)Other Operating Expenses</v>
          </cell>
          <cell r="AC437" t="str">
            <v>[10601]  Commonwealth Edison CompanyEBSC Transactional (Passthroughs)Transmission Operations-ComEd (CED Transmission Planning West)</v>
          </cell>
          <cell r="AF437" t="e">
            <v>#N/A</v>
          </cell>
        </row>
        <row r="438">
          <cell r="E438">
            <v>782</v>
          </cell>
          <cell r="H438">
            <v>3043</v>
          </cell>
          <cell r="I438">
            <v>3043</v>
          </cell>
          <cell r="J438">
            <v>5146</v>
          </cell>
          <cell r="M438">
            <v>10154</v>
          </cell>
          <cell r="N438">
            <v>3043</v>
          </cell>
          <cell r="O438">
            <v>35746</v>
          </cell>
          <cell r="R438">
            <v>10154</v>
          </cell>
          <cell r="S438">
            <v>3043</v>
          </cell>
          <cell r="V438" t="str">
            <v>EBSC Transactional2</v>
          </cell>
          <cell r="W438" t="str">
            <v>Tools For People</v>
          </cell>
          <cell r="AA438" t="str">
            <v>[10601]  Commonwealth Edison CompanyEBSC TransactionalTools For People</v>
          </cell>
          <cell r="AB438" t="str">
            <v>[10601]  Commonwealth Edison CompanyEBSC Transactional (Tools For People)Business Services</v>
          </cell>
          <cell r="AC438" t="str">
            <v>[10601]  Commonwealth Edison CompanyEBSC Transactional (Tools For People)Transmission Operations-ComEd (Trans Strat&amp;Business Oper West)</v>
          </cell>
          <cell r="AF438" t="e">
            <v>#N/A</v>
          </cell>
        </row>
        <row r="439">
          <cell r="E439">
            <v>96</v>
          </cell>
          <cell r="H439">
            <v>604</v>
          </cell>
          <cell r="I439">
            <v>604</v>
          </cell>
          <cell r="J439">
            <v>1113</v>
          </cell>
          <cell r="M439">
            <v>1687</v>
          </cell>
          <cell r="N439">
            <v>604</v>
          </cell>
          <cell r="O439">
            <v>6713</v>
          </cell>
          <cell r="R439">
            <v>1687</v>
          </cell>
          <cell r="S439">
            <v>604</v>
          </cell>
          <cell r="V439" t="str">
            <v>EBSC Transactional2</v>
          </cell>
          <cell r="W439" t="str">
            <v>Passthroughs</v>
          </cell>
          <cell r="AA439" t="str">
            <v>[10601]  Commonwealth Edison CompanyEBSC TransactionalPassthroughs</v>
          </cell>
          <cell r="AB439" t="str">
            <v>[10601]  Commonwealth Edison CompanyEBSC Transactional (Passthroughs)Other Operating Expenses</v>
          </cell>
          <cell r="AC439" t="str">
            <v>[10601]  Commonwealth Edison CompanyEBSC Transactional (Passthroughs)Transmission Operations-ComEd (Trans Strat&amp;Business Oper West)</v>
          </cell>
          <cell r="AF439" t="e">
            <v>#N/A</v>
          </cell>
        </row>
        <row r="440">
          <cell r="E440">
            <v>947</v>
          </cell>
          <cell r="H440">
            <v>603</v>
          </cell>
          <cell r="I440">
            <v>603</v>
          </cell>
          <cell r="J440">
            <v>4327</v>
          </cell>
          <cell r="M440">
            <v>1873</v>
          </cell>
          <cell r="N440">
            <v>603</v>
          </cell>
          <cell r="O440">
            <v>16727</v>
          </cell>
          <cell r="R440">
            <v>1873</v>
          </cell>
          <cell r="S440">
            <v>603</v>
          </cell>
          <cell r="V440" t="str">
            <v>EBSC Transactional2</v>
          </cell>
          <cell r="W440" t="str">
            <v>Tools For People</v>
          </cell>
          <cell r="AA440" t="str">
            <v>[10005]  Exelon Delivery Shared ServiceEBSC TransactionalTools For People</v>
          </cell>
          <cell r="AB440" t="str">
            <v>[10005]  Exelon Delivery Shared ServiceEBSC Transactional (Tools For People)Business Services</v>
          </cell>
          <cell r="AC440" t="str">
            <v>[10005]  Exelon Delivery Shared ServiceEBSC Transactional (Tools For People)  (~04983 - VP - EED Trans Ops and Plan)</v>
          </cell>
          <cell r="AF440" t="e">
            <v>#N/A</v>
          </cell>
        </row>
        <row r="441">
          <cell r="E441">
            <v>369</v>
          </cell>
          <cell r="H441">
            <v>1231</v>
          </cell>
          <cell r="I441">
            <v>1231</v>
          </cell>
          <cell r="J441">
            <v>1323</v>
          </cell>
          <cell r="M441">
            <v>5077</v>
          </cell>
          <cell r="N441">
            <v>1231</v>
          </cell>
          <cell r="O441">
            <v>14123</v>
          </cell>
          <cell r="R441">
            <v>5077</v>
          </cell>
          <cell r="S441">
            <v>1231</v>
          </cell>
          <cell r="V441" t="str">
            <v>EBSC Transactional2</v>
          </cell>
          <cell r="W441" t="str">
            <v>Passthroughs</v>
          </cell>
          <cell r="AA441" t="str">
            <v>[10005]  Exelon Delivery Shared ServiceEBSC TransactionalPassthroughs</v>
          </cell>
          <cell r="AB441" t="str">
            <v>[10005]  Exelon Delivery Shared ServiceEBSC Transactional (Passthroughs)Other Operating Expenses</v>
          </cell>
          <cell r="AC441" t="str">
            <v>[10005]  Exelon Delivery Shared ServiceEBSC Transactional (Passthroughs)  (~04983 - VP - EED Trans Ops and Plan)</v>
          </cell>
          <cell r="AF441" t="e">
            <v>#N/A</v>
          </cell>
        </row>
        <row r="442">
          <cell r="E442">
            <v>1074</v>
          </cell>
          <cell r="H442">
            <v>-155</v>
          </cell>
          <cell r="I442">
            <v>-155</v>
          </cell>
          <cell r="J442">
            <v>4123</v>
          </cell>
          <cell r="M442">
            <v>-448</v>
          </cell>
          <cell r="N442">
            <v>-155</v>
          </cell>
          <cell r="O442">
            <v>11473</v>
          </cell>
          <cell r="R442">
            <v>-448</v>
          </cell>
          <cell r="S442">
            <v>-155</v>
          </cell>
          <cell r="V442" t="str">
            <v>EBSC Transactional2</v>
          </cell>
          <cell r="W442" t="str">
            <v>Tools For People</v>
          </cell>
          <cell r="AA442" t="str">
            <v>[10005]  Exelon Delivery Shared ServiceEBSC TransactionalTools For People</v>
          </cell>
          <cell r="AB442" t="str">
            <v>[10005]  Exelon Delivery Shared ServiceEBSC Transactional (Tools For People)Business Services</v>
          </cell>
          <cell r="AC442" t="str">
            <v>[10005]  Exelon Delivery Shared ServiceEBSC Transactional (Tools For People)Asset Perfor &amp; Invest Strategy (04915 - OVP For Asset Ivest Str &amp; Dev)</v>
          </cell>
          <cell r="AF442" t="e">
            <v>#N/A</v>
          </cell>
        </row>
        <row r="443">
          <cell r="E443">
            <v>3687</v>
          </cell>
          <cell r="H443">
            <v>-3687</v>
          </cell>
          <cell r="I443">
            <v>-3687</v>
          </cell>
          <cell r="J443">
            <v>5289</v>
          </cell>
          <cell r="M443">
            <v>-5289</v>
          </cell>
          <cell r="N443">
            <v>-3687</v>
          </cell>
          <cell r="O443">
            <v>5289</v>
          </cell>
          <cell r="R443">
            <v>-5289</v>
          </cell>
          <cell r="S443">
            <v>-3687</v>
          </cell>
          <cell r="V443" t="str">
            <v>EBSC Transactional2</v>
          </cell>
          <cell r="W443" t="str">
            <v>Passthroughs</v>
          </cell>
          <cell r="AA443" t="str">
            <v>[10005]  Exelon Delivery Shared ServiceEBSC TransactionalPassthroughs</v>
          </cell>
          <cell r="AB443" t="str">
            <v>[10005]  Exelon Delivery Shared ServiceEBSC Transactional (Passthroughs)Other Operating Expenses</v>
          </cell>
          <cell r="AC443" t="str">
            <v>[10005]  Exelon Delivery Shared ServiceEBSC Transactional (Passthroughs)Asset Perfor &amp; Invest Strategy (04915 - OVP For Asset Ivest Str &amp; Dev)</v>
          </cell>
          <cell r="AF443" t="e">
            <v>#N/A</v>
          </cell>
        </row>
        <row r="444">
          <cell r="E444">
            <v>2807</v>
          </cell>
          <cell r="H444">
            <v>-382</v>
          </cell>
          <cell r="I444">
            <v>-382</v>
          </cell>
          <cell r="J444">
            <v>11466</v>
          </cell>
          <cell r="M444">
            <v>-1767</v>
          </cell>
          <cell r="N444">
            <v>-382</v>
          </cell>
          <cell r="O444">
            <v>30864</v>
          </cell>
          <cell r="R444">
            <v>-1767</v>
          </cell>
          <cell r="S444">
            <v>-382</v>
          </cell>
          <cell r="V444" t="str">
            <v>EBSC Transactional2</v>
          </cell>
          <cell r="W444" t="str">
            <v>Tools For People</v>
          </cell>
          <cell r="AA444" t="str">
            <v>[10005]  Exelon Delivery Shared ServiceEBSC TransactionalTools For People</v>
          </cell>
          <cell r="AB444" t="str">
            <v>[10005]  Exelon Delivery Shared ServiceEBSC Transactional (Tools For People)Business Services</v>
          </cell>
          <cell r="AC444" t="str">
            <v>[10005]  Exelon Delivery Shared ServiceEBSC Transactional (Tools For People)Asset Perfor &amp; Invest Strategy (04918 - Performance Analysis &amp; Program)</v>
          </cell>
          <cell r="AF444" t="e">
            <v>#N/A</v>
          </cell>
        </row>
        <row r="445">
          <cell r="E445">
            <v>191</v>
          </cell>
          <cell r="H445">
            <v>-191</v>
          </cell>
          <cell r="I445">
            <v>-191</v>
          </cell>
          <cell r="J445">
            <v>3390</v>
          </cell>
          <cell r="M445">
            <v>-3390</v>
          </cell>
          <cell r="N445">
            <v>-191</v>
          </cell>
          <cell r="O445">
            <v>3390</v>
          </cell>
          <cell r="R445">
            <v>-3390</v>
          </cell>
          <cell r="S445">
            <v>-191</v>
          </cell>
          <cell r="V445" t="str">
            <v>EBSC Transactional2</v>
          </cell>
          <cell r="W445" t="str">
            <v>Passthroughs</v>
          </cell>
          <cell r="AA445" t="str">
            <v>[10005]  Exelon Delivery Shared ServiceEBSC TransactionalPassthroughs</v>
          </cell>
          <cell r="AB445" t="str">
            <v>[10005]  Exelon Delivery Shared ServiceEBSC Transactional (Passthroughs)Other Operating Expenses</v>
          </cell>
          <cell r="AC445" t="str">
            <v>[10005]  Exelon Delivery Shared ServiceEBSC Transactional (Passthroughs)Asset Perfor &amp; Invest Strategy (04918 - Performance Analysis &amp; Program)</v>
          </cell>
          <cell r="AF445" t="e">
            <v>#N/A</v>
          </cell>
        </row>
        <row r="446">
          <cell r="E446">
            <v>4077</v>
          </cell>
          <cell r="H446">
            <v>112</v>
          </cell>
          <cell r="I446">
            <v>112</v>
          </cell>
          <cell r="J446">
            <v>17236</v>
          </cell>
          <cell r="M446">
            <v>-480</v>
          </cell>
          <cell r="N446">
            <v>112</v>
          </cell>
          <cell r="O446">
            <v>50747</v>
          </cell>
          <cell r="R446">
            <v>-480</v>
          </cell>
          <cell r="S446">
            <v>112</v>
          </cell>
          <cell r="V446" t="str">
            <v>EBSC Transactional2</v>
          </cell>
          <cell r="W446" t="str">
            <v>Tools For People</v>
          </cell>
          <cell r="AA446" t="str">
            <v>[10005]  Exelon Delivery Shared ServiceEBSC TransactionalTools For People</v>
          </cell>
          <cell r="AB446" t="str">
            <v>[10005]  Exelon Delivery Shared ServiceEBSC Transactional (Tools For People)Business Services</v>
          </cell>
          <cell r="AC446" t="str">
            <v>[10005]  Exelon Delivery Shared ServiceEBSC Transactional (Tools For People)Asset Perfor &amp; Invest Strategy (04919 - Business Performance Measuremt)</v>
          </cell>
          <cell r="AF446" t="e">
            <v>#N/A</v>
          </cell>
        </row>
        <row r="447">
          <cell r="E447">
            <v>625</v>
          </cell>
          <cell r="H447">
            <v>-625</v>
          </cell>
          <cell r="I447">
            <v>-625</v>
          </cell>
          <cell r="J447">
            <v>3219</v>
          </cell>
          <cell r="M447">
            <v>-3219</v>
          </cell>
          <cell r="N447">
            <v>-625</v>
          </cell>
          <cell r="O447">
            <v>3219</v>
          </cell>
          <cell r="R447">
            <v>-3219</v>
          </cell>
          <cell r="S447">
            <v>-625</v>
          </cell>
          <cell r="V447" t="str">
            <v>EBSC Transactional2</v>
          </cell>
          <cell r="W447" t="str">
            <v>Passthroughs</v>
          </cell>
          <cell r="AA447" t="str">
            <v>[10005]  Exelon Delivery Shared ServiceEBSC TransactionalPassthroughs</v>
          </cell>
          <cell r="AB447" t="str">
            <v>[10005]  Exelon Delivery Shared ServiceEBSC Transactional (Passthroughs)Other Operating Expenses</v>
          </cell>
          <cell r="AC447" t="str">
            <v>[10005]  Exelon Delivery Shared ServiceEBSC Transactional (Passthroughs)Asset Perfor &amp; Invest Strategy (04919 - Business Performance Measuremt)</v>
          </cell>
          <cell r="AF447" t="e">
            <v>#N/A</v>
          </cell>
        </row>
        <row r="448">
          <cell r="E448">
            <v>2223</v>
          </cell>
          <cell r="H448">
            <v>-783</v>
          </cell>
          <cell r="I448">
            <v>-783</v>
          </cell>
          <cell r="J448">
            <v>8903</v>
          </cell>
          <cell r="M448">
            <v>-3143</v>
          </cell>
          <cell r="N448">
            <v>-783</v>
          </cell>
          <cell r="O448">
            <v>20423</v>
          </cell>
          <cell r="R448">
            <v>-3143</v>
          </cell>
          <cell r="S448">
            <v>-783</v>
          </cell>
          <cell r="V448" t="str">
            <v>EBSC Transactional2</v>
          </cell>
          <cell r="W448" t="str">
            <v>Tools For People</v>
          </cell>
          <cell r="AA448" t="str">
            <v>[10005]  Exelon Delivery Shared ServiceEBSC TransactionalTools For People</v>
          </cell>
          <cell r="AB448" t="str">
            <v>[10005]  Exelon Delivery Shared ServiceEBSC Transactional (Tools For People)Business Services</v>
          </cell>
          <cell r="AC448" t="str">
            <v>[10005]  Exelon Delivery Shared ServiceEBSC Transactional (Tools For People)Asset Perfor &amp; Invest Strategy (04920 - Work Priorization &amp; Invest Str)</v>
          </cell>
          <cell r="AF448" t="e">
            <v>#N/A</v>
          </cell>
        </row>
        <row r="449">
          <cell r="E449">
            <v>1627</v>
          </cell>
          <cell r="H449">
            <v>-1627</v>
          </cell>
          <cell r="I449">
            <v>-1627</v>
          </cell>
          <cell r="J449">
            <v>6121</v>
          </cell>
          <cell r="M449">
            <v>-6121</v>
          </cell>
          <cell r="N449">
            <v>-1627</v>
          </cell>
          <cell r="O449">
            <v>6121</v>
          </cell>
          <cell r="R449">
            <v>-6121</v>
          </cell>
          <cell r="S449">
            <v>-1627</v>
          </cell>
          <cell r="V449" t="str">
            <v>EBSC Transactional2</v>
          </cell>
          <cell r="W449" t="str">
            <v>Passthroughs</v>
          </cell>
          <cell r="AA449" t="str">
            <v>[10005]  Exelon Delivery Shared ServiceEBSC TransactionalPassthroughs</v>
          </cell>
          <cell r="AB449" t="str">
            <v>[10005]  Exelon Delivery Shared ServiceEBSC Transactional (Passthroughs)Other Operating Expenses</v>
          </cell>
          <cell r="AC449" t="str">
            <v>[10005]  Exelon Delivery Shared ServiceEBSC Transactional (Passthroughs)Asset Perfor &amp; Invest Strategy (04920 - Work Priorization &amp; Invest Str)</v>
          </cell>
          <cell r="AF449" t="e">
            <v>#N/A</v>
          </cell>
        </row>
        <row r="450">
          <cell r="E450">
            <v>1809</v>
          </cell>
          <cell r="H450">
            <v>-329</v>
          </cell>
          <cell r="I450">
            <v>-329</v>
          </cell>
          <cell r="J450">
            <v>8093</v>
          </cell>
          <cell r="M450">
            <v>-2171</v>
          </cell>
          <cell r="N450">
            <v>-329</v>
          </cell>
          <cell r="O450">
            <v>19938</v>
          </cell>
          <cell r="R450">
            <v>-2171</v>
          </cell>
          <cell r="S450">
            <v>-329</v>
          </cell>
          <cell r="V450" t="str">
            <v>EBSC Transactional2</v>
          </cell>
          <cell r="W450" t="str">
            <v>Tools For People</v>
          </cell>
          <cell r="AA450" t="str">
            <v>[10005]  Exelon Delivery Shared ServiceEBSC TransactionalTools For People</v>
          </cell>
          <cell r="AB450" t="str">
            <v>[10005]  Exelon Delivery Shared ServiceEBSC Transactional (Tools For People)Business Services</v>
          </cell>
          <cell r="AC450" t="str">
            <v>[10005]  Exelon Delivery Shared ServiceEBSC Transactional (Tools For People)Asset Perfor &amp; Invest Strategy (04922 - Capacity Planning)</v>
          </cell>
          <cell r="AF450" t="e">
            <v>#N/A</v>
          </cell>
        </row>
        <row r="451">
          <cell r="E451">
            <v>4454</v>
          </cell>
          <cell r="H451">
            <v>-4454</v>
          </cell>
          <cell r="I451">
            <v>-4454</v>
          </cell>
          <cell r="J451">
            <v>5297</v>
          </cell>
          <cell r="M451">
            <v>-5297</v>
          </cell>
          <cell r="N451">
            <v>-4454</v>
          </cell>
          <cell r="O451">
            <v>5297</v>
          </cell>
          <cell r="R451">
            <v>-5297</v>
          </cell>
          <cell r="S451">
            <v>-4454</v>
          </cell>
          <cell r="V451" t="str">
            <v>EBSC Transactional2</v>
          </cell>
          <cell r="W451" t="str">
            <v>Passthroughs</v>
          </cell>
          <cell r="AA451" t="str">
            <v>[10005]  Exelon Delivery Shared ServiceEBSC TransactionalPassthroughs</v>
          </cell>
          <cell r="AB451" t="str">
            <v>[10005]  Exelon Delivery Shared ServiceEBSC Transactional (Passthroughs)Other Operating Expenses</v>
          </cell>
          <cell r="AC451" t="str">
            <v>[10005]  Exelon Delivery Shared ServiceEBSC Transactional (Passthroughs)Asset Perfor &amp; Invest Strategy (04922 - Capacity Planning)</v>
          </cell>
          <cell r="AF451" t="e">
            <v>#N/A</v>
          </cell>
        </row>
        <row r="452">
          <cell r="E452">
            <v>546</v>
          </cell>
          <cell r="H452">
            <v>-359</v>
          </cell>
          <cell r="I452">
            <v>-359</v>
          </cell>
          <cell r="J452">
            <v>1858</v>
          </cell>
          <cell r="M452">
            <v>-1110</v>
          </cell>
          <cell r="N452">
            <v>-359</v>
          </cell>
          <cell r="O452">
            <v>3354</v>
          </cell>
          <cell r="R452">
            <v>-1110</v>
          </cell>
          <cell r="S452">
            <v>-359</v>
          </cell>
          <cell r="V452" t="str">
            <v>EBSC Transactional2</v>
          </cell>
          <cell r="W452" t="str">
            <v>Tools For People</v>
          </cell>
          <cell r="AA452" t="str">
            <v>[10005]  Exelon Delivery Shared ServiceEBSC TransactionalTools For People</v>
          </cell>
          <cell r="AB452" t="str">
            <v>[10005]  Exelon Delivery Shared ServiceEBSC Transactional (Tools For People)Business Services</v>
          </cell>
          <cell r="AC452" t="str">
            <v>[10005]  Exelon Delivery Shared ServiceEBSC Transactional (Tools For People)Asset Perfor &amp; Invest Strategy (04938 - Research &amp; Development)</v>
          </cell>
          <cell r="AF452" t="e">
            <v>#N/A</v>
          </cell>
        </row>
        <row r="453">
          <cell r="E453">
            <v>171</v>
          </cell>
          <cell r="H453">
            <v>-171</v>
          </cell>
          <cell r="I453">
            <v>-171</v>
          </cell>
          <cell r="J453">
            <v>779</v>
          </cell>
          <cell r="M453">
            <v>-779</v>
          </cell>
          <cell r="N453">
            <v>-171</v>
          </cell>
          <cell r="O453">
            <v>779</v>
          </cell>
          <cell r="R453">
            <v>-779</v>
          </cell>
          <cell r="S453">
            <v>-171</v>
          </cell>
          <cell r="V453" t="str">
            <v>EBSC Transactional2</v>
          </cell>
          <cell r="W453" t="str">
            <v>Passthroughs</v>
          </cell>
          <cell r="AA453" t="str">
            <v>[10005]  Exelon Delivery Shared ServiceEBSC TransactionalPassthroughs</v>
          </cell>
          <cell r="AB453" t="str">
            <v>[10005]  Exelon Delivery Shared ServiceEBSC Transactional (Passthroughs)Other Operating Expenses</v>
          </cell>
          <cell r="AC453" t="str">
            <v>[10005]  Exelon Delivery Shared ServiceEBSC Transactional (Passthroughs)Asset Perfor &amp; Invest Strategy (04938 - Research &amp; Development)</v>
          </cell>
          <cell r="AF453" t="e">
            <v>#N/A</v>
          </cell>
        </row>
        <row r="454">
          <cell r="E454">
            <v>3611</v>
          </cell>
          <cell r="H454">
            <v>-3323</v>
          </cell>
          <cell r="I454">
            <v>-3323</v>
          </cell>
          <cell r="J454">
            <v>15033</v>
          </cell>
          <cell r="M454">
            <v>-13883</v>
          </cell>
          <cell r="N454">
            <v>-3323</v>
          </cell>
          <cell r="O454">
            <v>17333</v>
          </cell>
          <cell r="R454">
            <v>-13883</v>
          </cell>
          <cell r="S454">
            <v>-3323</v>
          </cell>
          <cell r="V454" t="str">
            <v>EBSC Transactional2</v>
          </cell>
          <cell r="W454" t="str">
            <v>Tools For People</v>
          </cell>
          <cell r="AA454" t="str">
            <v>[10005]  Exelon Delivery Shared ServiceEBSC TransactionalTools For People</v>
          </cell>
          <cell r="AB454" t="str">
            <v>[10005]  Exelon Delivery Shared ServiceEBSC Transactional (Tools For People)Business Services</v>
          </cell>
          <cell r="AC454" t="str">
            <v>[10005]  Exelon Delivery Shared ServiceEBSC Transactional (Tools For People)Asset Perfor &amp; Invest Strategy (App Support &amp; Bus Process Imp.)</v>
          </cell>
          <cell r="AF454" t="e">
            <v>#N/A</v>
          </cell>
        </row>
        <row r="455">
          <cell r="E455">
            <v>828</v>
          </cell>
          <cell r="H455">
            <v>-828</v>
          </cell>
          <cell r="I455">
            <v>-828</v>
          </cell>
          <cell r="J455">
            <v>3725</v>
          </cell>
          <cell r="M455">
            <v>-3725</v>
          </cell>
          <cell r="N455">
            <v>-828</v>
          </cell>
          <cell r="O455">
            <v>3725</v>
          </cell>
          <cell r="R455">
            <v>-3725</v>
          </cell>
          <cell r="S455">
            <v>-828</v>
          </cell>
          <cell r="V455" t="str">
            <v>EBSC Transactional2</v>
          </cell>
          <cell r="W455" t="str">
            <v>Passthroughs</v>
          </cell>
          <cell r="AA455" t="str">
            <v>[10005]  Exelon Delivery Shared ServiceEBSC TransactionalPassthroughs</v>
          </cell>
          <cell r="AB455" t="str">
            <v>[10005]  Exelon Delivery Shared ServiceEBSC Transactional (Passthroughs)Other Operating Expenses</v>
          </cell>
          <cell r="AC455" t="str">
            <v>[10005]  Exelon Delivery Shared ServiceEBSC Transactional (Passthroughs)Asset Perfor &amp; Invest Strategy (App Support &amp; Bus Process Imp.)</v>
          </cell>
          <cell r="AF455" t="e">
            <v>#N/A</v>
          </cell>
        </row>
        <row r="456">
          <cell r="E456">
            <v>22003</v>
          </cell>
          <cell r="H456">
            <v>-21331</v>
          </cell>
          <cell r="I456">
            <v>-21331</v>
          </cell>
          <cell r="J456">
            <v>26192</v>
          </cell>
          <cell r="M456">
            <v>-23504</v>
          </cell>
          <cell r="N456">
            <v>-21331</v>
          </cell>
          <cell r="O456">
            <v>31568</v>
          </cell>
          <cell r="R456">
            <v>-23504</v>
          </cell>
          <cell r="S456">
            <v>-21331</v>
          </cell>
          <cell r="V456" t="str">
            <v>EBSC Transactional2</v>
          </cell>
          <cell r="W456" t="str">
            <v>Tools For People</v>
          </cell>
          <cell r="AA456" t="str">
            <v>[10005]  Exelon Delivery Shared ServiceEBSC TransactionalTools For People</v>
          </cell>
          <cell r="AB456" t="str">
            <v>[10005]  Exelon Delivery Shared ServiceEBSC Transactional (Tools For People)Business Services</v>
          </cell>
          <cell r="AC456" t="str">
            <v>[10005]  Exelon Delivery Shared ServiceEBSC Transactional (Tools For People)Customer &amp; Marketing Services (EED Customer Contact Center)</v>
          </cell>
          <cell r="AF456" t="e">
            <v>#N/A</v>
          </cell>
        </row>
        <row r="457">
          <cell r="E457">
            <v>1698</v>
          </cell>
          <cell r="H457">
            <v>-1698</v>
          </cell>
          <cell r="I457">
            <v>-1698</v>
          </cell>
          <cell r="J457">
            <v>3645</v>
          </cell>
          <cell r="M457">
            <v>-3645</v>
          </cell>
          <cell r="N457">
            <v>-1698</v>
          </cell>
          <cell r="O457">
            <v>3645</v>
          </cell>
          <cell r="R457">
            <v>-3645</v>
          </cell>
          <cell r="S457">
            <v>-1698</v>
          </cell>
          <cell r="V457" t="str">
            <v>EBSC Transactional2</v>
          </cell>
          <cell r="W457" t="str">
            <v>Passthroughs</v>
          </cell>
          <cell r="AA457" t="str">
            <v>[10005]  Exelon Delivery Shared ServiceEBSC TransactionalPassthroughs</v>
          </cell>
          <cell r="AB457" t="str">
            <v>[10005]  Exelon Delivery Shared ServiceEBSC Transactional (Passthroughs)Other Operating Expenses</v>
          </cell>
          <cell r="AC457" t="str">
            <v>[10005]  Exelon Delivery Shared ServiceEBSC Transactional (Passthroughs)Customer &amp; Marketing Services (EED Customer Contact Center)</v>
          </cell>
          <cell r="AF457" t="e">
            <v>#N/A</v>
          </cell>
        </row>
        <row r="458">
          <cell r="E458">
            <v>-31668</v>
          </cell>
          <cell r="H458">
            <v>34866</v>
          </cell>
          <cell r="I458">
            <v>65206</v>
          </cell>
          <cell r="J458">
            <v>45187</v>
          </cell>
          <cell r="M458">
            <v>-32129</v>
          </cell>
          <cell r="N458">
            <v>65206</v>
          </cell>
          <cell r="O458">
            <v>73491</v>
          </cell>
          <cell r="R458">
            <v>-34855</v>
          </cell>
          <cell r="S458">
            <v>65206</v>
          </cell>
          <cell r="V458" t="str">
            <v>EBSC Transactional2</v>
          </cell>
          <cell r="W458" t="str">
            <v>Tools For People</v>
          </cell>
          <cell r="AA458" t="str">
            <v>[10005]  Exelon Delivery Shared ServiceEBSC TransactionalTools For People</v>
          </cell>
          <cell r="AB458" t="str">
            <v>[10005]  Exelon Delivery Shared ServiceEBSC Transactional (Tools For People)Business Services</v>
          </cell>
          <cell r="AC458" t="str">
            <v>[10005]  Exelon Delivery Shared ServiceEBSC Transactional (Tools For People)Customer &amp; Marketing Services (EED Customer Field Ops)</v>
          </cell>
          <cell r="AF458" t="e">
            <v>#N/A</v>
          </cell>
        </row>
        <row r="459">
          <cell r="E459">
            <v>1315</v>
          </cell>
          <cell r="H459">
            <v>-1025</v>
          </cell>
          <cell r="I459">
            <v>75</v>
          </cell>
          <cell r="J459">
            <v>6740</v>
          </cell>
          <cell r="M459">
            <v>-5582</v>
          </cell>
          <cell r="N459">
            <v>75</v>
          </cell>
          <cell r="O459">
            <v>17856</v>
          </cell>
          <cell r="R459">
            <v>-14383</v>
          </cell>
          <cell r="S459">
            <v>75</v>
          </cell>
          <cell r="V459" t="str">
            <v>EBSC Transactional2</v>
          </cell>
          <cell r="W459" t="str">
            <v>Passthroughs</v>
          </cell>
          <cell r="AA459" t="str">
            <v>[10005]  Exelon Delivery Shared ServiceEBSC TransactionalPassthroughs</v>
          </cell>
          <cell r="AB459" t="str">
            <v>[10005]  Exelon Delivery Shared ServiceEBSC Transactional (Passthroughs)Other Operating Expenses</v>
          </cell>
          <cell r="AC459" t="str">
            <v>[10005]  Exelon Delivery Shared ServiceEBSC Transactional (Passthroughs)Customer &amp; Marketing Services (EED Customer Field Ops)</v>
          </cell>
          <cell r="AF459" t="e">
            <v>#N/A</v>
          </cell>
        </row>
        <row r="460">
          <cell r="E460">
            <v>2731</v>
          </cell>
          <cell r="H460">
            <v>2719</v>
          </cell>
          <cell r="I460">
            <v>2742</v>
          </cell>
          <cell r="J460">
            <v>16245</v>
          </cell>
          <cell r="M460">
            <v>5554</v>
          </cell>
          <cell r="N460">
            <v>2742</v>
          </cell>
          <cell r="O460">
            <v>60030</v>
          </cell>
          <cell r="R460">
            <v>3453</v>
          </cell>
          <cell r="S460">
            <v>2742</v>
          </cell>
          <cell r="V460" t="str">
            <v>EBSC Transactional2</v>
          </cell>
          <cell r="W460" t="str">
            <v>Tools For People</v>
          </cell>
          <cell r="AA460" t="str">
            <v>[10005]  Exelon Delivery Shared ServiceEBSC TransactionalTools For People</v>
          </cell>
          <cell r="AB460" t="str">
            <v>[10005]  Exelon Delivery Shared ServiceEBSC Transactional (Tools For People)Business Services</v>
          </cell>
          <cell r="AC460" t="str">
            <v>[10005]  Exelon Delivery Shared ServiceEBSC Transactional (Tools For People)Customer &amp; Marketing Services (EED Customer Financial Ops)</v>
          </cell>
          <cell r="AF460" t="e">
            <v>#N/A</v>
          </cell>
        </row>
        <row r="461">
          <cell r="E461">
            <v>4168</v>
          </cell>
          <cell r="H461">
            <v>-3451</v>
          </cell>
          <cell r="I461">
            <v>-3406</v>
          </cell>
          <cell r="J461">
            <v>8542</v>
          </cell>
          <cell r="M461">
            <v>-5672</v>
          </cell>
          <cell r="N461">
            <v>-3406</v>
          </cell>
          <cell r="O461">
            <v>14640</v>
          </cell>
          <cell r="R461">
            <v>-6362</v>
          </cell>
          <cell r="S461">
            <v>-3406</v>
          </cell>
          <cell r="V461" t="str">
            <v>EBSC Transactional2</v>
          </cell>
          <cell r="W461" t="str">
            <v>Passthroughs</v>
          </cell>
          <cell r="AA461" t="str">
            <v>[10005]  Exelon Delivery Shared ServiceEBSC TransactionalPassthroughs</v>
          </cell>
          <cell r="AB461" t="str">
            <v>[10005]  Exelon Delivery Shared ServiceEBSC Transactional (Passthroughs)Other Operating Expenses</v>
          </cell>
          <cell r="AC461" t="str">
            <v>[10005]  Exelon Delivery Shared ServiceEBSC Transactional (Passthroughs)Customer &amp; Marketing Services (EED Customer Financial Ops)</v>
          </cell>
          <cell r="AF461" t="e">
            <v>#N/A</v>
          </cell>
        </row>
        <row r="462">
          <cell r="E462">
            <v>3938</v>
          </cell>
          <cell r="H462">
            <v>1814</v>
          </cell>
          <cell r="I462">
            <v>1814</v>
          </cell>
          <cell r="J462">
            <v>15554</v>
          </cell>
          <cell r="M462">
            <v>7454</v>
          </cell>
          <cell r="N462">
            <v>1814</v>
          </cell>
          <cell r="O462">
            <v>65126</v>
          </cell>
          <cell r="R462">
            <v>3892</v>
          </cell>
          <cell r="S462">
            <v>1814</v>
          </cell>
          <cell r="V462" t="str">
            <v>EBSC Transactional2</v>
          </cell>
          <cell r="W462" t="str">
            <v>Tools For People</v>
          </cell>
          <cell r="AA462" t="str">
            <v>[10005]  Exelon Delivery Shared ServiceEBSC TransactionalTools For People</v>
          </cell>
          <cell r="AB462" t="str">
            <v>[10005]  Exelon Delivery Shared ServiceEBSC Transactional (Tools For People)Business Services</v>
          </cell>
          <cell r="AC462" t="str">
            <v>[10005]  Exelon Delivery Shared ServiceEBSC Transactional (Tools For People)Customer &amp; Marketing Services (EED Cust Strategies &amp; Support)</v>
          </cell>
          <cell r="AF462" t="e">
            <v>#N/A</v>
          </cell>
        </row>
        <row r="463">
          <cell r="E463">
            <v>2546</v>
          </cell>
          <cell r="H463">
            <v>-246</v>
          </cell>
          <cell r="I463">
            <v>-246</v>
          </cell>
          <cell r="J463">
            <v>6438</v>
          </cell>
          <cell r="M463">
            <v>2762</v>
          </cell>
          <cell r="N463">
            <v>-246</v>
          </cell>
          <cell r="O463">
            <v>27841</v>
          </cell>
          <cell r="R463">
            <v>-239</v>
          </cell>
          <cell r="S463">
            <v>-246</v>
          </cell>
          <cell r="V463" t="str">
            <v>EBSC Transactional2</v>
          </cell>
          <cell r="W463" t="str">
            <v>Passthroughs</v>
          </cell>
          <cell r="AA463" t="str">
            <v>[10005]  Exelon Delivery Shared ServiceEBSC TransactionalPassthroughs</v>
          </cell>
          <cell r="AB463" t="str">
            <v>[10005]  Exelon Delivery Shared ServiceEBSC Transactional (Passthroughs)Other Operating Expenses</v>
          </cell>
          <cell r="AC463" t="str">
            <v>[10005]  Exelon Delivery Shared ServiceEBSC Transactional (Passthroughs)Customer &amp; Marketing Services (EED Cust Strategies &amp; Support)</v>
          </cell>
          <cell r="AF463" t="e">
            <v>#N/A</v>
          </cell>
        </row>
        <row r="464">
          <cell r="E464">
            <v>19132</v>
          </cell>
          <cell r="H464">
            <v>-15799</v>
          </cell>
          <cell r="I464">
            <v>-15799</v>
          </cell>
          <cell r="J464">
            <v>33071</v>
          </cell>
          <cell r="M464">
            <v>-19739</v>
          </cell>
          <cell r="N464">
            <v>-15799</v>
          </cell>
          <cell r="O464">
            <v>59739</v>
          </cell>
          <cell r="R464">
            <v>-19739</v>
          </cell>
          <cell r="S464">
            <v>-15799</v>
          </cell>
          <cell r="V464" t="str">
            <v>EBSC Transactional2</v>
          </cell>
          <cell r="W464" t="str">
            <v>Tools For People</v>
          </cell>
          <cell r="AA464" t="str">
            <v>[10005]  Exelon Delivery Shared ServiceEBSC TransactionalTools For People</v>
          </cell>
          <cell r="AB464" t="str">
            <v>[10005]  Exelon Delivery Shared ServiceEBSC Transactional (Tools For People)Business Services</v>
          </cell>
          <cell r="AC464" t="str">
            <v>[10005]  Exelon Delivery Shared ServiceEBSC Transactional (Tools For People)Customer &amp; Marketing Services (EED Energy&amp;Marketing Services)</v>
          </cell>
          <cell r="AF464" t="e">
            <v>#N/A</v>
          </cell>
        </row>
        <row r="465">
          <cell r="E465">
            <v>757</v>
          </cell>
          <cell r="H465">
            <v>76</v>
          </cell>
          <cell r="I465">
            <v>76</v>
          </cell>
          <cell r="J465">
            <v>3049</v>
          </cell>
          <cell r="M465">
            <v>283</v>
          </cell>
          <cell r="N465">
            <v>76</v>
          </cell>
          <cell r="O465">
            <v>9717</v>
          </cell>
          <cell r="R465">
            <v>283</v>
          </cell>
          <cell r="S465">
            <v>76</v>
          </cell>
          <cell r="V465" t="str">
            <v>EBSC Transactional2</v>
          </cell>
          <cell r="W465" t="str">
            <v>Passthroughs</v>
          </cell>
          <cell r="AA465" t="str">
            <v>[10005]  Exelon Delivery Shared ServiceEBSC TransactionalPassthroughs</v>
          </cell>
          <cell r="AB465" t="str">
            <v>[10005]  Exelon Delivery Shared ServiceEBSC Transactional (Passthroughs)Other Operating Expenses</v>
          </cell>
          <cell r="AC465" t="str">
            <v>[10005]  Exelon Delivery Shared ServiceEBSC Transactional (Passthroughs)Customer &amp; Marketing Services (EED Energy&amp;Marketing Services)</v>
          </cell>
          <cell r="AF465" t="e">
            <v>#N/A</v>
          </cell>
        </row>
        <row r="466">
          <cell r="E466">
            <v>4185</v>
          </cell>
          <cell r="H466">
            <v>3815</v>
          </cell>
          <cell r="I466">
            <v>2515</v>
          </cell>
          <cell r="J466">
            <v>20060</v>
          </cell>
          <cell r="M466">
            <v>12940</v>
          </cell>
          <cell r="N466">
            <v>2515</v>
          </cell>
          <cell r="O466">
            <v>73660</v>
          </cell>
          <cell r="R466">
            <v>26340</v>
          </cell>
          <cell r="S466">
            <v>2515</v>
          </cell>
          <cell r="V466" t="str">
            <v>EBSC Transactional2</v>
          </cell>
          <cell r="W466" t="str">
            <v>Tools For People</v>
          </cell>
          <cell r="AA466" t="str">
            <v>[10005]  Exelon Delivery Shared ServiceEBSC TransactionalTools For People</v>
          </cell>
          <cell r="AB466" t="str">
            <v>[10005]  Exelon Delivery Shared ServiceEBSC Transactional (Tools For People)Business Services</v>
          </cell>
          <cell r="AC466" t="str">
            <v>[10005]  Exelon Delivery Shared ServiceEBSC Transactional (Tools For People)Customer &amp; Marketing Services (EED Fleet Services)</v>
          </cell>
          <cell r="AF466" t="e">
            <v>#N/A</v>
          </cell>
        </row>
        <row r="467">
          <cell r="E467">
            <v>1685</v>
          </cell>
          <cell r="H467">
            <v>815</v>
          </cell>
          <cell r="I467">
            <v>815</v>
          </cell>
          <cell r="J467">
            <v>8631</v>
          </cell>
          <cell r="M467">
            <v>1369</v>
          </cell>
          <cell r="N467">
            <v>815</v>
          </cell>
          <cell r="O467">
            <v>28331</v>
          </cell>
          <cell r="R467">
            <v>1669</v>
          </cell>
          <cell r="S467">
            <v>815</v>
          </cell>
          <cell r="V467" t="str">
            <v>EBSC Transactional2</v>
          </cell>
          <cell r="W467" t="str">
            <v>Passthroughs</v>
          </cell>
          <cell r="AA467" t="str">
            <v>[10005]  Exelon Delivery Shared ServiceEBSC TransactionalPassthroughs</v>
          </cell>
          <cell r="AB467" t="str">
            <v>[10005]  Exelon Delivery Shared ServiceEBSC Transactional (Passthroughs)Other Operating Expenses</v>
          </cell>
          <cell r="AC467" t="str">
            <v>[10005]  Exelon Delivery Shared ServiceEBSC Transactional (Passthroughs)Customer &amp; Marketing Services (EED Fleet Services)</v>
          </cell>
          <cell r="AF467" t="e">
            <v>#N/A</v>
          </cell>
        </row>
        <row r="468">
          <cell r="E468">
            <v>1106</v>
          </cell>
          <cell r="H468">
            <v>-6</v>
          </cell>
          <cell r="I468">
            <v>-6</v>
          </cell>
          <cell r="J468">
            <v>4637</v>
          </cell>
          <cell r="M468">
            <v>-237</v>
          </cell>
          <cell r="N468">
            <v>-6</v>
          </cell>
          <cell r="O468">
            <v>13437</v>
          </cell>
          <cell r="R468">
            <v>-237</v>
          </cell>
          <cell r="S468">
            <v>-6</v>
          </cell>
          <cell r="V468" t="str">
            <v>EBSC Transactional2</v>
          </cell>
          <cell r="W468" t="str">
            <v>Tools For People</v>
          </cell>
          <cell r="AA468" t="str">
            <v>[10005]  Exelon Delivery Shared ServiceEBSC TransactionalTools For People</v>
          </cell>
          <cell r="AB468" t="str">
            <v>[10005]  Exelon Delivery Shared ServiceEBSC Transactional (Tools For People)Business Services</v>
          </cell>
          <cell r="AC468" t="str">
            <v>[10005]  Exelon Delivery Shared ServiceEBSC Transactional (Tools For People)Customer &amp; Marketing Services (EED Senior VP)</v>
          </cell>
          <cell r="AF468" t="e">
            <v>#N/A</v>
          </cell>
        </row>
        <row r="469">
          <cell r="E469">
            <v>1931</v>
          </cell>
          <cell r="H469">
            <v>-1931</v>
          </cell>
          <cell r="I469">
            <v>-1931</v>
          </cell>
          <cell r="J469">
            <v>4320</v>
          </cell>
          <cell r="M469">
            <v>-4320</v>
          </cell>
          <cell r="N469">
            <v>-1931</v>
          </cell>
          <cell r="O469">
            <v>4320</v>
          </cell>
          <cell r="R469">
            <v>-4320</v>
          </cell>
          <cell r="S469">
            <v>-1931</v>
          </cell>
          <cell r="V469" t="str">
            <v>EBSC Transactional2</v>
          </cell>
          <cell r="W469" t="str">
            <v>Passthroughs</v>
          </cell>
          <cell r="AA469" t="str">
            <v>[10005]  Exelon Delivery Shared ServiceEBSC TransactionalPassthroughs</v>
          </cell>
          <cell r="AB469" t="str">
            <v>[10005]  Exelon Delivery Shared ServiceEBSC Transactional (Passthroughs)Other Operating Expenses</v>
          </cell>
          <cell r="AC469" t="str">
            <v>[10005]  Exelon Delivery Shared ServiceEBSC Transactional (Passthroughs)Customer &amp; Marketing Services (EED Senior VP)</v>
          </cell>
          <cell r="AF469" t="e">
            <v>#N/A</v>
          </cell>
        </row>
        <row r="470">
          <cell r="E470">
            <v>219</v>
          </cell>
          <cell r="H470">
            <v>1881</v>
          </cell>
          <cell r="I470">
            <v>1881</v>
          </cell>
          <cell r="J470">
            <v>971</v>
          </cell>
          <cell r="M470">
            <v>7429</v>
          </cell>
          <cell r="N470">
            <v>1881</v>
          </cell>
          <cell r="O470">
            <v>17771</v>
          </cell>
          <cell r="R470">
            <v>7429</v>
          </cell>
          <cell r="S470">
            <v>1881</v>
          </cell>
          <cell r="V470" t="str">
            <v>EBSC Transactional2</v>
          </cell>
          <cell r="W470" t="str">
            <v>Tools For People</v>
          </cell>
          <cell r="AA470" t="str">
            <v>[10005]  Exelon Delivery Shared ServiceEBSC TransactionalTools For People</v>
          </cell>
          <cell r="AB470" t="str">
            <v>[10005]  Exelon Delivery Shared ServiceEBSC Transactional (Tools For People)Business Services</v>
          </cell>
          <cell r="AC470" t="str">
            <v>[10005]  Exelon Delivery Shared ServiceEBSC Transactional (Tools For People)Dispatch &amp; Operations (01101 - Operation Control Center)</v>
          </cell>
          <cell r="AF470" t="e">
            <v>#N/A</v>
          </cell>
        </row>
        <row r="471">
          <cell r="E471">
            <v>228</v>
          </cell>
          <cell r="H471">
            <v>-228</v>
          </cell>
          <cell r="I471">
            <v>-228</v>
          </cell>
          <cell r="J471">
            <v>819</v>
          </cell>
          <cell r="M471">
            <v>-819</v>
          </cell>
          <cell r="N471">
            <v>-228</v>
          </cell>
          <cell r="O471">
            <v>819</v>
          </cell>
          <cell r="R471">
            <v>-819</v>
          </cell>
          <cell r="S471">
            <v>-228</v>
          </cell>
          <cell r="V471" t="str">
            <v>EBSC Transactional2</v>
          </cell>
          <cell r="W471" t="str">
            <v>Passthroughs</v>
          </cell>
          <cell r="AA471" t="str">
            <v>[10005]  Exelon Delivery Shared ServiceEBSC TransactionalPassthroughs</v>
          </cell>
          <cell r="AB471" t="str">
            <v>[10005]  Exelon Delivery Shared ServiceEBSC Transactional (Passthroughs)Other Operating Expenses</v>
          </cell>
          <cell r="AC471" t="str">
            <v>[10005]  Exelon Delivery Shared ServiceEBSC Transactional (Passthroughs)Dispatch &amp; Operations (01101 - Operation Control Center)</v>
          </cell>
          <cell r="AF471" t="e">
            <v>#N/A</v>
          </cell>
        </row>
        <row r="472">
          <cell r="E472">
            <v>1165</v>
          </cell>
          <cell r="H472">
            <v>-115</v>
          </cell>
          <cell r="I472">
            <v>-115</v>
          </cell>
          <cell r="J472">
            <v>5437</v>
          </cell>
          <cell r="M472">
            <v>-1237</v>
          </cell>
          <cell r="N472">
            <v>-115</v>
          </cell>
          <cell r="O472">
            <v>13837</v>
          </cell>
          <cell r="R472">
            <v>-1237</v>
          </cell>
          <cell r="S472">
            <v>-115</v>
          </cell>
          <cell r="V472" t="str">
            <v>EBSC Transactional2</v>
          </cell>
          <cell r="W472" t="str">
            <v>Tools For People</v>
          </cell>
          <cell r="AA472" t="str">
            <v>[10005]  Exelon Delivery Shared ServiceEBSC TransactionalTools For People</v>
          </cell>
          <cell r="AB472" t="str">
            <v>[10005]  Exelon Delivery Shared ServiceEBSC Transactional (Tools For People)Business Services</v>
          </cell>
          <cell r="AC472" t="str">
            <v>[10005]  Exelon Delivery Shared ServiceEBSC Transactional (Tools For People)Dispatch &amp; Operations (04906 - EED Dispatch &amp; Operations)</v>
          </cell>
          <cell r="AF472" t="e">
            <v>#N/A</v>
          </cell>
        </row>
        <row r="473">
          <cell r="E473">
            <v>487</v>
          </cell>
          <cell r="H473">
            <v>-487</v>
          </cell>
          <cell r="I473">
            <v>-487</v>
          </cell>
          <cell r="J473">
            <v>2097</v>
          </cell>
          <cell r="M473">
            <v>-2097</v>
          </cell>
          <cell r="N473">
            <v>-487</v>
          </cell>
          <cell r="O473">
            <v>2097</v>
          </cell>
          <cell r="R473">
            <v>-2097</v>
          </cell>
          <cell r="S473">
            <v>-487</v>
          </cell>
          <cell r="V473" t="str">
            <v>EBSC Transactional2</v>
          </cell>
          <cell r="W473" t="str">
            <v>Passthroughs</v>
          </cell>
          <cell r="AA473" t="str">
            <v>[10005]  Exelon Delivery Shared ServiceEBSC TransactionalPassthroughs</v>
          </cell>
          <cell r="AB473" t="str">
            <v>[10005]  Exelon Delivery Shared ServiceEBSC Transactional (Passthroughs)Other Operating Expenses</v>
          </cell>
          <cell r="AC473" t="str">
            <v>[10005]  Exelon Delivery Shared ServiceEBSC Transactional (Passthroughs)Dispatch &amp; Operations (04906 - EED Dispatch &amp; Operations)</v>
          </cell>
          <cell r="AF473" t="e">
            <v>#N/A</v>
          </cell>
        </row>
        <row r="474">
          <cell r="E474">
            <v>5838</v>
          </cell>
          <cell r="H474">
            <v>57</v>
          </cell>
          <cell r="I474">
            <v>57</v>
          </cell>
          <cell r="J474">
            <v>19560</v>
          </cell>
          <cell r="M474">
            <v>4020</v>
          </cell>
          <cell r="N474">
            <v>57</v>
          </cell>
          <cell r="O474">
            <v>66720</v>
          </cell>
          <cell r="R474">
            <v>4020</v>
          </cell>
          <cell r="S474">
            <v>57</v>
          </cell>
          <cell r="V474" t="str">
            <v>EBSC Transactional2</v>
          </cell>
          <cell r="W474" t="str">
            <v>Tools For People</v>
          </cell>
          <cell r="AA474" t="str">
            <v>[10005]  Exelon Delivery Shared ServiceEBSC TransactionalTools For People</v>
          </cell>
          <cell r="AB474" t="str">
            <v>[10005]  Exelon Delivery Shared ServiceEBSC Transactional (Tools For People)Business Services</v>
          </cell>
          <cell r="AC474" t="str">
            <v>[10005]  Exelon Delivery Shared ServiceEBSC Transactional (Tools For People)Dispatch &amp; Operations (04907 - Emergency Preparedness)</v>
          </cell>
          <cell r="AF474" t="e">
            <v>#N/A</v>
          </cell>
        </row>
        <row r="475">
          <cell r="E475">
            <v>7617</v>
          </cell>
          <cell r="H475">
            <v>-7617</v>
          </cell>
          <cell r="I475">
            <v>-7617</v>
          </cell>
          <cell r="J475">
            <v>21755</v>
          </cell>
          <cell r="M475">
            <v>-21755</v>
          </cell>
          <cell r="N475">
            <v>-7617</v>
          </cell>
          <cell r="O475">
            <v>21755</v>
          </cell>
          <cell r="R475">
            <v>-21755</v>
          </cell>
          <cell r="S475">
            <v>-7617</v>
          </cell>
          <cell r="V475" t="str">
            <v>EBSC Transactional2</v>
          </cell>
          <cell r="W475" t="str">
            <v>Passthroughs</v>
          </cell>
          <cell r="AA475" t="str">
            <v>[10005]  Exelon Delivery Shared ServiceEBSC TransactionalPassthroughs</v>
          </cell>
          <cell r="AB475" t="str">
            <v>[10005]  Exelon Delivery Shared ServiceEBSC Transactional (Passthroughs)Other Operating Expenses</v>
          </cell>
          <cell r="AC475" t="str">
            <v>[10005]  Exelon Delivery Shared ServiceEBSC Transactional (Passthroughs)Dispatch &amp; Operations (04907 - Emergency Preparedness)</v>
          </cell>
          <cell r="AF475" t="e">
            <v>#N/A</v>
          </cell>
        </row>
        <row r="476">
          <cell r="E476">
            <v>2687</v>
          </cell>
          <cell r="H476">
            <v>2993</v>
          </cell>
          <cell r="I476">
            <v>2993</v>
          </cell>
          <cell r="J476">
            <v>9993</v>
          </cell>
          <cell r="M476">
            <v>12724</v>
          </cell>
          <cell r="N476">
            <v>2993</v>
          </cell>
          <cell r="O476">
            <v>55429</v>
          </cell>
          <cell r="R476">
            <v>12724</v>
          </cell>
          <cell r="S476">
            <v>2993</v>
          </cell>
          <cell r="V476" t="str">
            <v>EBSC Transactional2</v>
          </cell>
          <cell r="W476" t="str">
            <v>Tools For People</v>
          </cell>
          <cell r="AA476" t="str">
            <v>[10005]  Exelon Delivery Shared ServiceEBSC TransactionalTools For People</v>
          </cell>
          <cell r="AB476" t="str">
            <v>[10005]  Exelon Delivery Shared ServiceEBSC Transactional (Tools For People)Business Services</v>
          </cell>
          <cell r="AC476" t="str">
            <v>[10005]  Exelon Delivery Shared ServiceEBSC Transactional (Tools For People)EED Executive &amp; Services (00859 - Quality Services)</v>
          </cell>
          <cell r="AF476" t="e">
            <v>#N/A</v>
          </cell>
        </row>
        <row r="477">
          <cell r="E477">
            <v>2062</v>
          </cell>
          <cell r="H477">
            <v>2896</v>
          </cell>
          <cell r="I477">
            <v>2896</v>
          </cell>
          <cell r="J477">
            <v>7672</v>
          </cell>
          <cell r="M477">
            <v>12162</v>
          </cell>
          <cell r="N477">
            <v>2896</v>
          </cell>
          <cell r="O477">
            <v>47338</v>
          </cell>
          <cell r="R477">
            <v>12162</v>
          </cell>
          <cell r="S477">
            <v>2896</v>
          </cell>
          <cell r="V477" t="str">
            <v>EBSC Transactional2</v>
          </cell>
          <cell r="W477" t="str">
            <v>Passthroughs</v>
          </cell>
          <cell r="AA477" t="str">
            <v>[10005]  Exelon Delivery Shared ServiceEBSC TransactionalPassthroughs</v>
          </cell>
          <cell r="AB477" t="str">
            <v>[10005]  Exelon Delivery Shared ServiceEBSC Transactional (Passthroughs)Other Operating Expenses</v>
          </cell>
          <cell r="AC477" t="str">
            <v>[10005]  Exelon Delivery Shared ServiceEBSC Transactional (Passthroughs)EED Executive &amp; Services (00859 - Quality Services)</v>
          </cell>
          <cell r="AF477" t="e">
            <v>#N/A</v>
          </cell>
        </row>
        <row r="478">
          <cell r="E478">
            <v>808</v>
          </cell>
          <cell r="H478">
            <v>109</v>
          </cell>
          <cell r="I478">
            <v>-458</v>
          </cell>
          <cell r="J478">
            <v>5035</v>
          </cell>
          <cell r="M478">
            <v>-1368</v>
          </cell>
          <cell r="N478">
            <v>-458</v>
          </cell>
          <cell r="O478">
            <v>7835</v>
          </cell>
          <cell r="R478">
            <v>3165</v>
          </cell>
          <cell r="S478">
            <v>-458</v>
          </cell>
          <cell r="V478" t="str">
            <v>EBSC Transactional2</v>
          </cell>
          <cell r="W478" t="str">
            <v>Tools For People</v>
          </cell>
          <cell r="AA478" t="str">
            <v>[10005]  Exelon Delivery Shared ServiceEBSC TransactionalTools For People</v>
          </cell>
          <cell r="AB478" t="str">
            <v>[10005]  Exelon Delivery Shared ServiceEBSC Transactional (Tools For People)Business Services</v>
          </cell>
          <cell r="AC478" t="str">
            <v>[10005]  Exelon Delivery Shared ServiceEBSC Transactional (Tools For People)EED Executive &amp; Services (04900 - Office of EED President)</v>
          </cell>
          <cell r="AF478" t="e">
            <v>#N/A</v>
          </cell>
        </row>
        <row r="479">
          <cell r="E479">
            <v>416</v>
          </cell>
          <cell r="H479">
            <v>834</v>
          </cell>
          <cell r="I479">
            <v>-16</v>
          </cell>
          <cell r="J479">
            <v>3968</v>
          </cell>
          <cell r="M479">
            <v>1032</v>
          </cell>
          <cell r="N479">
            <v>-16</v>
          </cell>
          <cell r="O479">
            <v>7168</v>
          </cell>
          <cell r="R479">
            <v>7832</v>
          </cell>
          <cell r="S479">
            <v>-16</v>
          </cell>
          <cell r="V479" t="str">
            <v>EBSC Transactional2</v>
          </cell>
          <cell r="W479" t="str">
            <v>Passthroughs</v>
          </cell>
          <cell r="AA479" t="str">
            <v>[10005]  Exelon Delivery Shared ServiceEBSC TransactionalPassthroughs</v>
          </cell>
          <cell r="AB479" t="str">
            <v>[10005]  Exelon Delivery Shared ServiceEBSC Transactional (Passthroughs)Other Operating Expenses</v>
          </cell>
          <cell r="AC479" t="str">
            <v>[10005]  Exelon Delivery Shared ServiceEBSC Transactional (Passthroughs)EED Executive &amp; Services (04900 - Office of EED President)</v>
          </cell>
          <cell r="AF479" t="e">
            <v>#N/A</v>
          </cell>
        </row>
        <row r="480">
          <cell r="E480">
            <v>1585</v>
          </cell>
          <cell r="H480">
            <v>-1585</v>
          </cell>
          <cell r="I480">
            <v>-1585</v>
          </cell>
          <cell r="J480">
            <v>6835</v>
          </cell>
          <cell r="M480">
            <v>-6835</v>
          </cell>
          <cell r="N480">
            <v>-1585</v>
          </cell>
          <cell r="O480">
            <v>6835</v>
          </cell>
          <cell r="R480">
            <v>-6835</v>
          </cell>
          <cell r="S480">
            <v>-1585</v>
          </cell>
          <cell r="V480" t="str">
            <v>EBSC Transactional2</v>
          </cell>
          <cell r="W480" t="str">
            <v>Tools For People</v>
          </cell>
          <cell r="AA480" t="str">
            <v>[10005]  Exelon Delivery Shared ServiceEBSC TransactionalTools For People</v>
          </cell>
          <cell r="AB480" t="str">
            <v>[10005]  Exelon Delivery Shared ServiceEBSC Transactional (Tools For People)Business Services</v>
          </cell>
          <cell r="AC480" t="str">
            <v>[10005]  Exelon Delivery Shared ServiceEBSC Transactional (Tools For People)EED Executive &amp; Services (04982 - Office of VP - EED Integration)</v>
          </cell>
          <cell r="AF480" t="e">
            <v>#N/A</v>
          </cell>
        </row>
        <row r="481">
          <cell r="E481">
            <v>11</v>
          </cell>
          <cell r="H481">
            <v>-11</v>
          </cell>
          <cell r="I481">
            <v>-11</v>
          </cell>
          <cell r="J481">
            <v>2214</v>
          </cell>
          <cell r="M481">
            <v>-2214</v>
          </cell>
          <cell r="N481">
            <v>-11</v>
          </cell>
          <cell r="O481">
            <v>2214</v>
          </cell>
          <cell r="R481">
            <v>-2214</v>
          </cell>
          <cell r="S481">
            <v>-11</v>
          </cell>
          <cell r="V481" t="str">
            <v>EBSC Transactional2</v>
          </cell>
          <cell r="W481" t="str">
            <v>Passthroughs</v>
          </cell>
          <cell r="AA481" t="str">
            <v>[10005]  Exelon Delivery Shared ServiceEBSC TransactionalPassthroughs</v>
          </cell>
          <cell r="AB481" t="str">
            <v>[10005]  Exelon Delivery Shared ServiceEBSC Transactional (Passthroughs)Other Operating Expenses</v>
          </cell>
          <cell r="AC481" t="str">
            <v>[10005]  Exelon Delivery Shared ServiceEBSC Transactional (Passthroughs)EED Executive &amp; Services (04982 - Office of VP - EED Integration)</v>
          </cell>
          <cell r="AF481" t="e">
            <v>#N/A</v>
          </cell>
        </row>
        <row r="482">
          <cell r="E482">
            <v>148</v>
          </cell>
          <cell r="H482">
            <v>-148</v>
          </cell>
          <cell r="I482">
            <v>-148</v>
          </cell>
          <cell r="J482">
            <v>593</v>
          </cell>
          <cell r="M482">
            <v>-593</v>
          </cell>
          <cell r="N482">
            <v>-148</v>
          </cell>
          <cell r="O482">
            <v>593</v>
          </cell>
          <cell r="R482">
            <v>-593</v>
          </cell>
          <cell r="S482">
            <v>-148</v>
          </cell>
          <cell r="V482" t="str">
            <v>EBSC Transactional2</v>
          </cell>
          <cell r="W482" t="str">
            <v>Tools For People</v>
          </cell>
          <cell r="AA482" t="str">
            <v>[10005]  Exelon Delivery Shared ServiceEBSC TransactionalTools For People</v>
          </cell>
          <cell r="AB482" t="str">
            <v>[10005]  Exelon Delivery Shared ServiceEBSC Transactional (Tools For People)Business Services</v>
          </cell>
          <cell r="AC482" t="str">
            <v>[10005]  Exelon Delivery Shared ServiceEBSC Transactional (Tools For People)EED Executive &amp; Services (08500 - Office of the President - EED)</v>
          </cell>
          <cell r="AF482" t="e">
            <v>#N/A</v>
          </cell>
        </row>
        <row r="483">
          <cell r="E483">
            <v>21</v>
          </cell>
          <cell r="H483">
            <v>-21</v>
          </cell>
          <cell r="I483">
            <v>-21</v>
          </cell>
          <cell r="J483">
            <v>78</v>
          </cell>
          <cell r="M483">
            <v>-78</v>
          </cell>
          <cell r="N483">
            <v>-21</v>
          </cell>
          <cell r="O483">
            <v>78</v>
          </cell>
          <cell r="R483">
            <v>-78</v>
          </cell>
          <cell r="S483">
            <v>-21</v>
          </cell>
          <cell r="V483" t="str">
            <v>EBSC Transactional2</v>
          </cell>
          <cell r="W483" t="str">
            <v>Passthroughs</v>
          </cell>
          <cell r="AA483" t="str">
            <v>[10005]  Exelon Delivery Shared ServiceEBSC TransactionalPassthroughs</v>
          </cell>
          <cell r="AB483" t="str">
            <v>[10005]  Exelon Delivery Shared ServiceEBSC Transactional (Passthroughs)Other Operating Expenses</v>
          </cell>
          <cell r="AC483" t="str">
            <v>[10005]  Exelon Delivery Shared ServiceEBSC Transactional (Passthroughs)EED Executive &amp; Services (08500 - Office of the President - EED)</v>
          </cell>
          <cell r="AF483" t="e">
            <v>#N/A</v>
          </cell>
        </row>
        <row r="484">
          <cell r="E484">
            <v>120</v>
          </cell>
          <cell r="H484">
            <v>-120</v>
          </cell>
          <cell r="I484">
            <v>-120</v>
          </cell>
          <cell r="J484">
            <v>479</v>
          </cell>
          <cell r="M484">
            <v>-479</v>
          </cell>
          <cell r="N484">
            <v>-120</v>
          </cell>
          <cell r="O484">
            <v>479</v>
          </cell>
          <cell r="R484">
            <v>-479</v>
          </cell>
          <cell r="S484">
            <v>-120</v>
          </cell>
          <cell r="V484" t="str">
            <v>EBSC Transactional2</v>
          </cell>
          <cell r="W484" t="str">
            <v>Tools For People</v>
          </cell>
          <cell r="AA484" t="str">
            <v>[10005]  Exelon Delivery Shared ServiceEBSC TransactionalTools For People</v>
          </cell>
          <cell r="AB484" t="str">
            <v>[10005]  Exelon Delivery Shared ServiceEBSC Transactional (Tools For People)Business Services</v>
          </cell>
          <cell r="AC484" t="str">
            <v>[10005]  Exelon Delivery Shared ServiceEBSC Transactional (Tools For People)EED Executive &amp; Services (08502 - Ofc of Cust Strat &amp; Sys EED)</v>
          </cell>
          <cell r="AF484" t="e">
            <v>#N/A</v>
          </cell>
        </row>
        <row r="485">
          <cell r="E485">
            <v>120</v>
          </cell>
          <cell r="H485">
            <v>-120</v>
          </cell>
          <cell r="I485">
            <v>-120</v>
          </cell>
          <cell r="J485">
            <v>479</v>
          </cell>
          <cell r="M485">
            <v>-479</v>
          </cell>
          <cell r="N485">
            <v>-120</v>
          </cell>
          <cell r="O485">
            <v>479</v>
          </cell>
          <cell r="R485">
            <v>-479</v>
          </cell>
          <cell r="S485">
            <v>-120</v>
          </cell>
          <cell r="V485" t="str">
            <v>EBSC Transactional2</v>
          </cell>
          <cell r="W485" t="str">
            <v>Tools For People</v>
          </cell>
          <cell r="AA485" t="str">
            <v>[10005]  Exelon Delivery Shared ServiceEBSC TransactionalTools For People</v>
          </cell>
          <cell r="AB485" t="str">
            <v>[10005]  Exelon Delivery Shared ServiceEBSC Transactional (Tools For People)Business Services</v>
          </cell>
          <cell r="AC485" t="str">
            <v>[10005]  Exelon Delivery Shared ServiceEBSC Transactional (Tools For People)EED Executive &amp; Services (08503 - Ofc of VP Eng &amp; Tech Anal EED)</v>
          </cell>
          <cell r="AF485" t="e">
            <v>#N/A</v>
          </cell>
        </row>
        <row r="486">
          <cell r="E486">
            <v>141</v>
          </cell>
          <cell r="H486">
            <v>-141</v>
          </cell>
          <cell r="I486">
            <v>-141</v>
          </cell>
          <cell r="J486">
            <v>572</v>
          </cell>
          <cell r="M486">
            <v>-572</v>
          </cell>
          <cell r="N486">
            <v>-141</v>
          </cell>
          <cell r="O486">
            <v>572</v>
          </cell>
          <cell r="R486">
            <v>-572</v>
          </cell>
          <cell r="S486">
            <v>-141</v>
          </cell>
          <cell r="V486" t="str">
            <v>EBSC Transactional2</v>
          </cell>
          <cell r="W486" t="str">
            <v>Tools For People</v>
          </cell>
          <cell r="AA486" t="str">
            <v>[10005]  Exelon Delivery Shared ServiceEBSC TransactionalTools For People</v>
          </cell>
          <cell r="AB486" t="str">
            <v>[10005]  Exelon Delivery Shared ServiceEBSC Transactional (Tools For People)Business Services</v>
          </cell>
          <cell r="AC486" t="str">
            <v>[10005]  Exelon Delivery Shared ServiceEBSC Transactional (Tools For People)EED Executive &amp; Services (08596 - EED Office of the President)</v>
          </cell>
          <cell r="AF486" t="e">
            <v>#N/A</v>
          </cell>
        </row>
        <row r="487">
          <cell r="E487">
            <v>113</v>
          </cell>
          <cell r="H487">
            <v>-113</v>
          </cell>
          <cell r="I487">
            <v>-113</v>
          </cell>
          <cell r="J487">
            <v>174</v>
          </cell>
          <cell r="M487">
            <v>-174</v>
          </cell>
          <cell r="N487">
            <v>-113</v>
          </cell>
          <cell r="O487">
            <v>174</v>
          </cell>
          <cell r="R487">
            <v>-174</v>
          </cell>
          <cell r="S487">
            <v>-113</v>
          </cell>
          <cell r="V487" t="str">
            <v>EBSC Transactional2</v>
          </cell>
          <cell r="W487" t="str">
            <v>Passthroughs</v>
          </cell>
          <cell r="AA487" t="str">
            <v>[10005]  Exelon Delivery Shared ServiceEBSC TransactionalPassthroughs</v>
          </cell>
          <cell r="AB487" t="str">
            <v>[10005]  Exelon Delivery Shared ServiceEBSC Transactional (Passthroughs)Other Operating Expenses</v>
          </cell>
          <cell r="AC487" t="str">
            <v>[10005]  Exelon Delivery Shared ServiceEBSC Transactional (Passthroughs)EED Executive &amp; Services (08596 - EED Office of the President)</v>
          </cell>
          <cell r="AF487" t="e">
            <v>#N/A</v>
          </cell>
        </row>
        <row r="488">
          <cell r="E488">
            <v>4455</v>
          </cell>
          <cell r="H488">
            <v>-4455</v>
          </cell>
          <cell r="I488">
            <v>-4455</v>
          </cell>
          <cell r="J488">
            <v>17282</v>
          </cell>
          <cell r="M488">
            <v>-17282</v>
          </cell>
          <cell r="N488">
            <v>-4455</v>
          </cell>
          <cell r="O488">
            <v>17282</v>
          </cell>
          <cell r="R488">
            <v>-17282</v>
          </cell>
          <cell r="S488">
            <v>-4455</v>
          </cell>
          <cell r="V488" t="str">
            <v>EBSC Transactional2</v>
          </cell>
          <cell r="W488" t="str">
            <v>Tools For People</v>
          </cell>
          <cell r="AA488" t="str">
            <v>[10005]  Exelon Delivery Shared ServiceEBSC TransactionalTools For People</v>
          </cell>
          <cell r="AB488" t="str">
            <v>[10005]  Exelon Delivery Shared ServiceEBSC Transactional (Tools For People)Business Services</v>
          </cell>
          <cell r="AC488" t="str">
            <v>[10005]  Exelon Delivery Shared ServiceEBSC Transactional (Tools For People)EED Property Management (04782 - EED Property Mgmt)</v>
          </cell>
          <cell r="AF488" t="e">
            <v>#N/A</v>
          </cell>
        </row>
        <row r="489">
          <cell r="E489">
            <v>1361</v>
          </cell>
          <cell r="H489">
            <v>10022</v>
          </cell>
          <cell r="I489">
            <v>10022</v>
          </cell>
          <cell r="J489">
            <v>6580</v>
          </cell>
          <cell r="M489">
            <v>38953</v>
          </cell>
          <cell r="N489">
            <v>10022</v>
          </cell>
          <cell r="O489">
            <v>97647</v>
          </cell>
          <cell r="R489">
            <v>38953</v>
          </cell>
          <cell r="S489">
            <v>10022</v>
          </cell>
          <cell r="V489" t="str">
            <v>EBSC Transactional2</v>
          </cell>
          <cell r="W489" t="str">
            <v>Passthroughs</v>
          </cell>
          <cell r="AA489" t="str">
            <v>[10005]  Exelon Delivery Shared ServiceEBSC TransactionalPassthroughs</v>
          </cell>
          <cell r="AB489" t="str">
            <v>[10005]  Exelon Delivery Shared ServiceEBSC Transactional (Passthroughs)Other Operating Expenses</v>
          </cell>
          <cell r="AC489" t="str">
            <v>[10005]  Exelon Delivery Shared ServiceEBSC Transactional (Passthroughs)EED Property Management (04782 - EED Property Mgmt)</v>
          </cell>
          <cell r="AF489" t="e">
            <v>#N/A</v>
          </cell>
        </row>
        <row r="490">
          <cell r="E490">
            <v>65</v>
          </cell>
          <cell r="H490">
            <v>-65</v>
          </cell>
          <cell r="I490">
            <v>-384</v>
          </cell>
          <cell r="J490">
            <v>195</v>
          </cell>
          <cell r="M490">
            <v>-195</v>
          </cell>
          <cell r="N490">
            <v>-384</v>
          </cell>
          <cell r="O490">
            <v>195</v>
          </cell>
          <cell r="R490">
            <v>-195</v>
          </cell>
          <cell r="S490">
            <v>-384</v>
          </cell>
          <cell r="V490" t="str">
            <v>EBSC Transactional2</v>
          </cell>
          <cell r="W490" t="str">
            <v>Tools For People</v>
          </cell>
          <cell r="AA490" t="str">
            <v>[10005]  Exelon Delivery Shared ServiceEBSC TransactionalTools For People</v>
          </cell>
          <cell r="AB490" t="str">
            <v>[10005]  Exelon Delivery Shared ServiceEBSC Transactional (Tools For People)Business Services</v>
          </cell>
          <cell r="AC490" t="str">
            <v>[10005]  Exelon Delivery Shared ServiceEBSC Transactional (Tools For People)EED Work Management (04921 - Resource Strategy &amp; Prod. Meas)</v>
          </cell>
          <cell r="AF490" t="e">
            <v>#N/A</v>
          </cell>
        </row>
        <row r="491">
          <cell r="E491">
            <v>4</v>
          </cell>
          <cell r="H491">
            <v>-4</v>
          </cell>
          <cell r="I491">
            <v>-5</v>
          </cell>
          <cell r="J491">
            <v>8</v>
          </cell>
          <cell r="M491">
            <v>-8</v>
          </cell>
          <cell r="N491">
            <v>-5</v>
          </cell>
          <cell r="O491">
            <v>8</v>
          </cell>
          <cell r="R491">
            <v>-8</v>
          </cell>
          <cell r="S491">
            <v>-5</v>
          </cell>
          <cell r="V491" t="str">
            <v>EBSC Transactional2</v>
          </cell>
          <cell r="W491" t="str">
            <v>Passthroughs</v>
          </cell>
          <cell r="AA491" t="str">
            <v>[10005]  Exelon Delivery Shared ServiceEBSC TransactionalPassthroughs</v>
          </cell>
          <cell r="AB491" t="str">
            <v>[10005]  Exelon Delivery Shared ServiceEBSC Transactional (Passthroughs)Other Operating Expenses</v>
          </cell>
          <cell r="AC491" t="str">
            <v>[10005]  Exelon Delivery Shared ServiceEBSC Transactional (Passthroughs)EED Work Management (04921 - Resource Strategy &amp; Prod. Meas)</v>
          </cell>
          <cell r="AF491" t="e">
            <v>#N/A</v>
          </cell>
        </row>
        <row r="492">
          <cell r="E492">
            <v>2146</v>
          </cell>
          <cell r="H492">
            <v>-514</v>
          </cell>
          <cell r="I492">
            <v>-514</v>
          </cell>
          <cell r="J492">
            <v>8463</v>
          </cell>
          <cell r="M492">
            <v>-1937</v>
          </cell>
          <cell r="N492">
            <v>-514</v>
          </cell>
          <cell r="O492">
            <v>21513</v>
          </cell>
          <cell r="R492">
            <v>-1937</v>
          </cell>
          <cell r="S492">
            <v>-514</v>
          </cell>
          <cell r="V492" t="str">
            <v>EBSC Transactional2</v>
          </cell>
          <cell r="W492" t="str">
            <v>Tools For People</v>
          </cell>
          <cell r="AA492" t="str">
            <v>[10005]  Exelon Delivery Shared ServiceEBSC TransactionalTools For People</v>
          </cell>
          <cell r="AB492" t="str">
            <v>[10005]  Exelon Delivery Shared ServiceEBSC Transactional (Tools For People)Business Services</v>
          </cell>
          <cell r="AC492" t="str">
            <v>[10005]  Exelon Delivery Shared ServiceEBSC Transactional (Tools For People)EED Work Management (04927 - VP - Work Management)</v>
          </cell>
          <cell r="AF492" t="e">
            <v>#N/A</v>
          </cell>
        </row>
        <row r="493">
          <cell r="E493">
            <v>763</v>
          </cell>
          <cell r="H493">
            <v>-763</v>
          </cell>
          <cell r="I493">
            <v>-763</v>
          </cell>
          <cell r="J493">
            <v>4263</v>
          </cell>
          <cell r="M493">
            <v>-4263</v>
          </cell>
          <cell r="N493">
            <v>-763</v>
          </cell>
          <cell r="O493">
            <v>4263</v>
          </cell>
          <cell r="R493">
            <v>-4263</v>
          </cell>
          <cell r="S493">
            <v>-763</v>
          </cell>
          <cell r="V493" t="str">
            <v>EBSC Transactional2</v>
          </cell>
          <cell r="W493" t="str">
            <v>Passthroughs</v>
          </cell>
          <cell r="AA493" t="str">
            <v>[10005]  Exelon Delivery Shared ServiceEBSC TransactionalPassthroughs</v>
          </cell>
          <cell r="AB493" t="str">
            <v>[10005]  Exelon Delivery Shared ServiceEBSC Transactional (Passthroughs)Other Operating Expenses</v>
          </cell>
          <cell r="AC493" t="str">
            <v>[10005]  Exelon Delivery Shared ServiceEBSC Transactional (Passthroughs)EED Work Management (04927 - VP - Work Management)</v>
          </cell>
          <cell r="AF493" t="e">
            <v>#N/A</v>
          </cell>
        </row>
        <row r="494">
          <cell r="E494">
            <v>439</v>
          </cell>
          <cell r="H494">
            <v>661</v>
          </cell>
          <cell r="I494">
            <v>661</v>
          </cell>
          <cell r="J494">
            <v>1625</v>
          </cell>
          <cell r="M494">
            <v>2775</v>
          </cell>
          <cell r="N494">
            <v>661</v>
          </cell>
          <cell r="O494">
            <v>10425</v>
          </cell>
          <cell r="R494">
            <v>2775</v>
          </cell>
          <cell r="S494">
            <v>661</v>
          </cell>
          <cell r="V494" t="str">
            <v>EBSC Transactional2</v>
          </cell>
          <cell r="W494" t="str">
            <v>Tools For People</v>
          </cell>
          <cell r="AA494" t="str">
            <v>[10005]  Exelon Delivery Shared ServiceEBSC TransactionalTools For People</v>
          </cell>
          <cell r="AB494" t="str">
            <v>[10005]  Exelon Delivery Shared ServiceEBSC Transactional (Tools For People)Business Services</v>
          </cell>
          <cell r="AC494" t="str">
            <v>[10005]  Exelon Delivery Shared ServiceEBSC Transactional (Tools For People)EED Work Management (04928 - EED Work Control)</v>
          </cell>
          <cell r="AF494" t="e">
            <v>#N/A</v>
          </cell>
        </row>
        <row r="495">
          <cell r="E495">
            <v>3438</v>
          </cell>
          <cell r="H495">
            <v>-3438</v>
          </cell>
          <cell r="I495">
            <v>-3438</v>
          </cell>
          <cell r="J495">
            <v>16875</v>
          </cell>
          <cell r="M495">
            <v>-16875</v>
          </cell>
          <cell r="N495">
            <v>-3438</v>
          </cell>
          <cell r="O495">
            <v>16875</v>
          </cell>
          <cell r="R495">
            <v>-16875</v>
          </cell>
          <cell r="S495">
            <v>-3438</v>
          </cell>
          <cell r="V495" t="str">
            <v>EBSC Transactional2</v>
          </cell>
          <cell r="W495" t="str">
            <v>Passthroughs</v>
          </cell>
          <cell r="AA495" t="str">
            <v>[10005]  Exelon Delivery Shared ServiceEBSC TransactionalPassthroughs</v>
          </cell>
          <cell r="AB495" t="str">
            <v>[10005]  Exelon Delivery Shared ServiceEBSC Transactional (Passthroughs)Other Operating Expenses</v>
          </cell>
          <cell r="AC495" t="str">
            <v>[10005]  Exelon Delivery Shared ServiceEBSC Transactional (Passthroughs)EED Work Management (04928 - EED Work Control)</v>
          </cell>
          <cell r="AF495" t="e">
            <v>#N/A</v>
          </cell>
        </row>
        <row r="496">
          <cell r="E496">
            <v>294</v>
          </cell>
          <cell r="H496">
            <v>171</v>
          </cell>
          <cell r="I496">
            <v>171</v>
          </cell>
          <cell r="J496">
            <v>1155</v>
          </cell>
          <cell r="M496">
            <v>705</v>
          </cell>
          <cell r="N496">
            <v>171</v>
          </cell>
          <cell r="O496">
            <v>4875</v>
          </cell>
          <cell r="R496">
            <v>705</v>
          </cell>
          <cell r="S496">
            <v>171</v>
          </cell>
          <cell r="V496" t="str">
            <v>EBSC Transactional2</v>
          </cell>
          <cell r="W496" t="str">
            <v>Tools For People</v>
          </cell>
          <cell r="AA496" t="str">
            <v>[10005]  Exelon Delivery Shared ServiceEBSC TransactionalTools For People</v>
          </cell>
          <cell r="AB496" t="str">
            <v>[10005]  Exelon Delivery Shared ServiceEBSC Transactional (Tools For People)Business Services</v>
          </cell>
          <cell r="AC496" t="str">
            <v>[10005]  Exelon Delivery Shared ServiceEBSC Transactional (Tools For People)EED Work Management (04929 - EED Work Planning)</v>
          </cell>
          <cell r="AF496" t="e">
            <v>#N/A</v>
          </cell>
        </row>
        <row r="497">
          <cell r="E497">
            <v>32</v>
          </cell>
          <cell r="H497">
            <v>-32</v>
          </cell>
          <cell r="I497">
            <v>-32</v>
          </cell>
          <cell r="J497">
            <v>105</v>
          </cell>
          <cell r="M497">
            <v>-105</v>
          </cell>
          <cell r="N497">
            <v>-32</v>
          </cell>
          <cell r="O497">
            <v>105</v>
          </cell>
          <cell r="R497">
            <v>-105</v>
          </cell>
          <cell r="S497">
            <v>-32</v>
          </cell>
          <cell r="V497" t="str">
            <v>EBSC Transactional2</v>
          </cell>
          <cell r="W497" t="str">
            <v>Passthroughs</v>
          </cell>
          <cell r="AA497" t="str">
            <v>[10005]  Exelon Delivery Shared ServiceEBSC TransactionalPassthroughs</v>
          </cell>
          <cell r="AB497" t="str">
            <v>[10005]  Exelon Delivery Shared ServiceEBSC Transactional (Passthroughs)Other Operating Expenses</v>
          </cell>
          <cell r="AC497" t="str">
            <v>[10005]  Exelon Delivery Shared ServiceEBSC Transactional (Passthroughs)EED Work Management (04929 - EED Work Planning)</v>
          </cell>
          <cell r="AF497" t="e">
            <v>#N/A</v>
          </cell>
        </row>
        <row r="498">
          <cell r="E498">
            <v>208</v>
          </cell>
          <cell r="H498">
            <v>-208</v>
          </cell>
          <cell r="I498">
            <v>-208</v>
          </cell>
          <cell r="J498">
            <v>6712</v>
          </cell>
          <cell r="M498">
            <v>-6712</v>
          </cell>
          <cell r="N498">
            <v>-208</v>
          </cell>
          <cell r="O498">
            <v>6712</v>
          </cell>
          <cell r="R498">
            <v>-6712</v>
          </cell>
          <cell r="S498">
            <v>-208</v>
          </cell>
          <cell r="V498" t="str">
            <v>EBSC Transactional2</v>
          </cell>
          <cell r="W498" t="str">
            <v>Tools For People</v>
          </cell>
          <cell r="AA498" t="str">
            <v>[10005]  Exelon Delivery Shared ServiceEBSC TransactionalTools For People</v>
          </cell>
          <cell r="AB498" t="str">
            <v>[10005]  Exelon Delivery Shared ServiceEBSC Transactional (Tools For People)Business Services</v>
          </cell>
          <cell r="AC498" t="str">
            <v>[10005]  Exelon Delivery Shared ServiceEBSC Transactional (Tools For People)EED Work Management (04930 - EED Long-Range Planning)</v>
          </cell>
          <cell r="AF498" t="e">
            <v>#N/A</v>
          </cell>
        </row>
        <row r="499">
          <cell r="E499">
            <v>91</v>
          </cell>
          <cell r="H499">
            <v>-91</v>
          </cell>
          <cell r="I499">
            <v>-91</v>
          </cell>
          <cell r="J499">
            <v>964</v>
          </cell>
          <cell r="M499">
            <v>-964</v>
          </cell>
          <cell r="N499">
            <v>-91</v>
          </cell>
          <cell r="O499">
            <v>964</v>
          </cell>
          <cell r="R499">
            <v>-964</v>
          </cell>
          <cell r="S499">
            <v>-91</v>
          </cell>
          <cell r="V499" t="str">
            <v>EBSC Transactional2</v>
          </cell>
          <cell r="W499" t="str">
            <v>Passthroughs</v>
          </cell>
          <cell r="AA499" t="str">
            <v>[10005]  Exelon Delivery Shared ServiceEBSC TransactionalPassthroughs</v>
          </cell>
          <cell r="AB499" t="str">
            <v>[10005]  Exelon Delivery Shared ServiceEBSC Transactional (Passthroughs)Other Operating Expenses</v>
          </cell>
          <cell r="AC499" t="str">
            <v>[10005]  Exelon Delivery Shared ServiceEBSC Transactional (Passthroughs)EED Work Management (04930 - EED Long-Range Planning)</v>
          </cell>
          <cell r="AF499" t="e">
            <v>#N/A</v>
          </cell>
        </row>
        <row r="500">
          <cell r="E500">
            <v>35830</v>
          </cell>
          <cell r="H500">
            <v>-29680</v>
          </cell>
          <cell r="I500">
            <v>-29680</v>
          </cell>
          <cell r="J500">
            <v>58596</v>
          </cell>
          <cell r="M500">
            <v>-33996</v>
          </cell>
          <cell r="N500">
            <v>-29680</v>
          </cell>
          <cell r="O500">
            <v>67796</v>
          </cell>
          <cell r="R500">
            <v>6004</v>
          </cell>
          <cell r="S500">
            <v>10320</v>
          </cell>
          <cell r="V500" t="str">
            <v>EBSC Transactional2</v>
          </cell>
          <cell r="W500" t="str">
            <v>Tools For People</v>
          </cell>
          <cell r="AA500" t="str">
            <v>[10005]  Exelon Delivery Shared ServiceEBSC TransactionalTools For People</v>
          </cell>
          <cell r="AB500" t="str">
            <v>[10005]  Exelon Delivery Shared ServiceEBSC Transactional (Tools For People)Business Services</v>
          </cell>
          <cell r="AC500" t="str">
            <v>[10005]  Exelon Delivery Shared ServiceEBSC Transactional (Tools For People)EED Work Management (04931 - EED Work Mgmt Programs)</v>
          </cell>
          <cell r="AF500" t="e">
            <v>#N/A</v>
          </cell>
        </row>
        <row r="501">
          <cell r="E501">
            <v>1366</v>
          </cell>
          <cell r="H501">
            <v>-1366</v>
          </cell>
          <cell r="I501">
            <v>-1366</v>
          </cell>
          <cell r="J501">
            <v>6612</v>
          </cell>
          <cell r="M501">
            <v>-6612</v>
          </cell>
          <cell r="N501">
            <v>-1366</v>
          </cell>
          <cell r="O501">
            <v>6612</v>
          </cell>
          <cell r="R501">
            <v>-6612</v>
          </cell>
          <cell r="S501">
            <v>-1366</v>
          </cell>
          <cell r="V501" t="str">
            <v>EBSC Transactional2</v>
          </cell>
          <cell r="W501" t="str">
            <v>Passthroughs</v>
          </cell>
          <cell r="AA501" t="str">
            <v>[10005]  Exelon Delivery Shared ServiceEBSC TransactionalPassthroughs</v>
          </cell>
          <cell r="AB501" t="str">
            <v>[10005]  Exelon Delivery Shared ServiceEBSC Transactional (Passthroughs)Other Operating Expenses</v>
          </cell>
          <cell r="AC501" t="str">
            <v>[10005]  Exelon Delivery Shared ServiceEBSC Transactional (Passthroughs)EED Work Management (04931 - EED Work Mgmt Programs)</v>
          </cell>
          <cell r="AF501" t="e">
            <v>#N/A</v>
          </cell>
        </row>
        <row r="502">
          <cell r="E502">
            <v>1077</v>
          </cell>
          <cell r="H502">
            <v>-1077</v>
          </cell>
          <cell r="I502">
            <v>-1077</v>
          </cell>
          <cell r="J502">
            <v>4099</v>
          </cell>
          <cell r="M502">
            <v>-4099</v>
          </cell>
          <cell r="N502">
            <v>-1077</v>
          </cell>
          <cell r="O502">
            <v>4099</v>
          </cell>
          <cell r="R502">
            <v>-4099</v>
          </cell>
          <cell r="S502">
            <v>-1077</v>
          </cell>
          <cell r="V502" t="str">
            <v>EBSC Transactional2</v>
          </cell>
          <cell r="W502" t="str">
            <v>Tools For People</v>
          </cell>
          <cell r="AA502" t="str">
            <v>[10005]  Exelon Delivery Shared ServiceEBSC TransactionalTools For People</v>
          </cell>
          <cell r="AB502" t="str">
            <v>[10005]  Exelon Delivery Shared ServiceEBSC Transactional (Tools For People)Business Services</v>
          </cell>
          <cell r="AC502" t="str">
            <v>[10005]  Exelon Delivery Shared ServiceEBSC Transactional (Tools For People)Energy Acquisition EDSS (00397 - Energy Acquisition EED)</v>
          </cell>
          <cell r="AF502" t="e">
            <v>#N/A</v>
          </cell>
        </row>
        <row r="503">
          <cell r="E503">
            <v>131</v>
          </cell>
          <cell r="H503">
            <v>669</v>
          </cell>
          <cell r="I503">
            <v>669</v>
          </cell>
          <cell r="J503">
            <v>1768</v>
          </cell>
          <cell r="M503">
            <v>1432</v>
          </cell>
          <cell r="N503">
            <v>669</v>
          </cell>
          <cell r="O503">
            <v>8168</v>
          </cell>
          <cell r="R503">
            <v>1432</v>
          </cell>
          <cell r="S503">
            <v>669</v>
          </cell>
          <cell r="V503" t="str">
            <v>EBSC Transactional2</v>
          </cell>
          <cell r="W503" t="str">
            <v>Passthroughs</v>
          </cell>
          <cell r="AA503" t="str">
            <v>[10005]  Exelon Delivery Shared ServiceEBSC TransactionalPassthroughs</v>
          </cell>
          <cell r="AB503" t="str">
            <v>[10005]  Exelon Delivery Shared ServiceEBSC Transactional (Passthroughs)Other Operating Expenses</v>
          </cell>
          <cell r="AC503" t="str">
            <v>[10005]  Exelon Delivery Shared ServiceEBSC Transactional (Passthroughs)Energy Acquisition EDSS (00397 - Energy Acquisition EED)</v>
          </cell>
          <cell r="AF503" t="e">
            <v>#N/A</v>
          </cell>
        </row>
        <row r="504">
          <cell r="E504">
            <v>3010</v>
          </cell>
          <cell r="H504">
            <v>-1359</v>
          </cell>
          <cell r="I504">
            <v>-1359</v>
          </cell>
          <cell r="J504">
            <v>11221</v>
          </cell>
          <cell r="M504">
            <v>-4616</v>
          </cell>
          <cell r="N504">
            <v>-1359</v>
          </cell>
          <cell r="O504">
            <v>24431</v>
          </cell>
          <cell r="R504">
            <v>-4616</v>
          </cell>
          <cell r="S504">
            <v>-1359</v>
          </cell>
          <cell r="V504" t="str">
            <v>EBSC Transactional2</v>
          </cell>
          <cell r="W504" t="str">
            <v>Tools For People</v>
          </cell>
          <cell r="AA504" t="str">
            <v>[10005]  Exelon Delivery Shared ServiceEBSC TransactionalTools For People</v>
          </cell>
          <cell r="AB504" t="str">
            <v>[10005]  Exelon Delivery Shared ServiceEBSC Transactional (Tools For People)Business Services</v>
          </cell>
          <cell r="AC504" t="str">
            <v>[10005]  Exelon Delivery Shared ServiceEBSC Transactional (Tools For People)Engineering &amp; Sys Performance (04916 - Maintenance Programs)</v>
          </cell>
          <cell r="AF504" t="e">
            <v>#N/A</v>
          </cell>
        </row>
        <row r="505">
          <cell r="E505">
            <v>932</v>
          </cell>
          <cell r="H505">
            <v>-932</v>
          </cell>
          <cell r="I505">
            <v>-932</v>
          </cell>
          <cell r="J505">
            <v>3460</v>
          </cell>
          <cell r="M505">
            <v>-3460</v>
          </cell>
          <cell r="N505">
            <v>-932</v>
          </cell>
          <cell r="O505">
            <v>3460</v>
          </cell>
          <cell r="R505">
            <v>-3460</v>
          </cell>
          <cell r="S505">
            <v>-932</v>
          </cell>
          <cell r="V505" t="str">
            <v>EBSC Transactional2</v>
          </cell>
          <cell r="W505" t="str">
            <v>Passthroughs</v>
          </cell>
          <cell r="AA505" t="str">
            <v>[10005]  Exelon Delivery Shared ServiceEBSC TransactionalPassthroughs</v>
          </cell>
          <cell r="AB505" t="str">
            <v>[10005]  Exelon Delivery Shared ServiceEBSC Transactional (Passthroughs)Other Operating Expenses</v>
          </cell>
          <cell r="AC505" t="str">
            <v>[10005]  Exelon Delivery Shared ServiceEBSC Transactional (Passthroughs)Engineering &amp; Sys Performance (04916 - Maintenance Programs)</v>
          </cell>
          <cell r="AF505" t="e">
            <v>#N/A</v>
          </cell>
        </row>
        <row r="506">
          <cell r="E506">
            <v>2931</v>
          </cell>
          <cell r="H506">
            <v>-1473</v>
          </cell>
          <cell r="I506">
            <v>-1473</v>
          </cell>
          <cell r="J506">
            <v>11666</v>
          </cell>
          <cell r="M506">
            <v>-5834</v>
          </cell>
          <cell r="N506">
            <v>-1473</v>
          </cell>
          <cell r="O506">
            <v>23330</v>
          </cell>
          <cell r="R506">
            <v>-5834</v>
          </cell>
          <cell r="S506">
            <v>-1473</v>
          </cell>
          <cell r="V506" t="str">
            <v>EBSC Transactional2</v>
          </cell>
          <cell r="W506" t="str">
            <v>Tools For People</v>
          </cell>
          <cell r="AA506" t="str">
            <v>[10005]  Exelon Delivery Shared ServiceEBSC TransactionalTools For People</v>
          </cell>
          <cell r="AB506" t="str">
            <v>[10005]  Exelon Delivery Shared ServiceEBSC Transactional (Tools For People)Business Services</v>
          </cell>
          <cell r="AC506" t="str">
            <v>[10005]  Exelon Delivery Shared ServiceEBSC Transactional (Tools For People)Engineering &amp; Sys Performance (04917 - Reliability Programs)</v>
          </cell>
          <cell r="AF506" t="e">
            <v>#N/A</v>
          </cell>
        </row>
        <row r="507">
          <cell r="E507">
            <v>916</v>
          </cell>
          <cell r="H507">
            <v>-916</v>
          </cell>
          <cell r="I507">
            <v>-916</v>
          </cell>
          <cell r="J507">
            <v>10971</v>
          </cell>
          <cell r="M507">
            <v>-10971</v>
          </cell>
          <cell r="N507">
            <v>-916</v>
          </cell>
          <cell r="O507">
            <v>10971</v>
          </cell>
          <cell r="R507">
            <v>-10971</v>
          </cell>
          <cell r="S507">
            <v>-916</v>
          </cell>
          <cell r="V507" t="str">
            <v>EBSC Transactional2</v>
          </cell>
          <cell r="W507" t="str">
            <v>Passthroughs</v>
          </cell>
          <cell r="AA507" t="str">
            <v>[10005]  Exelon Delivery Shared ServiceEBSC TransactionalPassthroughs</v>
          </cell>
          <cell r="AB507" t="str">
            <v>[10005]  Exelon Delivery Shared ServiceEBSC Transactional (Passthroughs)Other Operating Expenses</v>
          </cell>
          <cell r="AC507" t="str">
            <v>[10005]  Exelon Delivery Shared ServiceEBSC Transactional (Passthroughs)Engineering &amp; Sys Performance (04917 - Reliability Programs)</v>
          </cell>
          <cell r="AF507" t="e">
            <v>#N/A</v>
          </cell>
        </row>
        <row r="508">
          <cell r="E508">
            <v>688</v>
          </cell>
          <cell r="H508">
            <v>-688</v>
          </cell>
          <cell r="I508">
            <v>-688</v>
          </cell>
          <cell r="J508">
            <v>3137</v>
          </cell>
          <cell r="M508">
            <v>-3137</v>
          </cell>
          <cell r="N508">
            <v>-688</v>
          </cell>
          <cell r="O508">
            <v>3137</v>
          </cell>
          <cell r="R508">
            <v>-3137</v>
          </cell>
          <cell r="S508">
            <v>-688</v>
          </cell>
          <cell r="V508" t="str">
            <v>EBSC Transactional2</v>
          </cell>
          <cell r="W508" t="str">
            <v>Tools For People</v>
          </cell>
          <cell r="AA508" t="str">
            <v>[10005]  Exelon Delivery Shared ServiceEBSC TransactionalTools For People</v>
          </cell>
          <cell r="AB508" t="str">
            <v>[10005]  Exelon Delivery Shared ServiceEBSC Transactional (Tools For People)Business Services</v>
          </cell>
          <cell r="AC508" t="str">
            <v>[10005]  Exelon Delivery Shared ServiceEBSC Transactional (Tools For People)Engineering &amp; Sys Performance (04994 - OSVP For Eng &amp; System Perf)</v>
          </cell>
          <cell r="AF508" t="e">
            <v>#N/A</v>
          </cell>
        </row>
        <row r="509">
          <cell r="E509">
            <v>906</v>
          </cell>
          <cell r="H509">
            <v>-906</v>
          </cell>
          <cell r="I509">
            <v>-906</v>
          </cell>
          <cell r="J509">
            <v>2991</v>
          </cell>
          <cell r="M509">
            <v>-2991</v>
          </cell>
          <cell r="N509">
            <v>-906</v>
          </cell>
          <cell r="O509">
            <v>2991</v>
          </cell>
          <cell r="R509">
            <v>-2991</v>
          </cell>
          <cell r="S509">
            <v>-906</v>
          </cell>
          <cell r="V509" t="str">
            <v>EBSC Transactional2</v>
          </cell>
          <cell r="W509" t="str">
            <v>Passthroughs</v>
          </cell>
          <cell r="AA509" t="str">
            <v>[10005]  Exelon Delivery Shared ServiceEBSC TransactionalPassthroughs</v>
          </cell>
          <cell r="AB509" t="str">
            <v>[10005]  Exelon Delivery Shared ServiceEBSC Transactional (Passthroughs)Other Operating Expenses</v>
          </cell>
          <cell r="AC509" t="str">
            <v>[10005]  Exelon Delivery Shared ServiceEBSC Transactional (Passthroughs)Engineering &amp; Sys Performance (04994 - OSVP For Eng &amp; System Perf)</v>
          </cell>
          <cell r="AF509" t="e">
            <v>#N/A</v>
          </cell>
        </row>
        <row r="510">
          <cell r="E510">
            <v>3184</v>
          </cell>
          <cell r="H510">
            <v>-1604</v>
          </cell>
          <cell r="I510">
            <v>-1604</v>
          </cell>
          <cell r="J510">
            <v>11453</v>
          </cell>
          <cell r="M510">
            <v>-5132</v>
          </cell>
          <cell r="N510">
            <v>-1604</v>
          </cell>
          <cell r="O510">
            <v>24096</v>
          </cell>
          <cell r="R510">
            <v>-5132</v>
          </cell>
          <cell r="S510">
            <v>-1604</v>
          </cell>
          <cell r="V510" t="str">
            <v>EBSC Transactional2</v>
          </cell>
          <cell r="W510" t="str">
            <v>Tools For People</v>
          </cell>
          <cell r="AA510" t="str">
            <v>[10005]  Exelon Delivery Shared ServiceEBSC TransactionalTools For People</v>
          </cell>
          <cell r="AB510" t="str">
            <v>[10005]  Exelon Delivery Shared ServiceEBSC Transactional (Tools For People)Business Services</v>
          </cell>
          <cell r="AC510" t="str">
            <v>[10005]  Exelon Delivery Shared ServiceEBSC Transactional (Tools For People)Engineering &amp; Sys Performance (Distribution Eng. &amp; Design)</v>
          </cell>
          <cell r="AF510" t="e">
            <v>#N/A</v>
          </cell>
        </row>
        <row r="511">
          <cell r="E511">
            <v>770</v>
          </cell>
          <cell r="H511">
            <v>-770</v>
          </cell>
          <cell r="I511">
            <v>-770</v>
          </cell>
          <cell r="J511">
            <v>4816</v>
          </cell>
          <cell r="M511">
            <v>-4816</v>
          </cell>
          <cell r="N511">
            <v>-770</v>
          </cell>
          <cell r="O511">
            <v>4816</v>
          </cell>
          <cell r="R511">
            <v>-4816</v>
          </cell>
          <cell r="S511">
            <v>-770</v>
          </cell>
          <cell r="V511" t="str">
            <v>EBSC Transactional2</v>
          </cell>
          <cell r="W511" t="str">
            <v>Passthroughs</v>
          </cell>
          <cell r="AA511" t="str">
            <v>[10005]  Exelon Delivery Shared ServiceEBSC TransactionalPassthroughs</v>
          </cell>
          <cell r="AB511" t="str">
            <v>[10005]  Exelon Delivery Shared ServiceEBSC Transactional (Passthroughs)Other Operating Expenses</v>
          </cell>
          <cell r="AC511" t="str">
            <v>[10005]  Exelon Delivery Shared ServiceEBSC Transactional (Passthroughs)Engineering &amp; Sys Performance (Distribution Eng. &amp; Design)</v>
          </cell>
          <cell r="AF511" t="e">
            <v>#N/A</v>
          </cell>
        </row>
        <row r="512">
          <cell r="E512">
            <v>2587</v>
          </cell>
          <cell r="H512">
            <v>-2342</v>
          </cell>
          <cell r="I512">
            <v>-2342</v>
          </cell>
          <cell r="J512">
            <v>8406</v>
          </cell>
          <cell r="M512">
            <v>-7425</v>
          </cell>
          <cell r="N512">
            <v>-2342</v>
          </cell>
          <cell r="O512">
            <v>10367</v>
          </cell>
          <cell r="R512">
            <v>-7425</v>
          </cell>
          <cell r="S512">
            <v>-2342</v>
          </cell>
          <cell r="V512" t="str">
            <v>EBSC Transactional2</v>
          </cell>
          <cell r="W512" t="str">
            <v>Tools For People</v>
          </cell>
          <cell r="AA512" t="str">
            <v>[10005]  Exelon Delivery Shared ServiceEBSC TransactionalTools For People</v>
          </cell>
          <cell r="AB512" t="str">
            <v>[10005]  Exelon Delivery Shared ServiceEBSC Transactional (Tools For People)Business Services</v>
          </cell>
          <cell r="AC512" t="str">
            <v>[10005]  Exelon Delivery Shared ServiceEBSC Transactional (Tools For People)Engineering &amp; Sys Performance (Mapping &amp; Doc services -EDSS)</v>
          </cell>
          <cell r="AF512" t="e">
            <v>#N/A</v>
          </cell>
        </row>
        <row r="513">
          <cell r="E513">
            <v>784</v>
          </cell>
          <cell r="H513">
            <v>-784</v>
          </cell>
          <cell r="I513">
            <v>-784</v>
          </cell>
          <cell r="J513">
            <v>2871</v>
          </cell>
          <cell r="M513">
            <v>-2871</v>
          </cell>
          <cell r="N513">
            <v>-784</v>
          </cell>
          <cell r="O513">
            <v>2871</v>
          </cell>
          <cell r="R513">
            <v>-2871</v>
          </cell>
          <cell r="S513">
            <v>-784</v>
          </cell>
          <cell r="V513" t="str">
            <v>EBSC Transactional2</v>
          </cell>
          <cell r="W513" t="str">
            <v>Passthroughs</v>
          </cell>
          <cell r="AA513" t="str">
            <v>[10005]  Exelon Delivery Shared ServiceEBSC TransactionalPassthroughs</v>
          </cell>
          <cell r="AB513" t="str">
            <v>[10005]  Exelon Delivery Shared ServiceEBSC Transactional (Passthroughs)Other Operating Expenses</v>
          </cell>
          <cell r="AC513" t="str">
            <v>[10005]  Exelon Delivery Shared ServiceEBSC Transactional (Passthroughs)Engineering &amp; Sys Performance (Mapping &amp; Doc services -EDSS)</v>
          </cell>
          <cell r="AF513" t="e">
            <v>#N/A</v>
          </cell>
        </row>
        <row r="514">
          <cell r="E514">
            <v>14941</v>
          </cell>
          <cell r="H514">
            <v>-3639</v>
          </cell>
          <cell r="I514">
            <v>-3639</v>
          </cell>
          <cell r="J514">
            <v>63257</v>
          </cell>
          <cell r="M514">
            <v>-18050</v>
          </cell>
          <cell r="N514">
            <v>-3639</v>
          </cell>
          <cell r="O514">
            <v>153671</v>
          </cell>
          <cell r="R514">
            <v>-18050</v>
          </cell>
          <cell r="S514">
            <v>-3639</v>
          </cell>
          <cell r="V514" t="str">
            <v>EBSC Transactional2</v>
          </cell>
          <cell r="W514" t="str">
            <v>Tools For People</v>
          </cell>
          <cell r="AA514" t="str">
            <v>[10005]  Exelon Delivery Shared ServiceEBSC TransactionalTools For People</v>
          </cell>
          <cell r="AB514" t="str">
            <v>[10005]  Exelon Delivery Shared ServiceEBSC Transactional (Tools For People)Business Services</v>
          </cell>
          <cell r="AC514" t="str">
            <v>[10005]  Exelon Delivery Shared ServiceEBSC Transactional (Tools For People)Engineering &amp; Sys Performance (Technical Standards &amp; Support)</v>
          </cell>
          <cell r="AF514" t="e">
            <v>#N/A</v>
          </cell>
        </row>
        <row r="515">
          <cell r="E515">
            <v>3650</v>
          </cell>
          <cell r="H515">
            <v>-3650</v>
          </cell>
          <cell r="I515">
            <v>-3650</v>
          </cell>
          <cell r="J515">
            <v>17691</v>
          </cell>
          <cell r="M515">
            <v>-17691</v>
          </cell>
          <cell r="N515">
            <v>-3650</v>
          </cell>
          <cell r="O515">
            <v>17691</v>
          </cell>
          <cell r="R515">
            <v>-17691</v>
          </cell>
          <cell r="S515">
            <v>-3650</v>
          </cell>
          <cell r="V515" t="str">
            <v>EBSC Transactional2</v>
          </cell>
          <cell r="W515" t="str">
            <v>Passthroughs</v>
          </cell>
          <cell r="AA515" t="str">
            <v>[10005]  Exelon Delivery Shared ServiceEBSC TransactionalPassthroughs</v>
          </cell>
          <cell r="AB515" t="str">
            <v>[10005]  Exelon Delivery Shared ServiceEBSC Transactional (Passthroughs)Other Operating Expenses</v>
          </cell>
          <cell r="AC515" t="str">
            <v>[10005]  Exelon Delivery Shared ServiceEBSC Transactional (Passthroughs)Engineering &amp; Sys Performance (Technical Standards &amp; Support)</v>
          </cell>
          <cell r="AF515" t="e">
            <v>#N/A</v>
          </cell>
        </row>
        <row r="516">
          <cell r="E516">
            <v>5747</v>
          </cell>
          <cell r="H516">
            <v>-1792</v>
          </cell>
          <cell r="I516">
            <v>-1792</v>
          </cell>
          <cell r="J516">
            <v>23220</v>
          </cell>
          <cell r="M516">
            <v>-7401</v>
          </cell>
          <cell r="N516">
            <v>-1792</v>
          </cell>
          <cell r="O516">
            <v>54860</v>
          </cell>
          <cell r="R516">
            <v>-7401</v>
          </cell>
          <cell r="S516">
            <v>-1792</v>
          </cell>
          <cell r="V516" t="str">
            <v>EBSC Transactional2</v>
          </cell>
          <cell r="W516" t="str">
            <v>Tools For People</v>
          </cell>
          <cell r="AA516" t="str">
            <v>[10005]  Exelon Delivery Shared ServiceEBSC TransactionalTools For People</v>
          </cell>
          <cell r="AB516" t="str">
            <v>[10005]  Exelon Delivery Shared ServiceEBSC Transactional (Tools For People)Business Services</v>
          </cell>
          <cell r="AC516" t="str">
            <v>[10005]  Exelon Delivery Shared ServiceEBSC Transactional (Tools For People)Engineering &amp; Sys Performance (T&amp;S Engineering &amp; Design)</v>
          </cell>
          <cell r="AF516" t="e">
            <v>#N/A</v>
          </cell>
        </row>
        <row r="517">
          <cell r="E517">
            <v>1415</v>
          </cell>
          <cell r="H517">
            <v>-1415</v>
          </cell>
          <cell r="I517">
            <v>-1415</v>
          </cell>
          <cell r="J517">
            <v>7858</v>
          </cell>
          <cell r="M517">
            <v>-7858</v>
          </cell>
          <cell r="N517">
            <v>-1415</v>
          </cell>
          <cell r="O517">
            <v>7858</v>
          </cell>
          <cell r="R517">
            <v>-7858</v>
          </cell>
          <cell r="S517">
            <v>-1415</v>
          </cell>
          <cell r="V517" t="str">
            <v>EBSC Transactional2</v>
          </cell>
          <cell r="W517" t="str">
            <v>Passthroughs</v>
          </cell>
          <cell r="AA517" t="str">
            <v>[10005]  Exelon Delivery Shared ServiceEBSC TransactionalPassthroughs</v>
          </cell>
          <cell r="AB517" t="str">
            <v>[10005]  Exelon Delivery Shared ServiceEBSC Transactional (Passthroughs)Other Operating Expenses</v>
          </cell>
          <cell r="AC517" t="str">
            <v>[10005]  Exelon Delivery Shared ServiceEBSC Transactional (Passthroughs)Engineering &amp; Sys Performance (T&amp;S Engineering &amp; Design)</v>
          </cell>
          <cell r="AF517" t="e">
            <v>#N/A</v>
          </cell>
        </row>
        <row r="518">
          <cell r="E518">
            <v>1593</v>
          </cell>
          <cell r="H518">
            <v>-260</v>
          </cell>
          <cell r="I518">
            <v>-260</v>
          </cell>
          <cell r="J518">
            <v>6821</v>
          </cell>
          <cell r="M518">
            <v>-1489</v>
          </cell>
          <cell r="N518">
            <v>-260</v>
          </cell>
          <cell r="O518">
            <v>17489</v>
          </cell>
          <cell r="R518">
            <v>-1489</v>
          </cell>
          <cell r="S518">
            <v>-260</v>
          </cell>
          <cell r="V518" t="str">
            <v>EBSC Transactional2</v>
          </cell>
          <cell r="W518" t="str">
            <v>Tools For People</v>
          </cell>
          <cell r="AA518" t="str">
            <v>[10005]  Exelon Delivery Shared ServiceEBSC TransactionalTools For People</v>
          </cell>
          <cell r="AB518" t="str">
            <v>[10005]  Exelon Delivery Shared ServiceEBSC Transactional (Tools For People)Business Services</v>
          </cell>
          <cell r="AC518" t="str">
            <v>[10005]  Exelon Delivery Shared ServiceEBSC Transactional (Tools For People)Envir Safety &amp; Indust Hygiene (04977 - ESIH Director)</v>
          </cell>
          <cell r="AF518" t="e">
            <v>#N/A</v>
          </cell>
        </row>
        <row r="519">
          <cell r="E519">
            <v>2163</v>
          </cell>
          <cell r="H519">
            <v>-2163</v>
          </cell>
          <cell r="I519">
            <v>-2163</v>
          </cell>
          <cell r="J519">
            <v>7294</v>
          </cell>
          <cell r="M519">
            <v>-7294</v>
          </cell>
          <cell r="N519">
            <v>-2163</v>
          </cell>
          <cell r="O519">
            <v>7294</v>
          </cell>
          <cell r="R519">
            <v>-7294</v>
          </cell>
          <cell r="S519">
            <v>-2163</v>
          </cell>
          <cell r="V519" t="str">
            <v>EBSC Transactional2</v>
          </cell>
          <cell r="W519" t="str">
            <v>Passthroughs</v>
          </cell>
          <cell r="AA519" t="str">
            <v>[10005]  Exelon Delivery Shared ServiceEBSC TransactionalPassthroughs</v>
          </cell>
          <cell r="AB519" t="str">
            <v>[10005]  Exelon Delivery Shared ServiceEBSC Transactional (Passthroughs)Other Operating Expenses</v>
          </cell>
          <cell r="AC519" t="str">
            <v>[10005]  Exelon Delivery Shared ServiceEBSC Transactional (Passthroughs)Envir Safety &amp; Indust Hygiene (04977 - ESIH Director)</v>
          </cell>
          <cell r="AF519" t="e">
            <v>#N/A</v>
          </cell>
        </row>
        <row r="520">
          <cell r="E520">
            <v>691</v>
          </cell>
          <cell r="H520">
            <v>-691</v>
          </cell>
          <cell r="I520">
            <v>-691</v>
          </cell>
          <cell r="J520">
            <v>2748</v>
          </cell>
          <cell r="M520">
            <v>-2748</v>
          </cell>
          <cell r="N520">
            <v>-691</v>
          </cell>
          <cell r="O520">
            <v>2748</v>
          </cell>
          <cell r="R520">
            <v>-2748</v>
          </cell>
          <cell r="S520">
            <v>-691</v>
          </cell>
          <cell r="V520" t="str">
            <v>EBSC Transactional2</v>
          </cell>
          <cell r="W520" t="str">
            <v>Tools For People</v>
          </cell>
          <cell r="AA520" t="str">
            <v>[10005]  Exelon Delivery Shared ServiceEBSC TransactionalTools For People</v>
          </cell>
          <cell r="AB520" t="str">
            <v>[10005]  Exelon Delivery Shared ServiceEBSC Transactional (Tools For People)Business Services</v>
          </cell>
          <cell r="AC520" t="str">
            <v>[10005]  Exelon Delivery Shared ServiceEBSC Transactional (Tools For People)New Business (04923 - Residential Underground)</v>
          </cell>
          <cell r="AF520" t="e">
            <v>#N/A</v>
          </cell>
        </row>
        <row r="521">
          <cell r="E521">
            <v>303</v>
          </cell>
          <cell r="H521">
            <v>-303</v>
          </cell>
          <cell r="I521">
            <v>-303</v>
          </cell>
          <cell r="J521">
            <v>633</v>
          </cell>
          <cell r="M521">
            <v>-633</v>
          </cell>
          <cell r="N521">
            <v>-303</v>
          </cell>
          <cell r="O521">
            <v>633</v>
          </cell>
          <cell r="R521">
            <v>-633</v>
          </cell>
          <cell r="S521">
            <v>-303</v>
          </cell>
          <cell r="V521" t="str">
            <v>EBSC Transactional2</v>
          </cell>
          <cell r="W521" t="str">
            <v>Passthroughs</v>
          </cell>
          <cell r="AA521" t="str">
            <v>[10005]  Exelon Delivery Shared ServiceEBSC TransactionalPassthroughs</v>
          </cell>
          <cell r="AB521" t="str">
            <v>[10005]  Exelon Delivery Shared ServiceEBSC Transactional (Passthroughs)Other Operating Expenses</v>
          </cell>
          <cell r="AC521" t="str">
            <v>[10005]  Exelon Delivery Shared ServiceEBSC Transactional (Passthroughs)New Business (04923 - Residential Underground)</v>
          </cell>
          <cell r="AF521" t="e">
            <v>#N/A</v>
          </cell>
        </row>
        <row r="522">
          <cell r="E522">
            <v>401</v>
          </cell>
          <cell r="H522">
            <v>-401</v>
          </cell>
          <cell r="I522">
            <v>-401</v>
          </cell>
          <cell r="J522">
            <v>1661</v>
          </cell>
          <cell r="M522">
            <v>-1661</v>
          </cell>
          <cell r="N522">
            <v>-401</v>
          </cell>
          <cell r="O522">
            <v>1661</v>
          </cell>
          <cell r="R522">
            <v>-1661</v>
          </cell>
          <cell r="S522">
            <v>-401</v>
          </cell>
          <cell r="V522" t="str">
            <v>EBSC Transactional2</v>
          </cell>
          <cell r="W522" t="str">
            <v>Tools For People</v>
          </cell>
          <cell r="AA522" t="str">
            <v>[10005]  Exelon Delivery Shared ServiceEBSC TransactionalTools For People</v>
          </cell>
          <cell r="AB522" t="str">
            <v>[10005]  Exelon Delivery Shared ServiceEBSC Transactional (Tools For People)Business Services</v>
          </cell>
          <cell r="AC522" t="str">
            <v>[10005]  Exelon Delivery Shared ServiceEBSC Transactional (Tools For People)New Business (04924 - Comm / IND / PA)</v>
          </cell>
          <cell r="AF522" t="e">
            <v>#N/A</v>
          </cell>
        </row>
        <row r="523">
          <cell r="E523">
            <v>866</v>
          </cell>
          <cell r="H523">
            <v>-866</v>
          </cell>
          <cell r="I523">
            <v>-866</v>
          </cell>
          <cell r="J523">
            <v>3835</v>
          </cell>
          <cell r="M523">
            <v>-3835</v>
          </cell>
          <cell r="N523">
            <v>-866</v>
          </cell>
          <cell r="O523">
            <v>3835</v>
          </cell>
          <cell r="R523">
            <v>-3835</v>
          </cell>
          <cell r="S523">
            <v>-866</v>
          </cell>
          <cell r="V523" t="str">
            <v>EBSC Transactional2</v>
          </cell>
          <cell r="W523" t="str">
            <v>Passthroughs</v>
          </cell>
          <cell r="AA523" t="str">
            <v>[10005]  Exelon Delivery Shared ServiceEBSC TransactionalPassthroughs</v>
          </cell>
          <cell r="AB523" t="str">
            <v>[10005]  Exelon Delivery Shared ServiceEBSC Transactional (Passthroughs)Other Operating Expenses</v>
          </cell>
          <cell r="AC523" t="str">
            <v>[10005]  Exelon Delivery Shared ServiceEBSC Transactional (Passthroughs)New Business (04924 - Comm / IND / PA)</v>
          </cell>
          <cell r="AF523" t="e">
            <v>#N/A</v>
          </cell>
        </row>
        <row r="524">
          <cell r="E524">
            <v>200</v>
          </cell>
          <cell r="H524">
            <v>-200</v>
          </cell>
          <cell r="I524">
            <v>-200</v>
          </cell>
          <cell r="J524">
            <v>1842</v>
          </cell>
          <cell r="M524">
            <v>-1842</v>
          </cell>
          <cell r="N524">
            <v>-200</v>
          </cell>
          <cell r="O524">
            <v>1842</v>
          </cell>
          <cell r="R524">
            <v>-1842</v>
          </cell>
          <cell r="S524">
            <v>-200</v>
          </cell>
          <cell r="V524" t="str">
            <v>EBSC Transactional2</v>
          </cell>
          <cell r="W524" t="str">
            <v>Tools For People</v>
          </cell>
          <cell r="AA524" t="str">
            <v>[10005]  Exelon Delivery Shared ServiceEBSC TransactionalTools For People</v>
          </cell>
          <cell r="AB524" t="str">
            <v>[10005]  Exelon Delivery Shared ServiceEBSC Transactional (Tools For People)Business Services</v>
          </cell>
          <cell r="AC524" t="str">
            <v>[10005]  Exelon Delivery Shared ServiceEBSC Transactional (Tools For People)New Business (04925 - Customer Requests)</v>
          </cell>
          <cell r="AF524" t="e">
            <v>#N/A</v>
          </cell>
        </row>
        <row r="525">
          <cell r="E525">
            <v>146</v>
          </cell>
          <cell r="H525">
            <v>-146</v>
          </cell>
          <cell r="I525">
            <v>-146</v>
          </cell>
          <cell r="J525">
            <v>336</v>
          </cell>
          <cell r="M525">
            <v>-336</v>
          </cell>
          <cell r="N525">
            <v>-146</v>
          </cell>
          <cell r="O525">
            <v>336</v>
          </cell>
          <cell r="R525">
            <v>-336</v>
          </cell>
          <cell r="S525">
            <v>-146</v>
          </cell>
          <cell r="V525" t="str">
            <v>EBSC Transactional2</v>
          </cell>
          <cell r="W525" t="str">
            <v>Passthroughs</v>
          </cell>
          <cell r="AA525" t="str">
            <v>[10005]  Exelon Delivery Shared ServiceEBSC TransactionalPassthroughs</v>
          </cell>
          <cell r="AB525" t="str">
            <v>[10005]  Exelon Delivery Shared ServiceEBSC Transactional (Passthroughs)Other Operating Expenses</v>
          </cell>
          <cell r="AC525" t="str">
            <v>[10005]  Exelon Delivery Shared ServiceEBSC Transactional (Passthroughs)New Business (04925 - Customer Requests)</v>
          </cell>
          <cell r="AF525" t="e">
            <v>#N/A</v>
          </cell>
        </row>
        <row r="526">
          <cell r="E526">
            <v>1678</v>
          </cell>
          <cell r="H526">
            <v>354</v>
          </cell>
          <cell r="I526">
            <v>354</v>
          </cell>
          <cell r="J526">
            <v>7487</v>
          </cell>
          <cell r="M526">
            <v>641</v>
          </cell>
          <cell r="N526">
            <v>354</v>
          </cell>
          <cell r="O526">
            <v>25289</v>
          </cell>
          <cell r="R526">
            <v>-905</v>
          </cell>
          <cell r="S526">
            <v>354</v>
          </cell>
          <cell r="V526" t="str">
            <v>EBSC Transactional2</v>
          </cell>
          <cell r="W526" t="str">
            <v>Tools For People</v>
          </cell>
          <cell r="AA526" t="str">
            <v>[10005]  Exelon Delivery Shared ServiceEBSC TransactionalTools For People</v>
          </cell>
          <cell r="AB526" t="str">
            <v>[10005]  Exelon Delivery Shared ServiceEBSC Transactional (Tools For People)Business Services</v>
          </cell>
          <cell r="AC526" t="str">
            <v>[10005]  Exelon Delivery Shared ServiceEBSC Transactional (Tools For People)New Business (04926 - Performance Metrics)</v>
          </cell>
          <cell r="AF526" t="e">
            <v>#N/A</v>
          </cell>
        </row>
        <row r="527">
          <cell r="E527">
            <v>763</v>
          </cell>
          <cell r="H527">
            <v>-763</v>
          </cell>
          <cell r="I527">
            <v>-763</v>
          </cell>
          <cell r="J527">
            <v>7669</v>
          </cell>
          <cell r="M527">
            <v>-7669</v>
          </cell>
          <cell r="N527">
            <v>-763</v>
          </cell>
          <cell r="O527">
            <v>7669</v>
          </cell>
          <cell r="R527">
            <v>-7669</v>
          </cell>
          <cell r="S527">
            <v>-763</v>
          </cell>
          <cell r="V527" t="str">
            <v>EBSC Transactional2</v>
          </cell>
          <cell r="W527" t="str">
            <v>Passthroughs</v>
          </cell>
          <cell r="AA527" t="str">
            <v>[10005]  Exelon Delivery Shared ServiceEBSC TransactionalPassthroughs</v>
          </cell>
          <cell r="AB527" t="str">
            <v>[10005]  Exelon Delivery Shared ServiceEBSC Transactional (Passthroughs)Other Operating Expenses</v>
          </cell>
          <cell r="AC527" t="str">
            <v>[10005]  Exelon Delivery Shared ServiceEBSC Transactional (Passthroughs)New Business (04926 - Performance Metrics)</v>
          </cell>
          <cell r="AF527" t="e">
            <v>#N/A</v>
          </cell>
        </row>
        <row r="528">
          <cell r="E528">
            <v>251</v>
          </cell>
          <cell r="H528">
            <v>2339</v>
          </cell>
          <cell r="I528">
            <v>2339</v>
          </cell>
          <cell r="J528">
            <v>1025</v>
          </cell>
          <cell r="M528">
            <v>9336</v>
          </cell>
          <cell r="N528">
            <v>2339</v>
          </cell>
          <cell r="O528">
            <v>21747</v>
          </cell>
          <cell r="R528">
            <v>9336</v>
          </cell>
          <cell r="S528">
            <v>2339</v>
          </cell>
          <cell r="V528" t="str">
            <v>EBSC Transactional2</v>
          </cell>
          <cell r="W528" t="str">
            <v>Tools For People</v>
          </cell>
          <cell r="AA528" t="str">
            <v>[10005]  Exelon Delivery Shared ServiceEBSC TransactionalTools For People</v>
          </cell>
          <cell r="AB528" t="str">
            <v>[10005]  Exelon Delivery Shared ServiceEBSC Transactional (Tools For People)Business Services</v>
          </cell>
          <cell r="AC528" t="str">
            <v>[10005]  Exelon Delivery Shared ServiceEBSC Transactional (Tools For People)New Business (04990 - OSVP for New Business - EDSS)</v>
          </cell>
          <cell r="AF528" t="e">
            <v>#N/A</v>
          </cell>
        </row>
        <row r="529">
          <cell r="E529">
            <v>113</v>
          </cell>
          <cell r="H529">
            <v>-113</v>
          </cell>
          <cell r="I529">
            <v>-113</v>
          </cell>
          <cell r="J529">
            <v>722</v>
          </cell>
          <cell r="M529">
            <v>-722</v>
          </cell>
          <cell r="N529">
            <v>-113</v>
          </cell>
          <cell r="O529">
            <v>722</v>
          </cell>
          <cell r="R529">
            <v>-722</v>
          </cell>
          <cell r="S529">
            <v>-113</v>
          </cell>
          <cell r="V529" t="str">
            <v>EBSC Transactional2</v>
          </cell>
          <cell r="W529" t="str">
            <v>Passthroughs</v>
          </cell>
          <cell r="AA529" t="str">
            <v>[10005]  Exelon Delivery Shared ServiceEBSC TransactionalPassthroughs</v>
          </cell>
          <cell r="AB529" t="str">
            <v>[10005]  Exelon Delivery Shared ServiceEBSC Transactional (Passthroughs)Other Operating Expenses</v>
          </cell>
          <cell r="AC529" t="str">
            <v>[10005]  Exelon Delivery Shared ServiceEBSC Transactional (Passthroughs)New Business (04990 - OSVP for New Business - EDSS)</v>
          </cell>
          <cell r="AF529" t="e">
            <v>#N/A</v>
          </cell>
        </row>
        <row r="530">
          <cell r="E530">
            <v>896</v>
          </cell>
          <cell r="H530">
            <v>224</v>
          </cell>
          <cell r="I530">
            <v>104</v>
          </cell>
          <cell r="J530">
            <v>3327</v>
          </cell>
          <cell r="M530">
            <v>1154</v>
          </cell>
          <cell r="N530">
            <v>104</v>
          </cell>
          <cell r="O530">
            <v>11327</v>
          </cell>
          <cell r="R530">
            <v>2117</v>
          </cell>
          <cell r="S530">
            <v>104</v>
          </cell>
          <cell r="V530" t="str">
            <v>EBSC Transactional2</v>
          </cell>
          <cell r="W530" t="str">
            <v>Tools For People</v>
          </cell>
          <cell r="AA530" t="str">
            <v>[10005]  Exelon Delivery Shared ServiceEBSC TransactionalTools For People</v>
          </cell>
          <cell r="AB530" t="str">
            <v>[10005]  Exelon Delivery Shared ServiceEBSC Transactional (Tools For People)Business Services</v>
          </cell>
          <cell r="AC530" t="str">
            <v>[10005]  Exelon Delivery Shared ServiceEBSC Transactional (Tools For People)OFC of SVP Operations (04901 - EED Operations)</v>
          </cell>
          <cell r="AF530" t="e">
            <v>#N/A</v>
          </cell>
        </row>
        <row r="531">
          <cell r="E531">
            <v>2143</v>
          </cell>
          <cell r="H531">
            <v>-2143</v>
          </cell>
          <cell r="I531">
            <v>-2143</v>
          </cell>
          <cell r="J531">
            <v>5817</v>
          </cell>
          <cell r="M531">
            <v>-5817</v>
          </cell>
          <cell r="N531">
            <v>-2143</v>
          </cell>
          <cell r="O531">
            <v>5817</v>
          </cell>
          <cell r="R531">
            <v>-5817</v>
          </cell>
          <cell r="S531">
            <v>-2143</v>
          </cell>
          <cell r="V531" t="str">
            <v>EBSC Transactional2</v>
          </cell>
          <cell r="W531" t="str">
            <v>Passthroughs</v>
          </cell>
          <cell r="AA531" t="str">
            <v>[10005]  Exelon Delivery Shared ServiceEBSC TransactionalPassthroughs</v>
          </cell>
          <cell r="AB531" t="str">
            <v>[10005]  Exelon Delivery Shared ServiceEBSC Transactional (Passthroughs)Other Operating Expenses</v>
          </cell>
          <cell r="AC531" t="str">
            <v>[10005]  Exelon Delivery Shared ServiceEBSC Transactional (Passthroughs)OFC of SVP Operations (04901 - EED Operations)</v>
          </cell>
          <cell r="AF531" t="e">
            <v>#N/A</v>
          </cell>
        </row>
        <row r="532">
          <cell r="E532">
            <v>725</v>
          </cell>
          <cell r="H532">
            <v>12</v>
          </cell>
          <cell r="I532">
            <v>12</v>
          </cell>
          <cell r="J532">
            <v>3073</v>
          </cell>
          <cell r="M532">
            <v>-122</v>
          </cell>
          <cell r="N532">
            <v>12</v>
          </cell>
          <cell r="O532">
            <v>8975</v>
          </cell>
          <cell r="R532">
            <v>-122</v>
          </cell>
          <cell r="S532">
            <v>12</v>
          </cell>
          <cell r="V532" t="str">
            <v>EBSC Transactional2</v>
          </cell>
          <cell r="W532" t="str">
            <v>Tools For People</v>
          </cell>
          <cell r="AA532" t="str">
            <v>[10005]  Exelon Delivery Shared ServiceEBSC TransactionalTools For People</v>
          </cell>
          <cell r="AB532" t="str">
            <v>[10005]  Exelon Delivery Shared ServiceEBSC Transactional (Tools For People)Business Services</v>
          </cell>
          <cell r="AC532" t="str">
            <v>[10005]  Exelon Delivery Shared ServiceEBSC Transactional (Tools For People)OFC of SVP Technical Services (04914 - OSRVP Technical Services)</v>
          </cell>
          <cell r="AF532" t="e">
            <v>#N/A</v>
          </cell>
        </row>
        <row r="533">
          <cell r="E533">
            <v>507</v>
          </cell>
          <cell r="H533">
            <v>-507</v>
          </cell>
          <cell r="I533">
            <v>-507</v>
          </cell>
          <cell r="J533">
            <v>2210</v>
          </cell>
          <cell r="M533">
            <v>-2210</v>
          </cell>
          <cell r="N533">
            <v>-507</v>
          </cell>
          <cell r="O533">
            <v>2210</v>
          </cell>
          <cell r="R533">
            <v>-2210</v>
          </cell>
          <cell r="S533">
            <v>-507</v>
          </cell>
          <cell r="V533" t="str">
            <v>EBSC Transactional2</v>
          </cell>
          <cell r="W533" t="str">
            <v>Passthroughs</v>
          </cell>
          <cell r="AA533" t="str">
            <v>[10005]  Exelon Delivery Shared ServiceEBSC TransactionalPassthroughs</v>
          </cell>
          <cell r="AB533" t="str">
            <v>[10005]  Exelon Delivery Shared ServiceEBSC Transactional (Passthroughs)Other Operating Expenses</v>
          </cell>
          <cell r="AC533" t="str">
            <v>[10005]  Exelon Delivery Shared ServiceEBSC Transactional (Passthroughs)OFC of SVP Technical Services (04914 - OSRVP Technical Services)</v>
          </cell>
          <cell r="AF533" t="e">
            <v>#N/A</v>
          </cell>
        </row>
        <row r="534">
          <cell r="E534">
            <v>813</v>
          </cell>
          <cell r="H534">
            <v>-213</v>
          </cell>
          <cell r="I534">
            <v>-213</v>
          </cell>
          <cell r="J534">
            <v>3947</v>
          </cell>
          <cell r="M534">
            <v>-1547</v>
          </cell>
          <cell r="N534">
            <v>-213</v>
          </cell>
          <cell r="O534">
            <v>8747</v>
          </cell>
          <cell r="R534">
            <v>-1547</v>
          </cell>
          <cell r="S534">
            <v>-213</v>
          </cell>
          <cell r="V534" t="str">
            <v>EBSC Transactional2</v>
          </cell>
          <cell r="W534" t="str">
            <v>Tools For People</v>
          </cell>
          <cell r="AA534" t="str">
            <v>[10005]  Exelon Delivery Shared ServiceEBSC TransactionalTools For People</v>
          </cell>
          <cell r="AB534" t="str">
            <v>[10005]  Exelon Delivery Shared ServiceEBSC Transactional (Tools For People)Business Services</v>
          </cell>
          <cell r="AC534" t="str">
            <v>[10005]  Exelon Delivery Shared ServiceEBSC Transactional (Tools For People)Performance Improvement (04911 - Performance Improvement)</v>
          </cell>
          <cell r="AF534" t="e">
            <v>#N/A</v>
          </cell>
        </row>
        <row r="535">
          <cell r="E535">
            <v>1761</v>
          </cell>
          <cell r="H535">
            <v>-1761</v>
          </cell>
          <cell r="I535">
            <v>-1761</v>
          </cell>
          <cell r="J535">
            <v>9272</v>
          </cell>
          <cell r="M535">
            <v>-9272</v>
          </cell>
          <cell r="N535">
            <v>-1761</v>
          </cell>
          <cell r="O535">
            <v>9272</v>
          </cell>
          <cell r="R535">
            <v>-9272</v>
          </cell>
          <cell r="S535">
            <v>-1761</v>
          </cell>
          <cell r="V535" t="str">
            <v>EBSC Transactional2</v>
          </cell>
          <cell r="W535" t="str">
            <v>Passthroughs</v>
          </cell>
          <cell r="AA535" t="str">
            <v>[10005]  Exelon Delivery Shared ServiceEBSC TransactionalPassthroughs</v>
          </cell>
          <cell r="AB535" t="str">
            <v>[10005]  Exelon Delivery Shared ServiceEBSC Transactional (Passthroughs)Other Operating Expenses</v>
          </cell>
          <cell r="AC535" t="str">
            <v>[10005]  Exelon Delivery Shared ServiceEBSC Transactional (Passthroughs)Performance Improvement (04911 - Performance Improvement)</v>
          </cell>
          <cell r="AF535" t="e">
            <v>#N/A</v>
          </cell>
        </row>
        <row r="536">
          <cell r="E536">
            <v>1881</v>
          </cell>
          <cell r="H536">
            <v>519</v>
          </cell>
          <cell r="I536">
            <v>519</v>
          </cell>
          <cell r="J536">
            <v>7338</v>
          </cell>
          <cell r="M536">
            <v>2262</v>
          </cell>
          <cell r="N536">
            <v>519</v>
          </cell>
          <cell r="O536">
            <v>26538</v>
          </cell>
          <cell r="R536">
            <v>2262</v>
          </cell>
          <cell r="S536">
            <v>519</v>
          </cell>
          <cell r="V536" t="str">
            <v>EBSC Transactional2</v>
          </cell>
          <cell r="W536" t="str">
            <v>Tools For People</v>
          </cell>
          <cell r="AA536" t="str">
            <v>[10005]  Exelon Delivery Shared ServiceEBSC TransactionalTools For People</v>
          </cell>
          <cell r="AB536" t="str">
            <v>[10005]  Exelon Delivery Shared ServiceEBSC Transactional (Tools For People)Business Services</v>
          </cell>
          <cell r="AC536" t="str">
            <v>[10005]  Exelon Delivery Shared ServiceEBSC Transactional (Tools For People)Performance Improvement (04912 - Performance Assessment)</v>
          </cell>
          <cell r="AF536" t="e">
            <v>#N/A</v>
          </cell>
        </row>
        <row r="537">
          <cell r="E537">
            <v>1488</v>
          </cell>
          <cell r="H537">
            <v>-1488</v>
          </cell>
          <cell r="I537">
            <v>-1488</v>
          </cell>
          <cell r="J537">
            <v>6730</v>
          </cell>
          <cell r="M537">
            <v>-6730</v>
          </cell>
          <cell r="N537">
            <v>-1488</v>
          </cell>
          <cell r="O537">
            <v>6730</v>
          </cell>
          <cell r="R537">
            <v>-6730</v>
          </cell>
          <cell r="S537">
            <v>-1488</v>
          </cell>
          <cell r="V537" t="str">
            <v>EBSC Transactional2</v>
          </cell>
          <cell r="W537" t="str">
            <v>Passthroughs</v>
          </cell>
          <cell r="AA537" t="str">
            <v>[10005]  Exelon Delivery Shared ServiceEBSC TransactionalPassthroughs</v>
          </cell>
          <cell r="AB537" t="str">
            <v>[10005]  Exelon Delivery Shared ServiceEBSC Transactional (Passthroughs)Other Operating Expenses</v>
          </cell>
          <cell r="AC537" t="str">
            <v>[10005]  Exelon Delivery Shared ServiceEBSC Transactional (Passthroughs)Performance Improvement (04912 - Performance Assessment)</v>
          </cell>
          <cell r="AF537" t="e">
            <v>#N/A</v>
          </cell>
        </row>
        <row r="538">
          <cell r="E538">
            <v>1431</v>
          </cell>
          <cell r="H538">
            <v>169</v>
          </cell>
          <cell r="I538">
            <v>169</v>
          </cell>
          <cell r="J538">
            <v>6825</v>
          </cell>
          <cell r="M538">
            <v>-225</v>
          </cell>
          <cell r="N538">
            <v>169</v>
          </cell>
          <cell r="O538">
            <v>22225</v>
          </cell>
          <cell r="R538">
            <v>-225</v>
          </cell>
          <cell r="S538">
            <v>169</v>
          </cell>
          <cell r="V538" t="str">
            <v>EBSC Transactional2</v>
          </cell>
          <cell r="W538" t="str">
            <v>Tools For People</v>
          </cell>
          <cell r="AA538" t="str">
            <v>[10005]  Exelon Delivery Shared ServiceEBSC TransactionalTools For People</v>
          </cell>
          <cell r="AB538" t="str">
            <v>[10005]  Exelon Delivery Shared ServiceEBSC Transactional (Tools For People)Business Services</v>
          </cell>
          <cell r="AC538" t="str">
            <v>[10005]  Exelon Delivery Shared ServiceEBSC Transactional (Tools For People)Performance Improvement (04913 - Business Process Improvement)</v>
          </cell>
          <cell r="AF538" t="e">
            <v>#N/A</v>
          </cell>
        </row>
        <row r="539">
          <cell r="E539">
            <v>2763</v>
          </cell>
          <cell r="H539">
            <v>-2763</v>
          </cell>
          <cell r="I539">
            <v>-2763</v>
          </cell>
          <cell r="J539">
            <v>8881</v>
          </cell>
          <cell r="M539">
            <v>-8881</v>
          </cell>
          <cell r="N539">
            <v>-2763</v>
          </cell>
          <cell r="O539">
            <v>8881</v>
          </cell>
          <cell r="R539">
            <v>-8881</v>
          </cell>
          <cell r="S539">
            <v>-2763</v>
          </cell>
          <cell r="V539" t="str">
            <v>EBSC Transactional2</v>
          </cell>
          <cell r="W539" t="str">
            <v>Passthroughs</v>
          </cell>
          <cell r="AA539" t="str">
            <v>[10005]  Exelon Delivery Shared ServiceEBSC TransactionalPassthroughs</v>
          </cell>
          <cell r="AB539" t="str">
            <v>[10005]  Exelon Delivery Shared ServiceEBSC Transactional (Passthroughs)Other Operating Expenses</v>
          </cell>
          <cell r="AC539" t="str">
            <v>[10005]  Exelon Delivery Shared ServiceEBSC Transactional (Passthroughs)Performance Improvement (04913 - Business Process Improvement)</v>
          </cell>
          <cell r="AF539" t="e">
            <v>#N/A</v>
          </cell>
        </row>
        <row r="540">
          <cell r="E540">
            <v>824</v>
          </cell>
          <cell r="H540">
            <v>222</v>
          </cell>
          <cell r="I540">
            <v>222</v>
          </cell>
          <cell r="J540">
            <v>3393</v>
          </cell>
          <cell r="M540">
            <v>792</v>
          </cell>
          <cell r="N540">
            <v>222</v>
          </cell>
          <cell r="O540">
            <v>11763</v>
          </cell>
          <cell r="R540">
            <v>792</v>
          </cell>
          <cell r="S540">
            <v>222</v>
          </cell>
          <cell r="V540" t="str">
            <v>EBSC Transactional2</v>
          </cell>
          <cell r="W540" t="str">
            <v>Tools For People</v>
          </cell>
          <cell r="AA540" t="str">
            <v>[10005]  Exelon Delivery Shared ServiceEBSC TransactionalTools For People</v>
          </cell>
          <cell r="AB540" t="str">
            <v>[10005]  Exelon Delivery Shared ServiceEBSC Transactional (Tools For People)Business Services</v>
          </cell>
          <cell r="AC540" t="str">
            <v>[10005]  Exelon Delivery Shared ServiceEBSC Transactional (Tools For People)Project &amp; Contract Management (04966 - OVP for PC_M &amp; Admin)</v>
          </cell>
          <cell r="AF540" t="e">
            <v>#N/A</v>
          </cell>
        </row>
        <row r="541">
          <cell r="E541">
            <v>540</v>
          </cell>
          <cell r="H541">
            <v>-540</v>
          </cell>
          <cell r="I541">
            <v>-540</v>
          </cell>
          <cell r="J541">
            <v>2932</v>
          </cell>
          <cell r="M541">
            <v>-2932</v>
          </cell>
          <cell r="N541">
            <v>-540</v>
          </cell>
          <cell r="O541">
            <v>2932</v>
          </cell>
          <cell r="R541">
            <v>-2932</v>
          </cell>
          <cell r="S541">
            <v>-540</v>
          </cell>
          <cell r="V541" t="str">
            <v>EBSC Transactional2</v>
          </cell>
          <cell r="W541" t="str">
            <v>Passthroughs</v>
          </cell>
          <cell r="AA541" t="str">
            <v>[10005]  Exelon Delivery Shared ServiceEBSC TransactionalPassthroughs</v>
          </cell>
          <cell r="AB541" t="str">
            <v>[10005]  Exelon Delivery Shared ServiceEBSC Transactional (Passthroughs)Other Operating Expenses</v>
          </cell>
          <cell r="AC541" t="str">
            <v>[10005]  Exelon Delivery Shared ServiceEBSC Transactional (Passthroughs)Project &amp; Contract Management (04966 - OVP for PC_M &amp; Admin)</v>
          </cell>
          <cell r="AF541" t="e">
            <v>#N/A</v>
          </cell>
        </row>
        <row r="542">
          <cell r="E542">
            <v>1458</v>
          </cell>
          <cell r="H542">
            <v>105</v>
          </cell>
          <cell r="I542">
            <v>105</v>
          </cell>
          <cell r="J542">
            <v>5762</v>
          </cell>
          <cell r="M542">
            <v>489</v>
          </cell>
          <cell r="N542">
            <v>105</v>
          </cell>
          <cell r="O542">
            <v>18263</v>
          </cell>
          <cell r="R542">
            <v>489</v>
          </cell>
          <cell r="S542">
            <v>105</v>
          </cell>
          <cell r="V542" t="str">
            <v>EBSC Transactional2</v>
          </cell>
          <cell r="W542" t="str">
            <v>Tools For People</v>
          </cell>
          <cell r="AA542" t="str">
            <v>[10005]  Exelon Delivery Shared ServiceEBSC TransactionalTools For People</v>
          </cell>
          <cell r="AB542" t="str">
            <v>[10005]  Exelon Delivery Shared ServiceEBSC Transactional (Tools For People)Business Services</v>
          </cell>
          <cell r="AC542" t="str">
            <v>[10005]  Exelon Delivery Shared ServiceEBSC Transactional (Tools For People)Project &amp; Contract Management (04967 - Vegetation Mgmt Admin)</v>
          </cell>
          <cell r="AF542" t="e">
            <v>#N/A</v>
          </cell>
        </row>
        <row r="543">
          <cell r="E543">
            <v>567</v>
          </cell>
          <cell r="H543">
            <v>-567</v>
          </cell>
          <cell r="I543">
            <v>-567</v>
          </cell>
          <cell r="J543">
            <v>2600</v>
          </cell>
          <cell r="M543">
            <v>-2600</v>
          </cell>
          <cell r="N543">
            <v>-567</v>
          </cell>
          <cell r="O543">
            <v>2600</v>
          </cell>
          <cell r="R543">
            <v>-2600</v>
          </cell>
          <cell r="S543">
            <v>-567</v>
          </cell>
          <cell r="V543" t="str">
            <v>EBSC Transactional2</v>
          </cell>
          <cell r="W543" t="str">
            <v>Passthroughs</v>
          </cell>
          <cell r="AA543" t="str">
            <v>[10005]  Exelon Delivery Shared ServiceEBSC TransactionalPassthroughs</v>
          </cell>
          <cell r="AB543" t="str">
            <v>[10005]  Exelon Delivery Shared ServiceEBSC Transactional (Passthroughs)Other Operating Expenses</v>
          </cell>
          <cell r="AC543" t="str">
            <v>[10005]  Exelon Delivery Shared ServiceEBSC Transactional (Passthroughs)Project &amp; Contract Management (04967 - Vegetation Mgmt Admin)</v>
          </cell>
          <cell r="AF543" t="e">
            <v>#N/A</v>
          </cell>
        </row>
        <row r="544">
          <cell r="E544">
            <v>4485</v>
          </cell>
          <cell r="H544">
            <v>-2730</v>
          </cell>
          <cell r="I544">
            <v>-2730</v>
          </cell>
          <cell r="J544">
            <v>18530</v>
          </cell>
          <cell r="M544">
            <v>-11510</v>
          </cell>
          <cell r="N544">
            <v>-2730</v>
          </cell>
          <cell r="O544">
            <v>32570</v>
          </cell>
          <cell r="R544">
            <v>-11510</v>
          </cell>
          <cell r="S544">
            <v>-2730</v>
          </cell>
          <cell r="V544" t="str">
            <v>EBSC Transactional2</v>
          </cell>
          <cell r="W544" t="str">
            <v>Tools For People</v>
          </cell>
          <cell r="AA544" t="str">
            <v>[10005]  Exelon Delivery Shared ServiceEBSC TransactionalTools For People</v>
          </cell>
          <cell r="AB544" t="str">
            <v>[10005]  Exelon Delivery Shared ServiceEBSC Transactional (Tools For People)Business Services</v>
          </cell>
          <cell r="AC544" t="str">
            <v>[10005]  Exelon Delivery Shared ServiceEBSC Transactional (Tools For People)Project &amp; Contract Management (04968 - EED Project Controls)</v>
          </cell>
          <cell r="AF544" t="e">
            <v>#N/A</v>
          </cell>
        </row>
        <row r="545">
          <cell r="E545">
            <v>461</v>
          </cell>
          <cell r="H545">
            <v>-461</v>
          </cell>
          <cell r="I545">
            <v>-461</v>
          </cell>
          <cell r="J545">
            <v>2198</v>
          </cell>
          <cell r="M545">
            <v>-2198</v>
          </cell>
          <cell r="N545">
            <v>-461</v>
          </cell>
          <cell r="O545">
            <v>2198</v>
          </cell>
          <cell r="R545">
            <v>-2198</v>
          </cell>
          <cell r="S545">
            <v>-461</v>
          </cell>
          <cell r="V545" t="str">
            <v>EBSC Transactional2</v>
          </cell>
          <cell r="W545" t="str">
            <v>Passthroughs</v>
          </cell>
          <cell r="AA545" t="str">
            <v>[10005]  Exelon Delivery Shared ServiceEBSC TransactionalPassthroughs</v>
          </cell>
          <cell r="AB545" t="str">
            <v>[10005]  Exelon Delivery Shared ServiceEBSC Transactional (Passthroughs)Other Operating Expenses</v>
          </cell>
          <cell r="AC545" t="str">
            <v>[10005]  Exelon Delivery Shared ServiceEBSC Transactional (Passthroughs)Project &amp; Contract Management (04968 - EED Project Controls)</v>
          </cell>
          <cell r="AF545" t="e">
            <v>#N/A</v>
          </cell>
        </row>
        <row r="546">
          <cell r="E546">
            <v>2584</v>
          </cell>
          <cell r="H546">
            <v>-2584</v>
          </cell>
          <cell r="I546">
            <v>-2584</v>
          </cell>
          <cell r="J546">
            <v>6344</v>
          </cell>
          <cell r="M546">
            <v>-6344</v>
          </cell>
          <cell r="N546">
            <v>-2584</v>
          </cell>
          <cell r="O546">
            <v>6344</v>
          </cell>
          <cell r="R546">
            <v>-6344</v>
          </cell>
          <cell r="S546">
            <v>-2584</v>
          </cell>
          <cell r="V546" t="str">
            <v>EBSC Transactional2</v>
          </cell>
          <cell r="W546" t="str">
            <v>Tools For People</v>
          </cell>
          <cell r="AA546" t="str">
            <v>[10005]  Exelon Delivery Shared ServiceEBSC TransactionalTools For People</v>
          </cell>
          <cell r="AB546" t="str">
            <v>[10005]  Exelon Delivery Shared ServiceEBSC Transactional (Tools For People)Business Services</v>
          </cell>
          <cell r="AC546" t="str">
            <v>[10005]  Exelon Delivery Shared ServiceEBSC Transactional (Tools For People)Project &amp; Contract Management (04995 - Contract Controls &amp; Perf Mgmt)</v>
          </cell>
          <cell r="AF546" t="e">
            <v>#N/A</v>
          </cell>
        </row>
        <row r="547">
          <cell r="E547">
            <v>1526</v>
          </cell>
          <cell r="H547">
            <v>-1526</v>
          </cell>
          <cell r="I547">
            <v>-1526</v>
          </cell>
          <cell r="J547">
            <v>3663</v>
          </cell>
          <cell r="M547">
            <v>-3663</v>
          </cell>
          <cell r="N547">
            <v>-1526</v>
          </cell>
          <cell r="O547">
            <v>3663</v>
          </cell>
          <cell r="R547">
            <v>-3663</v>
          </cell>
          <cell r="S547">
            <v>-1526</v>
          </cell>
          <cell r="V547" t="str">
            <v>EBSC Transactional2</v>
          </cell>
          <cell r="W547" t="str">
            <v>Passthroughs</v>
          </cell>
          <cell r="AA547" t="str">
            <v>[10005]  Exelon Delivery Shared ServiceEBSC TransactionalPassthroughs</v>
          </cell>
          <cell r="AB547" t="str">
            <v>[10005]  Exelon Delivery Shared ServiceEBSC Transactional (Passthroughs)Other Operating Expenses</v>
          </cell>
          <cell r="AC547" t="str">
            <v>[10005]  Exelon Delivery Shared ServiceEBSC Transactional (Passthroughs)Project &amp; Contract Management (04995 - Contract Controls &amp; Perf Mgmt)</v>
          </cell>
          <cell r="AF547" t="e">
            <v>#N/A</v>
          </cell>
        </row>
        <row r="548">
          <cell r="E548">
            <v>82</v>
          </cell>
          <cell r="H548">
            <v>-82</v>
          </cell>
          <cell r="I548">
            <v>-82</v>
          </cell>
          <cell r="J548">
            <v>247</v>
          </cell>
          <cell r="M548">
            <v>-247</v>
          </cell>
          <cell r="N548">
            <v>-82</v>
          </cell>
          <cell r="O548">
            <v>247</v>
          </cell>
          <cell r="R548">
            <v>-247</v>
          </cell>
          <cell r="S548">
            <v>-82</v>
          </cell>
          <cell r="V548" t="str">
            <v>EBSC Transactional2</v>
          </cell>
          <cell r="W548" t="str">
            <v>Tools For People</v>
          </cell>
          <cell r="AA548" t="str">
            <v>[10005]  Exelon Delivery Shared ServiceEBSC TransactionalTools For People</v>
          </cell>
          <cell r="AB548" t="str">
            <v>[10005]  Exelon Delivery Shared ServiceEBSC Transactional (Tools For People)Business Services</v>
          </cell>
          <cell r="AC548" t="str">
            <v>[10005]  Exelon Delivery Shared ServiceEBSC Transactional (Tools For People)Quality Assurance (04905 - Quality Assurance Group)</v>
          </cell>
          <cell r="AF548" t="e">
            <v>#N/A</v>
          </cell>
        </row>
        <row r="549">
          <cell r="E549">
            <v>11</v>
          </cell>
          <cell r="H549">
            <v>-11</v>
          </cell>
          <cell r="I549">
            <v>-11</v>
          </cell>
          <cell r="J549">
            <v>41</v>
          </cell>
          <cell r="M549">
            <v>-41</v>
          </cell>
          <cell r="N549">
            <v>-11</v>
          </cell>
          <cell r="O549">
            <v>41</v>
          </cell>
          <cell r="R549">
            <v>-41</v>
          </cell>
          <cell r="S549">
            <v>-11</v>
          </cell>
          <cell r="V549" t="str">
            <v>EBSC Transactional2</v>
          </cell>
          <cell r="W549" t="str">
            <v>Passthroughs</v>
          </cell>
          <cell r="AA549" t="str">
            <v>[10005]  Exelon Delivery Shared ServiceEBSC TransactionalPassthroughs</v>
          </cell>
          <cell r="AB549" t="str">
            <v>[10005]  Exelon Delivery Shared ServiceEBSC Transactional (Passthroughs)Other Operating Expenses</v>
          </cell>
          <cell r="AC549" t="str">
            <v>[10005]  Exelon Delivery Shared ServiceEBSC Transactional (Passthroughs)Quality Assurance (04905 - Quality Assurance Group)</v>
          </cell>
          <cell r="AF549" t="e">
            <v>#N/A</v>
          </cell>
        </row>
        <row r="550">
          <cell r="E550">
            <v>23762</v>
          </cell>
          <cell r="H550">
            <v>-23762</v>
          </cell>
          <cell r="I550">
            <v>-23762</v>
          </cell>
          <cell r="J550">
            <v>25924</v>
          </cell>
          <cell r="M550">
            <v>-25924</v>
          </cell>
          <cell r="N550">
            <v>-23762</v>
          </cell>
          <cell r="O550">
            <v>25924</v>
          </cell>
          <cell r="R550">
            <v>-25924</v>
          </cell>
          <cell r="S550">
            <v>-23762</v>
          </cell>
          <cell r="V550" t="str">
            <v>EBSC Transactional2</v>
          </cell>
          <cell r="W550" t="str">
            <v>Tools For People</v>
          </cell>
          <cell r="AA550" t="str">
            <v>[10005]  Exelon Delivery Shared ServiceEBSC TransactionalTools For People</v>
          </cell>
          <cell r="AB550" t="str">
            <v>[10005]  Exelon Delivery Shared ServiceEBSC Transactional (Tools For People)Business Services</v>
          </cell>
          <cell r="AC550" t="str">
            <v>[10005]  Exelon Delivery Shared ServiceEBSC Transactional (Tools For People)Senior VP &amp; Admin (04965 - Senior VP &amp; Admin/Programs)</v>
          </cell>
          <cell r="AF550" t="e">
            <v>#N/A</v>
          </cell>
        </row>
        <row r="551">
          <cell r="E551">
            <v>82</v>
          </cell>
          <cell r="H551">
            <v>-82</v>
          </cell>
          <cell r="I551">
            <v>-82</v>
          </cell>
          <cell r="J551">
            <v>284</v>
          </cell>
          <cell r="M551">
            <v>-284</v>
          </cell>
          <cell r="N551">
            <v>-82</v>
          </cell>
          <cell r="O551">
            <v>284</v>
          </cell>
          <cell r="R551">
            <v>-284</v>
          </cell>
          <cell r="S551">
            <v>-82</v>
          </cell>
          <cell r="V551" t="str">
            <v>EBSC Transactional2</v>
          </cell>
          <cell r="W551" t="str">
            <v>Passthroughs</v>
          </cell>
          <cell r="AA551" t="str">
            <v>[10005]  Exelon Delivery Shared ServiceEBSC TransactionalPassthroughs</v>
          </cell>
          <cell r="AB551" t="str">
            <v>[10005]  Exelon Delivery Shared ServiceEBSC Transactional (Passthroughs)Other Operating Expenses</v>
          </cell>
          <cell r="AC551" t="str">
            <v>[10005]  Exelon Delivery Shared ServiceEBSC Transactional (Passthroughs)Senior VP &amp; Admin (04965 - Senior VP &amp; Admin/Programs)</v>
          </cell>
          <cell r="AF551" t="e">
            <v>#N/A</v>
          </cell>
        </row>
        <row r="552">
          <cell r="E552">
            <v>3478</v>
          </cell>
          <cell r="H552">
            <v>1009</v>
          </cell>
          <cell r="I552">
            <v>1009</v>
          </cell>
          <cell r="J552">
            <v>14145</v>
          </cell>
          <cell r="M552">
            <v>3803</v>
          </cell>
          <cell r="N552">
            <v>1009</v>
          </cell>
          <cell r="O552">
            <v>50041</v>
          </cell>
          <cell r="R552">
            <v>3803</v>
          </cell>
          <cell r="S552">
            <v>1009</v>
          </cell>
          <cell r="V552" t="str">
            <v>EBSC Transactional2</v>
          </cell>
          <cell r="W552" t="str">
            <v>Tools For People</v>
          </cell>
          <cell r="AA552" t="str">
            <v>[10005]  Exelon Delivery Shared ServiceEBSC TransactionalTools For People</v>
          </cell>
          <cell r="AB552" t="str">
            <v>[10005]  Exelon Delivery Shared ServiceEBSC Transactional (Tools For People)Business Services</v>
          </cell>
          <cell r="AC552" t="str">
            <v>[10005]  Exelon Delivery Shared ServiceEBSC Transactional (Tools For People)Training (04972 - New Applications)</v>
          </cell>
          <cell r="AF552" t="e">
            <v>#N/A</v>
          </cell>
        </row>
        <row r="553">
          <cell r="E553">
            <v>228</v>
          </cell>
          <cell r="H553">
            <v>132</v>
          </cell>
          <cell r="I553">
            <v>132</v>
          </cell>
          <cell r="J553">
            <v>1605</v>
          </cell>
          <cell r="M553">
            <v>-165</v>
          </cell>
          <cell r="N553">
            <v>132</v>
          </cell>
          <cell r="O553">
            <v>4485</v>
          </cell>
          <cell r="R553">
            <v>-165</v>
          </cell>
          <cell r="S553">
            <v>132</v>
          </cell>
          <cell r="V553" t="str">
            <v>EBSC Transactional2</v>
          </cell>
          <cell r="W553" t="str">
            <v>Passthroughs</v>
          </cell>
          <cell r="AA553" t="str">
            <v>[10005]  Exelon Delivery Shared ServiceEBSC TransactionalPassthroughs</v>
          </cell>
          <cell r="AB553" t="str">
            <v>[10005]  Exelon Delivery Shared ServiceEBSC Transactional (Passthroughs)Other Operating Expenses</v>
          </cell>
          <cell r="AC553" t="str">
            <v>[10005]  Exelon Delivery Shared ServiceEBSC Transactional (Passthroughs)Training (04972 - New Applications)</v>
          </cell>
          <cell r="AF553" t="e">
            <v>#N/A</v>
          </cell>
        </row>
        <row r="554">
          <cell r="E554">
            <v>453</v>
          </cell>
          <cell r="H554">
            <v>43778</v>
          </cell>
          <cell r="I554">
            <v>43778</v>
          </cell>
          <cell r="J554">
            <v>1620</v>
          </cell>
          <cell r="M554">
            <v>136613</v>
          </cell>
          <cell r="N554">
            <v>43778</v>
          </cell>
          <cell r="O554">
            <v>370469</v>
          </cell>
          <cell r="R554">
            <v>136613</v>
          </cell>
          <cell r="S554">
            <v>43778</v>
          </cell>
          <cell r="V554" t="str">
            <v>EBSC Transactional2</v>
          </cell>
          <cell r="W554" t="str">
            <v>Tools For People</v>
          </cell>
          <cell r="AA554" t="str">
            <v>[10005]  Exelon Delivery Shared ServiceEBSC TransactionalTools For People</v>
          </cell>
          <cell r="AB554" t="str">
            <v>[10005]  Exelon Delivery Shared ServiceEBSC Transactional (Tools For People)Business Services</v>
          </cell>
          <cell r="AC554" t="str">
            <v>[10005]  Exelon Delivery Shared ServiceEBSC Transactional (Tools For People)Training (04974 - Training Director)</v>
          </cell>
          <cell r="AF554" t="e">
            <v>#N/A</v>
          </cell>
        </row>
        <row r="555">
          <cell r="E555">
            <v>321</v>
          </cell>
          <cell r="H555">
            <v>1764</v>
          </cell>
          <cell r="I555">
            <v>1764</v>
          </cell>
          <cell r="J555">
            <v>1529</v>
          </cell>
          <cell r="M555">
            <v>4900</v>
          </cell>
          <cell r="N555">
            <v>1764</v>
          </cell>
          <cell r="O555">
            <v>18209</v>
          </cell>
          <cell r="R555">
            <v>4900</v>
          </cell>
          <cell r="S555">
            <v>1764</v>
          </cell>
          <cell r="V555" t="str">
            <v>EBSC Transactional2</v>
          </cell>
          <cell r="W555" t="str">
            <v>Passthroughs</v>
          </cell>
          <cell r="AA555" t="str">
            <v>[10005]  Exelon Delivery Shared ServiceEBSC TransactionalPassthroughs</v>
          </cell>
          <cell r="AB555" t="str">
            <v>[10005]  Exelon Delivery Shared ServiceEBSC Transactional (Passthroughs)Other Operating Expenses</v>
          </cell>
          <cell r="AC555" t="str">
            <v>[10005]  Exelon Delivery Shared ServiceEBSC Transactional (Passthroughs)Training (04974 - Training Director)</v>
          </cell>
          <cell r="AF555" t="e">
            <v>#N/A</v>
          </cell>
        </row>
        <row r="556">
          <cell r="E556">
            <v>120</v>
          </cell>
          <cell r="H556">
            <v>-120</v>
          </cell>
          <cell r="I556">
            <v>-120</v>
          </cell>
          <cell r="J556">
            <v>120</v>
          </cell>
          <cell r="M556">
            <v>-120</v>
          </cell>
          <cell r="N556">
            <v>-120</v>
          </cell>
          <cell r="O556">
            <v>120</v>
          </cell>
          <cell r="R556">
            <v>-120</v>
          </cell>
          <cell r="S556">
            <v>-120</v>
          </cell>
          <cell r="V556" t="str">
            <v>EBSC Transactional2</v>
          </cell>
          <cell r="W556" t="str">
            <v>Tools For People</v>
          </cell>
          <cell r="AA556" t="str">
            <v>[10005]  Exelon Delivery Shared ServiceEBSC TransactionalTools For People</v>
          </cell>
          <cell r="AB556" t="str">
            <v>[10005]  Exelon Delivery Shared ServiceEBSC Transactional (Tools For People)Business Services</v>
          </cell>
          <cell r="AC556" t="str">
            <v>[10005]  Exelon Delivery Shared ServiceEBSC Transactional (Tools For People)Training (07173 - Field &amp; Tech Services Training)</v>
          </cell>
          <cell r="AF556" t="e">
            <v>#N/A</v>
          </cell>
        </row>
        <row r="557">
          <cell r="E557">
            <v>100</v>
          </cell>
          <cell r="H557">
            <v>-100</v>
          </cell>
          <cell r="I557">
            <v>-100</v>
          </cell>
          <cell r="J557">
            <v>100</v>
          </cell>
          <cell r="M557">
            <v>-100</v>
          </cell>
          <cell r="N557">
            <v>-100</v>
          </cell>
          <cell r="O557">
            <v>100</v>
          </cell>
          <cell r="R557">
            <v>-100</v>
          </cell>
          <cell r="S557">
            <v>-100</v>
          </cell>
          <cell r="V557" t="str">
            <v>EBSC Transactional2</v>
          </cell>
          <cell r="W557" t="str">
            <v>Passthroughs</v>
          </cell>
          <cell r="AA557" t="str">
            <v>[10005]  Exelon Delivery Shared ServiceEBSC TransactionalPassthroughs</v>
          </cell>
          <cell r="AB557" t="str">
            <v>[10005]  Exelon Delivery Shared ServiceEBSC Transactional (Passthroughs)Other Operating Expenses</v>
          </cell>
          <cell r="AC557" t="str">
            <v>[10005]  Exelon Delivery Shared ServiceEBSC Transactional (Passthroughs)Training (07173 - Field &amp; Tech Services Training)</v>
          </cell>
          <cell r="AF557" t="e">
            <v>#N/A</v>
          </cell>
        </row>
        <row r="558">
          <cell r="E558">
            <v>1281</v>
          </cell>
          <cell r="H558">
            <v>-191</v>
          </cell>
          <cell r="I558">
            <v>-191</v>
          </cell>
          <cell r="J558">
            <v>5197</v>
          </cell>
          <cell r="M558">
            <v>-837</v>
          </cell>
          <cell r="N558">
            <v>-191</v>
          </cell>
          <cell r="O558">
            <v>13917</v>
          </cell>
          <cell r="R558">
            <v>-837</v>
          </cell>
          <cell r="S558">
            <v>-191</v>
          </cell>
          <cell r="V558" t="str">
            <v>EBSC Transactional2</v>
          </cell>
          <cell r="W558" t="str">
            <v>Tools For People</v>
          </cell>
          <cell r="AA558" t="str">
            <v>[10005]  Exelon Delivery Shared ServiceEBSC TransactionalTools For People</v>
          </cell>
          <cell r="AB558" t="str">
            <v>[10005]  Exelon Delivery Shared ServiceEBSC Transactional (Tools For People)Business Services</v>
          </cell>
          <cell r="AC558" t="str">
            <v>[10005]  Exelon Delivery Shared ServiceEBSC Transactional (Tools For People)Transmission Operations (04985 - EED Transmission System Ops)</v>
          </cell>
          <cell r="AF558" t="e">
            <v>#N/A</v>
          </cell>
        </row>
        <row r="559">
          <cell r="E559">
            <v>517</v>
          </cell>
          <cell r="H559">
            <v>316</v>
          </cell>
          <cell r="I559">
            <v>316</v>
          </cell>
          <cell r="J559">
            <v>2155</v>
          </cell>
          <cell r="M559">
            <v>1178</v>
          </cell>
          <cell r="N559">
            <v>316</v>
          </cell>
          <cell r="O559">
            <v>8822</v>
          </cell>
          <cell r="R559">
            <v>1178</v>
          </cell>
          <cell r="S559">
            <v>316</v>
          </cell>
          <cell r="V559" t="str">
            <v>EBSC Transactional2</v>
          </cell>
          <cell r="W559" t="str">
            <v>Passthroughs</v>
          </cell>
          <cell r="AA559" t="str">
            <v>[10005]  Exelon Delivery Shared ServiceEBSC TransactionalPassthroughs</v>
          </cell>
          <cell r="AB559" t="str">
            <v>[10005]  Exelon Delivery Shared ServiceEBSC Transactional (Passthroughs)Other Operating Expenses</v>
          </cell>
          <cell r="AC559" t="str">
            <v>[10005]  Exelon Delivery Shared ServiceEBSC Transactional (Passthroughs)Transmission Operations (04985 - EED Transmission System Ops)</v>
          </cell>
          <cell r="AF559" t="e">
            <v>#N/A</v>
          </cell>
        </row>
        <row r="560">
          <cell r="E560">
            <v>1267</v>
          </cell>
          <cell r="H560">
            <v>-82</v>
          </cell>
          <cell r="I560">
            <v>-82</v>
          </cell>
          <cell r="J560">
            <v>5008</v>
          </cell>
          <cell r="M560">
            <v>-268</v>
          </cell>
          <cell r="N560">
            <v>-82</v>
          </cell>
          <cell r="O560">
            <v>14488</v>
          </cell>
          <cell r="R560">
            <v>-268</v>
          </cell>
          <cell r="S560">
            <v>-82</v>
          </cell>
          <cell r="V560" t="str">
            <v>EBSC Transactional2</v>
          </cell>
          <cell r="W560" t="str">
            <v>Tools For People</v>
          </cell>
          <cell r="AA560" t="str">
            <v>[10005]  Exelon Delivery Shared ServiceEBSC TransactionalTools For People</v>
          </cell>
          <cell r="AB560" t="str">
            <v>[10005]  Exelon Delivery Shared ServiceEBSC Transactional (Tools For People)Business Services</v>
          </cell>
          <cell r="AC560" t="str">
            <v>[10005]  Exelon Delivery Shared ServiceEBSC Transactional (Tools For People)Transmission Planning (04984 - EED Transmission Planning)</v>
          </cell>
          <cell r="AF560" t="e">
            <v>#N/A</v>
          </cell>
        </row>
        <row r="561">
          <cell r="E561">
            <v>307</v>
          </cell>
          <cell r="H561">
            <v>-17</v>
          </cell>
          <cell r="I561">
            <v>-17</v>
          </cell>
          <cell r="J561">
            <v>1781</v>
          </cell>
          <cell r="M561">
            <v>-621</v>
          </cell>
          <cell r="N561">
            <v>-17</v>
          </cell>
          <cell r="O561">
            <v>4101</v>
          </cell>
          <cell r="R561">
            <v>-621</v>
          </cell>
          <cell r="S561">
            <v>-17</v>
          </cell>
          <cell r="V561" t="str">
            <v>EBSC Transactional2</v>
          </cell>
          <cell r="W561" t="str">
            <v>Passthroughs</v>
          </cell>
          <cell r="AA561" t="str">
            <v>[10005]  Exelon Delivery Shared ServiceEBSC TransactionalPassthroughs</v>
          </cell>
          <cell r="AB561" t="str">
            <v>[10005]  Exelon Delivery Shared ServiceEBSC Transactional (Passthroughs)Other Operating Expenses</v>
          </cell>
          <cell r="AC561" t="str">
            <v>[10005]  Exelon Delivery Shared ServiceEBSC Transactional (Passthroughs)Transmission Planning (04984 - EED Transmission Planning)</v>
          </cell>
          <cell r="AF561" t="e">
            <v>#N/A</v>
          </cell>
        </row>
        <row r="562">
          <cell r="E562">
            <v>639</v>
          </cell>
          <cell r="H562">
            <v>516</v>
          </cell>
          <cell r="I562">
            <v>516</v>
          </cell>
          <cell r="J562">
            <v>2555</v>
          </cell>
          <cell r="M562">
            <v>2065</v>
          </cell>
          <cell r="N562">
            <v>516</v>
          </cell>
          <cell r="O562">
            <v>11795</v>
          </cell>
          <cell r="R562">
            <v>2065</v>
          </cell>
          <cell r="S562">
            <v>516</v>
          </cell>
          <cell r="V562" t="str">
            <v>EBSC Transactional2</v>
          </cell>
          <cell r="W562" t="str">
            <v>Tools For People</v>
          </cell>
          <cell r="AA562" t="str">
            <v>[10005]  Exelon Delivery Shared ServiceEBSC TransactionalTools For People</v>
          </cell>
          <cell r="AB562" t="str">
            <v>[10005]  Exelon Delivery Shared ServiceEBSC Transactional (Tools For People)Business Services</v>
          </cell>
          <cell r="AC562" t="str">
            <v>[10005]  Exelon Delivery Shared ServiceEBSC Transactional (Tools For People)Transmission &amp; Substation (04902 - EED Transmission &amp; Substation)</v>
          </cell>
          <cell r="AF562" t="e">
            <v>#N/A</v>
          </cell>
        </row>
        <row r="563">
          <cell r="E563">
            <v>2362</v>
          </cell>
          <cell r="H563">
            <v>-2362</v>
          </cell>
          <cell r="I563">
            <v>-2362</v>
          </cell>
          <cell r="J563">
            <v>15959</v>
          </cell>
          <cell r="M563">
            <v>-15959</v>
          </cell>
          <cell r="N563">
            <v>-2362</v>
          </cell>
          <cell r="O563">
            <v>15959</v>
          </cell>
          <cell r="R563">
            <v>-15959</v>
          </cell>
          <cell r="S563">
            <v>-2362</v>
          </cell>
          <cell r="V563" t="str">
            <v>EBSC Transactional2</v>
          </cell>
          <cell r="W563" t="str">
            <v>Passthroughs</v>
          </cell>
          <cell r="AA563" t="str">
            <v>[10005]  Exelon Delivery Shared ServiceEBSC TransactionalPassthroughs</v>
          </cell>
          <cell r="AB563" t="str">
            <v>[10005]  Exelon Delivery Shared ServiceEBSC Transactional (Passthroughs)Other Operating Expenses</v>
          </cell>
          <cell r="AC563" t="str">
            <v>[10005]  Exelon Delivery Shared ServiceEBSC Transactional (Passthroughs)Transmission &amp; Substation (04902 - EED Transmission &amp; Substation)</v>
          </cell>
          <cell r="AF563" t="e">
            <v>#N/A</v>
          </cell>
        </row>
        <row r="564">
          <cell r="E564">
            <v>767</v>
          </cell>
          <cell r="H564">
            <v>-192</v>
          </cell>
          <cell r="I564">
            <v>-192</v>
          </cell>
          <cell r="J564">
            <v>2870</v>
          </cell>
          <cell r="M564">
            <v>-570</v>
          </cell>
          <cell r="N564">
            <v>-192</v>
          </cell>
          <cell r="O564">
            <v>7470</v>
          </cell>
          <cell r="R564">
            <v>-570</v>
          </cell>
          <cell r="S564">
            <v>-192</v>
          </cell>
          <cell r="V564" t="str">
            <v>EBSC Transactional2</v>
          </cell>
          <cell r="W564" t="str">
            <v>Tools For People</v>
          </cell>
          <cell r="AA564" t="str">
            <v>[10005]  Exelon Delivery Shared ServiceEBSC TransactionalTools For People</v>
          </cell>
          <cell r="AB564" t="str">
            <v>[10005]  Exelon Delivery Shared ServiceEBSC Transactional (Tools For People)Business Services</v>
          </cell>
          <cell r="AC564" t="str">
            <v>[10005]  Exelon Delivery Shared ServiceEBSC Transactional (Tools For People)Transmission &amp; Substation (04903 - Transmission Line - EED)</v>
          </cell>
          <cell r="AF564" t="e">
            <v>#N/A</v>
          </cell>
        </row>
        <row r="565">
          <cell r="E565">
            <v>567</v>
          </cell>
          <cell r="H565">
            <v>-567</v>
          </cell>
          <cell r="I565">
            <v>-567</v>
          </cell>
          <cell r="J565">
            <v>3140</v>
          </cell>
          <cell r="M565">
            <v>-3140</v>
          </cell>
          <cell r="N565">
            <v>-567</v>
          </cell>
          <cell r="O565">
            <v>3140</v>
          </cell>
          <cell r="R565">
            <v>-3140</v>
          </cell>
          <cell r="S565">
            <v>-567</v>
          </cell>
          <cell r="V565" t="str">
            <v>EBSC Transactional2</v>
          </cell>
          <cell r="W565" t="str">
            <v>Passthroughs</v>
          </cell>
          <cell r="AA565" t="str">
            <v>[10005]  Exelon Delivery Shared ServiceEBSC TransactionalPassthroughs</v>
          </cell>
          <cell r="AB565" t="str">
            <v>[10005]  Exelon Delivery Shared ServiceEBSC Transactional (Passthroughs)Other Operating Expenses</v>
          </cell>
          <cell r="AC565" t="str">
            <v>[10005]  Exelon Delivery Shared ServiceEBSC Transactional (Passthroughs)Transmission &amp; Substation (04903 - Transmission Line - EED)</v>
          </cell>
          <cell r="AF565" t="e">
            <v>#N/A</v>
          </cell>
        </row>
        <row r="566">
          <cell r="E566">
            <v>786</v>
          </cell>
          <cell r="H566">
            <v>144</v>
          </cell>
          <cell r="I566">
            <v>144</v>
          </cell>
          <cell r="J566">
            <v>3472</v>
          </cell>
          <cell r="M566">
            <v>248</v>
          </cell>
          <cell r="N566">
            <v>144</v>
          </cell>
          <cell r="O566">
            <v>10912</v>
          </cell>
          <cell r="R566">
            <v>248</v>
          </cell>
          <cell r="S566">
            <v>144</v>
          </cell>
          <cell r="V566" t="str">
            <v>EBSC Transactional2</v>
          </cell>
          <cell r="W566" t="str">
            <v>Tools For People</v>
          </cell>
          <cell r="AA566" t="str">
            <v>[10005]  Exelon Delivery Shared ServiceEBSC TransactionalTools For People</v>
          </cell>
          <cell r="AB566" t="str">
            <v>[10005]  Exelon Delivery Shared ServiceEBSC Transactional (Tools For People)Business Services</v>
          </cell>
          <cell r="AC566" t="str">
            <v>[10005]  Exelon Delivery Shared ServiceEBSC Transactional (Tools For People)Trans Strtgy &amp; Intrconect Srv (04986 - EED Trans Strategy &amp; Bus Ops)</v>
          </cell>
          <cell r="AF566" t="e">
            <v>#N/A</v>
          </cell>
        </row>
        <row r="567">
          <cell r="E567">
            <v>330</v>
          </cell>
          <cell r="H567">
            <v>120</v>
          </cell>
          <cell r="I567">
            <v>120</v>
          </cell>
          <cell r="J567">
            <v>2954</v>
          </cell>
          <cell r="M567">
            <v>-1154</v>
          </cell>
          <cell r="N567">
            <v>120</v>
          </cell>
          <cell r="O567">
            <v>6554</v>
          </cell>
          <cell r="R567">
            <v>-1154</v>
          </cell>
          <cell r="S567">
            <v>120</v>
          </cell>
          <cell r="V567" t="str">
            <v>EBSC Transactional2</v>
          </cell>
          <cell r="W567" t="str">
            <v>Passthroughs</v>
          </cell>
          <cell r="AA567" t="str">
            <v>[10005]  Exelon Delivery Shared ServiceEBSC TransactionalPassthroughs</v>
          </cell>
          <cell r="AB567" t="str">
            <v>[10005]  Exelon Delivery Shared ServiceEBSC Transactional (Passthroughs)Other Operating Expenses</v>
          </cell>
          <cell r="AC567" t="str">
            <v>[10005]  Exelon Delivery Shared ServiceEBSC Transactional (Passthroughs)Trans Strtgy &amp; Intrconect Srv (04986 - EED Trans Strategy &amp; Bus Ops)</v>
          </cell>
          <cell r="AF567" t="e">
            <v>#N/A</v>
          </cell>
        </row>
        <row r="568">
          <cell r="E568">
            <v>55995</v>
          </cell>
          <cell r="H568">
            <v>7255</v>
          </cell>
          <cell r="I568">
            <v>7255</v>
          </cell>
          <cell r="J568">
            <v>238938</v>
          </cell>
          <cell r="M568">
            <v>14062</v>
          </cell>
          <cell r="N568">
            <v>7255</v>
          </cell>
          <cell r="O568">
            <v>744938</v>
          </cell>
          <cell r="R568">
            <v>14062</v>
          </cell>
          <cell r="S568">
            <v>7255</v>
          </cell>
          <cell r="V568" t="str">
            <v>EBSC Transactional2</v>
          </cell>
          <cell r="W568" t="str">
            <v>Tools For People</v>
          </cell>
          <cell r="AA568" t="str">
            <v>[10200]  PECO Energy CompanyEBSC TransactionalTools For People</v>
          </cell>
          <cell r="AB568" t="str">
            <v>[10200]  PECO Energy CompanyEBSC Transactional (Tools For People)Business Services</v>
          </cell>
          <cell r="AC568" t="str">
            <v>[10200]  PECO Energy CompanyEBSC Transactional (Tools For People)Cust&amp;Mrkt Svcs&amp;Fleet Mgmt-PECO (PECO Customer Contact Center)</v>
          </cell>
          <cell r="AF568" t="e">
            <v>#N/A</v>
          </cell>
        </row>
        <row r="569">
          <cell r="E569">
            <v>111890</v>
          </cell>
          <cell r="H569">
            <v>-36004</v>
          </cell>
          <cell r="I569">
            <v>9996</v>
          </cell>
          <cell r="J569">
            <v>454419</v>
          </cell>
          <cell r="M569">
            <v>-139645</v>
          </cell>
          <cell r="N569">
            <v>9996</v>
          </cell>
          <cell r="O569">
            <v>1456646</v>
          </cell>
          <cell r="R569">
            <v>-456645</v>
          </cell>
          <cell r="S569">
            <v>9996</v>
          </cell>
          <cell r="V569" t="str">
            <v>EBSC Transactional2</v>
          </cell>
          <cell r="W569" t="str">
            <v>Passthroughs</v>
          </cell>
          <cell r="AA569" t="str">
            <v>[10200]  PECO Energy CompanyEBSC TransactionalPassthroughs</v>
          </cell>
          <cell r="AB569" t="str">
            <v>[10200]  PECO Energy CompanyEBSC Transactional (Passthroughs)Other Operating Expenses</v>
          </cell>
          <cell r="AC569" t="str">
            <v>[10200]  PECO Energy CompanyEBSC Transactional (Passthroughs)Cust&amp;Mrkt Svcs&amp;Fleet Mgmt-PECO (PECO Customer Contact Center)</v>
          </cell>
          <cell r="AF569" t="e">
            <v>#N/A</v>
          </cell>
        </row>
        <row r="570">
          <cell r="E570">
            <v>26407</v>
          </cell>
          <cell r="H570">
            <v>10234</v>
          </cell>
          <cell r="I570">
            <v>-299</v>
          </cell>
          <cell r="J570">
            <v>105593</v>
          </cell>
          <cell r="M570">
            <v>25972</v>
          </cell>
          <cell r="N570">
            <v>-299</v>
          </cell>
          <cell r="O570">
            <v>281894</v>
          </cell>
          <cell r="R570">
            <v>105212</v>
          </cell>
          <cell r="S570">
            <v>501</v>
          </cell>
          <cell r="V570" t="str">
            <v>EBSC Transactional2</v>
          </cell>
          <cell r="W570" t="str">
            <v>Tools For People</v>
          </cell>
          <cell r="AA570" t="str">
            <v>[10200]  PECO Energy CompanyEBSC TransactionalTools For People</v>
          </cell>
          <cell r="AB570" t="str">
            <v>[10200]  PECO Energy CompanyEBSC Transactional (Tools For People)Business Services</v>
          </cell>
          <cell r="AC570" t="str">
            <v>[10200]  PECO Energy CompanyEBSC Transactional (Tools For People)Cust&amp;Mrkt Svcs&amp;Fleet Mgmt-PECO (PECO Customer Field Operations)</v>
          </cell>
          <cell r="AF570" t="e">
            <v>#N/A</v>
          </cell>
        </row>
        <row r="571">
          <cell r="E571">
            <v>16472</v>
          </cell>
          <cell r="H571">
            <v>-12439</v>
          </cell>
          <cell r="I571">
            <v>-1877</v>
          </cell>
          <cell r="J571">
            <v>66106</v>
          </cell>
          <cell r="M571">
            <v>-49972</v>
          </cell>
          <cell r="N571">
            <v>-1877</v>
          </cell>
          <cell r="O571">
            <v>190285</v>
          </cell>
          <cell r="R571">
            <v>-141883</v>
          </cell>
          <cell r="S571">
            <v>-7877</v>
          </cell>
          <cell r="V571" t="str">
            <v>EBSC Transactional2</v>
          </cell>
          <cell r="W571" t="str">
            <v>Passthroughs</v>
          </cell>
          <cell r="AA571" t="str">
            <v>[10200]  PECO Energy CompanyEBSC TransactionalPassthroughs</v>
          </cell>
          <cell r="AB571" t="str">
            <v>[10200]  PECO Energy CompanyEBSC Transactional (Passthroughs)Other Operating Expenses</v>
          </cell>
          <cell r="AC571" t="str">
            <v>[10200]  PECO Energy CompanyEBSC Transactional (Passthroughs)Cust&amp;Mrkt Svcs&amp;Fleet Mgmt-PECO (PECO Customer Field Operations)</v>
          </cell>
          <cell r="AF571" t="e">
            <v>#N/A</v>
          </cell>
        </row>
        <row r="572">
          <cell r="E572">
            <v>92342</v>
          </cell>
          <cell r="H572">
            <v>1634</v>
          </cell>
          <cell r="I572">
            <v>9011</v>
          </cell>
          <cell r="J572">
            <v>385558</v>
          </cell>
          <cell r="M572">
            <v>-9656</v>
          </cell>
          <cell r="N572">
            <v>9011</v>
          </cell>
          <cell r="O572">
            <v>1196385</v>
          </cell>
          <cell r="R572">
            <v>-68679</v>
          </cell>
          <cell r="S572">
            <v>9011</v>
          </cell>
          <cell r="V572" t="str">
            <v>EBSC Transactional2</v>
          </cell>
          <cell r="W572" t="str">
            <v>Tools For People</v>
          </cell>
          <cell r="AA572" t="str">
            <v>[10200]  PECO Energy CompanyEBSC TransactionalTools For People</v>
          </cell>
          <cell r="AB572" t="str">
            <v>[10200]  PECO Energy CompanyEBSC Transactional (Tools For People)Business Services</v>
          </cell>
          <cell r="AC572" t="str">
            <v>[10200]  PECO Energy CompanyEBSC Transactional (Tools For People)Cust&amp;Mrkt Svcs&amp;Fleet Mgmt-PECO (PECO Customer Financial Ops)</v>
          </cell>
          <cell r="AF572" t="e">
            <v>#N/A</v>
          </cell>
        </row>
        <row r="573">
          <cell r="E573">
            <v>5795</v>
          </cell>
          <cell r="H573">
            <v>-5220</v>
          </cell>
          <cell r="I573">
            <v>-5220</v>
          </cell>
          <cell r="J573">
            <v>14578</v>
          </cell>
          <cell r="M573">
            <v>-12277</v>
          </cell>
          <cell r="N573">
            <v>-5220</v>
          </cell>
          <cell r="O573">
            <v>19181</v>
          </cell>
          <cell r="R573">
            <v>-12277</v>
          </cell>
          <cell r="S573">
            <v>-5220</v>
          </cell>
          <cell r="V573" t="str">
            <v>EBSC Transactional2</v>
          </cell>
          <cell r="W573" t="str">
            <v>Passthroughs</v>
          </cell>
          <cell r="AA573" t="str">
            <v>[10200]  PECO Energy CompanyEBSC TransactionalPassthroughs</v>
          </cell>
          <cell r="AB573" t="str">
            <v>[10200]  PECO Energy CompanyEBSC Transactional (Passthroughs)Other Operating Expenses</v>
          </cell>
          <cell r="AC573" t="str">
            <v>[10200]  PECO Energy CompanyEBSC Transactional (Passthroughs)Cust&amp;Mrkt Svcs&amp;Fleet Mgmt-PECO (PECO Customer Financial Ops)</v>
          </cell>
          <cell r="AF573" t="e">
            <v>#N/A</v>
          </cell>
        </row>
        <row r="574">
          <cell r="E574">
            <v>1224160</v>
          </cell>
          <cell r="H574">
            <v>-1224160</v>
          </cell>
          <cell r="I574">
            <v>-1224160</v>
          </cell>
          <cell r="J574">
            <v>1224160</v>
          </cell>
          <cell r="M574">
            <v>-1224160</v>
          </cell>
          <cell r="N574">
            <v>-1224160</v>
          </cell>
          <cell r="O574">
            <v>3083608</v>
          </cell>
          <cell r="R574">
            <v>-3083608</v>
          </cell>
          <cell r="S574">
            <v>-3083608</v>
          </cell>
          <cell r="V574" t="str">
            <v>EBSC Transactional2</v>
          </cell>
          <cell r="W574" t="str">
            <v>Tools For People</v>
          </cell>
          <cell r="AA574" t="str">
            <v>[10200]  PECO Energy CompanyEBSC TransactionalTools For People</v>
          </cell>
          <cell r="AB574" t="str">
            <v>[10200]  PECO Energy CompanyEBSC Transactional (Tools For People)Business Services</v>
          </cell>
          <cell r="AC574" t="str">
            <v>[10200]  PECO Energy CompanyEBSC Transactional (Tools For People)Cust&amp;Mrkt Svcs&amp;Fleet Mgmt-PECO (Peco Customer Service Systems)</v>
          </cell>
          <cell r="AF574" t="e">
            <v>#N/A</v>
          </cell>
        </row>
        <row r="575">
          <cell r="E575">
            <v>0</v>
          </cell>
          <cell r="H575">
            <v>1200</v>
          </cell>
          <cell r="I575">
            <v>1200</v>
          </cell>
          <cell r="J575">
            <v>0</v>
          </cell>
          <cell r="M575">
            <v>4800</v>
          </cell>
          <cell r="N575">
            <v>1200</v>
          </cell>
          <cell r="O575">
            <v>9600</v>
          </cell>
          <cell r="R575">
            <v>4800</v>
          </cell>
          <cell r="S575">
            <v>1200</v>
          </cell>
          <cell r="V575" t="str">
            <v>EBSC Transactional2</v>
          </cell>
          <cell r="W575" t="str">
            <v>Passthroughs</v>
          </cell>
          <cell r="AA575" t="str">
            <v>[10200]  PECO Energy CompanyEBSC TransactionalPassthroughs</v>
          </cell>
          <cell r="AB575" t="str">
            <v>[10200]  PECO Energy CompanyEBSC Transactional (Passthroughs)Contracting</v>
          </cell>
          <cell r="AC575" t="str">
            <v>[10200]  PECO Energy CompanyEBSC Transactional (Passthroughs)Cust&amp;Mrkt Svcs&amp;Fleet Mgmt-PECO (PECO Cust Strategies &amp; Support)</v>
          </cell>
          <cell r="AF575" t="e">
            <v>#N/A</v>
          </cell>
        </row>
        <row r="576">
          <cell r="E576">
            <v>7183</v>
          </cell>
          <cell r="H576">
            <v>84961</v>
          </cell>
          <cell r="I576">
            <v>212552</v>
          </cell>
          <cell r="J576">
            <v>279237</v>
          </cell>
          <cell r="M576">
            <v>89339</v>
          </cell>
          <cell r="N576">
            <v>212552</v>
          </cell>
          <cell r="O576">
            <v>1051509</v>
          </cell>
          <cell r="R576">
            <v>54218</v>
          </cell>
          <cell r="S576">
            <v>417748</v>
          </cell>
          <cell r="V576" t="str">
            <v>EBSC Transactional2</v>
          </cell>
          <cell r="W576" t="str">
            <v>Tools For People</v>
          </cell>
          <cell r="AA576" t="str">
            <v>[10200]  PECO Energy CompanyEBSC TransactionalTools For People</v>
          </cell>
          <cell r="AB576" t="str">
            <v>[10200]  PECO Energy CompanyEBSC Transactional (Tools For People)Business Services</v>
          </cell>
          <cell r="AC576" t="str">
            <v>[10200]  PECO Energy CompanyEBSC Transactional (Tools For People)Cust&amp;Mrkt Svcs&amp;Fleet Mgmt-PECO (PECO Cust Strategies &amp; Support)</v>
          </cell>
          <cell r="AF576" t="e">
            <v>#N/A</v>
          </cell>
        </row>
        <row r="577">
          <cell r="E577">
            <v>2388</v>
          </cell>
          <cell r="H577">
            <v>-1181</v>
          </cell>
          <cell r="I577">
            <v>-1181</v>
          </cell>
          <cell r="J577">
            <v>5213</v>
          </cell>
          <cell r="M577">
            <v>-385</v>
          </cell>
          <cell r="N577">
            <v>-1181</v>
          </cell>
          <cell r="O577">
            <v>14870</v>
          </cell>
          <cell r="R577">
            <v>-385</v>
          </cell>
          <cell r="S577">
            <v>-1181</v>
          </cell>
          <cell r="V577" t="str">
            <v>EBSC Transactional2</v>
          </cell>
          <cell r="W577" t="str">
            <v>Passthroughs</v>
          </cell>
          <cell r="AA577" t="str">
            <v>[10200]  PECO Energy CompanyEBSC TransactionalPassthroughs</v>
          </cell>
          <cell r="AB577" t="str">
            <v>[10200]  PECO Energy CompanyEBSC Transactional (Passthroughs)Other Operating Expenses</v>
          </cell>
          <cell r="AC577" t="str">
            <v>[10200]  PECO Energy CompanyEBSC Transactional (Passthroughs)Cust&amp;Mrkt Svcs&amp;Fleet Mgmt-PECO (PECO Cust Strategies &amp; Support)</v>
          </cell>
          <cell r="AF577" t="e">
            <v>#N/A</v>
          </cell>
        </row>
        <row r="578">
          <cell r="E578">
            <v>75</v>
          </cell>
          <cell r="H578">
            <v>-75</v>
          </cell>
          <cell r="I578">
            <v>-75</v>
          </cell>
          <cell r="J578">
            <v>78</v>
          </cell>
          <cell r="M578">
            <v>-78</v>
          </cell>
          <cell r="N578">
            <v>-75</v>
          </cell>
          <cell r="O578">
            <v>78</v>
          </cell>
          <cell r="R578">
            <v>-78</v>
          </cell>
          <cell r="S578">
            <v>-75</v>
          </cell>
          <cell r="V578" t="str">
            <v>EBSC Transactional2</v>
          </cell>
          <cell r="W578" t="str">
            <v>Passthroughs</v>
          </cell>
          <cell r="AA578" t="str">
            <v>[10200]  PECO Energy CompanyEBSC TransactionalPassthroughs</v>
          </cell>
          <cell r="AB578" t="str">
            <v>[10200]  PECO Energy CompanyEBSC Transactional (Passthroughs)Contracting</v>
          </cell>
          <cell r="AC578" t="str">
            <v>[10200]  PECO Energy CompanyEBSC Transactional (Passthroughs)Cust&amp;Mrkt Svcs&amp;Fleet Mgmt-PECO (PECO Energy &amp; Marketing Srvcs)</v>
          </cell>
          <cell r="AF578" t="e">
            <v>#N/A</v>
          </cell>
        </row>
        <row r="579">
          <cell r="E579">
            <v>17245</v>
          </cell>
          <cell r="H579">
            <v>7254</v>
          </cell>
          <cell r="I579">
            <v>2804</v>
          </cell>
          <cell r="J579">
            <v>66771</v>
          </cell>
          <cell r="M579">
            <v>30825</v>
          </cell>
          <cell r="N579">
            <v>2804</v>
          </cell>
          <cell r="O579">
            <v>227167</v>
          </cell>
          <cell r="R579">
            <v>66425</v>
          </cell>
          <cell r="S579">
            <v>2804</v>
          </cell>
          <cell r="V579" t="str">
            <v>EBSC Transactional2</v>
          </cell>
          <cell r="W579" t="str">
            <v>Tools For People</v>
          </cell>
          <cell r="AA579" t="str">
            <v>[10200]  PECO Energy CompanyEBSC TransactionalTools For People</v>
          </cell>
          <cell r="AB579" t="str">
            <v>[10200]  PECO Energy CompanyEBSC Transactional (Tools For People)Business Services</v>
          </cell>
          <cell r="AC579" t="str">
            <v>[10200]  PECO Energy CompanyEBSC Transactional (Tools For People)Cust&amp;Mrkt Svcs&amp;Fleet Mgmt-PECO (PECO Energy &amp; Marketing Srvcs)</v>
          </cell>
          <cell r="AF579" t="e">
            <v>#N/A</v>
          </cell>
        </row>
        <row r="580">
          <cell r="E580">
            <v>6121</v>
          </cell>
          <cell r="H580">
            <v>-6121</v>
          </cell>
          <cell r="I580">
            <v>-6121</v>
          </cell>
          <cell r="J580">
            <v>25320</v>
          </cell>
          <cell r="M580">
            <v>-25320</v>
          </cell>
          <cell r="N580">
            <v>-6121</v>
          </cell>
          <cell r="O580">
            <v>25320</v>
          </cell>
          <cell r="R580">
            <v>-25320</v>
          </cell>
          <cell r="S580">
            <v>-6121</v>
          </cell>
          <cell r="V580" t="str">
            <v>EBSC Transactional2</v>
          </cell>
          <cell r="W580" t="str">
            <v>Passthroughs</v>
          </cell>
          <cell r="AA580" t="str">
            <v>[10200]  PECO Energy CompanyEBSC TransactionalPassthroughs</v>
          </cell>
          <cell r="AB580" t="str">
            <v>[10200]  PECO Energy CompanyEBSC Transactional (Passthroughs)Other Operating Expenses</v>
          </cell>
          <cell r="AC580" t="str">
            <v>[10200]  PECO Energy CompanyEBSC Transactional (Passthroughs)Cust&amp;Mrkt Svcs&amp;Fleet Mgmt-PECO (PECO Energy &amp; Marketing Srvcs)</v>
          </cell>
          <cell r="AF580" t="e">
            <v>#N/A</v>
          </cell>
        </row>
        <row r="581">
          <cell r="E581">
            <v>0</v>
          </cell>
          <cell r="H581">
            <v>0</v>
          </cell>
          <cell r="I581">
            <v>0</v>
          </cell>
          <cell r="J581">
            <v>0</v>
          </cell>
          <cell r="M581">
            <v>0</v>
          </cell>
          <cell r="N581">
            <v>0</v>
          </cell>
          <cell r="O581">
            <v>0</v>
          </cell>
          <cell r="R581">
            <v>0</v>
          </cell>
          <cell r="S581">
            <v>0</v>
          </cell>
          <cell r="V581" t="str">
            <v>EBSC Transactional2</v>
          </cell>
          <cell r="W581" t="str">
            <v>Tools For People</v>
          </cell>
          <cell r="AA581" t="str">
            <v>[10200]  PECO Energy CompanyEBSC TransactionalTools For People</v>
          </cell>
          <cell r="AB581" t="str">
            <v>[10200]  PECO Energy CompanyEBSC Transactional (Tools For People)Business Services</v>
          </cell>
          <cell r="AC581" t="str">
            <v>[10200]  PECO Energy CompanyEBSC Transactional (Tools For People)Cust&amp;Mrkt Svcs&amp;Fleet Mgmt-PECO (PECO Fleet Services)</v>
          </cell>
          <cell r="AF581" t="e">
            <v>#N/A</v>
          </cell>
        </row>
        <row r="582">
          <cell r="E582">
            <v>0</v>
          </cell>
          <cell r="H582">
            <v>0</v>
          </cell>
          <cell r="I582">
            <v>0</v>
          </cell>
          <cell r="J582">
            <v>0</v>
          </cell>
          <cell r="M582">
            <v>0</v>
          </cell>
          <cell r="N582">
            <v>0</v>
          </cell>
          <cell r="O582">
            <v>0</v>
          </cell>
          <cell r="R582">
            <v>0</v>
          </cell>
          <cell r="S582">
            <v>0</v>
          </cell>
          <cell r="V582" t="str">
            <v>EBSC Transactional2</v>
          </cell>
          <cell r="W582" t="str">
            <v>Passthroughs</v>
          </cell>
          <cell r="AA582" t="str">
            <v>[10200]  PECO Energy CompanyEBSC TransactionalPassthroughs</v>
          </cell>
          <cell r="AB582" t="str">
            <v>[10200]  PECO Energy CompanyEBSC Transactional (Passthroughs)Other Operating Expenses</v>
          </cell>
          <cell r="AC582" t="str">
            <v>[10200]  PECO Energy CompanyEBSC Transactional (Passthroughs)Cust&amp;Mrkt Svcs&amp;Fleet Mgmt-PECO (PECO Fleet Services)</v>
          </cell>
          <cell r="AF582" t="e">
            <v>#N/A</v>
          </cell>
        </row>
        <row r="583">
          <cell r="E583">
            <v>0</v>
          </cell>
          <cell r="H583">
            <v>0</v>
          </cell>
          <cell r="I583">
            <v>0</v>
          </cell>
          <cell r="J583">
            <v>885</v>
          </cell>
          <cell r="M583">
            <v>-885</v>
          </cell>
          <cell r="N583">
            <v>0</v>
          </cell>
          <cell r="O583">
            <v>885</v>
          </cell>
          <cell r="R583">
            <v>-885</v>
          </cell>
          <cell r="S583">
            <v>0</v>
          </cell>
          <cell r="V583" t="str">
            <v>EBSC Transactional2</v>
          </cell>
          <cell r="W583" t="str">
            <v>Tools For People</v>
          </cell>
          <cell r="AA583" t="str">
            <v>[10200]  PECO Energy CompanyEBSC TransactionalTools For People</v>
          </cell>
          <cell r="AB583" t="str">
            <v>[10200]  PECO Energy CompanyEBSC Transactional (Tools For People)Business Services</v>
          </cell>
          <cell r="AC583" t="str">
            <v>[10200]  PECO Energy CompanyEBSC Transactional (Tools For People)Gen Company Activities-PECO (09999 - Default Department)</v>
          </cell>
          <cell r="AF583" t="e">
            <v>#N/A</v>
          </cell>
        </row>
        <row r="584">
          <cell r="E584">
            <v>0</v>
          </cell>
          <cell r="H584">
            <v>0</v>
          </cell>
          <cell r="I584">
            <v>0</v>
          </cell>
          <cell r="J584">
            <v>1051</v>
          </cell>
          <cell r="M584">
            <v>-1051</v>
          </cell>
          <cell r="N584">
            <v>0</v>
          </cell>
          <cell r="O584">
            <v>1051</v>
          </cell>
          <cell r="R584">
            <v>-1051</v>
          </cell>
          <cell r="S584">
            <v>0</v>
          </cell>
          <cell r="V584" t="str">
            <v>EBSC Transactional2</v>
          </cell>
          <cell r="W584" t="str">
            <v>Passthroughs</v>
          </cell>
          <cell r="AA584" t="str">
            <v>[10200]  PECO Energy CompanyEBSC TransactionalPassthroughs</v>
          </cell>
          <cell r="AB584" t="str">
            <v>[10200]  PECO Energy CompanyEBSC Transactional (Passthroughs)Other Operating Expenses</v>
          </cell>
          <cell r="AC584" t="str">
            <v>[10200]  PECO Energy CompanyEBSC Transactional (Passthroughs)Gen Company Activities-PECO (09999 - Default Department)</v>
          </cell>
          <cell r="AF584" t="e">
            <v>#N/A</v>
          </cell>
        </row>
        <row r="585">
          <cell r="E585">
            <v>191</v>
          </cell>
          <cell r="H585">
            <v>-191</v>
          </cell>
          <cell r="I585">
            <v>-191</v>
          </cell>
          <cell r="J585">
            <v>766</v>
          </cell>
          <cell r="M585">
            <v>-766</v>
          </cell>
          <cell r="N585">
            <v>-191</v>
          </cell>
          <cell r="O585">
            <v>766</v>
          </cell>
          <cell r="R585">
            <v>-766</v>
          </cell>
          <cell r="S585">
            <v>-191</v>
          </cell>
          <cell r="V585" t="str">
            <v>EBSC Transactional2</v>
          </cell>
          <cell r="W585" t="str">
            <v>Tools For People</v>
          </cell>
          <cell r="AA585" t="str">
            <v>[10200]  PECO Energy CompanyEBSC TransactionalTools For People</v>
          </cell>
          <cell r="AB585" t="str">
            <v>[10200]  PECO Energy CompanyEBSC Transactional (Tools For People)Business Services</v>
          </cell>
          <cell r="AC585" t="str">
            <v>[10200]  PECO Energy CompanyEBSC Transactional (Tools For People)Gen Company Activities-PECO (10200 Unassigned Departments)</v>
          </cell>
          <cell r="AF585" t="e">
            <v>#N/A</v>
          </cell>
        </row>
        <row r="586">
          <cell r="E586">
            <v>46</v>
          </cell>
          <cell r="H586">
            <v>-46</v>
          </cell>
          <cell r="I586">
            <v>-46</v>
          </cell>
          <cell r="J586">
            <v>242</v>
          </cell>
          <cell r="M586">
            <v>-242</v>
          </cell>
          <cell r="N586">
            <v>-46</v>
          </cell>
          <cell r="O586">
            <v>242</v>
          </cell>
          <cell r="R586">
            <v>-242</v>
          </cell>
          <cell r="S586">
            <v>-46</v>
          </cell>
          <cell r="V586" t="str">
            <v>EBSC Transactional2</v>
          </cell>
          <cell r="W586" t="str">
            <v>Passthroughs</v>
          </cell>
          <cell r="AA586" t="str">
            <v>[10200]  PECO Energy CompanyEBSC TransactionalPassthroughs</v>
          </cell>
          <cell r="AB586" t="str">
            <v>[10200]  PECO Energy CompanyEBSC Transactional (Passthroughs)Other Operating Expenses</v>
          </cell>
          <cell r="AC586" t="str">
            <v>[10200]  PECO Energy CompanyEBSC Transactional (Passthroughs)Gen Company Activities-PECO (10200 Unassigned Departments)</v>
          </cell>
          <cell r="AF586" t="e">
            <v>#N/A</v>
          </cell>
        </row>
        <row r="587">
          <cell r="E587">
            <v>267</v>
          </cell>
          <cell r="H587">
            <v>-267</v>
          </cell>
          <cell r="I587">
            <v>-267</v>
          </cell>
          <cell r="J587">
            <v>944</v>
          </cell>
          <cell r="M587">
            <v>-944</v>
          </cell>
          <cell r="N587">
            <v>-267</v>
          </cell>
          <cell r="O587">
            <v>944</v>
          </cell>
          <cell r="R587">
            <v>-944</v>
          </cell>
          <cell r="S587">
            <v>-267</v>
          </cell>
          <cell r="V587" t="str">
            <v>EBSC Transactional2</v>
          </cell>
          <cell r="W587" t="str">
            <v>Passthroughs</v>
          </cell>
          <cell r="AA587" t="str">
            <v>[10200]  PECO Energy CompanyEBSC TransactionalPassthroughs</v>
          </cell>
          <cell r="AB587" t="str">
            <v>[10200]  PECO Energy CompanyEBSC Transactional (Passthroughs)Other Operating Expenses</v>
          </cell>
          <cell r="AC587" t="str">
            <v>[10200]  PECO Energy CompanyEBSC Transactional (Passthroughs)Gen Company Activities-PECO (21014 - Accounting &amp; Controls Center)</v>
          </cell>
          <cell r="AF587" t="e">
            <v>#N/A</v>
          </cell>
        </row>
        <row r="588">
          <cell r="E588">
            <v>39</v>
          </cell>
          <cell r="H588">
            <v>-39</v>
          </cell>
          <cell r="I588">
            <v>-39</v>
          </cell>
          <cell r="J588">
            <v>104644</v>
          </cell>
          <cell r="M588">
            <v>-104644</v>
          </cell>
          <cell r="N588">
            <v>-39</v>
          </cell>
          <cell r="O588">
            <v>104644</v>
          </cell>
          <cell r="R588">
            <v>-104644</v>
          </cell>
          <cell r="S588">
            <v>-39</v>
          </cell>
          <cell r="V588" t="str">
            <v>EBSC Transactional2</v>
          </cell>
          <cell r="W588" t="str">
            <v>Tools For People</v>
          </cell>
          <cell r="AA588" t="str">
            <v>[10200]  PECO Energy CompanyEBSC TransactionalTools For People</v>
          </cell>
          <cell r="AB588" t="str">
            <v>[10200]  PECO Energy CompanyEBSC Transactional (Tools For People)Business Services</v>
          </cell>
          <cell r="AC588" t="str">
            <v>[10200]  PECO Energy CompanyEBSC Transactional (Tools For People)Gen Company Activities-PECO (21015 - PECO Severance)</v>
          </cell>
          <cell r="AF588" t="e">
            <v>#N/A</v>
          </cell>
        </row>
        <row r="589">
          <cell r="E589">
            <v>423</v>
          </cell>
          <cell r="H589">
            <v>-423</v>
          </cell>
          <cell r="I589">
            <v>-423</v>
          </cell>
          <cell r="J589">
            <v>2067</v>
          </cell>
          <cell r="M589">
            <v>-2067</v>
          </cell>
          <cell r="N589">
            <v>-423</v>
          </cell>
          <cell r="O589">
            <v>2067</v>
          </cell>
          <cell r="R589">
            <v>-2067</v>
          </cell>
          <cell r="S589">
            <v>-423</v>
          </cell>
          <cell r="V589" t="str">
            <v>EBSC Transactional2</v>
          </cell>
          <cell r="W589" t="str">
            <v>Passthroughs</v>
          </cell>
          <cell r="AA589" t="str">
            <v>[10200]  PECO Energy CompanyEBSC TransactionalPassthroughs</v>
          </cell>
          <cell r="AB589" t="str">
            <v>[10200]  PECO Energy CompanyEBSC Transactional (Passthroughs)Other Operating Expenses</v>
          </cell>
          <cell r="AC589" t="str">
            <v>[10200]  PECO Energy CompanyEBSC Transactional (Passthroughs)Gen Company Activities-PECO (21015 - PECO Severance)</v>
          </cell>
          <cell r="AF589" t="e">
            <v>#N/A</v>
          </cell>
        </row>
        <row r="590">
          <cell r="E590">
            <v>0</v>
          </cell>
          <cell r="H590">
            <v>500</v>
          </cell>
          <cell r="I590">
            <v>500</v>
          </cell>
          <cell r="J590">
            <v>1014</v>
          </cell>
          <cell r="M590">
            <v>986</v>
          </cell>
          <cell r="N590">
            <v>500</v>
          </cell>
          <cell r="O590">
            <v>5014</v>
          </cell>
          <cell r="R590">
            <v>986</v>
          </cell>
          <cell r="S590">
            <v>500</v>
          </cell>
          <cell r="V590" t="str">
            <v>EBSC Transactional2</v>
          </cell>
          <cell r="W590" t="str">
            <v>Passthroughs</v>
          </cell>
          <cell r="AA590" t="str">
            <v>[10200]  PECO Energy CompanyEBSC TransactionalPassthroughs</v>
          </cell>
          <cell r="AB590" t="str">
            <v>[10200]  PECO Energy CompanyEBSC Transactional (Passthroughs)Contracting</v>
          </cell>
          <cell r="AC590" t="str">
            <v>[10200]  PECO Energy CompanyEBSC Transactional (Passthroughs)Office of the President-PECO (External &amp; Gov't Affairs PECO)</v>
          </cell>
          <cell r="AF590" t="e">
            <v>#N/A</v>
          </cell>
        </row>
        <row r="591">
          <cell r="E591">
            <v>19068</v>
          </cell>
          <cell r="H591">
            <v>-5621</v>
          </cell>
          <cell r="I591">
            <v>-5621</v>
          </cell>
          <cell r="J591">
            <v>60339</v>
          </cell>
          <cell r="M591">
            <v>-6549</v>
          </cell>
          <cell r="N591">
            <v>-5621</v>
          </cell>
          <cell r="O591">
            <v>167918</v>
          </cell>
          <cell r="R591">
            <v>-6549</v>
          </cell>
          <cell r="S591">
            <v>-5621</v>
          </cell>
          <cell r="V591" t="str">
            <v>EBSC Transactional2</v>
          </cell>
          <cell r="W591" t="str">
            <v>Tools For People</v>
          </cell>
          <cell r="AA591" t="str">
            <v>[10200]  PECO Energy CompanyEBSC TransactionalTools For People</v>
          </cell>
          <cell r="AB591" t="str">
            <v>[10200]  PECO Energy CompanyEBSC Transactional (Tools For People)Business Services</v>
          </cell>
          <cell r="AC591" t="str">
            <v>[10200]  PECO Energy CompanyEBSC Transactional (Tools For People)Office of the President-PECO (External &amp; Gov't Affairs PECO)</v>
          </cell>
          <cell r="AF591" t="e">
            <v>#N/A</v>
          </cell>
        </row>
        <row r="592">
          <cell r="E592">
            <v>5616</v>
          </cell>
          <cell r="H592">
            <v>650</v>
          </cell>
          <cell r="I592">
            <v>650</v>
          </cell>
          <cell r="J592">
            <v>22316</v>
          </cell>
          <cell r="M592">
            <v>2749</v>
          </cell>
          <cell r="N592">
            <v>650</v>
          </cell>
          <cell r="O592">
            <v>72448</v>
          </cell>
          <cell r="R592">
            <v>2749</v>
          </cell>
          <cell r="S592">
            <v>650</v>
          </cell>
          <cell r="V592" t="str">
            <v>EBSC Transactional2</v>
          </cell>
          <cell r="W592" t="str">
            <v>Passthroughs</v>
          </cell>
          <cell r="AA592" t="str">
            <v>[10200]  PECO Energy CompanyEBSC TransactionalPassthroughs</v>
          </cell>
          <cell r="AB592" t="str">
            <v>[10200]  PECO Energy CompanyEBSC Transactional (Passthroughs)Other Operating Expenses</v>
          </cell>
          <cell r="AC592" t="str">
            <v>[10200]  PECO Energy CompanyEBSC Transactional (Passthroughs)Office of the President-PECO (External &amp; Gov't Affairs PECO)</v>
          </cell>
          <cell r="AF592" t="e">
            <v>#N/A</v>
          </cell>
        </row>
        <row r="593">
          <cell r="E593">
            <v>3705</v>
          </cell>
          <cell r="H593">
            <v>11794</v>
          </cell>
          <cell r="I593">
            <v>13914</v>
          </cell>
          <cell r="J593">
            <v>15449</v>
          </cell>
          <cell r="M593">
            <v>46545</v>
          </cell>
          <cell r="N593">
            <v>13914</v>
          </cell>
          <cell r="O593">
            <v>161251</v>
          </cell>
          <cell r="R593">
            <v>24731</v>
          </cell>
          <cell r="S593">
            <v>13914</v>
          </cell>
          <cell r="V593" t="str">
            <v>EBSC Transactional2</v>
          </cell>
          <cell r="W593" t="str">
            <v>Tools For People</v>
          </cell>
          <cell r="AA593" t="str">
            <v>[10200]  PECO Energy CompanyEBSC TransactionalTools For People</v>
          </cell>
          <cell r="AB593" t="str">
            <v>[10200]  PECO Energy CompanyEBSC Transactional (Tools For People)Business Services</v>
          </cell>
          <cell r="AC593" t="str">
            <v>[10200]  PECO Energy CompanyEBSC Transactional (Tools For People)Office of the President-PECO (Office of President - PECO)</v>
          </cell>
          <cell r="AF593" t="e">
            <v>#N/A</v>
          </cell>
        </row>
        <row r="594">
          <cell r="E594">
            <v>1090</v>
          </cell>
          <cell r="H594">
            <v>-137</v>
          </cell>
          <cell r="I594">
            <v>-137</v>
          </cell>
          <cell r="J594">
            <v>4301</v>
          </cell>
          <cell r="M594">
            <v>-492</v>
          </cell>
          <cell r="N594">
            <v>-137</v>
          </cell>
          <cell r="O594">
            <v>14273</v>
          </cell>
          <cell r="R594">
            <v>-2844</v>
          </cell>
          <cell r="S594">
            <v>-137</v>
          </cell>
          <cell r="V594" t="str">
            <v>EBSC Transactional2</v>
          </cell>
          <cell r="W594" t="str">
            <v>Passthroughs</v>
          </cell>
          <cell r="AA594" t="str">
            <v>[10200]  PECO Energy CompanyEBSC TransactionalPassthroughs</v>
          </cell>
          <cell r="AB594" t="str">
            <v>[10200]  PECO Energy CompanyEBSC Transactional (Passthroughs)Other Operating Expenses</v>
          </cell>
          <cell r="AC594" t="str">
            <v>[10200]  PECO Energy CompanyEBSC Transactional (Passthroughs)Office of the President-PECO (Office of President - PECO)</v>
          </cell>
          <cell r="AF594" t="e">
            <v>#N/A</v>
          </cell>
        </row>
        <row r="595">
          <cell r="E595">
            <v>8504</v>
          </cell>
          <cell r="H595">
            <v>-7354</v>
          </cell>
          <cell r="I595">
            <v>-7354</v>
          </cell>
          <cell r="J595">
            <v>35601</v>
          </cell>
          <cell r="M595">
            <v>-31001</v>
          </cell>
          <cell r="N595">
            <v>-7354</v>
          </cell>
          <cell r="O595">
            <v>44801</v>
          </cell>
          <cell r="R595">
            <v>-31001</v>
          </cell>
          <cell r="S595">
            <v>-7354</v>
          </cell>
          <cell r="V595" t="str">
            <v>EBSC Transactional2</v>
          </cell>
          <cell r="W595" t="str">
            <v>Tools For People</v>
          </cell>
          <cell r="AA595" t="str">
            <v>[10200]  PECO Energy CompanyEBSC TransactionalTools For People</v>
          </cell>
          <cell r="AB595" t="str">
            <v>[10200]  PECO Energy CompanyEBSC Transactional (Tools For People)Business Services</v>
          </cell>
          <cell r="AC595" t="str">
            <v>[10200]  PECO Energy CompanyEBSC Transactional (Tools For People)Office of the President-PECO (PECO Energy Acquisition)</v>
          </cell>
          <cell r="AF595" t="e">
            <v>#N/A</v>
          </cell>
        </row>
        <row r="596">
          <cell r="E596">
            <v>1368</v>
          </cell>
          <cell r="H596">
            <v>-1198</v>
          </cell>
          <cell r="I596">
            <v>-1198</v>
          </cell>
          <cell r="J596">
            <v>2583</v>
          </cell>
          <cell r="M596">
            <v>-1903</v>
          </cell>
          <cell r="N596">
            <v>-1198</v>
          </cell>
          <cell r="O596">
            <v>3943</v>
          </cell>
          <cell r="R596">
            <v>-1903</v>
          </cell>
          <cell r="S596">
            <v>-1198</v>
          </cell>
          <cell r="V596" t="str">
            <v>EBSC Transactional2</v>
          </cell>
          <cell r="W596" t="str">
            <v>Passthroughs</v>
          </cell>
          <cell r="AA596" t="str">
            <v>[10200]  PECO Energy CompanyEBSC TransactionalPassthroughs</v>
          </cell>
          <cell r="AB596" t="str">
            <v>[10200]  PECO Energy CompanyEBSC Transactional (Passthroughs)Other Operating Expenses</v>
          </cell>
          <cell r="AC596" t="str">
            <v>[10200]  PECO Energy CompanyEBSC Transactional (Passthroughs)Office of the President-PECO (PECO Energy Acquisition)</v>
          </cell>
          <cell r="AF596" t="e">
            <v>#N/A</v>
          </cell>
        </row>
        <row r="597">
          <cell r="E597">
            <v>13280</v>
          </cell>
          <cell r="H597">
            <v>-5697</v>
          </cell>
          <cell r="I597">
            <v>-5697</v>
          </cell>
          <cell r="J597">
            <v>50093</v>
          </cell>
          <cell r="M597">
            <v>3990</v>
          </cell>
          <cell r="N597">
            <v>-5697</v>
          </cell>
          <cell r="O597">
            <v>182010</v>
          </cell>
          <cell r="R597">
            <v>3990</v>
          </cell>
          <cell r="S597">
            <v>-5697</v>
          </cell>
          <cell r="V597" t="str">
            <v>EBSC Transactional2</v>
          </cell>
          <cell r="W597" t="str">
            <v>Tools For People</v>
          </cell>
          <cell r="AA597" t="str">
            <v>[10200]  PECO Energy CompanyEBSC TransactionalTools For People</v>
          </cell>
          <cell r="AB597" t="str">
            <v>[10200]  PECO Energy CompanyEBSC Transactional (Tools For People)Business Services</v>
          </cell>
          <cell r="AC597" t="str">
            <v>[10200]  PECO Energy CompanyEBSC Transactional (Tools For People)Office of the President-PECO (PED Claims)</v>
          </cell>
          <cell r="AF597" t="e">
            <v>#N/A</v>
          </cell>
        </row>
        <row r="598">
          <cell r="E598">
            <v>1304</v>
          </cell>
          <cell r="H598">
            <v>-1304</v>
          </cell>
          <cell r="I598">
            <v>-1304</v>
          </cell>
          <cell r="J598">
            <v>4452</v>
          </cell>
          <cell r="M598">
            <v>-4452</v>
          </cell>
          <cell r="N598">
            <v>-1304</v>
          </cell>
          <cell r="O598">
            <v>4452</v>
          </cell>
          <cell r="R598">
            <v>-4452</v>
          </cell>
          <cell r="S598">
            <v>-1304</v>
          </cell>
          <cell r="V598" t="str">
            <v>EBSC Transactional2</v>
          </cell>
          <cell r="W598" t="str">
            <v>Passthroughs</v>
          </cell>
          <cell r="AA598" t="str">
            <v>[10200]  PECO Energy CompanyEBSC TransactionalPassthroughs</v>
          </cell>
          <cell r="AB598" t="str">
            <v>[10200]  PECO Energy CompanyEBSC Transactional (Passthroughs)Other Operating Expenses</v>
          </cell>
          <cell r="AC598" t="str">
            <v>[10200]  PECO Energy CompanyEBSC Transactional (Passthroughs)Office of the President-PECO (PED Claims)</v>
          </cell>
          <cell r="AF598" t="e">
            <v>#N/A</v>
          </cell>
        </row>
        <row r="599">
          <cell r="E599">
            <v>16128</v>
          </cell>
          <cell r="H599">
            <v>1213</v>
          </cell>
          <cell r="I599">
            <v>1213</v>
          </cell>
          <cell r="J599">
            <v>65312</v>
          </cell>
          <cell r="M599">
            <v>4055</v>
          </cell>
          <cell r="N599">
            <v>1213</v>
          </cell>
          <cell r="O599">
            <v>204045</v>
          </cell>
          <cell r="R599">
            <v>4055</v>
          </cell>
          <cell r="S599">
            <v>1213</v>
          </cell>
          <cell r="V599" t="str">
            <v>EBSC Transactional2</v>
          </cell>
          <cell r="W599" t="str">
            <v>Tools For People</v>
          </cell>
          <cell r="AA599" t="str">
            <v>[10200]  PECO Energy CompanyEBSC TransactionalTools For People</v>
          </cell>
          <cell r="AB599" t="str">
            <v>[10200]  PECO Energy CompanyEBSC Transactional (Tools For People)Business Services</v>
          </cell>
          <cell r="AC599" t="str">
            <v>[10200]  PECO Energy CompanyEBSC Transactional (Tools For People)Office of the President-PECO (PED Real Estate &amp; Facilities)</v>
          </cell>
          <cell r="AF599" t="e">
            <v>#N/A</v>
          </cell>
        </row>
        <row r="600">
          <cell r="E600">
            <v>4756</v>
          </cell>
          <cell r="H600">
            <v>7110</v>
          </cell>
          <cell r="I600">
            <v>7110</v>
          </cell>
          <cell r="J600">
            <v>25334</v>
          </cell>
          <cell r="M600">
            <v>22133</v>
          </cell>
          <cell r="N600">
            <v>7110</v>
          </cell>
          <cell r="O600">
            <v>120267</v>
          </cell>
          <cell r="R600">
            <v>22133</v>
          </cell>
          <cell r="S600">
            <v>7110</v>
          </cell>
          <cell r="V600" t="str">
            <v>EBSC Transactional2</v>
          </cell>
          <cell r="W600" t="str">
            <v>Passthroughs</v>
          </cell>
          <cell r="AA600" t="str">
            <v>[10200]  PECO Energy CompanyEBSC TransactionalPassthroughs</v>
          </cell>
          <cell r="AB600" t="str">
            <v>[10200]  PECO Energy CompanyEBSC Transactional (Passthroughs)Other Operating Expenses</v>
          </cell>
          <cell r="AC600" t="str">
            <v>[10200]  PECO Energy CompanyEBSC Transactional (Passthroughs)Office of the President-PECO (PED Real Estate &amp; Facilities)</v>
          </cell>
          <cell r="AF600" t="e">
            <v>#N/A</v>
          </cell>
        </row>
        <row r="601">
          <cell r="E601">
            <v>13218</v>
          </cell>
          <cell r="H601">
            <v>-7914</v>
          </cell>
          <cell r="I601">
            <v>2086</v>
          </cell>
          <cell r="J601">
            <v>47592</v>
          </cell>
          <cell r="M601">
            <v>-26376</v>
          </cell>
          <cell r="N601">
            <v>2086</v>
          </cell>
          <cell r="O601">
            <v>85024</v>
          </cell>
          <cell r="R601">
            <v>-21376</v>
          </cell>
          <cell r="S601">
            <v>27086</v>
          </cell>
          <cell r="V601" t="str">
            <v>EBSC Transactional2</v>
          </cell>
          <cell r="W601" t="str">
            <v>Tools For People</v>
          </cell>
          <cell r="AA601" t="str">
            <v>[10200]  PECO Energy CompanyEBSC TransactionalTools For People</v>
          </cell>
          <cell r="AB601" t="str">
            <v>[10200]  PECO Energy CompanyEBSC Transactional (Tools For People)Business Services</v>
          </cell>
          <cell r="AC601" t="str">
            <v>[10200]  PECO Energy CompanyEBSC Transactional (Tools For People)Office of the President-PECO (VP-Gas)</v>
          </cell>
          <cell r="AF601" t="e">
            <v>#N/A</v>
          </cell>
        </row>
        <row r="602">
          <cell r="E602">
            <v>5200</v>
          </cell>
          <cell r="H602">
            <v>3169</v>
          </cell>
          <cell r="I602">
            <v>3169</v>
          </cell>
          <cell r="J602">
            <v>20197</v>
          </cell>
          <cell r="M602">
            <v>13279</v>
          </cell>
          <cell r="N602">
            <v>3169</v>
          </cell>
          <cell r="O602">
            <v>87149</v>
          </cell>
          <cell r="R602">
            <v>13279</v>
          </cell>
          <cell r="S602">
            <v>3169</v>
          </cell>
          <cell r="V602" t="str">
            <v>EBSC Transactional2</v>
          </cell>
          <cell r="W602" t="str">
            <v>Passthroughs</v>
          </cell>
          <cell r="AA602" t="str">
            <v>[10200]  PECO Energy CompanyEBSC TransactionalPassthroughs</v>
          </cell>
          <cell r="AB602" t="str">
            <v>[10200]  PECO Energy CompanyEBSC Transactional (Passthroughs)Other Operating Expenses</v>
          </cell>
          <cell r="AC602" t="str">
            <v>[10200]  PECO Energy CompanyEBSC Transactional (Passthroughs)Office of the President-PECO (VP-Gas)</v>
          </cell>
          <cell r="AF602" t="e">
            <v>#N/A</v>
          </cell>
        </row>
        <row r="603">
          <cell r="E603">
            <v>41029</v>
          </cell>
          <cell r="H603">
            <v>-822</v>
          </cell>
          <cell r="I603">
            <v>-822</v>
          </cell>
          <cell r="J603">
            <v>149213</v>
          </cell>
          <cell r="M603">
            <v>12870</v>
          </cell>
          <cell r="N603">
            <v>-822</v>
          </cell>
          <cell r="O603">
            <v>485927</v>
          </cell>
          <cell r="R603">
            <v>12870</v>
          </cell>
          <cell r="S603">
            <v>-822</v>
          </cell>
          <cell r="V603" t="str">
            <v>EBSC Transactional2</v>
          </cell>
          <cell r="W603" t="str">
            <v>Tools For People</v>
          </cell>
          <cell r="AA603" t="str">
            <v>[10200]  PECO Energy CompanyEBSC TransactionalTools For People</v>
          </cell>
          <cell r="AB603" t="str">
            <v>[10200]  PECO Energy CompanyEBSC Transactional (Tools For People)Business Services</v>
          </cell>
          <cell r="AC603" t="str">
            <v>[10200]  PECO Energy CompanyEBSC Transactional (Tools For People)Operations - PECO (Construction&amp;Maintenance-PECO)</v>
          </cell>
          <cell r="AF603" t="e">
            <v>#N/A</v>
          </cell>
        </row>
        <row r="604">
          <cell r="E604">
            <v>24005</v>
          </cell>
          <cell r="H604">
            <v>-24005</v>
          </cell>
          <cell r="I604">
            <v>-24005</v>
          </cell>
          <cell r="J604">
            <v>102131</v>
          </cell>
          <cell r="M604">
            <v>-102131</v>
          </cell>
          <cell r="N604">
            <v>-24005</v>
          </cell>
          <cell r="O604">
            <v>102131</v>
          </cell>
          <cell r="R604">
            <v>-102131</v>
          </cell>
          <cell r="S604">
            <v>-24005</v>
          </cell>
          <cell r="V604" t="str">
            <v>EBSC Transactional2</v>
          </cell>
          <cell r="W604" t="str">
            <v>Passthroughs</v>
          </cell>
          <cell r="AA604" t="str">
            <v>[10200]  PECO Energy CompanyEBSC TransactionalPassthroughs</v>
          </cell>
          <cell r="AB604" t="str">
            <v>[10200]  PECO Energy CompanyEBSC Transactional (Passthroughs)Other Operating Expenses</v>
          </cell>
          <cell r="AC604" t="str">
            <v>[10200]  PECO Energy CompanyEBSC Transactional (Passthroughs)Operations - PECO (Construction&amp;Maintenance-PECO)</v>
          </cell>
          <cell r="AF604" t="e">
            <v>#N/A</v>
          </cell>
        </row>
        <row r="605">
          <cell r="E605">
            <v>30997</v>
          </cell>
          <cell r="H605">
            <v>10553</v>
          </cell>
          <cell r="I605">
            <v>10553</v>
          </cell>
          <cell r="J605">
            <v>127160</v>
          </cell>
          <cell r="M605">
            <v>40718</v>
          </cell>
          <cell r="N605">
            <v>10553</v>
          </cell>
          <cell r="O605">
            <v>459481</v>
          </cell>
          <cell r="R605">
            <v>40718</v>
          </cell>
          <cell r="S605">
            <v>10553</v>
          </cell>
          <cell r="V605" t="str">
            <v>EBSC Transactional2</v>
          </cell>
          <cell r="W605" t="str">
            <v>Tools For People</v>
          </cell>
          <cell r="AA605" t="str">
            <v>[10200]  PECO Energy CompanyEBSC TransactionalTools For People</v>
          </cell>
          <cell r="AB605" t="str">
            <v>[10200]  PECO Energy CompanyEBSC Transactional (Tools For People)Business Services</v>
          </cell>
          <cell r="AC605" t="str">
            <v>[10200]  PECO Energy CompanyEBSC Transactional (Tools For People)Operations - PECO (Dispatch &amp; Operations - PECO)</v>
          </cell>
          <cell r="AF605" t="e">
            <v>#N/A</v>
          </cell>
        </row>
        <row r="606">
          <cell r="E606">
            <v>15172</v>
          </cell>
          <cell r="H606">
            <v>-15172</v>
          </cell>
          <cell r="I606">
            <v>-15172</v>
          </cell>
          <cell r="J606">
            <v>79520</v>
          </cell>
          <cell r="M606">
            <v>-79520</v>
          </cell>
          <cell r="N606">
            <v>-15172</v>
          </cell>
          <cell r="O606">
            <v>79520</v>
          </cell>
          <cell r="R606">
            <v>-79520</v>
          </cell>
          <cell r="S606">
            <v>-15172</v>
          </cell>
          <cell r="V606" t="str">
            <v>EBSC Transactional2</v>
          </cell>
          <cell r="W606" t="str">
            <v>Passthroughs</v>
          </cell>
          <cell r="AA606" t="str">
            <v>[10200]  PECO Energy CompanyEBSC TransactionalPassthroughs</v>
          </cell>
          <cell r="AB606" t="str">
            <v>[10200]  PECO Energy CompanyEBSC Transactional (Passthroughs)Other Operating Expenses</v>
          </cell>
          <cell r="AC606" t="str">
            <v>[10200]  PECO Energy CompanyEBSC Transactional (Passthroughs)Operations - PECO (Dispatch &amp; Operations - PECO)</v>
          </cell>
          <cell r="AF606" t="e">
            <v>#N/A</v>
          </cell>
        </row>
        <row r="607">
          <cell r="E607">
            <v>4284</v>
          </cell>
          <cell r="H607">
            <v>349</v>
          </cell>
          <cell r="I607">
            <v>349</v>
          </cell>
          <cell r="J607">
            <v>17319</v>
          </cell>
          <cell r="M607">
            <v>1213</v>
          </cell>
          <cell r="N607">
            <v>349</v>
          </cell>
          <cell r="O607">
            <v>54387</v>
          </cell>
          <cell r="R607">
            <v>1213</v>
          </cell>
          <cell r="S607">
            <v>349</v>
          </cell>
          <cell r="V607" t="str">
            <v>EBSC Transactional2</v>
          </cell>
          <cell r="W607" t="str">
            <v>Tools For People</v>
          </cell>
          <cell r="AA607" t="str">
            <v>[10200]  PECO Energy CompanyEBSC TransactionalTools For People</v>
          </cell>
          <cell r="AB607" t="str">
            <v>[10200]  PECO Energy CompanyEBSC Transactional (Tools For People)Business Services</v>
          </cell>
          <cell r="AC607" t="str">
            <v>[10200]  PECO Energy CompanyEBSC Transactional (Tools For People)Operations - PECO (Envir Sfty&amp;Indust Hygiene-PECO)</v>
          </cell>
          <cell r="AF607" t="e">
            <v>#N/A</v>
          </cell>
        </row>
        <row r="608">
          <cell r="E608">
            <v>694</v>
          </cell>
          <cell r="H608">
            <v>-694</v>
          </cell>
          <cell r="I608">
            <v>-694</v>
          </cell>
          <cell r="J608">
            <v>6612</v>
          </cell>
          <cell r="M608">
            <v>-6612</v>
          </cell>
          <cell r="N608">
            <v>-694</v>
          </cell>
          <cell r="O608">
            <v>6612</v>
          </cell>
          <cell r="R608">
            <v>-6612</v>
          </cell>
          <cell r="S608">
            <v>-694</v>
          </cell>
          <cell r="V608" t="str">
            <v>EBSC Transactional2</v>
          </cell>
          <cell r="W608" t="str">
            <v>Passthroughs</v>
          </cell>
          <cell r="AA608" t="str">
            <v>[10200]  PECO Energy CompanyEBSC TransactionalPassthroughs</v>
          </cell>
          <cell r="AB608" t="str">
            <v>[10200]  PECO Energy CompanyEBSC Transactional (Passthroughs)Other Operating Expenses</v>
          </cell>
          <cell r="AC608" t="str">
            <v>[10200]  PECO Energy CompanyEBSC Transactional (Passthroughs)Operations - PECO (Envir Sfty&amp;Indust Hygiene-PECO)</v>
          </cell>
          <cell r="AF608" t="e">
            <v>#N/A</v>
          </cell>
        </row>
        <row r="609">
          <cell r="E609">
            <v>1691</v>
          </cell>
          <cell r="H609">
            <v>-562</v>
          </cell>
          <cell r="I609">
            <v>-562</v>
          </cell>
          <cell r="J609">
            <v>7219</v>
          </cell>
          <cell r="M609">
            <v>-2704</v>
          </cell>
          <cell r="N609">
            <v>-562</v>
          </cell>
          <cell r="O609">
            <v>16249</v>
          </cell>
          <cell r="R609">
            <v>-2704</v>
          </cell>
          <cell r="S609">
            <v>-562</v>
          </cell>
          <cell r="V609" t="str">
            <v>EBSC Transactional2</v>
          </cell>
          <cell r="W609" t="str">
            <v>Tools For People</v>
          </cell>
          <cell r="AA609" t="str">
            <v>[10200]  PECO Energy CompanyEBSC TransactionalTools For People</v>
          </cell>
          <cell r="AB609" t="str">
            <v>[10200]  PECO Energy CompanyEBSC Transactional (Tools For People)Business Services</v>
          </cell>
          <cell r="AC609" t="str">
            <v>[10200]  PECO Energy CompanyEBSC Transactional (Tools For People)Operations - PECO (Performance Improvement - East)</v>
          </cell>
          <cell r="AF609" t="e">
            <v>#N/A</v>
          </cell>
        </row>
        <row r="610">
          <cell r="E610">
            <v>458</v>
          </cell>
          <cell r="H610">
            <v>-458</v>
          </cell>
          <cell r="I610">
            <v>-458</v>
          </cell>
          <cell r="J610">
            <v>2036</v>
          </cell>
          <cell r="M610">
            <v>-2036</v>
          </cell>
          <cell r="N610">
            <v>-458</v>
          </cell>
          <cell r="O610">
            <v>2036</v>
          </cell>
          <cell r="R610">
            <v>-2036</v>
          </cell>
          <cell r="S610">
            <v>-458</v>
          </cell>
          <cell r="V610" t="str">
            <v>EBSC Transactional2</v>
          </cell>
          <cell r="W610" t="str">
            <v>Passthroughs</v>
          </cell>
          <cell r="AA610" t="str">
            <v>[10200]  PECO Energy CompanyEBSC TransactionalPassthroughs</v>
          </cell>
          <cell r="AB610" t="str">
            <v>[10200]  PECO Energy CompanyEBSC Transactional (Passthroughs)Other Operating Expenses</v>
          </cell>
          <cell r="AC610" t="str">
            <v>[10200]  PECO Energy CompanyEBSC Transactional (Passthroughs)Operations - PECO (Performance Improvement - East)</v>
          </cell>
          <cell r="AF610" t="e">
            <v>#N/A</v>
          </cell>
        </row>
        <row r="611">
          <cell r="E611">
            <v>8201</v>
          </cell>
          <cell r="H611">
            <v>-5655</v>
          </cell>
          <cell r="I611">
            <v>-5655</v>
          </cell>
          <cell r="J611">
            <v>34266</v>
          </cell>
          <cell r="M611">
            <v>-16580</v>
          </cell>
          <cell r="N611">
            <v>-5655</v>
          </cell>
          <cell r="O611">
            <v>54629</v>
          </cell>
          <cell r="R611">
            <v>-16580</v>
          </cell>
          <cell r="S611">
            <v>-5655</v>
          </cell>
          <cell r="V611" t="str">
            <v>EBSC Transactional2</v>
          </cell>
          <cell r="W611" t="str">
            <v>Tools For People</v>
          </cell>
          <cell r="AA611" t="str">
            <v>[10200]  PECO Energy CompanyEBSC TransactionalTools For People</v>
          </cell>
          <cell r="AB611" t="str">
            <v>[10200]  PECO Energy CompanyEBSC Transactional (Tools For People)Business Services</v>
          </cell>
          <cell r="AC611" t="str">
            <v>[10200]  PECO Energy CompanyEBSC Transactional (Tools For People)Operations - PECO (Training East)</v>
          </cell>
          <cell r="AF611" t="e">
            <v>#N/A</v>
          </cell>
        </row>
        <row r="612">
          <cell r="E612">
            <v>2142</v>
          </cell>
          <cell r="H612">
            <v>-1426</v>
          </cell>
          <cell r="I612">
            <v>-1426</v>
          </cell>
          <cell r="J612">
            <v>7400</v>
          </cell>
          <cell r="M612">
            <v>-3926</v>
          </cell>
          <cell r="N612">
            <v>-1426</v>
          </cell>
          <cell r="O612">
            <v>13128</v>
          </cell>
          <cell r="R612">
            <v>-3926</v>
          </cell>
          <cell r="S612">
            <v>-1426</v>
          </cell>
          <cell r="V612" t="str">
            <v>EBSC Transactional2</v>
          </cell>
          <cell r="W612" t="str">
            <v>Passthroughs</v>
          </cell>
          <cell r="AA612" t="str">
            <v>[10200]  PECO Energy CompanyEBSC TransactionalPassthroughs</v>
          </cell>
          <cell r="AB612" t="str">
            <v>[10200]  PECO Energy CompanyEBSC Transactional (Passthroughs)Other Operating Expenses</v>
          </cell>
          <cell r="AC612" t="str">
            <v>[10200]  PECO Energy CompanyEBSC Transactional (Passthroughs)Operations - PECO (Training East)</v>
          </cell>
          <cell r="AF612" t="e">
            <v>#N/A</v>
          </cell>
        </row>
        <row r="613">
          <cell r="E613">
            <v>19858</v>
          </cell>
          <cell r="H613">
            <v>-63</v>
          </cell>
          <cell r="I613">
            <v>-63</v>
          </cell>
          <cell r="J613">
            <v>148495</v>
          </cell>
          <cell r="M613">
            <v>-75143</v>
          </cell>
          <cell r="N613">
            <v>-63</v>
          </cell>
          <cell r="O613">
            <v>343940</v>
          </cell>
          <cell r="R613">
            <v>-75061</v>
          </cell>
          <cell r="S613">
            <v>18</v>
          </cell>
          <cell r="V613" t="str">
            <v>EBSC Transactional2</v>
          </cell>
          <cell r="W613" t="str">
            <v>Tools For People</v>
          </cell>
          <cell r="AA613" t="str">
            <v>[10200]  PECO Energy CompanyEBSC TransactionalTools For People</v>
          </cell>
          <cell r="AB613" t="str">
            <v>[10200]  PECO Energy CompanyEBSC Transactional (Tools For People)Business Services</v>
          </cell>
          <cell r="AC613" t="str">
            <v>[10200]  PECO Energy CompanyEBSC Transactional (Tools For People)Operations - PECO (Transmission &amp; Substation PECO)</v>
          </cell>
          <cell r="AF613" t="e">
            <v>#N/A</v>
          </cell>
        </row>
        <row r="614">
          <cell r="E614">
            <v>4743</v>
          </cell>
          <cell r="H614">
            <v>-4743</v>
          </cell>
          <cell r="I614">
            <v>-4743</v>
          </cell>
          <cell r="J614">
            <v>34294</v>
          </cell>
          <cell r="M614">
            <v>-34294</v>
          </cell>
          <cell r="N614">
            <v>-4743</v>
          </cell>
          <cell r="O614">
            <v>34294</v>
          </cell>
          <cell r="R614">
            <v>-34294</v>
          </cell>
          <cell r="S614">
            <v>-4743</v>
          </cell>
          <cell r="V614" t="str">
            <v>EBSC Transactional2</v>
          </cell>
          <cell r="W614" t="str">
            <v>Passthroughs</v>
          </cell>
          <cell r="AA614" t="str">
            <v>[10200]  PECO Energy CompanyEBSC TransactionalPassthroughs</v>
          </cell>
          <cell r="AB614" t="str">
            <v>[10200]  PECO Energy CompanyEBSC Transactional (Passthroughs)Other Operating Expenses</v>
          </cell>
          <cell r="AC614" t="str">
            <v>[10200]  PECO Energy CompanyEBSC Transactional (Passthroughs)Operations - PECO (Transmission &amp; Substation PECO)</v>
          </cell>
          <cell r="AF614" t="e">
            <v>#N/A</v>
          </cell>
        </row>
        <row r="615">
          <cell r="E615">
            <v>10336</v>
          </cell>
          <cell r="H615">
            <v>2580</v>
          </cell>
          <cell r="I615">
            <v>279</v>
          </cell>
          <cell r="J615">
            <v>44990</v>
          </cell>
          <cell r="M615">
            <v>6673</v>
          </cell>
          <cell r="N615">
            <v>279</v>
          </cell>
          <cell r="O615">
            <v>132213</v>
          </cell>
          <cell r="R615">
            <v>22776</v>
          </cell>
          <cell r="S615">
            <v>279</v>
          </cell>
          <cell r="V615" t="str">
            <v>EBSC Transactional2</v>
          </cell>
          <cell r="W615" t="str">
            <v>Tools For People</v>
          </cell>
          <cell r="AA615" t="str">
            <v>[10200]  PECO Energy CompanyEBSC TransactionalTools For People</v>
          </cell>
          <cell r="AB615" t="str">
            <v>[10200]  PECO Energy CompanyEBSC Transactional (Tools For People)Business Services</v>
          </cell>
          <cell r="AC615" t="str">
            <v>[10200]  PECO Energy CompanyEBSC Transactional (Tools For People)Operations - PECO (Work Management - PECO)</v>
          </cell>
          <cell r="AF615" t="e">
            <v>#N/A</v>
          </cell>
        </row>
        <row r="616">
          <cell r="E616">
            <v>5700</v>
          </cell>
          <cell r="H616">
            <v>-5700</v>
          </cell>
          <cell r="I616">
            <v>-5700</v>
          </cell>
          <cell r="J616">
            <v>19006</v>
          </cell>
          <cell r="M616">
            <v>-19006</v>
          </cell>
          <cell r="N616">
            <v>-5700</v>
          </cell>
          <cell r="O616">
            <v>19006</v>
          </cell>
          <cell r="R616">
            <v>-19006</v>
          </cell>
          <cell r="S616">
            <v>-5700</v>
          </cell>
          <cell r="V616" t="str">
            <v>EBSC Transactional2</v>
          </cell>
          <cell r="W616" t="str">
            <v>Passthroughs</v>
          </cell>
          <cell r="AA616" t="str">
            <v>[10200]  PECO Energy CompanyEBSC TransactionalPassthroughs</v>
          </cell>
          <cell r="AB616" t="str">
            <v>[10200]  PECO Energy CompanyEBSC Transactional (Passthroughs)Other Operating Expenses</v>
          </cell>
          <cell r="AC616" t="str">
            <v>[10200]  PECO Energy CompanyEBSC Transactional (Passthroughs)Operations - PECO (Work Management - PECO)</v>
          </cell>
          <cell r="AF616" t="e">
            <v>#N/A</v>
          </cell>
        </row>
        <row r="617">
          <cell r="E617">
            <v>982</v>
          </cell>
          <cell r="H617">
            <v>179</v>
          </cell>
          <cell r="I617">
            <v>179</v>
          </cell>
          <cell r="J617">
            <v>3054</v>
          </cell>
          <cell r="M617">
            <v>1590</v>
          </cell>
          <cell r="N617">
            <v>179</v>
          </cell>
          <cell r="O617">
            <v>12343</v>
          </cell>
          <cell r="R617">
            <v>1590</v>
          </cell>
          <cell r="S617">
            <v>179</v>
          </cell>
          <cell r="V617" t="str">
            <v>EBSC Transactional2</v>
          </cell>
          <cell r="W617" t="str">
            <v>Tools For People</v>
          </cell>
          <cell r="AA617" t="str">
            <v>[10200]  PECO Energy CompanyEBSC TransactionalTools For People</v>
          </cell>
          <cell r="AB617" t="str">
            <v>[10200]  PECO Energy CompanyEBSC Transactional (Tools For People)Business Services</v>
          </cell>
          <cell r="AC617" t="str">
            <v>[10200]  PECO Energy CompanyEBSC Transactional (Tools For People)Technical Services (Asset Invest Strategy&amp;Dev-PED)</v>
          </cell>
          <cell r="AF617" t="e">
            <v>#N/A</v>
          </cell>
        </row>
        <row r="618">
          <cell r="E618">
            <v>136</v>
          </cell>
          <cell r="H618">
            <v>-136</v>
          </cell>
          <cell r="I618">
            <v>-136</v>
          </cell>
          <cell r="J618">
            <v>496</v>
          </cell>
          <cell r="M618">
            <v>-496</v>
          </cell>
          <cell r="N618">
            <v>-136</v>
          </cell>
          <cell r="O618">
            <v>496</v>
          </cell>
          <cell r="R618">
            <v>-496</v>
          </cell>
          <cell r="S618">
            <v>-136</v>
          </cell>
          <cell r="V618" t="str">
            <v>EBSC Transactional2</v>
          </cell>
          <cell r="W618" t="str">
            <v>Passthroughs</v>
          </cell>
          <cell r="AA618" t="str">
            <v>[10200]  PECO Energy CompanyEBSC TransactionalPassthroughs</v>
          </cell>
          <cell r="AB618" t="str">
            <v>[10200]  PECO Energy CompanyEBSC Transactional (Passthroughs)Other Operating Expenses</v>
          </cell>
          <cell r="AC618" t="str">
            <v>[10200]  PECO Energy CompanyEBSC Transactional (Passthroughs)Technical Services (Asset Invest Strategy&amp;Dev-PED)</v>
          </cell>
          <cell r="AF618" t="e">
            <v>#N/A</v>
          </cell>
        </row>
        <row r="619">
          <cell r="E619">
            <v>10763</v>
          </cell>
          <cell r="H619">
            <v>-3496</v>
          </cell>
          <cell r="I619">
            <v>-3496</v>
          </cell>
          <cell r="J619">
            <v>38628</v>
          </cell>
          <cell r="M619">
            <v>-9560</v>
          </cell>
          <cell r="N619">
            <v>-3496</v>
          </cell>
          <cell r="O619">
            <v>96765</v>
          </cell>
          <cell r="R619">
            <v>-9560</v>
          </cell>
          <cell r="S619">
            <v>-3496</v>
          </cell>
          <cell r="V619" t="str">
            <v>EBSC Transactional2</v>
          </cell>
          <cell r="W619" t="str">
            <v>Tools For People</v>
          </cell>
          <cell r="AA619" t="str">
            <v>[10200]  PECO Energy CompanyEBSC TransactionalTools For People</v>
          </cell>
          <cell r="AB619" t="str">
            <v>[10200]  PECO Energy CompanyEBSC Transactional (Tools For People)Business Services</v>
          </cell>
          <cell r="AC619" t="str">
            <v>[10200]  PECO Energy CompanyEBSC Transactional (Tools For People)Technical Services (Engineering &amp; System Perf-PED)</v>
          </cell>
          <cell r="AF619" t="e">
            <v>#N/A</v>
          </cell>
        </row>
        <row r="620">
          <cell r="E620">
            <v>1877</v>
          </cell>
          <cell r="H620">
            <v>-1877</v>
          </cell>
          <cell r="I620">
            <v>-1877</v>
          </cell>
          <cell r="J620">
            <v>5684</v>
          </cell>
          <cell r="M620">
            <v>-5684</v>
          </cell>
          <cell r="N620">
            <v>-1877</v>
          </cell>
          <cell r="O620">
            <v>5684</v>
          </cell>
          <cell r="R620">
            <v>-5684</v>
          </cell>
          <cell r="S620">
            <v>-1877</v>
          </cell>
          <cell r="V620" t="str">
            <v>EBSC Transactional2</v>
          </cell>
          <cell r="W620" t="str">
            <v>Passthroughs</v>
          </cell>
          <cell r="AA620" t="str">
            <v>[10200]  PECO Energy CompanyEBSC TransactionalPassthroughs</v>
          </cell>
          <cell r="AB620" t="str">
            <v>[10200]  PECO Energy CompanyEBSC Transactional (Passthroughs)Other Operating Expenses</v>
          </cell>
          <cell r="AC620" t="str">
            <v>[10200]  PECO Energy CompanyEBSC Transactional (Passthroughs)Technical Services (Engineering &amp; System Perf-PED)</v>
          </cell>
          <cell r="AF620" t="e">
            <v>#N/A</v>
          </cell>
        </row>
        <row r="621">
          <cell r="E621">
            <v>30692</v>
          </cell>
          <cell r="H621">
            <v>-26788</v>
          </cell>
          <cell r="I621">
            <v>-26788</v>
          </cell>
          <cell r="J621">
            <v>109561</v>
          </cell>
          <cell r="M621">
            <v>-93942</v>
          </cell>
          <cell r="N621">
            <v>-26788</v>
          </cell>
          <cell r="O621">
            <v>140798</v>
          </cell>
          <cell r="R621">
            <v>-93942</v>
          </cell>
          <cell r="S621">
            <v>-26788</v>
          </cell>
          <cell r="V621" t="str">
            <v>EBSC Transactional2</v>
          </cell>
          <cell r="W621" t="str">
            <v>Tools For People</v>
          </cell>
          <cell r="AA621" t="str">
            <v>[10200]  PECO Energy CompanyEBSC TransactionalTools For People</v>
          </cell>
          <cell r="AB621" t="str">
            <v>[10200]  PECO Energy CompanyEBSC Transactional (Tools For People)Business Services</v>
          </cell>
          <cell r="AC621" t="str">
            <v>[10200]  PECO Energy CompanyEBSC Transactional (Tools For People)Technical Services (New Business - PED)</v>
          </cell>
          <cell r="AF621" t="e">
            <v>#N/A</v>
          </cell>
        </row>
        <row r="622">
          <cell r="E622">
            <v>2237</v>
          </cell>
          <cell r="H622">
            <v>-2237</v>
          </cell>
          <cell r="I622">
            <v>-2237</v>
          </cell>
          <cell r="J622">
            <v>4714</v>
          </cell>
          <cell r="M622">
            <v>-4714</v>
          </cell>
          <cell r="N622">
            <v>-2237</v>
          </cell>
          <cell r="O622">
            <v>4714</v>
          </cell>
          <cell r="R622">
            <v>-4714</v>
          </cell>
          <cell r="S622">
            <v>-2237</v>
          </cell>
          <cell r="V622" t="str">
            <v>EBSC Transactional2</v>
          </cell>
          <cell r="W622" t="str">
            <v>Passthroughs</v>
          </cell>
          <cell r="AA622" t="str">
            <v>[10200]  PECO Energy CompanyEBSC TransactionalPassthroughs</v>
          </cell>
          <cell r="AB622" t="str">
            <v>[10200]  PECO Energy CompanyEBSC Transactional (Passthroughs)Other Operating Expenses</v>
          </cell>
          <cell r="AC622" t="str">
            <v>[10200]  PECO Energy CompanyEBSC Transactional (Passthroughs)Technical Services (New Business - PED)</v>
          </cell>
          <cell r="AF622" t="e">
            <v>#N/A</v>
          </cell>
        </row>
        <row r="623">
          <cell r="E623">
            <v>9098</v>
          </cell>
          <cell r="H623">
            <v>-4322</v>
          </cell>
          <cell r="I623">
            <v>-4322</v>
          </cell>
          <cell r="J623">
            <v>18701</v>
          </cell>
          <cell r="M623">
            <v>403</v>
          </cell>
          <cell r="N623">
            <v>-4322</v>
          </cell>
          <cell r="O623">
            <v>56909</v>
          </cell>
          <cell r="R623">
            <v>403</v>
          </cell>
          <cell r="S623">
            <v>-4322</v>
          </cell>
          <cell r="V623" t="str">
            <v>EBSC Transactional2</v>
          </cell>
          <cell r="W623" t="str">
            <v>Tools For People</v>
          </cell>
          <cell r="AA623" t="str">
            <v>[10200]  PECO Energy CompanyEBSC TransactionalTools For People</v>
          </cell>
          <cell r="AB623" t="str">
            <v>[10200]  PECO Energy CompanyEBSC Transactional (Tools For People)Business Services</v>
          </cell>
          <cell r="AC623" t="str">
            <v>[10200]  PECO Energy CompanyEBSC Transactional (Tools For People)Technical Services (Proj&amp;Contract Management-PECO)</v>
          </cell>
          <cell r="AF623" t="e">
            <v>#N/A</v>
          </cell>
        </row>
        <row r="624">
          <cell r="E624">
            <v>2734</v>
          </cell>
          <cell r="H624">
            <v>-2734</v>
          </cell>
          <cell r="I624">
            <v>-2734</v>
          </cell>
          <cell r="J624">
            <v>7103</v>
          </cell>
          <cell r="M624">
            <v>-7103</v>
          </cell>
          <cell r="N624">
            <v>-2734</v>
          </cell>
          <cell r="O624">
            <v>7103</v>
          </cell>
          <cell r="R624">
            <v>-7103</v>
          </cell>
          <cell r="S624">
            <v>-2734</v>
          </cell>
          <cell r="V624" t="str">
            <v>EBSC Transactional2</v>
          </cell>
          <cell r="W624" t="str">
            <v>Passthroughs</v>
          </cell>
          <cell r="AA624" t="str">
            <v>[10200]  PECO Energy CompanyEBSC TransactionalPassthroughs</v>
          </cell>
          <cell r="AB624" t="str">
            <v>[10200]  PECO Energy CompanyEBSC Transactional (Passthroughs)Other Operating Expenses</v>
          </cell>
          <cell r="AC624" t="str">
            <v>[10200]  PECO Energy CompanyEBSC Transactional (Passthroughs)Technical Services (Proj&amp;Contract Management-PECO)</v>
          </cell>
          <cell r="AF624" t="e">
            <v>#N/A</v>
          </cell>
        </row>
        <row r="625">
          <cell r="E625">
            <v>7259</v>
          </cell>
          <cell r="H625">
            <v>-2509</v>
          </cell>
          <cell r="I625">
            <v>-2509</v>
          </cell>
          <cell r="J625">
            <v>28072</v>
          </cell>
          <cell r="M625">
            <v>-9072</v>
          </cell>
          <cell r="N625">
            <v>-2509</v>
          </cell>
          <cell r="O625">
            <v>66072</v>
          </cell>
          <cell r="R625">
            <v>-9072</v>
          </cell>
          <cell r="S625">
            <v>-2509</v>
          </cell>
          <cell r="V625" t="str">
            <v>EBSC Transactional2</v>
          </cell>
          <cell r="W625" t="str">
            <v>Tools For People</v>
          </cell>
          <cell r="AA625" t="str">
            <v>[10200]  PECO Energy CompanyEBSC TransactionalTools For People</v>
          </cell>
          <cell r="AB625" t="str">
            <v>[10200]  PECO Energy CompanyEBSC Transactional (Tools For People)Business Services</v>
          </cell>
          <cell r="AC625" t="str">
            <v>[10200]  PECO Energy CompanyEBSC Transactional (Tools For People)Transmission Operations-PECO (PEDTransmission Operation East)</v>
          </cell>
          <cell r="AF625" t="e">
            <v>#N/A</v>
          </cell>
        </row>
        <row r="626">
          <cell r="E626">
            <v>435</v>
          </cell>
          <cell r="H626">
            <v>65</v>
          </cell>
          <cell r="I626">
            <v>65</v>
          </cell>
          <cell r="J626">
            <v>2387</v>
          </cell>
          <cell r="M626">
            <v>-387</v>
          </cell>
          <cell r="N626">
            <v>65</v>
          </cell>
          <cell r="O626">
            <v>6387</v>
          </cell>
          <cell r="R626">
            <v>-387</v>
          </cell>
          <cell r="S626">
            <v>65</v>
          </cell>
          <cell r="V626" t="str">
            <v>EBSC Transactional2</v>
          </cell>
          <cell r="W626" t="str">
            <v>Passthroughs</v>
          </cell>
          <cell r="AA626" t="str">
            <v>[10200]  PECO Energy CompanyEBSC TransactionalPassthroughs</v>
          </cell>
          <cell r="AB626" t="str">
            <v>[10200]  PECO Energy CompanyEBSC Transactional (Passthroughs)Other Operating Expenses</v>
          </cell>
          <cell r="AC626" t="str">
            <v>[10200]  PECO Energy CompanyEBSC Transactional (Passthroughs)Transmission Operations-PECO (PEDTransmission Operation East)</v>
          </cell>
          <cell r="AF626" t="e">
            <v>#N/A</v>
          </cell>
        </row>
        <row r="627">
          <cell r="E627">
            <v>1647</v>
          </cell>
          <cell r="H627">
            <v>3</v>
          </cell>
          <cell r="I627">
            <v>3</v>
          </cell>
          <cell r="J627">
            <v>6338</v>
          </cell>
          <cell r="M627">
            <v>262</v>
          </cell>
          <cell r="N627">
            <v>3</v>
          </cell>
          <cell r="O627">
            <v>19538</v>
          </cell>
          <cell r="R627">
            <v>262</v>
          </cell>
          <cell r="S627">
            <v>3</v>
          </cell>
          <cell r="V627" t="str">
            <v>EBSC Transactional2</v>
          </cell>
          <cell r="W627" t="str">
            <v>Tools For People</v>
          </cell>
          <cell r="AA627" t="str">
            <v>[10200]  PECO Energy CompanyEBSC TransactionalTools For People</v>
          </cell>
          <cell r="AB627" t="str">
            <v>[10200]  PECO Energy CompanyEBSC Transactional (Tools For People)Business Services</v>
          </cell>
          <cell r="AC627" t="str">
            <v>[10200]  PECO Energy CompanyEBSC Transactional (Tools For People)Transmission Operations-PECO (PED Transmission Planning East)</v>
          </cell>
          <cell r="AF627" t="e">
            <v>#N/A</v>
          </cell>
        </row>
        <row r="628">
          <cell r="E628">
            <v>123</v>
          </cell>
          <cell r="H628">
            <v>77</v>
          </cell>
          <cell r="I628">
            <v>77</v>
          </cell>
          <cell r="J628">
            <v>517</v>
          </cell>
          <cell r="M628">
            <v>283</v>
          </cell>
          <cell r="N628">
            <v>77</v>
          </cell>
          <cell r="O628">
            <v>2117</v>
          </cell>
          <cell r="R628">
            <v>283</v>
          </cell>
          <cell r="S628">
            <v>77</v>
          </cell>
          <cell r="V628" t="str">
            <v>EBSC Transactional2</v>
          </cell>
          <cell r="W628" t="str">
            <v>Passthroughs</v>
          </cell>
          <cell r="AA628" t="str">
            <v>[10200]  PECO Energy CompanyEBSC TransactionalPassthroughs</v>
          </cell>
          <cell r="AB628" t="str">
            <v>[10200]  PECO Energy CompanyEBSC Transactional (Passthroughs)Other Operating Expenses</v>
          </cell>
          <cell r="AC628" t="str">
            <v>[10200]  PECO Energy CompanyEBSC Transactional (Passthroughs)Transmission Operations-PECO (PED Transmission Planning East)</v>
          </cell>
          <cell r="AF628" t="e">
            <v>#N/A</v>
          </cell>
        </row>
        <row r="629">
          <cell r="E629">
            <v>849</v>
          </cell>
          <cell r="H629">
            <v>451</v>
          </cell>
          <cell r="I629">
            <v>451</v>
          </cell>
          <cell r="J629">
            <v>3341</v>
          </cell>
          <cell r="M629">
            <v>1859</v>
          </cell>
          <cell r="N629">
            <v>451</v>
          </cell>
          <cell r="O629">
            <v>13741</v>
          </cell>
          <cell r="R629">
            <v>1859</v>
          </cell>
          <cell r="S629">
            <v>451</v>
          </cell>
          <cell r="V629" t="str">
            <v>EBSC Transactional2</v>
          </cell>
          <cell r="W629" t="str">
            <v>Tools For People</v>
          </cell>
          <cell r="AA629" t="str">
            <v>[10200]  PECO Energy CompanyEBSC TransactionalTools For People</v>
          </cell>
          <cell r="AB629" t="str">
            <v>[10200]  PECO Energy CompanyEBSC Transactional (Tools For People)Business Services</v>
          </cell>
          <cell r="AC629" t="str">
            <v>[10200]  PECO Energy CompanyEBSC Transactional (Tools For People)Transmission Operations-PECO (Trans Strat&amp;Bussinss Oper East)</v>
          </cell>
          <cell r="AF629" t="e">
            <v>#N/A</v>
          </cell>
        </row>
        <row r="630">
          <cell r="E630">
            <v>244</v>
          </cell>
          <cell r="H630">
            <v>-94</v>
          </cell>
          <cell r="I630">
            <v>-94</v>
          </cell>
          <cell r="J630">
            <v>1013</v>
          </cell>
          <cell r="M630">
            <v>-413</v>
          </cell>
          <cell r="N630">
            <v>-94</v>
          </cell>
          <cell r="O630">
            <v>2213</v>
          </cell>
          <cell r="R630">
            <v>-413</v>
          </cell>
          <cell r="S630">
            <v>-94</v>
          </cell>
          <cell r="V630" t="str">
            <v>EBSC Transactional2</v>
          </cell>
          <cell r="W630" t="str">
            <v>Passthroughs</v>
          </cell>
          <cell r="AA630" t="str">
            <v>[10200]  PECO Energy CompanyEBSC TransactionalPassthroughs</v>
          </cell>
          <cell r="AB630" t="str">
            <v>[10200]  PECO Energy CompanyEBSC Transactional (Passthroughs)Other Operating Expenses</v>
          </cell>
          <cell r="AC630" t="str">
            <v>[10200]  PECO Energy CompanyEBSC Transactional (Passthroughs)Transmission Operations-PECO (Trans Strat&amp;Bussinss Oper East)</v>
          </cell>
          <cell r="AF630" t="e">
            <v>#N/A</v>
          </cell>
        </row>
        <row r="631">
          <cell r="E631">
            <v>3260772</v>
          </cell>
          <cell r="H631">
            <v>-862864</v>
          </cell>
          <cell r="I631">
            <v>-649946</v>
          </cell>
          <cell r="J631">
            <v>10450985</v>
          </cell>
          <cell r="M631">
            <v>-977301</v>
          </cell>
          <cell r="N631">
            <v>-649946</v>
          </cell>
          <cell r="O631">
            <v>31720356</v>
          </cell>
          <cell r="R631">
            <v>-2744223</v>
          </cell>
          <cell r="S631">
            <v>-1907576</v>
          </cell>
          <cell r="V631" t="e">
            <v>#N/A</v>
          </cell>
          <cell r="W631" t="e">
            <v>#N/A</v>
          </cell>
          <cell r="AA631" t="e">
            <v>#N/A</v>
          </cell>
          <cell r="AB631" t="e">
            <v>#N/A</v>
          </cell>
          <cell r="AC631" t="e">
            <v>#N/A</v>
          </cell>
          <cell r="AF631" t="e">
            <v>#N/A</v>
          </cell>
        </row>
        <row r="632">
          <cell r="V632" t="e">
            <v>#N/A</v>
          </cell>
          <cell r="W632" t="e">
            <v>#N/A</v>
          </cell>
          <cell r="AA632" t="e">
            <v>#N/A</v>
          </cell>
          <cell r="AB632" t="e">
            <v>#N/A</v>
          </cell>
          <cell r="AC632" t="e">
            <v>#N/A</v>
          </cell>
          <cell r="AF632" t="e">
            <v>#N/A</v>
          </cell>
        </row>
        <row r="633">
          <cell r="V633" t="e">
            <v>#N/A</v>
          </cell>
          <cell r="W633" t="e">
            <v>#N/A</v>
          </cell>
          <cell r="AA633" t="e">
            <v>#N/A</v>
          </cell>
          <cell r="AB633" t="e">
            <v>#N/A</v>
          </cell>
          <cell r="AC633" t="e">
            <v>#N/A</v>
          </cell>
          <cell r="AF633" t="e">
            <v>#N/A</v>
          </cell>
        </row>
        <row r="634">
          <cell r="E634" t="str">
            <v>Actual Activity Amount</v>
          </cell>
          <cell r="H634" t="str">
            <v>Variance to Mon Budget</v>
          </cell>
          <cell r="I634" t="str">
            <v>Variance to Mo QtrLE</v>
          </cell>
          <cell r="J634" t="str">
            <v>Actual YTD Activity Amount</v>
          </cell>
          <cell r="M634" t="str">
            <v>Variance to YTD Budget</v>
          </cell>
          <cell r="N634" t="str">
            <v>Variance to YTD Qtr LE</v>
          </cell>
          <cell r="O634" t="str">
            <v>YEND Planning Amount(EED O&amp;M FY LE)</v>
          </cell>
          <cell r="R634" t="str">
            <v>Variance YE Budget</v>
          </cell>
          <cell r="S634" t="str">
            <v>Variance YE Qtr LE</v>
          </cell>
          <cell r="V634" t="e">
            <v>#N/A</v>
          </cell>
          <cell r="W634" t="e">
            <v>#N/A</v>
          </cell>
          <cell r="AA634" t="e">
            <v>#N/A</v>
          </cell>
          <cell r="AB634" t="e">
            <v>#N/A</v>
          </cell>
          <cell r="AC634" t="e">
            <v>#N/A</v>
          </cell>
          <cell r="AF634" t="e">
            <v>#N/A</v>
          </cell>
        </row>
        <row r="635">
          <cell r="H635">
            <v>17665</v>
          </cell>
          <cell r="I635">
            <v>17665</v>
          </cell>
          <cell r="M635">
            <v>67411</v>
          </cell>
          <cell r="N635">
            <v>19000</v>
          </cell>
          <cell r="O635">
            <v>153171</v>
          </cell>
          <cell r="R635">
            <v>65896.899999999994</v>
          </cell>
          <cell r="S635">
            <v>17485</v>
          </cell>
          <cell r="V635" t="str">
            <v>EBSC Transactional2</v>
          </cell>
          <cell r="W635" t="str">
            <v>Passthroughs</v>
          </cell>
          <cell r="AA635" t="str">
            <v>[10601]  Commonwealth Edison CompanyEBSC TransactionalPassthroughs</v>
          </cell>
          <cell r="AB635" t="str">
            <v>[10601]  Commonwealth Edison CompanyEBSC Transactional (Passthroughs)Other Operating Expenses</v>
          </cell>
          <cell r="AC635" t="str">
            <v>[10601]  Commonwealth Edison CompanyEBSC Transactional (Passthroughs)Operations - ComEd (Construction&amp;Maintenance-ComEd)</v>
          </cell>
          <cell r="AF635" t="e">
            <v>#N/A</v>
          </cell>
        </row>
        <row r="636">
          <cell r="H636">
            <v>58394</v>
          </cell>
          <cell r="I636">
            <v>47579</v>
          </cell>
          <cell r="M636">
            <v>231321</v>
          </cell>
          <cell r="N636">
            <v>49233</v>
          </cell>
          <cell r="O636">
            <v>474118</v>
          </cell>
          <cell r="R636">
            <v>229617.40000000002</v>
          </cell>
          <cell r="S636">
            <v>25900.700000000012</v>
          </cell>
          <cell r="V636" t="str">
            <v>EBSC Transactional2</v>
          </cell>
          <cell r="W636" t="str">
            <v>Passthroughs</v>
          </cell>
          <cell r="AA636" t="str">
            <v>[10601]  Commonwealth Edison CompanyEBSC TransactionalPassthroughs</v>
          </cell>
          <cell r="AB636" t="str">
            <v>[10601]  Commonwealth Edison CompanyEBSC Transactional (Passthroughs)Other Operating Expenses</v>
          </cell>
          <cell r="AC636" t="str">
            <v>[10601]  Commonwealth Edison CompanyEBSC Transactional (Passthroughs)Operations - ComEd (Dispatch &amp; Operations - ComEd)</v>
          </cell>
          <cell r="AF636" t="e">
            <v>#N/A</v>
          </cell>
        </row>
        <row r="637">
          <cell r="H637">
            <v>4932</v>
          </cell>
          <cell r="I637">
            <v>4932</v>
          </cell>
          <cell r="M637">
            <v>19728</v>
          </cell>
          <cell r="N637">
            <v>5006</v>
          </cell>
          <cell r="O637">
            <v>39570</v>
          </cell>
          <cell r="R637">
            <v>19622</v>
          </cell>
          <cell r="S637">
            <v>4900.0999999999985</v>
          </cell>
          <cell r="V637" t="str">
            <v>EBSC Transactional2</v>
          </cell>
          <cell r="W637" t="str">
            <v>Passthroughs</v>
          </cell>
          <cell r="AA637" t="str">
            <v>[10601]  Commonwealth Edison CompanyEBSC TransactionalPassthroughs</v>
          </cell>
          <cell r="AB637" t="str">
            <v>[10601]  Commonwealth Edison CompanyEBSC Transactional (Passthroughs)Other Operating Expenses</v>
          </cell>
          <cell r="AC637" t="str">
            <v>[10601]  Commonwealth Edison CompanyEBSC Transactional (Passthroughs)Operations - ComEd (Environ Safety &amp; Indust Hygien)</v>
          </cell>
          <cell r="AF637" t="e">
            <v>#N/A</v>
          </cell>
        </row>
        <row r="638">
          <cell r="H638">
            <v>550</v>
          </cell>
          <cell r="I638">
            <v>550</v>
          </cell>
          <cell r="M638">
            <v>2200</v>
          </cell>
          <cell r="N638">
            <v>550</v>
          </cell>
          <cell r="O638">
            <v>4400</v>
          </cell>
          <cell r="R638">
            <v>2200</v>
          </cell>
          <cell r="S638">
            <v>550</v>
          </cell>
          <cell r="V638" t="str">
            <v>EBSC Transactional2</v>
          </cell>
          <cell r="W638" t="str">
            <v>Passthroughs</v>
          </cell>
          <cell r="AA638" t="str">
            <v>[10601]  Commonwealth Edison CompanyEBSC TransactionalPassthroughs</v>
          </cell>
          <cell r="AB638" t="str">
            <v>[10601]  Commonwealth Edison CompanyEBSC Transactional (Passthroughs)Other Operating Expenses</v>
          </cell>
          <cell r="AC638" t="str">
            <v>[10601]  Commonwealth Edison CompanyEBSC Transactional (Passthroughs)Operations - ComEd (Methods - ComEd)</v>
          </cell>
          <cell r="AF638" t="e">
            <v>#N/A</v>
          </cell>
        </row>
        <row r="639">
          <cell r="H639">
            <v>54300</v>
          </cell>
          <cell r="I639">
            <v>54300</v>
          </cell>
          <cell r="M639">
            <v>214914</v>
          </cell>
          <cell r="N639">
            <v>54363</v>
          </cell>
          <cell r="O639">
            <v>473505</v>
          </cell>
          <cell r="R639">
            <v>214851.5</v>
          </cell>
          <cell r="S639">
            <v>54300.400000000023</v>
          </cell>
          <cell r="V639" t="str">
            <v>EBSC Transactional2</v>
          </cell>
          <cell r="W639" t="str">
            <v>Passthroughs</v>
          </cell>
          <cell r="AA639" t="str">
            <v>[10601]  Commonwealth Edison CompanyEBSC TransactionalPassthroughs</v>
          </cell>
          <cell r="AB639" t="str">
            <v>[10601]  Commonwealth Edison CompanyEBSC Transactional (Passthroughs)Other Operating Expenses</v>
          </cell>
          <cell r="AC639" t="str">
            <v>[10601]  Commonwealth Edison CompanyEBSC Transactional (Passthroughs)Operations - ComEd (Transmission&amp;Substation-ComEd)</v>
          </cell>
          <cell r="AF639" t="e">
            <v>#N/A</v>
          </cell>
        </row>
        <row r="640">
          <cell r="H640">
            <v>16064</v>
          </cell>
          <cell r="I640">
            <v>13765</v>
          </cell>
          <cell r="M640">
            <v>64256</v>
          </cell>
          <cell r="N640">
            <v>14199</v>
          </cell>
          <cell r="O640">
            <v>110550</v>
          </cell>
          <cell r="R640">
            <v>82219.399999999994</v>
          </cell>
          <cell r="S640">
            <v>13764.800000000003</v>
          </cell>
          <cell r="V640" t="str">
            <v>EBSC Transactional2</v>
          </cell>
          <cell r="W640" t="str">
            <v>Passthroughs</v>
          </cell>
          <cell r="AA640" t="str">
            <v>[10601]  Commonwealth Edison CompanyEBSC TransactionalPassthroughs</v>
          </cell>
          <cell r="AB640" t="str">
            <v>[10601]  Commonwealth Edison CompanyEBSC Transactional (Passthroughs)Other Operating Expenses</v>
          </cell>
          <cell r="AC640" t="str">
            <v>[10601]  Commonwealth Edison CompanyEBSC Transactional (Passthroughs)Operations - ComEd (Work Management - ComEd)</v>
          </cell>
          <cell r="AF640" t="e">
            <v>#N/A</v>
          </cell>
        </row>
        <row r="641">
          <cell r="H641">
            <v>-246</v>
          </cell>
          <cell r="I641">
            <v>-246</v>
          </cell>
          <cell r="M641">
            <v>-985</v>
          </cell>
          <cell r="N641">
            <v>-246</v>
          </cell>
          <cell r="O641">
            <v>-1383</v>
          </cell>
          <cell r="R641">
            <v>-985.5</v>
          </cell>
          <cell r="S641">
            <v>-246.40000000000009</v>
          </cell>
          <cell r="V641" t="str">
            <v>EBSC Transactional2</v>
          </cell>
          <cell r="W641" t="str">
            <v>Passthroughs</v>
          </cell>
          <cell r="AA641" t="str">
            <v>[10601]  Commonwealth Edison CompanyEBSC TransactionalPassthroughs</v>
          </cell>
          <cell r="AB641" t="str">
            <v>[10601]  Commonwealth Edison CompanyEBSC Transactional (Passthroughs)Other Operating Expenses</v>
          </cell>
          <cell r="AC641" t="str">
            <v>[10601]  Commonwealth Edison CompanyEBSC Transactional (Passthroughs)Technical Services - CED (Asset Perf&amp;Invst Strategy-CED)</v>
          </cell>
          <cell r="AF641" t="e">
            <v>#N/A</v>
          </cell>
        </row>
        <row r="642">
          <cell r="H642">
            <v>130059</v>
          </cell>
          <cell r="I642">
            <v>130059</v>
          </cell>
          <cell r="M642">
            <v>520235</v>
          </cell>
          <cell r="N642">
            <v>130073</v>
          </cell>
          <cell r="O642">
            <v>1040484</v>
          </cell>
          <cell r="R642">
            <v>520220.80000000005</v>
          </cell>
          <cell r="S642">
            <v>130058.60000000009</v>
          </cell>
          <cell r="V642" t="str">
            <v>EBSC Transactional2</v>
          </cell>
          <cell r="W642" t="str">
            <v>Passthroughs</v>
          </cell>
          <cell r="AA642" t="str">
            <v>[10601]  Commonwealth Edison CompanyEBSC TransactionalPassthroughs</v>
          </cell>
          <cell r="AB642" t="str">
            <v>[10601]  Commonwealth Edison CompanyEBSC Transactional (Passthroughs)Other Operating Expenses</v>
          </cell>
          <cell r="AC642" t="str">
            <v>[10601]  Commonwealth Edison CompanyEBSC Transactional (Passthroughs)Technical Services - CED (Engineering &amp; System Perf.)</v>
          </cell>
          <cell r="AF642" t="e">
            <v>#N/A</v>
          </cell>
        </row>
        <row r="643">
          <cell r="H643">
            <v>5244</v>
          </cell>
          <cell r="I643">
            <v>5244</v>
          </cell>
          <cell r="M643">
            <v>20975</v>
          </cell>
          <cell r="N643">
            <v>7798</v>
          </cell>
          <cell r="O643">
            <v>-1285</v>
          </cell>
          <cell r="R643">
            <v>64209.3</v>
          </cell>
          <cell r="S643">
            <v>21012</v>
          </cell>
          <cell r="V643" t="str">
            <v>EBSC Transactional2</v>
          </cell>
          <cell r="W643" t="str">
            <v>Passthroughs</v>
          </cell>
          <cell r="AA643" t="str">
            <v>[10601]  Commonwealth Edison CompanyEBSC TransactionalPassthroughs</v>
          </cell>
          <cell r="AB643" t="str">
            <v>[10601]  Commonwealth Edison CompanyEBSC Transactional (Passthroughs)Other Operating Expenses</v>
          </cell>
          <cell r="AC643" t="str">
            <v>[10601]  Commonwealth Edison CompanyEBSC Transactional (Passthroughs)Technical Services - CED (New Business - ComEd)</v>
          </cell>
          <cell r="AF643" t="e">
            <v>#N/A</v>
          </cell>
        </row>
        <row r="644">
          <cell r="H644">
            <v>4855</v>
          </cell>
          <cell r="I644">
            <v>4855</v>
          </cell>
          <cell r="M644">
            <v>19066</v>
          </cell>
          <cell r="N644">
            <v>4855</v>
          </cell>
          <cell r="O644">
            <v>39512</v>
          </cell>
          <cell r="R644">
            <v>19066.199999999997</v>
          </cell>
          <cell r="S644">
            <v>4854.9000000000015</v>
          </cell>
          <cell r="V644" t="str">
            <v>EBSC Transactional2</v>
          </cell>
          <cell r="W644" t="str">
            <v>Passthroughs</v>
          </cell>
          <cell r="AA644" t="str">
            <v>[10601]  Commonwealth Edison CompanyEBSC TransactionalPassthroughs</v>
          </cell>
          <cell r="AB644" t="str">
            <v>[10601]  Commonwealth Edison CompanyEBSC Transactional (Passthroughs)Other Operating Expenses</v>
          </cell>
          <cell r="AC644" t="str">
            <v>[10601]  Commonwealth Edison CompanyEBSC Transactional (Passthroughs)Technical Services - CED (Proj&amp;Contract Management-ComEd)</v>
          </cell>
          <cell r="AF644" t="e">
            <v>#N/A</v>
          </cell>
        </row>
        <row r="645">
          <cell r="H645">
            <v>28458</v>
          </cell>
          <cell r="I645">
            <v>28458</v>
          </cell>
          <cell r="M645">
            <v>114432</v>
          </cell>
          <cell r="N645">
            <v>28925</v>
          </cell>
          <cell r="O645">
            <v>235839</v>
          </cell>
          <cell r="R645">
            <v>113439.09999999998</v>
          </cell>
          <cell r="S645">
            <v>27931.700000000012</v>
          </cell>
          <cell r="V645" t="str">
            <v>EBSC Transactional2</v>
          </cell>
          <cell r="W645" t="str">
            <v>Passthroughs</v>
          </cell>
          <cell r="AA645" t="str">
            <v>[10200]  PECO Energy CompanyEBSC TransactionalPassthroughs</v>
          </cell>
          <cell r="AB645" t="str">
            <v>[10200]  PECO Energy CompanyEBSC Transactional (Passthroughs)Other Operating Expenses</v>
          </cell>
          <cell r="AC645" t="str">
            <v>[10200]  PECO Energy CompanyEBSC Transactional (Passthroughs)Operations - PECO (Construction&amp;Maintenance-PECO)</v>
          </cell>
          <cell r="AF645" t="e">
            <v>#N/A</v>
          </cell>
        </row>
        <row r="646">
          <cell r="H646">
            <v>40005</v>
          </cell>
          <cell r="I646">
            <v>40005</v>
          </cell>
          <cell r="M646">
            <v>161721</v>
          </cell>
          <cell r="N646">
            <v>51956</v>
          </cell>
          <cell r="O646">
            <v>366759</v>
          </cell>
          <cell r="R646">
            <v>145859.40000000002</v>
          </cell>
          <cell r="S646">
            <v>36094.5</v>
          </cell>
          <cell r="V646" t="str">
            <v>EBSC Transactional2</v>
          </cell>
          <cell r="W646" t="str">
            <v>Passthroughs</v>
          </cell>
          <cell r="AA646" t="str">
            <v>[10200]  PECO Energy CompanyEBSC TransactionalPassthroughs</v>
          </cell>
          <cell r="AB646" t="str">
            <v>[10200]  PECO Energy CompanyEBSC Transactional (Passthroughs)Other Operating Expenses</v>
          </cell>
          <cell r="AC646" t="str">
            <v>[10200]  PECO Energy CompanyEBSC Transactional (Passthroughs)Operations - PECO (Dispatch &amp; Operations - PECO)</v>
          </cell>
          <cell r="AF646" t="e">
            <v>#N/A</v>
          </cell>
        </row>
        <row r="647">
          <cell r="H647">
            <v>3433</v>
          </cell>
          <cell r="I647">
            <v>3433</v>
          </cell>
          <cell r="M647">
            <v>13732</v>
          </cell>
          <cell r="N647">
            <v>3566</v>
          </cell>
          <cell r="O647">
            <v>28016</v>
          </cell>
          <cell r="R647">
            <v>13184</v>
          </cell>
          <cell r="S647">
            <v>3018.2999999999993</v>
          </cell>
          <cell r="V647" t="str">
            <v>EBSC Transactional2</v>
          </cell>
          <cell r="W647" t="str">
            <v>Passthroughs</v>
          </cell>
          <cell r="AA647" t="str">
            <v>[10200]  PECO Energy CompanyEBSC TransactionalPassthroughs</v>
          </cell>
          <cell r="AB647" t="str">
            <v>[10200]  PECO Energy CompanyEBSC Transactional (Passthroughs)Other Operating Expenses</v>
          </cell>
          <cell r="AC647" t="str">
            <v>[10200]  PECO Energy CompanyEBSC Transactional (Passthroughs)Operations - PECO (Envir Sfty&amp;Indust Hygiene-PECO)</v>
          </cell>
          <cell r="AF647" t="e">
            <v>#N/A</v>
          </cell>
        </row>
        <row r="648">
          <cell r="H648">
            <v>215</v>
          </cell>
          <cell r="I648">
            <v>215</v>
          </cell>
          <cell r="M648">
            <v>860</v>
          </cell>
          <cell r="N648">
            <v>362</v>
          </cell>
          <cell r="O648">
            <v>1867</v>
          </cell>
          <cell r="R648">
            <v>713</v>
          </cell>
          <cell r="S648">
            <v>214.59999999999991</v>
          </cell>
          <cell r="V648" t="str">
            <v>EBSC Transactional2</v>
          </cell>
          <cell r="W648" t="str">
            <v>Passthroughs</v>
          </cell>
          <cell r="AA648" t="str">
            <v>[10200]  PECO Energy CompanyEBSC TransactionalPassthroughs</v>
          </cell>
          <cell r="AB648" t="str">
            <v>[10200]  PECO Energy CompanyEBSC Transactional (Passthroughs)Other Operating Expenses</v>
          </cell>
          <cell r="AC648" t="str">
            <v>[10200]  PECO Energy CompanyEBSC Transactional (Passthroughs)Operations - PECO (Performance Improvement - East)</v>
          </cell>
          <cell r="AF648" t="e">
            <v>#N/A</v>
          </cell>
        </row>
        <row r="649">
          <cell r="H649">
            <v>11258</v>
          </cell>
          <cell r="I649">
            <v>11258</v>
          </cell>
          <cell r="M649">
            <v>41159</v>
          </cell>
          <cell r="N649">
            <v>12728</v>
          </cell>
          <cell r="O649">
            <v>104677</v>
          </cell>
          <cell r="R649">
            <v>39580.899999999994</v>
          </cell>
          <cell r="S649">
            <v>11149.399999999994</v>
          </cell>
          <cell r="V649" t="str">
            <v>EBSC Transactional2</v>
          </cell>
          <cell r="W649" t="str">
            <v>Passthroughs</v>
          </cell>
          <cell r="AA649" t="str">
            <v>[10200]  PECO Energy CompanyEBSC TransactionalPassthroughs</v>
          </cell>
          <cell r="AB649" t="str">
            <v>[10200]  PECO Energy CompanyEBSC Transactional (Passthroughs)Other Operating Expenses</v>
          </cell>
          <cell r="AC649" t="str">
            <v>[10200]  PECO Energy CompanyEBSC Transactional (Passthroughs)Operations - PECO (Transmission &amp; Substation PECO)</v>
          </cell>
          <cell r="AF649" t="e">
            <v>#N/A</v>
          </cell>
        </row>
        <row r="650">
          <cell r="H650">
            <v>6082</v>
          </cell>
          <cell r="I650">
            <v>3782</v>
          </cell>
          <cell r="M650">
            <v>24328</v>
          </cell>
          <cell r="N650">
            <v>3995</v>
          </cell>
          <cell r="O650">
            <v>30470</v>
          </cell>
          <cell r="R650">
            <v>42515</v>
          </cell>
          <cell r="S650">
            <v>3782.6999999999971</v>
          </cell>
          <cell r="V650" t="str">
            <v>EBSC Transactional2</v>
          </cell>
          <cell r="W650" t="str">
            <v>Passthroughs</v>
          </cell>
          <cell r="AA650" t="str">
            <v>[10200]  PECO Energy CompanyEBSC TransactionalPassthroughs</v>
          </cell>
          <cell r="AB650" t="str">
            <v>[10200]  PECO Energy CompanyEBSC Transactional (Passthroughs)Other Operating Expenses</v>
          </cell>
          <cell r="AC650" t="str">
            <v>[10200]  PECO Energy CompanyEBSC Transactional (Passthroughs)Operations - PECO (Work Management - PECO)</v>
          </cell>
          <cell r="AF650" t="e">
            <v>#N/A</v>
          </cell>
        </row>
        <row r="651">
          <cell r="H651">
            <v>652</v>
          </cell>
          <cell r="I651">
            <v>652</v>
          </cell>
          <cell r="M651">
            <v>2003</v>
          </cell>
          <cell r="N651">
            <v>652</v>
          </cell>
          <cell r="O651">
            <v>5019</v>
          </cell>
          <cell r="R651">
            <v>2003.3999999999996</v>
          </cell>
          <cell r="S651">
            <v>652.5</v>
          </cell>
          <cell r="V651" t="str">
            <v>EBSC Transactional2</v>
          </cell>
          <cell r="W651" t="str">
            <v>Passthroughs</v>
          </cell>
          <cell r="AA651" t="str">
            <v>[10200]  PECO Energy CompanyEBSC TransactionalPassthroughs</v>
          </cell>
          <cell r="AB651" t="str">
            <v>[10200]  PECO Energy CompanyEBSC Transactional (Passthroughs)Other Operating Expenses</v>
          </cell>
          <cell r="AC651" t="str">
            <v>[10200]  PECO Energy CompanyEBSC Transactional (Passthroughs)Technical Services (Asset Invest Strategy&amp;Dev-PED)</v>
          </cell>
          <cell r="AF651" t="e">
            <v>#N/A</v>
          </cell>
        </row>
        <row r="652">
          <cell r="H652">
            <v>3775</v>
          </cell>
          <cell r="I652">
            <v>3775</v>
          </cell>
          <cell r="M652">
            <v>15099</v>
          </cell>
          <cell r="N652">
            <v>4081</v>
          </cell>
          <cell r="O652">
            <v>30689</v>
          </cell>
          <cell r="R652">
            <v>14608.099999999999</v>
          </cell>
          <cell r="S652">
            <v>3590.4000000000015</v>
          </cell>
          <cell r="V652" t="str">
            <v>EBSC Transactional2</v>
          </cell>
          <cell r="W652" t="str">
            <v>Passthroughs</v>
          </cell>
          <cell r="AA652" t="str">
            <v>[10200]  PECO Energy CompanyEBSC TransactionalPassthroughs</v>
          </cell>
          <cell r="AB652" t="str">
            <v>[10200]  PECO Energy CompanyEBSC Transactional (Passthroughs)Other Operating Expenses</v>
          </cell>
          <cell r="AC652" t="str">
            <v>[10200]  PECO Energy CompanyEBSC Transactional (Passthroughs)Technical Services (Engineering &amp; System Perf-PED)</v>
          </cell>
          <cell r="AF652" t="e">
            <v>#N/A</v>
          </cell>
        </row>
        <row r="653">
          <cell r="H653">
            <v>360</v>
          </cell>
          <cell r="I653">
            <v>360</v>
          </cell>
          <cell r="M653">
            <v>1442</v>
          </cell>
          <cell r="N653">
            <v>359</v>
          </cell>
          <cell r="O653">
            <v>2885</v>
          </cell>
          <cell r="R653">
            <v>1440.1999999999998</v>
          </cell>
          <cell r="S653">
            <v>357.90000000000009</v>
          </cell>
          <cell r="V653" t="str">
            <v>EBSC Transactional2</v>
          </cell>
          <cell r="W653" t="str">
            <v>Passthroughs</v>
          </cell>
          <cell r="AA653" t="str">
            <v>[10200]  PECO Energy CompanyEBSC TransactionalPassthroughs</v>
          </cell>
          <cell r="AB653" t="str">
            <v>[10200]  PECO Energy CompanyEBSC Transactional (Passthroughs)Other Operating Expenses</v>
          </cell>
          <cell r="AC653" t="str">
            <v>[10200]  PECO Energy CompanyEBSC Transactional (Passthroughs)Technical Services (New Business - PED)</v>
          </cell>
          <cell r="AF653" t="e">
            <v>#N/A</v>
          </cell>
        </row>
        <row r="654">
          <cell r="H654">
            <v>1942</v>
          </cell>
          <cell r="I654">
            <v>1942</v>
          </cell>
          <cell r="M654">
            <v>7549</v>
          </cell>
          <cell r="N654">
            <v>1942</v>
          </cell>
          <cell r="O654">
            <v>15400</v>
          </cell>
          <cell r="R654">
            <v>7549.2000000000007</v>
          </cell>
          <cell r="S654">
            <v>1942.0999999999985</v>
          </cell>
          <cell r="V654" t="str">
            <v>EBSC Transactional2</v>
          </cell>
          <cell r="W654" t="str">
            <v>Passthroughs</v>
          </cell>
          <cell r="AA654" t="str">
            <v>[10200]  PECO Energy CompanyEBSC TransactionalPassthroughs</v>
          </cell>
          <cell r="AB654" t="str">
            <v>[10200]  PECO Energy CompanyEBSC Transactional (Passthroughs)Other Operating Expenses</v>
          </cell>
          <cell r="AC654" t="str">
            <v>[10200]  PECO Energy CompanyEBSC Transactional (Passthroughs)Technical Services (Proj&amp;Contract Management-PECO)</v>
          </cell>
          <cell r="AF654" t="e">
            <v>#N/A</v>
          </cell>
        </row>
        <row r="655">
          <cell r="H655">
            <v>387995</v>
          </cell>
          <cell r="I655">
            <v>372581</v>
          </cell>
          <cell r="M655">
            <v>1541447</v>
          </cell>
          <cell r="N655">
            <v>393396</v>
          </cell>
          <cell r="O655">
            <v>3154264</v>
          </cell>
          <cell r="R655">
            <v>1597809.2000000002</v>
          </cell>
          <cell r="S655">
            <v>361313.20000000019</v>
          </cell>
          <cell r="V655" t="e">
            <v>#N/A</v>
          </cell>
          <cell r="W655" t="e">
            <v>#N/A</v>
          </cell>
          <cell r="AA655" t="e">
            <v>#N/A</v>
          </cell>
          <cell r="AB655" t="e">
            <v>#N/A</v>
          </cell>
          <cell r="AC655" t="e">
            <v>#N/A</v>
          </cell>
          <cell r="AF655" t="e">
            <v>#N/A</v>
          </cell>
        </row>
        <row r="656">
          <cell r="V656" t="e">
            <v>#N/A</v>
          </cell>
          <cell r="W656" t="e">
            <v>#N/A</v>
          </cell>
          <cell r="AA656" t="e">
            <v>#N/A</v>
          </cell>
          <cell r="AB656" t="e">
            <v>#N/A</v>
          </cell>
          <cell r="AC656" t="e">
            <v>#N/A</v>
          </cell>
          <cell r="AF656" t="e">
            <v>#N/A</v>
          </cell>
        </row>
        <row r="657">
          <cell r="V657" t="e">
            <v>#N/A</v>
          </cell>
          <cell r="W657" t="e">
            <v>#N/A</v>
          </cell>
          <cell r="AA657" t="e">
            <v>#N/A</v>
          </cell>
          <cell r="AB657" t="e">
            <v>#N/A</v>
          </cell>
          <cell r="AC657" t="e">
            <v>#N/A</v>
          </cell>
          <cell r="AF657" t="e">
            <v>#N/A</v>
          </cell>
        </row>
        <row r="658">
          <cell r="E658" t="str">
            <v>Actual Activity Amount</v>
          </cell>
          <cell r="H658" t="str">
            <v>Variance to Mon Budget</v>
          </cell>
          <cell r="I658" t="str">
            <v>Variance to Mo QtrLE</v>
          </cell>
          <cell r="J658" t="str">
            <v>Actual YTD Activity Amount</v>
          </cell>
          <cell r="M658" t="str">
            <v>Variance to YTD Budget</v>
          </cell>
          <cell r="N658" t="str">
            <v>Variance to YTD Qtr LE</v>
          </cell>
          <cell r="O658" t="str">
            <v>YEND Planning Amount(EED O&amp;M FY LE)</v>
          </cell>
          <cell r="R658" t="str">
            <v>Variance YE Budget</v>
          </cell>
          <cell r="S658" t="str">
            <v>Variance YE Qtr LE</v>
          </cell>
          <cell r="V658" t="e">
            <v>#N/A</v>
          </cell>
          <cell r="W658" t="e">
            <v>#N/A</v>
          </cell>
          <cell r="AA658" t="e">
            <v>#N/A</v>
          </cell>
          <cell r="AB658" t="e">
            <v>#N/A</v>
          </cell>
          <cell r="AC658" t="e">
            <v>#N/A</v>
          </cell>
          <cell r="AF658" t="e">
            <v>#N/A</v>
          </cell>
        </row>
        <row r="659">
          <cell r="E659">
            <v>-242069.7</v>
          </cell>
          <cell r="H659">
            <v>-48119.14</v>
          </cell>
          <cell r="I659">
            <v>-38916.53</v>
          </cell>
          <cell r="J659">
            <v>-836473.61</v>
          </cell>
          <cell r="M659">
            <v>-319721.81</v>
          </cell>
          <cell r="N659">
            <v>-38916.53</v>
          </cell>
          <cell r="O659">
            <v>-2694985.07</v>
          </cell>
          <cell r="R659">
            <v>-865264.84</v>
          </cell>
          <cell r="S659">
            <v>-521521.14</v>
          </cell>
          <cell r="V659" t="str">
            <v>Embedded</v>
          </cell>
          <cell r="W659" t="str">
            <v>Finance</v>
          </cell>
          <cell r="AA659" t="str">
            <v>[10200]  PECO Energy CompanyEmbeddedFinance</v>
          </cell>
          <cell r="AB659" t="str">
            <v>[10200]  PECO Energy CompanyEmbedded (Finance)EDSS Offset</v>
          </cell>
          <cell r="AC659" t="str">
            <v>[10200]  PECO Energy CompanyEmbedded (Finance)EDSS Business Ops PED (00198)</v>
          </cell>
          <cell r="AF659" t="str">
            <v>EEDFinanceEDSS Offset</v>
          </cell>
        </row>
        <row r="660">
          <cell r="E660">
            <v>-67533.119999999995</v>
          </cell>
          <cell r="H660">
            <v>19202.05</v>
          </cell>
          <cell r="I660">
            <v>18398.53</v>
          </cell>
          <cell r="J660">
            <v>-231623.75</v>
          </cell>
          <cell r="M660">
            <v>39127.129999999997</v>
          </cell>
          <cell r="N660">
            <v>18398.53</v>
          </cell>
          <cell r="O660">
            <v>-744377.87</v>
          </cell>
          <cell r="R660">
            <v>87129.03</v>
          </cell>
          <cell r="S660">
            <v>140791.79</v>
          </cell>
          <cell r="V660" t="str">
            <v>Embedded</v>
          </cell>
          <cell r="W660" t="str">
            <v>Finance</v>
          </cell>
          <cell r="AA660" t="str">
            <v>[10200]  PECO Energy CompanyEmbeddedFinance</v>
          </cell>
          <cell r="AB660" t="str">
            <v>[10200]  PECO Energy CompanyEmbedded (Finance)EDSS Offset</v>
          </cell>
          <cell r="AC660" t="str">
            <v>[10200]  PECO Energy CompanyEmbedded (Finance)EDSS Fin Srvcs PED (00340)</v>
          </cell>
          <cell r="AF660" t="str">
            <v>EEDControllerEDSS Offset</v>
          </cell>
        </row>
        <row r="661">
          <cell r="E661">
            <v>0</v>
          </cell>
          <cell r="H661">
            <v>0</v>
          </cell>
          <cell r="I661">
            <v>0</v>
          </cell>
          <cell r="J661">
            <v>0</v>
          </cell>
          <cell r="M661">
            <v>0</v>
          </cell>
          <cell r="N661">
            <v>0</v>
          </cell>
          <cell r="O661">
            <v>0</v>
          </cell>
          <cell r="R661">
            <v>0</v>
          </cell>
          <cell r="S661">
            <v>0</v>
          </cell>
          <cell r="V661" t="str">
            <v>Embedded</v>
          </cell>
          <cell r="W661" t="str">
            <v>Finance</v>
          </cell>
          <cell r="AA661" t="str">
            <v>[10200]  PECO Energy CompanyEmbeddedFinance</v>
          </cell>
          <cell r="AB661" t="str">
            <v>[10200]  PECO Energy CompanyEmbedded (Finance)EDSS Offset</v>
          </cell>
          <cell r="AC661" t="str">
            <v>[10200]  PECO Energy CompanyEmbedded (Finance)Controller EED PECO (00825)</v>
          </cell>
          <cell r="AF661" t="str">
            <v>EEDControllerEDSS Offset</v>
          </cell>
        </row>
        <row r="662">
          <cell r="E662">
            <v>21933.083517015868</v>
          </cell>
          <cell r="H662">
            <v>1362.8086617191257</v>
          </cell>
          <cell r="I662">
            <v>134.44364849011981</v>
          </cell>
          <cell r="J662">
            <v>81722.789812911011</v>
          </cell>
          <cell r="M662">
            <v>11031.641680162982</v>
          </cell>
          <cell r="N662">
            <v>233.1578779725678</v>
          </cell>
          <cell r="O662">
            <v>257618.69121720194</v>
          </cell>
          <cell r="R662">
            <v>29268.50438333553</v>
          </cell>
          <cell r="S662">
            <v>9924.188354694983</v>
          </cell>
          <cell r="V662" t="str">
            <v>Embedded</v>
          </cell>
          <cell r="W662" t="str">
            <v>Finance</v>
          </cell>
          <cell r="AA662" t="str">
            <v>[10601]  Commonwealth Edison CompanyEmbeddedFinance</v>
          </cell>
          <cell r="AB662" t="str">
            <v>[10601]  Commonwealth Edison CompanyEmbedded (Finance)Salaries and Wages</v>
          </cell>
          <cell r="AC662" t="str">
            <v>[10601]  Commonwealth Edison CompanyEmbedded (Finance)EDSS Business Ops CED (00197)</v>
          </cell>
          <cell r="AF662" t="str">
            <v>EEDFinanceSalaries and Wages</v>
          </cell>
        </row>
        <row r="663">
          <cell r="E663">
            <v>239.16763366895992</v>
          </cell>
          <cell r="H663">
            <v>-239.16763366895992</v>
          </cell>
          <cell r="I663">
            <v>-239.16763366895992</v>
          </cell>
          <cell r="J663">
            <v>611.77387211973974</v>
          </cell>
          <cell r="M663">
            <v>-611.77387211973974</v>
          </cell>
          <cell r="N663">
            <v>-231.32033437965242</v>
          </cell>
          <cell r="O663">
            <v>618.07422812025732</v>
          </cell>
          <cell r="R663">
            <v>-618.07422812025732</v>
          </cell>
          <cell r="S663">
            <v>-224.02295630269231</v>
          </cell>
          <cell r="V663" t="str">
            <v>Embedded</v>
          </cell>
          <cell r="W663" t="str">
            <v>Finance</v>
          </cell>
          <cell r="AA663" t="str">
            <v>[10601]  Commonwealth Edison CompanyEmbeddedFinance</v>
          </cell>
          <cell r="AB663" t="str">
            <v>[10601]  Commonwealth Edison CompanyEmbedded (Finance)Travel, Entertainment &amp; Reimb</v>
          </cell>
          <cell r="AC663" t="str">
            <v>[10601]  Commonwealth Edison CompanyEmbedded (Finance)EDSS Business Ops CED (00197)</v>
          </cell>
          <cell r="AF663" t="str">
            <v>EEDFinanceTravel, Entertainment &amp; Reimb</v>
          </cell>
        </row>
        <row r="664">
          <cell r="E664">
            <v>624.67385756241219</v>
          </cell>
          <cell r="H664">
            <v>-624.67385756241219</v>
          </cell>
          <cell r="I664">
            <v>-624.67385756241219</v>
          </cell>
          <cell r="J664">
            <v>2490.5171688553914</v>
          </cell>
          <cell r="M664">
            <v>-2490.5171688553914</v>
          </cell>
          <cell r="N664">
            <v>-588.28543682567829</v>
          </cell>
          <cell r="O664">
            <v>2516.1657712300271</v>
          </cell>
          <cell r="R664">
            <v>-2516.1657712300271</v>
          </cell>
          <cell r="S664">
            <v>-545.9466539350185</v>
          </cell>
          <cell r="V664" t="str">
            <v>Embedded</v>
          </cell>
          <cell r="W664" t="str">
            <v>Finance</v>
          </cell>
          <cell r="AA664" t="str">
            <v>[10601]  Commonwealth Edison CompanyEmbeddedFinance</v>
          </cell>
          <cell r="AB664" t="str">
            <v>[10601]  Commonwealth Edison CompanyEmbedded (Finance)Overtime</v>
          </cell>
          <cell r="AC664" t="str">
            <v>[10601]  Commonwealth Edison CompanyEmbedded (Finance)EDSS Business Ops CED (00197)</v>
          </cell>
          <cell r="AF664" t="str">
            <v>EEDFinanceOvertime</v>
          </cell>
        </row>
        <row r="665">
          <cell r="E665">
            <v>197.24840305228776</v>
          </cell>
          <cell r="H665">
            <v>-197.24840305228776</v>
          </cell>
          <cell r="I665">
            <v>-197.24840305228776</v>
          </cell>
          <cell r="J665">
            <v>7184.8710686153172</v>
          </cell>
          <cell r="M665">
            <v>-7184.8710686153172</v>
          </cell>
          <cell r="N665">
            <v>-71.842562372916291</v>
          </cell>
          <cell r="O665">
            <v>7258.8644959469702</v>
          </cell>
          <cell r="R665">
            <v>-7258.8644959469702</v>
          </cell>
          <cell r="S665">
            <v>108.3897186116983</v>
          </cell>
          <cell r="V665" t="str">
            <v>Embedded</v>
          </cell>
          <cell r="W665" t="str">
            <v>Finance</v>
          </cell>
          <cell r="AA665" t="str">
            <v>[10601]  Commonwealth Edison CompanyEmbeddedFinance</v>
          </cell>
          <cell r="AB665" t="str">
            <v>[10601]  Commonwealth Edison CompanyEmbedded (Finance)Salaries and Wages</v>
          </cell>
          <cell r="AC665" t="str">
            <v>[10601]  Commonwealth Edison CompanyEmbedded (Finance)EDSS Business Ops CED (00197)</v>
          </cell>
          <cell r="AF665" t="str">
            <v>EEDFinanceSalaries and Wages</v>
          </cell>
        </row>
        <row r="666">
          <cell r="E666">
            <v>3230.0570040549824</v>
          </cell>
          <cell r="H666">
            <v>-1261.8507781485084</v>
          </cell>
          <cell r="I666">
            <v>-1261.8507959259437</v>
          </cell>
          <cell r="J666">
            <v>9278.1202926273127</v>
          </cell>
          <cell r="M666">
            <v>-1405.2954078135917</v>
          </cell>
          <cell r="N666">
            <v>-1233.845976130443</v>
          </cell>
          <cell r="O666">
            <v>24240.383918490756</v>
          </cell>
          <cell r="R666">
            <v>-621.90931887272382</v>
          </cell>
          <cell r="S666">
            <v>-396.15227250238604</v>
          </cell>
          <cell r="V666" t="str">
            <v>Embedded</v>
          </cell>
          <cell r="W666" t="str">
            <v>Finance</v>
          </cell>
          <cell r="AA666" t="str">
            <v>[10601]  Commonwealth Edison CompanyEmbeddedFinance</v>
          </cell>
          <cell r="AB666" t="str">
            <v>[10601]  Commonwealth Edison CompanyEmbedded (Finance)Other Operating Expenses</v>
          </cell>
          <cell r="AC666" t="str">
            <v>[10601]  Commonwealth Edison CompanyEmbedded (Finance)EDSS Business Ops CED (00197)</v>
          </cell>
          <cell r="AF666" t="str">
            <v>EEDFinanceOther Operating Expenses</v>
          </cell>
        </row>
        <row r="667">
          <cell r="E667">
            <v>2420.4706585671724</v>
          </cell>
          <cell r="H667">
            <v>-521.84888111266696</v>
          </cell>
          <cell r="I667">
            <v>-521.84889826159451</v>
          </cell>
          <cell r="J667">
            <v>4620.0950542201172</v>
          </cell>
          <cell r="M667">
            <v>2974.3920374508189</v>
          </cell>
          <cell r="N667">
            <v>-563.07193499858204</v>
          </cell>
          <cell r="O667">
            <v>19008.802414891135</v>
          </cell>
          <cell r="R667">
            <v>3774.6756079727238</v>
          </cell>
          <cell r="S667">
            <v>157.25590866831772</v>
          </cell>
          <cell r="V667" t="str">
            <v>Embedded</v>
          </cell>
          <cell r="W667" t="str">
            <v>Finance</v>
          </cell>
          <cell r="AA667" t="str">
            <v>[10601]  Commonwealth Edison CompanyEmbeddedFinance</v>
          </cell>
          <cell r="AB667" t="str">
            <v>[10601]  Commonwealth Edison CompanyEmbedded (Finance)Other Operating Expenses</v>
          </cell>
          <cell r="AC667" t="str">
            <v>[10601]  Commonwealth Edison CompanyEmbedded (Finance)EDSS Business Ops CED (00197)</v>
          </cell>
          <cell r="AF667" t="str">
            <v>EEDFinanceOther Operating Expenses</v>
          </cell>
        </row>
        <row r="668">
          <cell r="E668">
            <v>691.22941372031516</v>
          </cell>
          <cell r="H668">
            <v>-691.22941372031516</v>
          </cell>
          <cell r="I668">
            <v>-691.22941372031516</v>
          </cell>
          <cell r="J668">
            <v>2071.4049235875846</v>
          </cell>
          <cell r="M668">
            <v>-2071.4049235875846</v>
          </cell>
          <cell r="N668">
            <v>-663.14992914343065</v>
          </cell>
          <cell r="O668">
            <v>2092.7372966008484</v>
          </cell>
          <cell r="R668">
            <v>-2092.7372966008484</v>
          </cell>
          <cell r="S668">
            <v>-634.15006699999708</v>
          </cell>
          <cell r="V668" t="str">
            <v>Embedded</v>
          </cell>
          <cell r="W668" t="str">
            <v>Finance</v>
          </cell>
          <cell r="AA668" t="str">
            <v>[10601]  Commonwealth Edison CompanyEmbeddedFinance</v>
          </cell>
          <cell r="AB668" t="str">
            <v>[10601]  Commonwealth Edison CompanyEmbedded (Finance)Travel, Entertainment &amp; Reimb</v>
          </cell>
          <cell r="AC668" t="str">
            <v>[10601]  Commonwealth Edison CompanyEmbedded (Finance)EDSS Business Ops CED (00197)</v>
          </cell>
          <cell r="AF668" t="str">
            <v>EEDFinanceTravel, Entertainment &amp; Reimb</v>
          </cell>
        </row>
        <row r="669">
          <cell r="E669">
            <v>6765.0482043246184</v>
          </cell>
          <cell r="H669">
            <v>1227.0619251137914</v>
          </cell>
          <cell r="I669">
            <v>1227.0618529266303</v>
          </cell>
          <cell r="J669">
            <v>25101.589828524659</v>
          </cell>
          <cell r="M669">
            <v>6866.8506128401459</v>
          </cell>
          <cell r="N669">
            <v>1197.7743491130968</v>
          </cell>
          <cell r="O669">
            <v>85727.96301366383</v>
          </cell>
          <cell r="R669">
            <v>10177.358087815461</v>
          </cell>
          <cell r="S669">
            <v>4501.3036557042506</v>
          </cell>
          <cell r="V669" t="str">
            <v>Embedded</v>
          </cell>
          <cell r="W669" t="str">
            <v>Finance</v>
          </cell>
          <cell r="AA669" t="str">
            <v>[10601]  Commonwealth Edison CompanyEmbeddedFinance</v>
          </cell>
          <cell r="AB669" t="str">
            <v>[10601]  Commonwealth Edison CompanyEmbedded (Finance)Business Services</v>
          </cell>
          <cell r="AC669" t="str">
            <v>[10601]  Commonwealth Edison CompanyEmbedded (Finance)EDSS Business Ops CED (00197)</v>
          </cell>
          <cell r="AF669" t="str">
            <v>EEDFinanceBusiness Services</v>
          </cell>
        </row>
        <row r="670">
          <cell r="E670">
            <v>-446540.17</v>
          </cell>
          <cell r="H670">
            <v>-8522.1299999999992</v>
          </cell>
          <cell r="I670">
            <v>5909.03</v>
          </cell>
          <cell r="J670">
            <v>-1527224.41</v>
          </cell>
          <cell r="M670">
            <v>-285874.09000000003</v>
          </cell>
          <cell r="N670">
            <v>5909.03</v>
          </cell>
          <cell r="O670">
            <v>-5009263.09</v>
          </cell>
          <cell r="R670">
            <v>-573775.63</v>
          </cell>
          <cell r="S670">
            <v>-183295.05</v>
          </cell>
          <cell r="V670" t="str">
            <v>Embedded</v>
          </cell>
          <cell r="W670" t="str">
            <v>Finance</v>
          </cell>
          <cell r="AA670" t="str">
            <v>[10601]  Commonwealth Edison CompanyEmbeddedFinance</v>
          </cell>
          <cell r="AB670" t="str">
            <v>[10601]  Commonwealth Edison CompanyEmbedded (Finance)EDSS Offset</v>
          </cell>
          <cell r="AC670" t="str">
            <v>[10601]  Commonwealth Edison CompanyEmbedded (Finance)EDSS Business Ops CED (00197)</v>
          </cell>
          <cell r="AF670" t="str">
            <v>EEDFinanceEDSS Offset</v>
          </cell>
        </row>
        <row r="671">
          <cell r="E671">
            <v>-105716.08</v>
          </cell>
          <cell r="H671">
            <v>29925.26</v>
          </cell>
          <cell r="I671">
            <v>28665.21</v>
          </cell>
          <cell r="J671">
            <v>-431127.66</v>
          </cell>
          <cell r="M671">
            <v>129262.3</v>
          </cell>
          <cell r="N671">
            <v>28665.21</v>
          </cell>
          <cell r="O671">
            <v>-1391804.97</v>
          </cell>
          <cell r="R671">
            <v>361134.17</v>
          </cell>
          <cell r="S671">
            <v>377194.48</v>
          </cell>
          <cell r="V671" t="str">
            <v>Embedded</v>
          </cell>
          <cell r="W671" t="str">
            <v>Finance</v>
          </cell>
          <cell r="AA671" t="str">
            <v>[10601]  Commonwealth Edison CompanyEmbeddedFinance</v>
          </cell>
          <cell r="AB671" t="str">
            <v>[10601]  Commonwealth Edison CompanyEmbedded (Finance)EDSS Offset</v>
          </cell>
          <cell r="AC671" t="str">
            <v>[10601]  Commonwealth Edison CompanyEmbedded (Finance)EDSS Fin Srvcs CED (00398)</v>
          </cell>
          <cell r="AF671" t="str">
            <v>EEDControllerEDSS Offset</v>
          </cell>
        </row>
        <row r="672">
          <cell r="E672">
            <v>30566.713183071548</v>
          </cell>
          <cell r="H672">
            <v>11435.126891757176</v>
          </cell>
          <cell r="I672">
            <v>18435.434528354377</v>
          </cell>
          <cell r="J672">
            <v>67005.737037485946</v>
          </cell>
          <cell r="M672">
            <v>101001.62286037409</v>
          </cell>
          <cell r="N672">
            <v>16847.632181921654</v>
          </cell>
          <cell r="O672">
            <v>437830.20217583131</v>
          </cell>
          <cell r="R672">
            <v>66191.876347814337</v>
          </cell>
          <cell r="S672">
            <v>35231.341398511897</v>
          </cell>
          <cell r="V672" t="str">
            <v>Embedded</v>
          </cell>
          <cell r="W672" t="str">
            <v>Finance</v>
          </cell>
          <cell r="AA672" t="str">
            <v>[10601]  Commonwealth Edison CompanyEmbeddedFinance</v>
          </cell>
          <cell r="AB672" t="str">
            <v>[10601]  Commonwealth Edison CompanyEmbedded (Finance)Contracting</v>
          </cell>
          <cell r="AC672" t="str">
            <v>[10601]  Commonwealth Edison CompanyEmbedded (Finance)EDSS Business Ops CED (00197)</v>
          </cell>
          <cell r="AF672" t="str">
            <v>EEDFinanceContracting</v>
          </cell>
        </row>
        <row r="673">
          <cell r="E673">
            <v>3635.0198104255119</v>
          </cell>
          <cell r="H673">
            <v>2291.8262410615093</v>
          </cell>
          <cell r="I673">
            <v>2291.8261875284393</v>
          </cell>
          <cell r="J673">
            <v>12248.4113094026</v>
          </cell>
          <cell r="M673">
            <v>11458.972839896513</v>
          </cell>
          <cell r="N673">
            <v>2174.3486678681184</v>
          </cell>
          <cell r="O673">
            <v>57142.567318947207</v>
          </cell>
          <cell r="R673">
            <v>13979.568163125652</v>
          </cell>
          <cell r="S673">
            <v>4508.1875521366019</v>
          </cell>
          <cell r="V673" t="str">
            <v>Embedded</v>
          </cell>
          <cell r="W673" t="str">
            <v>Finance</v>
          </cell>
          <cell r="AA673" t="str">
            <v>[10601]  Commonwealth Edison CompanyEmbeddedFinance</v>
          </cell>
          <cell r="AB673" t="str">
            <v>[10601]  Commonwealth Edison CompanyEmbedded (Finance)Travel, Entertainment &amp; Reimb</v>
          </cell>
          <cell r="AC673" t="str">
            <v>[10601]  Commonwealth Edison CompanyEmbedded (Finance)EDSS Business Ops CED (00197)</v>
          </cell>
          <cell r="AF673" t="str">
            <v>EEDFinanceTravel, Entertainment &amp; Reimb</v>
          </cell>
        </row>
        <row r="674">
          <cell r="E674">
            <v>193117.24433366483</v>
          </cell>
          <cell r="H674">
            <v>25787.529950110795</v>
          </cell>
          <cell r="I674">
            <v>15976.31403825109</v>
          </cell>
          <cell r="J674">
            <v>738132.93644159473</v>
          </cell>
          <cell r="M674">
            <v>133455.89724756347</v>
          </cell>
          <cell r="N674">
            <v>16454.234784785775</v>
          </cell>
          <cell r="O674">
            <v>2402288.0633631777</v>
          </cell>
          <cell r="R674">
            <v>293512.51830678806</v>
          </cell>
          <cell r="S674">
            <v>107774.51003964804</v>
          </cell>
          <cell r="V674" t="str">
            <v>Embedded</v>
          </cell>
          <cell r="W674" t="str">
            <v>Finance</v>
          </cell>
          <cell r="AA674" t="str">
            <v>[10601]  Commonwealth Edison CompanyEmbeddedFinance</v>
          </cell>
          <cell r="AB674" t="str">
            <v>[10601]  Commonwealth Edison CompanyEmbedded (Finance)Salaries and Wages</v>
          </cell>
          <cell r="AC674" t="str">
            <v>[10601]  Commonwealth Edison CompanyEmbedded (Finance)EDSS Business Ops CED (00197)</v>
          </cell>
          <cell r="AF674" t="str">
            <v>EEDFinanceSalaries and Wages</v>
          </cell>
        </row>
        <row r="675">
          <cell r="E675">
            <v>0</v>
          </cell>
          <cell r="H675">
            <v>1008.0441617958895</v>
          </cell>
          <cell r="I675">
            <v>504.02207634546448</v>
          </cell>
          <cell r="J675">
            <v>11.775903193753251</v>
          </cell>
          <cell r="M675">
            <v>4020.4007343548878</v>
          </cell>
          <cell r="N675">
            <v>479.63193002789092</v>
          </cell>
          <cell r="O675">
            <v>3818.9939409948274</v>
          </cell>
          <cell r="R675">
            <v>8277.5359435726677</v>
          </cell>
          <cell r="S675">
            <v>662.43512795992228</v>
          </cell>
          <cell r="V675" t="str">
            <v>Embedded</v>
          </cell>
          <cell r="W675" t="str">
            <v>Finance</v>
          </cell>
          <cell r="AA675" t="str">
            <v>[10601]  Commonwealth Edison CompanyEmbeddedFinance</v>
          </cell>
          <cell r="AB675" t="str">
            <v>[10601]  Commonwealth Edison CompanyEmbedded (Finance)Transportation</v>
          </cell>
          <cell r="AC675" t="str">
            <v>[10601]  Commonwealth Edison CompanyEmbedded (Finance)EDSS Business Ops CED (00197)</v>
          </cell>
          <cell r="AF675" t="str">
            <v>EEDFinanceTransportation</v>
          </cell>
        </row>
        <row r="676">
          <cell r="E676">
            <v>138242.08373982023</v>
          </cell>
          <cell r="H676">
            <v>7859.6200861324905</v>
          </cell>
          <cell r="I676">
            <v>155.85133875563042</v>
          </cell>
          <cell r="J676">
            <v>518312.03376477084</v>
          </cell>
          <cell r="M676">
            <v>63403.482844943646</v>
          </cell>
          <cell r="N676">
            <v>869.13943266659044</v>
          </cell>
          <cell r="O676">
            <v>1621514.2357376181</v>
          </cell>
          <cell r="R676">
            <v>177717.55422727321</v>
          </cell>
          <cell r="S676">
            <v>61772.985324294074</v>
          </cell>
          <cell r="V676" t="str">
            <v>Embedded</v>
          </cell>
          <cell r="W676" t="str">
            <v>Finance</v>
          </cell>
          <cell r="AA676" t="str">
            <v>[10601]  Commonwealth Edison CompanyEmbeddedFinance</v>
          </cell>
          <cell r="AB676" t="str">
            <v>[10601]  Commonwealth Edison CompanyEmbedded (Finance)Pension and Benefits</v>
          </cell>
          <cell r="AC676" t="str">
            <v>[10601]  Commonwealth Edison CompanyEmbedded (Finance)EDSS Business Ops CED (00197)</v>
          </cell>
          <cell r="AF676" t="str">
            <v>EEDFinancePension and Benefits</v>
          </cell>
        </row>
        <row r="677">
          <cell r="E677">
            <v>44878.130241051193</v>
          </cell>
          <cell r="H677">
            <v>-38913.868950425516</v>
          </cell>
          <cell r="I677">
            <v>-41097.964668460212</v>
          </cell>
          <cell r="J677">
            <v>58432.353522090925</v>
          </cell>
          <cell r="M677">
            <v>-34575.308416594795</v>
          </cell>
          <cell r="N677">
            <v>-40813.433050504638</v>
          </cell>
          <cell r="O677">
            <v>87587.345107284462</v>
          </cell>
          <cell r="R677">
            <v>-16016.209956926774</v>
          </cell>
          <cell r="S677">
            <v>-39545.275130489201</v>
          </cell>
          <cell r="V677" t="str">
            <v>Embedded</v>
          </cell>
          <cell r="W677" t="str">
            <v>Finance</v>
          </cell>
          <cell r="AA677" t="str">
            <v>[10601]  Commonwealth Edison CompanyEmbeddedFinance</v>
          </cell>
          <cell r="AB677" t="str">
            <v>[10601]  Commonwealth Edison CompanyEmbedded (Finance)Other Operating Expenses</v>
          </cell>
          <cell r="AC677" t="str">
            <v>[10601]  Commonwealth Edison CompanyEmbedded (Finance)EDSS Business Ops CED (00197)</v>
          </cell>
          <cell r="AF677" t="str">
            <v>EEDFinanceOther Operating Expenses</v>
          </cell>
        </row>
        <row r="678">
          <cell r="E678">
            <v>11889.938025147831</v>
          </cell>
          <cell r="H678">
            <v>2965.627747081995</v>
          </cell>
          <cell r="I678">
            <v>2182.3113026189567</v>
          </cell>
          <cell r="J678">
            <v>44760.256951417439</v>
          </cell>
          <cell r="M678">
            <v>14388.349082394794</v>
          </cell>
          <cell r="N678">
            <v>2398.5567082165289</v>
          </cell>
          <cell r="O678">
            <v>138598.93443594303</v>
          </cell>
          <cell r="R678">
            <v>44346.261458554713</v>
          </cell>
          <cell r="S678">
            <v>27129.269347691181</v>
          </cell>
          <cell r="V678" t="str">
            <v>Embedded</v>
          </cell>
          <cell r="W678" t="str">
            <v>Finance</v>
          </cell>
          <cell r="AA678" t="str">
            <v>[10200]  PECO Energy CompanyEmbeddedFinance</v>
          </cell>
          <cell r="AB678" t="str">
            <v>[10200]  PECO Energy CompanyEmbedded (Finance)Salaries and Wages</v>
          </cell>
          <cell r="AC678" t="str">
            <v>[10200]  PECO Energy CompanyEmbedded (Finance)EDSS Business Ops PED (00198)</v>
          </cell>
          <cell r="AF678" t="str">
            <v>EEDFinanceSalaries and Wages</v>
          </cell>
        </row>
        <row r="679">
          <cell r="E679">
            <v>129.65292088269467</v>
          </cell>
          <cell r="H679">
            <v>-129.65292088269467</v>
          </cell>
          <cell r="I679">
            <v>-129.65292088269467</v>
          </cell>
          <cell r="J679">
            <v>335.07367742745618</v>
          </cell>
          <cell r="M679">
            <v>-335.07367742745618</v>
          </cell>
          <cell r="N679">
            <v>-116.15439215355704</v>
          </cell>
          <cell r="O679">
            <v>332.52412321107846</v>
          </cell>
          <cell r="R679">
            <v>-332.52412321107846</v>
          </cell>
          <cell r="S679">
            <v>-88.43087886281279</v>
          </cell>
          <cell r="V679" t="str">
            <v>Embedded</v>
          </cell>
          <cell r="W679" t="str">
            <v>Finance</v>
          </cell>
          <cell r="AA679" t="str">
            <v>[10200]  PECO Energy CompanyEmbeddedFinance</v>
          </cell>
          <cell r="AB679" t="str">
            <v>[10200]  PECO Energy CompanyEmbedded (Finance)Travel, Entertainment &amp; Reimb</v>
          </cell>
          <cell r="AC679" t="str">
            <v>[10200]  PECO Energy CompanyEmbedded (Finance)EDSS Business Ops PED (00198)</v>
          </cell>
          <cell r="AF679" t="str">
            <v>EEDFinanceTravel, Entertainment &amp; Reimb</v>
          </cell>
        </row>
        <row r="680">
          <cell r="E680">
            <v>338.63608126896145</v>
          </cell>
          <cell r="H680">
            <v>-338.63608126896145</v>
          </cell>
          <cell r="I680">
            <v>-338.63608126896145</v>
          </cell>
          <cell r="J680">
            <v>1364.0771279968274</v>
          </cell>
          <cell r="M680">
            <v>-1364.0771279968274</v>
          </cell>
          <cell r="N680">
            <v>-269.50139169293698</v>
          </cell>
          <cell r="O680">
            <v>1353.697952229129</v>
          </cell>
          <cell r="R680">
            <v>-1353.697952229129</v>
          </cell>
          <cell r="S680">
            <v>-133.25479974473251</v>
          </cell>
          <cell r="V680" t="str">
            <v>Embedded</v>
          </cell>
          <cell r="W680" t="str">
            <v>Finance</v>
          </cell>
          <cell r="AA680" t="str">
            <v>[10200]  PECO Energy CompanyEmbeddedFinance</v>
          </cell>
          <cell r="AB680" t="str">
            <v>[10200]  PECO Energy CompanyEmbedded (Finance)Overtime</v>
          </cell>
          <cell r="AC680" t="str">
            <v>[10200]  PECO Energy CompanyEmbedded (Finance)EDSS Business Ops PED (00198)</v>
          </cell>
          <cell r="AF680" t="str">
            <v>EEDFinanceOvertime</v>
          </cell>
        </row>
        <row r="681">
          <cell r="E681">
            <v>106.92848025821817</v>
          </cell>
          <cell r="H681">
            <v>-106.92848025821817</v>
          </cell>
          <cell r="I681">
            <v>-106.92848025821817</v>
          </cell>
          <cell r="J681">
            <v>3935.2141052729849</v>
          </cell>
          <cell r="M681">
            <v>-3935.2141052729849</v>
          </cell>
          <cell r="N681">
            <v>157.74065069847302</v>
          </cell>
          <cell r="O681">
            <v>3905.2713124177635</v>
          </cell>
          <cell r="R681">
            <v>-3905.2713124177635</v>
          </cell>
          <cell r="S681">
            <v>658.3403589147465</v>
          </cell>
          <cell r="V681" t="str">
            <v>Embedded</v>
          </cell>
          <cell r="W681" t="str">
            <v>Finance</v>
          </cell>
          <cell r="AA681" t="str">
            <v>[10200]  PECO Energy CompanyEmbeddedFinance</v>
          </cell>
          <cell r="AB681" t="str">
            <v>[10200]  PECO Energy CompanyEmbedded (Finance)Salaries and Wages</v>
          </cell>
          <cell r="AC681" t="str">
            <v>[10200]  PECO Energy CompanyEmbedded (Finance)EDSS Business Ops PED (00198)</v>
          </cell>
          <cell r="AF681" t="str">
            <v>EEDFinanceSalaries and Wages</v>
          </cell>
        </row>
        <row r="682">
          <cell r="E682">
            <v>1751.0158827468722</v>
          </cell>
          <cell r="H682">
            <v>-495.90975425286661</v>
          </cell>
          <cell r="I682">
            <v>-495.90975864321967</v>
          </cell>
          <cell r="J682">
            <v>5081.7042501227606</v>
          </cell>
          <cell r="M682">
            <v>-61.279781025438751</v>
          </cell>
          <cell r="N682">
            <v>-452.89518614248391</v>
          </cell>
          <cell r="O682">
            <v>13041.333940278366</v>
          </cell>
          <cell r="R682">
            <v>2019.9393706879237</v>
          </cell>
          <cell r="S682">
            <v>1728.8654670604046</v>
          </cell>
          <cell r="V682" t="str">
            <v>Embedded</v>
          </cell>
          <cell r="W682" t="str">
            <v>Finance</v>
          </cell>
          <cell r="AA682" t="str">
            <v>[10200]  PECO Energy CompanyEmbeddedFinance</v>
          </cell>
          <cell r="AB682" t="str">
            <v>[10200]  PECO Energy CompanyEmbedded (Finance)Other Operating Expenses</v>
          </cell>
          <cell r="AC682" t="str">
            <v>[10200]  PECO Energy CompanyEmbedded (Finance)EDSS Business Ops PED (00198)</v>
          </cell>
          <cell r="AF682" t="str">
            <v>EEDFinanceOther Operating Expenses</v>
          </cell>
        </row>
        <row r="683">
          <cell r="E683">
            <v>1312.1386283750417</v>
          </cell>
          <cell r="H683">
            <v>-101.40583157279912</v>
          </cell>
          <cell r="I683">
            <v>-101.40583580793464</v>
          </cell>
          <cell r="J683">
            <v>2530.4647851632017</v>
          </cell>
          <cell r="M683">
            <v>2312.4663587537207</v>
          </cell>
          <cell r="N683">
            <v>-195.98629174352936</v>
          </cell>
          <cell r="O683">
            <v>10226.741495965538</v>
          </cell>
          <cell r="R683">
            <v>4302.0625565322462</v>
          </cell>
          <cell r="S683">
            <v>1645.5850060832527</v>
          </cell>
          <cell r="V683" t="str">
            <v>Embedded</v>
          </cell>
          <cell r="W683" t="str">
            <v>Finance</v>
          </cell>
          <cell r="AA683" t="str">
            <v>[10200]  PECO Energy CompanyEmbeddedFinance</v>
          </cell>
          <cell r="AB683" t="str">
            <v>[10200]  PECO Energy CompanyEmbedded (Finance)Other Operating Expenses</v>
          </cell>
          <cell r="AC683" t="str">
            <v>[10200]  PECO Energy CompanyEmbedded (Finance)EDSS Business Ops PED (00198)</v>
          </cell>
          <cell r="AF683" t="str">
            <v>EEDFinanceOther Operating Expenses</v>
          </cell>
        </row>
        <row r="684">
          <cell r="E684">
            <v>374.71588907768944</v>
          </cell>
          <cell r="H684">
            <v>-374.71588907768944</v>
          </cell>
          <cell r="I684">
            <v>-374.71588907768944</v>
          </cell>
          <cell r="J684">
            <v>1134.5258384162946</v>
          </cell>
          <cell r="M684">
            <v>-1134.5258384162946</v>
          </cell>
          <cell r="N684">
            <v>-324.19252229471113</v>
          </cell>
          <cell r="O684">
            <v>1125.893303753676</v>
          </cell>
          <cell r="R684">
            <v>-1125.893303753676</v>
          </cell>
          <cell r="S684">
            <v>-222.37816625387052</v>
          </cell>
          <cell r="V684" t="str">
            <v>Embedded</v>
          </cell>
          <cell r="W684" t="str">
            <v>Finance</v>
          </cell>
          <cell r="AA684" t="str">
            <v>[10200]  PECO Energy CompanyEmbeddedFinance</v>
          </cell>
          <cell r="AB684" t="str">
            <v>[10200]  PECO Energy CompanyEmbedded (Finance)Travel, Entertainment &amp; Reimb</v>
          </cell>
          <cell r="AC684" t="str">
            <v>[10200]  PECO Energy CompanyEmbedded (Finance)EDSS Business Ops PED (00198)</v>
          </cell>
          <cell r="AF684" t="str">
            <v>EEDFinanceTravel, Entertainment &amp; Reimb</v>
          </cell>
        </row>
        <row r="685">
          <cell r="E685">
            <v>3667.3367802641342</v>
          </cell>
          <cell r="H685">
            <v>1429.154771802434</v>
          </cell>
          <cell r="I685">
            <v>1429.1547539749399</v>
          </cell>
          <cell r="J685">
            <v>13748.351141536104</v>
          </cell>
          <cell r="M685">
            <v>6637.6148844954459</v>
          </cell>
          <cell r="N685">
            <v>1384.739861181095</v>
          </cell>
          <cell r="O685">
            <v>46121.670244182809</v>
          </cell>
          <cell r="R685">
            <v>15036.227442771218</v>
          </cell>
          <cell r="S685">
            <v>9770.4331739925838</v>
          </cell>
          <cell r="V685" t="str">
            <v>Embedded</v>
          </cell>
          <cell r="W685" t="str">
            <v>Finance</v>
          </cell>
          <cell r="AA685" t="str">
            <v>[10200]  PECO Energy CompanyEmbeddedFinance</v>
          </cell>
          <cell r="AB685" t="str">
            <v>[10200]  PECO Energy CompanyEmbedded (Finance)Business Services</v>
          </cell>
          <cell r="AC685" t="str">
            <v>[10200]  PECO Energy CompanyEmbedded (Finance)EDSS Business Ops PED (00198)</v>
          </cell>
          <cell r="AF685" t="str">
            <v>EEDFinanceBusiness Services</v>
          </cell>
        </row>
        <row r="686">
          <cell r="E686">
            <v>16570.233961733331</v>
          </cell>
          <cell r="H686">
            <v>10213.934380008148</v>
          </cell>
          <cell r="I686">
            <v>14677.96322046468</v>
          </cell>
          <cell r="J686">
            <v>36699.60379330015</v>
          </cell>
          <cell r="M686">
            <v>70437.068615947021</v>
          </cell>
          <cell r="N686">
            <v>11551.017731638953</v>
          </cell>
          <cell r="O686">
            <v>235552.7822873737</v>
          </cell>
          <cell r="R686">
            <v>85857.232884762256</v>
          </cell>
          <cell r="S686">
            <v>57483.010783026199</v>
          </cell>
          <cell r="V686" t="str">
            <v>Embedded</v>
          </cell>
          <cell r="W686" t="str">
            <v>Finance</v>
          </cell>
          <cell r="AA686" t="str">
            <v>[10200]  PECO Energy CompanyEmbeddedFinance</v>
          </cell>
          <cell r="AB686" t="str">
            <v>[10200]  PECO Energy CompanyEmbedded (Finance)Contracting</v>
          </cell>
          <cell r="AC686" t="str">
            <v>[10200]  PECO Energy CompanyEmbedded (Finance)EDSS Business Ops PED (00198)</v>
          </cell>
          <cell r="AF686" t="str">
            <v>EEDFinanceContracting</v>
          </cell>
        </row>
        <row r="687">
          <cell r="E687">
            <v>1970.5464684258095</v>
          </cell>
          <cell r="H687">
            <v>1808.946098942657</v>
          </cell>
          <cell r="I687">
            <v>1808.9460857220165</v>
          </cell>
          <cell r="J687">
            <v>6708.5575359162958</v>
          </cell>
          <cell r="M687">
            <v>8409.4125984146467</v>
          </cell>
          <cell r="N687">
            <v>1590.5381293687096</v>
          </cell>
          <cell r="O687">
            <v>30742.718643279055</v>
          </cell>
          <cell r="R687">
            <v>14611.180755981739</v>
          </cell>
          <cell r="S687">
            <v>7446.5573450739248</v>
          </cell>
          <cell r="V687" t="str">
            <v>Embedded</v>
          </cell>
          <cell r="W687" t="str">
            <v>Finance</v>
          </cell>
          <cell r="AA687" t="str">
            <v>[10200]  PECO Energy CompanyEmbeddedFinance</v>
          </cell>
          <cell r="AB687" t="str">
            <v>[10200]  PECO Energy CompanyEmbedded (Finance)Travel, Entertainment &amp; Reimb</v>
          </cell>
          <cell r="AC687" t="str">
            <v>[10200]  PECO Energy CompanyEmbedded (Finance)EDSS Business Ops PED (00198)</v>
          </cell>
          <cell r="AF687" t="str">
            <v>EEDFinanceTravel, Entertainment &amp; Reimb</v>
          </cell>
        </row>
        <row r="688">
          <cell r="E688">
            <v>104688.97658339886</v>
          </cell>
          <cell r="H688">
            <v>34904.486816822799</v>
          </cell>
          <cell r="I688">
            <v>28647.96978904678</v>
          </cell>
          <cell r="J688">
            <v>404281.59605254169</v>
          </cell>
          <cell r="M688">
            <v>151522.1937771595</v>
          </cell>
          <cell r="N688">
            <v>29920.396608615236</v>
          </cell>
          <cell r="O688">
            <v>1292431.7106696384</v>
          </cell>
          <cell r="R688">
            <v>426654.30316843954</v>
          </cell>
          <cell r="S688">
            <v>262414.98284061882</v>
          </cell>
          <cell r="V688" t="str">
            <v>Embedded</v>
          </cell>
          <cell r="W688" t="str">
            <v>Finance</v>
          </cell>
          <cell r="AA688" t="str">
            <v>[10200]  PECO Energy CompanyEmbeddedFinance</v>
          </cell>
          <cell r="AB688" t="str">
            <v>[10200]  PECO Energy CompanyEmbedded (Finance)Salaries and Wages</v>
          </cell>
          <cell r="AC688" t="str">
            <v>[10200]  PECO Energy CompanyEmbedded (Finance)EDSS Business Ops PED (00198)</v>
          </cell>
          <cell r="AF688" t="str">
            <v>EEDFinanceSalaries and Wages</v>
          </cell>
        </row>
        <row r="689">
          <cell r="E689">
            <v>0</v>
          </cell>
          <cell r="H689">
            <v>642.82004020179545</v>
          </cell>
          <cell r="I689">
            <v>321.4100189766076</v>
          </cell>
          <cell r="J689">
            <v>6.4497608805829083</v>
          </cell>
          <cell r="M689">
            <v>2564.8303769413492</v>
          </cell>
          <cell r="N689">
            <v>276.31446905903141</v>
          </cell>
          <cell r="O689">
            <v>2054.6199048613998</v>
          </cell>
          <cell r="R689">
            <v>5659.2204592698627</v>
          </cell>
          <cell r="S689">
            <v>721.38067930682519</v>
          </cell>
          <cell r="V689" t="str">
            <v>Embedded</v>
          </cell>
          <cell r="W689" t="str">
            <v>Finance</v>
          </cell>
          <cell r="AA689" t="str">
            <v>[10200]  PECO Energy CompanyEmbeddedFinance</v>
          </cell>
          <cell r="AB689" t="str">
            <v>[10200]  PECO Energy CompanyEmbedded (Finance)Transportation</v>
          </cell>
          <cell r="AC689" t="str">
            <v>[10200]  PECO Energy CompanyEmbedded (Finance)EDSS Business Ops PED (00198)</v>
          </cell>
          <cell r="AF689" t="str">
            <v>EEDFinanceTransportation</v>
          </cell>
        </row>
        <row r="690">
          <cell r="E690">
            <v>74941.11837300811</v>
          </cell>
          <cell r="H690">
            <v>18226.529123338623</v>
          </cell>
          <cell r="I690">
            <v>13313.910578222582</v>
          </cell>
          <cell r="J690">
            <v>283883.84519709175</v>
          </cell>
          <cell r="M690">
            <v>87070.52713683591</v>
          </cell>
          <cell r="N690">
            <v>14861.625903495529</v>
          </cell>
          <cell r="O690">
            <v>872375.1533092946</v>
          </cell>
          <cell r="R690">
            <v>274977.59481774049</v>
          </cell>
          <cell r="S690">
            <v>170329.35837466759</v>
          </cell>
          <cell r="V690" t="str">
            <v>Embedded</v>
          </cell>
          <cell r="W690" t="str">
            <v>Finance</v>
          </cell>
          <cell r="AA690" t="str">
            <v>[10200]  PECO Energy CompanyEmbeddedFinance</v>
          </cell>
          <cell r="AB690" t="str">
            <v>[10200]  PECO Energy CompanyEmbedded (Finance)Pension and Benefits</v>
          </cell>
          <cell r="AC690" t="str">
            <v>[10200]  PECO Energy CompanyEmbedded (Finance)EDSS Business Ops PED (00198)</v>
          </cell>
          <cell r="AF690" t="str">
            <v>EEDFinancePension and Benefits</v>
          </cell>
        </row>
        <row r="691">
          <cell r="E691">
            <v>24328.461925412426</v>
          </cell>
          <cell r="H691">
            <v>-20525.110020885135</v>
          </cell>
          <cell r="I691">
            <v>-21917.88678308787</v>
          </cell>
          <cell r="J691">
            <v>32003.889782916456</v>
          </cell>
          <cell r="M691">
            <v>-16790.482300803356</v>
          </cell>
          <cell r="N691">
            <v>-21865.670278246238</v>
          </cell>
          <cell r="O691">
            <v>47122.018377571214</v>
          </cell>
          <cell r="R691">
            <v>-1481.7962231279089</v>
          </cell>
          <cell r="S691">
            <v>-17362.579531573712</v>
          </cell>
          <cell r="V691" t="str">
            <v>Embedded</v>
          </cell>
          <cell r="W691" t="str">
            <v>Finance</v>
          </cell>
          <cell r="AA691" t="str">
            <v>[10200]  PECO Energy CompanyEmbeddedFinance</v>
          </cell>
          <cell r="AB691" t="str">
            <v>[10200]  PECO Energy CompanyEmbedded (Finance)Other Operating Expenses</v>
          </cell>
          <cell r="AC691" t="str">
            <v>[10200]  PECO Energy CompanyEmbedded (Finance)EDSS Business Ops PED (00198)</v>
          </cell>
          <cell r="AF691" t="str">
            <v>EEDFinanceOther Operating Expenses</v>
          </cell>
        </row>
        <row r="692">
          <cell r="E692">
            <v>0</v>
          </cell>
          <cell r="H692">
            <v>147.31291704207817</v>
          </cell>
          <cell r="I692">
            <v>147.31290204518575</v>
          </cell>
          <cell r="J692">
            <v>1013.2883298003229</v>
          </cell>
          <cell r="M692">
            <v>-424.03665277590949</v>
          </cell>
          <cell r="N692">
            <v>85.920105263005894</v>
          </cell>
          <cell r="O692">
            <v>2549.4709746969934</v>
          </cell>
          <cell r="R692">
            <v>-781.71585088465827</v>
          </cell>
          <cell r="S692">
            <v>-315.2801970108012</v>
          </cell>
          <cell r="V692" t="str">
            <v>Embedded</v>
          </cell>
          <cell r="W692" t="str">
            <v>Finance</v>
          </cell>
          <cell r="AA692" t="str">
            <v>[10200]  PECO Energy CompanyEmbeddedFinance</v>
          </cell>
          <cell r="AB692" t="str">
            <v>[10200]  PECO Energy CompanyEmbedded (Finance)Other Operating Expenses</v>
          </cell>
          <cell r="AC692" t="str">
            <v>[10200]  PECO Energy CompanyEmbedded (Finance)Controller EED PECO (00825)</v>
          </cell>
          <cell r="AF692" t="str">
            <v>EEDControllerOther Operating Expenses</v>
          </cell>
        </row>
        <row r="693">
          <cell r="E693">
            <v>24384.873973963568</v>
          </cell>
          <cell r="H693">
            <v>-6683.8315362709836</v>
          </cell>
          <cell r="I693">
            <v>-6683.8333382896708</v>
          </cell>
          <cell r="J693">
            <v>88704.081175705811</v>
          </cell>
          <cell r="M693">
            <v>-18264.338417280276</v>
          </cell>
          <cell r="N693">
            <v>-7117.9719432322017</v>
          </cell>
          <cell r="O693">
            <v>280391.01269553526</v>
          </cell>
          <cell r="R693">
            <v>-20137.858077169309</v>
          </cell>
          <cell r="S693">
            <v>-51393.345683118911</v>
          </cell>
          <cell r="V693" t="str">
            <v>Embedded</v>
          </cell>
          <cell r="W693" t="str">
            <v>Finance</v>
          </cell>
          <cell r="AA693" t="str">
            <v>[10200]  PECO Energy CompanyEmbeddedFinance</v>
          </cell>
          <cell r="AB693" t="str">
            <v>[10200]  PECO Energy CompanyEmbedded (Finance)Salaries and Wages</v>
          </cell>
          <cell r="AC693" t="str">
            <v>[10200]  PECO Energy CompanyEmbedded (Finance)Controller EED PECO (00825)</v>
          </cell>
          <cell r="AF693" t="str">
            <v>EEDControllerSalaries and Wages</v>
          </cell>
        </row>
        <row r="694">
          <cell r="E694">
            <v>19276.963890023406</v>
          </cell>
          <cell r="H694">
            <v>-6490.0152016038755</v>
          </cell>
          <cell r="I694">
            <v>-6490.0165033532248</v>
          </cell>
          <cell r="J694">
            <v>65789.993293543012</v>
          </cell>
          <cell r="M694">
            <v>-14905.451314688165</v>
          </cell>
          <cell r="N694">
            <v>-6664.8126484479944</v>
          </cell>
          <cell r="O694">
            <v>186355.30819946944</v>
          </cell>
          <cell r="R694">
            <v>-9594.5860361051746</v>
          </cell>
          <cell r="S694">
            <v>-35385.25692472895</v>
          </cell>
          <cell r="V694" t="str">
            <v>Embedded</v>
          </cell>
          <cell r="W694" t="str">
            <v>Finance</v>
          </cell>
          <cell r="AA694" t="str">
            <v>[10200]  PECO Energy CompanyEmbeddedFinance</v>
          </cell>
          <cell r="AB694" t="str">
            <v>[10200]  PECO Energy CompanyEmbedded (Finance)Pension and Benefits</v>
          </cell>
          <cell r="AC694" t="str">
            <v>[10200]  PECO Energy CompanyEmbedded (Finance)Controller EED PECO (00825)</v>
          </cell>
          <cell r="AF694" t="str">
            <v>EEDControllerPension and Benefits</v>
          </cell>
        </row>
        <row r="695">
          <cell r="E695">
            <v>2998.8595116558831</v>
          </cell>
          <cell r="H695">
            <v>-959.98177937668379</v>
          </cell>
          <cell r="I695">
            <v>-959.98198694049188</v>
          </cell>
          <cell r="J695">
            <v>10354.665390243568</v>
          </cell>
          <cell r="M695">
            <v>-2241.1331637088733</v>
          </cell>
          <cell r="N695">
            <v>-989.17707474346571</v>
          </cell>
          <cell r="O695">
            <v>29576.683112543044</v>
          </cell>
          <cell r="R695">
            <v>-1392.211454355649</v>
          </cell>
          <cell r="S695">
            <v>-5560.6216753588269</v>
          </cell>
          <cell r="V695" t="str">
            <v>Embedded</v>
          </cell>
          <cell r="W695" t="str">
            <v>Finance</v>
          </cell>
          <cell r="AA695" t="str">
            <v>[10200]  PECO Energy CompanyEmbeddedFinance</v>
          </cell>
          <cell r="AB695" t="str">
            <v>[10200]  PECO Energy CompanyEmbedded (Finance)Salaries and Wages</v>
          </cell>
          <cell r="AC695" t="str">
            <v>[10200]  PECO Energy CompanyEmbedded (Finance)Controller EED PECO (00825)</v>
          </cell>
          <cell r="AF695" t="str">
            <v>EEDControllerSalaries and Wages</v>
          </cell>
        </row>
        <row r="696">
          <cell r="E696">
            <v>63.922915679978892</v>
          </cell>
          <cell r="H696">
            <v>632.46541942802696</v>
          </cell>
          <cell r="I696">
            <v>632.46534853362641</v>
          </cell>
          <cell r="J696">
            <v>779.93289702987215</v>
          </cell>
          <cell r="M696">
            <v>2005.6204852673554</v>
          </cell>
          <cell r="N696">
            <v>691.33688791346879</v>
          </cell>
          <cell r="O696">
            <v>7979.7574141201512</v>
          </cell>
          <cell r="R696">
            <v>376.90317117452287</v>
          </cell>
          <cell r="S696">
            <v>-787.19452421256665</v>
          </cell>
          <cell r="V696" t="str">
            <v>Embedded</v>
          </cell>
          <cell r="W696" t="str">
            <v>Finance</v>
          </cell>
          <cell r="AA696" t="str">
            <v>[10200]  PECO Energy CompanyEmbeddedFinance</v>
          </cell>
          <cell r="AB696" t="str">
            <v>[10200]  PECO Energy CompanyEmbedded (Finance)Other Operating Expenses</v>
          </cell>
          <cell r="AC696" t="str">
            <v>[10200]  PECO Energy CompanyEmbedded (Finance)Controller EED PECO (00825)</v>
          </cell>
          <cell r="AF696" t="str">
            <v>EEDControllerOther Operating Expenses</v>
          </cell>
        </row>
        <row r="697">
          <cell r="E697">
            <v>1013.7372902066104</v>
          </cell>
          <cell r="H697">
            <v>-678.93520602006902</v>
          </cell>
          <cell r="I697">
            <v>-678.93524010391548</v>
          </cell>
          <cell r="J697">
            <v>3628.8769012965181</v>
          </cell>
          <cell r="M697">
            <v>-2289.668544422851</v>
          </cell>
          <cell r="N697">
            <v>-757.54268095222142</v>
          </cell>
          <cell r="O697">
            <v>7140.7441643247448</v>
          </cell>
          <cell r="R697">
            <v>-3123.1188829330745</v>
          </cell>
          <cell r="S697">
            <v>-1725.5574401499916</v>
          </cell>
          <cell r="V697" t="str">
            <v>Embedded</v>
          </cell>
          <cell r="W697" t="str">
            <v>Finance</v>
          </cell>
          <cell r="AA697" t="str">
            <v>[10200]  PECO Energy CompanyEmbeddedFinance</v>
          </cell>
          <cell r="AB697" t="str">
            <v>[10200]  PECO Energy CompanyEmbedded (Finance)Travel, Entertainment &amp; Reimb</v>
          </cell>
          <cell r="AC697" t="str">
            <v>[10200]  PECO Energy CompanyEmbedded (Finance)Controller EED PECO (00825)</v>
          </cell>
          <cell r="AF697" t="str">
            <v>EEDControllerTravel, Entertainment &amp; Reimb</v>
          </cell>
        </row>
        <row r="698">
          <cell r="E698">
            <v>390.00528071839057</v>
          </cell>
          <cell r="H698">
            <v>92.109720510228897</v>
          </cell>
          <cell r="I698">
            <v>92.109671429490049</v>
          </cell>
          <cell r="J698">
            <v>1144.9269963886147</v>
          </cell>
          <cell r="M698">
            <v>783.53303750946543</v>
          </cell>
          <cell r="N698">
            <v>140.76392420826323</v>
          </cell>
          <cell r="O698">
            <v>6138.7938122780452</v>
          </cell>
          <cell r="R698">
            <v>-353.41340707403924</v>
          </cell>
          <cell r="S698">
            <v>-917.73089342965523</v>
          </cell>
          <cell r="V698" t="str">
            <v>Embedded</v>
          </cell>
          <cell r="W698" t="str">
            <v>Finance</v>
          </cell>
          <cell r="AA698" t="str">
            <v>[10200]  PECO Energy CompanyEmbeddedFinance</v>
          </cell>
          <cell r="AB698" t="str">
            <v>[10200]  PECO Energy CompanyEmbedded (Finance)Travel, Entertainment &amp; Reimb</v>
          </cell>
          <cell r="AC698" t="str">
            <v>[10200]  PECO Energy CompanyEmbedded (Finance)Controller EED PECO (00825)</v>
          </cell>
          <cell r="AF698" t="str">
            <v>EEDControllerTravel, Entertainment &amp; Reimb</v>
          </cell>
        </row>
        <row r="699">
          <cell r="E699">
            <v>512.08569251381653</v>
          </cell>
          <cell r="H699">
            <v>184.30264259418936</v>
          </cell>
          <cell r="I699">
            <v>184.30257169978881</v>
          </cell>
          <cell r="J699">
            <v>2043.4313363561987</v>
          </cell>
          <cell r="M699">
            <v>742.12204594102877</v>
          </cell>
          <cell r="N699">
            <v>212.98555024087545</v>
          </cell>
          <cell r="O699">
            <v>9262.8313720786537</v>
          </cell>
          <cell r="R699">
            <v>-906.17078678397957</v>
          </cell>
          <cell r="S699">
            <v>-1360.1420599050762</v>
          </cell>
          <cell r="V699" t="str">
            <v>Embedded</v>
          </cell>
          <cell r="W699" t="str">
            <v>Finance</v>
          </cell>
          <cell r="AA699" t="str">
            <v>[10200]  PECO Energy CompanyEmbeddedFinance</v>
          </cell>
          <cell r="AB699" t="str">
            <v>[10200]  PECO Energy CompanyEmbedded (Finance)Business Services</v>
          </cell>
          <cell r="AC699" t="str">
            <v>[10200]  PECO Energy CompanyEmbedded (Finance)Controller EED PECO (00825)</v>
          </cell>
          <cell r="AF699" t="str">
            <v>EEDControllerBusiness Services</v>
          </cell>
        </row>
        <row r="700">
          <cell r="E700">
            <v>0</v>
          </cell>
          <cell r="H700">
            <v>1776.6848456943617</v>
          </cell>
          <cell r="I700">
            <v>2580.2095850690357</v>
          </cell>
          <cell r="J700">
            <v>5921.9636707581367</v>
          </cell>
          <cell r="M700">
            <v>1184.7758188293592</v>
          </cell>
          <cell r="N700">
            <v>2502.253613505648</v>
          </cell>
          <cell r="O700">
            <v>38174.237226698919</v>
          </cell>
          <cell r="R700">
            <v>-16854.039066780453</v>
          </cell>
          <cell r="S700">
            <v>-8835.9702027798157</v>
          </cell>
          <cell r="V700" t="str">
            <v>Embedded</v>
          </cell>
          <cell r="W700" t="str">
            <v>Finance</v>
          </cell>
          <cell r="AA700" t="str">
            <v>[10200]  PECO Energy CompanyEmbeddedFinance</v>
          </cell>
          <cell r="AB700" t="str">
            <v>[10200]  PECO Energy CompanyEmbedded (Finance)Contracting</v>
          </cell>
          <cell r="AC700" t="str">
            <v>[10200]  PECO Energy CompanyEmbedded (Finance)Controller EED PECO (00825)</v>
          </cell>
          <cell r="AF700" t="str">
            <v>EEDControllerContracting</v>
          </cell>
        </row>
        <row r="701">
          <cell r="E701">
            <v>1320.0594778319914</v>
          </cell>
          <cell r="H701">
            <v>1023.5551114737978</v>
          </cell>
          <cell r="I701">
            <v>1023.5548728868725</v>
          </cell>
          <cell r="J701">
            <v>6061.9531099606265</v>
          </cell>
          <cell r="M701">
            <v>3312.5053881550411</v>
          </cell>
          <cell r="N701">
            <v>1120.0904037022965</v>
          </cell>
          <cell r="O701">
            <v>30345.384360058397</v>
          </cell>
          <cell r="R701">
            <v>-2222.0073903167031</v>
          </cell>
          <cell r="S701">
            <v>-4122.1277598800843</v>
          </cell>
          <cell r="V701" t="str">
            <v>Embedded</v>
          </cell>
          <cell r="W701" t="str">
            <v>Finance</v>
          </cell>
          <cell r="AA701" t="str">
            <v>[10200]  PECO Energy CompanyEmbeddedFinance</v>
          </cell>
          <cell r="AB701" t="str">
            <v>[10200]  PECO Energy CompanyEmbedded (Finance)Travel, Entertainment &amp; Reimb</v>
          </cell>
          <cell r="AC701" t="str">
            <v>[10200]  PECO Energy CompanyEmbedded (Finance)Controller EED PECO (00825)</v>
          </cell>
          <cell r="AF701" t="str">
            <v>EEDControllerTravel, Entertainment &amp; Reimb</v>
          </cell>
        </row>
        <row r="702">
          <cell r="E702">
            <v>106.12127972396287</v>
          </cell>
          <cell r="H702">
            <v>362.60163813719493</v>
          </cell>
          <cell r="I702">
            <v>362.60159041980995</v>
          </cell>
          <cell r="J702">
            <v>483.02107464434704</v>
          </cell>
          <cell r="M702">
            <v>1391.8706249787867</v>
          </cell>
          <cell r="N702">
            <v>416.51512148910336</v>
          </cell>
          <cell r="O702">
            <v>5328.4071230020281</v>
          </cell>
          <cell r="R702">
            <v>296.26827094631062</v>
          </cell>
          <cell r="S702">
            <v>-569.33022783682463</v>
          </cell>
          <cell r="V702" t="str">
            <v>Embedded</v>
          </cell>
          <cell r="W702" t="str">
            <v>Finance</v>
          </cell>
          <cell r="AA702" t="str">
            <v>[10200]  PECO Energy CompanyEmbeddedFinance</v>
          </cell>
          <cell r="AB702" t="str">
            <v>[10200]  PECO Energy CompanyEmbedded (Finance)Other Operating Expenses</v>
          </cell>
          <cell r="AC702" t="str">
            <v>[10200]  PECO Energy CompanyEmbedded (Finance)Controller EED PECO (00825)</v>
          </cell>
          <cell r="AF702" t="str">
            <v>EEDControllerOther Operating Expenses</v>
          </cell>
        </row>
        <row r="703">
          <cell r="E703">
            <v>0</v>
          </cell>
          <cell r="H703">
            <v>133.92083367461652</v>
          </cell>
          <cell r="I703">
            <v>133.92082004107792</v>
          </cell>
          <cell r="J703">
            <v>0</v>
          </cell>
          <cell r="M703">
            <v>535.68334274946676</v>
          </cell>
          <cell r="N703">
            <v>155.79675639415606</v>
          </cell>
          <cell r="O703">
            <v>1382.2578715301481</v>
          </cell>
          <cell r="R703">
            <v>224.79224102652006</v>
          </cell>
          <cell r="S703">
            <v>-114.06425931123658</v>
          </cell>
          <cell r="V703" t="str">
            <v>Embedded</v>
          </cell>
          <cell r="W703" t="str">
            <v>Finance</v>
          </cell>
          <cell r="AA703" t="str">
            <v>[10200]  PECO Energy CompanyEmbeddedFinance</v>
          </cell>
          <cell r="AB703" t="str">
            <v>[10200]  PECO Energy CompanyEmbedded (Finance)Contracting</v>
          </cell>
          <cell r="AC703" t="str">
            <v>[10200]  PECO Energy CompanyEmbedded (Finance)Tax-PECO (00817)</v>
          </cell>
          <cell r="AF703" t="str">
            <v>EEDTaxContracting</v>
          </cell>
        </row>
        <row r="704">
          <cell r="E704">
            <v>175.53918486512097</v>
          </cell>
          <cell r="H704">
            <v>-121.97085139527437</v>
          </cell>
          <cell r="I704">
            <v>-121.97085684868981</v>
          </cell>
          <cell r="J704">
            <v>517.2714928847347</v>
          </cell>
          <cell r="M704">
            <v>-302.99815578494798</v>
          </cell>
          <cell r="N704">
            <v>-126.93206754456031</v>
          </cell>
          <cell r="O704">
            <v>1078.1887849509462</v>
          </cell>
          <cell r="R704">
            <v>-435.36873992827896</v>
          </cell>
          <cell r="S704">
            <v>-274.23294462891647</v>
          </cell>
          <cell r="V704" t="str">
            <v>Embedded</v>
          </cell>
          <cell r="W704" t="str">
            <v>Finance</v>
          </cell>
          <cell r="AA704" t="str">
            <v>[10200]  PECO Energy CompanyEmbeddedFinance</v>
          </cell>
          <cell r="AB704" t="str">
            <v>[10200]  PECO Energy CompanyEmbedded (Finance)Business Services</v>
          </cell>
          <cell r="AC704" t="str">
            <v>[10200]  PECO Energy CompanyEmbedded (Finance)Tax-PECO (00817)</v>
          </cell>
          <cell r="AF704" t="str">
            <v>EEDTaxBusiness Services</v>
          </cell>
        </row>
        <row r="705">
          <cell r="E705">
            <v>0</v>
          </cell>
          <cell r="H705">
            <v>26.784166734923303</v>
          </cell>
          <cell r="I705">
            <v>26.784164008215583</v>
          </cell>
          <cell r="J705">
            <v>0</v>
          </cell>
          <cell r="M705">
            <v>107.13666854989336</v>
          </cell>
          <cell r="N705">
            <v>31.159351278831213</v>
          </cell>
          <cell r="O705">
            <v>276.45157430602967</v>
          </cell>
          <cell r="R705">
            <v>44.958448205303966</v>
          </cell>
          <cell r="S705">
            <v>-22.812851862247356</v>
          </cell>
          <cell r="V705" t="str">
            <v>Embedded</v>
          </cell>
          <cell r="W705" t="str">
            <v>Finance</v>
          </cell>
          <cell r="AA705" t="str">
            <v>[10200]  PECO Energy CompanyEmbeddedFinance</v>
          </cell>
          <cell r="AB705" t="str">
            <v>[10200]  PECO Energy CompanyEmbedded (Finance)Materials and Supplies</v>
          </cell>
          <cell r="AC705" t="str">
            <v>[10200]  PECO Energy CompanyEmbedded (Finance)Tax-PECO (00817)</v>
          </cell>
          <cell r="AF705" t="str">
            <v>EEDTaxMaterials and Supplies</v>
          </cell>
        </row>
        <row r="706">
          <cell r="E706">
            <v>8043.8194770933978</v>
          </cell>
          <cell r="H706">
            <v>-3717.4373064013998</v>
          </cell>
          <cell r="I706">
            <v>-3717.4377468399543</v>
          </cell>
          <cell r="J706">
            <v>22923.752182987693</v>
          </cell>
          <cell r="M706">
            <v>-5707.293987943609</v>
          </cell>
          <cell r="N706">
            <v>-3573.3027210833061</v>
          </cell>
          <cell r="O706">
            <v>69794.080622531517</v>
          </cell>
          <cell r="R706">
            <v>-16524.432549645877</v>
          </cell>
          <cell r="S706">
            <v>-14357.696707671807</v>
          </cell>
          <cell r="V706" t="str">
            <v>Embedded</v>
          </cell>
          <cell r="W706" t="str">
            <v>Finance</v>
          </cell>
          <cell r="AA706" t="str">
            <v>[10200]  PECO Energy CompanyEmbeddedFinance</v>
          </cell>
          <cell r="AB706" t="str">
            <v>[10200]  PECO Energy CompanyEmbedded (Finance)Salaries and Wages</v>
          </cell>
          <cell r="AC706" t="str">
            <v>[10200]  PECO Energy CompanyEmbedded (Finance)Tax-PECO (00817)</v>
          </cell>
          <cell r="AF706" t="str">
            <v>EEDTaxSalaries and Wages</v>
          </cell>
        </row>
        <row r="707">
          <cell r="E707">
            <v>6316.0114989841586</v>
          </cell>
          <cell r="H707">
            <v>-3428.4961926256287</v>
          </cell>
          <cell r="I707">
            <v>-3428.4964865832626</v>
          </cell>
          <cell r="J707">
            <v>17270.211064718558</v>
          </cell>
          <cell r="M707">
            <v>-5779.5998030722494</v>
          </cell>
          <cell r="N707">
            <v>-3337.0329380979274</v>
          </cell>
          <cell r="O707">
            <v>48582.936184763319</v>
          </cell>
          <cell r="R707">
            <v>-13029.703178556352</v>
          </cell>
          <cell r="S707">
            <v>-10662.580348524687</v>
          </cell>
          <cell r="V707" t="str">
            <v>Embedded</v>
          </cell>
          <cell r="W707" t="str">
            <v>Finance</v>
          </cell>
          <cell r="AA707" t="str">
            <v>[10200]  PECO Energy CompanyEmbeddedFinance</v>
          </cell>
          <cell r="AB707" t="str">
            <v>[10200]  PECO Energy CompanyEmbedded (Finance)Pension and Benefits</v>
          </cell>
          <cell r="AC707" t="str">
            <v>[10200]  PECO Energy CompanyEmbedded (Finance)Tax-PECO (00817)</v>
          </cell>
          <cell r="AF707" t="str">
            <v>EEDTaxPension and Benefits</v>
          </cell>
        </row>
        <row r="708">
          <cell r="E708">
            <v>1007.0854608588671</v>
          </cell>
          <cell r="H708">
            <v>-546.67099151888249</v>
          </cell>
          <cell r="I708">
            <v>-546.67103839044285</v>
          </cell>
          <cell r="J708">
            <v>2632.9366720614703</v>
          </cell>
          <cell r="M708">
            <v>-800.76036218917875</v>
          </cell>
          <cell r="N708">
            <v>-521.8999707260391</v>
          </cell>
          <cell r="O708">
            <v>7623.8709355819637</v>
          </cell>
          <cell r="R708">
            <v>-1954.9159541989802</v>
          </cell>
          <cell r="S708">
            <v>-1677.5168170734696</v>
          </cell>
          <cell r="V708" t="str">
            <v>Embedded</v>
          </cell>
          <cell r="W708" t="str">
            <v>Finance</v>
          </cell>
          <cell r="AA708" t="str">
            <v>[10200]  PECO Energy CompanyEmbeddedFinance</v>
          </cell>
          <cell r="AB708" t="str">
            <v>[10200]  PECO Energy CompanyEmbedded (Finance)Salaries and Wages</v>
          </cell>
          <cell r="AC708" t="str">
            <v>[10200]  PECO Energy CompanyEmbedded (Finance)Tax-PECO (00817)</v>
          </cell>
          <cell r="AF708" t="str">
            <v>EEDTaxSalaries and Wages</v>
          </cell>
        </row>
        <row r="709">
          <cell r="E709">
            <v>0</v>
          </cell>
          <cell r="H709">
            <v>0</v>
          </cell>
          <cell r="I709">
            <v>0</v>
          </cell>
          <cell r="J709">
            <v>-1772.6913934229158</v>
          </cell>
          <cell r="M709">
            <v>1772.6913934229158</v>
          </cell>
          <cell r="N709">
            <v>149.50107538450584</v>
          </cell>
          <cell r="O709">
            <v>-1800.1558938298581</v>
          </cell>
          <cell r="R709">
            <v>1800.1558938298581</v>
          </cell>
          <cell r="S709">
            <v>332.06114982892041</v>
          </cell>
          <cell r="V709" t="str">
            <v>Embedded</v>
          </cell>
          <cell r="W709" t="str">
            <v>Finance</v>
          </cell>
          <cell r="AA709" t="str">
            <v>[10200]  PECO Energy CompanyEmbeddedFinance</v>
          </cell>
          <cell r="AB709" t="str">
            <v>[10200]  PECO Energy CompanyEmbedded (Finance)Overtime</v>
          </cell>
          <cell r="AC709" t="str">
            <v>[10200]  PECO Energy CompanyEmbedded (Finance)Tax-PECO (00817)</v>
          </cell>
          <cell r="AF709" t="str">
            <v>EEDTaxOvertime</v>
          </cell>
        </row>
        <row r="710">
          <cell r="E710">
            <v>860.50107692076642</v>
          </cell>
          <cell r="H710">
            <v>-627.4788263269337</v>
          </cell>
          <cell r="I710">
            <v>-627.47885004929083</v>
          </cell>
          <cell r="J710">
            <v>942.34419473071478</v>
          </cell>
          <cell r="M710">
            <v>-10.255178346642538</v>
          </cell>
          <cell r="N710">
            <v>-522.25382078951236</v>
          </cell>
          <cell r="O710">
            <v>3362.072732212137</v>
          </cell>
          <cell r="R710">
            <v>-565.80553636353443</v>
          </cell>
          <cell r="S710">
            <v>-1020.6491390927677</v>
          </cell>
          <cell r="V710" t="str">
            <v>Embedded</v>
          </cell>
          <cell r="W710" t="str">
            <v>Finance</v>
          </cell>
          <cell r="AA710" t="str">
            <v>[10200]  PECO Energy CompanyEmbeddedFinance</v>
          </cell>
          <cell r="AB710" t="str">
            <v>[10200]  PECO Energy CompanyEmbedded (Finance)Other Operating Expenses</v>
          </cell>
          <cell r="AC710" t="str">
            <v>[10200]  PECO Energy CompanyEmbedded (Finance)Tax-PECO (00817)</v>
          </cell>
          <cell r="AF710" t="str">
            <v>EEDTaxOther Operating Expenses</v>
          </cell>
        </row>
        <row r="711">
          <cell r="E711">
            <v>52.681286522556199</v>
          </cell>
          <cell r="H711">
            <v>-52.681286522556199</v>
          </cell>
          <cell r="I711">
            <v>-52.681286522556199</v>
          </cell>
          <cell r="J711">
            <v>167.38637087197523</v>
          </cell>
          <cell r="M711">
            <v>-167.38637087197523</v>
          </cell>
          <cell r="N711">
            <v>-57.820743970221045</v>
          </cell>
          <cell r="O711">
            <v>169.97970610674116</v>
          </cell>
          <cell r="R711">
            <v>-169.97970610674116</v>
          </cell>
          <cell r="S711">
            <v>-70.883057247955406</v>
          </cell>
          <cell r="V711" t="str">
            <v>Embedded</v>
          </cell>
          <cell r="W711" t="str">
            <v>Finance</v>
          </cell>
          <cell r="AA711" t="str">
            <v>[10200]  PECO Energy CompanyEmbeddedFinance</v>
          </cell>
          <cell r="AB711" t="str">
            <v>[10200]  PECO Energy CompanyEmbedded (Finance)Other Operating Expenses</v>
          </cell>
          <cell r="AC711" t="str">
            <v>[10200]  PECO Energy CompanyEmbedded (Finance)Tax-PECO (00817)</v>
          </cell>
          <cell r="AF711" t="str">
            <v>EEDTaxOther Operating Expenses</v>
          </cell>
        </row>
        <row r="712">
          <cell r="E712">
            <v>146.22381046696387</v>
          </cell>
          <cell r="H712">
            <v>-79.26339362965561</v>
          </cell>
          <cell r="I712">
            <v>-79.26340044642491</v>
          </cell>
          <cell r="J712">
            <v>1180.6304626755641</v>
          </cell>
          <cell r="M712">
            <v>-912.78879130083078</v>
          </cell>
          <cell r="N712">
            <v>-142.97732606356635</v>
          </cell>
          <cell r="O712">
            <v>1890.0510345048212</v>
          </cell>
          <cell r="R712">
            <v>-1086.525978226487</v>
          </cell>
          <cell r="S712">
            <v>-387.9038829117917</v>
          </cell>
          <cell r="V712" t="str">
            <v>Embedded</v>
          </cell>
          <cell r="W712" t="str">
            <v>Finance</v>
          </cell>
          <cell r="AA712" t="str">
            <v>[10200]  PECO Energy CompanyEmbeddedFinance</v>
          </cell>
          <cell r="AB712" t="str">
            <v>[10200]  PECO Energy CompanyEmbedded (Finance)Other Operating Expenses</v>
          </cell>
          <cell r="AC712" t="str">
            <v>[10200]  PECO Energy CompanyEmbedded (Finance)Tax-PECO (00817)</v>
          </cell>
          <cell r="AF712" t="str">
            <v>EEDTaxOther Operating Expenses</v>
          </cell>
        </row>
        <row r="713">
          <cell r="E713">
            <v>59.74251699898609</v>
          </cell>
          <cell r="H713">
            <v>-59.74251699898609</v>
          </cell>
          <cell r="I713">
            <v>-59.74251699898609</v>
          </cell>
          <cell r="J713">
            <v>402.88904794542503</v>
          </cell>
          <cell r="M713">
            <v>-402.88904794542503</v>
          </cell>
          <cell r="N713">
            <v>-83.539972623811764</v>
          </cell>
          <cell r="O713">
            <v>409.13105174952977</v>
          </cell>
          <cell r="R713">
            <v>-409.13105174952977</v>
          </cell>
          <cell r="S713">
            <v>-120.29572925463191</v>
          </cell>
          <cell r="V713" t="str">
            <v>Embedded</v>
          </cell>
          <cell r="W713" t="str">
            <v>Finance</v>
          </cell>
          <cell r="AA713" t="str">
            <v>[10200]  PECO Energy CompanyEmbeddedFinance</v>
          </cell>
          <cell r="AB713" t="str">
            <v>[10200]  PECO Energy CompanyEmbedded (Finance)Travel, Entertainment &amp; Reimb</v>
          </cell>
          <cell r="AC713" t="str">
            <v>[10200]  PECO Energy CompanyEmbedded (Finance)Tax-PECO (00817)</v>
          </cell>
          <cell r="AF713" t="str">
            <v>EEDTaxTravel, Entertainment &amp; Reimb</v>
          </cell>
        </row>
        <row r="714">
          <cell r="E714">
            <v>804.8863749715656</v>
          </cell>
          <cell r="H714">
            <v>-135.28220659848296</v>
          </cell>
          <cell r="I714">
            <v>-135.28227476617599</v>
          </cell>
          <cell r="J714">
            <v>1432.8857288197967</v>
          </cell>
          <cell r="M714">
            <v>1245.5309849275375</v>
          </cell>
          <cell r="N714">
            <v>-9.5888811053443987</v>
          </cell>
          <cell r="O714">
            <v>8366.3749407871346</v>
          </cell>
          <cell r="R714">
            <v>-331.12437800379394</v>
          </cell>
          <cell r="S714">
            <v>-1442.6578238378515</v>
          </cell>
          <cell r="V714" t="str">
            <v>Embedded</v>
          </cell>
          <cell r="W714" t="str">
            <v>Finance</v>
          </cell>
          <cell r="AA714" t="str">
            <v>[10200]  PECO Energy CompanyEmbeddedFinance</v>
          </cell>
          <cell r="AB714" t="str">
            <v>[10200]  PECO Energy CompanyEmbedded (Finance)Travel, Entertainment &amp; Reimb</v>
          </cell>
          <cell r="AC714" t="str">
            <v>[10200]  PECO Energy CompanyEmbedded (Finance)Tax-PECO (00817)</v>
          </cell>
          <cell r="AF714" t="str">
            <v>EEDTaxTravel, Entertainment &amp; Reimb</v>
          </cell>
        </row>
        <row r="715">
          <cell r="E715">
            <v>0</v>
          </cell>
          <cell r="H715">
            <v>231.01013032012494</v>
          </cell>
          <cell r="I715">
            <v>231.01011456097098</v>
          </cell>
          <cell r="J715">
            <v>1886.0614532495977</v>
          </cell>
          <cell r="M715">
            <v>-962.02097079552493</v>
          </cell>
          <cell r="N715">
            <v>188.69368048295632</v>
          </cell>
          <cell r="O715">
            <v>4766.8885877195935</v>
          </cell>
          <cell r="R715">
            <v>-1994.7671676745481</v>
          </cell>
          <cell r="S715">
            <v>-1011.2794462667807</v>
          </cell>
          <cell r="V715" t="str">
            <v>Embedded</v>
          </cell>
          <cell r="W715" t="str">
            <v>Finance</v>
          </cell>
          <cell r="AA715" t="str">
            <v>[10601]  Commonwealth Edison CompanyEmbeddedFinance</v>
          </cell>
          <cell r="AB715" t="str">
            <v>[10601]  Commonwealth Edison CompanyEmbedded (Finance)Other Operating Expenses</v>
          </cell>
          <cell r="AC715" t="str">
            <v>[10601]  Commonwealth Edison CompanyEmbedded (Finance)Controller - ComEd (00824)</v>
          </cell>
          <cell r="AF715" t="str">
            <v>EEDControllerOther Operating Expenses</v>
          </cell>
        </row>
        <row r="716">
          <cell r="E716">
            <v>38171.985654171614</v>
          </cell>
          <cell r="H716">
            <v>-10413.930200246843</v>
          </cell>
          <cell r="I716">
            <v>-10413.932093858471</v>
          </cell>
          <cell r="J716">
            <v>165107.3473671508</v>
          </cell>
          <cell r="M716">
            <v>-54646.61145355647</v>
          </cell>
          <cell r="N716">
            <v>-11113.624637405475</v>
          </cell>
          <cell r="O716">
            <v>524262.77128977387</v>
          </cell>
          <cell r="R716">
            <v>-116144.39853915025</v>
          </cell>
          <cell r="S716">
            <v>-139324.41231316427</v>
          </cell>
          <cell r="V716" t="str">
            <v>Embedded</v>
          </cell>
          <cell r="W716" t="str">
            <v>Finance</v>
          </cell>
          <cell r="AA716" t="str">
            <v>[10601]  Commonwealth Edison CompanyEmbeddedFinance</v>
          </cell>
          <cell r="AB716" t="str">
            <v>[10601]  Commonwealth Edison CompanyEmbedded (Finance)Salaries and Wages</v>
          </cell>
          <cell r="AC716" t="str">
            <v>[10601]  Commonwealth Edison CompanyEmbedded (Finance)Controller - ComEd (00824)</v>
          </cell>
          <cell r="AF716" t="str">
            <v>EEDControllerSalaries and Wages</v>
          </cell>
        </row>
        <row r="717">
          <cell r="E717">
            <v>30176.083331479807</v>
          </cell>
          <cell r="H717">
            <v>-10124.110006799827</v>
          </cell>
          <cell r="I717">
            <v>-10124.111374714448</v>
          </cell>
          <cell r="J717">
            <v>122456.72501227052</v>
          </cell>
          <cell r="M717">
            <v>-42661.658569638268</v>
          </cell>
          <cell r="N717">
            <v>-10857.988900672077</v>
          </cell>
          <cell r="O717">
            <v>348438.95095632452</v>
          </cell>
          <cell r="R717">
            <v>-71250.002367701032</v>
          </cell>
          <cell r="S717">
            <v>-94662.724541047355</v>
          </cell>
          <cell r="V717" t="str">
            <v>Embedded</v>
          </cell>
          <cell r="W717" t="str">
            <v>Finance</v>
          </cell>
          <cell r="AA717" t="str">
            <v>[10601]  Commonwealth Edison CompanyEmbeddedFinance</v>
          </cell>
          <cell r="AB717" t="str">
            <v>[10601]  Commonwealth Edison CompanyEmbedded (Finance)Pension and Benefits</v>
          </cell>
          <cell r="AC717" t="str">
            <v>[10601]  Commonwealth Edison CompanyEmbedded (Finance)Controller - ComEd (00824)</v>
          </cell>
          <cell r="AF717" t="str">
            <v>EEDControllerPension and Benefits</v>
          </cell>
        </row>
        <row r="718">
          <cell r="E718">
            <v>4694.4028654825106</v>
          </cell>
          <cell r="H718">
            <v>-1497.1176572472905</v>
          </cell>
          <cell r="I718">
            <v>-1497.1178753611448</v>
          </cell>
          <cell r="J718">
            <v>19273.423644072322</v>
          </cell>
          <cell r="M718">
            <v>-6550.1128325136706</v>
          </cell>
          <cell r="N718">
            <v>-1596.0711578019655</v>
          </cell>
          <cell r="O718">
            <v>55301.179966772092</v>
          </cell>
          <cell r="R718">
            <v>-11103.442087886935</v>
          </cell>
          <cell r="S718">
            <v>-14930.885372417652</v>
          </cell>
          <cell r="V718" t="str">
            <v>Embedded</v>
          </cell>
          <cell r="W718" t="str">
            <v>Finance</v>
          </cell>
          <cell r="AA718" t="str">
            <v>[10601]  Commonwealth Edison CompanyEmbeddedFinance</v>
          </cell>
          <cell r="AB718" t="str">
            <v>[10601]  Commonwealth Edison CompanyEmbedded (Finance)Salaries and Wages</v>
          </cell>
          <cell r="AC718" t="str">
            <v>[10601]  Commonwealth Edison CompanyEmbedded (Finance)Controller - ComEd (00824)</v>
          </cell>
          <cell r="AF718" t="str">
            <v>EEDControllerSalaries and Wages</v>
          </cell>
        </row>
        <row r="719">
          <cell r="E719">
            <v>100.06468037990697</v>
          </cell>
          <cell r="H719">
            <v>991.98320840613815</v>
          </cell>
          <cell r="I719">
            <v>991.98313390831936</v>
          </cell>
          <cell r="J719">
            <v>1451.7105644542485</v>
          </cell>
          <cell r="M719">
            <v>2916.4808071468228</v>
          </cell>
          <cell r="N719">
            <v>1325.310100640012</v>
          </cell>
          <cell r="O719">
            <v>14920.199103133969</v>
          </cell>
          <cell r="R719">
            <v>-1815.6251174664831</v>
          </cell>
          <cell r="S719">
            <v>-2829.711930061736</v>
          </cell>
          <cell r="V719" t="str">
            <v>Embedded</v>
          </cell>
          <cell r="W719" t="str">
            <v>Finance</v>
          </cell>
          <cell r="AA719" t="str">
            <v>[10601]  Commonwealth Edison CompanyEmbeddedFinance</v>
          </cell>
          <cell r="AB719" t="str">
            <v>[10601]  Commonwealth Edison CompanyEmbedded (Finance)Other Operating Expenses</v>
          </cell>
          <cell r="AC719" t="str">
            <v>[10601]  Commonwealth Edison CompanyEmbedded (Finance)Controller - ComEd (00824)</v>
          </cell>
          <cell r="AF719" t="str">
            <v>EEDControllerOther Operating Expenses</v>
          </cell>
        </row>
        <row r="720">
          <cell r="E720">
            <v>1586.9003604522529</v>
          </cell>
          <cell r="H720">
            <v>-1061.8773369974235</v>
          </cell>
          <cell r="I720">
            <v>-1061.8773728136825</v>
          </cell>
          <cell r="J720">
            <v>6754.5284405593929</v>
          </cell>
          <cell r="M720">
            <v>-4654.4364349819552</v>
          </cell>
          <cell r="N720">
            <v>-1334.8871566221296</v>
          </cell>
          <cell r="O720">
            <v>13351.449066326591</v>
          </cell>
          <cell r="R720">
            <v>-7051.1731116787614</v>
          </cell>
          <cell r="S720">
            <v>-4248.6790759112373</v>
          </cell>
          <cell r="V720" t="str">
            <v>Embedded</v>
          </cell>
          <cell r="W720" t="str">
            <v>Finance</v>
          </cell>
          <cell r="AA720" t="str">
            <v>[10601]  Commonwealth Edison CompanyEmbeddedFinance</v>
          </cell>
          <cell r="AB720" t="str">
            <v>[10601]  Commonwealth Edison CompanyEmbedded (Finance)Travel, Entertainment &amp; Reimb</v>
          </cell>
          <cell r="AC720" t="str">
            <v>[10601]  Commonwealth Edison CompanyEmbedded (Finance)Controller - ComEd (00824)</v>
          </cell>
          <cell r="AF720" t="str">
            <v>EEDControllerTravel, Entertainment &amp; Reimb</v>
          </cell>
        </row>
        <row r="721">
          <cell r="E721">
            <v>610.51273000340927</v>
          </cell>
          <cell r="H721">
            <v>145.5204237715451</v>
          </cell>
          <cell r="I721">
            <v>145.52037219613214</v>
          </cell>
          <cell r="J721">
            <v>2131.0841259752156</v>
          </cell>
          <cell r="M721">
            <v>893.04836205629499</v>
          </cell>
          <cell r="N721">
            <v>295.65656560983689</v>
          </cell>
          <cell r="O721">
            <v>11478.046409055431</v>
          </cell>
          <cell r="R721">
            <v>-2405.6490343625555</v>
          </cell>
          <cell r="S721">
            <v>-2701.5928393945869</v>
          </cell>
          <cell r="V721" t="str">
            <v>Embedded</v>
          </cell>
          <cell r="W721" t="str">
            <v>Finance</v>
          </cell>
          <cell r="AA721" t="str">
            <v>[10601]  Commonwealth Edison CompanyEmbeddedFinance</v>
          </cell>
          <cell r="AB721" t="str">
            <v>[10601]  Commonwealth Edison CompanyEmbedded (Finance)Travel, Entertainment &amp; Reimb</v>
          </cell>
          <cell r="AC721" t="str">
            <v>[10601]  Commonwealth Edison CompanyEmbedded (Finance)Controller - ComEd (00824)</v>
          </cell>
          <cell r="AF721" t="str">
            <v>EEDControllerTravel, Entertainment &amp; Reimb</v>
          </cell>
        </row>
        <row r="722">
          <cell r="E722">
            <v>801.61692568988428</v>
          </cell>
          <cell r="H722">
            <v>290.43096309616089</v>
          </cell>
          <cell r="I722">
            <v>290.43088859834211</v>
          </cell>
          <cell r="J722">
            <v>3803.4949801733237</v>
          </cell>
          <cell r="M722">
            <v>564.69639142774759</v>
          </cell>
          <cell r="N722">
            <v>455.49027682971973</v>
          </cell>
          <cell r="O722">
            <v>17319.234302238176</v>
          </cell>
          <cell r="R722">
            <v>-4214.6603165706892</v>
          </cell>
          <cell r="S722">
            <v>-4035.0454499336338</v>
          </cell>
          <cell r="V722" t="str">
            <v>Embedded</v>
          </cell>
          <cell r="W722" t="str">
            <v>Finance</v>
          </cell>
          <cell r="AA722" t="str">
            <v>[10601]  Commonwealth Edison CompanyEmbeddedFinance</v>
          </cell>
          <cell r="AB722" t="str">
            <v>[10601]  Commonwealth Edison CompanyEmbedded (Finance)Business Services</v>
          </cell>
          <cell r="AC722" t="str">
            <v>[10601]  Commonwealth Edison CompanyEmbedded (Finance)Controller - ComEd (00824)</v>
          </cell>
          <cell r="AF722" t="str">
            <v>EEDControllerBusiness Services</v>
          </cell>
        </row>
        <row r="723">
          <cell r="E723">
            <v>0</v>
          </cell>
          <cell r="H723">
            <v>2786.1249779230866</v>
          </cell>
          <cell r="I723">
            <v>4046.1799581905166</v>
          </cell>
          <cell r="J723">
            <v>11022.713948716251</v>
          </cell>
          <cell r="M723">
            <v>121.78549470538201</v>
          </cell>
          <cell r="N723">
            <v>4877.9901404020493</v>
          </cell>
          <cell r="O723">
            <v>71376.508141058221</v>
          </cell>
          <cell r="R723">
            <v>-37943.043741727073</v>
          </cell>
          <cell r="S723">
            <v>-22059.742120063493</v>
          </cell>
          <cell r="V723" t="str">
            <v>Embedded</v>
          </cell>
          <cell r="W723" t="str">
            <v>Finance</v>
          </cell>
          <cell r="AA723" t="str">
            <v>[10601]  Commonwealth Edison CompanyEmbeddedFinance</v>
          </cell>
          <cell r="AB723" t="str">
            <v>[10601]  Commonwealth Edison CompanyEmbedded (Finance)Contracting</v>
          </cell>
          <cell r="AC723" t="str">
            <v>[10601]  Commonwealth Edison CompanyEmbedded (Finance)Controller - ComEd (00824)</v>
          </cell>
          <cell r="AF723" t="str">
            <v>EEDControllerContracting</v>
          </cell>
        </row>
        <row r="724">
          <cell r="E724">
            <v>2066.4159061989885</v>
          </cell>
          <cell r="H724">
            <v>1608.7452579848173</v>
          </cell>
          <cell r="I724">
            <v>1608.7450072710039</v>
          </cell>
          <cell r="J724">
            <v>11283.280144316148</v>
          </cell>
          <cell r="M724">
            <v>3417.3638947259169</v>
          </cell>
          <cell r="N724">
            <v>2272.8218426598214</v>
          </cell>
          <cell r="O724">
            <v>56738.463717210645</v>
          </cell>
          <cell r="R724">
            <v>-12636.532034675831</v>
          </cell>
          <cell r="S724">
            <v>-12657.938817592927</v>
          </cell>
          <cell r="V724" t="str">
            <v>Embedded</v>
          </cell>
          <cell r="W724" t="str">
            <v>Finance</v>
          </cell>
          <cell r="AA724" t="str">
            <v>[10601]  Commonwealth Edison CompanyEmbeddedFinance</v>
          </cell>
          <cell r="AB724" t="str">
            <v>[10601]  Commonwealth Edison CompanyEmbedded (Finance)Travel, Entertainment &amp; Reimb</v>
          </cell>
          <cell r="AC724" t="str">
            <v>[10601]  Commonwealth Edison CompanyEmbedded (Finance)Controller - ComEd (00824)</v>
          </cell>
          <cell r="AF724" t="str">
            <v>EEDControllerTravel, Entertainment &amp; Reimb</v>
          </cell>
        </row>
        <row r="725">
          <cell r="E725">
            <v>166.12183321310843</v>
          </cell>
          <cell r="H725">
            <v>568.91039962365278</v>
          </cell>
          <cell r="I725">
            <v>568.9103494808902</v>
          </cell>
          <cell r="J725">
            <v>899.06041864058705</v>
          </cell>
          <cell r="M725">
            <v>2041.0683891678259</v>
          </cell>
          <cell r="N725">
            <v>798.81350715275482</v>
          </cell>
          <cell r="O725">
            <v>9962.8210548194074</v>
          </cell>
          <cell r="R725">
            <v>-1142.4347183124446</v>
          </cell>
          <cell r="S725">
            <v>-1962.9524353322822</v>
          </cell>
          <cell r="V725" t="str">
            <v>Embedded</v>
          </cell>
          <cell r="W725" t="str">
            <v>Finance</v>
          </cell>
          <cell r="AA725" t="str">
            <v>[10601]  Commonwealth Edison CompanyEmbeddedFinance</v>
          </cell>
          <cell r="AB725" t="str">
            <v>[10601]  Commonwealth Edison CompanyEmbedded (Finance)Other Operating Expenses</v>
          </cell>
          <cell r="AC725" t="str">
            <v>[10601]  Commonwealth Edison CompanyEmbedded (Finance)Controller - ComEd (00824)</v>
          </cell>
          <cell r="AF725" t="str">
            <v>EEDControllerOther Operating Expenses</v>
          </cell>
        </row>
        <row r="726">
          <cell r="E726">
            <v>0</v>
          </cell>
          <cell r="H726">
            <v>210.00920938193175</v>
          </cell>
          <cell r="I726">
            <v>210.00919505542817</v>
          </cell>
          <cell r="J726">
            <v>0</v>
          </cell>
          <cell r="M726">
            <v>840.03680223097513</v>
          </cell>
          <cell r="N726">
            <v>294.06626608449614</v>
          </cell>
          <cell r="O726">
            <v>2584.4849141166455</v>
          </cell>
          <cell r="R726">
            <v>-64.374532257513238</v>
          </cell>
          <cell r="S726">
            <v>-452.68866343389254</v>
          </cell>
          <cell r="V726" t="str">
            <v>Embedded</v>
          </cell>
          <cell r="W726" t="str">
            <v>Finance</v>
          </cell>
          <cell r="AA726" t="str">
            <v>[10601]  Commonwealth Edison CompanyEmbeddedFinance</v>
          </cell>
          <cell r="AB726" t="str">
            <v>[10601]  Commonwealth Edison CompanyEmbedded (Finance)Contracting</v>
          </cell>
          <cell r="AC726" t="str">
            <v>[10601]  Commonwealth Edison CompanyEmbedded (Finance)Tax ComEd (00841)</v>
          </cell>
          <cell r="AF726" t="str">
            <v>EEDTaxContracting</v>
          </cell>
        </row>
        <row r="727">
          <cell r="E727">
            <v>274.78834844793073</v>
          </cell>
          <cell r="H727">
            <v>-190.78466469515803</v>
          </cell>
          <cell r="I727">
            <v>-190.78467042575949</v>
          </cell>
          <cell r="J727">
            <v>962.8116646591825</v>
          </cell>
          <cell r="M727">
            <v>-626.79694376679242</v>
          </cell>
          <cell r="N727">
            <v>-226.04627896044246</v>
          </cell>
          <cell r="O727">
            <v>2015.9499227092658</v>
          </cell>
          <cell r="R727">
            <v>-1007.905769965613</v>
          </cell>
          <cell r="S727">
            <v>-664.52374487644283</v>
          </cell>
          <cell r="V727" t="str">
            <v>Embedded</v>
          </cell>
          <cell r="W727" t="str">
            <v>Finance</v>
          </cell>
          <cell r="AA727" t="str">
            <v>[10601]  Commonwealth Edison CompanyEmbeddedFinance</v>
          </cell>
          <cell r="AB727" t="str">
            <v>[10601]  Commonwealth Edison CompanyEmbedded (Finance)Business Services</v>
          </cell>
          <cell r="AC727" t="str">
            <v>[10601]  Commonwealth Edison CompanyEmbedded (Finance)Tax ComEd (00841)</v>
          </cell>
          <cell r="AF727" t="str">
            <v>EEDTaxBusiness Services</v>
          </cell>
        </row>
        <row r="728">
          <cell r="E728">
            <v>0</v>
          </cell>
          <cell r="H728">
            <v>42.001841876386351</v>
          </cell>
          <cell r="I728">
            <v>42.001839011085629</v>
          </cell>
          <cell r="J728">
            <v>0</v>
          </cell>
          <cell r="M728">
            <v>168.00736044619504</v>
          </cell>
          <cell r="N728">
            <v>58.813253216899227</v>
          </cell>
          <cell r="O728">
            <v>516.89698282332915</v>
          </cell>
          <cell r="R728">
            <v>-12.874906451502738</v>
          </cell>
          <cell r="S728">
            <v>-90.537732686778611</v>
          </cell>
          <cell r="V728" t="str">
            <v>Embedded</v>
          </cell>
          <cell r="W728" t="str">
            <v>Finance</v>
          </cell>
          <cell r="AA728" t="str">
            <v>[10601]  Commonwealth Edison CompanyEmbeddedFinance</v>
          </cell>
          <cell r="AB728" t="str">
            <v>[10601]  Commonwealth Edison CompanyEmbedded (Finance)Materials and Supplies</v>
          </cell>
          <cell r="AC728" t="str">
            <v>[10601]  Commonwealth Edison CompanyEmbedded (Finance)Tax ComEd (00841)</v>
          </cell>
          <cell r="AF728" t="str">
            <v>EEDTaxMaterials and Supplies</v>
          </cell>
        </row>
        <row r="729">
          <cell r="E729">
            <v>12591.76332066346</v>
          </cell>
          <cell r="H729">
            <v>-5807.306606791276</v>
          </cell>
          <cell r="I729">
            <v>-5807.307069616425</v>
          </cell>
          <cell r="J729">
            <v>42668.610783960525</v>
          </cell>
          <cell r="M729">
            <v>-15670.462188042671</v>
          </cell>
          <cell r="N729">
            <v>-6144.651286865279</v>
          </cell>
          <cell r="O729">
            <v>130497.89925514584</v>
          </cell>
          <cell r="R729">
            <v>-46962.611775597732</v>
          </cell>
          <cell r="S729">
            <v>-37310.964513900748</v>
          </cell>
          <cell r="V729" t="str">
            <v>Embedded</v>
          </cell>
          <cell r="W729" t="str">
            <v>Finance</v>
          </cell>
          <cell r="AA729" t="str">
            <v>[10601]  Commonwealth Edison CompanyEmbeddedFinance</v>
          </cell>
          <cell r="AB729" t="str">
            <v>[10601]  Commonwealth Edison CompanyEmbedded (Finance)Salaries and Wages</v>
          </cell>
          <cell r="AC729" t="str">
            <v>[10601]  Commonwealth Edison CompanyEmbedded (Finance)Tax ComEd (00841)</v>
          </cell>
          <cell r="AF729" t="str">
            <v>EEDTaxSalaries and Wages</v>
          </cell>
        </row>
        <row r="730">
          <cell r="E730">
            <v>9887.059518463373</v>
          </cell>
          <cell r="H730">
            <v>-5358.9753516641649</v>
          </cell>
          <cell r="I730">
            <v>-5358.9756605630664</v>
          </cell>
          <cell r="J730">
            <v>32145.519118994584</v>
          </cell>
          <cell r="M730">
            <v>-14126.410497155317</v>
          </cell>
          <cell r="N730">
            <v>-5846.6553864297857</v>
          </cell>
          <cell r="O730">
            <v>90838.235208613085</v>
          </cell>
          <cell r="R730">
            <v>-35085.106598916733</v>
          </cell>
          <cell r="S730">
            <v>-27095.229710573032</v>
          </cell>
          <cell r="V730" t="str">
            <v>Embedded</v>
          </cell>
          <cell r="W730" t="str">
            <v>Finance</v>
          </cell>
          <cell r="AA730" t="str">
            <v>[10601]  Commonwealth Edison CompanyEmbeddedFinance</v>
          </cell>
          <cell r="AB730" t="str">
            <v>[10601]  Commonwealth Edison CompanyEmbedded (Finance)Pension and Benefits</v>
          </cell>
          <cell r="AC730" t="str">
            <v>[10601]  Commonwealth Edison CompanyEmbedded (Finance)Tax ComEd (00841)</v>
          </cell>
          <cell r="AF730" t="str">
            <v>EEDTaxPension and Benefits</v>
          </cell>
        </row>
        <row r="731">
          <cell r="E731">
            <v>1576.4876129963027</v>
          </cell>
          <cell r="H731">
            <v>-854.48435150959654</v>
          </cell>
          <cell r="I731">
            <v>-854.48440076354291</v>
          </cell>
          <cell r="J731">
            <v>4900.7574842996419</v>
          </cell>
          <cell r="M731">
            <v>-2027.6132111011266</v>
          </cell>
          <cell r="N731">
            <v>-916.17722283068451</v>
          </cell>
          <cell r="O731">
            <v>14254.778233508641</v>
          </cell>
          <cell r="R731">
            <v>-5364.9544556135206</v>
          </cell>
          <cell r="S731">
            <v>-4259.131438782324</v>
          </cell>
          <cell r="V731" t="str">
            <v>Embedded</v>
          </cell>
          <cell r="W731" t="str">
            <v>Finance</v>
          </cell>
          <cell r="AA731" t="str">
            <v>[10601]  Commonwealth Edison CompanyEmbeddedFinance</v>
          </cell>
          <cell r="AB731" t="str">
            <v>[10601]  Commonwealth Edison CompanyEmbedded (Finance)Salaries and Wages</v>
          </cell>
          <cell r="AC731" t="str">
            <v>[10601]  Commonwealth Edison CompanyEmbedded (Finance)Tax ComEd (00841)</v>
          </cell>
          <cell r="AF731" t="str">
            <v>EEDTaxSalaries and Wages</v>
          </cell>
        </row>
        <row r="732">
          <cell r="E732">
            <v>0</v>
          </cell>
          <cell r="H732">
            <v>0</v>
          </cell>
          <cell r="I732">
            <v>0</v>
          </cell>
          <cell r="J732">
            <v>-3299.5592738160967</v>
          </cell>
          <cell r="M732">
            <v>3299.5592738160967</v>
          </cell>
          <cell r="N732">
            <v>235.78871133752227</v>
          </cell>
          <cell r="O732">
            <v>-3365.8522382015312</v>
          </cell>
          <cell r="R732">
            <v>3365.8522382015312</v>
          </cell>
          <cell r="S732">
            <v>898.02805051115865</v>
          </cell>
          <cell r="V732" t="str">
            <v>Embedded</v>
          </cell>
          <cell r="W732" t="str">
            <v>Finance</v>
          </cell>
          <cell r="AA732" t="str">
            <v>[10601]  Commonwealth Edison CompanyEmbeddedFinance</v>
          </cell>
          <cell r="AB732" t="str">
            <v>[10601]  Commonwealth Edison CompanyEmbedded (Finance)Overtime</v>
          </cell>
          <cell r="AC732" t="str">
            <v>[10601]  Commonwealth Edison CompanyEmbedded (Finance)Tax ComEd (00841)</v>
          </cell>
          <cell r="AF732" t="str">
            <v>EEDTaxOvertime</v>
          </cell>
        </row>
        <row r="733">
          <cell r="E733">
            <v>1347.0249958515453</v>
          </cell>
          <cell r="H733">
            <v>-981.60897152698408</v>
          </cell>
          <cell r="I733">
            <v>-981.6089964551004</v>
          </cell>
          <cell r="J733">
            <v>1754.0111823111295</v>
          </cell>
          <cell r="M733">
            <v>-292.34714642923268</v>
          </cell>
          <cell r="N733">
            <v>-961.09090244089407</v>
          </cell>
          <cell r="O733">
            <v>6286.2555790304878</v>
          </cell>
          <cell r="R733">
            <v>-1901.2635145955983</v>
          </cell>
          <cell r="S733">
            <v>-2350.3912212699438</v>
          </cell>
          <cell r="V733" t="str">
            <v>Embedded</v>
          </cell>
          <cell r="W733" t="str">
            <v>Finance</v>
          </cell>
          <cell r="AA733" t="str">
            <v>[10601]  Commonwealth Edison CompanyEmbeddedFinance</v>
          </cell>
          <cell r="AB733" t="str">
            <v>[10601]  Commonwealth Edison CompanyEmbedded (Finance)Other Operating Expenses</v>
          </cell>
          <cell r="AC733" t="str">
            <v>[10601]  Commonwealth Edison CompanyEmbedded (Finance)Tax ComEd (00841)</v>
          </cell>
          <cell r="AF733" t="str">
            <v>EEDTaxOther Operating Expenses</v>
          </cell>
        </row>
        <row r="734">
          <cell r="E734">
            <v>82.467078383487589</v>
          </cell>
          <cell r="H734">
            <v>-82.467078383487589</v>
          </cell>
          <cell r="I734">
            <v>-82.467078383487589</v>
          </cell>
          <cell r="J734">
            <v>311.56085846087393</v>
          </cell>
          <cell r="M734">
            <v>-311.56085846087393</v>
          </cell>
          <cell r="N734">
            <v>-104.7558161742912</v>
          </cell>
          <cell r="O734">
            <v>317.82057110120923</v>
          </cell>
          <cell r="R734">
            <v>-317.82057110120923</v>
          </cell>
          <cell r="S734">
            <v>-151.24201207285893</v>
          </cell>
          <cell r="V734" t="str">
            <v>Embedded</v>
          </cell>
          <cell r="W734" t="str">
            <v>Finance</v>
          </cell>
          <cell r="AA734" t="str">
            <v>[10601]  Commonwealth Edison CompanyEmbeddedFinance</v>
          </cell>
          <cell r="AB734" t="str">
            <v>[10601]  Commonwealth Edison CompanyEmbedded (Finance)Other Operating Expenses</v>
          </cell>
          <cell r="AC734" t="str">
            <v>[10601]  Commonwealth Edison CompanyEmbedded (Finance)Tax ComEd (00841)</v>
          </cell>
          <cell r="AF734" t="str">
            <v>EEDTaxOther Operating Expenses</v>
          </cell>
        </row>
        <row r="735">
          <cell r="E735">
            <v>228.89817685352597</v>
          </cell>
          <cell r="H735">
            <v>-123.89357216256009</v>
          </cell>
          <cell r="I735">
            <v>-123.89357932581188</v>
          </cell>
          <cell r="J735">
            <v>2197.5399703097514</v>
          </cell>
          <cell r="M735">
            <v>-1777.521569194264</v>
          </cell>
          <cell r="N735">
            <v>-238.97041830718172</v>
          </cell>
          <cell r="O735">
            <v>3533.9342145911073</v>
          </cell>
          <cell r="R735">
            <v>-2273.8790236615414</v>
          </cell>
          <cell r="S735">
            <v>-1008.8689289074014</v>
          </cell>
          <cell r="V735" t="str">
            <v>Embedded</v>
          </cell>
          <cell r="W735" t="str">
            <v>Finance</v>
          </cell>
          <cell r="AA735" t="str">
            <v>[10601]  Commonwealth Edison CompanyEmbeddedFinance</v>
          </cell>
          <cell r="AB735" t="str">
            <v>[10601]  Commonwealth Edison CompanyEmbedded (Finance)Other Operating Expenses</v>
          </cell>
          <cell r="AC735" t="str">
            <v>[10601]  Commonwealth Edison CompanyEmbedded (Finance)Tax ComEd (00841)</v>
          </cell>
          <cell r="AF735" t="str">
            <v>EEDTaxOther Operating Expenses</v>
          </cell>
        </row>
        <row r="736">
          <cell r="E736">
            <v>93.520700753440295</v>
          </cell>
          <cell r="H736">
            <v>-93.520700753440295</v>
          </cell>
          <cell r="I736">
            <v>-93.520700753440295</v>
          </cell>
          <cell r="J736">
            <v>749.90847216806969</v>
          </cell>
          <cell r="M736">
            <v>-749.90847216806969</v>
          </cell>
          <cell r="N736">
            <v>-147.13732127339108</v>
          </cell>
          <cell r="O736">
            <v>764.97522851710062</v>
          </cell>
          <cell r="R736">
            <v>-764.97522851710062</v>
          </cell>
          <cell r="S736">
            <v>-279.4515264366014</v>
          </cell>
          <cell r="V736" t="str">
            <v>Embedded</v>
          </cell>
          <cell r="W736" t="str">
            <v>Finance</v>
          </cell>
          <cell r="AA736" t="str">
            <v>[10601]  Commonwealth Edison CompanyEmbeddedFinance</v>
          </cell>
          <cell r="AB736" t="str">
            <v>[10601]  Commonwealth Edison CompanyEmbedded (Finance)Travel, Entertainment &amp; Reimb</v>
          </cell>
          <cell r="AC736" t="str">
            <v>[10601]  Commonwealth Edison CompanyEmbedded (Finance)Tax ComEd (00841)</v>
          </cell>
          <cell r="AF736" t="str">
            <v>EEDTaxTravel, Entertainment &amp; Reimb</v>
          </cell>
        </row>
        <row r="737">
          <cell r="E737">
            <v>1259.9659605154336</v>
          </cell>
          <cell r="H737">
            <v>-209.91991360577481</v>
          </cell>
          <cell r="I737">
            <v>-209.91998523829284</v>
          </cell>
          <cell r="J737">
            <v>2667.0696390740309</v>
          </cell>
          <cell r="M737">
            <v>1533.1143720808445</v>
          </cell>
          <cell r="N737">
            <v>19.402141367492277</v>
          </cell>
          <cell r="O737">
            <v>15643.079533612394</v>
          </cell>
          <cell r="R737">
            <v>-3042.5276243167336</v>
          </cell>
          <cell r="S737">
            <v>-4004.5142163848977</v>
          </cell>
          <cell r="V737" t="str">
            <v>Embedded</v>
          </cell>
          <cell r="W737" t="str">
            <v>Finance</v>
          </cell>
          <cell r="AA737" t="str">
            <v>[10601]  Commonwealth Edison CompanyEmbeddedFinance</v>
          </cell>
          <cell r="AB737" t="str">
            <v>[10601]  Commonwealth Edison CompanyEmbedded (Finance)Travel, Entertainment &amp; Reimb</v>
          </cell>
          <cell r="AC737" t="str">
            <v>[10601]  Commonwealth Edison CompanyEmbedded (Finance)Tax ComEd (00841)</v>
          </cell>
          <cell r="AF737" t="str">
            <v>EEDTaxTravel, Entertainment &amp; Reimb</v>
          </cell>
        </row>
        <row r="738">
          <cell r="V738" t="e">
            <v>#N/A</v>
          </cell>
          <cell r="W738" t="e">
            <v>#N/A</v>
          </cell>
          <cell r="AA738" t="e">
            <v>#N/A</v>
          </cell>
          <cell r="AB738" t="e">
            <v>#N/A</v>
          </cell>
          <cell r="AC738" t="e">
            <v>#N/A</v>
          </cell>
          <cell r="AF738" t="e">
            <v>#N/A</v>
          </cell>
        </row>
        <row r="739">
          <cell r="V739" t="e">
            <v>#N/A</v>
          </cell>
          <cell r="W739" t="e">
            <v>#N/A</v>
          </cell>
          <cell r="AA739" t="e">
            <v>#N/A</v>
          </cell>
          <cell r="AB739" t="e">
            <v>#N/A</v>
          </cell>
          <cell r="AC739" t="e">
            <v>#N/A</v>
          </cell>
          <cell r="AF739" t="e">
            <v>#N/A</v>
          </cell>
        </row>
        <row r="740">
          <cell r="V740" t="e">
            <v>#N/A</v>
          </cell>
          <cell r="W740" t="e">
            <v>#N/A</v>
          </cell>
          <cell r="AA740" t="e">
            <v>#N/A</v>
          </cell>
          <cell r="AB740" t="e">
            <v>#N/A</v>
          </cell>
          <cell r="AC740" t="e">
            <v>#N/A</v>
          </cell>
          <cell r="AF740" t="e">
            <v>#N/A</v>
          </cell>
        </row>
        <row r="741">
          <cell r="V741" t="e">
            <v>#N/A</v>
          </cell>
          <cell r="W741" t="e">
            <v>#N/A</v>
          </cell>
          <cell r="AA741" t="e">
            <v>#N/A</v>
          </cell>
          <cell r="AB741" t="e">
            <v>#N/A</v>
          </cell>
          <cell r="AC741" t="e">
            <v>#N/A</v>
          </cell>
          <cell r="AF741" t="e">
            <v>#N/A</v>
          </cell>
        </row>
        <row r="742">
          <cell r="V742" t="e">
            <v>#N/A</v>
          </cell>
          <cell r="W742" t="e">
            <v>#N/A</v>
          </cell>
          <cell r="AA742" t="e">
            <v>#N/A</v>
          </cell>
          <cell r="AB742" t="e">
            <v>#N/A</v>
          </cell>
          <cell r="AC742" t="e">
            <v>#N/A</v>
          </cell>
          <cell r="AF742" t="e">
            <v>#N/A</v>
          </cell>
        </row>
        <row r="743">
          <cell r="V743" t="e">
            <v>#N/A</v>
          </cell>
          <cell r="W743" t="e">
            <v>#N/A</v>
          </cell>
          <cell r="AA743" t="e">
            <v>#N/A</v>
          </cell>
          <cell r="AB743" t="e">
            <v>#N/A</v>
          </cell>
          <cell r="AC743" t="e">
            <v>#N/A</v>
          </cell>
          <cell r="AF743" t="e">
            <v>#N/A</v>
          </cell>
        </row>
        <row r="744">
          <cell r="V744" t="e">
            <v>#N/A</v>
          </cell>
          <cell r="W744" t="e">
            <v>#N/A</v>
          </cell>
          <cell r="AA744" t="e">
            <v>#N/A</v>
          </cell>
          <cell r="AB744" t="e">
            <v>#N/A</v>
          </cell>
          <cell r="AC744" t="e">
            <v>#N/A</v>
          </cell>
          <cell r="AF744" t="e">
            <v>#N/A</v>
          </cell>
        </row>
        <row r="745">
          <cell r="V745" t="e">
            <v>#N/A</v>
          </cell>
          <cell r="W745" t="e">
            <v>#N/A</v>
          </cell>
          <cell r="AA745" t="e">
            <v>#N/A</v>
          </cell>
          <cell r="AB745" t="e">
            <v>#N/A</v>
          </cell>
          <cell r="AC745" t="e">
            <v>#N/A</v>
          </cell>
          <cell r="AF745" t="e">
            <v>#N/A</v>
          </cell>
        </row>
        <row r="746">
          <cell r="V746" t="e">
            <v>#N/A</v>
          </cell>
          <cell r="W746" t="e">
            <v>#N/A</v>
          </cell>
          <cell r="AA746" t="e">
            <v>#N/A</v>
          </cell>
          <cell r="AB746" t="e">
            <v>#N/A</v>
          </cell>
          <cell r="AC746" t="e">
            <v>#N/A</v>
          </cell>
          <cell r="AF746" t="e">
            <v>#N/A</v>
          </cell>
        </row>
        <row r="747">
          <cell r="V747" t="e">
            <v>#N/A</v>
          </cell>
          <cell r="W747" t="e">
            <v>#N/A</v>
          </cell>
          <cell r="AA747" t="e">
            <v>#N/A</v>
          </cell>
          <cell r="AB747" t="e">
            <v>#N/A</v>
          </cell>
          <cell r="AC747" t="e">
            <v>#N/A</v>
          </cell>
          <cell r="AF747" t="e">
            <v>#N/A</v>
          </cell>
        </row>
        <row r="748">
          <cell r="V748" t="e">
            <v>#N/A</v>
          </cell>
          <cell r="W748" t="e">
            <v>#N/A</v>
          </cell>
          <cell r="AA748" t="e">
            <v>#N/A</v>
          </cell>
          <cell r="AB748" t="e">
            <v>#N/A</v>
          </cell>
          <cell r="AC748" t="e">
            <v>#N/A</v>
          </cell>
          <cell r="AF748" t="e">
            <v>#N/A</v>
          </cell>
        </row>
        <row r="749">
          <cell r="V749" t="e">
            <v>#N/A</v>
          </cell>
          <cell r="W749" t="e">
            <v>#N/A</v>
          </cell>
          <cell r="AA749" t="e">
            <v>#N/A</v>
          </cell>
          <cell r="AB749" t="e">
            <v>#N/A</v>
          </cell>
          <cell r="AC749" t="e">
            <v>#N/A</v>
          </cell>
          <cell r="AF749" t="e">
            <v>#N/A</v>
          </cell>
        </row>
        <row r="750">
          <cell r="V750" t="e">
            <v>#N/A</v>
          </cell>
          <cell r="W750" t="e">
            <v>#N/A</v>
          </cell>
          <cell r="AA750" t="e">
            <v>#N/A</v>
          </cell>
          <cell r="AB750" t="e">
            <v>#N/A</v>
          </cell>
          <cell r="AC750" t="e">
            <v>#N/A</v>
          </cell>
          <cell r="AF750" t="e">
            <v>#N/A</v>
          </cell>
        </row>
        <row r="751">
          <cell r="V751" t="e">
            <v>#N/A</v>
          </cell>
          <cell r="W751" t="e">
            <v>#N/A</v>
          </cell>
          <cell r="AA751" t="e">
            <v>#N/A</v>
          </cell>
          <cell r="AB751" t="e">
            <v>#N/A</v>
          </cell>
          <cell r="AC751" t="e">
            <v>#N/A</v>
          </cell>
          <cell r="AF751" t="e">
            <v>#N/A</v>
          </cell>
        </row>
        <row r="752">
          <cell r="V752" t="e">
            <v>#N/A</v>
          </cell>
          <cell r="W752" t="e">
            <v>#N/A</v>
          </cell>
          <cell r="AA752" t="e">
            <v>#N/A</v>
          </cell>
          <cell r="AB752" t="e">
            <v>#N/A</v>
          </cell>
          <cell r="AC752" t="e">
            <v>#N/A</v>
          </cell>
          <cell r="AF752" t="e">
            <v>#N/A</v>
          </cell>
        </row>
        <row r="753">
          <cell r="V753" t="e">
            <v>#N/A</v>
          </cell>
          <cell r="W753" t="e">
            <v>#N/A</v>
          </cell>
          <cell r="AA753" t="e">
            <v>#N/A</v>
          </cell>
          <cell r="AB753" t="e">
            <v>#N/A</v>
          </cell>
          <cell r="AC753" t="e">
            <v>#N/A</v>
          </cell>
          <cell r="AF753" t="e">
            <v>#N/A</v>
          </cell>
        </row>
        <row r="754">
          <cell r="V754" t="e">
            <v>#N/A</v>
          </cell>
          <cell r="W754" t="e">
            <v>#N/A</v>
          </cell>
          <cell r="AA754" t="e">
            <v>#N/A</v>
          </cell>
          <cell r="AB754" t="e">
            <v>#N/A</v>
          </cell>
          <cell r="AC754" t="e">
            <v>#N/A</v>
          </cell>
          <cell r="AF754" t="e">
            <v>#N/A</v>
          </cell>
        </row>
        <row r="755">
          <cell r="V755" t="e">
            <v>#N/A</v>
          </cell>
          <cell r="W755" t="e">
            <v>#N/A</v>
          </cell>
          <cell r="AA755" t="e">
            <v>#N/A</v>
          </cell>
          <cell r="AB755" t="e">
            <v>#N/A</v>
          </cell>
          <cell r="AC755" t="e">
            <v>#N/A</v>
          </cell>
          <cell r="AF755" t="e">
            <v>#N/A</v>
          </cell>
        </row>
        <row r="756">
          <cell r="V756" t="e">
            <v>#N/A</v>
          </cell>
          <cell r="W756" t="e">
            <v>#N/A</v>
          </cell>
          <cell r="AA756" t="e">
            <v>#N/A</v>
          </cell>
          <cell r="AB756" t="e">
            <v>#N/A</v>
          </cell>
          <cell r="AC756" t="e">
            <v>#N/A</v>
          </cell>
          <cell r="AF756" t="e">
            <v>#N/A</v>
          </cell>
        </row>
        <row r="757">
          <cell r="V757" t="e">
            <v>#N/A</v>
          </cell>
          <cell r="W757" t="e">
            <v>#N/A</v>
          </cell>
          <cell r="AA757" t="e">
            <v>#N/A</v>
          </cell>
          <cell r="AB757" t="e">
            <v>#N/A</v>
          </cell>
          <cell r="AC757" t="e">
            <v>#N/A</v>
          </cell>
          <cell r="AF757" t="e">
            <v>#N/A</v>
          </cell>
        </row>
        <row r="758">
          <cell r="V758" t="e">
            <v>#N/A</v>
          </cell>
          <cell r="W758" t="e">
            <v>#N/A</v>
          </cell>
          <cell r="AA758" t="e">
            <v>#N/A</v>
          </cell>
          <cell r="AB758" t="e">
            <v>#N/A</v>
          </cell>
          <cell r="AC758" t="e">
            <v>#N/A</v>
          </cell>
          <cell r="AF758" t="e">
            <v>#N/A</v>
          </cell>
        </row>
        <row r="759">
          <cell r="V759" t="e">
            <v>#N/A</v>
          </cell>
          <cell r="W759" t="e">
            <v>#N/A</v>
          </cell>
          <cell r="AA759" t="e">
            <v>#N/A</v>
          </cell>
          <cell r="AB759" t="e">
            <v>#N/A</v>
          </cell>
          <cell r="AC759" t="e">
            <v>#N/A</v>
          </cell>
          <cell r="AF759" t="e">
            <v>#N/A</v>
          </cell>
        </row>
        <row r="760">
          <cell r="V760" t="e">
            <v>#N/A</v>
          </cell>
          <cell r="W760" t="e">
            <v>#N/A</v>
          </cell>
          <cell r="AA760" t="e">
            <v>#N/A</v>
          </cell>
          <cell r="AB760" t="e">
            <v>#N/A</v>
          </cell>
          <cell r="AC760" t="e">
            <v>#N/A</v>
          </cell>
          <cell r="AF760" t="e">
            <v>#N/A</v>
          </cell>
        </row>
        <row r="761">
          <cell r="V761" t="e">
            <v>#N/A</v>
          </cell>
          <cell r="W761" t="e">
            <v>#N/A</v>
          </cell>
          <cell r="AA761" t="e">
            <v>#N/A</v>
          </cell>
          <cell r="AB761" t="e">
            <v>#N/A</v>
          </cell>
          <cell r="AC761" t="e">
            <v>#N/A</v>
          </cell>
          <cell r="AF761" t="e">
            <v>#N/A</v>
          </cell>
        </row>
        <row r="762">
          <cell r="V762" t="e">
            <v>#N/A</v>
          </cell>
          <cell r="W762" t="e">
            <v>#N/A</v>
          </cell>
          <cell r="AA762" t="e">
            <v>#N/A</v>
          </cell>
          <cell r="AB762" t="e">
            <v>#N/A</v>
          </cell>
          <cell r="AC762" t="e">
            <v>#N/A</v>
          </cell>
          <cell r="AF762" t="e">
            <v>#N/A</v>
          </cell>
        </row>
        <row r="763">
          <cell r="V763" t="e">
            <v>#N/A</v>
          </cell>
          <cell r="W763" t="e">
            <v>#N/A</v>
          </cell>
          <cell r="AA763" t="e">
            <v>#N/A</v>
          </cell>
          <cell r="AB763" t="e">
            <v>#N/A</v>
          </cell>
          <cell r="AC763" t="e">
            <v>#N/A</v>
          </cell>
          <cell r="AF763" t="e">
            <v>#N/A</v>
          </cell>
        </row>
        <row r="764">
          <cell r="V764" t="e">
            <v>#N/A</v>
          </cell>
          <cell r="W764" t="e">
            <v>#N/A</v>
          </cell>
          <cell r="AA764" t="e">
            <v>#N/A</v>
          </cell>
          <cell r="AB764" t="e">
            <v>#N/A</v>
          </cell>
          <cell r="AC764" t="e">
            <v>#N/A</v>
          </cell>
          <cell r="AF764" t="e">
            <v>#N/A</v>
          </cell>
        </row>
        <row r="765">
          <cell r="V765" t="e">
            <v>#N/A</v>
          </cell>
          <cell r="W765" t="e">
            <v>#N/A</v>
          </cell>
          <cell r="AA765" t="e">
            <v>#N/A</v>
          </cell>
          <cell r="AB765" t="e">
            <v>#N/A</v>
          </cell>
          <cell r="AC765" t="e">
            <v>#N/A</v>
          </cell>
          <cell r="AF765" t="e">
            <v>#N/A</v>
          </cell>
        </row>
        <row r="766">
          <cell r="V766" t="e">
            <v>#N/A</v>
          </cell>
          <cell r="W766" t="e">
            <v>#N/A</v>
          </cell>
          <cell r="AA766" t="e">
            <v>#N/A</v>
          </cell>
          <cell r="AB766" t="e">
            <v>#N/A</v>
          </cell>
          <cell r="AC766" t="e">
            <v>#N/A</v>
          </cell>
          <cell r="AF766" t="e">
            <v>#N/A</v>
          </cell>
        </row>
        <row r="767">
          <cell r="V767" t="e">
            <v>#N/A</v>
          </cell>
          <cell r="W767" t="e">
            <v>#N/A</v>
          </cell>
          <cell r="AA767" t="e">
            <v>#N/A</v>
          </cell>
          <cell r="AB767" t="e">
            <v>#N/A</v>
          </cell>
          <cell r="AC767" t="e">
            <v>#N/A</v>
          </cell>
          <cell r="AF767" t="e">
            <v>#N/A</v>
          </cell>
        </row>
        <row r="768">
          <cell r="V768" t="e">
            <v>#N/A</v>
          </cell>
          <cell r="W768" t="e">
            <v>#N/A</v>
          </cell>
          <cell r="AA768" t="e">
            <v>#N/A</v>
          </cell>
          <cell r="AB768" t="e">
            <v>#N/A</v>
          </cell>
          <cell r="AC768" t="e">
            <v>#N/A</v>
          </cell>
          <cell r="AF768" t="e">
            <v>#N/A</v>
          </cell>
        </row>
        <row r="769">
          <cell r="V769" t="e">
            <v>#N/A</v>
          </cell>
          <cell r="W769" t="e">
            <v>#N/A</v>
          </cell>
          <cell r="AA769" t="e">
            <v>#N/A</v>
          </cell>
          <cell r="AB769" t="e">
            <v>#N/A</v>
          </cell>
          <cell r="AC769" t="e">
            <v>#N/A</v>
          </cell>
          <cell r="AF769" t="e">
            <v>#N/A</v>
          </cell>
        </row>
        <row r="770">
          <cell r="V770" t="e">
            <v>#N/A</v>
          </cell>
          <cell r="W770" t="e">
            <v>#N/A</v>
          </cell>
          <cell r="AA770" t="e">
            <v>#N/A</v>
          </cell>
          <cell r="AB770" t="e">
            <v>#N/A</v>
          </cell>
          <cell r="AC770" t="e">
            <v>#N/A</v>
          </cell>
          <cell r="AF770" t="e">
            <v>#N/A</v>
          </cell>
        </row>
        <row r="771">
          <cell r="V771" t="e">
            <v>#N/A</v>
          </cell>
          <cell r="W771" t="e">
            <v>#N/A</v>
          </cell>
          <cell r="AA771" t="e">
            <v>#N/A</v>
          </cell>
          <cell r="AB771" t="e">
            <v>#N/A</v>
          </cell>
          <cell r="AC771" t="e">
            <v>#N/A</v>
          </cell>
          <cell r="AF771" t="e">
            <v>#N/A</v>
          </cell>
        </row>
        <row r="772">
          <cell r="V772" t="e">
            <v>#N/A</v>
          </cell>
          <cell r="W772" t="e">
            <v>#N/A</v>
          </cell>
          <cell r="AA772" t="e">
            <v>#N/A</v>
          </cell>
          <cell r="AB772" t="e">
            <v>#N/A</v>
          </cell>
          <cell r="AC772" t="e">
            <v>#N/A</v>
          </cell>
          <cell r="AF772" t="e">
            <v>#N/A</v>
          </cell>
        </row>
        <row r="773">
          <cell r="V773" t="e">
            <v>#N/A</v>
          </cell>
          <cell r="W773" t="e">
            <v>#N/A</v>
          </cell>
          <cell r="AA773" t="e">
            <v>#N/A</v>
          </cell>
          <cell r="AB773" t="e">
            <v>#N/A</v>
          </cell>
          <cell r="AC773" t="e">
            <v>#N/A</v>
          </cell>
          <cell r="AF773" t="e">
            <v>#N/A</v>
          </cell>
        </row>
        <row r="774">
          <cell r="V774" t="e">
            <v>#N/A</v>
          </cell>
          <cell r="W774" t="e">
            <v>#N/A</v>
          </cell>
          <cell r="AA774" t="e">
            <v>#N/A</v>
          </cell>
          <cell r="AB774" t="e">
            <v>#N/A</v>
          </cell>
          <cell r="AC774" t="e">
            <v>#N/A</v>
          </cell>
          <cell r="AF774" t="e">
            <v>#N/A</v>
          </cell>
        </row>
        <row r="775">
          <cell r="V775" t="e">
            <v>#N/A</v>
          </cell>
          <cell r="W775" t="e">
            <v>#N/A</v>
          </cell>
          <cell r="AA775" t="e">
            <v>#N/A</v>
          </cell>
          <cell r="AB775" t="e">
            <v>#N/A</v>
          </cell>
          <cell r="AC775" t="e">
            <v>#N/A</v>
          </cell>
          <cell r="AF775" t="e">
            <v>#N/A</v>
          </cell>
        </row>
        <row r="776">
          <cell r="V776" t="e">
            <v>#N/A</v>
          </cell>
          <cell r="W776" t="e">
            <v>#N/A</v>
          </cell>
          <cell r="AA776" t="e">
            <v>#N/A</v>
          </cell>
          <cell r="AB776" t="e">
            <v>#N/A</v>
          </cell>
          <cell r="AC776" t="e">
            <v>#N/A</v>
          </cell>
          <cell r="AF776" t="e">
            <v>#N/A</v>
          </cell>
        </row>
        <row r="777">
          <cell r="V777" t="e">
            <v>#N/A</v>
          </cell>
          <cell r="W777" t="e">
            <v>#N/A</v>
          </cell>
          <cell r="AA777" t="e">
            <v>#N/A</v>
          </cell>
          <cell r="AB777" t="e">
            <v>#N/A</v>
          </cell>
          <cell r="AC777" t="e">
            <v>#N/A</v>
          </cell>
          <cell r="AF777" t="e">
            <v>#N/A</v>
          </cell>
        </row>
        <row r="778">
          <cell r="V778" t="e">
            <v>#N/A</v>
          </cell>
          <cell r="W778" t="e">
            <v>#N/A</v>
          </cell>
          <cell r="AA778" t="e">
            <v>#N/A</v>
          </cell>
          <cell r="AB778" t="e">
            <v>#N/A</v>
          </cell>
          <cell r="AC778" t="e">
            <v>#N/A</v>
          </cell>
          <cell r="AF778" t="e">
            <v>#N/A</v>
          </cell>
        </row>
        <row r="779">
          <cell r="V779" t="e">
            <v>#N/A</v>
          </cell>
          <cell r="W779" t="e">
            <v>#N/A</v>
          </cell>
          <cell r="AA779" t="e">
            <v>#N/A</v>
          </cell>
          <cell r="AB779" t="e">
            <v>#N/A</v>
          </cell>
          <cell r="AC779" t="e">
            <v>#N/A</v>
          </cell>
          <cell r="AF779" t="e">
            <v>#N/A</v>
          </cell>
        </row>
        <row r="780">
          <cell r="V780" t="e">
            <v>#N/A</v>
          </cell>
          <cell r="W780" t="e">
            <v>#N/A</v>
          </cell>
          <cell r="AA780" t="e">
            <v>#N/A</v>
          </cell>
          <cell r="AB780" t="e">
            <v>#N/A</v>
          </cell>
          <cell r="AC780" t="e">
            <v>#N/A</v>
          </cell>
          <cell r="AF780" t="e">
            <v>#N/A</v>
          </cell>
        </row>
        <row r="781">
          <cell r="V781" t="e">
            <v>#N/A</v>
          </cell>
          <cell r="W781" t="e">
            <v>#N/A</v>
          </cell>
          <cell r="AA781" t="e">
            <v>#N/A</v>
          </cell>
          <cell r="AB781" t="e">
            <v>#N/A</v>
          </cell>
          <cell r="AC781" t="e">
            <v>#N/A</v>
          </cell>
          <cell r="AF781" t="e">
            <v>#N/A</v>
          </cell>
        </row>
        <row r="782">
          <cell r="V782" t="e">
            <v>#N/A</v>
          </cell>
          <cell r="W782" t="e">
            <v>#N/A</v>
          </cell>
          <cell r="AA782" t="e">
            <v>#N/A</v>
          </cell>
          <cell r="AB782" t="e">
            <v>#N/A</v>
          </cell>
          <cell r="AC782" t="e">
            <v>#N/A</v>
          </cell>
          <cell r="AF782" t="e">
            <v>#N/A</v>
          </cell>
        </row>
        <row r="783">
          <cell r="V783" t="e">
            <v>#N/A</v>
          </cell>
          <cell r="W783" t="e">
            <v>#N/A</v>
          </cell>
          <cell r="AA783" t="e">
            <v>#N/A</v>
          </cell>
          <cell r="AB783" t="e">
            <v>#N/A</v>
          </cell>
          <cell r="AC783" t="e">
            <v>#N/A</v>
          </cell>
          <cell r="AF783" t="e">
            <v>#N/A</v>
          </cell>
        </row>
        <row r="784">
          <cell r="V784" t="e">
            <v>#N/A</v>
          </cell>
          <cell r="W784" t="e">
            <v>#N/A</v>
          </cell>
          <cell r="AA784" t="e">
            <v>#N/A</v>
          </cell>
          <cell r="AB784" t="e">
            <v>#N/A</v>
          </cell>
          <cell r="AC784" t="e">
            <v>#N/A</v>
          </cell>
          <cell r="AF784" t="e">
            <v>#N/A</v>
          </cell>
        </row>
        <row r="785">
          <cell r="V785" t="e">
            <v>#N/A</v>
          </cell>
          <cell r="W785" t="e">
            <v>#N/A</v>
          </cell>
          <cell r="AA785" t="e">
            <v>#N/A</v>
          </cell>
          <cell r="AB785" t="e">
            <v>#N/A</v>
          </cell>
          <cell r="AC785" t="e">
            <v>#N/A</v>
          </cell>
          <cell r="AF785" t="e">
            <v>#N/A</v>
          </cell>
        </row>
        <row r="786">
          <cell r="V786" t="e">
            <v>#N/A</v>
          </cell>
          <cell r="W786" t="e">
            <v>#N/A</v>
          </cell>
          <cell r="AA786" t="e">
            <v>#N/A</v>
          </cell>
          <cell r="AB786" t="e">
            <v>#N/A</v>
          </cell>
          <cell r="AC786" t="e">
            <v>#N/A</v>
          </cell>
          <cell r="AF786" t="e">
            <v>#N/A</v>
          </cell>
        </row>
        <row r="787">
          <cell r="V787" t="e">
            <v>#N/A</v>
          </cell>
          <cell r="W787" t="e">
            <v>#N/A</v>
          </cell>
          <cell r="AA787" t="e">
            <v>#N/A</v>
          </cell>
          <cell r="AB787" t="e">
            <v>#N/A</v>
          </cell>
          <cell r="AC787" t="e">
            <v>#N/A</v>
          </cell>
          <cell r="AF787" t="e">
            <v>#N/A</v>
          </cell>
        </row>
        <row r="788">
          <cell r="V788" t="e">
            <v>#N/A</v>
          </cell>
          <cell r="W788" t="e">
            <v>#N/A</v>
          </cell>
          <cell r="AA788" t="e">
            <v>#N/A</v>
          </cell>
          <cell r="AB788" t="e">
            <v>#N/A</v>
          </cell>
          <cell r="AC788" t="e">
            <v>#N/A</v>
          </cell>
          <cell r="AF788" t="e">
            <v>#N/A</v>
          </cell>
        </row>
        <row r="789">
          <cell r="V789" t="e">
            <v>#N/A</v>
          </cell>
          <cell r="W789" t="e">
            <v>#N/A</v>
          </cell>
          <cell r="AA789" t="e">
            <v>#N/A</v>
          </cell>
          <cell r="AB789" t="e">
            <v>#N/A</v>
          </cell>
          <cell r="AC789" t="e">
            <v>#N/A</v>
          </cell>
          <cell r="AF789" t="e">
            <v>#N/A</v>
          </cell>
        </row>
        <row r="790">
          <cell r="V790" t="e">
            <v>#N/A</v>
          </cell>
          <cell r="W790" t="e">
            <v>#N/A</v>
          </cell>
          <cell r="AA790" t="e">
            <v>#N/A</v>
          </cell>
          <cell r="AB790" t="e">
            <v>#N/A</v>
          </cell>
          <cell r="AC790" t="e">
            <v>#N/A</v>
          </cell>
          <cell r="AF790" t="e">
            <v>#N/A</v>
          </cell>
        </row>
        <row r="791">
          <cell r="V791" t="e">
            <v>#N/A</v>
          </cell>
          <cell r="W791" t="e">
            <v>#N/A</v>
          </cell>
          <cell r="AA791" t="e">
            <v>#N/A</v>
          </cell>
          <cell r="AB791" t="e">
            <v>#N/A</v>
          </cell>
          <cell r="AC791" t="e">
            <v>#N/A</v>
          </cell>
          <cell r="AF791" t="e">
            <v>#N/A</v>
          </cell>
        </row>
        <row r="792">
          <cell r="V792" t="e">
            <v>#N/A</v>
          </cell>
          <cell r="W792" t="e">
            <v>#N/A</v>
          </cell>
          <cell r="AA792" t="e">
            <v>#N/A</v>
          </cell>
          <cell r="AB792" t="e">
            <v>#N/A</v>
          </cell>
          <cell r="AC792" t="e">
            <v>#N/A</v>
          </cell>
          <cell r="AF792" t="e">
            <v>#N/A</v>
          </cell>
        </row>
        <row r="793">
          <cell r="V793" t="e">
            <v>#N/A</v>
          </cell>
          <cell r="W793" t="e">
            <v>#N/A</v>
          </cell>
          <cell r="AA793" t="e">
            <v>#N/A</v>
          </cell>
          <cell r="AB793" t="e">
            <v>#N/A</v>
          </cell>
          <cell r="AC793" t="e">
            <v>#N/A</v>
          </cell>
          <cell r="AF793" t="e">
            <v>#N/A</v>
          </cell>
        </row>
        <row r="794">
          <cell r="V794" t="e">
            <v>#N/A</v>
          </cell>
          <cell r="W794" t="e">
            <v>#N/A</v>
          </cell>
          <cell r="AA794" t="e">
            <v>#N/A</v>
          </cell>
          <cell r="AB794" t="e">
            <v>#N/A</v>
          </cell>
          <cell r="AC794" t="e">
            <v>#N/A</v>
          </cell>
          <cell r="AF794" t="e">
            <v>#N/A</v>
          </cell>
        </row>
        <row r="795">
          <cell r="V795" t="e">
            <v>#N/A</v>
          </cell>
          <cell r="W795" t="e">
            <v>#N/A</v>
          </cell>
          <cell r="AA795" t="e">
            <v>#N/A</v>
          </cell>
          <cell r="AB795" t="e">
            <v>#N/A</v>
          </cell>
          <cell r="AC795" t="e">
            <v>#N/A</v>
          </cell>
          <cell r="AF795" t="e">
            <v>#N/A</v>
          </cell>
        </row>
        <row r="796">
          <cell r="V796" t="e">
            <v>#N/A</v>
          </cell>
          <cell r="W796" t="e">
            <v>#N/A</v>
          </cell>
          <cell r="AA796" t="e">
            <v>#N/A</v>
          </cell>
          <cell r="AB796" t="e">
            <v>#N/A</v>
          </cell>
          <cell r="AC796" t="e">
            <v>#N/A</v>
          </cell>
          <cell r="AF796" t="e">
            <v>#N/A</v>
          </cell>
        </row>
        <row r="797">
          <cell r="V797" t="e">
            <v>#N/A</v>
          </cell>
          <cell r="W797" t="e">
            <v>#N/A</v>
          </cell>
          <cell r="AA797" t="e">
            <v>#N/A</v>
          </cell>
          <cell r="AB797" t="e">
            <v>#N/A</v>
          </cell>
          <cell r="AC797" t="e">
            <v>#N/A</v>
          </cell>
          <cell r="AF797" t="e">
            <v>#N/A</v>
          </cell>
        </row>
        <row r="798">
          <cell r="V798" t="e">
            <v>#N/A</v>
          </cell>
          <cell r="W798" t="e">
            <v>#N/A</v>
          </cell>
          <cell r="AA798" t="e">
            <v>#N/A</v>
          </cell>
          <cell r="AB798" t="e">
            <v>#N/A</v>
          </cell>
          <cell r="AC798" t="e">
            <v>#N/A</v>
          </cell>
          <cell r="AF798" t="e">
            <v>#N/A</v>
          </cell>
        </row>
        <row r="799">
          <cell r="V799" t="e">
            <v>#N/A</v>
          </cell>
          <cell r="W799" t="e">
            <v>#N/A</v>
          </cell>
          <cell r="AA799" t="e">
            <v>#N/A</v>
          </cell>
          <cell r="AB799" t="e">
            <v>#N/A</v>
          </cell>
          <cell r="AC799" t="e">
            <v>#N/A</v>
          </cell>
          <cell r="AF799" t="e">
            <v>#N/A</v>
          </cell>
        </row>
        <row r="800">
          <cell r="V800" t="e">
            <v>#N/A</v>
          </cell>
          <cell r="W800" t="e">
            <v>#N/A</v>
          </cell>
          <cell r="AA800" t="e">
            <v>#N/A</v>
          </cell>
          <cell r="AB800" t="e">
            <v>#N/A</v>
          </cell>
          <cell r="AC800" t="e">
            <v>#N/A</v>
          </cell>
          <cell r="AF800" t="e">
            <v>#N/A</v>
          </cell>
        </row>
        <row r="801">
          <cell r="V801" t="e">
            <v>#N/A</v>
          </cell>
          <cell r="W801" t="e">
            <v>#N/A</v>
          </cell>
          <cell r="AA801" t="e">
            <v>#N/A</v>
          </cell>
          <cell r="AB801" t="e">
            <v>#N/A</v>
          </cell>
          <cell r="AC801" t="e">
            <v>#N/A</v>
          </cell>
          <cell r="AF801" t="e">
            <v>#N/A</v>
          </cell>
        </row>
        <row r="802">
          <cell r="V802" t="e">
            <v>#N/A</v>
          </cell>
          <cell r="W802" t="e">
            <v>#N/A</v>
          </cell>
          <cell r="AA802" t="e">
            <v>#N/A</v>
          </cell>
          <cell r="AB802" t="e">
            <v>#N/A</v>
          </cell>
          <cell r="AC802" t="e">
            <v>#N/A</v>
          </cell>
          <cell r="AF802" t="e">
            <v>#N/A</v>
          </cell>
        </row>
        <row r="803">
          <cell r="V803" t="e">
            <v>#N/A</v>
          </cell>
          <cell r="W803" t="e">
            <v>#N/A</v>
          </cell>
          <cell r="AA803" t="e">
            <v>#N/A</v>
          </cell>
          <cell r="AB803" t="e">
            <v>#N/A</v>
          </cell>
          <cell r="AC803" t="e">
            <v>#N/A</v>
          </cell>
          <cell r="AF803" t="e">
            <v>#N/A</v>
          </cell>
        </row>
        <row r="804">
          <cell r="V804" t="e">
            <v>#N/A</v>
          </cell>
          <cell r="W804" t="e">
            <v>#N/A</v>
          </cell>
          <cell r="AA804" t="e">
            <v>#N/A</v>
          </cell>
          <cell r="AB804" t="e">
            <v>#N/A</v>
          </cell>
          <cell r="AC804" t="e">
            <v>#N/A</v>
          </cell>
          <cell r="AF804" t="e">
            <v>#N/A</v>
          </cell>
        </row>
        <row r="805">
          <cell r="V805" t="e">
            <v>#N/A</v>
          </cell>
          <cell r="W805" t="e">
            <v>#N/A</v>
          </cell>
          <cell r="AA805" t="e">
            <v>#N/A</v>
          </cell>
          <cell r="AB805" t="e">
            <v>#N/A</v>
          </cell>
          <cell r="AC805" t="e">
            <v>#N/A</v>
          </cell>
          <cell r="AF805" t="e">
            <v>#N/A</v>
          </cell>
        </row>
        <row r="806">
          <cell r="V806" t="e">
            <v>#N/A</v>
          </cell>
          <cell r="W806" t="e">
            <v>#N/A</v>
          </cell>
          <cell r="AA806" t="e">
            <v>#N/A</v>
          </cell>
          <cell r="AB806" t="e">
            <v>#N/A</v>
          </cell>
          <cell r="AC806" t="e">
            <v>#N/A</v>
          </cell>
          <cell r="AF806" t="e">
            <v>#N/A</v>
          </cell>
        </row>
        <row r="807">
          <cell r="V807" t="e">
            <v>#N/A</v>
          </cell>
          <cell r="W807" t="e">
            <v>#N/A</v>
          </cell>
          <cell r="AA807" t="e">
            <v>#N/A</v>
          </cell>
          <cell r="AB807" t="e">
            <v>#N/A</v>
          </cell>
          <cell r="AC807" t="e">
            <v>#N/A</v>
          </cell>
          <cell r="AF807" t="e">
            <v>#N/A</v>
          </cell>
        </row>
        <row r="808">
          <cell r="V808" t="e">
            <v>#N/A</v>
          </cell>
          <cell r="W808" t="e">
            <v>#N/A</v>
          </cell>
          <cell r="AA808" t="e">
            <v>#N/A</v>
          </cell>
          <cell r="AB808" t="e">
            <v>#N/A</v>
          </cell>
          <cell r="AC808" t="e">
            <v>#N/A</v>
          </cell>
          <cell r="AF808" t="e">
            <v>#N/A</v>
          </cell>
        </row>
        <row r="809">
          <cell r="V809" t="e">
            <v>#N/A</v>
          </cell>
          <cell r="W809" t="e">
            <v>#N/A</v>
          </cell>
          <cell r="AA809" t="e">
            <v>#N/A</v>
          </cell>
          <cell r="AB809" t="e">
            <v>#N/A</v>
          </cell>
          <cell r="AC809" t="e">
            <v>#N/A</v>
          </cell>
          <cell r="AF809" t="e">
            <v>#N/A</v>
          </cell>
        </row>
        <row r="810">
          <cell r="V810" t="e">
            <v>#N/A</v>
          </cell>
          <cell r="W810" t="e">
            <v>#N/A</v>
          </cell>
          <cell r="AA810" t="e">
            <v>#N/A</v>
          </cell>
          <cell r="AB810" t="e">
            <v>#N/A</v>
          </cell>
          <cell r="AC810" t="e">
            <v>#N/A</v>
          </cell>
          <cell r="AF810" t="e">
            <v>#N/A</v>
          </cell>
        </row>
        <row r="811">
          <cell r="V811" t="e">
            <v>#N/A</v>
          </cell>
          <cell r="W811" t="e">
            <v>#N/A</v>
          </cell>
          <cell r="AA811" t="e">
            <v>#N/A</v>
          </cell>
          <cell r="AB811" t="e">
            <v>#N/A</v>
          </cell>
          <cell r="AC811" t="e">
            <v>#N/A</v>
          </cell>
          <cell r="AF811" t="e">
            <v>#N/A</v>
          </cell>
        </row>
        <row r="812">
          <cell r="V812" t="e">
            <v>#N/A</v>
          </cell>
          <cell r="W812" t="e">
            <v>#N/A</v>
          </cell>
          <cell r="AA812" t="e">
            <v>#N/A</v>
          </cell>
          <cell r="AB812" t="e">
            <v>#N/A</v>
          </cell>
          <cell r="AC812" t="e">
            <v>#N/A</v>
          </cell>
          <cell r="AF812" t="e">
            <v>#N/A</v>
          </cell>
        </row>
        <row r="813">
          <cell r="V813" t="e">
            <v>#N/A</v>
          </cell>
          <cell r="W813" t="e">
            <v>#N/A</v>
          </cell>
          <cell r="AA813" t="e">
            <v>#N/A</v>
          </cell>
          <cell r="AB813" t="e">
            <v>#N/A</v>
          </cell>
          <cell r="AC813" t="e">
            <v>#N/A</v>
          </cell>
          <cell r="AF813" t="e">
            <v>#N/A</v>
          </cell>
        </row>
        <row r="814">
          <cell r="V814" t="e">
            <v>#N/A</v>
          </cell>
          <cell r="W814" t="e">
            <v>#N/A</v>
          </cell>
          <cell r="AA814" t="e">
            <v>#N/A</v>
          </cell>
          <cell r="AB814" t="e">
            <v>#N/A</v>
          </cell>
          <cell r="AC814" t="e">
            <v>#N/A</v>
          </cell>
          <cell r="AF814" t="e">
            <v>#N/A</v>
          </cell>
        </row>
        <row r="815">
          <cell r="V815" t="e">
            <v>#N/A</v>
          </cell>
          <cell r="W815" t="e">
            <v>#N/A</v>
          </cell>
          <cell r="AA815" t="e">
            <v>#N/A</v>
          </cell>
          <cell r="AB815" t="e">
            <v>#N/A</v>
          </cell>
          <cell r="AC815" t="e">
            <v>#N/A</v>
          </cell>
          <cell r="AF815" t="e">
            <v>#N/A</v>
          </cell>
        </row>
        <row r="816">
          <cell r="V816" t="e">
            <v>#N/A</v>
          </cell>
          <cell r="W816" t="e">
            <v>#N/A</v>
          </cell>
          <cell r="AA816" t="e">
            <v>#N/A</v>
          </cell>
          <cell r="AB816" t="e">
            <v>#N/A</v>
          </cell>
          <cell r="AC816" t="e">
            <v>#N/A</v>
          </cell>
          <cell r="AF816" t="e">
            <v>#N/A</v>
          </cell>
        </row>
        <row r="817">
          <cell r="V817" t="e">
            <v>#N/A</v>
          </cell>
          <cell r="W817" t="e">
            <v>#N/A</v>
          </cell>
          <cell r="AA817" t="e">
            <v>#N/A</v>
          </cell>
          <cell r="AB817" t="e">
            <v>#N/A</v>
          </cell>
          <cell r="AC817" t="e">
            <v>#N/A</v>
          </cell>
          <cell r="AF817" t="e">
            <v>#N/A</v>
          </cell>
        </row>
        <row r="818">
          <cell r="V818" t="e">
            <v>#N/A</v>
          </cell>
          <cell r="W818" t="e">
            <v>#N/A</v>
          </cell>
          <cell r="AA818" t="e">
            <v>#N/A</v>
          </cell>
          <cell r="AB818" t="e">
            <v>#N/A</v>
          </cell>
          <cell r="AC818" t="e">
            <v>#N/A</v>
          </cell>
          <cell r="AF818" t="e">
            <v>#N/A</v>
          </cell>
        </row>
        <row r="819">
          <cell r="V819" t="e">
            <v>#N/A</v>
          </cell>
          <cell r="W819" t="e">
            <v>#N/A</v>
          </cell>
          <cell r="AA819" t="e">
            <v>#N/A</v>
          </cell>
          <cell r="AB819" t="e">
            <v>#N/A</v>
          </cell>
          <cell r="AC819" t="e">
            <v>#N/A</v>
          </cell>
          <cell r="AF819" t="e">
            <v>#N/A</v>
          </cell>
        </row>
        <row r="820">
          <cell r="V820" t="e">
            <v>#N/A</v>
          </cell>
          <cell r="W820" t="e">
            <v>#N/A</v>
          </cell>
          <cell r="AA820" t="e">
            <v>#N/A</v>
          </cell>
          <cell r="AB820" t="e">
            <v>#N/A</v>
          </cell>
          <cell r="AC820" t="e">
            <v>#N/A</v>
          </cell>
          <cell r="AF820" t="e">
            <v>#N/A</v>
          </cell>
        </row>
        <row r="821">
          <cell r="V821" t="e">
            <v>#N/A</v>
          </cell>
          <cell r="W821" t="e">
            <v>#N/A</v>
          </cell>
          <cell r="AA821" t="e">
            <v>#N/A</v>
          </cell>
          <cell r="AB821" t="e">
            <v>#N/A</v>
          </cell>
          <cell r="AC821" t="e">
            <v>#N/A</v>
          </cell>
          <cell r="AF821" t="e">
            <v>#N/A</v>
          </cell>
        </row>
        <row r="822">
          <cell r="V822" t="e">
            <v>#N/A</v>
          </cell>
          <cell r="W822" t="e">
            <v>#N/A</v>
          </cell>
          <cell r="AA822" t="e">
            <v>#N/A</v>
          </cell>
          <cell r="AB822" t="e">
            <v>#N/A</v>
          </cell>
          <cell r="AC822" t="e">
            <v>#N/A</v>
          </cell>
          <cell r="AF822" t="e">
            <v>#N/A</v>
          </cell>
        </row>
        <row r="823">
          <cell r="V823" t="e">
            <v>#N/A</v>
          </cell>
          <cell r="W823" t="e">
            <v>#N/A</v>
          </cell>
          <cell r="AA823" t="e">
            <v>#N/A</v>
          </cell>
          <cell r="AB823" t="e">
            <v>#N/A</v>
          </cell>
          <cell r="AC823" t="e">
            <v>#N/A</v>
          </cell>
          <cell r="AF823" t="e">
            <v>#N/A</v>
          </cell>
        </row>
        <row r="824">
          <cell r="V824" t="e">
            <v>#N/A</v>
          </cell>
          <cell r="W824" t="e">
            <v>#N/A</v>
          </cell>
          <cell r="AA824" t="e">
            <v>#N/A</v>
          </cell>
          <cell r="AB824" t="e">
            <v>#N/A</v>
          </cell>
          <cell r="AC824" t="e">
            <v>#N/A</v>
          </cell>
          <cell r="AF824" t="e">
            <v>#N/A</v>
          </cell>
        </row>
        <row r="825">
          <cell r="V825" t="e">
            <v>#N/A</v>
          </cell>
          <cell r="W825" t="e">
            <v>#N/A</v>
          </cell>
          <cell r="AA825" t="e">
            <v>#N/A</v>
          </cell>
          <cell r="AB825" t="e">
            <v>#N/A</v>
          </cell>
          <cell r="AC825" t="e">
            <v>#N/A</v>
          </cell>
          <cell r="AF825" t="e">
            <v>#N/A</v>
          </cell>
        </row>
        <row r="826">
          <cell r="V826" t="e">
            <v>#N/A</v>
          </cell>
          <cell r="W826" t="e">
            <v>#N/A</v>
          </cell>
          <cell r="AA826" t="e">
            <v>#N/A</v>
          </cell>
          <cell r="AB826" t="e">
            <v>#N/A</v>
          </cell>
          <cell r="AC826" t="e">
            <v>#N/A</v>
          </cell>
          <cell r="AF826" t="e">
            <v>#N/A</v>
          </cell>
        </row>
        <row r="827">
          <cell r="V827" t="e">
            <v>#N/A</v>
          </cell>
          <cell r="W827" t="e">
            <v>#N/A</v>
          </cell>
          <cell r="AA827" t="e">
            <v>#N/A</v>
          </cell>
          <cell r="AB827" t="e">
            <v>#N/A</v>
          </cell>
          <cell r="AC827" t="e">
            <v>#N/A</v>
          </cell>
          <cell r="AF827" t="e">
            <v>#N/A</v>
          </cell>
        </row>
        <row r="828">
          <cell r="V828" t="e">
            <v>#N/A</v>
          </cell>
          <cell r="W828" t="e">
            <v>#N/A</v>
          </cell>
          <cell r="AA828" t="e">
            <v>#N/A</v>
          </cell>
          <cell r="AB828" t="e">
            <v>#N/A</v>
          </cell>
          <cell r="AC828" t="e">
            <v>#N/A</v>
          </cell>
          <cell r="AF828" t="e">
            <v>#N/A</v>
          </cell>
        </row>
        <row r="829">
          <cell r="V829" t="e">
            <v>#N/A</v>
          </cell>
          <cell r="W829" t="e">
            <v>#N/A</v>
          </cell>
          <cell r="AA829" t="e">
            <v>#N/A</v>
          </cell>
          <cell r="AB829" t="e">
            <v>#N/A</v>
          </cell>
          <cell r="AC829" t="e">
            <v>#N/A</v>
          </cell>
          <cell r="AF829" t="e">
            <v>#N/A</v>
          </cell>
        </row>
        <row r="830">
          <cell r="V830" t="e">
            <v>#N/A</v>
          </cell>
          <cell r="W830" t="e">
            <v>#N/A</v>
          </cell>
          <cell r="AA830" t="e">
            <v>#N/A</v>
          </cell>
          <cell r="AB830" t="e">
            <v>#N/A</v>
          </cell>
          <cell r="AC830" t="e">
            <v>#N/A</v>
          </cell>
          <cell r="AF830" t="e">
            <v>#N/A</v>
          </cell>
        </row>
        <row r="831">
          <cell r="V831" t="e">
            <v>#N/A</v>
          </cell>
          <cell r="W831" t="e">
            <v>#N/A</v>
          </cell>
          <cell r="AA831" t="e">
            <v>#N/A</v>
          </cell>
          <cell r="AB831" t="e">
            <v>#N/A</v>
          </cell>
          <cell r="AC831" t="e">
            <v>#N/A</v>
          </cell>
          <cell r="AF831" t="e">
            <v>#N/A</v>
          </cell>
        </row>
        <row r="832">
          <cell r="V832" t="e">
            <v>#N/A</v>
          </cell>
          <cell r="W832" t="e">
            <v>#N/A</v>
          </cell>
          <cell r="AA832" t="e">
            <v>#N/A</v>
          </cell>
          <cell r="AB832" t="e">
            <v>#N/A</v>
          </cell>
          <cell r="AC832" t="e">
            <v>#N/A</v>
          </cell>
          <cell r="AF832" t="e">
            <v>#N/A</v>
          </cell>
        </row>
        <row r="833">
          <cell r="V833" t="e">
            <v>#N/A</v>
          </cell>
          <cell r="W833" t="e">
            <v>#N/A</v>
          </cell>
          <cell r="AA833" t="e">
            <v>#N/A</v>
          </cell>
          <cell r="AB833" t="e">
            <v>#N/A</v>
          </cell>
          <cell r="AC833" t="e">
            <v>#N/A</v>
          </cell>
          <cell r="AF833" t="e">
            <v>#N/A</v>
          </cell>
        </row>
        <row r="834">
          <cell r="V834" t="e">
            <v>#N/A</v>
          </cell>
          <cell r="W834" t="e">
            <v>#N/A</v>
          </cell>
          <cell r="AA834" t="e">
            <v>#N/A</v>
          </cell>
          <cell r="AB834" t="e">
            <v>#N/A</v>
          </cell>
          <cell r="AC834" t="e">
            <v>#N/A</v>
          </cell>
          <cell r="AF834" t="e">
            <v>#N/A</v>
          </cell>
        </row>
        <row r="835">
          <cell r="V835" t="e">
            <v>#N/A</v>
          </cell>
          <cell r="W835" t="e">
            <v>#N/A</v>
          </cell>
          <cell r="AA835" t="e">
            <v>#N/A</v>
          </cell>
          <cell r="AB835" t="e">
            <v>#N/A</v>
          </cell>
          <cell r="AC835" t="e">
            <v>#N/A</v>
          </cell>
          <cell r="AF835" t="e">
            <v>#N/A</v>
          </cell>
        </row>
        <row r="836">
          <cell r="V836" t="e">
            <v>#N/A</v>
          </cell>
          <cell r="W836" t="e">
            <v>#N/A</v>
          </cell>
          <cell r="AA836" t="e">
            <v>#N/A</v>
          </cell>
          <cell r="AB836" t="e">
            <v>#N/A</v>
          </cell>
          <cell r="AC836" t="e">
            <v>#N/A</v>
          </cell>
          <cell r="AF836" t="e">
            <v>#N/A</v>
          </cell>
        </row>
        <row r="837">
          <cell r="V837" t="e">
            <v>#N/A</v>
          </cell>
          <cell r="W837" t="e">
            <v>#N/A</v>
          </cell>
          <cell r="AA837" t="e">
            <v>#N/A</v>
          </cell>
          <cell r="AB837" t="e">
            <v>#N/A</v>
          </cell>
          <cell r="AC837" t="e">
            <v>#N/A</v>
          </cell>
          <cell r="AF837" t="e">
            <v>#N/A</v>
          </cell>
        </row>
        <row r="838">
          <cell r="V838" t="e">
            <v>#N/A</v>
          </cell>
          <cell r="W838" t="e">
            <v>#N/A</v>
          </cell>
          <cell r="AA838" t="e">
            <v>#N/A</v>
          </cell>
          <cell r="AB838" t="e">
            <v>#N/A</v>
          </cell>
          <cell r="AC838" t="e">
            <v>#N/A</v>
          </cell>
          <cell r="AF838" t="e">
            <v>#N/A</v>
          </cell>
        </row>
        <row r="839">
          <cell r="V839" t="e">
            <v>#N/A</v>
          </cell>
          <cell r="W839" t="e">
            <v>#N/A</v>
          </cell>
          <cell r="AA839" t="e">
            <v>#N/A</v>
          </cell>
          <cell r="AB839" t="e">
            <v>#N/A</v>
          </cell>
          <cell r="AC839" t="e">
            <v>#N/A</v>
          </cell>
          <cell r="AF839" t="e">
            <v>#N/A</v>
          </cell>
        </row>
        <row r="840">
          <cell r="V840" t="e">
            <v>#N/A</v>
          </cell>
          <cell r="W840" t="e">
            <v>#N/A</v>
          </cell>
          <cell r="AA840" t="e">
            <v>#N/A</v>
          </cell>
          <cell r="AB840" t="e">
            <v>#N/A</v>
          </cell>
          <cell r="AC840" t="e">
            <v>#N/A</v>
          </cell>
          <cell r="AF840" t="e">
            <v>#N/A</v>
          </cell>
        </row>
        <row r="841">
          <cell r="V841" t="e">
            <v>#N/A</v>
          </cell>
          <cell r="W841" t="e">
            <v>#N/A</v>
          </cell>
          <cell r="AA841" t="e">
            <v>#N/A</v>
          </cell>
          <cell r="AB841" t="e">
            <v>#N/A</v>
          </cell>
          <cell r="AC841" t="e">
            <v>#N/A</v>
          </cell>
          <cell r="AF841" t="e">
            <v>#N/A</v>
          </cell>
        </row>
        <row r="842">
          <cell r="V842" t="e">
            <v>#N/A</v>
          </cell>
          <cell r="W842" t="e">
            <v>#N/A</v>
          </cell>
          <cell r="AA842" t="e">
            <v>#N/A</v>
          </cell>
          <cell r="AB842" t="e">
            <v>#N/A</v>
          </cell>
          <cell r="AC842" t="e">
            <v>#N/A</v>
          </cell>
          <cell r="AF842" t="e">
            <v>#N/A</v>
          </cell>
        </row>
        <row r="843">
          <cell r="V843" t="e">
            <v>#N/A</v>
          </cell>
          <cell r="W843" t="e">
            <v>#N/A</v>
          </cell>
          <cell r="AA843" t="e">
            <v>#N/A</v>
          </cell>
          <cell r="AB843" t="e">
            <v>#N/A</v>
          </cell>
          <cell r="AC843" t="e">
            <v>#N/A</v>
          </cell>
          <cell r="AF843" t="e">
            <v>#N/A</v>
          </cell>
        </row>
        <row r="844">
          <cell r="V844" t="e">
            <v>#N/A</v>
          </cell>
          <cell r="W844" t="e">
            <v>#N/A</v>
          </cell>
          <cell r="AA844" t="e">
            <v>#N/A</v>
          </cell>
          <cell r="AB844" t="e">
            <v>#N/A</v>
          </cell>
          <cell r="AC844" t="e">
            <v>#N/A</v>
          </cell>
          <cell r="AF844" t="e">
            <v>#N/A</v>
          </cell>
        </row>
        <row r="845">
          <cell r="V845" t="e">
            <v>#N/A</v>
          </cell>
          <cell r="W845" t="e">
            <v>#N/A</v>
          </cell>
          <cell r="AA845" t="e">
            <v>#N/A</v>
          </cell>
          <cell r="AB845" t="e">
            <v>#N/A</v>
          </cell>
          <cell r="AC845" t="e">
            <v>#N/A</v>
          </cell>
          <cell r="AF845" t="e">
            <v>#N/A</v>
          </cell>
        </row>
        <row r="846">
          <cell r="V846" t="e">
            <v>#N/A</v>
          </cell>
          <cell r="W846" t="e">
            <v>#N/A</v>
          </cell>
          <cell r="AA846" t="e">
            <v>#N/A</v>
          </cell>
          <cell r="AB846" t="e">
            <v>#N/A</v>
          </cell>
          <cell r="AC846" t="e">
            <v>#N/A</v>
          </cell>
          <cell r="AF846" t="e">
            <v>#N/A</v>
          </cell>
        </row>
        <row r="847">
          <cell r="V847" t="e">
            <v>#N/A</v>
          </cell>
          <cell r="W847" t="e">
            <v>#N/A</v>
          </cell>
          <cell r="AA847" t="e">
            <v>#N/A</v>
          </cell>
          <cell r="AB847" t="e">
            <v>#N/A</v>
          </cell>
          <cell r="AC847" t="e">
            <v>#N/A</v>
          </cell>
          <cell r="AF847" t="e">
            <v>#N/A</v>
          </cell>
        </row>
        <row r="848">
          <cell r="V848" t="e">
            <v>#N/A</v>
          </cell>
          <cell r="W848" t="e">
            <v>#N/A</v>
          </cell>
          <cell r="AA848" t="e">
            <v>#N/A</v>
          </cell>
          <cell r="AB848" t="e">
            <v>#N/A</v>
          </cell>
          <cell r="AC848" t="e">
            <v>#N/A</v>
          </cell>
          <cell r="AF848" t="e">
            <v>#N/A</v>
          </cell>
        </row>
        <row r="849">
          <cell r="V849" t="e">
            <v>#N/A</v>
          </cell>
          <cell r="W849" t="e">
            <v>#N/A</v>
          </cell>
          <cell r="AA849" t="e">
            <v>#N/A</v>
          </cell>
          <cell r="AB849" t="e">
            <v>#N/A</v>
          </cell>
          <cell r="AC849" t="e">
            <v>#N/A</v>
          </cell>
          <cell r="AF849" t="e">
            <v>#N/A</v>
          </cell>
        </row>
        <row r="850">
          <cell r="V850" t="e">
            <v>#N/A</v>
          </cell>
          <cell r="W850" t="e">
            <v>#N/A</v>
          </cell>
          <cell r="AA850" t="e">
            <v>#N/A</v>
          </cell>
          <cell r="AB850" t="e">
            <v>#N/A</v>
          </cell>
          <cell r="AC850" t="e">
            <v>#N/A</v>
          </cell>
          <cell r="AF850" t="e">
            <v>#N/A</v>
          </cell>
        </row>
        <row r="851">
          <cell r="V851" t="e">
            <v>#N/A</v>
          </cell>
          <cell r="W851" t="e">
            <v>#N/A</v>
          </cell>
          <cell r="AA851" t="e">
            <v>#N/A</v>
          </cell>
          <cell r="AB851" t="e">
            <v>#N/A</v>
          </cell>
          <cell r="AC851" t="e">
            <v>#N/A</v>
          </cell>
          <cell r="AF851" t="e">
            <v>#N/A</v>
          </cell>
        </row>
        <row r="852">
          <cell r="V852" t="e">
            <v>#N/A</v>
          </cell>
          <cell r="W852" t="e">
            <v>#N/A</v>
          </cell>
          <cell r="AA852" t="e">
            <v>#N/A</v>
          </cell>
          <cell r="AB852" t="e">
            <v>#N/A</v>
          </cell>
          <cell r="AC852" t="e">
            <v>#N/A</v>
          </cell>
          <cell r="AF852" t="e">
            <v>#N/A</v>
          </cell>
        </row>
        <row r="853">
          <cell r="V853" t="e">
            <v>#N/A</v>
          </cell>
          <cell r="W853" t="e">
            <v>#N/A</v>
          </cell>
          <cell r="AA853" t="e">
            <v>#N/A</v>
          </cell>
          <cell r="AB853" t="e">
            <v>#N/A</v>
          </cell>
          <cell r="AC853" t="e">
            <v>#N/A</v>
          </cell>
          <cell r="AF853" t="e">
            <v>#N/A</v>
          </cell>
        </row>
        <row r="854">
          <cell r="V854" t="e">
            <v>#N/A</v>
          </cell>
          <cell r="W854" t="e">
            <v>#N/A</v>
          </cell>
          <cell r="AA854" t="e">
            <v>#N/A</v>
          </cell>
          <cell r="AB854" t="e">
            <v>#N/A</v>
          </cell>
          <cell r="AC854" t="e">
            <v>#N/A</v>
          </cell>
          <cell r="AF854" t="e">
            <v>#N/A</v>
          </cell>
        </row>
        <row r="855">
          <cell r="V855" t="e">
            <v>#N/A</v>
          </cell>
          <cell r="W855" t="e">
            <v>#N/A</v>
          </cell>
          <cell r="AA855" t="e">
            <v>#N/A</v>
          </cell>
          <cell r="AB855" t="e">
            <v>#N/A</v>
          </cell>
          <cell r="AC855" t="e">
            <v>#N/A</v>
          </cell>
          <cell r="AF855" t="e">
            <v>#N/A</v>
          </cell>
        </row>
        <row r="856">
          <cell r="V856" t="e">
            <v>#N/A</v>
          </cell>
          <cell r="W856" t="e">
            <v>#N/A</v>
          </cell>
          <cell r="AA856" t="e">
            <v>#N/A</v>
          </cell>
          <cell r="AB856" t="e">
            <v>#N/A</v>
          </cell>
          <cell r="AC856" t="e">
            <v>#N/A</v>
          </cell>
          <cell r="AF856" t="e">
            <v>#N/A</v>
          </cell>
        </row>
        <row r="857">
          <cell r="V857" t="e">
            <v>#N/A</v>
          </cell>
          <cell r="W857" t="e">
            <v>#N/A</v>
          </cell>
          <cell r="AA857" t="e">
            <v>#N/A</v>
          </cell>
          <cell r="AB857" t="e">
            <v>#N/A</v>
          </cell>
          <cell r="AC857" t="e">
            <v>#N/A</v>
          </cell>
          <cell r="AF857" t="e">
            <v>#N/A</v>
          </cell>
        </row>
        <row r="858">
          <cell r="V858" t="e">
            <v>#N/A</v>
          </cell>
          <cell r="W858" t="e">
            <v>#N/A</v>
          </cell>
          <cell r="AA858" t="e">
            <v>#N/A</v>
          </cell>
          <cell r="AB858" t="e">
            <v>#N/A</v>
          </cell>
          <cell r="AC858" t="e">
            <v>#N/A</v>
          </cell>
          <cell r="AF858" t="e">
            <v>#N/A</v>
          </cell>
        </row>
        <row r="859">
          <cell r="V859" t="e">
            <v>#N/A</v>
          </cell>
          <cell r="W859" t="e">
            <v>#N/A</v>
          </cell>
          <cell r="AA859" t="e">
            <v>#N/A</v>
          </cell>
          <cell r="AB859" t="e">
            <v>#N/A</v>
          </cell>
          <cell r="AC859" t="e">
            <v>#N/A</v>
          </cell>
          <cell r="AF859" t="e">
            <v>#N/A</v>
          </cell>
        </row>
        <row r="860">
          <cell r="V860" t="e">
            <v>#N/A</v>
          </cell>
          <cell r="W860" t="e">
            <v>#N/A</v>
          </cell>
          <cell r="AA860" t="e">
            <v>#N/A</v>
          </cell>
          <cell r="AB860" t="e">
            <v>#N/A</v>
          </cell>
          <cell r="AC860" t="e">
            <v>#N/A</v>
          </cell>
          <cell r="AF860" t="e">
            <v>#N/A</v>
          </cell>
        </row>
        <row r="861">
          <cell r="V861" t="e">
            <v>#N/A</v>
          </cell>
          <cell r="W861" t="e">
            <v>#N/A</v>
          </cell>
          <cell r="AA861" t="e">
            <v>#N/A</v>
          </cell>
          <cell r="AB861" t="e">
            <v>#N/A</v>
          </cell>
          <cell r="AC861" t="e">
            <v>#N/A</v>
          </cell>
          <cell r="AF861" t="e">
            <v>#N/A</v>
          </cell>
        </row>
        <row r="862">
          <cell r="V862" t="e">
            <v>#N/A</v>
          </cell>
          <cell r="W862" t="e">
            <v>#N/A</v>
          </cell>
          <cell r="AA862" t="e">
            <v>#N/A</v>
          </cell>
          <cell r="AB862" t="e">
            <v>#N/A</v>
          </cell>
          <cell r="AC862" t="e">
            <v>#N/A</v>
          </cell>
          <cell r="AF862" t="e">
            <v>#N/A</v>
          </cell>
        </row>
        <row r="863">
          <cell r="V863" t="e">
            <v>#N/A</v>
          </cell>
          <cell r="W863" t="e">
            <v>#N/A</v>
          </cell>
          <cell r="AA863" t="e">
            <v>#N/A</v>
          </cell>
          <cell r="AB863" t="e">
            <v>#N/A</v>
          </cell>
          <cell r="AC863" t="e">
            <v>#N/A</v>
          </cell>
          <cell r="AF863" t="e">
            <v>#N/A</v>
          </cell>
        </row>
        <row r="864">
          <cell r="V864" t="e">
            <v>#N/A</v>
          </cell>
          <cell r="W864" t="e">
            <v>#N/A</v>
          </cell>
          <cell r="AA864" t="e">
            <v>#N/A</v>
          </cell>
          <cell r="AB864" t="e">
            <v>#N/A</v>
          </cell>
          <cell r="AC864" t="e">
            <v>#N/A</v>
          </cell>
          <cell r="AF864" t="e">
            <v>#N/A</v>
          </cell>
        </row>
        <row r="865">
          <cell r="V865" t="e">
            <v>#N/A</v>
          </cell>
          <cell r="W865" t="e">
            <v>#N/A</v>
          </cell>
          <cell r="AA865" t="e">
            <v>#N/A</v>
          </cell>
          <cell r="AB865" t="e">
            <v>#N/A</v>
          </cell>
          <cell r="AC865" t="e">
            <v>#N/A</v>
          </cell>
          <cell r="AF865" t="e">
            <v>#N/A</v>
          </cell>
        </row>
        <row r="866">
          <cell r="V866" t="e">
            <v>#N/A</v>
          </cell>
          <cell r="W866" t="e">
            <v>#N/A</v>
          </cell>
          <cell r="AA866" t="e">
            <v>#N/A</v>
          </cell>
          <cell r="AB866" t="e">
            <v>#N/A</v>
          </cell>
          <cell r="AC866" t="e">
            <v>#N/A</v>
          </cell>
          <cell r="AF866" t="e">
            <v>#N/A</v>
          </cell>
        </row>
        <row r="867">
          <cell r="V867" t="e">
            <v>#N/A</v>
          </cell>
          <cell r="W867" t="e">
            <v>#N/A</v>
          </cell>
          <cell r="AA867" t="e">
            <v>#N/A</v>
          </cell>
          <cell r="AB867" t="e">
            <v>#N/A</v>
          </cell>
          <cell r="AC867" t="e">
            <v>#N/A</v>
          </cell>
          <cell r="AF867" t="e">
            <v>#N/A</v>
          </cell>
        </row>
        <row r="868">
          <cell r="V868" t="e">
            <v>#N/A</v>
          </cell>
          <cell r="W868" t="e">
            <v>#N/A</v>
          </cell>
          <cell r="AA868" t="e">
            <v>#N/A</v>
          </cell>
          <cell r="AB868" t="e">
            <v>#N/A</v>
          </cell>
          <cell r="AC868" t="e">
            <v>#N/A</v>
          </cell>
          <cell r="AF868" t="e">
            <v>#N/A</v>
          </cell>
        </row>
        <row r="869">
          <cell r="V869" t="e">
            <v>#N/A</v>
          </cell>
          <cell r="W869" t="e">
            <v>#N/A</v>
          </cell>
          <cell r="AA869" t="e">
            <v>#N/A</v>
          </cell>
          <cell r="AB869" t="e">
            <v>#N/A</v>
          </cell>
          <cell r="AC869" t="e">
            <v>#N/A</v>
          </cell>
          <cell r="AF869" t="e">
            <v>#N/A</v>
          </cell>
        </row>
        <row r="870">
          <cell r="V870" t="e">
            <v>#N/A</v>
          </cell>
          <cell r="W870" t="e">
            <v>#N/A</v>
          </cell>
          <cell r="AA870" t="e">
            <v>#N/A</v>
          </cell>
          <cell r="AB870" t="e">
            <v>#N/A</v>
          </cell>
          <cell r="AC870" t="e">
            <v>#N/A</v>
          </cell>
          <cell r="AF870" t="e">
            <v>#N/A</v>
          </cell>
        </row>
        <row r="871">
          <cell r="V871" t="e">
            <v>#N/A</v>
          </cell>
          <cell r="W871" t="e">
            <v>#N/A</v>
          </cell>
          <cell r="AA871" t="e">
            <v>#N/A</v>
          </cell>
          <cell r="AB871" t="e">
            <v>#N/A</v>
          </cell>
          <cell r="AC871" t="e">
            <v>#N/A</v>
          </cell>
          <cell r="AF871" t="e">
            <v>#N/A</v>
          </cell>
        </row>
        <row r="872">
          <cell r="V872" t="e">
            <v>#N/A</v>
          </cell>
          <cell r="W872" t="e">
            <v>#N/A</v>
          </cell>
          <cell r="AA872" t="e">
            <v>#N/A</v>
          </cell>
          <cell r="AB872" t="e">
            <v>#N/A</v>
          </cell>
          <cell r="AC872" t="e">
            <v>#N/A</v>
          </cell>
          <cell r="AF872" t="e">
            <v>#N/A</v>
          </cell>
        </row>
        <row r="873">
          <cell r="V873" t="e">
            <v>#N/A</v>
          </cell>
          <cell r="W873" t="e">
            <v>#N/A</v>
          </cell>
          <cell r="AA873" t="e">
            <v>#N/A</v>
          </cell>
          <cell r="AB873" t="e">
            <v>#N/A</v>
          </cell>
          <cell r="AC873" t="e">
            <v>#N/A</v>
          </cell>
          <cell r="AF873" t="e">
            <v>#N/A</v>
          </cell>
        </row>
        <row r="874">
          <cell r="V874" t="e">
            <v>#N/A</v>
          </cell>
          <cell r="W874" t="e">
            <v>#N/A</v>
          </cell>
          <cell r="AA874" t="e">
            <v>#N/A</v>
          </cell>
          <cell r="AB874" t="e">
            <v>#N/A</v>
          </cell>
          <cell r="AC874" t="e">
            <v>#N/A</v>
          </cell>
          <cell r="AF874" t="e">
            <v>#N/A</v>
          </cell>
        </row>
        <row r="875">
          <cell r="V875" t="e">
            <v>#N/A</v>
          </cell>
          <cell r="W875" t="e">
            <v>#N/A</v>
          </cell>
          <cell r="AA875" t="e">
            <v>#N/A</v>
          </cell>
          <cell r="AB875" t="e">
            <v>#N/A</v>
          </cell>
          <cell r="AC875" t="e">
            <v>#N/A</v>
          </cell>
          <cell r="AF875" t="e">
            <v>#N/A</v>
          </cell>
        </row>
        <row r="876">
          <cell r="V876" t="e">
            <v>#N/A</v>
          </cell>
          <cell r="W876" t="e">
            <v>#N/A</v>
          </cell>
          <cell r="AA876" t="e">
            <v>#N/A</v>
          </cell>
          <cell r="AB876" t="e">
            <v>#N/A</v>
          </cell>
          <cell r="AC876" t="e">
            <v>#N/A</v>
          </cell>
          <cell r="AF876" t="e">
            <v>#N/A</v>
          </cell>
        </row>
        <row r="877">
          <cell r="V877" t="e">
            <v>#N/A</v>
          </cell>
          <cell r="W877" t="e">
            <v>#N/A</v>
          </cell>
          <cell r="AA877" t="e">
            <v>#N/A</v>
          </cell>
          <cell r="AB877" t="e">
            <v>#N/A</v>
          </cell>
          <cell r="AC877" t="e">
            <v>#N/A</v>
          </cell>
          <cell r="AF877" t="e">
            <v>#N/A</v>
          </cell>
        </row>
        <row r="878">
          <cell r="V878" t="e">
            <v>#N/A</v>
          </cell>
          <cell r="W878" t="e">
            <v>#N/A</v>
          </cell>
          <cell r="AA878" t="e">
            <v>#N/A</v>
          </cell>
          <cell r="AB878" t="e">
            <v>#N/A</v>
          </cell>
          <cell r="AC878" t="e">
            <v>#N/A</v>
          </cell>
          <cell r="AF878" t="e">
            <v>#N/A</v>
          </cell>
        </row>
        <row r="879">
          <cell r="V879" t="e">
            <v>#N/A</v>
          </cell>
          <cell r="W879" t="e">
            <v>#N/A</v>
          </cell>
          <cell r="AA879" t="e">
            <v>#N/A</v>
          </cell>
          <cell r="AB879" t="e">
            <v>#N/A</v>
          </cell>
          <cell r="AC879" t="e">
            <v>#N/A</v>
          </cell>
          <cell r="AF879" t="e">
            <v>#N/A</v>
          </cell>
        </row>
        <row r="880">
          <cell r="V880" t="e">
            <v>#N/A</v>
          </cell>
          <cell r="W880" t="e">
            <v>#N/A</v>
          </cell>
          <cell r="AA880" t="e">
            <v>#N/A</v>
          </cell>
          <cell r="AB880" t="e">
            <v>#N/A</v>
          </cell>
          <cell r="AC880" t="e">
            <v>#N/A</v>
          </cell>
          <cell r="AF880" t="e">
            <v>#N/A</v>
          </cell>
        </row>
        <row r="881">
          <cell r="V881" t="e">
            <v>#N/A</v>
          </cell>
          <cell r="W881" t="e">
            <v>#N/A</v>
          </cell>
          <cell r="AA881" t="e">
            <v>#N/A</v>
          </cell>
          <cell r="AB881" t="e">
            <v>#N/A</v>
          </cell>
          <cell r="AC881" t="e">
            <v>#N/A</v>
          </cell>
          <cell r="AF881" t="e">
            <v>#N/A</v>
          </cell>
        </row>
        <row r="882">
          <cell r="V882" t="e">
            <v>#N/A</v>
          </cell>
          <cell r="W882" t="e">
            <v>#N/A</v>
          </cell>
          <cell r="AA882" t="e">
            <v>#N/A</v>
          </cell>
          <cell r="AB882" t="e">
            <v>#N/A</v>
          </cell>
          <cell r="AC882" t="e">
            <v>#N/A</v>
          </cell>
          <cell r="AF882" t="e">
            <v>#N/A</v>
          </cell>
        </row>
        <row r="883">
          <cell r="V883" t="e">
            <v>#N/A</v>
          </cell>
          <cell r="W883" t="e">
            <v>#N/A</v>
          </cell>
          <cell r="AA883" t="e">
            <v>#N/A</v>
          </cell>
          <cell r="AB883" t="e">
            <v>#N/A</v>
          </cell>
          <cell r="AC883" t="e">
            <v>#N/A</v>
          </cell>
          <cell r="AF883" t="e">
            <v>#N/A</v>
          </cell>
        </row>
        <row r="884">
          <cell r="V884" t="e">
            <v>#N/A</v>
          </cell>
          <cell r="W884" t="e">
            <v>#N/A</v>
          </cell>
          <cell r="AA884" t="e">
            <v>#N/A</v>
          </cell>
          <cell r="AB884" t="e">
            <v>#N/A</v>
          </cell>
          <cell r="AC884" t="e">
            <v>#N/A</v>
          </cell>
          <cell r="AF884" t="e">
            <v>#N/A</v>
          </cell>
        </row>
        <row r="885">
          <cell r="V885" t="e">
            <v>#N/A</v>
          </cell>
          <cell r="W885" t="e">
            <v>#N/A</v>
          </cell>
          <cell r="AA885" t="e">
            <v>#N/A</v>
          </cell>
          <cell r="AB885" t="e">
            <v>#N/A</v>
          </cell>
          <cell r="AC885" t="e">
            <v>#N/A</v>
          </cell>
          <cell r="AF885" t="e">
            <v>#N/A</v>
          </cell>
        </row>
        <row r="886">
          <cell r="V886" t="e">
            <v>#N/A</v>
          </cell>
          <cell r="W886" t="e">
            <v>#N/A</v>
          </cell>
          <cell r="AA886" t="e">
            <v>#N/A</v>
          </cell>
          <cell r="AB886" t="e">
            <v>#N/A</v>
          </cell>
          <cell r="AC886" t="e">
            <v>#N/A</v>
          </cell>
          <cell r="AF886" t="e">
            <v>#N/A</v>
          </cell>
        </row>
        <row r="887">
          <cell r="V887" t="e">
            <v>#N/A</v>
          </cell>
          <cell r="W887" t="e">
            <v>#N/A</v>
          </cell>
          <cell r="AA887" t="e">
            <v>#N/A</v>
          </cell>
          <cell r="AB887" t="e">
            <v>#N/A</v>
          </cell>
          <cell r="AC887" t="e">
            <v>#N/A</v>
          </cell>
          <cell r="AF887" t="e">
            <v>#N/A</v>
          </cell>
        </row>
        <row r="888">
          <cell r="V888" t="e">
            <v>#N/A</v>
          </cell>
          <cell r="W888" t="e">
            <v>#N/A</v>
          </cell>
          <cell r="AA888" t="e">
            <v>#N/A</v>
          </cell>
          <cell r="AB888" t="e">
            <v>#N/A</v>
          </cell>
          <cell r="AC888" t="e">
            <v>#N/A</v>
          </cell>
          <cell r="AF888" t="e">
            <v>#N/A</v>
          </cell>
        </row>
        <row r="889">
          <cell r="V889" t="e">
            <v>#N/A</v>
          </cell>
          <cell r="W889" t="e">
            <v>#N/A</v>
          </cell>
          <cell r="AA889" t="e">
            <v>#N/A</v>
          </cell>
          <cell r="AB889" t="e">
            <v>#N/A</v>
          </cell>
          <cell r="AC889" t="e">
            <v>#N/A</v>
          </cell>
          <cell r="AF889" t="e">
            <v>#N/A</v>
          </cell>
        </row>
        <row r="890">
          <cell r="V890" t="e">
            <v>#N/A</v>
          </cell>
          <cell r="W890" t="e">
            <v>#N/A</v>
          </cell>
          <cell r="AA890" t="e">
            <v>#N/A</v>
          </cell>
          <cell r="AB890" t="e">
            <v>#N/A</v>
          </cell>
          <cell r="AC890" t="e">
            <v>#N/A</v>
          </cell>
          <cell r="AF890" t="e">
            <v>#N/A</v>
          </cell>
        </row>
        <row r="891">
          <cell r="V891" t="e">
            <v>#N/A</v>
          </cell>
          <cell r="W891" t="e">
            <v>#N/A</v>
          </cell>
          <cell r="AA891" t="e">
            <v>#N/A</v>
          </cell>
          <cell r="AB891" t="e">
            <v>#N/A</v>
          </cell>
          <cell r="AC891" t="e">
            <v>#N/A</v>
          </cell>
          <cell r="AF891" t="e">
            <v>#N/A</v>
          </cell>
        </row>
        <row r="892">
          <cell r="V892" t="e">
            <v>#N/A</v>
          </cell>
          <cell r="W892" t="e">
            <v>#N/A</v>
          </cell>
          <cell r="AA892" t="e">
            <v>#N/A</v>
          </cell>
          <cell r="AB892" t="e">
            <v>#N/A</v>
          </cell>
          <cell r="AC892" t="e">
            <v>#N/A</v>
          </cell>
          <cell r="AF892" t="e">
            <v>#N/A</v>
          </cell>
        </row>
        <row r="893">
          <cell r="V893" t="e">
            <v>#N/A</v>
          </cell>
          <cell r="W893" t="e">
            <v>#N/A</v>
          </cell>
          <cell r="AA893" t="e">
            <v>#N/A</v>
          </cell>
          <cell r="AB893" t="e">
            <v>#N/A</v>
          </cell>
          <cell r="AC893" t="e">
            <v>#N/A</v>
          </cell>
          <cell r="AF893" t="e">
            <v>#N/A</v>
          </cell>
        </row>
        <row r="894">
          <cell r="V894" t="e">
            <v>#N/A</v>
          </cell>
          <cell r="W894" t="e">
            <v>#N/A</v>
          </cell>
          <cell r="AA894" t="e">
            <v>#N/A</v>
          </cell>
          <cell r="AB894" t="e">
            <v>#N/A</v>
          </cell>
          <cell r="AC894" t="e">
            <v>#N/A</v>
          </cell>
          <cell r="AF894" t="e">
            <v>#N/A</v>
          </cell>
        </row>
        <row r="895">
          <cell r="V895" t="e">
            <v>#N/A</v>
          </cell>
          <cell r="W895" t="e">
            <v>#N/A</v>
          </cell>
          <cell r="AA895" t="e">
            <v>#N/A</v>
          </cell>
          <cell r="AB895" t="e">
            <v>#N/A</v>
          </cell>
          <cell r="AC895" t="e">
            <v>#N/A</v>
          </cell>
          <cell r="AF895" t="e">
            <v>#N/A</v>
          </cell>
        </row>
        <row r="896">
          <cell r="V896" t="e">
            <v>#N/A</v>
          </cell>
          <cell r="W896" t="e">
            <v>#N/A</v>
          </cell>
          <cell r="AA896" t="e">
            <v>#N/A</v>
          </cell>
          <cell r="AB896" t="e">
            <v>#N/A</v>
          </cell>
          <cell r="AC896" t="e">
            <v>#N/A</v>
          </cell>
          <cell r="AF896" t="e">
            <v>#N/A</v>
          </cell>
        </row>
        <row r="897">
          <cell r="V897" t="e">
            <v>#N/A</v>
          </cell>
          <cell r="W897" t="e">
            <v>#N/A</v>
          </cell>
          <cell r="AA897" t="e">
            <v>#N/A</v>
          </cell>
          <cell r="AB897" t="e">
            <v>#N/A</v>
          </cell>
          <cell r="AC897" t="e">
            <v>#N/A</v>
          </cell>
          <cell r="AF897" t="e">
            <v>#N/A</v>
          </cell>
        </row>
        <row r="898">
          <cell r="V898" t="e">
            <v>#N/A</v>
          </cell>
          <cell r="W898" t="e">
            <v>#N/A</v>
          </cell>
          <cell r="AA898" t="e">
            <v>#N/A</v>
          </cell>
          <cell r="AB898" t="e">
            <v>#N/A</v>
          </cell>
          <cell r="AC898" t="e">
            <v>#N/A</v>
          </cell>
          <cell r="AF898" t="e">
            <v>#N/A</v>
          </cell>
        </row>
        <row r="899">
          <cell r="V899" t="e">
            <v>#N/A</v>
          </cell>
          <cell r="W899" t="e">
            <v>#N/A</v>
          </cell>
          <cell r="AA899" t="e">
            <v>#N/A</v>
          </cell>
          <cell r="AB899" t="e">
            <v>#N/A</v>
          </cell>
          <cell r="AC899" t="e">
            <v>#N/A</v>
          </cell>
          <cell r="AF899" t="e">
            <v>#N/A</v>
          </cell>
        </row>
        <row r="900">
          <cell r="V900" t="e">
            <v>#N/A</v>
          </cell>
          <cell r="W900" t="e">
            <v>#N/A</v>
          </cell>
          <cell r="AA900" t="e">
            <v>#N/A</v>
          </cell>
          <cell r="AB900" t="e">
            <v>#N/A</v>
          </cell>
          <cell r="AC900" t="e">
            <v>#N/A</v>
          </cell>
          <cell r="AF900" t="e">
            <v>#N/A</v>
          </cell>
        </row>
        <row r="901">
          <cell r="V901" t="e">
            <v>#N/A</v>
          </cell>
          <cell r="W901" t="e">
            <v>#N/A</v>
          </cell>
          <cell r="AA901" t="e">
            <v>#N/A</v>
          </cell>
          <cell r="AB901" t="e">
            <v>#N/A</v>
          </cell>
          <cell r="AC901" t="e">
            <v>#N/A</v>
          </cell>
          <cell r="AF901" t="e">
            <v>#N/A</v>
          </cell>
        </row>
        <row r="902">
          <cell r="V902" t="e">
            <v>#N/A</v>
          </cell>
          <cell r="W902" t="e">
            <v>#N/A</v>
          </cell>
          <cell r="AA902" t="e">
            <v>#N/A</v>
          </cell>
          <cell r="AB902" t="e">
            <v>#N/A</v>
          </cell>
          <cell r="AC902" t="e">
            <v>#N/A</v>
          </cell>
          <cell r="AF902" t="e">
            <v>#N/A</v>
          </cell>
        </row>
        <row r="903">
          <cell r="V903" t="e">
            <v>#N/A</v>
          </cell>
          <cell r="W903" t="e">
            <v>#N/A</v>
          </cell>
          <cell r="AA903" t="e">
            <v>#N/A</v>
          </cell>
          <cell r="AB903" t="e">
            <v>#N/A</v>
          </cell>
          <cell r="AC903" t="e">
            <v>#N/A</v>
          </cell>
          <cell r="AF903" t="e">
            <v>#N/A</v>
          </cell>
        </row>
        <row r="904">
          <cell r="V904" t="e">
            <v>#N/A</v>
          </cell>
          <cell r="W904" t="e">
            <v>#N/A</v>
          </cell>
          <cell r="AA904" t="e">
            <v>#N/A</v>
          </cell>
          <cell r="AB904" t="e">
            <v>#N/A</v>
          </cell>
          <cell r="AC904" t="e">
            <v>#N/A</v>
          </cell>
          <cell r="AF904" t="e">
            <v>#N/A</v>
          </cell>
        </row>
        <row r="905">
          <cell r="V905" t="e">
            <v>#N/A</v>
          </cell>
          <cell r="W905" t="e">
            <v>#N/A</v>
          </cell>
          <cell r="AA905" t="e">
            <v>#N/A</v>
          </cell>
          <cell r="AB905" t="e">
            <v>#N/A</v>
          </cell>
          <cell r="AC905" t="e">
            <v>#N/A</v>
          </cell>
          <cell r="AF905" t="e">
            <v>#N/A</v>
          </cell>
        </row>
        <row r="906">
          <cell r="V906" t="e">
            <v>#N/A</v>
          </cell>
          <cell r="W906" t="e">
            <v>#N/A</v>
          </cell>
          <cell r="AA906" t="e">
            <v>#N/A</v>
          </cell>
          <cell r="AB906" t="e">
            <v>#N/A</v>
          </cell>
          <cell r="AC906" t="e">
            <v>#N/A</v>
          </cell>
          <cell r="AF906" t="e">
            <v>#N/A</v>
          </cell>
        </row>
        <row r="907">
          <cell r="V907" t="e">
            <v>#N/A</v>
          </cell>
          <cell r="W907" t="e">
            <v>#N/A</v>
          </cell>
          <cell r="AA907" t="e">
            <v>#N/A</v>
          </cell>
          <cell r="AB907" t="e">
            <v>#N/A</v>
          </cell>
          <cell r="AC907" t="e">
            <v>#N/A</v>
          </cell>
          <cell r="AF907" t="e">
            <v>#N/A</v>
          </cell>
        </row>
        <row r="908">
          <cell r="V908" t="e">
            <v>#N/A</v>
          </cell>
          <cell r="W908" t="e">
            <v>#N/A</v>
          </cell>
          <cell r="AA908" t="e">
            <v>#N/A</v>
          </cell>
          <cell r="AB908" t="e">
            <v>#N/A</v>
          </cell>
          <cell r="AC908" t="e">
            <v>#N/A</v>
          </cell>
          <cell r="AF908" t="e">
            <v>#N/A</v>
          </cell>
        </row>
        <row r="909">
          <cell r="V909" t="e">
            <v>#N/A</v>
          </cell>
          <cell r="W909" t="e">
            <v>#N/A</v>
          </cell>
          <cell r="AA909" t="e">
            <v>#N/A</v>
          </cell>
          <cell r="AB909" t="e">
            <v>#N/A</v>
          </cell>
          <cell r="AC909" t="e">
            <v>#N/A</v>
          </cell>
          <cell r="AF909" t="e">
            <v>#N/A</v>
          </cell>
        </row>
        <row r="910">
          <cell r="V910" t="e">
            <v>#N/A</v>
          </cell>
          <cell r="W910" t="e">
            <v>#N/A</v>
          </cell>
          <cell r="AA910" t="e">
            <v>#N/A</v>
          </cell>
          <cell r="AB910" t="e">
            <v>#N/A</v>
          </cell>
          <cell r="AC910" t="e">
            <v>#N/A</v>
          </cell>
          <cell r="AF910" t="e">
            <v>#N/A</v>
          </cell>
        </row>
        <row r="911">
          <cell r="V911" t="e">
            <v>#N/A</v>
          </cell>
          <cell r="W911" t="e">
            <v>#N/A</v>
          </cell>
          <cell r="AA911" t="e">
            <v>#N/A</v>
          </cell>
          <cell r="AB911" t="e">
            <v>#N/A</v>
          </cell>
          <cell r="AC911" t="e">
            <v>#N/A</v>
          </cell>
          <cell r="AF911" t="e">
            <v>#N/A</v>
          </cell>
        </row>
        <row r="912">
          <cell r="V912" t="e">
            <v>#N/A</v>
          </cell>
          <cell r="W912" t="e">
            <v>#N/A</v>
          </cell>
          <cell r="AA912" t="e">
            <v>#N/A</v>
          </cell>
          <cell r="AB912" t="e">
            <v>#N/A</v>
          </cell>
          <cell r="AC912" t="e">
            <v>#N/A</v>
          </cell>
          <cell r="AF912" t="e">
            <v>#N/A</v>
          </cell>
        </row>
        <row r="913">
          <cell r="V913" t="e">
            <v>#N/A</v>
          </cell>
          <cell r="W913" t="e">
            <v>#N/A</v>
          </cell>
          <cell r="AA913" t="e">
            <v>#N/A</v>
          </cell>
          <cell r="AB913" t="e">
            <v>#N/A</v>
          </cell>
          <cell r="AC913" t="e">
            <v>#N/A</v>
          </cell>
          <cell r="AF913" t="e">
            <v>#N/A</v>
          </cell>
        </row>
        <row r="914">
          <cell r="V914" t="e">
            <v>#N/A</v>
          </cell>
          <cell r="W914" t="e">
            <v>#N/A</v>
          </cell>
          <cell r="AA914" t="e">
            <v>#N/A</v>
          </cell>
          <cell r="AB914" t="e">
            <v>#N/A</v>
          </cell>
          <cell r="AC914" t="e">
            <v>#N/A</v>
          </cell>
          <cell r="AF914" t="e">
            <v>#N/A</v>
          </cell>
        </row>
        <row r="915">
          <cell r="V915" t="e">
            <v>#N/A</v>
          </cell>
          <cell r="W915" t="e">
            <v>#N/A</v>
          </cell>
          <cell r="AA915" t="e">
            <v>#N/A</v>
          </cell>
          <cell r="AB915" t="e">
            <v>#N/A</v>
          </cell>
          <cell r="AC915" t="e">
            <v>#N/A</v>
          </cell>
          <cell r="AF915" t="e">
            <v>#N/A</v>
          </cell>
        </row>
        <row r="916">
          <cell r="V916" t="e">
            <v>#N/A</v>
          </cell>
          <cell r="W916" t="e">
            <v>#N/A</v>
          </cell>
          <cell r="AA916" t="e">
            <v>#N/A</v>
          </cell>
          <cell r="AB916" t="e">
            <v>#N/A</v>
          </cell>
          <cell r="AC916" t="e">
            <v>#N/A</v>
          </cell>
          <cell r="AF916" t="e">
            <v>#N/A</v>
          </cell>
        </row>
        <row r="917">
          <cell r="V917" t="e">
            <v>#N/A</v>
          </cell>
          <cell r="W917" t="e">
            <v>#N/A</v>
          </cell>
          <cell r="AA917" t="e">
            <v>#N/A</v>
          </cell>
          <cell r="AB917" t="e">
            <v>#N/A</v>
          </cell>
          <cell r="AC917" t="e">
            <v>#N/A</v>
          </cell>
          <cell r="AF917" t="e">
            <v>#N/A</v>
          </cell>
        </row>
        <row r="918">
          <cell r="V918" t="e">
            <v>#N/A</v>
          </cell>
          <cell r="W918" t="e">
            <v>#N/A</v>
          </cell>
          <cell r="AA918" t="e">
            <v>#N/A</v>
          </cell>
          <cell r="AB918" t="e">
            <v>#N/A</v>
          </cell>
          <cell r="AC918" t="e">
            <v>#N/A</v>
          </cell>
          <cell r="AF918" t="e">
            <v>#N/A</v>
          </cell>
        </row>
        <row r="919">
          <cell r="V919" t="e">
            <v>#N/A</v>
          </cell>
          <cell r="W919" t="e">
            <v>#N/A</v>
          </cell>
          <cell r="AA919" t="e">
            <v>#N/A</v>
          </cell>
          <cell r="AB919" t="e">
            <v>#N/A</v>
          </cell>
          <cell r="AC919" t="e">
            <v>#N/A</v>
          </cell>
          <cell r="AF919" t="e">
            <v>#N/A</v>
          </cell>
        </row>
        <row r="920">
          <cell r="V920" t="e">
            <v>#N/A</v>
          </cell>
          <cell r="W920" t="e">
            <v>#N/A</v>
          </cell>
          <cell r="AA920" t="e">
            <v>#N/A</v>
          </cell>
          <cell r="AB920" t="e">
            <v>#N/A</v>
          </cell>
          <cell r="AC920" t="e">
            <v>#N/A</v>
          </cell>
          <cell r="AF920" t="e">
            <v>#N/A</v>
          </cell>
        </row>
        <row r="921">
          <cell r="V921" t="e">
            <v>#N/A</v>
          </cell>
          <cell r="W921" t="e">
            <v>#N/A</v>
          </cell>
          <cell r="AA921" t="e">
            <v>#N/A</v>
          </cell>
          <cell r="AB921" t="e">
            <v>#N/A</v>
          </cell>
          <cell r="AC921" t="e">
            <v>#N/A</v>
          </cell>
          <cell r="AF921" t="e">
            <v>#N/A</v>
          </cell>
        </row>
        <row r="922">
          <cell r="V922" t="e">
            <v>#N/A</v>
          </cell>
          <cell r="W922" t="e">
            <v>#N/A</v>
          </cell>
          <cell r="AA922" t="e">
            <v>#N/A</v>
          </cell>
          <cell r="AB922" t="e">
            <v>#N/A</v>
          </cell>
          <cell r="AC922" t="e">
            <v>#N/A</v>
          </cell>
          <cell r="AF922" t="e">
            <v>#N/A</v>
          </cell>
        </row>
        <row r="923">
          <cell r="V923" t="e">
            <v>#N/A</v>
          </cell>
          <cell r="W923" t="e">
            <v>#N/A</v>
          </cell>
          <cell r="AA923" t="e">
            <v>#N/A</v>
          </cell>
          <cell r="AB923" t="e">
            <v>#N/A</v>
          </cell>
          <cell r="AC923" t="e">
            <v>#N/A</v>
          </cell>
          <cell r="AF923" t="e">
            <v>#N/A</v>
          </cell>
        </row>
        <row r="924">
          <cell r="V924" t="e">
            <v>#N/A</v>
          </cell>
          <cell r="W924" t="e">
            <v>#N/A</v>
          </cell>
          <cell r="AA924" t="e">
            <v>#N/A</v>
          </cell>
          <cell r="AB924" t="e">
            <v>#N/A</v>
          </cell>
          <cell r="AC924" t="e">
            <v>#N/A</v>
          </cell>
          <cell r="AF924" t="e">
            <v>#N/A</v>
          </cell>
        </row>
        <row r="925">
          <cell r="V925" t="e">
            <v>#N/A</v>
          </cell>
          <cell r="W925" t="e">
            <v>#N/A</v>
          </cell>
          <cell r="AA925" t="e">
            <v>#N/A</v>
          </cell>
          <cell r="AB925" t="e">
            <v>#N/A</v>
          </cell>
          <cell r="AC925" t="e">
            <v>#N/A</v>
          </cell>
          <cell r="AF925" t="e">
            <v>#N/A</v>
          </cell>
        </row>
        <row r="926">
          <cell r="V926" t="e">
            <v>#N/A</v>
          </cell>
          <cell r="W926" t="e">
            <v>#N/A</v>
          </cell>
          <cell r="AA926" t="e">
            <v>#N/A</v>
          </cell>
          <cell r="AB926" t="e">
            <v>#N/A</v>
          </cell>
          <cell r="AC926" t="e">
            <v>#N/A</v>
          </cell>
          <cell r="AF926" t="e">
            <v>#N/A</v>
          </cell>
        </row>
        <row r="927">
          <cell r="V927" t="e">
            <v>#N/A</v>
          </cell>
          <cell r="W927" t="e">
            <v>#N/A</v>
          </cell>
          <cell r="AA927" t="e">
            <v>#N/A</v>
          </cell>
          <cell r="AB927" t="e">
            <v>#N/A</v>
          </cell>
          <cell r="AC927" t="e">
            <v>#N/A</v>
          </cell>
          <cell r="AF927" t="e">
            <v>#N/A</v>
          </cell>
        </row>
        <row r="928">
          <cell r="V928" t="e">
            <v>#N/A</v>
          </cell>
          <cell r="W928" t="e">
            <v>#N/A</v>
          </cell>
          <cell r="AA928" t="e">
            <v>#N/A</v>
          </cell>
          <cell r="AB928" t="e">
            <v>#N/A</v>
          </cell>
          <cell r="AC928" t="e">
            <v>#N/A</v>
          </cell>
          <cell r="AF928" t="e">
            <v>#N/A</v>
          </cell>
        </row>
        <row r="929">
          <cell r="V929" t="e">
            <v>#N/A</v>
          </cell>
          <cell r="W929" t="e">
            <v>#N/A</v>
          </cell>
          <cell r="AA929" t="e">
            <v>#N/A</v>
          </cell>
          <cell r="AB929" t="e">
            <v>#N/A</v>
          </cell>
          <cell r="AC929" t="e">
            <v>#N/A</v>
          </cell>
          <cell r="AF929" t="e">
            <v>#N/A</v>
          </cell>
        </row>
        <row r="930">
          <cell r="V930" t="e">
            <v>#N/A</v>
          </cell>
          <cell r="W930" t="e">
            <v>#N/A</v>
          </cell>
          <cell r="AA930" t="e">
            <v>#N/A</v>
          </cell>
          <cell r="AB930" t="e">
            <v>#N/A</v>
          </cell>
          <cell r="AC930" t="e">
            <v>#N/A</v>
          </cell>
          <cell r="AF930" t="e">
            <v>#N/A</v>
          </cell>
        </row>
        <row r="931">
          <cell r="V931" t="e">
            <v>#N/A</v>
          </cell>
          <cell r="W931" t="e">
            <v>#N/A</v>
          </cell>
          <cell r="AA931" t="e">
            <v>#N/A</v>
          </cell>
          <cell r="AB931" t="e">
            <v>#N/A</v>
          </cell>
          <cell r="AC931" t="e">
            <v>#N/A</v>
          </cell>
          <cell r="AF931" t="e">
            <v>#N/A</v>
          </cell>
        </row>
        <row r="932">
          <cell r="V932" t="e">
            <v>#N/A</v>
          </cell>
          <cell r="W932" t="e">
            <v>#N/A</v>
          </cell>
          <cell r="AA932" t="e">
            <v>#N/A</v>
          </cell>
          <cell r="AB932" t="e">
            <v>#N/A</v>
          </cell>
          <cell r="AC932" t="e">
            <v>#N/A</v>
          </cell>
          <cell r="AF932" t="e">
            <v>#N/A</v>
          </cell>
        </row>
        <row r="933">
          <cell r="V933" t="e">
            <v>#N/A</v>
          </cell>
          <cell r="W933" t="e">
            <v>#N/A</v>
          </cell>
          <cell r="AA933" t="e">
            <v>#N/A</v>
          </cell>
          <cell r="AB933" t="e">
            <v>#N/A</v>
          </cell>
          <cell r="AC933" t="e">
            <v>#N/A</v>
          </cell>
          <cell r="AF933" t="e">
            <v>#N/A</v>
          </cell>
        </row>
        <row r="934">
          <cell r="V934" t="e">
            <v>#N/A</v>
          </cell>
          <cell r="W934" t="e">
            <v>#N/A</v>
          </cell>
          <cell r="AA934" t="e">
            <v>#N/A</v>
          </cell>
          <cell r="AB934" t="e">
            <v>#N/A</v>
          </cell>
          <cell r="AC934" t="e">
            <v>#N/A</v>
          </cell>
          <cell r="AF934" t="e">
            <v>#N/A</v>
          </cell>
        </row>
        <row r="935">
          <cell r="V935" t="e">
            <v>#N/A</v>
          </cell>
          <cell r="W935" t="e">
            <v>#N/A</v>
          </cell>
          <cell r="AA935" t="e">
            <v>#N/A</v>
          </cell>
          <cell r="AB935" t="e">
            <v>#N/A</v>
          </cell>
          <cell r="AC935" t="e">
            <v>#N/A</v>
          </cell>
          <cell r="AF935" t="e">
            <v>#N/A</v>
          </cell>
        </row>
        <row r="936">
          <cell r="V936" t="e">
            <v>#N/A</v>
          </cell>
          <cell r="W936" t="e">
            <v>#N/A</v>
          </cell>
          <cell r="AA936" t="e">
            <v>#N/A</v>
          </cell>
          <cell r="AB936" t="e">
            <v>#N/A</v>
          </cell>
          <cell r="AC936" t="e">
            <v>#N/A</v>
          </cell>
          <cell r="AF936" t="e">
            <v>#N/A</v>
          </cell>
        </row>
        <row r="937">
          <cell r="V937" t="e">
            <v>#N/A</v>
          </cell>
          <cell r="W937" t="e">
            <v>#N/A</v>
          </cell>
          <cell r="AA937" t="e">
            <v>#N/A</v>
          </cell>
          <cell r="AB937" t="e">
            <v>#N/A</v>
          </cell>
          <cell r="AC937" t="e">
            <v>#N/A</v>
          </cell>
          <cell r="AF937" t="e">
            <v>#N/A</v>
          </cell>
        </row>
        <row r="938">
          <cell r="V938" t="e">
            <v>#N/A</v>
          </cell>
          <cell r="W938" t="e">
            <v>#N/A</v>
          </cell>
          <cell r="AA938" t="e">
            <v>#N/A</v>
          </cell>
          <cell r="AB938" t="e">
            <v>#N/A</v>
          </cell>
          <cell r="AC938" t="e">
            <v>#N/A</v>
          </cell>
          <cell r="AF938" t="e">
            <v>#N/A</v>
          </cell>
        </row>
        <row r="939">
          <cell r="V939" t="e">
            <v>#N/A</v>
          </cell>
          <cell r="W939" t="e">
            <v>#N/A</v>
          </cell>
          <cell r="AA939" t="e">
            <v>#N/A</v>
          </cell>
          <cell r="AB939" t="e">
            <v>#N/A</v>
          </cell>
          <cell r="AC939" t="e">
            <v>#N/A</v>
          </cell>
          <cell r="AF939" t="e">
            <v>#N/A</v>
          </cell>
        </row>
        <row r="940">
          <cell r="V940" t="e">
            <v>#N/A</v>
          </cell>
          <cell r="W940" t="e">
            <v>#N/A</v>
          </cell>
          <cell r="AA940" t="e">
            <v>#N/A</v>
          </cell>
          <cell r="AB940" t="e">
            <v>#N/A</v>
          </cell>
          <cell r="AC940" t="e">
            <v>#N/A</v>
          </cell>
          <cell r="AF940" t="e">
            <v>#N/A</v>
          </cell>
        </row>
        <row r="941">
          <cell r="V941" t="e">
            <v>#N/A</v>
          </cell>
          <cell r="W941" t="e">
            <v>#N/A</v>
          </cell>
          <cell r="AA941" t="e">
            <v>#N/A</v>
          </cell>
          <cell r="AB941" t="e">
            <v>#N/A</v>
          </cell>
          <cell r="AC941" t="e">
            <v>#N/A</v>
          </cell>
          <cell r="AF941" t="e">
            <v>#N/A</v>
          </cell>
        </row>
        <row r="942">
          <cell r="V942" t="e">
            <v>#N/A</v>
          </cell>
          <cell r="W942" t="e">
            <v>#N/A</v>
          </cell>
          <cell r="AA942" t="e">
            <v>#N/A</v>
          </cell>
          <cell r="AB942" t="e">
            <v>#N/A</v>
          </cell>
          <cell r="AC942" t="e">
            <v>#N/A</v>
          </cell>
          <cell r="AF942" t="e">
            <v>#N/A</v>
          </cell>
        </row>
        <row r="943">
          <cell r="V943" t="e">
            <v>#N/A</v>
          </cell>
          <cell r="W943" t="e">
            <v>#N/A</v>
          </cell>
          <cell r="AA943" t="e">
            <v>#N/A</v>
          </cell>
          <cell r="AB943" t="e">
            <v>#N/A</v>
          </cell>
          <cell r="AC943" t="e">
            <v>#N/A</v>
          </cell>
          <cell r="AF943" t="e">
            <v>#N/A</v>
          </cell>
        </row>
        <row r="944">
          <cell r="V944" t="e">
            <v>#N/A</v>
          </cell>
          <cell r="W944" t="e">
            <v>#N/A</v>
          </cell>
          <cell r="AA944" t="e">
            <v>#N/A</v>
          </cell>
          <cell r="AB944" t="e">
            <v>#N/A</v>
          </cell>
          <cell r="AC944" t="e">
            <v>#N/A</v>
          </cell>
          <cell r="AF944" t="e">
            <v>#N/A</v>
          </cell>
        </row>
        <row r="945">
          <cell r="V945" t="e">
            <v>#N/A</v>
          </cell>
          <cell r="W945" t="e">
            <v>#N/A</v>
          </cell>
          <cell r="AA945" t="e">
            <v>#N/A</v>
          </cell>
          <cell r="AB945" t="e">
            <v>#N/A</v>
          </cell>
          <cell r="AC945" t="e">
            <v>#N/A</v>
          </cell>
          <cell r="AF945" t="e">
            <v>#N/A</v>
          </cell>
        </row>
        <row r="946">
          <cell r="V946" t="e">
            <v>#N/A</v>
          </cell>
          <cell r="W946" t="e">
            <v>#N/A</v>
          </cell>
          <cell r="AA946" t="e">
            <v>#N/A</v>
          </cell>
          <cell r="AB946" t="e">
            <v>#N/A</v>
          </cell>
          <cell r="AC946" t="e">
            <v>#N/A</v>
          </cell>
          <cell r="AF946" t="e">
            <v>#N/A</v>
          </cell>
        </row>
        <row r="947">
          <cell r="V947" t="e">
            <v>#N/A</v>
          </cell>
          <cell r="W947" t="e">
            <v>#N/A</v>
          </cell>
          <cell r="AA947" t="e">
            <v>#N/A</v>
          </cell>
          <cell r="AB947" t="e">
            <v>#N/A</v>
          </cell>
          <cell r="AC947" t="e">
            <v>#N/A</v>
          </cell>
          <cell r="AF947" t="e">
            <v>#N/A</v>
          </cell>
        </row>
        <row r="948">
          <cell r="V948" t="e">
            <v>#N/A</v>
          </cell>
          <cell r="W948" t="e">
            <v>#N/A</v>
          </cell>
          <cell r="AA948" t="e">
            <v>#N/A</v>
          </cell>
          <cell r="AB948" t="e">
            <v>#N/A</v>
          </cell>
          <cell r="AC948" t="e">
            <v>#N/A</v>
          </cell>
          <cell r="AF948" t="e">
            <v>#N/A</v>
          </cell>
        </row>
        <row r="949">
          <cell r="V949" t="e">
            <v>#N/A</v>
          </cell>
          <cell r="W949" t="e">
            <v>#N/A</v>
          </cell>
          <cell r="AA949" t="e">
            <v>#N/A</v>
          </cell>
          <cell r="AB949" t="e">
            <v>#N/A</v>
          </cell>
          <cell r="AC949" t="e">
            <v>#N/A</v>
          </cell>
          <cell r="AF949" t="e">
            <v>#N/A</v>
          </cell>
        </row>
        <row r="950">
          <cell r="V950" t="e">
            <v>#N/A</v>
          </cell>
          <cell r="W950" t="e">
            <v>#N/A</v>
          </cell>
          <cell r="AA950" t="e">
            <v>#N/A</v>
          </cell>
          <cell r="AB950" t="e">
            <v>#N/A</v>
          </cell>
          <cell r="AC950" t="e">
            <v>#N/A</v>
          </cell>
          <cell r="AF950" t="e">
            <v>#N/A</v>
          </cell>
        </row>
        <row r="951">
          <cell r="V951" t="e">
            <v>#N/A</v>
          </cell>
          <cell r="W951" t="e">
            <v>#N/A</v>
          </cell>
          <cell r="AA951" t="e">
            <v>#N/A</v>
          </cell>
          <cell r="AB951" t="e">
            <v>#N/A</v>
          </cell>
          <cell r="AC951" t="e">
            <v>#N/A</v>
          </cell>
          <cell r="AF951" t="e">
            <v>#N/A</v>
          </cell>
        </row>
        <row r="952">
          <cell r="V952" t="e">
            <v>#N/A</v>
          </cell>
          <cell r="W952" t="e">
            <v>#N/A</v>
          </cell>
          <cell r="AA952" t="e">
            <v>#N/A</v>
          </cell>
          <cell r="AB952" t="e">
            <v>#N/A</v>
          </cell>
          <cell r="AC952" t="e">
            <v>#N/A</v>
          </cell>
          <cell r="AF952" t="e">
            <v>#N/A</v>
          </cell>
        </row>
        <row r="953">
          <cell r="V953" t="e">
            <v>#N/A</v>
          </cell>
          <cell r="W953" t="e">
            <v>#N/A</v>
          </cell>
          <cell r="AA953" t="e">
            <v>#N/A</v>
          </cell>
          <cell r="AB953" t="e">
            <v>#N/A</v>
          </cell>
          <cell r="AC953" t="e">
            <v>#N/A</v>
          </cell>
          <cell r="AF953" t="e">
            <v>#N/A</v>
          </cell>
        </row>
        <row r="954">
          <cell r="V954" t="e">
            <v>#N/A</v>
          </cell>
          <cell r="W954" t="e">
            <v>#N/A</v>
          </cell>
          <cell r="AA954" t="e">
            <v>#N/A</v>
          </cell>
          <cell r="AB954" t="e">
            <v>#N/A</v>
          </cell>
          <cell r="AC954" t="e">
            <v>#N/A</v>
          </cell>
          <cell r="AF954" t="e">
            <v>#N/A</v>
          </cell>
        </row>
        <row r="955">
          <cell r="V955" t="e">
            <v>#N/A</v>
          </cell>
          <cell r="W955" t="e">
            <v>#N/A</v>
          </cell>
          <cell r="AA955" t="e">
            <v>#N/A</v>
          </cell>
          <cell r="AB955" t="e">
            <v>#N/A</v>
          </cell>
          <cell r="AC955" t="e">
            <v>#N/A</v>
          </cell>
          <cell r="AF955" t="e">
            <v>#N/A</v>
          </cell>
        </row>
        <row r="956">
          <cell r="V956" t="e">
            <v>#N/A</v>
          </cell>
          <cell r="W956" t="e">
            <v>#N/A</v>
          </cell>
          <cell r="AA956" t="e">
            <v>#N/A</v>
          </cell>
          <cell r="AB956" t="e">
            <v>#N/A</v>
          </cell>
          <cell r="AC956" t="e">
            <v>#N/A</v>
          </cell>
          <cell r="AF956" t="e">
            <v>#N/A</v>
          </cell>
        </row>
        <row r="957">
          <cell r="V957" t="e">
            <v>#N/A</v>
          </cell>
          <cell r="W957" t="e">
            <v>#N/A</v>
          </cell>
          <cell r="AA957" t="e">
            <v>#N/A</v>
          </cell>
          <cell r="AB957" t="e">
            <v>#N/A</v>
          </cell>
          <cell r="AC957" t="e">
            <v>#N/A</v>
          </cell>
          <cell r="AF957" t="e">
            <v>#N/A</v>
          </cell>
        </row>
        <row r="958">
          <cell r="V958" t="e">
            <v>#N/A</v>
          </cell>
          <cell r="W958" t="e">
            <v>#N/A</v>
          </cell>
          <cell r="AA958" t="e">
            <v>#N/A</v>
          </cell>
          <cell r="AB958" t="e">
            <v>#N/A</v>
          </cell>
          <cell r="AC958" t="e">
            <v>#N/A</v>
          </cell>
          <cell r="AF958" t="e">
            <v>#N/A</v>
          </cell>
        </row>
        <row r="959">
          <cell r="V959" t="e">
            <v>#N/A</v>
          </cell>
          <cell r="W959" t="e">
            <v>#N/A</v>
          </cell>
          <cell r="AA959" t="e">
            <v>#N/A</v>
          </cell>
          <cell r="AB959" t="e">
            <v>#N/A</v>
          </cell>
          <cell r="AC959" t="e">
            <v>#N/A</v>
          </cell>
          <cell r="AF959" t="e">
            <v>#N/A</v>
          </cell>
        </row>
        <row r="960">
          <cell r="V960" t="e">
            <v>#N/A</v>
          </cell>
          <cell r="W960" t="e">
            <v>#N/A</v>
          </cell>
          <cell r="AA960" t="e">
            <v>#N/A</v>
          </cell>
          <cell r="AB960" t="e">
            <v>#N/A</v>
          </cell>
          <cell r="AC960" t="e">
            <v>#N/A</v>
          </cell>
          <cell r="AF960" t="e">
            <v>#N/A</v>
          </cell>
        </row>
        <row r="961">
          <cell r="V961" t="e">
            <v>#N/A</v>
          </cell>
          <cell r="W961" t="e">
            <v>#N/A</v>
          </cell>
          <cell r="AA961" t="e">
            <v>#N/A</v>
          </cell>
          <cell r="AB961" t="e">
            <v>#N/A</v>
          </cell>
          <cell r="AC961" t="e">
            <v>#N/A</v>
          </cell>
          <cell r="AF961" t="e">
            <v>#N/A</v>
          </cell>
        </row>
        <row r="962">
          <cell r="V962" t="e">
            <v>#N/A</v>
          </cell>
          <cell r="W962" t="e">
            <v>#N/A</v>
          </cell>
          <cell r="AA962" t="e">
            <v>#N/A</v>
          </cell>
          <cell r="AB962" t="e">
            <v>#N/A</v>
          </cell>
          <cell r="AC962" t="e">
            <v>#N/A</v>
          </cell>
          <cell r="AF962" t="e">
            <v>#N/A</v>
          </cell>
        </row>
        <row r="963">
          <cell r="V963" t="e">
            <v>#N/A</v>
          </cell>
          <cell r="W963" t="e">
            <v>#N/A</v>
          </cell>
          <cell r="AA963" t="e">
            <v>#N/A</v>
          </cell>
          <cell r="AB963" t="e">
            <v>#N/A</v>
          </cell>
          <cell r="AC963" t="e">
            <v>#N/A</v>
          </cell>
          <cell r="AF963" t="e">
            <v>#N/A</v>
          </cell>
        </row>
        <row r="964">
          <cell r="V964" t="e">
            <v>#N/A</v>
          </cell>
          <cell r="W964" t="e">
            <v>#N/A</v>
          </cell>
          <cell r="AA964" t="e">
            <v>#N/A</v>
          </cell>
          <cell r="AB964" t="e">
            <v>#N/A</v>
          </cell>
          <cell r="AC964" t="e">
            <v>#N/A</v>
          </cell>
          <cell r="AF964" t="e">
            <v>#N/A</v>
          </cell>
        </row>
        <row r="965">
          <cell r="V965" t="e">
            <v>#N/A</v>
          </cell>
          <cell r="W965" t="e">
            <v>#N/A</v>
          </cell>
          <cell r="AA965" t="e">
            <v>#N/A</v>
          </cell>
          <cell r="AB965" t="e">
            <v>#N/A</v>
          </cell>
          <cell r="AC965" t="e">
            <v>#N/A</v>
          </cell>
          <cell r="AF965" t="e">
            <v>#N/A</v>
          </cell>
        </row>
        <row r="966">
          <cell r="V966" t="e">
            <v>#N/A</v>
          </cell>
          <cell r="W966" t="e">
            <v>#N/A</v>
          </cell>
          <cell r="AA966" t="e">
            <v>#N/A</v>
          </cell>
          <cell r="AB966" t="e">
            <v>#N/A</v>
          </cell>
          <cell r="AC966" t="e">
            <v>#N/A</v>
          </cell>
          <cell r="AF966" t="e">
            <v>#N/A</v>
          </cell>
        </row>
        <row r="967">
          <cell r="V967" t="e">
            <v>#N/A</v>
          </cell>
          <cell r="W967" t="e">
            <v>#N/A</v>
          </cell>
          <cell r="AA967" t="e">
            <v>#N/A</v>
          </cell>
          <cell r="AB967" t="e">
            <v>#N/A</v>
          </cell>
          <cell r="AC967" t="e">
            <v>#N/A</v>
          </cell>
          <cell r="AF967" t="e">
            <v>#N/A</v>
          </cell>
        </row>
        <row r="968">
          <cell r="V968" t="e">
            <v>#N/A</v>
          </cell>
          <cell r="W968" t="e">
            <v>#N/A</v>
          </cell>
          <cell r="AA968" t="e">
            <v>#N/A</v>
          </cell>
          <cell r="AB968" t="e">
            <v>#N/A</v>
          </cell>
          <cell r="AC968" t="e">
            <v>#N/A</v>
          </cell>
          <cell r="AF968" t="e">
            <v>#N/A</v>
          </cell>
        </row>
        <row r="969">
          <cell r="V969" t="e">
            <v>#N/A</v>
          </cell>
          <cell r="W969" t="e">
            <v>#N/A</v>
          </cell>
          <cell r="AA969" t="e">
            <v>#N/A</v>
          </cell>
          <cell r="AB969" t="e">
            <v>#N/A</v>
          </cell>
          <cell r="AC969" t="e">
            <v>#N/A</v>
          </cell>
          <cell r="AF969" t="e">
            <v>#N/A</v>
          </cell>
        </row>
        <row r="970">
          <cell r="V970" t="e">
            <v>#N/A</v>
          </cell>
          <cell r="W970" t="e">
            <v>#N/A</v>
          </cell>
          <cell r="AA970" t="e">
            <v>#N/A</v>
          </cell>
          <cell r="AB970" t="e">
            <v>#N/A</v>
          </cell>
          <cell r="AC970" t="e">
            <v>#N/A</v>
          </cell>
          <cell r="AF970" t="e">
            <v>#N/A</v>
          </cell>
        </row>
        <row r="971">
          <cell r="V971" t="e">
            <v>#N/A</v>
          </cell>
          <cell r="W971" t="e">
            <v>#N/A</v>
          </cell>
          <cell r="AA971" t="e">
            <v>#N/A</v>
          </cell>
          <cell r="AB971" t="e">
            <v>#N/A</v>
          </cell>
          <cell r="AC971" t="e">
            <v>#N/A</v>
          </cell>
          <cell r="AF971" t="e">
            <v>#N/A</v>
          </cell>
        </row>
        <row r="972">
          <cell r="V972" t="e">
            <v>#N/A</v>
          </cell>
          <cell r="W972" t="e">
            <v>#N/A</v>
          </cell>
          <cell r="AA972" t="e">
            <v>#N/A</v>
          </cell>
          <cell r="AB972" t="e">
            <v>#N/A</v>
          </cell>
          <cell r="AC972" t="e">
            <v>#N/A</v>
          </cell>
          <cell r="AF972" t="e">
            <v>#N/A</v>
          </cell>
        </row>
        <row r="973">
          <cell r="V973" t="e">
            <v>#N/A</v>
          </cell>
          <cell r="W973" t="e">
            <v>#N/A</v>
          </cell>
          <cell r="AA973" t="e">
            <v>#N/A</v>
          </cell>
          <cell r="AB973" t="e">
            <v>#N/A</v>
          </cell>
          <cell r="AC973" t="e">
            <v>#N/A</v>
          </cell>
          <cell r="AF973" t="e">
            <v>#N/A</v>
          </cell>
        </row>
        <row r="974">
          <cell r="V974" t="e">
            <v>#N/A</v>
          </cell>
          <cell r="W974" t="e">
            <v>#N/A</v>
          </cell>
          <cell r="AA974" t="e">
            <v>#N/A</v>
          </cell>
          <cell r="AB974" t="e">
            <v>#N/A</v>
          </cell>
          <cell r="AC974" t="e">
            <v>#N/A</v>
          </cell>
          <cell r="AF974" t="e">
            <v>#N/A</v>
          </cell>
        </row>
        <row r="975">
          <cell r="V975" t="e">
            <v>#N/A</v>
          </cell>
          <cell r="W975" t="e">
            <v>#N/A</v>
          </cell>
          <cell r="AA975" t="e">
            <v>#N/A</v>
          </cell>
          <cell r="AB975" t="e">
            <v>#N/A</v>
          </cell>
          <cell r="AC975" t="e">
            <v>#N/A</v>
          </cell>
          <cell r="AF975" t="e">
            <v>#N/A</v>
          </cell>
        </row>
        <row r="976">
          <cell r="V976" t="e">
            <v>#N/A</v>
          </cell>
          <cell r="W976" t="e">
            <v>#N/A</v>
          </cell>
          <cell r="AA976" t="e">
            <v>#N/A</v>
          </cell>
          <cell r="AB976" t="e">
            <v>#N/A</v>
          </cell>
          <cell r="AC976" t="e">
            <v>#N/A</v>
          </cell>
          <cell r="AF976" t="e">
            <v>#N/A</v>
          </cell>
        </row>
        <row r="977">
          <cell r="V977" t="e">
            <v>#N/A</v>
          </cell>
          <cell r="W977" t="e">
            <v>#N/A</v>
          </cell>
          <cell r="AA977" t="e">
            <v>#N/A</v>
          </cell>
          <cell r="AB977" t="e">
            <v>#N/A</v>
          </cell>
          <cell r="AC977" t="e">
            <v>#N/A</v>
          </cell>
          <cell r="AF977" t="e">
            <v>#N/A</v>
          </cell>
        </row>
        <row r="978">
          <cell r="V978" t="e">
            <v>#N/A</v>
          </cell>
          <cell r="W978" t="e">
            <v>#N/A</v>
          </cell>
          <cell r="AA978" t="e">
            <v>#N/A</v>
          </cell>
          <cell r="AB978" t="e">
            <v>#N/A</v>
          </cell>
          <cell r="AC978" t="e">
            <v>#N/A</v>
          </cell>
          <cell r="AF978" t="e">
            <v>#N/A</v>
          </cell>
        </row>
        <row r="979">
          <cell r="V979" t="e">
            <v>#N/A</v>
          </cell>
          <cell r="W979" t="e">
            <v>#N/A</v>
          </cell>
          <cell r="AA979" t="e">
            <v>#N/A</v>
          </cell>
          <cell r="AB979" t="e">
            <v>#N/A</v>
          </cell>
          <cell r="AC979" t="e">
            <v>#N/A</v>
          </cell>
          <cell r="AF979" t="e">
            <v>#N/A</v>
          </cell>
        </row>
        <row r="980">
          <cell r="V980" t="e">
            <v>#N/A</v>
          </cell>
          <cell r="W980" t="e">
            <v>#N/A</v>
          </cell>
          <cell r="AA980" t="e">
            <v>#N/A</v>
          </cell>
          <cell r="AB980" t="e">
            <v>#N/A</v>
          </cell>
          <cell r="AC980" t="e">
            <v>#N/A</v>
          </cell>
          <cell r="AF980" t="e">
            <v>#N/A</v>
          </cell>
        </row>
        <row r="981">
          <cell r="V981" t="e">
            <v>#N/A</v>
          </cell>
          <cell r="W981" t="e">
            <v>#N/A</v>
          </cell>
          <cell r="AA981" t="e">
            <v>#N/A</v>
          </cell>
          <cell r="AB981" t="e">
            <v>#N/A</v>
          </cell>
          <cell r="AC981" t="e">
            <v>#N/A</v>
          </cell>
          <cell r="AF981" t="e">
            <v>#N/A</v>
          </cell>
        </row>
        <row r="982">
          <cell r="V982" t="e">
            <v>#N/A</v>
          </cell>
          <cell r="W982" t="e">
            <v>#N/A</v>
          </cell>
          <cell r="AA982" t="e">
            <v>#N/A</v>
          </cell>
          <cell r="AB982" t="e">
            <v>#N/A</v>
          </cell>
          <cell r="AC982" t="e">
            <v>#N/A</v>
          </cell>
          <cell r="AF982" t="e">
            <v>#N/A</v>
          </cell>
        </row>
        <row r="983">
          <cell r="V983" t="e">
            <v>#N/A</v>
          </cell>
          <cell r="W983" t="e">
            <v>#N/A</v>
          </cell>
          <cell r="AA983" t="e">
            <v>#N/A</v>
          </cell>
          <cell r="AB983" t="e">
            <v>#N/A</v>
          </cell>
          <cell r="AC983" t="e">
            <v>#N/A</v>
          </cell>
          <cell r="AF983" t="e">
            <v>#N/A</v>
          </cell>
        </row>
        <row r="984">
          <cell r="V984" t="e">
            <v>#N/A</v>
          </cell>
          <cell r="W984" t="e">
            <v>#N/A</v>
          </cell>
          <cell r="AA984" t="e">
            <v>#N/A</v>
          </cell>
          <cell r="AB984" t="e">
            <v>#N/A</v>
          </cell>
          <cell r="AC984" t="e">
            <v>#N/A</v>
          </cell>
          <cell r="AF984" t="e">
            <v>#N/A</v>
          </cell>
        </row>
        <row r="985">
          <cell r="V985" t="e">
            <v>#N/A</v>
          </cell>
          <cell r="W985" t="e">
            <v>#N/A</v>
          </cell>
          <cell r="AA985" t="e">
            <v>#N/A</v>
          </cell>
          <cell r="AB985" t="e">
            <v>#N/A</v>
          </cell>
          <cell r="AC985" t="e">
            <v>#N/A</v>
          </cell>
          <cell r="AF985" t="e">
            <v>#N/A</v>
          </cell>
        </row>
        <row r="986">
          <cell r="V986" t="e">
            <v>#N/A</v>
          </cell>
          <cell r="W986" t="e">
            <v>#N/A</v>
          </cell>
          <cell r="AA986" t="e">
            <v>#N/A</v>
          </cell>
          <cell r="AB986" t="e">
            <v>#N/A</v>
          </cell>
          <cell r="AC986" t="e">
            <v>#N/A</v>
          </cell>
          <cell r="AF986" t="e">
            <v>#N/A</v>
          </cell>
        </row>
        <row r="987">
          <cell r="V987" t="e">
            <v>#N/A</v>
          </cell>
          <cell r="W987" t="e">
            <v>#N/A</v>
          </cell>
          <cell r="AA987" t="e">
            <v>#N/A</v>
          </cell>
          <cell r="AB987" t="e">
            <v>#N/A</v>
          </cell>
          <cell r="AC987" t="e">
            <v>#N/A</v>
          </cell>
          <cell r="AF987" t="e">
            <v>#N/A</v>
          </cell>
        </row>
        <row r="988">
          <cell r="V988" t="e">
            <v>#N/A</v>
          </cell>
          <cell r="W988" t="e">
            <v>#N/A</v>
          </cell>
          <cell r="AA988" t="e">
            <v>#N/A</v>
          </cell>
          <cell r="AB988" t="e">
            <v>#N/A</v>
          </cell>
          <cell r="AC988" t="e">
            <v>#N/A</v>
          </cell>
          <cell r="AF988" t="e">
            <v>#N/A</v>
          </cell>
        </row>
        <row r="989">
          <cell r="V989" t="e">
            <v>#N/A</v>
          </cell>
          <cell r="W989" t="e">
            <v>#N/A</v>
          </cell>
          <cell r="AA989" t="e">
            <v>#N/A</v>
          </cell>
          <cell r="AB989" t="e">
            <v>#N/A</v>
          </cell>
          <cell r="AC989" t="e">
            <v>#N/A</v>
          </cell>
          <cell r="AF989" t="e">
            <v>#N/A</v>
          </cell>
        </row>
        <row r="990">
          <cell r="V990" t="e">
            <v>#N/A</v>
          </cell>
          <cell r="W990" t="e">
            <v>#N/A</v>
          </cell>
          <cell r="AA990" t="e">
            <v>#N/A</v>
          </cell>
          <cell r="AB990" t="e">
            <v>#N/A</v>
          </cell>
          <cell r="AC990" t="e">
            <v>#N/A</v>
          </cell>
          <cell r="AF990" t="e">
            <v>#N/A</v>
          </cell>
        </row>
        <row r="991">
          <cell r="V991" t="e">
            <v>#N/A</v>
          </cell>
          <cell r="W991" t="e">
            <v>#N/A</v>
          </cell>
          <cell r="AA991" t="e">
            <v>#N/A</v>
          </cell>
          <cell r="AB991" t="e">
            <v>#N/A</v>
          </cell>
          <cell r="AC991" t="e">
            <v>#N/A</v>
          </cell>
          <cell r="AF991" t="e">
            <v>#N/A</v>
          </cell>
        </row>
        <row r="992">
          <cell r="V992" t="e">
            <v>#N/A</v>
          </cell>
          <cell r="W992" t="e">
            <v>#N/A</v>
          </cell>
          <cell r="AA992" t="e">
            <v>#N/A</v>
          </cell>
          <cell r="AB992" t="e">
            <v>#N/A</v>
          </cell>
          <cell r="AC992" t="e">
            <v>#N/A</v>
          </cell>
          <cell r="AF992" t="e">
            <v>#N/A</v>
          </cell>
        </row>
        <row r="993">
          <cell r="V993" t="e">
            <v>#N/A</v>
          </cell>
          <cell r="W993" t="e">
            <v>#N/A</v>
          </cell>
          <cell r="AA993" t="e">
            <v>#N/A</v>
          </cell>
          <cell r="AB993" t="e">
            <v>#N/A</v>
          </cell>
          <cell r="AC993" t="e">
            <v>#N/A</v>
          </cell>
          <cell r="AF993" t="e">
            <v>#N/A</v>
          </cell>
        </row>
        <row r="994">
          <cell r="V994" t="e">
            <v>#N/A</v>
          </cell>
          <cell r="W994" t="e">
            <v>#N/A</v>
          </cell>
          <cell r="AA994" t="e">
            <v>#N/A</v>
          </cell>
          <cell r="AB994" t="e">
            <v>#N/A</v>
          </cell>
          <cell r="AC994" t="e">
            <v>#N/A</v>
          </cell>
          <cell r="AF994" t="e">
            <v>#N/A</v>
          </cell>
        </row>
        <row r="995">
          <cell r="V995" t="e">
            <v>#N/A</v>
          </cell>
          <cell r="W995" t="e">
            <v>#N/A</v>
          </cell>
          <cell r="AA995" t="e">
            <v>#N/A</v>
          </cell>
          <cell r="AB995" t="e">
            <v>#N/A</v>
          </cell>
          <cell r="AC995" t="e">
            <v>#N/A</v>
          </cell>
          <cell r="AF995" t="e">
            <v>#N/A</v>
          </cell>
        </row>
        <row r="996">
          <cell r="V996" t="e">
            <v>#N/A</v>
          </cell>
          <cell r="W996" t="e">
            <v>#N/A</v>
          </cell>
          <cell r="AA996" t="e">
            <v>#N/A</v>
          </cell>
          <cell r="AB996" t="e">
            <v>#N/A</v>
          </cell>
          <cell r="AC996" t="e">
            <v>#N/A</v>
          </cell>
          <cell r="AF996" t="e">
            <v>#N/A</v>
          </cell>
        </row>
        <row r="997">
          <cell r="V997" t="e">
            <v>#N/A</v>
          </cell>
          <cell r="W997" t="e">
            <v>#N/A</v>
          </cell>
          <cell r="AA997" t="e">
            <v>#N/A</v>
          </cell>
          <cell r="AB997" t="e">
            <v>#N/A</v>
          </cell>
          <cell r="AC997" t="e">
            <v>#N/A</v>
          </cell>
          <cell r="AF997" t="e">
            <v>#N/A</v>
          </cell>
        </row>
        <row r="998">
          <cell r="V998" t="e">
            <v>#N/A</v>
          </cell>
          <cell r="W998" t="e">
            <v>#N/A</v>
          </cell>
          <cell r="AA998" t="e">
            <v>#N/A</v>
          </cell>
          <cell r="AB998" t="e">
            <v>#N/A</v>
          </cell>
          <cell r="AC998" t="e">
            <v>#N/A</v>
          </cell>
          <cell r="AF998" t="e">
            <v>#N/A</v>
          </cell>
        </row>
        <row r="999">
          <cell r="V999" t="e">
            <v>#N/A</v>
          </cell>
          <cell r="W999" t="e">
            <v>#N/A</v>
          </cell>
          <cell r="AA999" t="e">
            <v>#N/A</v>
          </cell>
          <cell r="AB999" t="e">
            <v>#N/A</v>
          </cell>
          <cell r="AC999" t="e">
            <v>#N/A</v>
          </cell>
          <cell r="AF999" t="e">
            <v>#N/A</v>
          </cell>
        </row>
        <row r="1000">
          <cell r="V1000" t="e">
            <v>#N/A</v>
          </cell>
          <cell r="W1000" t="e">
            <v>#N/A</v>
          </cell>
          <cell r="AA1000" t="e">
            <v>#N/A</v>
          </cell>
          <cell r="AB1000" t="e">
            <v>#N/A</v>
          </cell>
          <cell r="AC1000" t="e">
            <v>#N/A</v>
          </cell>
          <cell r="AF1000" t="e">
            <v>#N/A</v>
          </cell>
        </row>
        <row r="1001">
          <cell r="V1001" t="e">
            <v>#N/A</v>
          </cell>
          <cell r="W1001" t="e">
            <v>#N/A</v>
          </cell>
          <cell r="AA1001" t="e">
            <v>#N/A</v>
          </cell>
          <cell r="AB1001" t="e">
            <v>#N/A</v>
          </cell>
          <cell r="AC1001" t="e">
            <v>#N/A</v>
          </cell>
          <cell r="AF1001" t="e">
            <v>#N/A</v>
          </cell>
        </row>
        <row r="1002">
          <cell r="V1002" t="e">
            <v>#N/A</v>
          </cell>
          <cell r="W1002" t="e">
            <v>#N/A</v>
          </cell>
          <cell r="AA1002" t="e">
            <v>#N/A</v>
          </cell>
          <cell r="AB1002" t="e">
            <v>#N/A</v>
          </cell>
          <cell r="AC1002" t="e">
            <v>#N/A</v>
          </cell>
          <cell r="AF1002" t="e">
            <v>#N/A</v>
          </cell>
        </row>
        <row r="1003">
          <cell r="V1003" t="e">
            <v>#N/A</v>
          </cell>
          <cell r="W1003" t="e">
            <v>#N/A</v>
          </cell>
          <cell r="AA1003" t="e">
            <v>#N/A</v>
          </cell>
          <cell r="AB1003" t="e">
            <v>#N/A</v>
          </cell>
          <cell r="AC1003" t="e">
            <v>#N/A</v>
          </cell>
          <cell r="AF1003" t="e">
            <v>#N/A</v>
          </cell>
        </row>
        <row r="1004">
          <cell r="V1004" t="e">
            <v>#N/A</v>
          </cell>
          <cell r="W1004" t="e">
            <v>#N/A</v>
          </cell>
          <cell r="AA1004" t="e">
            <v>#N/A</v>
          </cell>
          <cell r="AB1004" t="e">
            <v>#N/A</v>
          </cell>
          <cell r="AC1004" t="e">
            <v>#N/A</v>
          </cell>
          <cell r="AF1004" t="e">
            <v>#N/A</v>
          </cell>
        </row>
        <row r="1005">
          <cell r="V1005" t="e">
            <v>#N/A</v>
          </cell>
          <cell r="W1005" t="e">
            <v>#N/A</v>
          </cell>
          <cell r="AA1005" t="e">
            <v>#N/A</v>
          </cell>
          <cell r="AB1005" t="e">
            <v>#N/A</v>
          </cell>
          <cell r="AC1005" t="e">
            <v>#N/A</v>
          </cell>
          <cell r="AF1005" t="e">
            <v>#N/A</v>
          </cell>
        </row>
        <row r="1006">
          <cell r="V1006" t="e">
            <v>#N/A</v>
          </cell>
          <cell r="W1006" t="e">
            <v>#N/A</v>
          </cell>
          <cell r="AA1006" t="e">
            <v>#N/A</v>
          </cell>
          <cell r="AB1006" t="e">
            <v>#N/A</v>
          </cell>
          <cell r="AC1006" t="e">
            <v>#N/A</v>
          </cell>
          <cell r="AF1006" t="e">
            <v>#N/A</v>
          </cell>
        </row>
        <row r="1007">
          <cell r="V1007" t="e">
            <v>#N/A</v>
          </cell>
          <cell r="W1007" t="e">
            <v>#N/A</v>
          </cell>
          <cell r="AA1007" t="e">
            <v>#N/A</v>
          </cell>
          <cell r="AB1007" t="e">
            <v>#N/A</v>
          </cell>
          <cell r="AC1007" t="e">
            <v>#N/A</v>
          </cell>
          <cell r="AF1007" t="e">
            <v>#N/A</v>
          </cell>
        </row>
        <row r="1008">
          <cell r="V1008" t="e">
            <v>#N/A</v>
          </cell>
          <cell r="W1008" t="e">
            <v>#N/A</v>
          </cell>
          <cell r="AA1008" t="e">
            <v>#N/A</v>
          </cell>
          <cell r="AB1008" t="e">
            <v>#N/A</v>
          </cell>
          <cell r="AC1008" t="e">
            <v>#N/A</v>
          </cell>
          <cell r="AF1008" t="e">
            <v>#N/A</v>
          </cell>
        </row>
        <row r="1009">
          <cell r="V1009" t="e">
            <v>#N/A</v>
          </cell>
          <cell r="W1009" t="e">
            <v>#N/A</v>
          </cell>
          <cell r="AA1009" t="e">
            <v>#N/A</v>
          </cell>
          <cell r="AB1009" t="e">
            <v>#N/A</v>
          </cell>
          <cell r="AC1009" t="e">
            <v>#N/A</v>
          </cell>
          <cell r="AF1009" t="e">
            <v>#N/A</v>
          </cell>
        </row>
        <row r="1010">
          <cell r="V1010" t="e">
            <v>#N/A</v>
          </cell>
          <cell r="W1010" t="e">
            <v>#N/A</v>
          </cell>
          <cell r="AA1010" t="e">
            <v>#N/A</v>
          </cell>
          <cell r="AB1010" t="e">
            <v>#N/A</v>
          </cell>
          <cell r="AC1010" t="e">
            <v>#N/A</v>
          </cell>
          <cell r="AF1010" t="e">
            <v>#N/A</v>
          </cell>
        </row>
        <row r="1011">
          <cell r="V1011" t="e">
            <v>#N/A</v>
          </cell>
          <cell r="W1011" t="e">
            <v>#N/A</v>
          </cell>
          <cell r="AA1011" t="e">
            <v>#N/A</v>
          </cell>
          <cell r="AB1011" t="e">
            <v>#N/A</v>
          </cell>
          <cell r="AC1011" t="e">
            <v>#N/A</v>
          </cell>
          <cell r="AF1011" t="e">
            <v>#N/A</v>
          </cell>
        </row>
        <row r="1012">
          <cell r="V1012" t="e">
            <v>#N/A</v>
          </cell>
          <cell r="W1012" t="e">
            <v>#N/A</v>
          </cell>
          <cell r="AA1012" t="e">
            <v>#N/A</v>
          </cell>
          <cell r="AB1012" t="e">
            <v>#N/A</v>
          </cell>
          <cell r="AC1012" t="e">
            <v>#N/A</v>
          </cell>
          <cell r="AF1012" t="e">
            <v>#N/A</v>
          </cell>
        </row>
        <row r="1013">
          <cell r="V1013" t="e">
            <v>#N/A</v>
          </cell>
          <cell r="W1013" t="e">
            <v>#N/A</v>
          </cell>
          <cell r="AA1013" t="e">
            <v>#N/A</v>
          </cell>
          <cell r="AB1013" t="e">
            <v>#N/A</v>
          </cell>
          <cell r="AC1013" t="e">
            <v>#N/A</v>
          </cell>
          <cell r="AF1013" t="e">
            <v>#N/A</v>
          </cell>
        </row>
        <row r="1014">
          <cell r="V1014" t="e">
            <v>#N/A</v>
          </cell>
          <cell r="W1014" t="e">
            <v>#N/A</v>
          </cell>
          <cell r="AA1014" t="e">
            <v>#N/A</v>
          </cell>
          <cell r="AB1014" t="e">
            <v>#N/A</v>
          </cell>
          <cell r="AC1014" t="e">
            <v>#N/A</v>
          </cell>
          <cell r="AF1014" t="e">
            <v>#N/A</v>
          </cell>
        </row>
        <row r="1015">
          <cell r="V1015" t="e">
            <v>#N/A</v>
          </cell>
          <cell r="W1015" t="e">
            <v>#N/A</v>
          </cell>
          <cell r="AA1015" t="e">
            <v>#N/A</v>
          </cell>
          <cell r="AB1015" t="e">
            <v>#N/A</v>
          </cell>
          <cell r="AC1015" t="e">
            <v>#N/A</v>
          </cell>
          <cell r="AF1015" t="e">
            <v>#N/A</v>
          </cell>
        </row>
        <row r="1016">
          <cell r="V1016" t="e">
            <v>#N/A</v>
          </cell>
          <cell r="W1016" t="e">
            <v>#N/A</v>
          </cell>
          <cell r="AA1016" t="e">
            <v>#N/A</v>
          </cell>
          <cell r="AB1016" t="e">
            <v>#N/A</v>
          </cell>
          <cell r="AC1016" t="e">
            <v>#N/A</v>
          </cell>
          <cell r="AF1016" t="e">
            <v>#N/A</v>
          </cell>
        </row>
        <row r="1017">
          <cell r="V1017" t="e">
            <v>#N/A</v>
          </cell>
          <cell r="W1017" t="e">
            <v>#N/A</v>
          </cell>
          <cell r="AA1017" t="e">
            <v>#N/A</v>
          </cell>
          <cell r="AB1017" t="e">
            <v>#N/A</v>
          </cell>
          <cell r="AC1017" t="e">
            <v>#N/A</v>
          </cell>
          <cell r="AF1017" t="e">
            <v>#N/A</v>
          </cell>
        </row>
        <row r="1018">
          <cell r="V1018" t="e">
            <v>#N/A</v>
          </cell>
          <cell r="W1018" t="e">
            <v>#N/A</v>
          </cell>
          <cell r="AA1018" t="e">
            <v>#N/A</v>
          </cell>
          <cell r="AB1018" t="e">
            <v>#N/A</v>
          </cell>
          <cell r="AC1018" t="e">
            <v>#N/A</v>
          </cell>
          <cell r="AF1018" t="e">
            <v>#N/A</v>
          </cell>
        </row>
        <row r="1019">
          <cell r="V1019" t="e">
            <v>#N/A</v>
          </cell>
          <cell r="W1019" t="e">
            <v>#N/A</v>
          </cell>
          <cell r="AA1019" t="e">
            <v>#N/A</v>
          </cell>
          <cell r="AB1019" t="e">
            <v>#N/A</v>
          </cell>
          <cell r="AC1019" t="e">
            <v>#N/A</v>
          </cell>
          <cell r="AF1019" t="e">
            <v>#N/A</v>
          </cell>
        </row>
        <row r="1020">
          <cell r="V1020" t="e">
            <v>#N/A</v>
          </cell>
          <cell r="W1020" t="e">
            <v>#N/A</v>
          </cell>
          <cell r="AA1020" t="e">
            <v>#N/A</v>
          </cell>
          <cell r="AB1020" t="e">
            <v>#N/A</v>
          </cell>
          <cell r="AC1020" t="e">
            <v>#N/A</v>
          </cell>
          <cell r="AF1020" t="e">
            <v>#N/A</v>
          </cell>
        </row>
        <row r="1021">
          <cell r="V1021" t="e">
            <v>#N/A</v>
          </cell>
          <cell r="W1021" t="e">
            <v>#N/A</v>
          </cell>
          <cell r="AA1021" t="e">
            <v>#N/A</v>
          </cell>
          <cell r="AB1021" t="e">
            <v>#N/A</v>
          </cell>
          <cell r="AC1021" t="e">
            <v>#N/A</v>
          </cell>
          <cell r="AF1021" t="e">
            <v>#N/A</v>
          </cell>
        </row>
        <row r="1022">
          <cell r="V1022" t="e">
            <v>#N/A</v>
          </cell>
          <cell r="W1022" t="e">
            <v>#N/A</v>
          </cell>
          <cell r="AA1022" t="e">
            <v>#N/A</v>
          </cell>
          <cell r="AB1022" t="e">
            <v>#N/A</v>
          </cell>
          <cell r="AC1022" t="e">
            <v>#N/A</v>
          </cell>
          <cell r="AF1022" t="e">
            <v>#N/A</v>
          </cell>
        </row>
        <row r="1023">
          <cell r="V1023" t="e">
            <v>#N/A</v>
          </cell>
          <cell r="W1023" t="e">
            <v>#N/A</v>
          </cell>
          <cell r="AA1023" t="e">
            <v>#N/A</v>
          </cell>
          <cell r="AB1023" t="e">
            <v>#N/A</v>
          </cell>
          <cell r="AC1023" t="e">
            <v>#N/A</v>
          </cell>
          <cell r="AF1023" t="e">
            <v>#N/A</v>
          </cell>
        </row>
        <row r="1024">
          <cell r="V1024" t="e">
            <v>#N/A</v>
          </cell>
          <cell r="W1024" t="e">
            <v>#N/A</v>
          </cell>
          <cell r="AA1024" t="e">
            <v>#N/A</v>
          </cell>
          <cell r="AB1024" t="e">
            <v>#N/A</v>
          </cell>
          <cell r="AC1024" t="e">
            <v>#N/A</v>
          </cell>
          <cell r="AF1024" t="e">
            <v>#N/A</v>
          </cell>
        </row>
        <row r="1025">
          <cell r="V1025" t="e">
            <v>#N/A</v>
          </cell>
          <cell r="W1025" t="e">
            <v>#N/A</v>
          </cell>
          <cell r="AA1025" t="e">
            <v>#N/A</v>
          </cell>
          <cell r="AB1025" t="e">
            <v>#N/A</v>
          </cell>
          <cell r="AC1025" t="e">
            <v>#N/A</v>
          </cell>
          <cell r="AF1025" t="e">
            <v>#N/A</v>
          </cell>
        </row>
        <row r="1026">
          <cell r="V1026" t="e">
            <v>#N/A</v>
          </cell>
          <cell r="W1026" t="e">
            <v>#N/A</v>
          </cell>
          <cell r="AA1026" t="e">
            <v>#N/A</v>
          </cell>
          <cell r="AB1026" t="e">
            <v>#N/A</v>
          </cell>
          <cell r="AC1026" t="e">
            <v>#N/A</v>
          </cell>
          <cell r="AF1026" t="e">
            <v>#N/A</v>
          </cell>
        </row>
        <row r="1027">
          <cell r="V1027" t="e">
            <v>#N/A</v>
          </cell>
          <cell r="W1027" t="e">
            <v>#N/A</v>
          </cell>
          <cell r="AA1027" t="e">
            <v>#N/A</v>
          </cell>
          <cell r="AB1027" t="e">
            <v>#N/A</v>
          </cell>
          <cell r="AC1027" t="e">
            <v>#N/A</v>
          </cell>
          <cell r="AF1027" t="e">
            <v>#N/A</v>
          </cell>
        </row>
        <row r="1028">
          <cell r="V1028" t="e">
            <v>#N/A</v>
          </cell>
          <cell r="W1028" t="e">
            <v>#N/A</v>
          </cell>
          <cell r="AA1028" t="e">
            <v>#N/A</v>
          </cell>
          <cell r="AB1028" t="e">
            <v>#N/A</v>
          </cell>
          <cell r="AC1028" t="e">
            <v>#N/A</v>
          </cell>
          <cell r="AF1028" t="e">
            <v>#N/A</v>
          </cell>
        </row>
        <row r="1029">
          <cell r="V1029" t="e">
            <v>#N/A</v>
          </cell>
          <cell r="W1029" t="e">
            <v>#N/A</v>
          </cell>
          <cell r="AA1029" t="e">
            <v>#N/A</v>
          </cell>
          <cell r="AB1029" t="e">
            <v>#N/A</v>
          </cell>
          <cell r="AC1029" t="e">
            <v>#N/A</v>
          </cell>
          <cell r="AF1029" t="e">
            <v>#N/A</v>
          </cell>
        </row>
        <row r="1030">
          <cell r="V1030" t="e">
            <v>#N/A</v>
          </cell>
          <cell r="W1030" t="e">
            <v>#N/A</v>
          </cell>
          <cell r="AA1030" t="e">
            <v>#N/A</v>
          </cell>
          <cell r="AB1030" t="e">
            <v>#N/A</v>
          </cell>
          <cell r="AC1030" t="e">
            <v>#N/A</v>
          </cell>
          <cell r="AF1030" t="e">
            <v>#N/A</v>
          </cell>
        </row>
        <row r="1031">
          <cell r="V1031" t="e">
            <v>#N/A</v>
          </cell>
          <cell r="W1031" t="e">
            <v>#N/A</v>
          </cell>
          <cell r="AA1031" t="e">
            <v>#N/A</v>
          </cell>
          <cell r="AB1031" t="e">
            <v>#N/A</v>
          </cell>
          <cell r="AC1031" t="e">
            <v>#N/A</v>
          </cell>
          <cell r="AF1031" t="e">
            <v>#N/A</v>
          </cell>
        </row>
        <row r="1032">
          <cell r="V1032" t="e">
            <v>#N/A</v>
          </cell>
          <cell r="W1032" t="e">
            <v>#N/A</v>
          </cell>
          <cell r="AA1032" t="e">
            <v>#N/A</v>
          </cell>
          <cell r="AB1032" t="e">
            <v>#N/A</v>
          </cell>
          <cell r="AC1032" t="e">
            <v>#N/A</v>
          </cell>
          <cell r="AF1032" t="e">
            <v>#N/A</v>
          </cell>
        </row>
        <row r="1033">
          <cell r="V1033" t="e">
            <v>#N/A</v>
          </cell>
          <cell r="W1033" t="e">
            <v>#N/A</v>
          </cell>
          <cell r="AA1033" t="e">
            <v>#N/A</v>
          </cell>
          <cell r="AB1033" t="e">
            <v>#N/A</v>
          </cell>
          <cell r="AC1033" t="e">
            <v>#N/A</v>
          </cell>
          <cell r="AF1033" t="e">
            <v>#N/A</v>
          </cell>
        </row>
        <row r="1034">
          <cell r="V1034" t="e">
            <v>#N/A</v>
          </cell>
          <cell r="W1034" t="e">
            <v>#N/A</v>
          </cell>
          <cell r="AA1034" t="e">
            <v>#N/A</v>
          </cell>
          <cell r="AB1034" t="e">
            <v>#N/A</v>
          </cell>
          <cell r="AC1034" t="e">
            <v>#N/A</v>
          </cell>
          <cell r="AF1034" t="e">
            <v>#N/A</v>
          </cell>
        </row>
        <row r="1035">
          <cell r="V1035" t="e">
            <v>#N/A</v>
          </cell>
          <cell r="W1035" t="e">
            <v>#N/A</v>
          </cell>
          <cell r="AA1035" t="e">
            <v>#N/A</v>
          </cell>
          <cell r="AB1035" t="e">
            <v>#N/A</v>
          </cell>
          <cell r="AC1035" t="e">
            <v>#N/A</v>
          </cell>
          <cell r="AF1035" t="e">
            <v>#N/A</v>
          </cell>
        </row>
        <row r="1036">
          <cell r="V1036" t="e">
            <v>#N/A</v>
          </cell>
          <cell r="W1036" t="e">
            <v>#N/A</v>
          </cell>
          <cell r="AA1036" t="e">
            <v>#N/A</v>
          </cell>
          <cell r="AB1036" t="e">
            <v>#N/A</v>
          </cell>
          <cell r="AC1036" t="e">
            <v>#N/A</v>
          </cell>
          <cell r="AF1036" t="e">
            <v>#N/A</v>
          </cell>
        </row>
        <row r="1037">
          <cell r="V1037" t="e">
            <v>#N/A</v>
          </cell>
          <cell r="W1037" t="e">
            <v>#N/A</v>
          </cell>
          <cell r="AA1037" t="e">
            <v>#N/A</v>
          </cell>
          <cell r="AB1037" t="e">
            <v>#N/A</v>
          </cell>
          <cell r="AC1037" t="e">
            <v>#N/A</v>
          </cell>
          <cell r="AF1037" t="e">
            <v>#N/A</v>
          </cell>
        </row>
        <row r="1038">
          <cell r="V1038" t="e">
            <v>#N/A</v>
          </cell>
          <cell r="W1038" t="e">
            <v>#N/A</v>
          </cell>
          <cell r="AA1038" t="e">
            <v>#N/A</v>
          </cell>
          <cell r="AB1038" t="e">
            <v>#N/A</v>
          </cell>
          <cell r="AC1038" t="e">
            <v>#N/A</v>
          </cell>
          <cell r="AF1038" t="e">
            <v>#N/A</v>
          </cell>
        </row>
        <row r="1039">
          <cell r="V1039" t="e">
            <v>#N/A</v>
          </cell>
          <cell r="W1039" t="e">
            <v>#N/A</v>
          </cell>
          <cell r="AA1039" t="e">
            <v>#N/A</v>
          </cell>
          <cell r="AB1039" t="e">
            <v>#N/A</v>
          </cell>
          <cell r="AC1039" t="e">
            <v>#N/A</v>
          </cell>
          <cell r="AF1039" t="e">
            <v>#N/A</v>
          </cell>
        </row>
        <row r="1040">
          <cell r="V1040" t="e">
            <v>#N/A</v>
          </cell>
          <cell r="W1040" t="e">
            <v>#N/A</v>
          </cell>
          <cell r="AA1040" t="e">
            <v>#N/A</v>
          </cell>
          <cell r="AB1040" t="e">
            <v>#N/A</v>
          </cell>
          <cell r="AC1040" t="e">
            <v>#N/A</v>
          </cell>
          <cell r="AF1040" t="e">
            <v>#N/A</v>
          </cell>
        </row>
        <row r="1041">
          <cell r="V1041" t="e">
            <v>#N/A</v>
          </cell>
          <cell r="W1041" t="e">
            <v>#N/A</v>
          </cell>
          <cell r="AA1041" t="e">
            <v>#N/A</v>
          </cell>
          <cell r="AB1041" t="e">
            <v>#N/A</v>
          </cell>
          <cell r="AC1041" t="e">
            <v>#N/A</v>
          </cell>
          <cell r="AF1041" t="e">
            <v>#N/A</v>
          </cell>
        </row>
        <row r="1042">
          <cell r="V1042" t="e">
            <v>#N/A</v>
          </cell>
          <cell r="W1042" t="e">
            <v>#N/A</v>
          </cell>
          <cell r="AA1042" t="e">
            <v>#N/A</v>
          </cell>
          <cell r="AB1042" t="e">
            <v>#N/A</v>
          </cell>
          <cell r="AC1042" t="e">
            <v>#N/A</v>
          </cell>
          <cell r="AF1042" t="e">
            <v>#N/A</v>
          </cell>
        </row>
        <row r="1043">
          <cell r="V1043" t="e">
            <v>#N/A</v>
          </cell>
          <cell r="W1043" t="e">
            <v>#N/A</v>
          </cell>
          <cell r="AA1043" t="e">
            <v>#N/A</v>
          </cell>
          <cell r="AB1043" t="e">
            <v>#N/A</v>
          </cell>
          <cell r="AC1043" t="e">
            <v>#N/A</v>
          </cell>
          <cell r="AF1043" t="e">
            <v>#N/A</v>
          </cell>
        </row>
        <row r="1044">
          <cell r="V1044" t="e">
            <v>#N/A</v>
          </cell>
          <cell r="W1044" t="e">
            <v>#N/A</v>
          </cell>
          <cell r="AA1044" t="e">
            <v>#N/A</v>
          </cell>
          <cell r="AB1044" t="e">
            <v>#N/A</v>
          </cell>
          <cell r="AC1044" t="e">
            <v>#N/A</v>
          </cell>
          <cell r="AF1044" t="e">
            <v>#N/A</v>
          </cell>
        </row>
        <row r="1045">
          <cell r="V1045" t="e">
            <v>#N/A</v>
          </cell>
          <cell r="W1045" t="e">
            <v>#N/A</v>
          </cell>
          <cell r="AA1045" t="e">
            <v>#N/A</v>
          </cell>
          <cell r="AB1045" t="e">
            <v>#N/A</v>
          </cell>
          <cell r="AC1045" t="e">
            <v>#N/A</v>
          </cell>
          <cell r="AF1045" t="e">
            <v>#N/A</v>
          </cell>
        </row>
        <row r="1046">
          <cell r="V1046" t="e">
            <v>#N/A</v>
          </cell>
          <cell r="W1046" t="e">
            <v>#N/A</v>
          </cell>
          <cell r="AA1046" t="e">
            <v>#N/A</v>
          </cell>
          <cell r="AB1046" t="e">
            <v>#N/A</v>
          </cell>
          <cell r="AC1046" t="e">
            <v>#N/A</v>
          </cell>
          <cell r="AF1046" t="e">
            <v>#N/A</v>
          </cell>
        </row>
        <row r="1047">
          <cell r="V1047" t="e">
            <v>#N/A</v>
          </cell>
          <cell r="W1047" t="e">
            <v>#N/A</v>
          </cell>
          <cell r="AA1047" t="e">
            <v>#N/A</v>
          </cell>
          <cell r="AB1047" t="e">
            <v>#N/A</v>
          </cell>
          <cell r="AC1047" t="e">
            <v>#N/A</v>
          </cell>
          <cell r="AF1047" t="e">
            <v>#N/A</v>
          </cell>
        </row>
        <row r="1048">
          <cell r="V1048" t="e">
            <v>#N/A</v>
          </cell>
          <cell r="W1048" t="e">
            <v>#N/A</v>
          </cell>
          <cell r="AA1048" t="e">
            <v>#N/A</v>
          </cell>
          <cell r="AB1048" t="e">
            <v>#N/A</v>
          </cell>
          <cell r="AC1048" t="e">
            <v>#N/A</v>
          </cell>
          <cell r="AF1048" t="e">
            <v>#N/A</v>
          </cell>
        </row>
        <row r="1049">
          <cell r="V1049" t="e">
            <v>#N/A</v>
          </cell>
          <cell r="W1049" t="e">
            <v>#N/A</v>
          </cell>
          <cell r="AA1049" t="e">
            <v>#N/A</v>
          </cell>
          <cell r="AB1049" t="e">
            <v>#N/A</v>
          </cell>
          <cell r="AC1049" t="e">
            <v>#N/A</v>
          </cell>
          <cell r="AF1049" t="e">
            <v>#N/A</v>
          </cell>
        </row>
        <row r="1050">
          <cell r="V1050" t="e">
            <v>#N/A</v>
          </cell>
          <cell r="W1050" t="e">
            <v>#N/A</v>
          </cell>
          <cell r="AA1050" t="e">
            <v>#N/A</v>
          </cell>
          <cell r="AB1050" t="e">
            <v>#N/A</v>
          </cell>
          <cell r="AC1050" t="e">
            <v>#N/A</v>
          </cell>
          <cell r="AF1050" t="e">
            <v>#N/A</v>
          </cell>
        </row>
        <row r="1051">
          <cell r="V1051" t="e">
            <v>#N/A</v>
          </cell>
          <cell r="W1051" t="e">
            <v>#N/A</v>
          </cell>
          <cell r="AA1051" t="e">
            <v>#N/A</v>
          </cell>
          <cell r="AB1051" t="e">
            <v>#N/A</v>
          </cell>
          <cell r="AC1051" t="e">
            <v>#N/A</v>
          </cell>
          <cell r="AF1051" t="e">
            <v>#N/A</v>
          </cell>
        </row>
        <row r="1052">
          <cell r="V1052" t="e">
            <v>#N/A</v>
          </cell>
          <cell r="W1052" t="e">
            <v>#N/A</v>
          </cell>
          <cell r="AA1052" t="e">
            <v>#N/A</v>
          </cell>
          <cell r="AB1052" t="e">
            <v>#N/A</v>
          </cell>
          <cell r="AC1052" t="e">
            <v>#N/A</v>
          </cell>
          <cell r="AF1052" t="e">
            <v>#N/A</v>
          </cell>
        </row>
        <row r="1053">
          <cell r="V1053" t="e">
            <v>#N/A</v>
          </cell>
          <cell r="W1053" t="e">
            <v>#N/A</v>
          </cell>
          <cell r="AA1053" t="e">
            <v>#N/A</v>
          </cell>
          <cell r="AB1053" t="e">
            <v>#N/A</v>
          </cell>
          <cell r="AC1053" t="e">
            <v>#N/A</v>
          </cell>
          <cell r="AF1053" t="e">
            <v>#N/A</v>
          </cell>
        </row>
        <row r="1054">
          <cell r="V1054" t="e">
            <v>#N/A</v>
          </cell>
          <cell r="W1054" t="e">
            <v>#N/A</v>
          </cell>
          <cell r="AA1054" t="e">
            <v>#N/A</v>
          </cell>
          <cell r="AB1054" t="e">
            <v>#N/A</v>
          </cell>
          <cell r="AC1054" t="e">
            <v>#N/A</v>
          </cell>
          <cell r="AF1054" t="e">
            <v>#N/A</v>
          </cell>
        </row>
        <row r="1055">
          <cell r="V1055" t="e">
            <v>#N/A</v>
          </cell>
          <cell r="W1055" t="e">
            <v>#N/A</v>
          </cell>
          <cell r="AA1055" t="e">
            <v>#N/A</v>
          </cell>
          <cell r="AB1055" t="e">
            <v>#N/A</v>
          </cell>
          <cell r="AC1055" t="e">
            <v>#N/A</v>
          </cell>
          <cell r="AF1055" t="e">
            <v>#N/A</v>
          </cell>
        </row>
        <row r="1056">
          <cell r="V1056" t="e">
            <v>#N/A</v>
          </cell>
          <cell r="W1056" t="e">
            <v>#N/A</v>
          </cell>
          <cell r="AA1056" t="e">
            <v>#N/A</v>
          </cell>
          <cell r="AB1056" t="e">
            <v>#N/A</v>
          </cell>
          <cell r="AC1056" t="e">
            <v>#N/A</v>
          </cell>
          <cell r="AF1056" t="e">
            <v>#N/A</v>
          </cell>
        </row>
        <row r="1057">
          <cell r="V1057" t="e">
            <v>#N/A</v>
          </cell>
          <cell r="W1057" t="e">
            <v>#N/A</v>
          </cell>
          <cell r="AA1057" t="e">
            <v>#N/A</v>
          </cell>
          <cell r="AB1057" t="e">
            <v>#N/A</v>
          </cell>
          <cell r="AC1057" t="e">
            <v>#N/A</v>
          </cell>
          <cell r="AF1057" t="e">
            <v>#N/A</v>
          </cell>
        </row>
        <row r="1058">
          <cell r="V1058" t="e">
            <v>#N/A</v>
          </cell>
          <cell r="W1058" t="e">
            <v>#N/A</v>
          </cell>
          <cell r="AA1058" t="e">
            <v>#N/A</v>
          </cell>
          <cell r="AB1058" t="e">
            <v>#N/A</v>
          </cell>
          <cell r="AC1058" t="e">
            <v>#N/A</v>
          </cell>
          <cell r="AF1058" t="e">
            <v>#N/A</v>
          </cell>
        </row>
        <row r="1059">
          <cell r="V1059" t="e">
            <v>#N/A</v>
          </cell>
          <cell r="W1059" t="e">
            <v>#N/A</v>
          </cell>
          <cell r="AA1059" t="e">
            <v>#N/A</v>
          </cell>
          <cell r="AB1059" t="e">
            <v>#N/A</v>
          </cell>
          <cell r="AC1059" t="e">
            <v>#N/A</v>
          </cell>
          <cell r="AF1059" t="e">
            <v>#N/A</v>
          </cell>
        </row>
        <row r="1060">
          <cell r="V1060" t="e">
            <v>#N/A</v>
          </cell>
          <cell r="W1060" t="e">
            <v>#N/A</v>
          </cell>
          <cell r="AA1060" t="e">
            <v>#N/A</v>
          </cell>
          <cell r="AB1060" t="e">
            <v>#N/A</v>
          </cell>
          <cell r="AC1060" t="e">
            <v>#N/A</v>
          </cell>
          <cell r="AF1060" t="e">
            <v>#N/A</v>
          </cell>
        </row>
        <row r="1061">
          <cell r="V1061" t="e">
            <v>#N/A</v>
          </cell>
          <cell r="W1061" t="e">
            <v>#N/A</v>
          </cell>
          <cell r="AA1061" t="e">
            <v>#N/A</v>
          </cell>
          <cell r="AB1061" t="e">
            <v>#N/A</v>
          </cell>
          <cell r="AC1061" t="e">
            <v>#N/A</v>
          </cell>
          <cell r="AF1061" t="e">
            <v>#N/A</v>
          </cell>
        </row>
        <row r="1062">
          <cell r="V1062" t="e">
            <v>#N/A</v>
          </cell>
          <cell r="W1062" t="e">
            <v>#N/A</v>
          </cell>
          <cell r="AA1062" t="e">
            <v>#N/A</v>
          </cell>
          <cell r="AB1062" t="e">
            <v>#N/A</v>
          </cell>
          <cell r="AC1062" t="e">
            <v>#N/A</v>
          </cell>
          <cell r="AF1062" t="e">
            <v>#N/A</v>
          </cell>
        </row>
        <row r="1063">
          <cell r="V1063" t="e">
            <v>#N/A</v>
          </cell>
          <cell r="W1063" t="e">
            <v>#N/A</v>
          </cell>
          <cell r="AA1063" t="e">
            <v>#N/A</v>
          </cell>
          <cell r="AB1063" t="e">
            <v>#N/A</v>
          </cell>
          <cell r="AC1063" t="e">
            <v>#N/A</v>
          </cell>
          <cell r="AF1063" t="e">
            <v>#N/A</v>
          </cell>
        </row>
        <row r="1064">
          <cell r="V1064" t="e">
            <v>#N/A</v>
          </cell>
          <cell r="W1064" t="e">
            <v>#N/A</v>
          </cell>
          <cell r="AA1064" t="e">
            <v>#N/A</v>
          </cell>
          <cell r="AB1064" t="e">
            <v>#N/A</v>
          </cell>
          <cell r="AC1064" t="e">
            <v>#N/A</v>
          </cell>
          <cell r="AF1064" t="e">
            <v>#N/A</v>
          </cell>
        </row>
        <row r="1065">
          <cell r="V1065" t="e">
            <v>#N/A</v>
          </cell>
          <cell r="W1065" t="e">
            <v>#N/A</v>
          </cell>
          <cell r="AA1065" t="e">
            <v>#N/A</v>
          </cell>
          <cell r="AB1065" t="e">
            <v>#N/A</v>
          </cell>
          <cell r="AC1065" t="e">
            <v>#N/A</v>
          </cell>
          <cell r="AF1065" t="e">
            <v>#N/A</v>
          </cell>
        </row>
        <row r="1066">
          <cell r="V1066" t="e">
            <v>#N/A</v>
          </cell>
          <cell r="W1066" t="e">
            <v>#N/A</v>
          </cell>
          <cell r="AA1066" t="e">
            <v>#N/A</v>
          </cell>
          <cell r="AB1066" t="e">
            <v>#N/A</v>
          </cell>
          <cell r="AC1066" t="e">
            <v>#N/A</v>
          </cell>
          <cell r="AF1066" t="e">
            <v>#N/A</v>
          </cell>
        </row>
        <row r="1067">
          <cell r="V1067" t="e">
            <v>#N/A</v>
          </cell>
          <cell r="W1067" t="e">
            <v>#N/A</v>
          </cell>
          <cell r="AA1067" t="e">
            <v>#N/A</v>
          </cell>
          <cell r="AB1067" t="e">
            <v>#N/A</v>
          </cell>
          <cell r="AC1067" t="e">
            <v>#N/A</v>
          </cell>
          <cell r="AF1067" t="e">
            <v>#N/A</v>
          </cell>
        </row>
        <row r="1068">
          <cell r="V1068" t="e">
            <v>#N/A</v>
          </cell>
          <cell r="W1068" t="e">
            <v>#N/A</v>
          </cell>
          <cell r="AA1068" t="e">
            <v>#N/A</v>
          </cell>
          <cell r="AB1068" t="e">
            <v>#N/A</v>
          </cell>
          <cell r="AC1068" t="e">
            <v>#N/A</v>
          </cell>
          <cell r="AF1068" t="e">
            <v>#N/A</v>
          </cell>
        </row>
        <row r="1069">
          <cell r="V1069" t="e">
            <v>#N/A</v>
          </cell>
          <cell r="W1069" t="e">
            <v>#N/A</v>
          </cell>
          <cell r="AA1069" t="e">
            <v>#N/A</v>
          </cell>
          <cell r="AB1069" t="e">
            <v>#N/A</v>
          </cell>
          <cell r="AC1069" t="e">
            <v>#N/A</v>
          </cell>
          <cell r="AF1069" t="e">
            <v>#N/A</v>
          </cell>
        </row>
        <row r="1070">
          <cell r="V1070" t="e">
            <v>#N/A</v>
          </cell>
          <cell r="W1070" t="e">
            <v>#N/A</v>
          </cell>
          <cell r="AA1070" t="e">
            <v>#N/A</v>
          </cell>
          <cell r="AB1070" t="e">
            <v>#N/A</v>
          </cell>
          <cell r="AC1070" t="e">
            <v>#N/A</v>
          </cell>
          <cell r="AF1070" t="e">
            <v>#N/A</v>
          </cell>
        </row>
        <row r="1071">
          <cell r="V1071" t="e">
            <v>#N/A</v>
          </cell>
          <cell r="W1071" t="e">
            <v>#N/A</v>
          </cell>
          <cell r="AA1071" t="e">
            <v>#N/A</v>
          </cell>
          <cell r="AB1071" t="e">
            <v>#N/A</v>
          </cell>
          <cell r="AC1071" t="e">
            <v>#N/A</v>
          </cell>
          <cell r="AF1071" t="e">
            <v>#N/A</v>
          </cell>
        </row>
        <row r="1072">
          <cell r="V1072" t="e">
            <v>#N/A</v>
          </cell>
          <cell r="W1072" t="e">
            <v>#N/A</v>
          </cell>
          <cell r="AA1072" t="e">
            <v>#N/A</v>
          </cell>
          <cell r="AB1072" t="e">
            <v>#N/A</v>
          </cell>
          <cell r="AC1072" t="e">
            <v>#N/A</v>
          </cell>
          <cell r="AF1072" t="e">
            <v>#N/A</v>
          </cell>
        </row>
        <row r="1073">
          <cell r="V1073" t="e">
            <v>#N/A</v>
          </cell>
          <cell r="W1073" t="e">
            <v>#N/A</v>
          </cell>
          <cell r="AA1073" t="e">
            <v>#N/A</v>
          </cell>
          <cell r="AB1073" t="e">
            <v>#N/A</v>
          </cell>
          <cell r="AC1073" t="e">
            <v>#N/A</v>
          </cell>
          <cell r="AF1073" t="e">
            <v>#N/A</v>
          </cell>
        </row>
        <row r="1074">
          <cell r="V1074" t="e">
            <v>#N/A</v>
          </cell>
          <cell r="W1074" t="e">
            <v>#N/A</v>
          </cell>
          <cell r="AA1074" t="e">
            <v>#N/A</v>
          </cell>
          <cell r="AB1074" t="e">
            <v>#N/A</v>
          </cell>
          <cell r="AC1074" t="e">
            <v>#N/A</v>
          </cell>
          <cell r="AF1074" t="e">
            <v>#N/A</v>
          </cell>
        </row>
        <row r="1075">
          <cell r="V1075" t="e">
            <v>#N/A</v>
          </cell>
          <cell r="W1075" t="e">
            <v>#N/A</v>
          </cell>
          <cell r="AA1075" t="e">
            <v>#N/A</v>
          </cell>
          <cell r="AB1075" t="e">
            <v>#N/A</v>
          </cell>
          <cell r="AC1075" t="e">
            <v>#N/A</v>
          </cell>
          <cell r="AF1075" t="e">
            <v>#N/A</v>
          </cell>
        </row>
        <row r="1076">
          <cell r="V1076" t="e">
            <v>#N/A</v>
          </cell>
          <cell r="W1076" t="e">
            <v>#N/A</v>
          </cell>
          <cell r="AA1076" t="e">
            <v>#N/A</v>
          </cell>
          <cell r="AB1076" t="e">
            <v>#N/A</v>
          </cell>
          <cell r="AC1076" t="e">
            <v>#N/A</v>
          </cell>
          <cell r="AF1076" t="e">
            <v>#N/A</v>
          </cell>
        </row>
        <row r="1077">
          <cell r="V1077" t="e">
            <v>#N/A</v>
          </cell>
          <cell r="W1077" t="e">
            <v>#N/A</v>
          </cell>
          <cell r="AA1077" t="e">
            <v>#N/A</v>
          </cell>
          <cell r="AB1077" t="e">
            <v>#N/A</v>
          </cell>
          <cell r="AC1077" t="e">
            <v>#N/A</v>
          </cell>
          <cell r="AF1077" t="e">
            <v>#N/A</v>
          </cell>
        </row>
        <row r="1078">
          <cell r="V1078" t="e">
            <v>#N/A</v>
          </cell>
          <cell r="W1078" t="e">
            <v>#N/A</v>
          </cell>
          <cell r="AA1078" t="e">
            <v>#N/A</v>
          </cell>
          <cell r="AB1078" t="e">
            <v>#N/A</v>
          </cell>
          <cell r="AC1078" t="e">
            <v>#N/A</v>
          </cell>
          <cell r="AF1078" t="e">
            <v>#N/A</v>
          </cell>
        </row>
        <row r="1079">
          <cell r="V1079" t="e">
            <v>#N/A</v>
          </cell>
          <cell r="W1079" t="e">
            <v>#N/A</v>
          </cell>
          <cell r="AA1079" t="e">
            <v>#N/A</v>
          </cell>
          <cell r="AB1079" t="e">
            <v>#N/A</v>
          </cell>
          <cell r="AC1079" t="e">
            <v>#N/A</v>
          </cell>
          <cell r="AF1079" t="e">
            <v>#N/A</v>
          </cell>
        </row>
        <row r="1080">
          <cell r="V1080" t="e">
            <v>#N/A</v>
          </cell>
          <cell r="W1080" t="e">
            <v>#N/A</v>
          </cell>
          <cell r="AA1080" t="e">
            <v>#N/A</v>
          </cell>
          <cell r="AB1080" t="e">
            <v>#N/A</v>
          </cell>
          <cell r="AC1080" t="e">
            <v>#N/A</v>
          </cell>
          <cell r="AF1080" t="e">
            <v>#N/A</v>
          </cell>
        </row>
        <row r="1081">
          <cell r="V1081" t="e">
            <v>#N/A</v>
          </cell>
          <cell r="W1081" t="e">
            <v>#N/A</v>
          </cell>
          <cell r="AA1081" t="e">
            <v>#N/A</v>
          </cell>
          <cell r="AB1081" t="e">
            <v>#N/A</v>
          </cell>
          <cell r="AC1081" t="e">
            <v>#N/A</v>
          </cell>
          <cell r="AF1081" t="e">
            <v>#N/A</v>
          </cell>
        </row>
        <row r="1082">
          <cell r="V1082" t="e">
            <v>#N/A</v>
          </cell>
          <cell r="W1082" t="e">
            <v>#N/A</v>
          </cell>
          <cell r="AA1082" t="e">
            <v>#N/A</v>
          </cell>
          <cell r="AB1082" t="e">
            <v>#N/A</v>
          </cell>
          <cell r="AC1082" t="e">
            <v>#N/A</v>
          </cell>
          <cell r="AF1082" t="e">
            <v>#N/A</v>
          </cell>
        </row>
        <row r="1083">
          <cell r="V1083" t="e">
            <v>#N/A</v>
          </cell>
          <cell r="W1083" t="e">
            <v>#N/A</v>
          </cell>
          <cell r="AA1083" t="e">
            <v>#N/A</v>
          </cell>
          <cell r="AB1083" t="e">
            <v>#N/A</v>
          </cell>
          <cell r="AC1083" t="e">
            <v>#N/A</v>
          </cell>
          <cell r="AF1083" t="e">
            <v>#N/A</v>
          </cell>
        </row>
        <row r="1084">
          <cell r="V1084" t="e">
            <v>#N/A</v>
          </cell>
          <cell r="W1084" t="e">
            <v>#N/A</v>
          </cell>
          <cell r="AA1084" t="e">
            <v>#N/A</v>
          </cell>
          <cell r="AB1084" t="e">
            <v>#N/A</v>
          </cell>
          <cell r="AC1084" t="e">
            <v>#N/A</v>
          </cell>
          <cell r="AF1084" t="e">
            <v>#N/A</v>
          </cell>
        </row>
        <row r="1085">
          <cell r="V1085" t="e">
            <v>#N/A</v>
          </cell>
          <cell r="W1085" t="e">
            <v>#N/A</v>
          </cell>
          <cell r="AA1085" t="e">
            <v>#N/A</v>
          </cell>
          <cell r="AB1085" t="e">
            <v>#N/A</v>
          </cell>
          <cell r="AC1085" t="e">
            <v>#N/A</v>
          </cell>
          <cell r="AF1085" t="e">
            <v>#N/A</v>
          </cell>
        </row>
        <row r="1086">
          <cell r="V1086" t="e">
            <v>#N/A</v>
          </cell>
          <cell r="W1086" t="e">
            <v>#N/A</v>
          </cell>
          <cell r="AA1086" t="e">
            <v>#N/A</v>
          </cell>
          <cell r="AB1086" t="e">
            <v>#N/A</v>
          </cell>
          <cell r="AC1086" t="e">
            <v>#N/A</v>
          </cell>
          <cell r="AF1086" t="e">
            <v>#N/A</v>
          </cell>
        </row>
        <row r="1087">
          <cell r="V1087" t="e">
            <v>#N/A</v>
          </cell>
          <cell r="W1087" t="e">
            <v>#N/A</v>
          </cell>
          <cell r="AA1087" t="e">
            <v>#N/A</v>
          </cell>
          <cell r="AB1087" t="e">
            <v>#N/A</v>
          </cell>
          <cell r="AC1087" t="e">
            <v>#N/A</v>
          </cell>
          <cell r="AF1087" t="e">
            <v>#N/A</v>
          </cell>
        </row>
        <row r="1088">
          <cell r="V1088" t="e">
            <v>#N/A</v>
          </cell>
          <cell r="W1088" t="e">
            <v>#N/A</v>
          </cell>
          <cell r="AA1088" t="e">
            <v>#N/A</v>
          </cell>
          <cell r="AB1088" t="e">
            <v>#N/A</v>
          </cell>
          <cell r="AC1088" t="e">
            <v>#N/A</v>
          </cell>
          <cell r="AF1088" t="e">
            <v>#N/A</v>
          </cell>
        </row>
        <row r="1089">
          <cell r="V1089" t="e">
            <v>#N/A</v>
          </cell>
          <cell r="W1089" t="e">
            <v>#N/A</v>
          </cell>
          <cell r="AA1089" t="e">
            <v>#N/A</v>
          </cell>
          <cell r="AB1089" t="e">
            <v>#N/A</v>
          </cell>
          <cell r="AC1089" t="e">
            <v>#N/A</v>
          </cell>
          <cell r="AF1089" t="e">
            <v>#N/A</v>
          </cell>
        </row>
        <row r="1090">
          <cell r="V1090" t="e">
            <v>#N/A</v>
          </cell>
          <cell r="W1090" t="e">
            <v>#N/A</v>
          </cell>
          <cell r="AA1090" t="e">
            <v>#N/A</v>
          </cell>
          <cell r="AB1090" t="e">
            <v>#N/A</v>
          </cell>
          <cell r="AC1090" t="e">
            <v>#N/A</v>
          </cell>
          <cell r="AF1090" t="e">
            <v>#N/A</v>
          </cell>
        </row>
        <row r="1091">
          <cell r="V1091" t="e">
            <v>#N/A</v>
          </cell>
          <cell r="W1091" t="e">
            <v>#N/A</v>
          </cell>
          <cell r="AA1091" t="e">
            <v>#N/A</v>
          </cell>
          <cell r="AB1091" t="e">
            <v>#N/A</v>
          </cell>
          <cell r="AC1091" t="e">
            <v>#N/A</v>
          </cell>
          <cell r="AF1091" t="e">
            <v>#N/A</v>
          </cell>
        </row>
        <row r="1092">
          <cell r="V1092" t="e">
            <v>#N/A</v>
          </cell>
          <cell r="W1092" t="e">
            <v>#N/A</v>
          </cell>
          <cell r="AA1092" t="e">
            <v>#N/A</v>
          </cell>
          <cell r="AB1092" t="e">
            <v>#N/A</v>
          </cell>
          <cell r="AC1092" t="e">
            <v>#N/A</v>
          </cell>
          <cell r="AF1092" t="e">
            <v>#N/A</v>
          </cell>
        </row>
        <row r="1093">
          <cell r="V1093" t="e">
            <v>#N/A</v>
          </cell>
          <cell r="W1093" t="e">
            <v>#N/A</v>
          </cell>
          <cell r="AA1093" t="e">
            <v>#N/A</v>
          </cell>
          <cell r="AB1093" t="e">
            <v>#N/A</v>
          </cell>
          <cell r="AC1093" t="e">
            <v>#N/A</v>
          </cell>
          <cell r="AF1093" t="e">
            <v>#N/A</v>
          </cell>
        </row>
        <row r="1094">
          <cell r="V1094" t="e">
            <v>#N/A</v>
          </cell>
          <cell r="W1094" t="e">
            <v>#N/A</v>
          </cell>
          <cell r="AA1094" t="e">
            <v>#N/A</v>
          </cell>
          <cell r="AB1094" t="e">
            <v>#N/A</v>
          </cell>
          <cell r="AC1094" t="e">
            <v>#N/A</v>
          </cell>
          <cell r="AF1094" t="e">
            <v>#N/A</v>
          </cell>
        </row>
        <row r="1095">
          <cell r="V1095" t="e">
            <v>#N/A</v>
          </cell>
          <cell r="W1095" t="e">
            <v>#N/A</v>
          </cell>
          <cell r="AA1095" t="e">
            <v>#N/A</v>
          </cell>
          <cell r="AB1095" t="e">
            <v>#N/A</v>
          </cell>
          <cell r="AC1095" t="e">
            <v>#N/A</v>
          </cell>
          <cell r="AF1095" t="e">
            <v>#N/A</v>
          </cell>
        </row>
        <row r="1096">
          <cell r="V1096" t="e">
            <v>#N/A</v>
          </cell>
          <cell r="W1096" t="e">
            <v>#N/A</v>
          </cell>
          <cell r="AA1096" t="e">
            <v>#N/A</v>
          </cell>
          <cell r="AB1096" t="e">
            <v>#N/A</v>
          </cell>
          <cell r="AC1096" t="e">
            <v>#N/A</v>
          </cell>
          <cell r="AF1096" t="e">
            <v>#N/A</v>
          </cell>
        </row>
        <row r="1097">
          <cell r="V1097" t="e">
            <v>#N/A</v>
          </cell>
          <cell r="W1097" t="e">
            <v>#N/A</v>
          </cell>
          <cell r="AA1097" t="e">
            <v>#N/A</v>
          </cell>
          <cell r="AB1097" t="e">
            <v>#N/A</v>
          </cell>
          <cell r="AC1097" t="e">
            <v>#N/A</v>
          </cell>
          <cell r="AF1097" t="e">
            <v>#N/A</v>
          </cell>
        </row>
        <row r="1098">
          <cell r="V1098" t="e">
            <v>#N/A</v>
          </cell>
          <cell r="W1098" t="e">
            <v>#N/A</v>
          </cell>
          <cell r="AA1098" t="e">
            <v>#N/A</v>
          </cell>
          <cell r="AB1098" t="e">
            <v>#N/A</v>
          </cell>
          <cell r="AC1098" t="e">
            <v>#N/A</v>
          </cell>
          <cell r="AF1098" t="e">
            <v>#N/A</v>
          </cell>
        </row>
        <row r="1099">
          <cell r="V1099" t="e">
            <v>#N/A</v>
          </cell>
          <cell r="W1099" t="e">
            <v>#N/A</v>
          </cell>
          <cell r="AA1099" t="e">
            <v>#N/A</v>
          </cell>
          <cell r="AB1099" t="e">
            <v>#N/A</v>
          </cell>
          <cell r="AC1099" t="e">
            <v>#N/A</v>
          </cell>
          <cell r="AF1099" t="e">
            <v>#N/A</v>
          </cell>
        </row>
        <row r="1100">
          <cell r="V1100" t="e">
            <v>#N/A</v>
          </cell>
          <cell r="W1100" t="e">
            <v>#N/A</v>
          </cell>
          <cell r="AA1100" t="e">
            <v>#N/A</v>
          </cell>
          <cell r="AB1100" t="e">
            <v>#N/A</v>
          </cell>
          <cell r="AC1100" t="e">
            <v>#N/A</v>
          </cell>
          <cell r="AF1100" t="e">
            <v>#N/A</v>
          </cell>
        </row>
        <row r="1101">
          <cell r="V1101" t="e">
            <v>#N/A</v>
          </cell>
          <cell r="W1101" t="e">
            <v>#N/A</v>
          </cell>
          <cell r="AA1101" t="e">
            <v>#N/A</v>
          </cell>
          <cell r="AB1101" t="e">
            <v>#N/A</v>
          </cell>
          <cell r="AC1101" t="e">
            <v>#N/A</v>
          </cell>
          <cell r="AF1101" t="e">
            <v>#N/A</v>
          </cell>
        </row>
        <row r="1102">
          <cell r="V1102" t="e">
            <v>#N/A</v>
          </cell>
          <cell r="W1102" t="e">
            <v>#N/A</v>
          </cell>
          <cell r="AA1102" t="e">
            <v>#N/A</v>
          </cell>
          <cell r="AB1102" t="e">
            <v>#N/A</v>
          </cell>
          <cell r="AC1102" t="e">
            <v>#N/A</v>
          </cell>
          <cell r="AF1102" t="e">
            <v>#N/A</v>
          </cell>
        </row>
        <row r="1103">
          <cell r="V1103" t="e">
            <v>#N/A</v>
          </cell>
          <cell r="W1103" t="e">
            <v>#N/A</v>
          </cell>
          <cell r="AA1103" t="e">
            <v>#N/A</v>
          </cell>
          <cell r="AB1103" t="e">
            <v>#N/A</v>
          </cell>
          <cell r="AC1103" t="e">
            <v>#N/A</v>
          </cell>
          <cell r="AF1103" t="e">
            <v>#N/A</v>
          </cell>
        </row>
        <row r="1104">
          <cell r="V1104" t="e">
            <v>#N/A</v>
          </cell>
          <cell r="W1104" t="e">
            <v>#N/A</v>
          </cell>
          <cell r="AA1104" t="e">
            <v>#N/A</v>
          </cell>
          <cell r="AB1104" t="e">
            <v>#N/A</v>
          </cell>
          <cell r="AC1104" t="e">
            <v>#N/A</v>
          </cell>
          <cell r="AF1104" t="e">
            <v>#N/A</v>
          </cell>
        </row>
        <row r="1105">
          <cell r="V1105" t="e">
            <v>#N/A</v>
          </cell>
          <cell r="W1105" t="e">
            <v>#N/A</v>
          </cell>
          <cell r="AA1105" t="e">
            <v>#N/A</v>
          </cell>
          <cell r="AB1105" t="e">
            <v>#N/A</v>
          </cell>
          <cell r="AC1105" t="e">
            <v>#N/A</v>
          </cell>
          <cell r="AF1105" t="e">
            <v>#N/A</v>
          </cell>
        </row>
        <row r="1106">
          <cell r="V1106" t="e">
            <v>#N/A</v>
          </cell>
          <cell r="W1106" t="e">
            <v>#N/A</v>
          </cell>
          <cell r="AA1106" t="e">
            <v>#N/A</v>
          </cell>
          <cell r="AB1106" t="e">
            <v>#N/A</v>
          </cell>
          <cell r="AC1106" t="e">
            <v>#N/A</v>
          </cell>
          <cell r="AF1106" t="e">
            <v>#N/A</v>
          </cell>
        </row>
        <row r="1107">
          <cell r="V1107" t="e">
            <v>#N/A</v>
          </cell>
          <cell r="W1107" t="e">
            <v>#N/A</v>
          </cell>
          <cell r="AA1107" t="e">
            <v>#N/A</v>
          </cell>
          <cell r="AB1107" t="e">
            <v>#N/A</v>
          </cell>
          <cell r="AC1107" t="e">
            <v>#N/A</v>
          </cell>
          <cell r="AF1107" t="e">
            <v>#N/A</v>
          </cell>
        </row>
        <row r="1108">
          <cell r="V1108" t="e">
            <v>#N/A</v>
          </cell>
          <cell r="W1108" t="e">
            <v>#N/A</v>
          </cell>
          <cell r="AA1108" t="e">
            <v>#N/A</v>
          </cell>
          <cell r="AB1108" t="e">
            <v>#N/A</v>
          </cell>
          <cell r="AC1108" t="e">
            <v>#N/A</v>
          </cell>
          <cell r="AF1108" t="e">
            <v>#N/A</v>
          </cell>
        </row>
        <row r="1109">
          <cell r="V1109" t="e">
            <v>#N/A</v>
          </cell>
          <cell r="W1109" t="e">
            <v>#N/A</v>
          </cell>
          <cell r="AA1109" t="e">
            <v>#N/A</v>
          </cell>
          <cell r="AB1109" t="e">
            <v>#N/A</v>
          </cell>
          <cell r="AC1109" t="e">
            <v>#N/A</v>
          </cell>
          <cell r="AF1109" t="e">
            <v>#N/A</v>
          </cell>
        </row>
        <row r="1110">
          <cell r="V1110" t="e">
            <v>#N/A</v>
          </cell>
          <cell r="W1110" t="e">
            <v>#N/A</v>
          </cell>
          <cell r="AA1110" t="e">
            <v>#N/A</v>
          </cell>
          <cell r="AB1110" t="e">
            <v>#N/A</v>
          </cell>
          <cell r="AC1110" t="e">
            <v>#N/A</v>
          </cell>
          <cell r="AF1110" t="e">
            <v>#N/A</v>
          </cell>
        </row>
        <row r="1111">
          <cell r="V1111" t="e">
            <v>#N/A</v>
          </cell>
          <cell r="W1111" t="e">
            <v>#N/A</v>
          </cell>
          <cell r="AA1111" t="e">
            <v>#N/A</v>
          </cell>
          <cell r="AB1111" t="e">
            <v>#N/A</v>
          </cell>
          <cell r="AC1111" t="e">
            <v>#N/A</v>
          </cell>
          <cell r="AF1111" t="e">
            <v>#N/A</v>
          </cell>
        </row>
        <row r="1112">
          <cell r="V1112" t="e">
            <v>#N/A</v>
          </cell>
          <cell r="W1112" t="e">
            <v>#N/A</v>
          </cell>
          <cell r="AA1112" t="e">
            <v>#N/A</v>
          </cell>
          <cell r="AB1112" t="e">
            <v>#N/A</v>
          </cell>
          <cell r="AC1112" t="e">
            <v>#N/A</v>
          </cell>
          <cell r="AF1112" t="e">
            <v>#N/A</v>
          </cell>
        </row>
        <row r="1113">
          <cell r="V1113" t="e">
            <v>#N/A</v>
          </cell>
          <cell r="W1113" t="e">
            <v>#N/A</v>
          </cell>
          <cell r="AA1113" t="e">
            <v>#N/A</v>
          </cell>
          <cell r="AB1113" t="e">
            <v>#N/A</v>
          </cell>
          <cell r="AC1113" t="e">
            <v>#N/A</v>
          </cell>
          <cell r="AF1113" t="e">
            <v>#N/A</v>
          </cell>
        </row>
        <row r="1114">
          <cell r="V1114" t="e">
            <v>#N/A</v>
          </cell>
          <cell r="W1114" t="e">
            <v>#N/A</v>
          </cell>
          <cell r="AA1114" t="e">
            <v>#N/A</v>
          </cell>
          <cell r="AB1114" t="e">
            <v>#N/A</v>
          </cell>
          <cell r="AC1114" t="e">
            <v>#N/A</v>
          </cell>
          <cell r="AF1114" t="e">
            <v>#N/A</v>
          </cell>
        </row>
        <row r="1115">
          <cell r="V1115" t="e">
            <v>#N/A</v>
          </cell>
          <cell r="W1115" t="e">
            <v>#N/A</v>
          </cell>
          <cell r="AA1115" t="e">
            <v>#N/A</v>
          </cell>
          <cell r="AB1115" t="e">
            <v>#N/A</v>
          </cell>
          <cell r="AC1115" t="e">
            <v>#N/A</v>
          </cell>
          <cell r="AF1115" t="e">
            <v>#N/A</v>
          </cell>
        </row>
        <row r="1116">
          <cell r="V1116" t="e">
            <v>#N/A</v>
          </cell>
          <cell r="W1116" t="e">
            <v>#N/A</v>
          </cell>
          <cell r="AA1116" t="e">
            <v>#N/A</v>
          </cell>
          <cell r="AB1116" t="e">
            <v>#N/A</v>
          </cell>
          <cell r="AC1116" t="e">
            <v>#N/A</v>
          </cell>
          <cell r="AF1116" t="e">
            <v>#N/A</v>
          </cell>
        </row>
        <row r="1117">
          <cell r="V1117" t="e">
            <v>#N/A</v>
          </cell>
          <cell r="W1117" t="e">
            <v>#N/A</v>
          </cell>
          <cell r="AA1117" t="e">
            <v>#N/A</v>
          </cell>
          <cell r="AB1117" t="e">
            <v>#N/A</v>
          </cell>
          <cell r="AC1117" t="e">
            <v>#N/A</v>
          </cell>
          <cell r="AF1117" t="e">
            <v>#N/A</v>
          </cell>
        </row>
        <row r="1118">
          <cell r="V1118" t="e">
            <v>#N/A</v>
          </cell>
          <cell r="W1118" t="e">
            <v>#N/A</v>
          </cell>
          <cell r="AA1118" t="e">
            <v>#N/A</v>
          </cell>
          <cell r="AB1118" t="e">
            <v>#N/A</v>
          </cell>
          <cell r="AC1118" t="e">
            <v>#N/A</v>
          </cell>
          <cell r="AF1118" t="e">
            <v>#N/A</v>
          </cell>
        </row>
        <row r="1119">
          <cell r="V1119" t="e">
            <v>#N/A</v>
          </cell>
          <cell r="W1119" t="e">
            <v>#N/A</v>
          </cell>
          <cell r="AA1119" t="e">
            <v>#N/A</v>
          </cell>
          <cell r="AB1119" t="e">
            <v>#N/A</v>
          </cell>
          <cell r="AC1119" t="e">
            <v>#N/A</v>
          </cell>
          <cell r="AF1119" t="e">
            <v>#N/A</v>
          </cell>
        </row>
        <row r="1120">
          <cell r="V1120" t="e">
            <v>#N/A</v>
          </cell>
          <cell r="W1120" t="e">
            <v>#N/A</v>
          </cell>
          <cell r="AA1120" t="e">
            <v>#N/A</v>
          </cell>
          <cell r="AB1120" t="e">
            <v>#N/A</v>
          </cell>
          <cell r="AC1120" t="e">
            <v>#N/A</v>
          </cell>
          <cell r="AF1120" t="e">
            <v>#N/A</v>
          </cell>
        </row>
        <row r="1121">
          <cell r="V1121" t="e">
            <v>#N/A</v>
          </cell>
          <cell r="W1121" t="e">
            <v>#N/A</v>
          </cell>
          <cell r="AA1121" t="e">
            <v>#N/A</v>
          </cell>
          <cell r="AB1121" t="e">
            <v>#N/A</v>
          </cell>
          <cell r="AC1121" t="e">
            <v>#N/A</v>
          </cell>
          <cell r="AF1121" t="e">
            <v>#N/A</v>
          </cell>
        </row>
        <row r="1122">
          <cell r="V1122" t="e">
            <v>#N/A</v>
          </cell>
          <cell r="W1122" t="e">
            <v>#N/A</v>
          </cell>
          <cell r="AA1122" t="e">
            <v>#N/A</v>
          </cell>
          <cell r="AB1122" t="e">
            <v>#N/A</v>
          </cell>
          <cell r="AC1122" t="e">
            <v>#N/A</v>
          </cell>
          <cell r="AF1122" t="e">
            <v>#N/A</v>
          </cell>
        </row>
        <row r="1123">
          <cell r="V1123" t="e">
            <v>#N/A</v>
          </cell>
          <cell r="W1123" t="e">
            <v>#N/A</v>
          </cell>
          <cell r="AA1123" t="e">
            <v>#N/A</v>
          </cell>
          <cell r="AB1123" t="e">
            <v>#N/A</v>
          </cell>
          <cell r="AC1123" t="e">
            <v>#N/A</v>
          </cell>
          <cell r="AF1123" t="e">
            <v>#N/A</v>
          </cell>
        </row>
        <row r="1124">
          <cell r="V1124" t="e">
            <v>#N/A</v>
          </cell>
          <cell r="W1124" t="e">
            <v>#N/A</v>
          </cell>
          <cell r="AA1124" t="e">
            <v>#N/A</v>
          </cell>
          <cell r="AB1124" t="e">
            <v>#N/A</v>
          </cell>
          <cell r="AC1124" t="e">
            <v>#N/A</v>
          </cell>
          <cell r="AF1124" t="e">
            <v>#N/A</v>
          </cell>
        </row>
        <row r="1125">
          <cell r="V1125" t="e">
            <v>#N/A</v>
          </cell>
          <cell r="W1125" t="e">
            <v>#N/A</v>
          </cell>
          <cell r="AA1125" t="e">
            <v>#N/A</v>
          </cell>
          <cell r="AB1125" t="e">
            <v>#N/A</v>
          </cell>
          <cell r="AC1125" t="e">
            <v>#N/A</v>
          </cell>
          <cell r="AF1125" t="e">
            <v>#N/A</v>
          </cell>
        </row>
        <row r="1126">
          <cell r="V1126" t="e">
            <v>#N/A</v>
          </cell>
          <cell r="W1126" t="e">
            <v>#N/A</v>
          </cell>
          <cell r="AA1126" t="e">
            <v>#N/A</v>
          </cell>
          <cell r="AB1126" t="e">
            <v>#N/A</v>
          </cell>
          <cell r="AC1126" t="e">
            <v>#N/A</v>
          </cell>
          <cell r="AF1126" t="e">
            <v>#N/A</v>
          </cell>
        </row>
        <row r="1127">
          <cell r="V1127" t="e">
            <v>#N/A</v>
          </cell>
          <cell r="W1127" t="e">
            <v>#N/A</v>
          </cell>
          <cell r="AA1127" t="e">
            <v>#N/A</v>
          </cell>
          <cell r="AB1127" t="e">
            <v>#N/A</v>
          </cell>
          <cell r="AC1127" t="e">
            <v>#N/A</v>
          </cell>
          <cell r="AF1127" t="e">
            <v>#N/A</v>
          </cell>
        </row>
        <row r="1128">
          <cell r="V1128" t="e">
            <v>#N/A</v>
          </cell>
          <cell r="W1128" t="e">
            <v>#N/A</v>
          </cell>
          <cell r="AA1128" t="e">
            <v>#N/A</v>
          </cell>
          <cell r="AB1128" t="e">
            <v>#N/A</v>
          </cell>
          <cell r="AC1128" t="e">
            <v>#N/A</v>
          </cell>
          <cell r="AF1128" t="e">
            <v>#N/A</v>
          </cell>
        </row>
        <row r="1129">
          <cell r="V1129" t="e">
            <v>#N/A</v>
          </cell>
          <cell r="W1129" t="e">
            <v>#N/A</v>
          </cell>
          <cell r="AA1129" t="e">
            <v>#N/A</v>
          </cell>
          <cell r="AB1129" t="e">
            <v>#N/A</v>
          </cell>
          <cell r="AC1129" t="e">
            <v>#N/A</v>
          </cell>
          <cell r="AF1129" t="e">
            <v>#N/A</v>
          </cell>
        </row>
        <row r="1130">
          <cell r="V1130" t="e">
            <v>#N/A</v>
          </cell>
          <cell r="W1130" t="e">
            <v>#N/A</v>
          </cell>
          <cell r="AA1130" t="e">
            <v>#N/A</v>
          </cell>
          <cell r="AB1130" t="e">
            <v>#N/A</v>
          </cell>
          <cell r="AC1130" t="e">
            <v>#N/A</v>
          </cell>
          <cell r="AF1130" t="e">
            <v>#N/A</v>
          </cell>
        </row>
        <row r="1131">
          <cell r="V1131" t="e">
            <v>#N/A</v>
          </cell>
          <cell r="W1131" t="e">
            <v>#N/A</v>
          </cell>
          <cell r="AA1131" t="e">
            <v>#N/A</v>
          </cell>
          <cell r="AB1131" t="e">
            <v>#N/A</v>
          </cell>
          <cell r="AC1131" t="e">
            <v>#N/A</v>
          </cell>
          <cell r="AF1131" t="e">
            <v>#N/A</v>
          </cell>
        </row>
        <row r="1132">
          <cell r="V1132" t="e">
            <v>#N/A</v>
          </cell>
          <cell r="W1132" t="e">
            <v>#N/A</v>
          </cell>
          <cell r="AA1132" t="e">
            <v>#N/A</v>
          </cell>
          <cell r="AB1132" t="e">
            <v>#N/A</v>
          </cell>
          <cell r="AC1132" t="e">
            <v>#N/A</v>
          </cell>
          <cell r="AF1132" t="e">
            <v>#N/A</v>
          </cell>
        </row>
        <row r="1133">
          <cell r="V1133" t="e">
            <v>#N/A</v>
          </cell>
          <cell r="W1133" t="e">
            <v>#N/A</v>
          </cell>
          <cell r="AA1133" t="e">
            <v>#N/A</v>
          </cell>
          <cell r="AB1133" t="e">
            <v>#N/A</v>
          </cell>
          <cell r="AC1133" t="e">
            <v>#N/A</v>
          </cell>
          <cell r="AF1133" t="e">
            <v>#N/A</v>
          </cell>
        </row>
        <row r="1134">
          <cell r="V1134" t="e">
            <v>#N/A</v>
          </cell>
          <cell r="W1134" t="e">
            <v>#N/A</v>
          </cell>
          <cell r="AA1134" t="e">
            <v>#N/A</v>
          </cell>
          <cell r="AB1134" t="e">
            <v>#N/A</v>
          </cell>
          <cell r="AC1134" t="e">
            <v>#N/A</v>
          </cell>
          <cell r="AF1134" t="e">
            <v>#N/A</v>
          </cell>
        </row>
        <row r="1135">
          <cell r="V1135" t="e">
            <v>#N/A</v>
          </cell>
          <cell r="W1135" t="e">
            <v>#N/A</v>
          </cell>
          <cell r="AA1135" t="e">
            <v>#N/A</v>
          </cell>
          <cell r="AB1135" t="e">
            <v>#N/A</v>
          </cell>
          <cell r="AC1135" t="e">
            <v>#N/A</v>
          </cell>
          <cell r="AF1135" t="e">
            <v>#N/A</v>
          </cell>
        </row>
        <row r="1136">
          <cell r="V1136" t="e">
            <v>#N/A</v>
          </cell>
          <cell r="W1136" t="e">
            <v>#N/A</v>
          </cell>
          <cell r="AA1136" t="e">
            <v>#N/A</v>
          </cell>
          <cell r="AB1136" t="e">
            <v>#N/A</v>
          </cell>
          <cell r="AC1136" t="e">
            <v>#N/A</v>
          </cell>
          <cell r="AF1136" t="e">
            <v>#N/A</v>
          </cell>
        </row>
        <row r="1137">
          <cell r="V1137" t="e">
            <v>#N/A</v>
          </cell>
          <cell r="W1137" t="e">
            <v>#N/A</v>
          </cell>
          <cell r="AA1137" t="e">
            <v>#N/A</v>
          </cell>
          <cell r="AB1137" t="e">
            <v>#N/A</v>
          </cell>
          <cell r="AC1137" t="e">
            <v>#N/A</v>
          </cell>
          <cell r="AF1137" t="e">
            <v>#N/A</v>
          </cell>
        </row>
        <row r="1138">
          <cell r="V1138" t="e">
            <v>#N/A</v>
          </cell>
          <cell r="W1138" t="e">
            <v>#N/A</v>
          </cell>
          <cell r="AA1138" t="e">
            <v>#N/A</v>
          </cell>
          <cell r="AB1138" t="e">
            <v>#N/A</v>
          </cell>
          <cell r="AC1138" t="e">
            <v>#N/A</v>
          </cell>
          <cell r="AF1138" t="e">
            <v>#N/A</v>
          </cell>
        </row>
        <row r="1139">
          <cell r="V1139" t="e">
            <v>#N/A</v>
          </cell>
          <cell r="W1139" t="e">
            <v>#N/A</v>
          </cell>
          <cell r="AA1139" t="e">
            <v>#N/A</v>
          </cell>
          <cell r="AB1139" t="e">
            <v>#N/A</v>
          </cell>
          <cell r="AC1139" t="e">
            <v>#N/A</v>
          </cell>
          <cell r="AF1139" t="e">
            <v>#N/A</v>
          </cell>
        </row>
        <row r="1140">
          <cell r="V1140" t="e">
            <v>#N/A</v>
          </cell>
          <cell r="W1140" t="e">
            <v>#N/A</v>
          </cell>
          <cell r="AA1140" t="e">
            <v>#N/A</v>
          </cell>
          <cell r="AB1140" t="e">
            <v>#N/A</v>
          </cell>
          <cell r="AC1140" t="e">
            <v>#N/A</v>
          </cell>
          <cell r="AF1140" t="e">
            <v>#N/A</v>
          </cell>
        </row>
        <row r="1141">
          <cell r="V1141" t="e">
            <v>#N/A</v>
          </cell>
          <cell r="W1141" t="e">
            <v>#N/A</v>
          </cell>
          <cell r="AA1141" t="e">
            <v>#N/A</v>
          </cell>
          <cell r="AB1141" t="e">
            <v>#N/A</v>
          </cell>
          <cell r="AC1141" t="e">
            <v>#N/A</v>
          </cell>
          <cell r="AF1141" t="e">
            <v>#N/A</v>
          </cell>
        </row>
        <row r="1142">
          <cell r="V1142" t="e">
            <v>#N/A</v>
          </cell>
          <cell r="W1142" t="e">
            <v>#N/A</v>
          </cell>
          <cell r="AA1142" t="e">
            <v>#N/A</v>
          </cell>
          <cell r="AB1142" t="e">
            <v>#N/A</v>
          </cell>
          <cell r="AC1142" t="e">
            <v>#N/A</v>
          </cell>
          <cell r="AF1142" t="e">
            <v>#N/A</v>
          </cell>
        </row>
        <row r="1143">
          <cell r="V1143" t="e">
            <v>#N/A</v>
          </cell>
          <cell r="W1143" t="e">
            <v>#N/A</v>
          </cell>
          <cell r="AA1143" t="e">
            <v>#N/A</v>
          </cell>
          <cell r="AB1143" t="e">
            <v>#N/A</v>
          </cell>
          <cell r="AC1143" t="e">
            <v>#N/A</v>
          </cell>
          <cell r="AF1143" t="e">
            <v>#N/A</v>
          </cell>
        </row>
        <row r="1144">
          <cell r="V1144" t="e">
            <v>#N/A</v>
          </cell>
          <cell r="W1144" t="e">
            <v>#N/A</v>
          </cell>
          <cell r="AA1144" t="e">
            <v>#N/A</v>
          </cell>
          <cell r="AB1144" t="e">
            <v>#N/A</v>
          </cell>
          <cell r="AC1144" t="e">
            <v>#N/A</v>
          </cell>
          <cell r="AF1144" t="e">
            <v>#N/A</v>
          </cell>
        </row>
        <row r="1145">
          <cell r="V1145" t="e">
            <v>#N/A</v>
          </cell>
          <cell r="W1145" t="e">
            <v>#N/A</v>
          </cell>
          <cell r="AA1145" t="e">
            <v>#N/A</v>
          </cell>
          <cell r="AB1145" t="e">
            <v>#N/A</v>
          </cell>
          <cell r="AC1145" t="e">
            <v>#N/A</v>
          </cell>
          <cell r="AF1145" t="e">
            <v>#N/A</v>
          </cell>
        </row>
        <row r="1146">
          <cell r="V1146" t="e">
            <v>#N/A</v>
          </cell>
          <cell r="W1146" t="e">
            <v>#N/A</v>
          </cell>
          <cell r="AA1146" t="e">
            <v>#N/A</v>
          </cell>
          <cell r="AB1146" t="e">
            <v>#N/A</v>
          </cell>
          <cell r="AC1146" t="e">
            <v>#N/A</v>
          </cell>
          <cell r="AF1146" t="e">
            <v>#N/A</v>
          </cell>
        </row>
        <row r="1147">
          <cell r="V1147" t="e">
            <v>#N/A</v>
          </cell>
          <cell r="W1147" t="e">
            <v>#N/A</v>
          </cell>
          <cell r="AA1147" t="e">
            <v>#N/A</v>
          </cell>
          <cell r="AB1147" t="e">
            <v>#N/A</v>
          </cell>
          <cell r="AC1147" t="e">
            <v>#N/A</v>
          </cell>
          <cell r="AF1147" t="e">
            <v>#N/A</v>
          </cell>
        </row>
        <row r="1148">
          <cell r="V1148" t="e">
            <v>#N/A</v>
          </cell>
          <cell r="W1148" t="e">
            <v>#N/A</v>
          </cell>
          <cell r="AA1148" t="e">
            <v>#N/A</v>
          </cell>
          <cell r="AB1148" t="e">
            <v>#N/A</v>
          </cell>
          <cell r="AC1148" t="e">
            <v>#N/A</v>
          </cell>
          <cell r="AF1148" t="e">
            <v>#N/A</v>
          </cell>
        </row>
        <row r="1149">
          <cell r="V1149" t="e">
            <v>#N/A</v>
          </cell>
          <cell r="W1149" t="e">
            <v>#N/A</v>
          </cell>
          <cell r="AA1149" t="e">
            <v>#N/A</v>
          </cell>
          <cell r="AB1149" t="e">
            <v>#N/A</v>
          </cell>
          <cell r="AC1149" t="e">
            <v>#N/A</v>
          </cell>
          <cell r="AF1149" t="e">
            <v>#N/A</v>
          </cell>
        </row>
        <row r="1150">
          <cell r="V1150" t="e">
            <v>#N/A</v>
          </cell>
          <cell r="W1150" t="e">
            <v>#N/A</v>
          </cell>
          <cell r="AA1150" t="e">
            <v>#N/A</v>
          </cell>
          <cell r="AB1150" t="e">
            <v>#N/A</v>
          </cell>
          <cell r="AC1150" t="e">
            <v>#N/A</v>
          </cell>
          <cell r="AF1150" t="e">
            <v>#N/A</v>
          </cell>
        </row>
        <row r="1151">
          <cell r="V1151" t="e">
            <v>#N/A</v>
          </cell>
          <cell r="W1151" t="e">
            <v>#N/A</v>
          </cell>
          <cell r="AA1151" t="e">
            <v>#N/A</v>
          </cell>
          <cell r="AB1151" t="e">
            <v>#N/A</v>
          </cell>
          <cell r="AC1151" t="e">
            <v>#N/A</v>
          </cell>
          <cell r="AF1151" t="e">
            <v>#N/A</v>
          </cell>
        </row>
        <row r="1152">
          <cell r="V1152" t="e">
            <v>#N/A</v>
          </cell>
          <cell r="W1152" t="e">
            <v>#N/A</v>
          </cell>
          <cell r="AA1152" t="e">
            <v>#N/A</v>
          </cell>
          <cell r="AB1152" t="e">
            <v>#N/A</v>
          </cell>
          <cell r="AC1152" t="e">
            <v>#N/A</v>
          </cell>
          <cell r="AF1152" t="e">
            <v>#N/A</v>
          </cell>
        </row>
        <row r="1153">
          <cell r="V1153" t="e">
            <v>#N/A</v>
          </cell>
          <cell r="W1153" t="e">
            <v>#N/A</v>
          </cell>
          <cell r="AA1153" t="e">
            <v>#N/A</v>
          </cell>
          <cell r="AB1153" t="e">
            <v>#N/A</v>
          </cell>
          <cell r="AC1153" t="e">
            <v>#N/A</v>
          </cell>
          <cell r="AF1153" t="e">
            <v>#N/A</v>
          </cell>
        </row>
        <row r="1154">
          <cell r="V1154" t="e">
            <v>#N/A</v>
          </cell>
          <cell r="W1154" t="e">
            <v>#N/A</v>
          </cell>
          <cell r="AA1154" t="e">
            <v>#N/A</v>
          </cell>
          <cell r="AB1154" t="e">
            <v>#N/A</v>
          </cell>
          <cell r="AC1154" t="e">
            <v>#N/A</v>
          </cell>
          <cell r="AF1154" t="e">
            <v>#N/A</v>
          </cell>
        </row>
        <row r="1155">
          <cell r="V1155" t="e">
            <v>#N/A</v>
          </cell>
          <cell r="W1155" t="e">
            <v>#N/A</v>
          </cell>
          <cell r="AA1155" t="e">
            <v>#N/A</v>
          </cell>
          <cell r="AB1155" t="e">
            <v>#N/A</v>
          </cell>
          <cell r="AC1155" t="e">
            <v>#N/A</v>
          </cell>
          <cell r="AF1155" t="e">
            <v>#N/A</v>
          </cell>
        </row>
        <row r="1156">
          <cell r="V1156" t="e">
            <v>#N/A</v>
          </cell>
          <cell r="W1156" t="e">
            <v>#N/A</v>
          </cell>
          <cell r="AA1156" t="e">
            <v>#N/A</v>
          </cell>
          <cell r="AB1156" t="e">
            <v>#N/A</v>
          </cell>
          <cell r="AC1156" t="e">
            <v>#N/A</v>
          </cell>
          <cell r="AF1156" t="e">
            <v>#N/A</v>
          </cell>
        </row>
        <row r="1157">
          <cell r="V1157" t="e">
            <v>#N/A</v>
          </cell>
          <cell r="W1157" t="e">
            <v>#N/A</v>
          </cell>
          <cell r="AA1157" t="e">
            <v>#N/A</v>
          </cell>
          <cell r="AB1157" t="e">
            <v>#N/A</v>
          </cell>
          <cell r="AC1157" t="e">
            <v>#N/A</v>
          </cell>
          <cell r="AF1157" t="e">
            <v>#N/A</v>
          </cell>
        </row>
        <row r="1158">
          <cell r="V1158" t="e">
            <v>#N/A</v>
          </cell>
          <cell r="W1158" t="e">
            <v>#N/A</v>
          </cell>
          <cell r="AA1158" t="e">
            <v>#N/A</v>
          </cell>
          <cell r="AB1158" t="e">
            <v>#N/A</v>
          </cell>
          <cell r="AC1158" t="e">
            <v>#N/A</v>
          </cell>
          <cell r="AF1158" t="e">
            <v>#N/A</v>
          </cell>
        </row>
        <row r="1159">
          <cell r="V1159" t="e">
            <v>#N/A</v>
          </cell>
          <cell r="W1159" t="e">
            <v>#N/A</v>
          </cell>
          <cell r="AA1159" t="e">
            <v>#N/A</v>
          </cell>
          <cell r="AB1159" t="e">
            <v>#N/A</v>
          </cell>
          <cell r="AC1159" t="e">
            <v>#N/A</v>
          </cell>
          <cell r="AF1159" t="e">
            <v>#N/A</v>
          </cell>
        </row>
        <row r="1160">
          <cell r="V1160" t="e">
            <v>#N/A</v>
          </cell>
          <cell r="W1160" t="e">
            <v>#N/A</v>
          </cell>
          <cell r="AA1160" t="e">
            <v>#N/A</v>
          </cell>
          <cell r="AB1160" t="e">
            <v>#N/A</v>
          </cell>
          <cell r="AC1160" t="e">
            <v>#N/A</v>
          </cell>
          <cell r="AF1160" t="e">
            <v>#N/A</v>
          </cell>
        </row>
        <row r="1161">
          <cell r="V1161" t="e">
            <v>#N/A</v>
          </cell>
          <cell r="W1161" t="e">
            <v>#N/A</v>
          </cell>
          <cell r="AA1161" t="e">
            <v>#N/A</v>
          </cell>
          <cell r="AB1161" t="e">
            <v>#N/A</v>
          </cell>
          <cell r="AC1161" t="e">
            <v>#N/A</v>
          </cell>
          <cell r="AF1161" t="e">
            <v>#N/A</v>
          </cell>
        </row>
        <row r="1162">
          <cell r="V1162" t="e">
            <v>#N/A</v>
          </cell>
          <cell r="W1162" t="e">
            <v>#N/A</v>
          </cell>
          <cell r="AA1162" t="e">
            <v>#N/A</v>
          </cell>
          <cell r="AB1162" t="e">
            <v>#N/A</v>
          </cell>
          <cell r="AC1162" t="e">
            <v>#N/A</v>
          </cell>
          <cell r="AF1162" t="e">
            <v>#N/A</v>
          </cell>
        </row>
        <row r="1163">
          <cell r="V1163" t="e">
            <v>#N/A</v>
          </cell>
          <cell r="W1163" t="e">
            <v>#N/A</v>
          </cell>
          <cell r="AA1163" t="e">
            <v>#N/A</v>
          </cell>
          <cell r="AB1163" t="e">
            <v>#N/A</v>
          </cell>
          <cell r="AC1163" t="e">
            <v>#N/A</v>
          </cell>
          <cell r="AF1163" t="e">
            <v>#N/A</v>
          </cell>
        </row>
        <row r="1164">
          <cell r="V1164" t="e">
            <v>#N/A</v>
          </cell>
          <cell r="W1164" t="e">
            <v>#N/A</v>
          </cell>
          <cell r="AA1164" t="e">
            <v>#N/A</v>
          </cell>
          <cell r="AB1164" t="e">
            <v>#N/A</v>
          </cell>
          <cell r="AC1164" t="e">
            <v>#N/A</v>
          </cell>
          <cell r="AF1164" t="e">
            <v>#N/A</v>
          </cell>
        </row>
        <row r="1165">
          <cell r="V1165" t="e">
            <v>#N/A</v>
          </cell>
          <cell r="W1165" t="e">
            <v>#N/A</v>
          </cell>
          <cell r="AA1165" t="e">
            <v>#N/A</v>
          </cell>
          <cell r="AB1165" t="e">
            <v>#N/A</v>
          </cell>
          <cell r="AC1165" t="e">
            <v>#N/A</v>
          </cell>
          <cell r="AF1165" t="e">
            <v>#N/A</v>
          </cell>
        </row>
        <row r="1166">
          <cell r="V1166" t="e">
            <v>#N/A</v>
          </cell>
          <cell r="W1166" t="e">
            <v>#N/A</v>
          </cell>
          <cell r="AA1166" t="e">
            <v>#N/A</v>
          </cell>
          <cell r="AB1166" t="e">
            <v>#N/A</v>
          </cell>
          <cell r="AC1166" t="e">
            <v>#N/A</v>
          </cell>
          <cell r="AF1166" t="e">
            <v>#N/A</v>
          </cell>
        </row>
        <row r="1167">
          <cell r="V1167" t="e">
            <v>#N/A</v>
          </cell>
          <cell r="W1167" t="e">
            <v>#N/A</v>
          </cell>
          <cell r="AA1167" t="e">
            <v>#N/A</v>
          </cell>
          <cell r="AB1167" t="e">
            <v>#N/A</v>
          </cell>
          <cell r="AC1167" t="e">
            <v>#N/A</v>
          </cell>
          <cell r="AF1167" t="e">
            <v>#N/A</v>
          </cell>
        </row>
        <row r="1168">
          <cell r="V1168" t="e">
            <v>#N/A</v>
          </cell>
          <cell r="W1168" t="e">
            <v>#N/A</v>
          </cell>
          <cell r="AA1168" t="e">
            <v>#N/A</v>
          </cell>
          <cell r="AB1168" t="e">
            <v>#N/A</v>
          </cell>
          <cell r="AC1168" t="e">
            <v>#N/A</v>
          </cell>
          <cell r="AF1168" t="e">
            <v>#N/A</v>
          </cell>
        </row>
        <row r="1169">
          <cell r="V1169" t="e">
            <v>#N/A</v>
          </cell>
          <cell r="W1169" t="e">
            <v>#N/A</v>
          </cell>
          <cell r="AA1169" t="e">
            <v>#N/A</v>
          </cell>
          <cell r="AB1169" t="e">
            <v>#N/A</v>
          </cell>
          <cell r="AC1169" t="e">
            <v>#N/A</v>
          </cell>
          <cell r="AF1169" t="e">
            <v>#N/A</v>
          </cell>
        </row>
        <row r="1170">
          <cell r="V1170" t="e">
            <v>#N/A</v>
          </cell>
          <cell r="W1170" t="e">
            <v>#N/A</v>
          </cell>
          <cell r="AA1170" t="e">
            <v>#N/A</v>
          </cell>
          <cell r="AB1170" t="e">
            <v>#N/A</v>
          </cell>
          <cell r="AC1170" t="e">
            <v>#N/A</v>
          </cell>
          <cell r="AF1170" t="e">
            <v>#N/A</v>
          </cell>
        </row>
        <row r="1171">
          <cell r="V1171" t="e">
            <v>#N/A</v>
          </cell>
          <cell r="W1171" t="e">
            <v>#N/A</v>
          </cell>
          <cell r="AA1171" t="e">
            <v>#N/A</v>
          </cell>
          <cell r="AB1171" t="e">
            <v>#N/A</v>
          </cell>
          <cell r="AC1171" t="e">
            <v>#N/A</v>
          </cell>
          <cell r="AF1171" t="e">
            <v>#N/A</v>
          </cell>
        </row>
        <row r="1172">
          <cell r="V1172" t="e">
            <v>#N/A</v>
          </cell>
          <cell r="W1172" t="e">
            <v>#N/A</v>
          </cell>
          <cell r="AA1172" t="e">
            <v>#N/A</v>
          </cell>
          <cell r="AB1172" t="e">
            <v>#N/A</v>
          </cell>
          <cell r="AC1172" t="e">
            <v>#N/A</v>
          </cell>
          <cell r="AF1172" t="e">
            <v>#N/A</v>
          </cell>
        </row>
        <row r="1173">
          <cell r="V1173" t="e">
            <v>#N/A</v>
          </cell>
          <cell r="W1173" t="e">
            <v>#N/A</v>
          </cell>
          <cell r="AA1173" t="e">
            <v>#N/A</v>
          </cell>
          <cell r="AB1173" t="e">
            <v>#N/A</v>
          </cell>
          <cell r="AC1173" t="e">
            <v>#N/A</v>
          </cell>
          <cell r="AF1173" t="e">
            <v>#N/A</v>
          </cell>
        </row>
        <row r="1174">
          <cell r="V1174" t="e">
            <v>#N/A</v>
          </cell>
          <cell r="W1174" t="e">
            <v>#N/A</v>
          </cell>
          <cell r="AA1174" t="e">
            <v>#N/A</v>
          </cell>
          <cell r="AB1174" t="e">
            <v>#N/A</v>
          </cell>
          <cell r="AC1174" t="e">
            <v>#N/A</v>
          </cell>
          <cell r="AF1174" t="e">
            <v>#N/A</v>
          </cell>
        </row>
        <row r="1175">
          <cell r="V1175" t="e">
            <v>#N/A</v>
          </cell>
          <cell r="W1175" t="e">
            <v>#N/A</v>
          </cell>
          <cell r="AA1175" t="e">
            <v>#N/A</v>
          </cell>
          <cell r="AB1175" t="e">
            <v>#N/A</v>
          </cell>
          <cell r="AC1175" t="e">
            <v>#N/A</v>
          </cell>
          <cell r="AF1175" t="e">
            <v>#N/A</v>
          </cell>
        </row>
        <row r="1176">
          <cell r="V1176" t="e">
            <v>#N/A</v>
          </cell>
          <cell r="W1176" t="e">
            <v>#N/A</v>
          </cell>
          <cell r="AA1176" t="e">
            <v>#N/A</v>
          </cell>
          <cell r="AB1176" t="e">
            <v>#N/A</v>
          </cell>
          <cell r="AC1176" t="e">
            <v>#N/A</v>
          </cell>
          <cell r="AF1176" t="e">
            <v>#N/A</v>
          </cell>
        </row>
        <row r="1177">
          <cell r="V1177" t="e">
            <v>#N/A</v>
          </cell>
          <cell r="W1177" t="e">
            <v>#N/A</v>
          </cell>
          <cell r="AA1177" t="e">
            <v>#N/A</v>
          </cell>
          <cell r="AB1177" t="e">
            <v>#N/A</v>
          </cell>
          <cell r="AC1177" t="e">
            <v>#N/A</v>
          </cell>
          <cell r="AF1177" t="e">
            <v>#N/A</v>
          </cell>
        </row>
        <row r="1178">
          <cell r="V1178" t="e">
            <v>#N/A</v>
          </cell>
          <cell r="W1178" t="e">
            <v>#N/A</v>
          </cell>
          <cell r="AA1178" t="e">
            <v>#N/A</v>
          </cell>
          <cell r="AB1178" t="e">
            <v>#N/A</v>
          </cell>
          <cell r="AC1178" t="e">
            <v>#N/A</v>
          </cell>
          <cell r="AF1178" t="e">
            <v>#N/A</v>
          </cell>
        </row>
        <row r="1179">
          <cell r="V1179" t="e">
            <v>#N/A</v>
          </cell>
          <cell r="W1179" t="e">
            <v>#N/A</v>
          </cell>
          <cell r="AA1179" t="e">
            <v>#N/A</v>
          </cell>
          <cell r="AB1179" t="e">
            <v>#N/A</v>
          </cell>
          <cell r="AC1179" t="e">
            <v>#N/A</v>
          </cell>
          <cell r="AF1179" t="e">
            <v>#N/A</v>
          </cell>
        </row>
        <row r="1180">
          <cell r="V1180" t="e">
            <v>#N/A</v>
          </cell>
          <cell r="W1180" t="e">
            <v>#N/A</v>
          </cell>
          <cell r="AA1180" t="e">
            <v>#N/A</v>
          </cell>
          <cell r="AB1180" t="e">
            <v>#N/A</v>
          </cell>
          <cell r="AC1180" t="e">
            <v>#N/A</v>
          </cell>
          <cell r="AF1180" t="e">
            <v>#N/A</v>
          </cell>
        </row>
        <row r="1181">
          <cell r="V1181" t="e">
            <v>#N/A</v>
          </cell>
          <cell r="W1181" t="e">
            <v>#N/A</v>
          </cell>
          <cell r="AA1181" t="e">
            <v>#N/A</v>
          </cell>
          <cell r="AB1181" t="e">
            <v>#N/A</v>
          </cell>
          <cell r="AC1181" t="e">
            <v>#N/A</v>
          </cell>
          <cell r="AF1181" t="e">
            <v>#N/A</v>
          </cell>
        </row>
        <row r="1182">
          <cell r="V1182" t="e">
            <v>#N/A</v>
          </cell>
          <cell r="W1182" t="e">
            <v>#N/A</v>
          </cell>
          <cell r="AA1182" t="e">
            <v>#N/A</v>
          </cell>
          <cell r="AB1182" t="e">
            <v>#N/A</v>
          </cell>
          <cell r="AC1182" t="e">
            <v>#N/A</v>
          </cell>
          <cell r="AF1182" t="e">
            <v>#N/A</v>
          </cell>
        </row>
        <row r="1183">
          <cell r="V1183" t="e">
            <v>#N/A</v>
          </cell>
          <cell r="W1183" t="e">
            <v>#N/A</v>
          </cell>
          <cell r="AA1183" t="e">
            <v>#N/A</v>
          </cell>
          <cell r="AB1183" t="e">
            <v>#N/A</v>
          </cell>
          <cell r="AC1183" t="e">
            <v>#N/A</v>
          </cell>
          <cell r="AF1183" t="e">
            <v>#N/A</v>
          </cell>
        </row>
        <row r="1184">
          <cell r="V1184" t="e">
            <v>#N/A</v>
          </cell>
          <cell r="W1184" t="e">
            <v>#N/A</v>
          </cell>
          <cell r="AA1184" t="e">
            <v>#N/A</v>
          </cell>
          <cell r="AB1184" t="e">
            <v>#N/A</v>
          </cell>
          <cell r="AC1184" t="e">
            <v>#N/A</v>
          </cell>
          <cell r="AF1184" t="e">
            <v>#N/A</v>
          </cell>
        </row>
        <row r="1185">
          <cell r="V1185" t="e">
            <v>#N/A</v>
          </cell>
          <cell r="W1185" t="e">
            <v>#N/A</v>
          </cell>
          <cell r="AA1185" t="e">
            <v>#N/A</v>
          </cell>
          <cell r="AB1185" t="e">
            <v>#N/A</v>
          </cell>
          <cell r="AC1185" t="e">
            <v>#N/A</v>
          </cell>
          <cell r="AF1185" t="e">
            <v>#N/A</v>
          </cell>
        </row>
        <row r="1186">
          <cell r="V1186" t="e">
            <v>#N/A</v>
          </cell>
          <cell r="W1186" t="e">
            <v>#N/A</v>
          </cell>
          <cell r="AA1186" t="e">
            <v>#N/A</v>
          </cell>
          <cell r="AB1186" t="e">
            <v>#N/A</v>
          </cell>
          <cell r="AC1186" t="e">
            <v>#N/A</v>
          </cell>
          <cell r="AF1186" t="e">
            <v>#N/A</v>
          </cell>
        </row>
        <row r="1187">
          <cell r="V1187" t="e">
            <v>#N/A</v>
          </cell>
          <cell r="W1187" t="e">
            <v>#N/A</v>
          </cell>
          <cell r="AA1187" t="e">
            <v>#N/A</v>
          </cell>
          <cell r="AB1187" t="e">
            <v>#N/A</v>
          </cell>
          <cell r="AC1187" t="e">
            <v>#N/A</v>
          </cell>
          <cell r="AF1187" t="e">
            <v>#N/A</v>
          </cell>
        </row>
        <row r="1188">
          <cell r="V1188" t="e">
            <v>#N/A</v>
          </cell>
          <cell r="W1188" t="e">
            <v>#N/A</v>
          </cell>
          <cell r="AA1188" t="e">
            <v>#N/A</v>
          </cell>
          <cell r="AB1188" t="e">
            <v>#N/A</v>
          </cell>
          <cell r="AC1188" t="e">
            <v>#N/A</v>
          </cell>
          <cell r="AF1188" t="e">
            <v>#N/A</v>
          </cell>
        </row>
        <row r="1189">
          <cell r="V1189" t="e">
            <v>#N/A</v>
          </cell>
          <cell r="W1189" t="e">
            <v>#N/A</v>
          </cell>
          <cell r="AA1189" t="e">
            <v>#N/A</v>
          </cell>
          <cell r="AB1189" t="e">
            <v>#N/A</v>
          </cell>
          <cell r="AC1189" t="e">
            <v>#N/A</v>
          </cell>
          <cell r="AF1189" t="e">
            <v>#N/A</v>
          </cell>
        </row>
        <row r="1190">
          <cell r="V1190" t="e">
            <v>#N/A</v>
          </cell>
          <cell r="W1190" t="e">
            <v>#N/A</v>
          </cell>
          <cell r="AA1190" t="e">
            <v>#N/A</v>
          </cell>
          <cell r="AB1190" t="e">
            <v>#N/A</v>
          </cell>
          <cell r="AC1190" t="e">
            <v>#N/A</v>
          </cell>
          <cell r="AF1190" t="e">
            <v>#N/A</v>
          </cell>
        </row>
        <row r="1191">
          <cell r="V1191" t="e">
            <v>#N/A</v>
          </cell>
          <cell r="W1191" t="e">
            <v>#N/A</v>
          </cell>
          <cell r="AA1191" t="e">
            <v>#N/A</v>
          </cell>
          <cell r="AB1191" t="e">
            <v>#N/A</v>
          </cell>
          <cell r="AC1191" t="e">
            <v>#N/A</v>
          </cell>
          <cell r="AF1191" t="e">
            <v>#N/A</v>
          </cell>
        </row>
        <row r="1192">
          <cell r="V1192" t="e">
            <v>#N/A</v>
          </cell>
          <cell r="W1192" t="e">
            <v>#N/A</v>
          </cell>
          <cell r="AA1192" t="e">
            <v>#N/A</v>
          </cell>
          <cell r="AB1192" t="e">
            <v>#N/A</v>
          </cell>
          <cell r="AC1192" t="e">
            <v>#N/A</v>
          </cell>
          <cell r="AF1192" t="e">
            <v>#N/A</v>
          </cell>
        </row>
        <row r="1193">
          <cell r="V1193" t="e">
            <v>#N/A</v>
          </cell>
          <cell r="W1193" t="e">
            <v>#N/A</v>
          </cell>
          <cell r="AA1193" t="e">
            <v>#N/A</v>
          </cell>
          <cell r="AB1193" t="e">
            <v>#N/A</v>
          </cell>
          <cell r="AC1193" t="e">
            <v>#N/A</v>
          </cell>
          <cell r="AF1193" t="e">
            <v>#N/A</v>
          </cell>
        </row>
        <row r="1194">
          <cell r="V1194" t="e">
            <v>#N/A</v>
          </cell>
          <cell r="W1194" t="e">
            <v>#N/A</v>
          </cell>
          <cell r="AA1194" t="e">
            <v>#N/A</v>
          </cell>
          <cell r="AB1194" t="e">
            <v>#N/A</v>
          </cell>
          <cell r="AC1194" t="e">
            <v>#N/A</v>
          </cell>
          <cell r="AF1194" t="e">
            <v>#N/A</v>
          </cell>
        </row>
        <row r="1195">
          <cell r="V1195" t="e">
            <v>#N/A</v>
          </cell>
          <cell r="W1195" t="e">
            <v>#N/A</v>
          </cell>
          <cell r="AA1195" t="e">
            <v>#N/A</v>
          </cell>
          <cell r="AB1195" t="e">
            <v>#N/A</v>
          </cell>
          <cell r="AC1195" t="e">
            <v>#N/A</v>
          </cell>
          <cell r="AF1195" t="e">
            <v>#N/A</v>
          </cell>
        </row>
        <row r="1196">
          <cell r="V1196" t="e">
            <v>#N/A</v>
          </cell>
          <cell r="W1196" t="e">
            <v>#N/A</v>
          </cell>
          <cell r="AA1196" t="e">
            <v>#N/A</v>
          </cell>
          <cell r="AB1196" t="e">
            <v>#N/A</v>
          </cell>
          <cell r="AC1196" t="e">
            <v>#N/A</v>
          </cell>
          <cell r="AF1196" t="e">
            <v>#N/A</v>
          </cell>
        </row>
        <row r="1197">
          <cell r="V1197" t="e">
            <v>#N/A</v>
          </cell>
          <cell r="W1197" t="e">
            <v>#N/A</v>
          </cell>
          <cell r="AA1197" t="e">
            <v>#N/A</v>
          </cell>
          <cell r="AB1197" t="e">
            <v>#N/A</v>
          </cell>
          <cell r="AC1197" t="e">
            <v>#N/A</v>
          </cell>
          <cell r="AF1197" t="e">
            <v>#N/A</v>
          </cell>
        </row>
        <row r="1198">
          <cell r="V1198" t="e">
            <v>#N/A</v>
          </cell>
          <cell r="W1198" t="e">
            <v>#N/A</v>
          </cell>
          <cell r="AA1198" t="e">
            <v>#N/A</v>
          </cell>
          <cell r="AB1198" t="e">
            <v>#N/A</v>
          </cell>
          <cell r="AC1198" t="e">
            <v>#N/A</v>
          </cell>
          <cell r="AF1198" t="e">
            <v>#N/A</v>
          </cell>
        </row>
        <row r="1199">
          <cell r="V1199" t="e">
            <v>#N/A</v>
          </cell>
          <cell r="W1199" t="e">
            <v>#N/A</v>
          </cell>
          <cell r="AA1199" t="e">
            <v>#N/A</v>
          </cell>
          <cell r="AB1199" t="e">
            <v>#N/A</v>
          </cell>
          <cell r="AC1199" t="e">
            <v>#N/A</v>
          </cell>
          <cell r="AF1199" t="e">
            <v>#N/A</v>
          </cell>
        </row>
        <row r="1200">
          <cell r="V1200" t="e">
            <v>#N/A</v>
          </cell>
          <cell r="W1200" t="e">
            <v>#N/A</v>
          </cell>
          <cell r="AA1200" t="e">
            <v>#N/A</v>
          </cell>
          <cell r="AB1200" t="e">
            <v>#N/A</v>
          </cell>
          <cell r="AC1200" t="e">
            <v>#N/A</v>
          </cell>
          <cell r="AF1200" t="e">
            <v>#N/A</v>
          </cell>
        </row>
        <row r="1201">
          <cell r="V1201" t="e">
            <v>#N/A</v>
          </cell>
          <cell r="W1201" t="e">
            <v>#N/A</v>
          </cell>
          <cell r="AA1201" t="e">
            <v>#N/A</v>
          </cell>
          <cell r="AB1201" t="e">
            <v>#N/A</v>
          </cell>
          <cell r="AC1201" t="e">
            <v>#N/A</v>
          </cell>
          <cell r="AF1201" t="e">
            <v>#N/A</v>
          </cell>
        </row>
        <row r="1202">
          <cell r="V1202" t="e">
            <v>#N/A</v>
          </cell>
          <cell r="W1202" t="e">
            <v>#N/A</v>
          </cell>
          <cell r="AA1202" t="e">
            <v>#N/A</v>
          </cell>
          <cell r="AB1202" t="e">
            <v>#N/A</v>
          </cell>
          <cell r="AC1202" t="e">
            <v>#N/A</v>
          </cell>
          <cell r="AF1202" t="e">
            <v>#N/A</v>
          </cell>
        </row>
        <row r="1203">
          <cell r="V1203" t="e">
            <v>#N/A</v>
          </cell>
          <cell r="W1203" t="e">
            <v>#N/A</v>
          </cell>
          <cell r="AA1203" t="e">
            <v>#N/A</v>
          </cell>
          <cell r="AB1203" t="e">
            <v>#N/A</v>
          </cell>
          <cell r="AC1203" t="e">
            <v>#N/A</v>
          </cell>
          <cell r="AF1203" t="e">
            <v>#N/A</v>
          </cell>
        </row>
        <row r="1204">
          <cell r="V1204" t="e">
            <v>#N/A</v>
          </cell>
          <cell r="W1204" t="e">
            <v>#N/A</v>
          </cell>
          <cell r="AA1204" t="e">
            <v>#N/A</v>
          </cell>
          <cell r="AB1204" t="e">
            <v>#N/A</v>
          </cell>
          <cell r="AC1204" t="e">
            <v>#N/A</v>
          </cell>
          <cell r="AF1204" t="e">
            <v>#N/A</v>
          </cell>
        </row>
        <row r="1205">
          <cell r="V1205" t="e">
            <v>#N/A</v>
          </cell>
          <cell r="W1205" t="e">
            <v>#N/A</v>
          </cell>
          <cell r="AA1205" t="e">
            <v>#N/A</v>
          </cell>
          <cell r="AB1205" t="e">
            <v>#N/A</v>
          </cell>
          <cell r="AC1205" t="e">
            <v>#N/A</v>
          </cell>
          <cell r="AF1205" t="e">
            <v>#N/A</v>
          </cell>
        </row>
        <row r="1206">
          <cell r="V1206" t="e">
            <v>#N/A</v>
          </cell>
          <cell r="W1206" t="e">
            <v>#N/A</v>
          </cell>
          <cell r="AA1206" t="e">
            <v>#N/A</v>
          </cell>
          <cell r="AB1206" t="e">
            <v>#N/A</v>
          </cell>
          <cell r="AC1206" t="e">
            <v>#N/A</v>
          </cell>
          <cell r="AF1206" t="e">
            <v>#N/A</v>
          </cell>
        </row>
        <row r="1207">
          <cell r="V1207" t="e">
            <v>#N/A</v>
          </cell>
          <cell r="W1207" t="e">
            <v>#N/A</v>
          </cell>
          <cell r="AA1207" t="e">
            <v>#N/A</v>
          </cell>
          <cell r="AB1207" t="e">
            <v>#N/A</v>
          </cell>
          <cell r="AC1207" t="e">
            <v>#N/A</v>
          </cell>
          <cell r="AF1207" t="e">
            <v>#N/A</v>
          </cell>
        </row>
        <row r="1208">
          <cell r="V1208" t="e">
            <v>#N/A</v>
          </cell>
          <cell r="W1208" t="e">
            <v>#N/A</v>
          </cell>
          <cell r="AA1208" t="e">
            <v>#N/A</v>
          </cell>
          <cell r="AB1208" t="e">
            <v>#N/A</v>
          </cell>
          <cell r="AC1208" t="e">
            <v>#N/A</v>
          </cell>
          <cell r="AF1208" t="e">
            <v>#N/A</v>
          </cell>
        </row>
        <row r="1209">
          <cell r="V1209" t="e">
            <v>#N/A</v>
          </cell>
          <cell r="W1209" t="e">
            <v>#N/A</v>
          </cell>
          <cell r="AA1209" t="e">
            <v>#N/A</v>
          </cell>
          <cell r="AB1209" t="e">
            <v>#N/A</v>
          </cell>
          <cell r="AC1209" t="e">
            <v>#N/A</v>
          </cell>
          <cell r="AF1209" t="e">
            <v>#N/A</v>
          </cell>
        </row>
        <row r="1210">
          <cell r="V1210" t="e">
            <v>#N/A</v>
          </cell>
          <cell r="W1210" t="e">
            <v>#N/A</v>
          </cell>
          <cell r="AA1210" t="e">
            <v>#N/A</v>
          </cell>
          <cell r="AB1210" t="e">
            <v>#N/A</v>
          </cell>
          <cell r="AC1210" t="e">
            <v>#N/A</v>
          </cell>
          <cell r="AF1210" t="e">
            <v>#N/A</v>
          </cell>
        </row>
        <row r="1211">
          <cell r="V1211" t="e">
            <v>#N/A</v>
          </cell>
          <cell r="W1211" t="e">
            <v>#N/A</v>
          </cell>
          <cell r="AA1211" t="e">
            <v>#N/A</v>
          </cell>
          <cell r="AB1211" t="e">
            <v>#N/A</v>
          </cell>
          <cell r="AC1211" t="e">
            <v>#N/A</v>
          </cell>
          <cell r="AF1211" t="e">
            <v>#N/A</v>
          </cell>
        </row>
        <row r="1212">
          <cell r="V1212" t="e">
            <v>#N/A</v>
          </cell>
          <cell r="W1212" t="e">
            <v>#N/A</v>
          </cell>
          <cell r="AA1212" t="e">
            <v>#N/A</v>
          </cell>
          <cell r="AB1212" t="e">
            <v>#N/A</v>
          </cell>
          <cell r="AC1212" t="e">
            <v>#N/A</v>
          </cell>
          <cell r="AF1212" t="e">
            <v>#N/A</v>
          </cell>
        </row>
        <row r="1213">
          <cell r="V1213" t="e">
            <v>#N/A</v>
          </cell>
          <cell r="W1213" t="e">
            <v>#N/A</v>
          </cell>
          <cell r="AA1213" t="e">
            <v>#N/A</v>
          </cell>
          <cell r="AB1213" t="e">
            <v>#N/A</v>
          </cell>
          <cell r="AC1213" t="e">
            <v>#N/A</v>
          </cell>
          <cell r="AF1213" t="e">
            <v>#N/A</v>
          </cell>
        </row>
        <row r="1214">
          <cell r="V1214" t="e">
            <v>#N/A</v>
          </cell>
          <cell r="W1214" t="e">
            <v>#N/A</v>
          </cell>
          <cell r="AA1214" t="e">
            <v>#N/A</v>
          </cell>
          <cell r="AB1214" t="e">
            <v>#N/A</v>
          </cell>
          <cell r="AC1214" t="e">
            <v>#N/A</v>
          </cell>
          <cell r="AF1214" t="e">
            <v>#N/A</v>
          </cell>
        </row>
        <row r="1215">
          <cell r="V1215" t="e">
            <v>#N/A</v>
          </cell>
          <cell r="W1215" t="e">
            <v>#N/A</v>
          </cell>
          <cell r="AA1215" t="e">
            <v>#N/A</v>
          </cell>
          <cell r="AB1215" t="e">
            <v>#N/A</v>
          </cell>
          <cell r="AC1215" t="e">
            <v>#N/A</v>
          </cell>
          <cell r="AF1215" t="e">
            <v>#N/A</v>
          </cell>
        </row>
        <row r="1216">
          <cell r="V1216" t="e">
            <v>#N/A</v>
          </cell>
          <cell r="W1216" t="e">
            <v>#N/A</v>
          </cell>
          <cell r="AA1216" t="e">
            <v>#N/A</v>
          </cell>
          <cell r="AB1216" t="e">
            <v>#N/A</v>
          </cell>
          <cell r="AC1216" t="e">
            <v>#N/A</v>
          </cell>
          <cell r="AF1216" t="e">
            <v>#N/A</v>
          </cell>
        </row>
        <row r="1217">
          <cell r="V1217" t="e">
            <v>#N/A</v>
          </cell>
          <cell r="W1217" t="e">
            <v>#N/A</v>
          </cell>
          <cell r="AA1217" t="e">
            <v>#N/A</v>
          </cell>
          <cell r="AB1217" t="e">
            <v>#N/A</v>
          </cell>
          <cell r="AC1217" t="e">
            <v>#N/A</v>
          </cell>
          <cell r="AF1217" t="e">
            <v>#N/A</v>
          </cell>
        </row>
        <row r="1218">
          <cell r="V1218" t="e">
            <v>#N/A</v>
          </cell>
          <cell r="W1218" t="e">
            <v>#N/A</v>
          </cell>
          <cell r="AA1218" t="e">
            <v>#N/A</v>
          </cell>
          <cell r="AB1218" t="e">
            <v>#N/A</v>
          </cell>
          <cell r="AC1218" t="e">
            <v>#N/A</v>
          </cell>
          <cell r="AF1218" t="e">
            <v>#N/A</v>
          </cell>
        </row>
        <row r="1219">
          <cell r="V1219" t="e">
            <v>#N/A</v>
          </cell>
          <cell r="W1219" t="e">
            <v>#N/A</v>
          </cell>
          <cell r="AA1219" t="e">
            <v>#N/A</v>
          </cell>
          <cell r="AB1219" t="e">
            <v>#N/A</v>
          </cell>
          <cell r="AC1219" t="e">
            <v>#N/A</v>
          </cell>
          <cell r="AF1219" t="e">
            <v>#N/A</v>
          </cell>
        </row>
        <row r="1220">
          <cell r="V1220" t="e">
            <v>#N/A</v>
          </cell>
          <cell r="W1220" t="e">
            <v>#N/A</v>
          </cell>
          <cell r="AA1220" t="e">
            <v>#N/A</v>
          </cell>
          <cell r="AB1220" t="e">
            <v>#N/A</v>
          </cell>
          <cell r="AC1220" t="e">
            <v>#N/A</v>
          </cell>
          <cell r="AF1220" t="e">
            <v>#N/A</v>
          </cell>
        </row>
        <row r="1221">
          <cell r="V1221" t="e">
            <v>#N/A</v>
          </cell>
          <cell r="W1221" t="e">
            <v>#N/A</v>
          </cell>
          <cell r="AA1221" t="e">
            <v>#N/A</v>
          </cell>
          <cell r="AB1221" t="e">
            <v>#N/A</v>
          </cell>
          <cell r="AC1221" t="e">
            <v>#N/A</v>
          </cell>
          <cell r="AF1221" t="e">
            <v>#N/A</v>
          </cell>
        </row>
        <row r="1222">
          <cell r="V1222" t="e">
            <v>#N/A</v>
          </cell>
          <cell r="W1222" t="e">
            <v>#N/A</v>
          </cell>
          <cell r="AA1222" t="e">
            <v>#N/A</v>
          </cell>
          <cell r="AB1222" t="e">
            <v>#N/A</v>
          </cell>
          <cell r="AC1222" t="e">
            <v>#N/A</v>
          </cell>
          <cell r="AF1222" t="e">
            <v>#N/A</v>
          </cell>
        </row>
        <row r="1223">
          <cell r="V1223" t="e">
            <v>#N/A</v>
          </cell>
          <cell r="W1223" t="e">
            <v>#N/A</v>
          </cell>
          <cell r="AA1223" t="e">
            <v>#N/A</v>
          </cell>
          <cell r="AB1223" t="e">
            <v>#N/A</v>
          </cell>
          <cell r="AC1223" t="e">
            <v>#N/A</v>
          </cell>
          <cell r="AF1223" t="e">
            <v>#N/A</v>
          </cell>
        </row>
        <row r="1224">
          <cell r="V1224" t="e">
            <v>#N/A</v>
          </cell>
          <cell r="W1224" t="e">
            <v>#N/A</v>
          </cell>
          <cell r="AA1224" t="e">
            <v>#N/A</v>
          </cell>
          <cell r="AB1224" t="e">
            <v>#N/A</v>
          </cell>
          <cell r="AC1224" t="e">
            <v>#N/A</v>
          </cell>
          <cell r="AF1224" t="e">
            <v>#N/A</v>
          </cell>
        </row>
        <row r="1225">
          <cell r="V1225" t="e">
            <v>#N/A</v>
          </cell>
          <cell r="W1225" t="e">
            <v>#N/A</v>
          </cell>
          <cell r="AA1225" t="e">
            <v>#N/A</v>
          </cell>
          <cell r="AB1225" t="e">
            <v>#N/A</v>
          </cell>
          <cell r="AC1225" t="e">
            <v>#N/A</v>
          </cell>
          <cell r="AF1225" t="e">
            <v>#N/A</v>
          </cell>
        </row>
        <row r="1226">
          <cell r="V1226" t="e">
            <v>#N/A</v>
          </cell>
          <cell r="W1226" t="e">
            <v>#N/A</v>
          </cell>
          <cell r="AA1226" t="e">
            <v>#N/A</v>
          </cell>
          <cell r="AB1226" t="e">
            <v>#N/A</v>
          </cell>
          <cell r="AC1226" t="e">
            <v>#N/A</v>
          </cell>
          <cell r="AF1226" t="e">
            <v>#N/A</v>
          </cell>
        </row>
        <row r="1227">
          <cell r="V1227" t="e">
            <v>#N/A</v>
          </cell>
          <cell r="W1227" t="e">
            <v>#N/A</v>
          </cell>
          <cell r="AA1227" t="e">
            <v>#N/A</v>
          </cell>
          <cell r="AB1227" t="e">
            <v>#N/A</v>
          </cell>
          <cell r="AC1227" t="e">
            <v>#N/A</v>
          </cell>
          <cell r="AF1227" t="e">
            <v>#N/A</v>
          </cell>
        </row>
        <row r="1228">
          <cell r="V1228" t="e">
            <v>#N/A</v>
          </cell>
          <cell r="W1228" t="e">
            <v>#N/A</v>
          </cell>
          <cell r="AA1228" t="e">
            <v>#N/A</v>
          </cell>
          <cell r="AB1228" t="e">
            <v>#N/A</v>
          </cell>
          <cell r="AC1228" t="e">
            <v>#N/A</v>
          </cell>
          <cell r="AF1228" t="e">
            <v>#N/A</v>
          </cell>
        </row>
        <row r="1229">
          <cell r="V1229" t="e">
            <v>#N/A</v>
          </cell>
          <cell r="W1229" t="e">
            <v>#N/A</v>
          </cell>
          <cell r="AA1229" t="e">
            <v>#N/A</v>
          </cell>
          <cell r="AB1229" t="e">
            <v>#N/A</v>
          </cell>
          <cell r="AC1229" t="e">
            <v>#N/A</v>
          </cell>
          <cell r="AF1229" t="e">
            <v>#N/A</v>
          </cell>
        </row>
        <row r="1230">
          <cell r="V1230" t="e">
            <v>#N/A</v>
          </cell>
          <cell r="W1230" t="e">
            <v>#N/A</v>
          </cell>
          <cell r="AA1230" t="e">
            <v>#N/A</v>
          </cell>
          <cell r="AB1230" t="e">
            <v>#N/A</v>
          </cell>
          <cell r="AC1230" t="e">
            <v>#N/A</v>
          </cell>
          <cell r="AF1230" t="e">
            <v>#N/A</v>
          </cell>
        </row>
        <row r="1231">
          <cell r="V1231" t="e">
            <v>#N/A</v>
          </cell>
          <cell r="W1231" t="e">
            <v>#N/A</v>
          </cell>
          <cell r="AA1231" t="e">
            <v>#N/A</v>
          </cell>
          <cell r="AB1231" t="e">
            <v>#N/A</v>
          </cell>
          <cell r="AC1231" t="e">
            <v>#N/A</v>
          </cell>
          <cell r="AF1231" t="e">
            <v>#N/A</v>
          </cell>
        </row>
        <row r="1232">
          <cell r="V1232" t="e">
            <v>#N/A</v>
          </cell>
          <cell r="W1232" t="e">
            <v>#N/A</v>
          </cell>
          <cell r="AA1232" t="e">
            <v>#N/A</v>
          </cell>
          <cell r="AB1232" t="e">
            <v>#N/A</v>
          </cell>
          <cell r="AC1232" t="e">
            <v>#N/A</v>
          </cell>
          <cell r="AF1232" t="e">
            <v>#N/A</v>
          </cell>
        </row>
        <row r="1233">
          <cell r="V1233" t="e">
            <v>#N/A</v>
          </cell>
          <cell r="W1233" t="e">
            <v>#N/A</v>
          </cell>
          <cell r="AA1233" t="e">
            <v>#N/A</v>
          </cell>
          <cell r="AB1233" t="e">
            <v>#N/A</v>
          </cell>
          <cell r="AC1233" t="e">
            <v>#N/A</v>
          </cell>
          <cell r="AF1233" t="e">
            <v>#N/A</v>
          </cell>
        </row>
        <row r="1234">
          <cell r="V1234" t="e">
            <v>#N/A</v>
          </cell>
          <cell r="W1234" t="e">
            <v>#N/A</v>
          </cell>
          <cell r="AA1234" t="e">
            <v>#N/A</v>
          </cell>
          <cell r="AB1234" t="e">
            <v>#N/A</v>
          </cell>
          <cell r="AC1234" t="e">
            <v>#N/A</v>
          </cell>
          <cell r="AF1234" t="e">
            <v>#N/A</v>
          </cell>
        </row>
        <row r="1235">
          <cell r="V1235" t="e">
            <v>#N/A</v>
          </cell>
          <cell r="W1235" t="e">
            <v>#N/A</v>
          </cell>
          <cell r="AA1235" t="e">
            <v>#N/A</v>
          </cell>
          <cell r="AB1235" t="e">
            <v>#N/A</v>
          </cell>
          <cell r="AC1235" t="e">
            <v>#N/A</v>
          </cell>
          <cell r="AF1235" t="e">
            <v>#N/A</v>
          </cell>
        </row>
        <row r="1236">
          <cell r="V1236" t="e">
            <v>#N/A</v>
          </cell>
          <cell r="W1236" t="e">
            <v>#N/A</v>
          </cell>
          <cell r="AA1236" t="e">
            <v>#N/A</v>
          </cell>
          <cell r="AB1236" t="e">
            <v>#N/A</v>
          </cell>
          <cell r="AC1236" t="e">
            <v>#N/A</v>
          </cell>
          <cell r="AF1236" t="e">
            <v>#N/A</v>
          </cell>
        </row>
        <row r="1237">
          <cell r="V1237" t="e">
            <v>#N/A</v>
          </cell>
          <cell r="W1237" t="e">
            <v>#N/A</v>
          </cell>
          <cell r="AA1237" t="e">
            <v>#N/A</v>
          </cell>
          <cell r="AB1237" t="e">
            <v>#N/A</v>
          </cell>
          <cell r="AC1237" t="e">
            <v>#N/A</v>
          </cell>
          <cell r="AF1237" t="e">
            <v>#N/A</v>
          </cell>
        </row>
        <row r="1238">
          <cell r="V1238" t="e">
            <v>#N/A</v>
          </cell>
          <cell r="W1238" t="e">
            <v>#N/A</v>
          </cell>
          <cell r="AA1238" t="e">
            <v>#N/A</v>
          </cell>
          <cell r="AB1238" t="e">
            <v>#N/A</v>
          </cell>
          <cell r="AC1238" t="e">
            <v>#N/A</v>
          </cell>
          <cell r="AF1238" t="e">
            <v>#N/A</v>
          </cell>
        </row>
        <row r="1239">
          <cell r="V1239" t="e">
            <v>#N/A</v>
          </cell>
          <cell r="W1239" t="e">
            <v>#N/A</v>
          </cell>
          <cell r="AA1239" t="e">
            <v>#N/A</v>
          </cell>
          <cell r="AB1239" t="e">
            <v>#N/A</v>
          </cell>
          <cell r="AC1239" t="e">
            <v>#N/A</v>
          </cell>
          <cell r="AF1239" t="e">
            <v>#N/A</v>
          </cell>
        </row>
        <row r="1240">
          <cell r="V1240" t="e">
            <v>#N/A</v>
          </cell>
          <cell r="W1240" t="e">
            <v>#N/A</v>
          </cell>
          <cell r="AA1240" t="e">
            <v>#N/A</v>
          </cell>
          <cell r="AB1240" t="e">
            <v>#N/A</v>
          </cell>
          <cell r="AC1240" t="e">
            <v>#N/A</v>
          </cell>
          <cell r="AF1240" t="e">
            <v>#N/A</v>
          </cell>
        </row>
        <row r="1241">
          <cell r="V1241" t="e">
            <v>#N/A</v>
          </cell>
          <cell r="W1241" t="e">
            <v>#N/A</v>
          </cell>
          <cell r="AA1241" t="e">
            <v>#N/A</v>
          </cell>
          <cell r="AB1241" t="e">
            <v>#N/A</v>
          </cell>
          <cell r="AC1241" t="e">
            <v>#N/A</v>
          </cell>
          <cell r="AF1241" t="e">
            <v>#N/A</v>
          </cell>
        </row>
        <row r="1242">
          <cell r="V1242" t="e">
            <v>#N/A</v>
          </cell>
          <cell r="W1242" t="e">
            <v>#N/A</v>
          </cell>
          <cell r="AA1242" t="e">
            <v>#N/A</v>
          </cell>
          <cell r="AB1242" t="e">
            <v>#N/A</v>
          </cell>
          <cell r="AC1242" t="e">
            <v>#N/A</v>
          </cell>
          <cell r="AF1242" t="e">
            <v>#N/A</v>
          </cell>
        </row>
        <row r="1243">
          <cell r="V1243" t="e">
            <v>#N/A</v>
          </cell>
          <cell r="W1243" t="e">
            <v>#N/A</v>
          </cell>
          <cell r="AA1243" t="e">
            <v>#N/A</v>
          </cell>
          <cell r="AB1243" t="e">
            <v>#N/A</v>
          </cell>
          <cell r="AC1243" t="e">
            <v>#N/A</v>
          </cell>
          <cell r="AF1243" t="e">
            <v>#N/A</v>
          </cell>
        </row>
        <row r="1244">
          <cell r="V1244" t="e">
            <v>#N/A</v>
          </cell>
          <cell r="W1244" t="e">
            <v>#N/A</v>
          </cell>
          <cell r="AA1244" t="e">
            <v>#N/A</v>
          </cell>
          <cell r="AB1244" t="e">
            <v>#N/A</v>
          </cell>
          <cell r="AC1244" t="e">
            <v>#N/A</v>
          </cell>
          <cell r="AF1244" t="e">
            <v>#N/A</v>
          </cell>
        </row>
        <row r="1245">
          <cell r="V1245" t="e">
            <v>#N/A</v>
          </cell>
          <cell r="W1245" t="e">
            <v>#N/A</v>
          </cell>
          <cell r="AA1245" t="e">
            <v>#N/A</v>
          </cell>
          <cell r="AB1245" t="e">
            <v>#N/A</v>
          </cell>
          <cell r="AC1245" t="e">
            <v>#N/A</v>
          </cell>
          <cell r="AF1245" t="e">
            <v>#N/A</v>
          </cell>
        </row>
        <row r="1246">
          <cell r="V1246" t="e">
            <v>#N/A</v>
          </cell>
          <cell r="W1246" t="e">
            <v>#N/A</v>
          </cell>
          <cell r="AA1246" t="e">
            <v>#N/A</v>
          </cell>
          <cell r="AB1246" t="e">
            <v>#N/A</v>
          </cell>
          <cell r="AC1246" t="e">
            <v>#N/A</v>
          </cell>
          <cell r="AF1246" t="e">
            <v>#N/A</v>
          </cell>
        </row>
        <row r="1247">
          <cell r="V1247" t="e">
            <v>#N/A</v>
          </cell>
          <cell r="W1247" t="e">
            <v>#N/A</v>
          </cell>
          <cell r="AA1247" t="e">
            <v>#N/A</v>
          </cell>
          <cell r="AB1247" t="e">
            <v>#N/A</v>
          </cell>
          <cell r="AC1247" t="e">
            <v>#N/A</v>
          </cell>
          <cell r="AF1247" t="e">
            <v>#N/A</v>
          </cell>
        </row>
        <row r="1248">
          <cell r="V1248" t="e">
            <v>#N/A</v>
          </cell>
          <cell r="W1248" t="e">
            <v>#N/A</v>
          </cell>
          <cell r="AA1248" t="e">
            <v>#N/A</v>
          </cell>
          <cell r="AB1248" t="e">
            <v>#N/A</v>
          </cell>
          <cell r="AC1248" t="e">
            <v>#N/A</v>
          </cell>
          <cell r="AF1248" t="e">
            <v>#N/A</v>
          </cell>
        </row>
        <row r="1249">
          <cell r="V1249" t="e">
            <v>#N/A</v>
          </cell>
          <cell r="W1249" t="e">
            <v>#N/A</v>
          </cell>
          <cell r="AA1249" t="e">
            <v>#N/A</v>
          </cell>
          <cell r="AB1249" t="e">
            <v>#N/A</v>
          </cell>
          <cell r="AC1249" t="e">
            <v>#N/A</v>
          </cell>
          <cell r="AF1249" t="e">
            <v>#N/A</v>
          </cell>
        </row>
        <row r="1250">
          <cell r="V1250" t="e">
            <v>#N/A</v>
          </cell>
          <cell r="W1250" t="e">
            <v>#N/A</v>
          </cell>
          <cell r="AA1250" t="e">
            <v>#N/A</v>
          </cell>
          <cell r="AB1250" t="e">
            <v>#N/A</v>
          </cell>
          <cell r="AC1250" t="e">
            <v>#N/A</v>
          </cell>
          <cell r="AF1250" t="e">
            <v>#N/A</v>
          </cell>
        </row>
        <row r="1251">
          <cell r="V1251" t="e">
            <v>#N/A</v>
          </cell>
          <cell r="W1251" t="e">
            <v>#N/A</v>
          </cell>
          <cell r="AA1251" t="e">
            <v>#N/A</v>
          </cell>
          <cell r="AB1251" t="e">
            <v>#N/A</v>
          </cell>
          <cell r="AC1251" t="e">
            <v>#N/A</v>
          </cell>
          <cell r="AF1251" t="e">
            <v>#N/A</v>
          </cell>
        </row>
        <row r="1252">
          <cell r="V1252" t="e">
            <v>#N/A</v>
          </cell>
          <cell r="W1252" t="e">
            <v>#N/A</v>
          </cell>
          <cell r="AA1252" t="e">
            <v>#N/A</v>
          </cell>
          <cell r="AB1252" t="e">
            <v>#N/A</v>
          </cell>
          <cell r="AC1252" t="e">
            <v>#N/A</v>
          </cell>
          <cell r="AF1252" t="e">
            <v>#N/A</v>
          </cell>
        </row>
        <row r="1253">
          <cell r="V1253" t="e">
            <v>#N/A</v>
          </cell>
          <cell r="W1253" t="e">
            <v>#N/A</v>
          </cell>
          <cell r="AA1253" t="e">
            <v>#N/A</v>
          </cell>
          <cell r="AB1253" t="e">
            <v>#N/A</v>
          </cell>
          <cell r="AC1253" t="e">
            <v>#N/A</v>
          </cell>
          <cell r="AF1253" t="e">
            <v>#N/A</v>
          </cell>
        </row>
        <row r="1254">
          <cell r="V1254" t="e">
            <v>#N/A</v>
          </cell>
          <cell r="W1254" t="e">
            <v>#N/A</v>
          </cell>
          <cell r="AA1254" t="e">
            <v>#N/A</v>
          </cell>
          <cell r="AB1254" t="e">
            <v>#N/A</v>
          </cell>
          <cell r="AC1254" t="e">
            <v>#N/A</v>
          </cell>
          <cell r="AF1254" t="e">
            <v>#N/A</v>
          </cell>
        </row>
        <row r="1255">
          <cell r="V1255" t="e">
            <v>#N/A</v>
          </cell>
          <cell r="W1255" t="e">
            <v>#N/A</v>
          </cell>
          <cell r="AA1255" t="e">
            <v>#N/A</v>
          </cell>
          <cell r="AB1255" t="e">
            <v>#N/A</v>
          </cell>
          <cell r="AC1255" t="e">
            <v>#N/A</v>
          </cell>
          <cell r="AF1255" t="e">
            <v>#N/A</v>
          </cell>
        </row>
        <row r="1256">
          <cell r="V1256" t="e">
            <v>#N/A</v>
          </cell>
          <cell r="W1256" t="e">
            <v>#N/A</v>
          </cell>
          <cell r="AA1256" t="e">
            <v>#N/A</v>
          </cell>
          <cell r="AB1256" t="e">
            <v>#N/A</v>
          </cell>
          <cell r="AC1256" t="e">
            <v>#N/A</v>
          </cell>
          <cell r="AF1256" t="e">
            <v>#N/A</v>
          </cell>
        </row>
        <row r="1257">
          <cell r="V1257" t="e">
            <v>#N/A</v>
          </cell>
          <cell r="W1257" t="e">
            <v>#N/A</v>
          </cell>
          <cell r="AA1257" t="e">
            <v>#N/A</v>
          </cell>
          <cell r="AB1257" t="e">
            <v>#N/A</v>
          </cell>
          <cell r="AC1257" t="e">
            <v>#N/A</v>
          </cell>
          <cell r="AF1257" t="e">
            <v>#N/A</v>
          </cell>
        </row>
        <row r="1258">
          <cell r="V1258" t="e">
            <v>#N/A</v>
          </cell>
          <cell r="W1258" t="e">
            <v>#N/A</v>
          </cell>
          <cell r="AA1258" t="e">
            <v>#N/A</v>
          </cell>
          <cell r="AB1258" t="e">
            <v>#N/A</v>
          </cell>
          <cell r="AC1258" t="e">
            <v>#N/A</v>
          </cell>
          <cell r="AF1258" t="e">
            <v>#N/A</v>
          </cell>
        </row>
        <row r="1259">
          <cell r="V1259" t="e">
            <v>#N/A</v>
          </cell>
          <cell r="W1259" t="e">
            <v>#N/A</v>
          </cell>
          <cell r="AA1259" t="e">
            <v>#N/A</v>
          </cell>
          <cell r="AB1259" t="e">
            <v>#N/A</v>
          </cell>
          <cell r="AC1259" t="e">
            <v>#N/A</v>
          </cell>
          <cell r="AF1259" t="e">
            <v>#N/A</v>
          </cell>
        </row>
        <row r="1260">
          <cell r="V1260" t="e">
            <v>#N/A</v>
          </cell>
          <cell r="W1260" t="e">
            <v>#N/A</v>
          </cell>
          <cell r="AA1260" t="e">
            <v>#N/A</v>
          </cell>
          <cell r="AB1260" t="e">
            <v>#N/A</v>
          </cell>
          <cell r="AC1260" t="e">
            <v>#N/A</v>
          </cell>
          <cell r="AF1260" t="e">
            <v>#N/A</v>
          </cell>
        </row>
        <row r="1261">
          <cell r="V1261" t="e">
            <v>#N/A</v>
          </cell>
          <cell r="W1261" t="e">
            <v>#N/A</v>
          </cell>
          <cell r="AA1261" t="e">
            <v>#N/A</v>
          </cell>
          <cell r="AB1261" t="e">
            <v>#N/A</v>
          </cell>
          <cell r="AC1261" t="e">
            <v>#N/A</v>
          </cell>
          <cell r="AF1261" t="e">
            <v>#N/A</v>
          </cell>
        </row>
        <row r="1262">
          <cell r="V1262" t="e">
            <v>#N/A</v>
          </cell>
          <cell r="W1262" t="e">
            <v>#N/A</v>
          </cell>
          <cell r="AA1262" t="e">
            <v>#N/A</v>
          </cell>
          <cell r="AB1262" t="e">
            <v>#N/A</v>
          </cell>
          <cell r="AC1262" t="e">
            <v>#N/A</v>
          </cell>
          <cell r="AF1262" t="e">
            <v>#N/A</v>
          </cell>
        </row>
        <row r="1263">
          <cell r="V1263" t="e">
            <v>#N/A</v>
          </cell>
          <cell r="W1263" t="e">
            <v>#N/A</v>
          </cell>
          <cell r="AA1263" t="e">
            <v>#N/A</v>
          </cell>
          <cell r="AB1263" t="e">
            <v>#N/A</v>
          </cell>
          <cell r="AC1263" t="e">
            <v>#N/A</v>
          </cell>
          <cell r="AF1263" t="e">
            <v>#N/A</v>
          </cell>
        </row>
        <row r="1264">
          <cell r="V1264" t="e">
            <v>#N/A</v>
          </cell>
          <cell r="W1264" t="e">
            <v>#N/A</v>
          </cell>
          <cell r="AA1264" t="e">
            <v>#N/A</v>
          </cell>
          <cell r="AB1264" t="e">
            <v>#N/A</v>
          </cell>
          <cell r="AC1264" t="e">
            <v>#N/A</v>
          </cell>
          <cell r="AF1264" t="e">
            <v>#N/A</v>
          </cell>
        </row>
        <row r="1265">
          <cell r="V1265" t="e">
            <v>#N/A</v>
          </cell>
          <cell r="W1265" t="e">
            <v>#N/A</v>
          </cell>
          <cell r="AA1265" t="e">
            <v>#N/A</v>
          </cell>
          <cell r="AB1265" t="e">
            <v>#N/A</v>
          </cell>
          <cell r="AC1265" t="e">
            <v>#N/A</v>
          </cell>
          <cell r="AF1265" t="e">
            <v>#N/A</v>
          </cell>
        </row>
        <row r="1266">
          <cell r="V1266" t="e">
            <v>#N/A</v>
          </cell>
          <cell r="W1266" t="e">
            <v>#N/A</v>
          </cell>
          <cell r="AA1266" t="e">
            <v>#N/A</v>
          </cell>
          <cell r="AB1266" t="e">
            <v>#N/A</v>
          </cell>
          <cell r="AC1266" t="e">
            <v>#N/A</v>
          </cell>
          <cell r="AF1266" t="e">
            <v>#N/A</v>
          </cell>
        </row>
        <row r="1267">
          <cell r="V1267" t="e">
            <v>#N/A</v>
          </cell>
          <cell r="W1267" t="e">
            <v>#N/A</v>
          </cell>
          <cell r="AA1267" t="e">
            <v>#N/A</v>
          </cell>
          <cell r="AB1267" t="e">
            <v>#N/A</v>
          </cell>
          <cell r="AC1267" t="e">
            <v>#N/A</v>
          </cell>
          <cell r="AF1267" t="e">
            <v>#N/A</v>
          </cell>
        </row>
        <row r="1268">
          <cell r="V1268" t="e">
            <v>#N/A</v>
          </cell>
          <cell r="W1268" t="e">
            <v>#N/A</v>
          </cell>
          <cell r="AA1268" t="e">
            <v>#N/A</v>
          </cell>
          <cell r="AB1268" t="e">
            <v>#N/A</v>
          </cell>
          <cell r="AC1268" t="e">
            <v>#N/A</v>
          </cell>
          <cell r="AF1268" t="e">
            <v>#N/A</v>
          </cell>
        </row>
        <row r="1269">
          <cell r="V1269" t="e">
            <v>#N/A</v>
          </cell>
          <cell r="W1269" t="e">
            <v>#N/A</v>
          </cell>
          <cell r="AA1269" t="e">
            <v>#N/A</v>
          </cell>
          <cell r="AB1269" t="e">
            <v>#N/A</v>
          </cell>
          <cell r="AC1269" t="e">
            <v>#N/A</v>
          </cell>
          <cell r="AF1269" t="e">
            <v>#N/A</v>
          </cell>
        </row>
        <row r="1270">
          <cell r="V1270" t="e">
            <v>#N/A</v>
          </cell>
          <cell r="W1270" t="e">
            <v>#N/A</v>
          </cell>
          <cell r="AA1270" t="e">
            <v>#N/A</v>
          </cell>
          <cell r="AB1270" t="e">
            <v>#N/A</v>
          </cell>
          <cell r="AC1270" t="e">
            <v>#N/A</v>
          </cell>
          <cell r="AF1270" t="e">
            <v>#N/A</v>
          </cell>
        </row>
        <row r="1271">
          <cell r="V1271" t="e">
            <v>#N/A</v>
          </cell>
          <cell r="W1271" t="e">
            <v>#N/A</v>
          </cell>
          <cell r="AA1271" t="e">
            <v>#N/A</v>
          </cell>
          <cell r="AB1271" t="e">
            <v>#N/A</v>
          </cell>
          <cell r="AC1271" t="e">
            <v>#N/A</v>
          </cell>
          <cell r="AF1271" t="e">
            <v>#N/A</v>
          </cell>
        </row>
        <row r="1272">
          <cell r="V1272" t="e">
            <v>#N/A</v>
          </cell>
          <cell r="W1272" t="e">
            <v>#N/A</v>
          </cell>
          <cell r="AA1272" t="e">
            <v>#N/A</v>
          </cell>
          <cell r="AB1272" t="e">
            <v>#N/A</v>
          </cell>
          <cell r="AC1272" t="e">
            <v>#N/A</v>
          </cell>
          <cell r="AF1272" t="e">
            <v>#N/A</v>
          </cell>
        </row>
        <row r="1273">
          <cell r="V1273" t="e">
            <v>#N/A</v>
          </cell>
          <cell r="W1273" t="e">
            <v>#N/A</v>
          </cell>
          <cell r="AA1273" t="e">
            <v>#N/A</v>
          </cell>
          <cell r="AB1273" t="e">
            <v>#N/A</v>
          </cell>
          <cell r="AC1273" t="e">
            <v>#N/A</v>
          </cell>
          <cell r="AF1273" t="e">
            <v>#N/A</v>
          </cell>
        </row>
        <row r="1274">
          <cell r="V1274" t="e">
            <v>#N/A</v>
          </cell>
          <cell r="W1274" t="e">
            <v>#N/A</v>
          </cell>
          <cell r="AA1274" t="e">
            <v>#N/A</v>
          </cell>
          <cell r="AB1274" t="e">
            <v>#N/A</v>
          </cell>
          <cell r="AC1274" t="e">
            <v>#N/A</v>
          </cell>
          <cell r="AF1274" t="e">
            <v>#N/A</v>
          </cell>
        </row>
        <row r="1275">
          <cell r="V1275" t="e">
            <v>#N/A</v>
          </cell>
          <cell r="W1275" t="e">
            <v>#N/A</v>
          </cell>
          <cell r="AA1275" t="e">
            <v>#N/A</v>
          </cell>
          <cell r="AB1275" t="e">
            <v>#N/A</v>
          </cell>
          <cell r="AC1275" t="e">
            <v>#N/A</v>
          </cell>
          <cell r="AF1275" t="e">
            <v>#N/A</v>
          </cell>
        </row>
        <row r="1276">
          <cell r="V1276" t="e">
            <v>#N/A</v>
          </cell>
          <cell r="W1276" t="e">
            <v>#N/A</v>
          </cell>
          <cell r="AA1276" t="e">
            <v>#N/A</v>
          </cell>
          <cell r="AB1276" t="e">
            <v>#N/A</v>
          </cell>
          <cell r="AC1276" t="e">
            <v>#N/A</v>
          </cell>
          <cell r="AF1276" t="e">
            <v>#N/A</v>
          </cell>
        </row>
        <row r="1277">
          <cell r="V1277" t="e">
            <v>#N/A</v>
          </cell>
          <cell r="W1277" t="e">
            <v>#N/A</v>
          </cell>
          <cell r="AA1277" t="e">
            <v>#N/A</v>
          </cell>
          <cell r="AB1277" t="e">
            <v>#N/A</v>
          </cell>
          <cell r="AC1277" t="e">
            <v>#N/A</v>
          </cell>
          <cell r="AF1277" t="e">
            <v>#N/A</v>
          </cell>
        </row>
        <row r="1278">
          <cell r="V1278" t="e">
            <v>#N/A</v>
          </cell>
          <cell r="W1278" t="e">
            <v>#N/A</v>
          </cell>
          <cell r="AA1278" t="e">
            <v>#N/A</v>
          </cell>
          <cell r="AB1278" t="e">
            <v>#N/A</v>
          </cell>
          <cell r="AC1278" t="e">
            <v>#N/A</v>
          </cell>
          <cell r="AF1278" t="e">
            <v>#N/A</v>
          </cell>
        </row>
        <row r="1279">
          <cell r="V1279" t="e">
            <v>#N/A</v>
          </cell>
          <cell r="W1279" t="e">
            <v>#N/A</v>
          </cell>
          <cell r="AA1279" t="e">
            <v>#N/A</v>
          </cell>
          <cell r="AB1279" t="e">
            <v>#N/A</v>
          </cell>
          <cell r="AC1279" t="e">
            <v>#N/A</v>
          </cell>
          <cell r="AF1279" t="e">
            <v>#N/A</v>
          </cell>
        </row>
        <row r="1280">
          <cell r="V1280" t="e">
            <v>#N/A</v>
          </cell>
          <cell r="W1280" t="e">
            <v>#N/A</v>
          </cell>
          <cell r="AA1280" t="e">
            <v>#N/A</v>
          </cell>
          <cell r="AB1280" t="e">
            <v>#N/A</v>
          </cell>
          <cell r="AC1280" t="e">
            <v>#N/A</v>
          </cell>
          <cell r="AF1280" t="e">
            <v>#N/A</v>
          </cell>
        </row>
        <row r="1281">
          <cell r="V1281" t="e">
            <v>#N/A</v>
          </cell>
          <cell r="W1281" t="e">
            <v>#N/A</v>
          </cell>
          <cell r="AA1281" t="e">
            <v>#N/A</v>
          </cell>
          <cell r="AB1281" t="e">
            <v>#N/A</v>
          </cell>
          <cell r="AC1281" t="e">
            <v>#N/A</v>
          </cell>
          <cell r="AF1281" t="e">
            <v>#N/A</v>
          </cell>
        </row>
        <row r="1282">
          <cell r="V1282" t="e">
            <v>#N/A</v>
          </cell>
          <cell r="W1282" t="e">
            <v>#N/A</v>
          </cell>
          <cell r="AA1282" t="e">
            <v>#N/A</v>
          </cell>
          <cell r="AB1282" t="e">
            <v>#N/A</v>
          </cell>
          <cell r="AC1282" t="e">
            <v>#N/A</v>
          </cell>
          <cell r="AF1282" t="e">
            <v>#N/A</v>
          </cell>
        </row>
        <row r="1283">
          <cell r="V1283" t="e">
            <v>#N/A</v>
          </cell>
          <cell r="W1283" t="e">
            <v>#N/A</v>
          </cell>
          <cell r="AA1283" t="e">
            <v>#N/A</v>
          </cell>
          <cell r="AB1283" t="e">
            <v>#N/A</v>
          </cell>
          <cell r="AC1283" t="e">
            <v>#N/A</v>
          </cell>
          <cell r="AF1283" t="e">
            <v>#N/A</v>
          </cell>
        </row>
        <row r="1284">
          <cell r="V1284" t="e">
            <v>#N/A</v>
          </cell>
          <cell r="W1284" t="e">
            <v>#N/A</v>
          </cell>
          <cell r="AA1284" t="e">
            <v>#N/A</v>
          </cell>
          <cell r="AB1284" t="e">
            <v>#N/A</v>
          </cell>
          <cell r="AC1284" t="e">
            <v>#N/A</v>
          </cell>
          <cell r="AF1284" t="e">
            <v>#N/A</v>
          </cell>
        </row>
        <row r="1285">
          <cell r="V1285" t="e">
            <v>#N/A</v>
          </cell>
          <cell r="W1285" t="e">
            <v>#N/A</v>
          </cell>
          <cell r="AA1285" t="e">
            <v>#N/A</v>
          </cell>
          <cell r="AB1285" t="e">
            <v>#N/A</v>
          </cell>
          <cell r="AC1285" t="e">
            <v>#N/A</v>
          </cell>
          <cell r="AF1285" t="e">
            <v>#N/A</v>
          </cell>
        </row>
        <row r="1286">
          <cell r="V1286" t="e">
            <v>#N/A</v>
          </cell>
          <cell r="W1286" t="e">
            <v>#N/A</v>
          </cell>
          <cell r="AA1286" t="e">
            <v>#N/A</v>
          </cell>
          <cell r="AB1286" t="e">
            <v>#N/A</v>
          </cell>
          <cell r="AC1286" t="e">
            <v>#N/A</v>
          </cell>
          <cell r="AF1286" t="e">
            <v>#N/A</v>
          </cell>
        </row>
        <row r="1287">
          <cell r="V1287" t="e">
            <v>#N/A</v>
          </cell>
          <cell r="W1287" t="e">
            <v>#N/A</v>
          </cell>
          <cell r="AA1287" t="e">
            <v>#N/A</v>
          </cell>
          <cell r="AB1287" t="e">
            <v>#N/A</v>
          </cell>
          <cell r="AC1287" t="e">
            <v>#N/A</v>
          </cell>
          <cell r="AF1287" t="e">
            <v>#N/A</v>
          </cell>
        </row>
        <row r="1288">
          <cell r="V1288" t="e">
            <v>#N/A</v>
          </cell>
          <cell r="W1288" t="e">
            <v>#N/A</v>
          </cell>
          <cell r="AA1288" t="e">
            <v>#N/A</v>
          </cell>
          <cell r="AB1288" t="e">
            <v>#N/A</v>
          </cell>
          <cell r="AC1288" t="e">
            <v>#N/A</v>
          </cell>
          <cell r="AF1288" t="e">
            <v>#N/A</v>
          </cell>
        </row>
        <row r="1289">
          <cell r="V1289" t="e">
            <v>#N/A</v>
          </cell>
          <cell r="W1289" t="e">
            <v>#N/A</v>
          </cell>
          <cell r="AA1289" t="e">
            <v>#N/A</v>
          </cell>
          <cell r="AB1289" t="e">
            <v>#N/A</v>
          </cell>
          <cell r="AC1289" t="e">
            <v>#N/A</v>
          </cell>
          <cell r="AF1289" t="e">
            <v>#N/A</v>
          </cell>
        </row>
        <row r="1290">
          <cell r="V1290" t="e">
            <v>#N/A</v>
          </cell>
          <cell r="W1290" t="e">
            <v>#N/A</v>
          </cell>
          <cell r="AA1290" t="e">
            <v>#N/A</v>
          </cell>
          <cell r="AB1290" t="e">
            <v>#N/A</v>
          </cell>
          <cell r="AC1290" t="e">
            <v>#N/A</v>
          </cell>
          <cell r="AF1290" t="e">
            <v>#N/A</v>
          </cell>
        </row>
        <row r="1291">
          <cell r="V1291" t="e">
            <v>#N/A</v>
          </cell>
          <cell r="W1291" t="e">
            <v>#N/A</v>
          </cell>
          <cell r="AA1291" t="e">
            <v>#N/A</v>
          </cell>
          <cell r="AB1291" t="e">
            <v>#N/A</v>
          </cell>
          <cell r="AC1291" t="e">
            <v>#N/A</v>
          </cell>
          <cell r="AF1291" t="e">
            <v>#N/A</v>
          </cell>
        </row>
        <row r="1292">
          <cell r="V1292" t="e">
            <v>#N/A</v>
          </cell>
          <cell r="W1292" t="e">
            <v>#N/A</v>
          </cell>
          <cell r="AA1292" t="e">
            <v>#N/A</v>
          </cell>
          <cell r="AB1292" t="e">
            <v>#N/A</v>
          </cell>
          <cell r="AC1292" t="e">
            <v>#N/A</v>
          </cell>
          <cell r="AF1292" t="e">
            <v>#N/A</v>
          </cell>
        </row>
        <row r="1293">
          <cell r="V1293" t="e">
            <v>#N/A</v>
          </cell>
          <cell r="W1293" t="e">
            <v>#N/A</v>
          </cell>
          <cell r="AA1293" t="e">
            <v>#N/A</v>
          </cell>
          <cell r="AB1293" t="e">
            <v>#N/A</v>
          </cell>
          <cell r="AC1293" t="e">
            <v>#N/A</v>
          </cell>
          <cell r="AF1293" t="e">
            <v>#N/A</v>
          </cell>
        </row>
        <row r="1294">
          <cell r="V1294" t="e">
            <v>#N/A</v>
          </cell>
          <cell r="W1294" t="e">
            <v>#N/A</v>
          </cell>
          <cell r="AA1294" t="e">
            <v>#N/A</v>
          </cell>
          <cell r="AB1294" t="e">
            <v>#N/A</v>
          </cell>
          <cell r="AC1294" t="e">
            <v>#N/A</v>
          </cell>
          <cell r="AF1294" t="e">
            <v>#N/A</v>
          </cell>
        </row>
        <row r="1295">
          <cell r="V1295" t="e">
            <v>#N/A</v>
          </cell>
          <cell r="W1295" t="e">
            <v>#N/A</v>
          </cell>
          <cell r="AA1295" t="e">
            <v>#N/A</v>
          </cell>
          <cell r="AB1295" t="e">
            <v>#N/A</v>
          </cell>
          <cell r="AC1295" t="e">
            <v>#N/A</v>
          </cell>
          <cell r="AF1295" t="e">
            <v>#N/A</v>
          </cell>
        </row>
        <row r="1296">
          <cell r="V1296" t="e">
            <v>#N/A</v>
          </cell>
          <cell r="W1296" t="e">
            <v>#N/A</v>
          </cell>
          <cell r="AA1296" t="e">
            <v>#N/A</v>
          </cell>
          <cell r="AB1296" t="e">
            <v>#N/A</v>
          </cell>
          <cell r="AC1296" t="e">
            <v>#N/A</v>
          </cell>
          <cell r="AF1296" t="e">
            <v>#N/A</v>
          </cell>
        </row>
        <row r="1297">
          <cell r="V1297" t="e">
            <v>#N/A</v>
          </cell>
          <cell r="W1297" t="e">
            <v>#N/A</v>
          </cell>
          <cell r="AA1297" t="e">
            <v>#N/A</v>
          </cell>
          <cell r="AB1297" t="e">
            <v>#N/A</v>
          </cell>
          <cell r="AC1297" t="e">
            <v>#N/A</v>
          </cell>
          <cell r="AF1297" t="e">
            <v>#N/A</v>
          </cell>
        </row>
        <row r="1298">
          <cell r="V1298" t="e">
            <v>#N/A</v>
          </cell>
          <cell r="W1298" t="e">
            <v>#N/A</v>
          </cell>
          <cell r="AA1298" t="e">
            <v>#N/A</v>
          </cell>
          <cell r="AB1298" t="e">
            <v>#N/A</v>
          </cell>
          <cell r="AC1298" t="e">
            <v>#N/A</v>
          </cell>
          <cell r="AF1298" t="e">
            <v>#N/A</v>
          </cell>
        </row>
        <row r="1299">
          <cell r="V1299" t="e">
            <v>#N/A</v>
          </cell>
          <cell r="W1299" t="e">
            <v>#N/A</v>
          </cell>
          <cell r="AA1299" t="e">
            <v>#N/A</v>
          </cell>
          <cell r="AB1299" t="e">
            <v>#N/A</v>
          </cell>
          <cell r="AC1299" t="e">
            <v>#N/A</v>
          </cell>
          <cell r="AF1299" t="e">
            <v>#N/A</v>
          </cell>
        </row>
        <row r="1300">
          <cell r="V1300" t="e">
            <v>#N/A</v>
          </cell>
          <cell r="W1300" t="e">
            <v>#N/A</v>
          </cell>
          <cell r="AA1300" t="e">
            <v>#N/A</v>
          </cell>
          <cell r="AB1300" t="e">
            <v>#N/A</v>
          </cell>
          <cell r="AC1300" t="e">
            <v>#N/A</v>
          </cell>
          <cell r="AF1300" t="e">
            <v>#N/A</v>
          </cell>
        </row>
        <row r="1301">
          <cell r="V1301" t="e">
            <v>#N/A</v>
          </cell>
          <cell r="W1301" t="e">
            <v>#N/A</v>
          </cell>
          <cell r="AA1301" t="e">
            <v>#N/A</v>
          </cell>
          <cell r="AB1301" t="e">
            <v>#N/A</v>
          </cell>
          <cell r="AC1301" t="e">
            <v>#N/A</v>
          </cell>
          <cell r="AF1301" t="e">
            <v>#N/A</v>
          </cell>
        </row>
        <row r="1302">
          <cell r="V1302" t="e">
            <v>#N/A</v>
          </cell>
          <cell r="W1302" t="e">
            <v>#N/A</v>
          </cell>
          <cell r="AA1302" t="e">
            <v>#N/A</v>
          </cell>
          <cell r="AB1302" t="e">
            <v>#N/A</v>
          </cell>
          <cell r="AC1302" t="e">
            <v>#N/A</v>
          </cell>
          <cell r="AF1302" t="e">
            <v>#N/A</v>
          </cell>
        </row>
        <row r="1303">
          <cell r="V1303" t="e">
            <v>#N/A</v>
          </cell>
          <cell r="W1303" t="e">
            <v>#N/A</v>
          </cell>
          <cell r="AA1303" t="e">
            <v>#N/A</v>
          </cell>
          <cell r="AB1303" t="e">
            <v>#N/A</v>
          </cell>
          <cell r="AC1303" t="e">
            <v>#N/A</v>
          </cell>
          <cell r="AF1303" t="e">
            <v>#N/A</v>
          </cell>
        </row>
        <row r="1304">
          <cell r="V1304" t="e">
            <v>#N/A</v>
          </cell>
          <cell r="W1304" t="e">
            <v>#N/A</v>
          </cell>
          <cell r="AA1304" t="e">
            <v>#N/A</v>
          </cell>
          <cell r="AB1304" t="e">
            <v>#N/A</v>
          </cell>
          <cell r="AC1304" t="e">
            <v>#N/A</v>
          </cell>
          <cell r="AF1304" t="e">
            <v>#N/A</v>
          </cell>
        </row>
        <row r="1305">
          <cell r="V1305" t="e">
            <v>#N/A</v>
          </cell>
          <cell r="W1305" t="e">
            <v>#N/A</v>
          </cell>
          <cell r="AA1305" t="e">
            <v>#N/A</v>
          </cell>
          <cell r="AB1305" t="e">
            <v>#N/A</v>
          </cell>
          <cell r="AC1305" t="e">
            <v>#N/A</v>
          </cell>
          <cell r="AF1305" t="e">
            <v>#N/A</v>
          </cell>
        </row>
        <row r="1306">
          <cell r="V1306" t="e">
            <v>#N/A</v>
          </cell>
          <cell r="W1306" t="e">
            <v>#N/A</v>
          </cell>
          <cell r="AA1306" t="e">
            <v>#N/A</v>
          </cell>
          <cell r="AB1306" t="e">
            <v>#N/A</v>
          </cell>
          <cell r="AC1306" t="e">
            <v>#N/A</v>
          </cell>
          <cell r="AF1306" t="e">
            <v>#N/A</v>
          </cell>
        </row>
        <row r="1307">
          <cell r="V1307" t="e">
            <v>#N/A</v>
          </cell>
          <cell r="W1307" t="e">
            <v>#N/A</v>
          </cell>
          <cell r="AA1307" t="e">
            <v>#N/A</v>
          </cell>
          <cell r="AB1307" t="e">
            <v>#N/A</v>
          </cell>
          <cell r="AC1307" t="e">
            <v>#N/A</v>
          </cell>
          <cell r="AF1307" t="e">
            <v>#N/A</v>
          </cell>
        </row>
        <row r="1308">
          <cell r="V1308" t="e">
            <v>#N/A</v>
          </cell>
          <cell r="W1308" t="e">
            <v>#N/A</v>
          </cell>
          <cell r="AA1308" t="e">
            <v>#N/A</v>
          </cell>
          <cell r="AB1308" t="e">
            <v>#N/A</v>
          </cell>
          <cell r="AC1308" t="e">
            <v>#N/A</v>
          </cell>
          <cell r="AF1308" t="e">
            <v>#N/A</v>
          </cell>
        </row>
        <row r="1309">
          <cell r="V1309" t="e">
            <v>#N/A</v>
          </cell>
          <cell r="W1309" t="e">
            <v>#N/A</v>
          </cell>
          <cell r="AA1309" t="e">
            <v>#N/A</v>
          </cell>
          <cell r="AB1309" t="e">
            <v>#N/A</v>
          </cell>
          <cell r="AC1309" t="e">
            <v>#N/A</v>
          </cell>
          <cell r="AF1309" t="e">
            <v>#N/A</v>
          </cell>
        </row>
        <row r="1310">
          <cell r="V1310" t="e">
            <v>#N/A</v>
          </cell>
          <cell r="W1310" t="e">
            <v>#N/A</v>
          </cell>
          <cell r="AA1310" t="e">
            <v>#N/A</v>
          </cell>
          <cell r="AB1310" t="e">
            <v>#N/A</v>
          </cell>
          <cell r="AC1310" t="e">
            <v>#N/A</v>
          </cell>
          <cell r="AF1310" t="e">
            <v>#N/A</v>
          </cell>
        </row>
        <row r="1311">
          <cell r="V1311" t="e">
            <v>#N/A</v>
          </cell>
          <cell r="W1311" t="e">
            <v>#N/A</v>
          </cell>
          <cell r="AA1311" t="e">
            <v>#N/A</v>
          </cell>
          <cell r="AB1311" t="e">
            <v>#N/A</v>
          </cell>
          <cell r="AC1311" t="e">
            <v>#N/A</v>
          </cell>
          <cell r="AF1311" t="e">
            <v>#N/A</v>
          </cell>
        </row>
        <row r="1312">
          <cell r="V1312" t="e">
            <v>#N/A</v>
          </cell>
          <cell r="W1312" t="e">
            <v>#N/A</v>
          </cell>
          <cell r="AA1312" t="e">
            <v>#N/A</v>
          </cell>
          <cell r="AB1312" t="e">
            <v>#N/A</v>
          </cell>
          <cell r="AC1312" t="e">
            <v>#N/A</v>
          </cell>
          <cell r="AF1312" t="e">
            <v>#N/A</v>
          </cell>
        </row>
        <row r="1313">
          <cell r="V1313" t="e">
            <v>#N/A</v>
          </cell>
          <cell r="W1313" t="e">
            <v>#N/A</v>
          </cell>
          <cell r="AA1313" t="e">
            <v>#N/A</v>
          </cell>
          <cell r="AB1313" t="e">
            <v>#N/A</v>
          </cell>
          <cell r="AC1313" t="e">
            <v>#N/A</v>
          </cell>
          <cell r="AF1313" t="e">
            <v>#N/A</v>
          </cell>
        </row>
        <row r="1314">
          <cell r="V1314" t="e">
            <v>#N/A</v>
          </cell>
          <cell r="W1314" t="e">
            <v>#N/A</v>
          </cell>
          <cell r="AA1314" t="e">
            <v>#N/A</v>
          </cell>
          <cell r="AB1314" t="e">
            <v>#N/A</v>
          </cell>
          <cell r="AC1314" t="e">
            <v>#N/A</v>
          </cell>
          <cell r="AF1314" t="e">
            <v>#N/A</v>
          </cell>
        </row>
        <row r="1315">
          <cell r="V1315" t="e">
            <v>#N/A</v>
          </cell>
          <cell r="W1315" t="e">
            <v>#N/A</v>
          </cell>
          <cell r="AA1315" t="e">
            <v>#N/A</v>
          </cell>
          <cell r="AB1315" t="e">
            <v>#N/A</v>
          </cell>
          <cell r="AC1315" t="e">
            <v>#N/A</v>
          </cell>
          <cell r="AF1315" t="e">
            <v>#N/A</v>
          </cell>
        </row>
        <row r="1316">
          <cell r="V1316" t="e">
            <v>#N/A</v>
          </cell>
          <cell r="W1316" t="e">
            <v>#N/A</v>
          </cell>
          <cell r="AA1316" t="e">
            <v>#N/A</v>
          </cell>
          <cell r="AB1316" t="e">
            <v>#N/A</v>
          </cell>
          <cell r="AC1316" t="e">
            <v>#N/A</v>
          </cell>
          <cell r="AF1316" t="e">
            <v>#N/A</v>
          </cell>
        </row>
        <row r="1317">
          <cell r="V1317" t="e">
            <v>#N/A</v>
          </cell>
          <cell r="W1317" t="e">
            <v>#N/A</v>
          </cell>
          <cell r="AA1317" t="e">
            <v>#N/A</v>
          </cell>
          <cell r="AB1317" t="e">
            <v>#N/A</v>
          </cell>
          <cell r="AC1317" t="e">
            <v>#N/A</v>
          </cell>
          <cell r="AF1317" t="e">
            <v>#N/A</v>
          </cell>
        </row>
        <row r="1318">
          <cell r="V1318" t="e">
            <v>#N/A</v>
          </cell>
          <cell r="W1318" t="e">
            <v>#N/A</v>
          </cell>
          <cell r="AA1318" t="e">
            <v>#N/A</v>
          </cell>
          <cell r="AB1318" t="e">
            <v>#N/A</v>
          </cell>
          <cell r="AC1318" t="e">
            <v>#N/A</v>
          </cell>
          <cell r="AF1318" t="e">
            <v>#N/A</v>
          </cell>
        </row>
        <row r="1319">
          <cell r="V1319" t="e">
            <v>#N/A</v>
          </cell>
          <cell r="W1319" t="e">
            <v>#N/A</v>
          </cell>
          <cell r="AA1319" t="e">
            <v>#N/A</v>
          </cell>
          <cell r="AB1319" t="e">
            <v>#N/A</v>
          </cell>
          <cell r="AC1319" t="e">
            <v>#N/A</v>
          </cell>
          <cell r="AF1319" t="e">
            <v>#N/A</v>
          </cell>
        </row>
        <row r="1320">
          <cell r="V1320" t="e">
            <v>#N/A</v>
          </cell>
          <cell r="W1320" t="e">
            <v>#N/A</v>
          </cell>
          <cell r="AA1320" t="e">
            <v>#N/A</v>
          </cell>
          <cell r="AB1320" t="e">
            <v>#N/A</v>
          </cell>
          <cell r="AC1320" t="e">
            <v>#N/A</v>
          </cell>
          <cell r="AF1320" t="e">
            <v>#N/A</v>
          </cell>
        </row>
        <row r="1321">
          <cell r="V1321" t="e">
            <v>#N/A</v>
          </cell>
          <cell r="W1321" t="e">
            <v>#N/A</v>
          </cell>
          <cell r="AA1321" t="e">
            <v>#N/A</v>
          </cell>
          <cell r="AB1321" t="e">
            <v>#N/A</v>
          </cell>
          <cell r="AC1321" t="e">
            <v>#N/A</v>
          </cell>
          <cell r="AF1321" t="e">
            <v>#N/A</v>
          </cell>
        </row>
        <row r="1322">
          <cell r="V1322" t="e">
            <v>#N/A</v>
          </cell>
          <cell r="W1322" t="e">
            <v>#N/A</v>
          </cell>
          <cell r="AA1322" t="e">
            <v>#N/A</v>
          </cell>
          <cell r="AB1322" t="e">
            <v>#N/A</v>
          </cell>
          <cell r="AC1322" t="e">
            <v>#N/A</v>
          </cell>
          <cell r="AF1322" t="e">
            <v>#N/A</v>
          </cell>
        </row>
        <row r="1323">
          <cell r="V1323" t="e">
            <v>#N/A</v>
          </cell>
          <cell r="W1323" t="e">
            <v>#N/A</v>
          </cell>
          <cell r="AA1323" t="e">
            <v>#N/A</v>
          </cell>
          <cell r="AB1323" t="e">
            <v>#N/A</v>
          </cell>
          <cell r="AC1323" t="e">
            <v>#N/A</v>
          </cell>
          <cell r="AF1323" t="e">
            <v>#N/A</v>
          </cell>
        </row>
        <row r="1324">
          <cell r="V1324" t="e">
            <v>#N/A</v>
          </cell>
          <cell r="W1324" t="e">
            <v>#N/A</v>
          </cell>
          <cell r="AA1324" t="e">
            <v>#N/A</v>
          </cell>
          <cell r="AB1324" t="e">
            <v>#N/A</v>
          </cell>
          <cell r="AC1324" t="e">
            <v>#N/A</v>
          </cell>
          <cell r="AF1324" t="e">
            <v>#N/A</v>
          </cell>
        </row>
        <row r="1325">
          <cell r="V1325" t="e">
            <v>#N/A</v>
          </cell>
          <cell r="W1325" t="e">
            <v>#N/A</v>
          </cell>
          <cell r="AA1325" t="e">
            <v>#N/A</v>
          </cell>
          <cell r="AB1325" t="e">
            <v>#N/A</v>
          </cell>
          <cell r="AC1325" t="e">
            <v>#N/A</v>
          </cell>
          <cell r="AF1325" t="e">
            <v>#N/A</v>
          </cell>
        </row>
        <row r="1326">
          <cell r="V1326" t="e">
            <v>#N/A</v>
          </cell>
          <cell r="W1326" t="e">
            <v>#N/A</v>
          </cell>
          <cell r="AA1326" t="e">
            <v>#N/A</v>
          </cell>
          <cell r="AB1326" t="e">
            <v>#N/A</v>
          </cell>
          <cell r="AC1326" t="e">
            <v>#N/A</v>
          </cell>
          <cell r="AF1326" t="e">
            <v>#N/A</v>
          </cell>
        </row>
        <row r="1327">
          <cell r="V1327" t="e">
            <v>#N/A</v>
          </cell>
          <cell r="W1327" t="e">
            <v>#N/A</v>
          </cell>
          <cell r="AA1327" t="e">
            <v>#N/A</v>
          </cell>
          <cell r="AB1327" t="e">
            <v>#N/A</v>
          </cell>
          <cell r="AC1327" t="e">
            <v>#N/A</v>
          </cell>
          <cell r="AF1327" t="e">
            <v>#N/A</v>
          </cell>
        </row>
        <row r="1328">
          <cell r="V1328" t="e">
            <v>#N/A</v>
          </cell>
          <cell r="W1328" t="e">
            <v>#N/A</v>
          </cell>
          <cell r="AA1328" t="e">
            <v>#N/A</v>
          </cell>
          <cell r="AB1328" t="e">
            <v>#N/A</v>
          </cell>
          <cell r="AC1328" t="e">
            <v>#N/A</v>
          </cell>
          <cell r="AF1328" t="e">
            <v>#N/A</v>
          </cell>
        </row>
        <row r="1329">
          <cell r="V1329" t="e">
            <v>#N/A</v>
          </cell>
          <cell r="W1329" t="e">
            <v>#N/A</v>
          </cell>
          <cell r="AA1329" t="e">
            <v>#N/A</v>
          </cell>
          <cell r="AB1329" t="e">
            <v>#N/A</v>
          </cell>
          <cell r="AC1329" t="e">
            <v>#N/A</v>
          </cell>
          <cell r="AF1329" t="e">
            <v>#N/A</v>
          </cell>
        </row>
        <row r="1330">
          <cell r="V1330" t="e">
            <v>#N/A</v>
          </cell>
          <cell r="W1330" t="e">
            <v>#N/A</v>
          </cell>
          <cell r="AA1330" t="e">
            <v>#N/A</v>
          </cell>
          <cell r="AB1330" t="e">
            <v>#N/A</v>
          </cell>
          <cell r="AC1330" t="e">
            <v>#N/A</v>
          </cell>
          <cell r="AF1330" t="e">
            <v>#N/A</v>
          </cell>
        </row>
        <row r="1331">
          <cell r="V1331" t="e">
            <v>#N/A</v>
          </cell>
          <cell r="W1331" t="e">
            <v>#N/A</v>
          </cell>
          <cell r="AA1331" t="e">
            <v>#N/A</v>
          </cell>
          <cell r="AB1331" t="e">
            <v>#N/A</v>
          </cell>
          <cell r="AC1331" t="e">
            <v>#N/A</v>
          </cell>
          <cell r="AF1331" t="e">
            <v>#N/A</v>
          </cell>
        </row>
        <row r="1332">
          <cell r="V1332" t="e">
            <v>#N/A</v>
          </cell>
          <cell r="W1332" t="e">
            <v>#N/A</v>
          </cell>
          <cell r="AA1332" t="e">
            <v>#N/A</v>
          </cell>
          <cell r="AB1332" t="e">
            <v>#N/A</v>
          </cell>
          <cell r="AC1332" t="e">
            <v>#N/A</v>
          </cell>
          <cell r="AF1332" t="e">
            <v>#N/A</v>
          </cell>
        </row>
        <row r="1333">
          <cell r="V1333" t="e">
            <v>#N/A</v>
          </cell>
          <cell r="W1333" t="e">
            <v>#N/A</v>
          </cell>
          <cell r="AA1333" t="e">
            <v>#N/A</v>
          </cell>
          <cell r="AB1333" t="e">
            <v>#N/A</v>
          </cell>
          <cell r="AC1333" t="e">
            <v>#N/A</v>
          </cell>
          <cell r="AF1333" t="e">
            <v>#N/A</v>
          </cell>
        </row>
        <row r="1334">
          <cell r="V1334" t="e">
            <v>#N/A</v>
          </cell>
          <cell r="W1334" t="e">
            <v>#N/A</v>
          </cell>
          <cell r="AA1334" t="e">
            <v>#N/A</v>
          </cell>
          <cell r="AB1334" t="e">
            <v>#N/A</v>
          </cell>
          <cell r="AC1334" t="e">
            <v>#N/A</v>
          </cell>
          <cell r="AF1334" t="e">
            <v>#N/A</v>
          </cell>
        </row>
        <row r="1335">
          <cell r="V1335" t="e">
            <v>#N/A</v>
          </cell>
          <cell r="W1335" t="e">
            <v>#N/A</v>
          </cell>
          <cell r="AA1335" t="e">
            <v>#N/A</v>
          </cell>
          <cell r="AB1335" t="e">
            <v>#N/A</v>
          </cell>
          <cell r="AC1335" t="e">
            <v>#N/A</v>
          </cell>
          <cell r="AF1335" t="e">
            <v>#N/A</v>
          </cell>
        </row>
        <row r="1336">
          <cell r="V1336" t="e">
            <v>#N/A</v>
          </cell>
          <cell r="W1336" t="e">
            <v>#N/A</v>
          </cell>
          <cell r="AA1336" t="e">
            <v>#N/A</v>
          </cell>
          <cell r="AB1336" t="e">
            <v>#N/A</v>
          </cell>
          <cell r="AC1336" t="e">
            <v>#N/A</v>
          </cell>
          <cell r="AF1336" t="e">
            <v>#N/A</v>
          </cell>
        </row>
        <row r="1337">
          <cell r="V1337" t="e">
            <v>#N/A</v>
          </cell>
          <cell r="W1337" t="e">
            <v>#N/A</v>
          </cell>
          <cell r="AA1337" t="e">
            <v>#N/A</v>
          </cell>
          <cell r="AB1337" t="e">
            <v>#N/A</v>
          </cell>
          <cell r="AC1337" t="e">
            <v>#N/A</v>
          </cell>
          <cell r="AF1337" t="e">
            <v>#N/A</v>
          </cell>
        </row>
        <row r="1338">
          <cell r="V1338" t="e">
            <v>#N/A</v>
          </cell>
          <cell r="W1338" t="e">
            <v>#N/A</v>
          </cell>
          <cell r="AA1338" t="e">
            <v>#N/A</v>
          </cell>
          <cell r="AB1338" t="e">
            <v>#N/A</v>
          </cell>
          <cell r="AC1338" t="e">
            <v>#N/A</v>
          </cell>
          <cell r="AF1338" t="e">
            <v>#N/A</v>
          </cell>
        </row>
        <row r="1339">
          <cell r="V1339" t="e">
            <v>#N/A</v>
          </cell>
          <cell r="W1339" t="e">
            <v>#N/A</v>
          </cell>
          <cell r="AA1339" t="e">
            <v>#N/A</v>
          </cell>
          <cell r="AB1339" t="e">
            <v>#N/A</v>
          </cell>
          <cell r="AC1339" t="e">
            <v>#N/A</v>
          </cell>
          <cell r="AF1339" t="e">
            <v>#N/A</v>
          </cell>
        </row>
        <row r="1340">
          <cell r="V1340" t="e">
            <v>#N/A</v>
          </cell>
          <cell r="W1340" t="e">
            <v>#N/A</v>
          </cell>
          <cell r="AA1340" t="e">
            <v>#N/A</v>
          </cell>
          <cell r="AB1340" t="e">
            <v>#N/A</v>
          </cell>
          <cell r="AC1340" t="e">
            <v>#N/A</v>
          </cell>
          <cell r="AF1340" t="e">
            <v>#N/A</v>
          </cell>
        </row>
        <row r="1341">
          <cell r="V1341" t="e">
            <v>#N/A</v>
          </cell>
          <cell r="W1341" t="e">
            <v>#N/A</v>
          </cell>
          <cell r="AA1341" t="e">
            <v>#N/A</v>
          </cell>
          <cell r="AB1341" t="e">
            <v>#N/A</v>
          </cell>
          <cell r="AC1341" t="e">
            <v>#N/A</v>
          </cell>
          <cell r="AF1341" t="e">
            <v>#N/A</v>
          </cell>
        </row>
        <row r="1342">
          <cell r="V1342" t="e">
            <v>#N/A</v>
          </cell>
          <cell r="W1342" t="e">
            <v>#N/A</v>
          </cell>
          <cell r="AA1342" t="e">
            <v>#N/A</v>
          </cell>
          <cell r="AB1342" t="e">
            <v>#N/A</v>
          </cell>
          <cell r="AC1342" t="e">
            <v>#N/A</v>
          </cell>
          <cell r="AF1342" t="e">
            <v>#N/A</v>
          </cell>
        </row>
        <row r="1343">
          <cell r="V1343" t="e">
            <v>#N/A</v>
          </cell>
          <cell r="W1343" t="e">
            <v>#N/A</v>
          </cell>
          <cell r="AA1343" t="e">
            <v>#N/A</v>
          </cell>
          <cell r="AB1343" t="e">
            <v>#N/A</v>
          </cell>
          <cell r="AC1343" t="e">
            <v>#N/A</v>
          </cell>
          <cell r="AF1343" t="e">
            <v>#N/A</v>
          </cell>
        </row>
        <row r="1344">
          <cell r="V1344" t="e">
            <v>#N/A</v>
          </cell>
          <cell r="W1344" t="e">
            <v>#N/A</v>
          </cell>
          <cell r="AA1344" t="e">
            <v>#N/A</v>
          </cell>
          <cell r="AB1344" t="e">
            <v>#N/A</v>
          </cell>
          <cell r="AC1344" t="e">
            <v>#N/A</v>
          </cell>
          <cell r="AF1344" t="e">
            <v>#N/A</v>
          </cell>
        </row>
        <row r="1345">
          <cell r="V1345" t="e">
            <v>#N/A</v>
          </cell>
          <cell r="W1345" t="e">
            <v>#N/A</v>
          </cell>
          <cell r="AA1345" t="e">
            <v>#N/A</v>
          </cell>
          <cell r="AB1345" t="e">
            <v>#N/A</v>
          </cell>
          <cell r="AC1345" t="e">
            <v>#N/A</v>
          </cell>
          <cell r="AF1345" t="e">
            <v>#N/A</v>
          </cell>
        </row>
        <row r="1346">
          <cell r="V1346" t="e">
            <v>#N/A</v>
          </cell>
          <cell r="W1346" t="e">
            <v>#N/A</v>
          </cell>
          <cell r="AA1346" t="e">
            <v>#N/A</v>
          </cell>
          <cell r="AB1346" t="e">
            <v>#N/A</v>
          </cell>
          <cell r="AC1346" t="e">
            <v>#N/A</v>
          </cell>
          <cell r="AF1346" t="e">
            <v>#N/A</v>
          </cell>
        </row>
        <row r="1347">
          <cell r="V1347" t="e">
            <v>#N/A</v>
          </cell>
          <cell r="W1347" t="e">
            <v>#N/A</v>
          </cell>
          <cell r="AA1347" t="e">
            <v>#N/A</v>
          </cell>
          <cell r="AB1347" t="e">
            <v>#N/A</v>
          </cell>
          <cell r="AC1347" t="e">
            <v>#N/A</v>
          </cell>
          <cell r="AF1347" t="e">
            <v>#N/A</v>
          </cell>
        </row>
        <row r="1348">
          <cell r="V1348" t="e">
            <v>#N/A</v>
          </cell>
          <cell r="W1348" t="e">
            <v>#N/A</v>
          </cell>
          <cell r="AA1348" t="e">
            <v>#N/A</v>
          </cell>
          <cell r="AB1348" t="e">
            <v>#N/A</v>
          </cell>
          <cell r="AC1348" t="e">
            <v>#N/A</v>
          </cell>
          <cell r="AF1348" t="e">
            <v>#N/A</v>
          </cell>
        </row>
        <row r="1349">
          <cell r="V1349" t="e">
            <v>#N/A</v>
          </cell>
          <cell r="W1349" t="e">
            <v>#N/A</v>
          </cell>
          <cell r="AA1349" t="e">
            <v>#N/A</v>
          </cell>
          <cell r="AB1349" t="e">
            <v>#N/A</v>
          </cell>
          <cell r="AC1349" t="e">
            <v>#N/A</v>
          </cell>
          <cell r="AF1349" t="e">
            <v>#N/A</v>
          </cell>
        </row>
        <row r="1350">
          <cell r="V1350" t="e">
            <v>#N/A</v>
          </cell>
          <cell r="W1350" t="e">
            <v>#N/A</v>
          </cell>
          <cell r="AA1350" t="e">
            <v>#N/A</v>
          </cell>
          <cell r="AB1350" t="e">
            <v>#N/A</v>
          </cell>
          <cell r="AC1350" t="e">
            <v>#N/A</v>
          </cell>
          <cell r="AF1350" t="e">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Book1"/>
      <sheetName val="#REF"/>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A - 1"/>
      <sheetName val="A - 2"/>
      <sheetName val="A - 2.1"/>
      <sheetName val="A - 4"/>
      <sheetName val="A - 5a"/>
      <sheetName val="A - 5b"/>
      <sheetName val="WPA-5"/>
      <sheetName val="WPA - 5a"/>
      <sheetName val="WPA - 5b"/>
      <sheetName val="B - 1"/>
      <sheetName val="B - 2"/>
      <sheetName val="B - 2.1"/>
      <sheetName val="WPB-2.1.1"/>
      <sheetName val="WPB - 2.1a"/>
      <sheetName val="WPB - 2.1b"/>
      <sheetName val="WPB - 2.1c"/>
      <sheetName val="WPB - 2.1d"/>
      <sheetName val="B - 3"/>
      <sheetName val="B - 4"/>
      <sheetName val="WPB - 4"/>
      <sheetName val="B - 5"/>
      <sheetName val="WPB - 5"/>
      <sheetName val="B - 6a"/>
      <sheetName val="B - 6b"/>
      <sheetName val="B - 7.2"/>
      <sheetName val="B - 8"/>
      <sheetName val="B - 8.1"/>
      <sheetName val="WPB - 8.1a1"/>
      <sheetName val="WPB - 8.1a2"/>
      <sheetName val="WPB - 8.1b"/>
      <sheetName val="B - 9"/>
      <sheetName val="WPB - 9a"/>
      <sheetName val="WPB - 9b"/>
      <sheetName val="B - 9.1"/>
      <sheetName val="B - 13"/>
      <sheetName val="WPB - 13.1"/>
      <sheetName val="WPB - 13b"/>
      <sheetName val="B - 14"/>
      <sheetName val="WPB - 14"/>
      <sheetName val="C - 1"/>
      <sheetName val="C - 2"/>
      <sheetName val="C - 2.1"/>
      <sheetName val="WPC - 2.1"/>
      <sheetName val="C - 2.2"/>
      <sheetName val="C - 2.3"/>
      <sheetName val="WPC - 2.3.1"/>
      <sheetName val="WPC - 2.3.2"/>
      <sheetName val="C - 2.4"/>
      <sheetName val="C - 2.5"/>
      <sheetName val="WPC - 2.5"/>
      <sheetName val="C - 2.6"/>
      <sheetName val="WPC - 2.6"/>
      <sheetName val="C - 2.7"/>
      <sheetName val="WPC - 2.7.1"/>
      <sheetName val="WPC - 2.7a"/>
      <sheetName val="WPC - 2.7.2"/>
      <sheetName val="WPC - 2.7.3"/>
      <sheetName val="WPC - 2.7d"/>
      <sheetName val="WPC - 2.7e"/>
      <sheetName val="C-2.8"/>
      <sheetName val="C - 2.9"/>
      <sheetName val="C - 2.10"/>
      <sheetName val="C - 2.11"/>
      <sheetName val="WPC - 2.11"/>
      <sheetName val="C - 2.12"/>
      <sheetName val="WPC - 2.12"/>
      <sheetName val="C - 2.13"/>
      <sheetName val="WPC - 2.13"/>
      <sheetName val="C - 3"/>
      <sheetName val="C - 4"/>
      <sheetName val="WPC - 4"/>
      <sheetName val="C - 5"/>
      <sheetName val="C - 5.1"/>
      <sheetName val="C - 5.2"/>
      <sheetName val="C - 5.3"/>
      <sheetName val="C - 5.4"/>
      <sheetName val="WPC - 5.4"/>
      <sheetName val="C - 5.5"/>
      <sheetName val="C - 6"/>
      <sheetName val="C - 6.1"/>
      <sheetName val="C - 6.2"/>
      <sheetName val="C - 7"/>
      <sheetName val="C - 8"/>
      <sheetName val="WPC - 8"/>
      <sheetName val="C - 9"/>
      <sheetName val="C - 10"/>
      <sheetName val="WPC - 10"/>
      <sheetName val="C - 10.1"/>
      <sheetName val="C - 11.1"/>
      <sheetName val="WPC - 11.1"/>
      <sheetName val="C - 11.2a"/>
      <sheetName val="C - 11.2b"/>
      <sheetName val="C - 11.2c"/>
      <sheetName val="C - 11.2d"/>
      <sheetName val="C - 11.2e"/>
      <sheetName val="C - 11.2f"/>
      <sheetName val="C - 11.2g"/>
      <sheetName val="C - 11.2h"/>
      <sheetName val="C - 11.3"/>
      <sheetName val="WPC - 11.3.1"/>
      <sheetName val="WPC - 11.3.2"/>
      <sheetName val="WPC - 11.3.3"/>
      <sheetName val="WPC - 11.3.4"/>
      <sheetName val="C - 12"/>
      <sheetName val="C - 13"/>
      <sheetName val="C - 14"/>
      <sheetName val="WPC - 14"/>
      <sheetName val="C - 16"/>
      <sheetName val="WPC - 16"/>
      <sheetName val="C - 17a"/>
      <sheetName val="C - 17b"/>
      <sheetName val="C - 17c"/>
      <sheetName val="C - 17d"/>
      <sheetName val="C - 18"/>
      <sheetName val="WPC-18a"/>
      <sheetName val="WPC-18b"/>
      <sheetName val="WPC-18c"/>
      <sheetName val="C - 19"/>
      <sheetName val="C-21"/>
      <sheetName val="C - 23"/>
      <sheetName val="WPC - 23"/>
      <sheetName val="C - 25"/>
      <sheetName val="C - 31"/>
    </sheetNames>
    <sheetDataSet>
      <sheetData sheetId="0" refreshError="1">
        <row r="89">
          <cell r="C89" t="str">
            <v>AmerenCILCO</v>
          </cell>
        </row>
        <row r="96">
          <cell r="C96" t="str">
            <v>For the Twelve Months Ended December 31, 2004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sheetName val="2004 IS Actual"/>
      <sheetName val="2005 IS Plan"/>
      <sheetName val="2005 Actual"/>
      <sheetName val="2005 2+10 LE"/>
      <sheetName val="Blank"/>
      <sheetName val="EED IS"/>
      <sheetName val="EED IS Var B"/>
      <sheetName val="EED IS Var LE"/>
      <sheetName val="Blank1"/>
      <sheetName val="ComEd IS"/>
      <sheetName val="ComEd IS- Var 2 B"/>
      <sheetName val="ComEd IS- Var 2 LE"/>
      <sheetName val="Blank2"/>
      <sheetName val="PECO IS"/>
      <sheetName val="PECO IS- Var 2 B"/>
      <sheetName val="PECO IS- Var 2 LE"/>
      <sheetName val="Blank3"/>
      <sheetName val="EED BS "/>
      <sheetName val="EED BS Var B"/>
      <sheetName val="EED BS Var LE"/>
      <sheetName val="Blank4"/>
      <sheetName val="ComEd BS "/>
      <sheetName val="ComEd BS Var B"/>
      <sheetName val="ComEd BS Var LE"/>
      <sheetName val="Blank5"/>
      <sheetName val="PECO BS "/>
      <sheetName val="PECO BS Var B"/>
      <sheetName val="PECO BS Var LE"/>
      <sheetName val="Blank6"/>
      <sheetName val="EED CFS"/>
      <sheetName val="EED CFS Var B"/>
      <sheetName val="EED CFS Var LE"/>
      <sheetName val="Blank7"/>
      <sheetName val="ComEd CFS"/>
      <sheetName val="ComEd CFS Var B"/>
      <sheetName val="ComEd CFS Var LE"/>
      <sheetName val="Blank8"/>
      <sheetName val="PECO CFS"/>
      <sheetName val="PECO CFS Var B"/>
      <sheetName val="PECO CFS Var LE"/>
      <sheetName val="EED &gt;"/>
      <sheetName val="Blank9"/>
      <sheetName val="Blank10"/>
      <sheetName val="E O&amp;M VP M B"/>
      <sheetName val="E Cap VP M B"/>
      <sheetName val="E O&amp;M VP M LE"/>
      <sheetName val="E Cap VP M  LE"/>
      <sheetName val="E O&amp;M VP YTD B"/>
      <sheetName val="E Cap VP YTD B"/>
      <sheetName val="E O&amp;M VP FY B"/>
      <sheetName val="E Cap VP FY B"/>
      <sheetName val="E O&amp;M VP FY LE"/>
      <sheetName val="E Cap VP FY LE"/>
      <sheetName val="E O&amp;M RR"/>
      <sheetName val="E Cap RR"/>
      <sheetName val="E O&amp;M Category"/>
      <sheetName val="E Capital -Category"/>
      <sheetName val="E-Ops O&amp;M"/>
      <sheetName val="E-Ops O&amp;M R&amp;O"/>
      <sheetName val="E Ops Cap"/>
      <sheetName val="E Ops Cap R&amp;O"/>
      <sheetName val="E-TS O&amp;M"/>
      <sheetName val="E-TS O&amp;M R&amp;O"/>
      <sheetName val="E TS Cap"/>
      <sheetName val="E TS Cap R&amp;O"/>
      <sheetName val="E-C&amp;MS O&amp;M"/>
      <sheetName val="E-C&amp;MS O&amp;M R&amp;O"/>
      <sheetName val="E C&amp;MS Cap"/>
      <sheetName val="E C&amp;MS Cap R&amp;O"/>
      <sheetName val="E-CIMS O&amp;M"/>
      <sheetName val="E CIMS O&amp;M R&amp;O"/>
      <sheetName val="E CIMS Cap"/>
      <sheetName val="E CIMS Cap R&amp;O"/>
      <sheetName val="E-TO O&amp;M"/>
      <sheetName val="E-TO O&amp;M R&amp;O"/>
      <sheetName val="E TO Cap"/>
      <sheetName val="E TO Cap R&amp;O"/>
      <sheetName val="C-OFP O&amp;M"/>
      <sheetName val="C-OFP O&amp;M R&amp;O"/>
      <sheetName val="C OFP Cap"/>
      <sheetName val="C OFP Cap R&amp;O"/>
      <sheetName val="C Post 06 O&amp;M"/>
      <sheetName val="C-Post 06 O&amp;M R&amp;O"/>
      <sheetName val="C Post 06 Cap"/>
      <sheetName val="C Post 06 Cap R&amp;O"/>
      <sheetName val="P-OFP O&amp;M"/>
      <sheetName val="P-OFP O&amp;M R&amp;O"/>
      <sheetName val="P OFP Cap"/>
      <sheetName val="P OFP Cap R&amp;O"/>
      <sheetName val="Functional &gt;&gt;"/>
      <sheetName val="Blank9 (2)"/>
      <sheetName val="TOTAL O&amp;M"/>
      <sheetName val="TOTAL Cap"/>
      <sheetName val="Embedded O&amp;M"/>
      <sheetName val="Embedded Cap"/>
      <sheetName val="Finance-Sum O&amp;M"/>
      <sheetName val="Finance Sum Cap"/>
      <sheetName val="Finance O&amp;M"/>
      <sheetName val="Finance Cap"/>
      <sheetName val="Cont O&amp;M"/>
      <sheetName val="Cont Cap"/>
      <sheetName val="Tax O&amp;M"/>
      <sheetName val="Tax Cap"/>
      <sheetName val="HR O&amp;M"/>
      <sheetName val="Blank12"/>
      <sheetName val="IT O&amp;M"/>
      <sheetName val="IT Cap"/>
      <sheetName val="Legal O&amp;M"/>
      <sheetName val="Blank13"/>
      <sheetName val="Supply O&amp;M"/>
      <sheetName val="Supply Cap"/>
      <sheetName val="Com O&amp;M"/>
      <sheetName val="Blank14"/>
      <sheetName val="Allocated O&amp;M"/>
      <sheetName val="Allocated Cap"/>
      <sheetName val="Transactional"/>
      <sheetName val="ComED &gt;"/>
      <sheetName val="Blank15"/>
      <sheetName val="Blank16"/>
      <sheetName val="C O&amp;M VP M B"/>
      <sheetName val="C Cap VP M B"/>
      <sheetName val="C O&amp;M VP M LE"/>
      <sheetName val="C Cap VP M LE"/>
      <sheetName val="C O&amp;M VP Y B"/>
      <sheetName val="C Cap VP Y B"/>
      <sheetName val="C O&amp;M VP FY B"/>
      <sheetName val="C Cap VP FY B"/>
      <sheetName val="C O&amp;M VP FY LE"/>
      <sheetName val="C Cap VP FY LE"/>
      <sheetName val="C O&amp;M -Category"/>
      <sheetName val="C Capital-Category"/>
      <sheetName val="C Ops O&amp;M"/>
      <sheetName val="C Ops O&amp;M V"/>
      <sheetName val="C Ops Cap"/>
      <sheetName val="C Ops Cap V"/>
      <sheetName val="C-TS O&amp;M"/>
      <sheetName val="C TS O&amp;M V"/>
      <sheetName val="C TS Cap"/>
      <sheetName val="C TS Cap V"/>
      <sheetName val="C-C&amp;MS O&amp;M"/>
      <sheetName val="C C&amp;MS O&amp;M V"/>
      <sheetName val="C C&amp;MS Cap"/>
      <sheetName val="C C&amp;MS Cap V"/>
      <sheetName val="C-TO O&amp;M"/>
      <sheetName val="C TO O&amp;M V"/>
      <sheetName val="C TO Cap"/>
      <sheetName val="C TO Cap V"/>
      <sheetName val="PECO &gt;"/>
      <sheetName val="Blank17"/>
      <sheetName val="P O&amp;M VP M B"/>
      <sheetName val="P Cap VP M B"/>
      <sheetName val="P O&amp;M VP M LE"/>
      <sheetName val="P Cap VP M LE"/>
      <sheetName val="P O&amp;M VP Y B"/>
      <sheetName val="P Cap VP Y B"/>
      <sheetName val="P O&amp;M VP FY B"/>
      <sheetName val="P Cap VP FY B"/>
      <sheetName val="P O&amp;M VP FY LE"/>
      <sheetName val="P Cap M VP FY LE"/>
      <sheetName val="P O&amp;M-Category "/>
      <sheetName val="P Capital Category"/>
      <sheetName val="P-Ops O&amp;M"/>
      <sheetName val="P Ops O&amp;M V"/>
      <sheetName val="P Ops Cap"/>
      <sheetName val="P Ops Cap V"/>
      <sheetName val="P-TS O&amp;M"/>
      <sheetName val="P TS O&amp;M V"/>
      <sheetName val="P TS Cap"/>
      <sheetName val="P TS Cap V"/>
      <sheetName val="P-C&amp;MS O&amp;M"/>
      <sheetName val="P C&amp;MS O&amp;M V"/>
      <sheetName val="P C&amp;MS Cap"/>
      <sheetName val="P C&amp;MS Cap V"/>
      <sheetName val="P-CIMS O&amp;M "/>
      <sheetName val="P CIMS O&amp;M V"/>
      <sheetName val="P CIMS Cap"/>
      <sheetName val="P CIMS Cap V"/>
      <sheetName val="P-TO O&amp;M"/>
      <sheetName val="P TO O&amp;M V"/>
      <sheetName val="P TO Cap"/>
      <sheetName val="P TO Cap V"/>
      <sheetName val="RNF &gt;"/>
      <sheetName val="E Acc"/>
      <sheetName val="C Acc"/>
      <sheetName val="P Acc"/>
      <sheetName val="P Acc Elec"/>
      <sheetName val="P Acc Gas"/>
      <sheetName val="C Cust"/>
      <sheetName val="C Rev"/>
      <sheetName val="C Sales"/>
      <sheetName val="C Rates"/>
      <sheetName val="C PPA Price"/>
      <sheetName val="C PPA Vol"/>
      <sheetName val="C Trans"/>
      <sheetName val="P Elec Cust"/>
      <sheetName val="P Elec Rev"/>
      <sheetName val="P Elec Sales"/>
      <sheetName val="P Elec Rates"/>
      <sheetName val="P Elec PPA Price"/>
      <sheetName val="P Elec PPA Vol"/>
      <sheetName val="P Elec Trans"/>
      <sheetName val="P Gas Cust"/>
      <sheetName val="P Gas Rev"/>
      <sheetName val="P Gas Sales"/>
      <sheetName val="P Gas Rates"/>
      <sheetName val="Other P&amp;L &gt;"/>
      <sheetName val="EED Other Op Rev"/>
      <sheetName val="EED TOTI"/>
      <sheetName val="PECO TOTI"/>
      <sheetName val="ComEd TOTI"/>
      <sheetName val="EED Depr"/>
      <sheetName val="ComEd Depr "/>
      <sheetName val="PECO Depr"/>
      <sheetName val="EED Interest"/>
      <sheetName val="ComEd Interest"/>
      <sheetName val="ComEd Other Op Rev"/>
      <sheetName val="PECO Other Op Rev"/>
      <sheetName val="PECO Interest"/>
      <sheetName val="PECO Taxes"/>
      <sheetName val="Incentive &gt;"/>
      <sheetName val="AIP"/>
      <sheetName val="ENTERPRISES"/>
    </sheetNames>
    <sheetDataSet>
      <sheetData sheetId="0" refreshError="1">
        <row r="2">
          <cell r="B2" t="str">
            <v>April 2005</v>
          </cell>
        </row>
        <row r="3">
          <cell r="B3" t="str">
            <v>April 30, 2005</v>
          </cell>
        </row>
        <row r="4">
          <cell r="B4" t="str">
            <v>Balances as of April 30th</v>
          </cell>
        </row>
        <row r="5">
          <cell r="B5" t="str">
            <v>4+8 LE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_H"/>
      <sheetName val="CJ02AROACA"/>
      <sheetName val="CJ04AROACA"/>
      <sheetName val="CJ03AROACA"/>
      <sheetName val="CJ01AROACA"/>
      <sheetName val="CJ04ARCDCA"/>
      <sheetName val="CJ03ARCDCA"/>
      <sheetName val="CJ02ARCDCA"/>
      <sheetName val="CJ01ARCDCA"/>
      <sheetName val="Control"/>
      <sheetName val="Template"/>
      <sheetName val="Notes"/>
      <sheetName val="eSSLBufferPtr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I5" t="str">
            <v>10000NEGCASH</v>
          </cell>
        </row>
        <row r="6">
          <cell r="AI6" t="str">
            <v>10001BERMD8296</v>
          </cell>
        </row>
        <row r="7">
          <cell r="AI7" t="str">
            <v>10001WACHA5179</v>
          </cell>
        </row>
        <row r="8">
          <cell r="AI8" t="str">
            <v>10002MELNA9327</v>
          </cell>
        </row>
        <row r="9">
          <cell r="AI9" t="str">
            <v>10003BONEA0901</v>
          </cell>
        </row>
        <row r="10">
          <cell r="AI10" t="str">
            <v>10003BONEA5513</v>
          </cell>
        </row>
        <row r="11">
          <cell r="AI11" t="str">
            <v>10003FIFTH0467</v>
          </cell>
        </row>
        <row r="12">
          <cell r="AI12" t="str">
            <v>10003LASAL2259</v>
          </cell>
        </row>
        <row r="13">
          <cell r="AI13" t="str">
            <v>10003LASAL2309</v>
          </cell>
        </row>
        <row r="14">
          <cell r="AI14" t="str">
            <v>10003MELNA7552</v>
          </cell>
        </row>
        <row r="15">
          <cell r="AI15" t="str">
            <v>10003MELNA8337</v>
          </cell>
        </row>
        <row r="16">
          <cell r="AI16" t="str">
            <v>10003SCUDD2687</v>
          </cell>
        </row>
        <row r="17">
          <cell r="AI17" t="str">
            <v>10003SEWAY5301</v>
          </cell>
        </row>
        <row r="18">
          <cell r="AI18" t="str">
            <v>10003SEWAY6101</v>
          </cell>
        </row>
        <row r="19">
          <cell r="AI19" t="str">
            <v>10003SEWAY7601</v>
          </cell>
        </row>
        <row r="20">
          <cell r="AI20" t="str">
            <v>10003WACHA0123</v>
          </cell>
        </row>
        <row r="21">
          <cell r="AI21" t="str">
            <v>10003WACHA0818</v>
          </cell>
        </row>
        <row r="22">
          <cell r="AI22" t="str">
            <v>10004BONEA0627</v>
          </cell>
        </row>
        <row r="23">
          <cell r="AI23" t="str">
            <v>10004BONEA4682</v>
          </cell>
        </row>
        <row r="24">
          <cell r="AI24" t="str">
            <v>10004BONEA4922</v>
          </cell>
        </row>
        <row r="25">
          <cell r="AI25" t="str">
            <v>10004BONEA4930</v>
          </cell>
        </row>
        <row r="26">
          <cell r="AI26" t="str">
            <v>10004BONEA4948</v>
          </cell>
        </row>
        <row r="27">
          <cell r="AI27" t="str">
            <v>10004BONEA4955</v>
          </cell>
        </row>
        <row r="28">
          <cell r="AI28" t="str">
            <v>10004BONEA4963</v>
          </cell>
        </row>
        <row r="29">
          <cell r="AI29" t="str">
            <v>10004BONEA4971</v>
          </cell>
        </row>
        <row r="30">
          <cell r="AI30" t="str">
            <v>10004BONEA4989</v>
          </cell>
        </row>
        <row r="31">
          <cell r="AI31" t="str">
            <v>10004BONEA4997</v>
          </cell>
        </row>
        <row r="32">
          <cell r="AI32" t="str">
            <v>10004JPCHA6998</v>
          </cell>
        </row>
        <row r="33">
          <cell r="AI33" t="str">
            <v>10004LASAL2077</v>
          </cell>
        </row>
        <row r="34">
          <cell r="AI34" t="str">
            <v>10004LASAL2101</v>
          </cell>
        </row>
        <row r="35">
          <cell r="AI35" t="str">
            <v>10004LASAL2374</v>
          </cell>
        </row>
        <row r="36">
          <cell r="AI36" t="str">
            <v>10004MELNA3411</v>
          </cell>
        </row>
        <row r="37">
          <cell r="AI37" t="str">
            <v>10004MELNA7560</v>
          </cell>
        </row>
        <row r="38">
          <cell r="AI38" t="str">
            <v>10004PAINE0549</v>
          </cell>
        </row>
        <row r="39">
          <cell r="AI39" t="str">
            <v>10004WELLS5300</v>
          </cell>
        </row>
        <row r="40">
          <cell r="AI40" t="str">
            <v>10006BKNYA9170</v>
          </cell>
        </row>
        <row r="41">
          <cell r="AI41" t="str">
            <v>10006BKNYA9171</v>
          </cell>
        </row>
        <row r="42">
          <cell r="AI42" t="str">
            <v>10006LASAL7449</v>
          </cell>
        </row>
        <row r="43">
          <cell r="AI43" t="str">
            <v>10100BONEA0877</v>
          </cell>
        </row>
        <row r="44">
          <cell r="AI44" t="str">
            <v>10100BONEA5554</v>
          </cell>
        </row>
        <row r="45">
          <cell r="AI45" t="str">
            <v>10100CITIB3005</v>
          </cell>
        </row>
        <row r="46">
          <cell r="AI46" t="str">
            <v>10100FIFTH5383</v>
          </cell>
        </row>
        <row r="47">
          <cell r="AI47" t="str">
            <v>10100JPCHA8869</v>
          </cell>
        </row>
        <row r="48">
          <cell r="AI48" t="str">
            <v>10100LASAL2176</v>
          </cell>
        </row>
        <row r="49">
          <cell r="AI49" t="str">
            <v>10100LASAL2184</v>
          </cell>
        </row>
        <row r="50">
          <cell r="AI50" t="str">
            <v>10100LASAL2218</v>
          </cell>
        </row>
        <row r="51">
          <cell r="AI51" t="str">
            <v>10100LASAL2598</v>
          </cell>
        </row>
        <row r="52">
          <cell r="AI52" t="str">
            <v>10100MELNA7586</v>
          </cell>
        </row>
        <row r="53">
          <cell r="AI53" t="str">
            <v>10100MELNA8311</v>
          </cell>
        </row>
        <row r="54">
          <cell r="AI54" t="str">
            <v>10100SCUDD2670</v>
          </cell>
        </row>
        <row r="55">
          <cell r="AI55" t="str">
            <v>10100WACHA0149</v>
          </cell>
        </row>
        <row r="56">
          <cell r="AI56" t="str">
            <v>10100WACHA0834</v>
          </cell>
        </row>
        <row r="57">
          <cell r="AI57" t="str">
            <v>10101MELNA0301</v>
          </cell>
        </row>
        <row r="58">
          <cell r="AI58" t="str">
            <v>10102LASAL9589</v>
          </cell>
        </row>
        <row r="59">
          <cell r="AI59" t="str">
            <v>10102MELNA9881</v>
          </cell>
        </row>
        <row r="60">
          <cell r="AI60" t="str">
            <v>10103LASAL5989</v>
          </cell>
        </row>
        <row r="61">
          <cell r="AI61" t="str">
            <v>10103MELNA1101</v>
          </cell>
        </row>
        <row r="62">
          <cell r="AI62" t="str">
            <v>10103WACHA0110</v>
          </cell>
        </row>
        <row r="63">
          <cell r="AI63" t="str">
            <v>10103WACHA0805</v>
          </cell>
        </row>
        <row r="64">
          <cell r="AI64" t="str">
            <v>10105BONEA0943</v>
          </cell>
        </row>
        <row r="65">
          <cell r="AI65" t="str">
            <v>10105BONEA5596</v>
          </cell>
        </row>
        <row r="66">
          <cell r="AI66" t="str">
            <v>10105LASAL2200</v>
          </cell>
        </row>
        <row r="67">
          <cell r="AI67" t="str">
            <v>10105MELNA8329</v>
          </cell>
        </row>
        <row r="68">
          <cell r="AI68" t="str">
            <v>10105MELNA9195</v>
          </cell>
        </row>
        <row r="69">
          <cell r="AI69" t="str">
            <v>10105MELNA9211</v>
          </cell>
        </row>
        <row r="70">
          <cell r="AI70" t="str">
            <v>10105NORTH2080</v>
          </cell>
        </row>
        <row r="71">
          <cell r="AI71" t="str">
            <v>10105WACHA0152</v>
          </cell>
        </row>
        <row r="72">
          <cell r="AI72" t="str">
            <v>10105WACHA0178</v>
          </cell>
        </row>
        <row r="73">
          <cell r="AI73" t="str">
            <v>10105WACHA0847</v>
          </cell>
        </row>
        <row r="74">
          <cell r="AI74" t="str">
            <v>10105WACHA0850</v>
          </cell>
        </row>
        <row r="75">
          <cell r="AI75" t="str">
            <v>10105WELLS0800</v>
          </cell>
        </row>
        <row r="76">
          <cell r="AI76" t="str">
            <v>10106BERMD8317</v>
          </cell>
        </row>
        <row r="77">
          <cell r="AI77" t="str">
            <v>10106WACHA5182</v>
          </cell>
        </row>
        <row r="78">
          <cell r="AI78" t="str">
            <v>10110JPMOR2342</v>
          </cell>
        </row>
        <row r="79">
          <cell r="AI79" t="str">
            <v>10110LASAL5542</v>
          </cell>
        </row>
        <row r="80">
          <cell r="AI80" t="str">
            <v>10110MELNA0820</v>
          </cell>
        </row>
        <row r="81">
          <cell r="AI81" t="str">
            <v>10112LASAL2622</v>
          </cell>
        </row>
        <row r="82">
          <cell r="AI82" t="str">
            <v>10113LASAL2614</v>
          </cell>
        </row>
        <row r="83">
          <cell r="AI83" t="str">
            <v>10115JPMOR2335</v>
          </cell>
        </row>
        <row r="84">
          <cell r="AI84" t="str">
            <v>10115LASAL5559</v>
          </cell>
        </row>
        <row r="85">
          <cell r="AI85" t="str">
            <v>10115MELNA8295</v>
          </cell>
        </row>
        <row r="86">
          <cell r="AI86" t="str">
            <v>10116WACHA5221</v>
          </cell>
        </row>
        <row r="87">
          <cell r="AI87" t="str">
            <v>10118LASAL3745</v>
          </cell>
        </row>
        <row r="88">
          <cell r="AI88" t="str">
            <v>10118MELNA0317</v>
          </cell>
        </row>
        <row r="89">
          <cell r="AI89" t="str">
            <v>10118NORTH2078</v>
          </cell>
        </row>
        <row r="90">
          <cell r="AI90" t="str">
            <v>10118WELLS0700</v>
          </cell>
        </row>
        <row r="91">
          <cell r="AI91" t="str">
            <v>10125LASAL2838</v>
          </cell>
        </row>
        <row r="92">
          <cell r="AI92" t="str">
            <v>10125LASAL6177</v>
          </cell>
        </row>
        <row r="93">
          <cell r="AI93" t="str">
            <v>10137LASAL0979</v>
          </cell>
        </row>
        <row r="94">
          <cell r="AI94" t="str">
            <v>10137MELNA3881</v>
          </cell>
        </row>
        <row r="95">
          <cell r="AI95" t="str">
            <v>10137WACHA2696</v>
          </cell>
        </row>
        <row r="96">
          <cell r="AI96" t="str">
            <v>10140BONEA7238</v>
          </cell>
        </row>
        <row r="97">
          <cell r="AI97" t="str">
            <v>10140BONEA8905</v>
          </cell>
        </row>
        <row r="98">
          <cell r="AI98" t="str">
            <v>10140LASAL5195</v>
          </cell>
        </row>
        <row r="99">
          <cell r="AI99" t="str">
            <v>10140LASAL5203</v>
          </cell>
        </row>
        <row r="100">
          <cell r="AI100" t="str">
            <v>10140MELNA0523</v>
          </cell>
        </row>
        <row r="101">
          <cell r="AI101" t="str">
            <v>10140MELNA4066</v>
          </cell>
        </row>
        <row r="102">
          <cell r="AI102" t="str">
            <v>10140WACHA1329</v>
          </cell>
        </row>
        <row r="103">
          <cell r="AI103" t="str">
            <v>10140WACHA4624</v>
          </cell>
        </row>
        <row r="104">
          <cell r="AI104" t="str">
            <v>10141LASAL7175</v>
          </cell>
        </row>
        <row r="105">
          <cell r="AI105" t="str">
            <v>10142WELLS0815</v>
          </cell>
        </row>
        <row r="106">
          <cell r="AI106" t="str">
            <v>10143WELLS0765</v>
          </cell>
        </row>
        <row r="107">
          <cell r="AI107" t="str">
            <v>10144WELLS7394</v>
          </cell>
        </row>
        <row r="108">
          <cell r="AI108" t="str">
            <v>10145WELLS0799</v>
          </cell>
        </row>
        <row r="109">
          <cell r="AI109" t="str">
            <v>10146WELLS0690</v>
          </cell>
        </row>
        <row r="110">
          <cell r="AI110" t="str">
            <v>10147WELLS0716</v>
          </cell>
        </row>
        <row r="111">
          <cell r="AI111" t="str">
            <v>10148WELLS0732</v>
          </cell>
        </row>
        <row r="112">
          <cell r="AI112" t="str">
            <v>10149WELLS0666</v>
          </cell>
        </row>
        <row r="113">
          <cell r="AI113" t="str">
            <v>10150WELLS0682</v>
          </cell>
        </row>
        <row r="114">
          <cell r="AI114" t="str">
            <v>10151WELLS0575</v>
          </cell>
        </row>
        <row r="115">
          <cell r="AI115" t="str">
            <v>10152WELLS1417</v>
          </cell>
        </row>
        <row r="116">
          <cell r="AI116" t="str">
            <v>10153WELLS1433</v>
          </cell>
        </row>
        <row r="117">
          <cell r="AI117" t="str">
            <v>10154WELLS0534</v>
          </cell>
        </row>
        <row r="118">
          <cell r="AI118" t="str">
            <v>10155WELLS0559</v>
          </cell>
        </row>
        <row r="119">
          <cell r="AI119" t="str">
            <v>10156WELLS0492</v>
          </cell>
        </row>
        <row r="120">
          <cell r="AI120" t="str">
            <v>10157WELLS0518</v>
          </cell>
        </row>
        <row r="121">
          <cell r="AI121" t="str">
            <v>10158WELLS1284</v>
          </cell>
        </row>
        <row r="122">
          <cell r="AI122" t="str">
            <v>10159WELLS1235</v>
          </cell>
        </row>
        <row r="123">
          <cell r="AI123" t="str">
            <v>10160WELLS1250</v>
          </cell>
        </row>
        <row r="124">
          <cell r="AI124" t="str">
            <v>10161WELLS1177</v>
          </cell>
        </row>
        <row r="125">
          <cell r="AI125" t="str">
            <v>10162WELLS1193</v>
          </cell>
        </row>
        <row r="126">
          <cell r="AI126" t="str">
            <v>10163WELLS4614</v>
          </cell>
        </row>
        <row r="127">
          <cell r="AI127" t="str">
            <v>10164WELLS1700</v>
          </cell>
        </row>
        <row r="128">
          <cell r="AI128" t="str">
            <v>10165WELLS4622</v>
          </cell>
        </row>
        <row r="129">
          <cell r="AI129" t="str">
            <v>10166WELLS4630</v>
          </cell>
        </row>
        <row r="130">
          <cell r="AI130" t="str">
            <v>10167LASAL6714</v>
          </cell>
        </row>
        <row r="131">
          <cell r="AI131" t="str">
            <v>10167WACHA5112</v>
          </cell>
        </row>
        <row r="132">
          <cell r="AI132" t="str">
            <v>10174LASAL8918</v>
          </cell>
        </row>
        <row r="133">
          <cell r="AI133" t="str">
            <v>10176BONEA2341</v>
          </cell>
        </row>
        <row r="134">
          <cell r="AI134" t="str">
            <v>10176WACHA7067</v>
          </cell>
        </row>
        <row r="135">
          <cell r="AI135" t="str">
            <v>10178WACHA5247</v>
          </cell>
        </row>
        <row r="136">
          <cell r="AI136" t="str">
            <v>10179BONEA0893</v>
          </cell>
        </row>
        <row r="137">
          <cell r="AI137" t="str">
            <v>10179BONEA0903</v>
          </cell>
        </row>
        <row r="138">
          <cell r="AI138" t="str">
            <v>10179BONEA2647</v>
          </cell>
        </row>
        <row r="139">
          <cell r="AI139" t="str">
            <v>10179BONEA5562</v>
          </cell>
        </row>
        <row r="140">
          <cell r="AI140" t="str">
            <v>10179BONEA5759</v>
          </cell>
        </row>
        <row r="141">
          <cell r="AI141" t="str">
            <v>10179LASAL2358</v>
          </cell>
        </row>
        <row r="142">
          <cell r="AI142" t="str">
            <v>10179MELNA7693</v>
          </cell>
        </row>
        <row r="143">
          <cell r="AI143" t="str">
            <v>10180LASAL8744</v>
          </cell>
        </row>
        <row r="144">
          <cell r="AI144" t="str">
            <v>10180MELNA3998</v>
          </cell>
        </row>
        <row r="145">
          <cell r="AI145" t="str">
            <v>10200BANCO8195</v>
          </cell>
        </row>
        <row r="146">
          <cell r="AI146" t="str">
            <v>10200BANCO8390</v>
          </cell>
        </row>
        <row r="147">
          <cell r="AI147" t="str">
            <v>10200CITIB0479</v>
          </cell>
        </row>
        <row r="148">
          <cell r="AI148" t="str">
            <v>10200FIFTH5367</v>
          </cell>
        </row>
        <row r="149">
          <cell r="AI149" t="str">
            <v>10200JPCHA4470</v>
          </cell>
        </row>
        <row r="150">
          <cell r="AI150" t="str">
            <v>10200JPCHA6011</v>
          </cell>
        </row>
        <row r="151">
          <cell r="AI151" t="str">
            <v>10200JPCHA8883</v>
          </cell>
        </row>
        <row r="152">
          <cell r="AI152" t="str">
            <v>10200LASAL2150</v>
          </cell>
        </row>
        <row r="153">
          <cell r="AI153" t="str">
            <v>10200LASAL2168</v>
          </cell>
        </row>
        <row r="154">
          <cell r="AI154" t="str">
            <v>10200MELNA0012</v>
          </cell>
        </row>
        <row r="155">
          <cell r="AI155" t="str">
            <v>10200MELNA0020</v>
          </cell>
        </row>
        <row r="156">
          <cell r="AI156" t="str">
            <v>10200MELNA0548</v>
          </cell>
        </row>
        <row r="157">
          <cell r="AI157" t="str">
            <v>10200MELNA4661</v>
          </cell>
        </row>
        <row r="158">
          <cell r="AI158" t="str">
            <v>10200MELNA8303</v>
          </cell>
        </row>
        <row r="159">
          <cell r="AI159" t="str">
            <v>10200MELNA9980</v>
          </cell>
        </row>
        <row r="160">
          <cell r="AI160" t="str">
            <v>10200SCUDD2638</v>
          </cell>
        </row>
        <row r="161">
          <cell r="AI161" t="str">
            <v>10200WACHA0107</v>
          </cell>
        </row>
        <row r="162">
          <cell r="AI162" t="str">
            <v>10200WACHA0323</v>
          </cell>
        </row>
        <row r="163">
          <cell r="AI163" t="str">
            <v>10200WACHA0350</v>
          </cell>
        </row>
        <row r="164">
          <cell r="AI164" t="str">
            <v>10200WACHA0795</v>
          </cell>
        </row>
        <row r="165">
          <cell r="AI165" t="str">
            <v>10206WACHA9687</v>
          </cell>
        </row>
        <row r="166">
          <cell r="AI166" t="str">
            <v>10207WACHA9674</v>
          </cell>
        </row>
        <row r="167">
          <cell r="AI167" t="str">
            <v>10222LASAL2325</v>
          </cell>
        </row>
        <row r="168">
          <cell r="AI168" t="str">
            <v>10300BONEA0851</v>
          </cell>
        </row>
        <row r="169">
          <cell r="AI169" t="str">
            <v>10300BONEA5547</v>
          </cell>
        </row>
        <row r="170">
          <cell r="AI170" t="str">
            <v>10300LASAL2226</v>
          </cell>
        </row>
        <row r="171">
          <cell r="AI171" t="str">
            <v>10300LASAL2234</v>
          </cell>
        </row>
        <row r="172">
          <cell r="AI172" t="str">
            <v>10300MELNA7578</v>
          </cell>
        </row>
        <row r="173">
          <cell r="AI173" t="str">
            <v>10300WACHA0136</v>
          </cell>
        </row>
        <row r="174">
          <cell r="AI174" t="str">
            <v>10300WACHA0821</v>
          </cell>
        </row>
        <row r="175">
          <cell r="AI175" t="str">
            <v>10301LASAL2317</v>
          </cell>
        </row>
        <row r="176">
          <cell r="AI176" t="str">
            <v>10302MELNA8649</v>
          </cell>
        </row>
        <row r="177">
          <cell r="AI177" t="str">
            <v>10303MELNA0648</v>
          </cell>
        </row>
        <row r="178">
          <cell r="AI178" t="str">
            <v>10304LASAL2333</v>
          </cell>
        </row>
        <row r="179">
          <cell r="AI179" t="str">
            <v>10306NATCY7798</v>
          </cell>
        </row>
        <row r="180">
          <cell r="AI180" t="str">
            <v>10306OAKBK1400</v>
          </cell>
        </row>
        <row r="181">
          <cell r="AI181" t="str">
            <v>10306OAKBK9400</v>
          </cell>
        </row>
        <row r="182">
          <cell r="AI182" t="str">
            <v>10306USBNK8016</v>
          </cell>
        </row>
        <row r="183">
          <cell r="AI183" t="str">
            <v>10307LASAL2242</v>
          </cell>
        </row>
        <row r="184">
          <cell r="AI184" t="str">
            <v>10309BONEA5139</v>
          </cell>
        </row>
        <row r="185">
          <cell r="AI185" t="str">
            <v>10309BONEA7180</v>
          </cell>
        </row>
        <row r="186">
          <cell r="AI186" t="str">
            <v>10309BONEA7237</v>
          </cell>
        </row>
        <row r="187">
          <cell r="AI187" t="str">
            <v>10309PAINE13627</v>
          </cell>
        </row>
        <row r="188">
          <cell r="AI188" t="str">
            <v>10309PAINE3627</v>
          </cell>
        </row>
        <row r="189">
          <cell r="AI189" t="str">
            <v>10309TDCAN9957</v>
          </cell>
        </row>
        <row r="190">
          <cell r="AI190" t="str">
            <v>10309TDCAN9965</v>
          </cell>
        </row>
        <row r="191">
          <cell r="AI191" t="str">
            <v>10316LASAL7431</v>
          </cell>
        </row>
        <row r="192">
          <cell r="AI192" t="str">
            <v>10320BERMD8261</v>
          </cell>
        </row>
        <row r="193">
          <cell r="AI193" t="str">
            <v>10320PAINE0565</v>
          </cell>
        </row>
        <row r="194">
          <cell r="AI194" t="str">
            <v>10320WACHA5195</v>
          </cell>
        </row>
        <row r="195">
          <cell r="AI195" t="str">
            <v>10321BERMD9424</v>
          </cell>
        </row>
        <row r="196">
          <cell r="AI196" t="str">
            <v>10321PAINE0568</v>
          </cell>
        </row>
        <row r="197">
          <cell r="AI197" t="str">
            <v>10321WACHA5205</v>
          </cell>
        </row>
        <row r="198">
          <cell r="AI198" t="str">
            <v>10322LASAL6706</v>
          </cell>
        </row>
        <row r="199">
          <cell r="AI199" t="str">
            <v>10322MELNA3551</v>
          </cell>
        </row>
        <row r="200">
          <cell r="AI200" t="str">
            <v>10322MELNA3569</v>
          </cell>
        </row>
        <row r="201">
          <cell r="AI201" t="str">
            <v>10322MELNA3692</v>
          </cell>
        </row>
        <row r="202">
          <cell r="AI202" t="str">
            <v>10322MELNA3734</v>
          </cell>
        </row>
        <row r="203">
          <cell r="AI203" t="str">
            <v>10322SOVBK7045</v>
          </cell>
        </row>
        <row r="204">
          <cell r="AI204" t="str">
            <v>10322WACHA0627</v>
          </cell>
        </row>
        <row r="205">
          <cell r="AI205" t="str">
            <v>10322WACHA3319</v>
          </cell>
        </row>
        <row r="206">
          <cell r="AI206" t="str">
            <v>10322WACHA8305</v>
          </cell>
        </row>
        <row r="207">
          <cell r="AI207" t="str">
            <v>10322WACHA9063</v>
          </cell>
        </row>
        <row r="208">
          <cell r="AI208" t="str">
            <v>10323WACHA5864</v>
          </cell>
        </row>
        <row r="209">
          <cell r="AI209" t="str">
            <v>10324LASAL7159</v>
          </cell>
        </row>
        <row r="210">
          <cell r="AI210" t="str">
            <v>10333MELNA8198</v>
          </cell>
        </row>
        <row r="211">
          <cell r="AI211" t="str">
            <v>10351LASAL6730</v>
          </cell>
        </row>
        <row r="212">
          <cell r="AI212" t="str">
            <v>10352LASAL6748</v>
          </cell>
        </row>
        <row r="213">
          <cell r="AI213" t="str">
            <v>10353LASAL0839</v>
          </cell>
        </row>
        <row r="214">
          <cell r="AI214" t="str">
            <v>10354FLEET5995</v>
          </cell>
        </row>
        <row r="215">
          <cell r="AI215" t="str">
            <v>10401MELNA7438</v>
          </cell>
        </row>
        <row r="216">
          <cell r="AI216" t="str">
            <v>10401WELLS3700</v>
          </cell>
        </row>
        <row r="217">
          <cell r="AI217" t="str">
            <v>10405WELLS5100</v>
          </cell>
        </row>
        <row r="218">
          <cell r="AI218" t="str">
            <v>10406JPMOR2656</v>
          </cell>
        </row>
        <row r="219">
          <cell r="AI219" t="str">
            <v>10406MELNA7602</v>
          </cell>
        </row>
        <row r="220">
          <cell r="AI220" t="str">
            <v>10407LASAL2069</v>
          </cell>
        </row>
        <row r="221">
          <cell r="AI221" t="str">
            <v>10407WELLS4900</v>
          </cell>
        </row>
        <row r="222">
          <cell r="AI222" t="str">
            <v>10525WACHA4908</v>
          </cell>
        </row>
        <row r="223">
          <cell r="AI223" t="str">
            <v>10526LASAL5013</v>
          </cell>
        </row>
        <row r="224">
          <cell r="AI224" t="str">
            <v>10526WACHA8765</v>
          </cell>
        </row>
        <row r="225">
          <cell r="AI225" t="str">
            <v>10527LASAL5229</v>
          </cell>
        </row>
        <row r="226">
          <cell r="AI226" t="str">
            <v>1053610536NOACCT#</v>
          </cell>
        </row>
        <row r="227">
          <cell r="AI227" t="str">
            <v>10536NOACCT3</v>
          </cell>
        </row>
        <row r="228">
          <cell r="AI228" t="str">
            <v>1053710537NOACCT#</v>
          </cell>
        </row>
        <row r="229">
          <cell r="AI229" t="str">
            <v>1053910539NOACCT#</v>
          </cell>
        </row>
        <row r="230">
          <cell r="AI230" t="str">
            <v>1054010540NOACCT#</v>
          </cell>
        </row>
        <row r="231">
          <cell r="AI231" t="str">
            <v>10601BANCO8203</v>
          </cell>
        </row>
        <row r="232">
          <cell r="AI232" t="str">
            <v>10601BANCO8408</v>
          </cell>
        </row>
        <row r="233">
          <cell r="AI233" t="str">
            <v>10601BKNYA5229</v>
          </cell>
        </row>
        <row r="234">
          <cell r="AI234" t="str">
            <v>10601BKNYA6739</v>
          </cell>
        </row>
        <row r="235">
          <cell r="AI235" t="str">
            <v>10601BKNYA6740</v>
          </cell>
        </row>
        <row r="236">
          <cell r="AI236" t="str">
            <v>10601BKNYA6742</v>
          </cell>
        </row>
        <row r="237">
          <cell r="AI237" t="str">
            <v>10601BKNYA6744</v>
          </cell>
        </row>
        <row r="238">
          <cell r="AI238" t="str">
            <v>10601BONEA0122</v>
          </cell>
        </row>
        <row r="239">
          <cell r="AI239" t="str">
            <v>10601BONEA0364</v>
          </cell>
        </row>
        <row r="240">
          <cell r="AI240" t="str">
            <v>10601BONEA0474</v>
          </cell>
        </row>
        <row r="241">
          <cell r="AI241" t="str">
            <v>10601BONEA0836</v>
          </cell>
        </row>
        <row r="242">
          <cell r="AI242" t="str">
            <v>10601BONEA1459</v>
          </cell>
        </row>
        <row r="243">
          <cell r="AI243" t="str">
            <v>10601BONEA2916</v>
          </cell>
        </row>
        <row r="244">
          <cell r="AI244" t="str">
            <v>10601BONEA5521</v>
          </cell>
        </row>
        <row r="245">
          <cell r="AI245" t="str">
            <v>10601BONEA6390</v>
          </cell>
        </row>
        <row r="246">
          <cell r="AI246" t="str">
            <v>10601CITIB8622</v>
          </cell>
        </row>
        <row r="247">
          <cell r="AI247" t="str">
            <v>10601DECAT7901</v>
          </cell>
        </row>
        <row r="248">
          <cell r="AI248" t="str">
            <v>10601FIFTH0194</v>
          </cell>
        </row>
        <row r="249">
          <cell r="AI249" t="str">
            <v>10601FIFTH5359</v>
          </cell>
        </row>
        <row r="250">
          <cell r="AI250" t="str">
            <v>10601FIFTH5554</v>
          </cell>
        </row>
        <row r="251">
          <cell r="AI251" t="str">
            <v>10601HARIA1766</v>
          </cell>
        </row>
        <row r="252">
          <cell r="AI252" t="str">
            <v>10601JPCHA1774</v>
          </cell>
        </row>
        <row r="253">
          <cell r="AI253" t="str">
            <v>10601JPCHA4182</v>
          </cell>
        </row>
        <row r="254">
          <cell r="AI254" t="str">
            <v>10601LASAL2119</v>
          </cell>
        </row>
        <row r="255">
          <cell r="AI255" t="str">
            <v>10601LASAL2127</v>
          </cell>
        </row>
        <row r="256">
          <cell r="AI256" t="str">
            <v>10601LASAL4181</v>
          </cell>
        </row>
        <row r="257">
          <cell r="AI257" t="str">
            <v>10601LAWDL8806</v>
          </cell>
        </row>
        <row r="258">
          <cell r="AI258" t="str">
            <v>10601MELNA7446</v>
          </cell>
        </row>
        <row r="259">
          <cell r="AI259" t="str">
            <v>10601MELNA7859</v>
          </cell>
        </row>
        <row r="260">
          <cell r="AI260" t="str">
            <v>10601SCUDD2666</v>
          </cell>
        </row>
        <row r="261">
          <cell r="AI261" t="str">
            <v>10601WELLS1600</v>
          </cell>
        </row>
        <row r="262">
          <cell r="AI262" t="str">
            <v>10602LASAL2135</v>
          </cell>
        </row>
        <row r="263">
          <cell r="AI263" t="str">
            <v>10602MELNA7503</v>
          </cell>
        </row>
        <row r="264">
          <cell r="AI264" t="str">
            <v>10602WELLS3600</v>
          </cell>
        </row>
        <row r="265">
          <cell r="AI265" t="str">
            <v>10607BKMON4456</v>
          </cell>
        </row>
        <row r="266">
          <cell r="AI266" t="str">
            <v>10608BKMON4464</v>
          </cell>
        </row>
        <row r="267">
          <cell r="AI267" t="str">
            <v>10666WACHA5218</v>
          </cell>
        </row>
        <row r="268">
          <cell r="AI268" t="str">
            <v>10777LASAL2192</v>
          </cell>
        </row>
        <row r="269">
          <cell r="AI269" t="str">
            <v>10777MELNA6018</v>
          </cell>
        </row>
        <row r="270">
          <cell r="AI270" t="str">
            <v>10777PAINE5967</v>
          </cell>
        </row>
        <row r="271">
          <cell r="AI271" t="str">
            <v>10777WACHA0181</v>
          </cell>
        </row>
        <row r="272">
          <cell r="AI272" t="str">
            <v>10777WACHA0889</v>
          </cell>
        </row>
        <row r="273">
          <cell r="AI273" t="str">
            <v>WDACTCHASE5037</v>
          </cell>
        </row>
        <row r="274">
          <cell r="AI274" t="str">
            <v>WDACTCHASE5045</v>
          </cell>
        </row>
        <row r="275">
          <cell r="AI275" t="str">
            <v>WDACTCHASE5053</v>
          </cell>
        </row>
        <row r="276">
          <cell r="AI276" t="str">
            <v>WDACTLASAL2275</v>
          </cell>
        </row>
        <row r="277">
          <cell r="AI277" t="str">
            <v>WDACTMELNA7453</v>
          </cell>
        </row>
        <row r="278">
          <cell r="AI278" t="str">
            <v>WLTDULASAL2291</v>
          </cell>
        </row>
        <row r="279">
          <cell r="AI279" t="str">
            <v>WLTDUMELNA7479</v>
          </cell>
        </row>
        <row r="280">
          <cell r="AI280" t="str">
            <v>WMACTLASAL2267</v>
          </cell>
        </row>
        <row r="281">
          <cell r="AI281" t="str">
            <v>WMACTMELNA7461</v>
          </cell>
        </row>
        <row r="282">
          <cell r="AI282" t="str">
            <v>WSAFENORTH3593</v>
          </cell>
        </row>
        <row r="283">
          <cell r="AI283" t="str">
            <v>WVACTLASAL2283</v>
          </cell>
        </row>
        <row r="284">
          <cell r="AI284" t="str">
            <v>WVACTMELNA7487</v>
          </cell>
        </row>
      </sheetData>
      <sheetData sheetId="10" refreshError="1"/>
      <sheetData sheetId="11" refreshError="1"/>
      <sheetData sheetId="1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by BU_Acct &amp; Reas Code"/>
      <sheetName val="Summary by BU &amp; Reason Code"/>
      <sheetName val="Summary Account Category by BU"/>
      <sheetName val="Summary by Reason Code "/>
      <sheetName val="Summary Account Category"/>
      <sheetName val="Summary Report by Yr &amp; Category"/>
      <sheetName val="Sum. Rpt by Yr,Cat&amp;Reason Code"/>
      <sheetName val="Summary _New Technology"/>
      <sheetName val="Allocation of Corporate"/>
      <sheetName val="Summay New Tech by BU"/>
      <sheetName val="New Tech by IT Cat &amp; BU"/>
      <sheetName val="Valid Table Values"/>
      <sheetName val="New Technology by IT Category"/>
      <sheetName val="New Technology_2007"/>
      <sheetName val="New Technology_2008"/>
      <sheetName val="New Technology_2009"/>
      <sheetName val="New Technology_2010"/>
      <sheetName val="New Technology_2011"/>
      <sheetName val="Allocation to Projects"/>
      <sheetName val="Existing Technology_Price"/>
      <sheetName val="Existing Technology_Volume"/>
      <sheetName val="Internal Transfers"/>
      <sheetName val="External Transfers"/>
      <sheetName val="Input Section"/>
      <sheetName val="Reason Code Examp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ce Sheet"/>
      <sheetName val="Report "/>
      <sheetName val="98LTIP&lt;500m"/>
      <sheetName val="98LTIP500m-1b"/>
      <sheetName val="98LTIP1b-3b"/>
      <sheetName val="98LTIP3b-6b"/>
      <sheetName val="98LTIP6b-10b"/>
      <sheetName val="98LTIP&gt;10b"/>
      <sheetName val="98LTIPALL"/>
      <sheetName val="97LTIPBank"/>
      <sheetName val="97LTIPIns"/>
      <sheetName val="97LTIPFinAll"/>
      <sheetName val="Main Menu"/>
      <sheetName val="Instructions"/>
      <sheetName val="Author"/>
      <sheetName val="Template Management"/>
      <sheetName val="Data"/>
      <sheetName val="Footnotes"/>
      <sheetName val="Black-Scholes Inputs"/>
      <sheetName val="Risk-free Rates"/>
      <sheetName val="Stock Options"/>
      <sheetName val="Restricted Shares"/>
      <sheetName val="Performance Plan"/>
      <sheetName val="Peer Group"/>
      <sheetName val="Print Menu"/>
      <sheetName val="BS Listings - Helen"/>
      <sheetName val="HardCoded Data"/>
      <sheetName val="HardCoded Data (2)"/>
      <sheetName val="Financial Inputs"/>
    </sheetNames>
    <sheetDataSet>
      <sheetData sheetId="0" refreshError="1"/>
      <sheetData sheetId="1" refreshError="1"/>
      <sheetData sheetId="2" refreshError="1"/>
      <sheetData sheetId="3" refreshError="1"/>
      <sheetData sheetId="4" refreshError="1"/>
      <sheetData sheetId="5" refreshError="1"/>
      <sheetData sheetId="6" refreshError="1">
        <row r="7">
          <cell r="A7">
            <v>60000</v>
          </cell>
          <cell r="B7">
            <v>80000</v>
          </cell>
          <cell r="C7">
            <v>0.15</v>
          </cell>
          <cell r="D7">
            <v>0.17</v>
          </cell>
        </row>
        <row r="8">
          <cell r="A8">
            <v>80000</v>
          </cell>
          <cell r="B8">
            <v>100000</v>
          </cell>
          <cell r="C8">
            <v>0.17</v>
          </cell>
          <cell r="D8">
            <v>0.24</v>
          </cell>
        </row>
        <row r="9">
          <cell r="A9">
            <v>100000</v>
          </cell>
          <cell r="B9">
            <v>125000</v>
          </cell>
          <cell r="C9">
            <v>0.24</v>
          </cell>
          <cell r="D9">
            <v>0.36</v>
          </cell>
        </row>
        <row r="10">
          <cell r="A10">
            <v>125000</v>
          </cell>
          <cell r="B10">
            <v>150000</v>
          </cell>
          <cell r="C10">
            <v>0.36</v>
          </cell>
          <cell r="D10">
            <v>0.54</v>
          </cell>
        </row>
        <row r="11">
          <cell r="A11">
            <v>150000</v>
          </cell>
          <cell r="B11">
            <v>180000</v>
          </cell>
          <cell r="C11">
            <v>0.54</v>
          </cell>
          <cell r="D11">
            <v>0.75</v>
          </cell>
        </row>
        <row r="12">
          <cell r="A12">
            <v>180000</v>
          </cell>
          <cell r="B12">
            <v>220000</v>
          </cell>
          <cell r="C12">
            <v>0.75</v>
          </cell>
          <cell r="D12">
            <v>1</v>
          </cell>
        </row>
        <row r="13">
          <cell r="A13">
            <v>220000</v>
          </cell>
          <cell r="B13">
            <v>270000</v>
          </cell>
          <cell r="C13">
            <v>1</v>
          </cell>
          <cell r="D13">
            <v>1.2</v>
          </cell>
        </row>
        <row r="14">
          <cell r="A14">
            <v>270000</v>
          </cell>
          <cell r="B14">
            <v>330000</v>
          </cell>
          <cell r="C14">
            <v>1.2</v>
          </cell>
          <cell r="D14">
            <v>1.61</v>
          </cell>
        </row>
        <row r="15">
          <cell r="A15">
            <v>330000</v>
          </cell>
          <cell r="B15">
            <v>430000</v>
          </cell>
          <cell r="C15">
            <v>1.61</v>
          </cell>
          <cell r="D15">
            <v>1.88</v>
          </cell>
        </row>
        <row r="16">
          <cell r="A16">
            <v>430000</v>
          </cell>
          <cell r="B16">
            <v>500000</v>
          </cell>
          <cell r="C16">
            <v>1.88</v>
          </cell>
          <cell r="D16">
            <v>2.74</v>
          </cell>
        </row>
        <row r="17">
          <cell r="A17">
            <v>500000</v>
          </cell>
          <cell r="B17">
            <v>99999999</v>
          </cell>
          <cell r="C17">
            <v>2.74</v>
          </cell>
          <cell r="D17">
            <v>2.74</v>
          </cell>
        </row>
      </sheetData>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Table of Contents"/>
      <sheetName val="1-IncStmt-MTH"/>
      <sheetName val="2-IncStmt-QTR"/>
      <sheetName val="3-IncStmt-YTD"/>
      <sheetName val="4-Other Net Detail"/>
      <sheetName val="5-MD&amp;A_EBIT"/>
      <sheetName val="6-not used"/>
      <sheetName val="7-Capital Structure "/>
      <sheetName val="8-Balance Sheet"/>
      <sheetName val="9-Other BS Detail"/>
      <sheetName val="10-Cash Flow Detail"/>
      <sheetName val="11-Summary Cash Flow"/>
      <sheetName val="12-SCF - Other Line Item Detail"/>
      <sheetName val="13-PPE"/>
      <sheetName val="14-Investments"/>
      <sheetName val="15-LTD"/>
      <sheetName val="16-GW Amort and Other Assets"/>
      <sheetName val="17-Equity Rollforward"/>
      <sheetName val="18-Footnote Disclosures"/>
      <sheetName val="19-Schedule II - Valuations"/>
      <sheetName val="20-Statistics -QTR"/>
      <sheetName val="21-Statistics - YTD"/>
      <sheetName val="22-Add'l Info"/>
    </sheetNames>
    <sheetDataSet>
      <sheetData sheetId="0" refreshError="1">
        <row r="11">
          <cell r="C11" t="str">
            <v>Dec 31 ,2001</v>
          </cell>
        </row>
        <row r="21">
          <cell r="C21" t="str">
            <v>Dec. 31, 2000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imated Retirements"/>
      <sheetName val="Gas CapEx Forecast"/>
      <sheetName val="Bdgt PJF to Acct."/>
      <sheetName val="WO Type Id PJF Acct"/>
      <sheetName val="Sheet1"/>
      <sheetName val="Gas CapEx by WO w Est"/>
    </sheetNames>
    <sheetDataSet>
      <sheetData sheetId="0" refreshError="1">
        <row r="10">
          <cell r="B10">
            <v>23501</v>
          </cell>
          <cell r="C10" t="str">
            <v>(350.1)  Land</v>
          </cell>
          <cell r="D10">
            <v>0</v>
          </cell>
          <cell r="E10">
            <v>0</v>
          </cell>
          <cell r="F10"/>
          <cell r="G10"/>
          <cell r="H10">
            <v>0</v>
          </cell>
        </row>
        <row r="11">
          <cell r="B11">
            <v>23502</v>
          </cell>
          <cell r="C11" t="str">
            <v>(350.2)  Rights-of-Way</v>
          </cell>
          <cell r="D11"/>
          <cell r="E11"/>
          <cell r="F11"/>
          <cell r="G11"/>
          <cell r="H11"/>
        </row>
        <row r="12">
          <cell r="B12">
            <v>23510</v>
          </cell>
          <cell r="C12" t="str">
            <v>(351)  Structures and Improvements</v>
          </cell>
          <cell r="D12">
            <v>3.4168491212253543E-2</v>
          </cell>
          <cell r="E12">
            <v>3.7891992424733303E-2</v>
          </cell>
          <cell r="F12">
            <v>0.10046018179184249</v>
          </cell>
          <cell r="G12">
            <v>3.0408541376221527E-2</v>
          </cell>
          <cell r="H12">
            <v>5.6106078373258763E-3</v>
          </cell>
        </row>
        <row r="13">
          <cell r="B13">
            <v>23520</v>
          </cell>
          <cell r="C13" t="str">
            <v>(352)  Wells</v>
          </cell>
          <cell r="D13">
            <v>1.3677359035112751E-2</v>
          </cell>
          <cell r="E13">
            <v>1.3819269143198067E-2</v>
          </cell>
          <cell r="F13">
            <v>2.5526375486415271</v>
          </cell>
          <cell r="G13">
            <v>5.7058940355559338E-4</v>
          </cell>
          <cell r="H13">
            <v>0</v>
          </cell>
        </row>
        <row r="14">
          <cell r="B14">
            <v>23521</v>
          </cell>
          <cell r="C14" t="str">
            <v>(352.1)  Storage Leaseholds and Rights</v>
          </cell>
          <cell r="D14"/>
          <cell r="E14"/>
          <cell r="F14"/>
          <cell r="G14"/>
          <cell r="H14"/>
        </row>
        <row r="15">
          <cell r="B15">
            <v>23520</v>
          </cell>
          <cell r="C15" t="str">
            <v>(352.2)  Reservoirs</v>
          </cell>
          <cell r="D15"/>
          <cell r="E15"/>
          <cell r="F15"/>
          <cell r="G15"/>
          <cell r="H15"/>
        </row>
        <row r="16">
          <cell r="B16">
            <v>23523</v>
          </cell>
          <cell r="C16" t="str">
            <v>(352.3)  Non-recoverable Natural Gas</v>
          </cell>
          <cell r="D16">
            <v>7.3169997250747834E-4</v>
          </cell>
          <cell r="E16"/>
          <cell r="F16"/>
          <cell r="G16"/>
          <cell r="H16">
            <v>0</v>
          </cell>
        </row>
        <row r="17">
          <cell r="B17">
            <v>23530</v>
          </cell>
          <cell r="C17" t="str">
            <v>(353)  Lines</v>
          </cell>
          <cell r="D17">
            <v>0.14085432134419537</v>
          </cell>
          <cell r="E17">
            <v>0.15470239292968924</v>
          </cell>
          <cell r="F17">
            <v>18.099089448312803</v>
          </cell>
          <cell r="G17">
            <v>2.7842301025607884E-3</v>
          </cell>
          <cell r="H17">
            <v>2.6426521266615266E-2</v>
          </cell>
        </row>
        <row r="18">
          <cell r="B18">
            <v>23540</v>
          </cell>
          <cell r="C18" t="str">
            <v>(354)  Compressor Station Equipment</v>
          </cell>
          <cell r="D18">
            <v>0.10086530493864912</v>
          </cell>
          <cell r="E18">
            <v>0.10988986858210646</v>
          </cell>
          <cell r="F18">
            <v>0.42589424557552791</v>
          </cell>
          <cell r="G18">
            <v>9.3735689710124602E-3</v>
          </cell>
          <cell r="H18">
            <v>5.5702194872544006E-2</v>
          </cell>
        </row>
        <row r="19">
          <cell r="B19">
            <v>23550</v>
          </cell>
          <cell r="C19" t="str">
            <v>(355)  Measuring and Reg. Equipment</v>
          </cell>
          <cell r="D19">
            <v>2.6872308192463831E-2</v>
          </cell>
          <cell r="E19"/>
          <cell r="F19">
            <v>0.41906984196475516</v>
          </cell>
          <cell r="G19"/>
          <cell r="H19">
            <v>-3.7756355782547369E-3</v>
          </cell>
        </row>
        <row r="20">
          <cell r="B20">
            <v>23560</v>
          </cell>
          <cell r="C20" t="str">
            <v>(356)  Purification Equipment</v>
          </cell>
          <cell r="D20">
            <v>6.5650296205265787E-2</v>
          </cell>
          <cell r="E20">
            <v>6.4306164764033488E-2</v>
          </cell>
          <cell r="F20">
            <v>0.44950620587596152</v>
          </cell>
          <cell r="G20">
            <v>2.702547220833889E-2</v>
          </cell>
          <cell r="H20">
            <v>0.13781556550857393</v>
          </cell>
        </row>
        <row r="21">
          <cell r="B21">
            <v>23570</v>
          </cell>
          <cell r="C21" t="str">
            <v>(357)  Other Equipment</v>
          </cell>
          <cell r="D21">
            <v>0</v>
          </cell>
          <cell r="E21">
            <v>0</v>
          </cell>
          <cell r="F21">
            <v>0</v>
          </cell>
          <cell r="G21">
            <v>0</v>
          </cell>
          <cell r="H21">
            <v>0</v>
          </cell>
        </row>
        <row r="22">
          <cell r="C22" t="str">
            <v>TOTAL Underground Storage Plant (Enter Total of lines 42 thru 53)</v>
          </cell>
          <cell r="D22">
            <v>5.3459278733491322E-2</v>
          </cell>
          <cell r="E22">
            <v>0.18542590246597873</v>
          </cell>
          <cell r="F22">
            <v>0.48735113277161152</v>
          </cell>
          <cell r="G22">
            <v>4.3366814355107405E-2</v>
          </cell>
          <cell r="H22">
            <v>3.2864894252638008E-3</v>
          </cell>
        </row>
        <row r="24">
          <cell r="C24" t="str">
            <v>4.  TRANSMISSION PLANT</v>
          </cell>
          <cell r="G24"/>
        </row>
        <row r="25">
          <cell r="B25">
            <v>23651</v>
          </cell>
          <cell r="C25" t="str">
            <v>(365.1)  Land and Land Rights</v>
          </cell>
          <cell r="D25">
            <v>5.1839320612319158E-3</v>
          </cell>
          <cell r="E25">
            <v>5.6686738092503568E-3</v>
          </cell>
          <cell r="F25">
            <v>1382</v>
          </cell>
          <cell r="G25">
            <v>1.3289854180766627E-3</v>
          </cell>
          <cell r="H25">
            <v>0</v>
          </cell>
        </row>
        <row r="26">
          <cell r="B26">
            <v>23652</v>
          </cell>
          <cell r="C26" t="str">
            <v>(365.2)  Rights-of-Way</v>
          </cell>
          <cell r="D26">
            <v>3.3922775907327756E-3</v>
          </cell>
          <cell r="E26">
            <v>0</v>
          </cell>
          <cell r="F26">
            <v>0</v>
          </cell>
          <cell r="G26">
            <v>0</v>
          </cell>
          <cell r="H26"/>
        </row>
        <row r="27">
          <cell r="B27">
            <v>23660</v>
          </cell>
          <cell r="C27" t="str">
            <v>(366)  Structures and Improvements</v>
          </cell>
          <cell r="D27">
            <v>2.6837845595793434E-2</v>
          </cell>
          <cell r="E27">
            <v>4.3517716271190575E-2</v>
          </cell>
          <cell r="F27">
            <v>0.20984418043279715</v>
          </cell>
          <cell r="G27">
            <v>3.0438403219930255E-3</v>
          </cell>
          <cell r="H27"/>
        </row>
        <row r="28">
          <cell r="B28">
            <v>23670</v>
          </cell>
          <cell r="C28" t="str">
            <v>(367)  Mains</v>
          </cell>
          <cell r="D28">
            <v>2.3422898907288933E-2</v>
          </cell>
          <cell r="E28">
            <v>4.3641750120863715E-2</v>
          </cell>
          <cell r="F28">
            <v>8.3928691980390935E-2</v>
          </cell>
          <cell r="G28">
            <v>1.8416434381632787E-2</v>
          </cell>
          <cell r="H28">
            <v>2.6399472488494108E-3</v>
          </cell>
        </row>
        <row r="29">
          <cell r="B29">
            <v>23680</v>
          </cell>
          <cell r="C29" t="str">
            <v>(368)  Compressor Station Equipment</v>
          </cell>
          <cell r="D29">
            <v>0.54944818282833219</v>
          </cell>
          <cell r="E29">
            <v>0.30322659236500116</v>
          </cell>
          <cell r="F29">
            <v>0.89192175446154331</v>
          </cell>
          <cell r="G29">
            <v>0.11408468193590571</v>
          </cell>
          <cell r="H29"/>
        </row>
        <row r="30">
          <cell r="B30">
            <v>23690</v>
          </cell>
          <cell r="C30" t="str">
            <v>(369)  Measuring and Reg. Sta. Equipment</v>
          </cell>
          <cell r="D30">
            <v>7.6058991077274277E-2</v>
          </cell>
          <cell r="E30">
            <v>7.543822026757753E-2</v>
          </cell>
          <cell r="F30">
            <v>6.5702214613784615E-2</v>
          </cell>
          <cell r="G30">
            <v>8.7353241149818572E-2</v>
          </cell>
          <cell r="H30">
            <v>7.520965962513064E-2</v>
          </cell>
        </row>
        <row r="31">
          <cell r="B31">
            <v>2370</v>
          </cell>
          <cell r="C31" t="str">
            <v>(370)  Communication Equipment</v>
          </cell>
          <cell r="D31"/>
          <cell r="E31"/>
          <cell r="F31"/>
          <cell r="G31"/>
          <cell r="H31"/>
        </row>
        <row r="32">
          <cell r="B32">
            <v>23710</v>
          </cell>
          <cell r="C32" t="str">
            <v>(371)  Other Equipment</v>
          </cell>
          <cell r="D32"/>
          <cell r="E32"/>
          <cell r="F32"/>
          <cell r="G32"/>
          <cell r="H32"/>
        </row>
        <row r="34">
          <cell r="C34" t="str">
            <v>TOTAL Transmission Plant (Enter Total of lines 79 thru 86)</v>
          </cell>
          <cell r="D34">
            <v>3.6263280508468172E-2</v>
          </cell>
          <cell r="E34">
            <v>5.2037870483205122E-2</v>
          </cell>
          <cell r="F34">
            <v>8.7763484367884517E-2</v>
          </cell>
          <cell r="G34">
            <v>2.6074289177345538E-2</v>
          </cell>
          <cell r="H34">
            <v>9.7701403950700878E-3</v>
          </cell>
        </row>
        <row r="35">
          <cell r="C35" t="str">
            <v>4. DISTRIBUTION PLANT</v>
          </cell>
          <cell r="G35"/>
        </row>
        <row r="36">
          <cell r="B36">
            <v>23740</v>
          </cell>
          <cell r="C36" t="str">
            <v>(374)  Land and Land Rights</v>
          </cell>
          <cell r="D36">
            <v>2.9813214938960914E-3</v>
          </cell>
          <cell r="E36">
            <v>3.1020801585658481E-3</v>
          </cell>
          <cell r="F36">
            <v>5.2012962488908075E-3</v>
          </cell>
          <cell r="G36">
            <v>5.858024028412918E-5</v>
          </cell>
          <cell r="H36">
            <v>5.9042521221720572E-4</v>
          </cell>
        </row>
        <row r="37">
          <cell r="B37">
            <v>23750</v>
          </cell>
          <cell r="C37" t="str">
            <v>(375)  Structures and Improvements</v>
          </cell>
          <cell r="D37">
            <v>3.1708640396953682</v>
          </cell>
          <cell r="E37">
            <v>6.5055530371713507E-2</v>
          </cell>
          <cell r="F37">
            <v>0.12587745479549353</v>
          </cell>
          <cell r="G37">
            <v>2.8125460167869237E-2</v>
          </cell>
          <cell r="H37">
            <v>31.580908558965898</v>
          </cell>
        </row>
        <row r="38">
          <cell r="B38">
            <v>23760</v>
          </cell>
          <cell r="C38" t="str">
            <v>(376)  Mains</v>
          </cell>
          <cell r="D38">
            <v>9.4984781332347279E-2</v>
          </cell>
          <cell r="E38">
            <v>0.1119095035311866</v>
          </cell>
          <cell r="F38">
            <v>0.11146842197386957</v>
          </cell>
          <cell r="G38">
            <v>0.11273584456204166</v>
          </cell>
          <cell r="H38">
            <v>6.7944928638047394E-2</v>
          </cell>
        </row>
        <row r="39">
          <cell r="B39">
            <v>23770</v>
          </cell>
          <cell r="C39" t="str">
            <v>(377)  Compressor Station Equipment</v>
          </cell>
          <cell r="D39"/>
          <cell r="E39"/>
          <cell r="F39"/>
          <cell r="G39"/>
          <cell r="H39"/>
        </row>
        <row r="40">
          <cell r="B40">
            <v>23780</v>
          </cell>
          <cell r="C40" t="str">
            <v>(378)  Meas. and Reg. Sta., Equip. - General</v>
          </cell>
          <cell r="D40">
            <v>0.12929949891237955</v>
          </cell>
          <cell r="E40">
            <v>0.1471500758355665</v>
          </cell>
          <cell r="F40">
            <v>0.24170672909209256</v>
          </cell>
          <cell r="G40">
            <v>0.11609913391504428</v>
          </cell>
          <cell r="H40">
            <v>6.4166327713504154E-2</v>
          </cell>
        </row>
        <row r="41">
          <cell r="B41">
            <v>23790</v>
          </cell>
          <cell r="C41" t="str">
            <v>(379)  Meas. and Reg. Sta. Equip. - City Gate</v>
          </cell>
          <cell r="D41">
            <v>9.9521238705807367</v>
          </cell>
          <cell r="E41">
            <v>5.871115684256945</v>
          </cell>
          <cell r="F41"/>
          <cell r="G41">
            <v>5.5179661350659579</v>
          </cell>
          <cell r="H41">
            <v>9.9740731895018975</v>
          </cell>
        </row>
        <row r="42">
          <cell r="B42">
            <v>23800</v>
          </cell>
          <cell r="C42" t="str">
            <v>(380)  Services</v>
          </cell>
          <cell r="D42">
            <v>0.31612704209915726</v>
          </cell>
          <cell r="E42">
            <v>1.0258835564079234</v>
          </cell>
          <cell r="F42">
            <v>0.73969685126160656</v>
          </cell>
          <cell r="G42">
            <v>0.85336563923313213</v>
          </cell>
          <cell r="H42">
            <v>0.13111077761740084</v>
          </cell>
        </row>
        <row r="43">
          <cell r="B43">
            <v>23810</v>
          </cell>
          <cell r="C43" t="str">
            <v>(381)  Meters</v>
          </cell>
          <cell r="D43">
            <v>0.26176142372779543</v>
          </cell>
          <cell r="E43">
            <v>0.27181107435953666</v>
          </cell>
          <cell r="F43">
            <v>0.24506703128174687</v>
          </cell>
          <cell r="G43">
            <v>0.26829621649948093</v>
          </cell>
          <cell r="H43">
            <v>0.2745787082607497</v>
          </cell>
        </row>
        <row r="44">
          <cell r="B44">
            <v>23820</v>
          </cell>
          <cell r="C44" t="str">
            <v>(382)  Meter Installations</v>
          </cell>
          <cell r="D44">
            <v>8.687213431982499E-2</v>
          </cell>
          <cell r="E44">
            <v>9.3514923980019857E-2</v>
          </cell>
          <cell r="F44">
            <v>9.2944222325792789E-2</v>
          </cell>
          <cell r="G44">
            <v>0.10071101072525022</v>
          </cell>
          <cell r="H44">
            <v>7.0881030065234593E-2</v>
          </cell>
        </row>
        <row r="45">
          <cell r="B45">
            <v>23830</v>
          </cell>
          <cell r="C45" t="str">
            <v>(383)  House Regulators</v>
          </cell>
          <cell r="D45">
            <v>1.254095325506673E-2</v>
          </cell>
          <cell r="E45">
            <v>1.1048053079978293E-2</v>
          </cell>
          <cell r="F45">
            <v>1.0766470099585496E-2</v>
          </cell>
          <cell r="G45">
            <v>8.2218120580681286E-3</v>
          </cell>
          <cell r="H45">
            <v>2.1081689992801272E-2</v>
          </cell>
        </row>
        <row r="46">
          <cell r="B46">
            <v>23840</v>
          </cell>
          <cell r="C46" t="str">
            <v>(384)  House Reg. Installations</v>
          </cell>
          <cell r="D46"/>
          <cell r="E46"/>
          <cell r="F46"/>
          <cell r="G46"/>
          <cell r="H46"/>
        </row>
        <row r="47">
          <cell r="B47">
            <v>23850</v>
          </cell>
          <cell r="C47" t="str">
            <v>(385)  Industrial Meas. and Reg. Sta. Equipment</v>
          </cell>
          <cell r="D47">
            <v>0.16815733195258148</v>
          </cell>
          <cell r="E47">
            <v>0.23432356972278623</v>
          </cell>
          <cell r="F47">
            <v>0.54664867095024428</v>
          </cell>
          <cell r="G47">
            <v>0.11240529442864564</v>
          </cell>
          <cell r="H47">
            <v>8.463332734747156E-2</v>
          </cell>
        </row>
        <row r="48">
          <cell r="B48">
            <v>23860</v>
          </cell>
          <cell r="C48" t="str">
            <v>(386)  Other Prop. on Customers' Premises</v>
          </cell>
          <cell r="D48"/>
          <cell r="E48"/>
          <cell r="F48"/>
          <cell r="G48"/>
          <cell r="H48"/>
        </row>
        <row r="49">
          <cell r="B49">
            <v>23870</v>
          </cell>
          <cell r="C49" t="str">
            <v>(387)  Other Equipment</v>
          </cell>
          <cell r="D49"/>
          <cell r="E49"/>
          <cell r="F49"/>
          <cell r="G49"/>
          <cell r="H49"/>
        </row>
        <row r="51">
          <cell r="C51" t="str">
            <v>TOTAL Distribution Plant (Enter Total of lines 89 thru 102)</v>
          </cell>
          <cell r="D51">
            <v>0.14056692721799477</v>
          </cell>
          <cell r="E51">
            <v>0.15292631858956476</v>
          </cell>
          <cell r="F51">
            <v>0.1392772705993218</v>
          </cell>
          <cell r="G51">
            <v>0.16053815359771528</v>
          </cell>
          <cell r="H51">
            <v>0.12773480372682297</v>
          </cell>
        </row>
        <row r="52">
          <cell r="C52" t="str">
            <v>6.  GENERAL PLANT</v>
          </cell>
          <cell r="G52"/>
        </row>
        <row r="53">
          <cell r="B53">
            <v>23890</v>
          </cell>
          <cell r="C53" t="str">
            <v>(389)  Land and Land Rights</v>
          </cell>
          <cell r="D53">
            <v>4.2777133684116651</v>
          </cell>
          <cell r="E53"/>
          <cell r="F53"/>
          <cell r="G53"/>
          <cell r="H53">
            <v>0</v>
          </cell>
        </row>
        <row r="54">
          <cell r="B54">
            <v>23900</v>
          </cell>
          <cell r="C54" t="str">
            <v>(390)  Structures and Improvements</v>
          </cell>
          <cell r="D54">
            <v>4.0469626820168871</v>
          </cell>
          <cell r="E54"/>
          <cell r="F54">
            <v>0</v>
          </cell>
          <cell r="G54">
            <v>0.1065390526757021</v>
          </cell>
          <cell r="H54">
            <v>7.4547271904892201E-2</v>
          </cell>
        </row>
        <row r="55">
          <cell r="B55">
            <v>23910</v>
          </cell>
          <cell r="C55" t="str">
            <v>(391)  Office Furniture and Equipment</v>
          </cell>
          <cell r="D55"/>
          <cell r="E55"/>
          <cell r="F55"/>
          <cell r="G55"/>
          <cell r="H55"/>
        </row>
        <row r="56">
          <cell r="B56">
            <v>23920</v>
          </cell>
          <cell r="C56" t="str">
            <v>(392)  Transportation Equipment</v>
          </cell>
          <cell r="D56">
            <v>0.48311331873184576</v>
          </cell>
          <cell r="E56">
            <v>0.73555461316791726</v>
          </cell>
          <cell r="F56">
            <v>0.47223793624911731</v>
          </cell>
          <cell r="G56">
            <v>0.59649557624380323</v>
          </cell>
          <cell r="H56">
            <v>0.35662115659830806</v>
          </cell>
        </row>
        <row r="57">
          <cell r="B57">
            <v>23930</v>
          </cell>
          <cell r="C57" t="str">
            <v>(393)  Stores Equipment</v>
          </cell>
          <cell r="D57"/>
          <cell r="E57"/>
          <cell r="F57"/>
          <cell r="G57"/>
          <cell r="H57"/>
        </row>
        <row r="58">
          <cell r="B58">
            <v>23940</v>
          </cell>
          <cell r="C58" t="str">
            <v>(394)  Tools, Shop, and Garage Equipment</v>
          </cell>
          <cell r="D58">
            <v>0.48391552284753514</v>
          </cell>
          <cell r="E58">
            <v>7.9496435147015487E-2</v>
          </cell>
          <cell r="F58">
            <v>6.0544857564045641E-3</v>
          </cell>
          <cell r="G58">
            <v>0.16328324993961493</v>
          </cell>
          <cell r="H58">
            <v>0.9838291808800036</v>
          </cell>
        </row>
        <row r="59">
          <cell r="B59">
            <v>23950</v>
          </cell>
          <cell r="C59" t="str">
            <v>(395)  Laboratory Equipment</v>
          </cell>
          <cell r="D59">
            <v>4.4848837668232235</v>
          </cell>
          <cell r="E59">
            <v>0.98550372726610491</v>
          </cell>
          <cell r="F59">
            <v>0</v>
          </cell>
          <cell r="G59">
            <v>5.6857755539671189</v>
          </cell>
          <cell r="H59">
            <v>6.696728337738409</v>
          </cell>
        </row>
        <row r="60">
          <cell r="B60">
            <v>23960</v>
          </cell>
          <cell r="C60" t="str">
            <v>(396)  Power Operated Equipment</v>
          </cell>
          <cell r="D60">
            <v>0.62964707158386601</v>
          </cell>
          <cell r="E60">
            <v>0.83328637240951808</v>
          </cell>
          <cell r="F60">
            <v>0.37322987889238662</v>
          </cell>
          <cell r="G60">
            <v>1.9158655370319759</v>
          </cell>
          <cell r="H60">
            <v>0.49210128319560059</v>
          </cell>
        </row>
        <row r="61">
          <cell r="B61">
            <v>23970</v>
          </cell>
          <cell r="C61" t="str">
            <v>(397)  Communication Equipment</v>
          </cell>
          <cell r="D61">
            <v>1</v>
          </cell>
          <cell r="E61"/>
          <cell r="F61"/>
          <cell r="G61"/>
          <cell r="H61">
            <v>1</v>
          </cell>
        </row>
        <row r="62">
          <cell r="B62">
            <v>23980</v>
          </cell>
          <cell r="C62" t="str">
            <v>(398)  Miscellaneous Equipment</v>
          </cell>
          <cell r="D62">
            <v>9.3068640646029613E-2</v>
          </cell>
          <cell r="E62">
            <v>2.5067829783360279E-2</v>
          </cell>
          <cell r="F62">
            <v>2.2124506993922249E-2</v>
          </cell>
          <cell r="G62">
            <v>6.6418879356431856E-2</v>
          </cell>
          <cell r="H62">
            <v>1.1459629320849101</v>
          </cell>
        </row>
        <row r="63">
          <cell r="C63" t="str">
            <v>Subtotal (Enter Total of lines 105 thru 114)</v>
          </cell>
          <cell r="D63">
            <v>0.60221011525001988</v>
          </cell>
          <cell r="E63">
            <v>0.72973634341085525</v>
          </cell>
          <cell r="F63">
            <v>0.64177096534350586</v>
          </cell>
          <cell r="G63">
            <v>0.64335224404130453</v>
          </cell>
          <cell r="H63">
            <v>0.485061922336402</v>
          </cell>
        </row>
        <row r="64">
          <cell r="B64">
            <v>23990</v>
          </cell>
          <cell r="C64" t="str">
            <v>(399)  Other Tangible Property</v>
          </cell>
          <cell r="D64"/>
          <cell r="E64"/>
          <cell r="F64"/>
          <cell r="G64"/>
          <cell r="H64"/>
        </row>
      </sheetData>
      <sheetData sheetId="1" refreshError="1"/>
      <sheetData sheetId="2" refreshError="1">
        <row r="6">
          <cell r="A6" t="str">
            <v>Sum of percent</v>
          </cell>
          <cell r="D6" t="str">
            <v>utility_account_id</v>
          </cell>
        </row>
        <row r="7">
          <cell r="A7" t="str">
            <v>Budget PJF (1072XX)</v>
          </cell>
          <cell r="B7" t="str">
            <v>PJF</v>
          </cell>
          <cell r="C7" t="str">
            <v>Project Function Title</v>
          </cell>
          <cell r="D7">
            <v>23030</v>
          </cell>
          <cell r="E7">
            <v>23040</v>
          </cell>
          <cell r="F7">
            <v>23550</v>
          </cell>
          <cell r="G7">
            <v>23670</v>
          </cell>
          <cell r="H7">
            <v>23760</v>
          </cell>
          <cell r="I7">
            <v>23800</v>
          </cell>
          <cell r="J7">
            <v>23820</v>
          </cell>
          <cell r="K7">
            <v>23830</v>
          </cell>
          <cell r="L7">
            <v>23900</v>
          </cell>
          <cell r="M7">
            <v>23920</v>
          </cell>
          <cell r="N7">
            <v>23940</v>
          </cell>
          <cell r="O7">
            <v>23950</v>
          </cell>
          <cell r="P7">
            <v>23960</v>
          </cell>
        </row>
        <row r="8">
          <cell r="A8">
            <v>107241</v>
          </cell>
          <cell r="B8">
            <v>107812</v>
          </cell>
          <cell r="C8" t="str">
            <v>PRODUCTION FACILITIES</v>
          </cell>
          <cell r="E8">
            <v>1</v>
          </cell>
        </row>
        <row r="9">
          <cell r="B9">
            <v>107815</v>
          </cell>
          <cell r="C9" t="str">
            <v>PRODUCTION FACILITIES</v>
          </cell>
          <cell r="E9">
            <v>1</v>
          </cell>
        </row>
        <row r="10">
          <cell r="A10">
            <v>107242</v>
          </cell>
          <cell r="B10">
            <v>107712</v>
          </cell>
          <cell r="C10" t="str">
            <v>PRODUCTION FACILITIES</v>
          </cell>
          <cell r="D10">
            <v>0</v>
          </cell>
          <cell r="E10">
            <v>1</v>
          </cell>
          <cell r="F10">
            <v>1</v>
          </cell>
          <cell r="G10">
            <v>1</v>
          </cell>
          <cell r="H10">
            <v>0</v>
          </cell>
        </row>
        <row r="11">
          <cell r="B11">
            <v>107715</v>
          </cell>
          <cell r="C11" t="str">
            <v>PRODUCTION FACILITIES</v>
          </cell>
          <cell r="D11">
            <v>107715</v>
          </cell>
          <cell r="E11">
            <v>1</v>
          </cell>
          <cell r="F11">
            <v>1</v>
          </cell>
          <cell r="G11">
            <v>1</v>
          </cell>
          <cell r="H11">
            <v>1</v>
          </cell>
        </row>
        <row r="12">
          <cell r="A12">
            <v>107243</v>
          </cell>
          <cell r="B12">
            <v>107732</v>
          </cell>
          <cell r="C12" t="str">
            <v>HQ-UGRND GAS STRG-LSHLD &amp; STRG</v>
          </cell>
          <cell r="D12">
            <v>3.4168491212253543E-2</v>
          </cell>
          <cell r="E12">
            <v>3.7891992424733303E-2</v>
          </cell>
          <cell r="F12">
            <v>1</v>
          </cell>
          <cell r="G12">
            <v>3.0408541376221527E-2</v>
          </cell>
          <cell r="H12">
            <v>5.6106078373258763E-3</v>
          </cell>
        </row>
        <row r="13">
          <cell r="B13">
            <v>107734</v>
          </cell>
          <cell r="C13" t="str">
            <v>UG STORAGE-LEASEHOLD &amp; STORAGE</v>
          </cell>
          <cell r="D13">
            <v>1.3677359035112751E-2</v>
          </cell>
          <cell r="E13">
            <v>1.3819269143198067E-2</v>
          </cell>
          <cell r="F13">
            <v>1</v>
          </cell>
          <cell r="G13">
            <v>5.7058940355559338E-4</v>
          </cell>
          <cell r="H13">
            <v>0</v>
          </cell>
        </row>
        <row r="14">
          <cell r="B14">
            <v>107735</v>
          </cell>
          <cell r="C14" t="str">
            <v>UG STORAGE-LEASEHOLD &amp; STORAGE</v>
          </cell>
          <cell r="D14">
            <v>107735</v>
          </cell>
          <cell r="E14">
            <v>107735</v>
          </cell>
          <cell r="F14">
            <v>1</v>
          </cell>
          <cell r="G14">
            <v>1</v>
          </cell>
          <cell r="H14">
            <v>1</v>
          </cell>
        </row>
        <row r="15">
          <cell r="B15">
            <v>107736</v>
          </cell>
          <cell r="C15" t="str">
            <v>HQ GAS - UG STORAGE-INC OP EFF</v>
          </cell>
          <cell r="D15">
            <v>107736</v>
          </cell>
          <cell r="E15">
            <v>107736</v>
          </cell>
          <cell r="F15">
            <v>1</v>
          </cell>
          <cell r="G15">
            <v>1</v>
          </cell>
          <cell r="H15">
            <v>1</v>
          </cell>
        </row>
        <row r="16">
          <cell r="B16">
            <v>107737</v>
          </cell>
          <cell r="C16" t="str">
            <v>HQ GAS - UG STORAGE - SAFETY</v>
          </cell>
          <cell r="D16">
            <v>7.3169997250747834E-4</v>
          </cell>
          <cell r="E16">
            <v>7.316996343433857E-4</v>
          </cell>
          <cell r="F16">
            <v>1</v>
          </cell>
          <cell r="G16">
            <v>1</v>
          </cell>
          <cell r="H16">
            <v>0</v>
          </cell>
        </row>
        <row r="17">
          <cell r="A17">
            <v>107244</v>
          </cell>
          <cell r="B17">
            <v>107835</v>
          </cell>
          <cell r="C17" t="str">
            <v>AREA UG STORAGE/LEASEHOLD</v>
          </cell>
          <cell r="D17">
            <v>0.14085432134419537</v>
          </cell>
          <cell r="E17">
            <v>0.15470239292968924</v>
          </cell>
          <cell r="F17">
            <v>1</v>
          </cell>
          <cell r="G17">
            <v>2.7842301025607884E-3</v>
          </cell>
          <cell r="H17">
            <v>2.6426521266615266E-2</v>
          </cell>
        </row>
        <row r="18">
          <cell r="A18">
            <v>107245</v>
          </cell>
          <cell r="B18">
            <v>107851</v>
          </cell>
          <cell r="C18" t="str">
            <v>TRANSMISSION</v>
          </cell>
          <cell r="D18">
            <v>0.10086530493864912</v>
          </cell>
          <cell r="E18">
            <v>0.10988986858210646</v>
          </cell>
          <cell r="F18">
            <v>0.42589424557552791</v>
          </cell>
          <cell r="G18">
            <v>1</v>
          </cell>
          <cell r="H18">
            <v>5.5702194872544006E-2</v>
          </cell>
        </row>
        <row r="19">
          <cell r="B19">
            <v>107853</v>
          </cell>
          <cell r="C19" t="str">
            <v>TRANSMISSION</v>
          </cell>
          <cell r="D19">
            <v>2.6872308192463831E-2</v>
          </cell>
          <cell r="E19">
            <v>2.6872307062149048E-2</v>
          </cell>
          <cell r="F19">
            <v>0.41906984196475516</v>
          </cell>
          <cell r="G19">
            <v>1</v>
          </cell>
          <cell r="H19">
            <v>-3.7756355782547369E-3</v>
          </cell>
        </row>
        <row r="20">
          <cell r="B20">
            <v>107854</v>
          </cell>
          <cell r="C20" t="str">
            <v>TRANSMISSION</v>
          </cell>
          <cell r="D20">
            <v>6.5650296205265787E-2</v>
          </cell>
          <cell r="E20">
            <v>6.4306164764033488E-2</v>
          </cell>
          <cell r="F20">
            <v>0.44950620587596152</v>
          </cell>
          <cell r="G20">
            <v>1</v>
          </cell>
          <cell r="H20">
            <v>0.13781556550857393</v>
          </cell>
        </row>
        <row r="21">
          <cell r="B21">
            <v>107855</v>
          </cell>
          <cell r="C21" t="str">
            <v>TRANSMISSION</v>
          </cell>
          <cell r="D21">
            <v>0</v>
          </cell>
          <cell r="E21">
            <v>0</v>
          </cell>
          <cell r="F21">
            <v>0</v>
          </cell>
          <cell r="G21">
            <v>1</v>
          </cell>
          <cell r="H21">
            <v>0</v>
          </cell>
        </row>
        <row r="22">
          <cell r="B22">
            <v>107856</v>
          </cell>
          <cell r="C22" t="str">
            <v>TRANSMISSION</v>
          </cell>
          <cell r="D22">
            <v>5.3459278733491322E-2</v>
          </cell>
          <cell r="E22">
            <v>0.18542590246597873</v>
          </cell>
          <cell r="F22">
            <v>0.48735113277161152</v>
          </cell>
          <cell r="G22">
            <v>1</v>
          </cell>
          <cell r="H22">
            <v>3.2864894252638008E-3</v>
          </cell>
        </row>
        <row r="23">
          <cell r="B23">
            <v>107859</v>
          </cell>
          <cell r="C23" t="str">
            <v>TRANSMISSION</v>
          </cell>
          <cell r="G23">
            <v>1</v>
          </cell>
        </row>
        <row r="24">
          <cell r="A24">
            <v>107246</v>
          </cell>
          <cell r="B24">
            <v>107751</v>
          </cell>
          <cell r="C24" t="str">
            <v>TRANSMISSION</v>
          </cell>
          <cell r="G24">
            <v>1</v>
          </cell>
        </row>
        <row r="25">
          <cell r="B25">
            <v>107753</v>
          </cell>
          <cell r="C25" t="str">
            <v>TRANSMISSION</v>
          </cell>
          <cell r="D25">
            <v>5.1839320612319158E-3</v>
          </cell>
          <cell r="E25">
            <v>5.6686738092503568E-3</v>
          </cell>
          <cell r="F25">
            <v>1382</v>
          </cell>
          <cell r="G25">
            <v>1</v>
          </cell>
          <cell r="H25">
            <v>0</v>
          </cell>
        </row>
        <row r="26">
          <cell r="B26">
            <v>107754</v>
          </cell>
          <cell r="C26" t="str">
            <v>TRANSMISSION - GAS</v>
          </cell>
          <cell r="D26">
            <v>3.3922775907327756E-3</v>
          </cell>
          <cell r="E26">
            <v>0</v>
          </cell>
          <cell r="F26">
            <v>0</v>
          </cell>
          <cell r="G26">
            <v>1</v>
          </cell>
          <cell r="H26">
            <v>1</v>
          </cell>
        </row>
        <row r="27">
          <cell r="B27">
            <v>107755</v>
          </cell>
          <cell r="C27" t="str">
            <v>TRANSMISSION - GAS</v>
          </cell>
          <cell r="D27">
            <v>2.6837845595793434E-2</v>
          </cell>
          <cell r="E27">
            <v>4.3517716271190575E-2</v>
          </cell>
          <cell r="F27">
            <v>0.20984418043279715</v>
          </cell>
          <cell r="G27">
            <v>1</v>
          </cell>
          <cell r="H27">
            <v>1</v>
          </cell>
        </row>
        <row r="28">
          <cell r="B28">
            <v>107756</v>
          </cell>
          <cell r="C28" t="str">
            <v>TRANSMISSION - GAS</v>
          </cell>
          <cell r="D28">
            <v>2.3422898907288933E-2</v>
          </cell>
          <cell r="E28">
            <v>4.3641750120863715E-2</v>
          </cell>
          <cell r="F28">
            <v>8.3928691980390935E-2</v>
          </cell>
          <cell r="G28">
            <v>1</v>
          </cell>
          <cell r="H28">
            <v>2.6399472488494108E-3</v>
          </cell>
        </row>
        <row r="29">
          <cell r="B29">
            <v>107759</v>
          </cell>
          <cell r="C29" t="str">
            <v>TRANSMISSION - GAS</v>
          </cell>
          <cell r="D29">
            <v>0.54944818282833219</v>
          </cell>
          <cell r="E29">
            <v>0.30322659236500116</v>
          </cell>
          <cell r="F29">
            <v>0.89192175446154331</v>
          </cell>
          <cell r="G29">
            <v>1</v>
          </cell>
          <cell r="H29">
            <v>1</v>
          </cell>
        </row>
        <row r="30">
          <cell r="B30">
            <v>107861</v>
          </cell>
          <cell r="C30" t="str">
            <v>DISTRIBUTION</v>
          </cell>
          <cell r="D30">
            <v>7.6058991077274277E-2</v>
          </cell>
          <cell r="E30">
            <v>7.543822026757753E-2</v>
          </cell>
          <cell r="F30">
            <v>6.5702214613784615E-2</v>
          </cell>
          <cell r="G30">
            <v>8.7353241149818572E-2</v>
          </cell>
          <cell r="H30">
            <v>7.520965962513064E-2</v>
          </cell>
          <cell r="I30">
            <v>1</v>
          </cell>
        </row>
        <row r="31">
          <cell r="A31">
            <v>107247</v>
          </cell>
          <cell r="B31">
            <v>107871</v>
          </cell>
          <cell r="C31" t="str">
            <v>DISTRIBUTION</v>
          </cell>
          <cell r="D31">
            <v>107871</v>
          </cell>
          <cell r="E31">
            <v>107871</v>
          </cell>
          <cell r="F31">
            <v>107871</v>
          </cell>
          <cell r="G31">
            <v>107871</v>
          </cell>
          <cell r="H31">
            <v>1</v>
          </cell>
        </row>
        <row r="32">
          <cell r="B32">
            <v>107873</v>
          </cell>
          <cell r="C32" t="str">
            <v>DISTRIBUTION</v>
          </cell>
          <cell r="D32">
            <v>107873</v>
          </cell>
          <cell r="E32">
            <v>107873</v>
          </cell>
          <cell r="F32">
            <v>107873</v>
          </cell>
          <cell r="G32">
            <v>107873</v>
          </cell>
          <cell r="H32">
            <v>1</v>
          </cell>
        </row>
        <row r="33">
          <cell r="B33">
            <v>107874</v>
          </cell>
          <cell r="C33" t="str">
            <v>DISTRIBUTION</v>
          </cell>
          <cell r="H33">
            <v>1</v>
          </cell>
        </row>
        <row r="34">
          <cell r="B34">
            <v>107875</v>
          </cell>
          <cell r="C34" t="str">
            <v>DISTRIBUTION</v>
          </cell>
          <cell r="D34">
            <v>3.6263280508468172E-2</v>
          </cell>
          <cell r="E34">
            <v>5.2037870483205122E-2</v>
          </cell>
          <cell r="F34">
            <v>8.7763484367884517E-2</v>
          </cell>
          <cell r="G34">
            <v>2.6074289177345538E-2</v>
          </cell>
          <cell r="H34">
            <v>1</v>
          </cell>
        </row>
        <row r="35">
          <cell r="B35">
            <v>107876</v>
          </cell>
          <cell r="C35" t="str">
            <v>DISTRIBUTION</v>
          </cell>
          <cell r="G35">
            <v>107876</v>
          </cell>
          <cell r="H35">
            <v>1</v>
          </cell>
        </row>
        <row r="36">
          <cell r="A36">
            <v>107248</v>
          </cell>
          <cell r="B36">
            <v>107771</v>
          </cell>
          <cell r="C36" t="str">
            <v>DISTRIBUTION - GAS</v>
          </cell>
          <cell r="D36">
            <v>2.9813214938960914E-3</v>
          </cell>
          <cell r="E36">
            <v>3.1020801585658481E-3</v>
          </cell>
          <cell r="F36">
            <v>5.2012962488908075E-3</v>
          </cell>
          <cell r="G36">
            <v>5.858024028412918E-5</v>
          </cell>
          <cell r="H36">
            <v>1</v>
          </cell>
        </row>
        <row r="37">
          <cell r="B37">
            <v>107773</v>
          </cell>
          <cell r="C37" t="str">
            <v>DISTRIBUTION - GAS</v>
          </cell>
          <cell r="D37">
            <v>3.1708640396953682</v>
          </cell>
          <cell r="E37">
            <v>6.5055530371713507E-2</v>
          </cell>
          <cell r="F37">
            <v>0.12587745479549353</v>
          </cell>
          <cell r="G37">
            <v>2.8125460167869237E-2</v>
          </cell>
          <cell r="H37">
            <v>1</v>
          </cell>
        </row>
        <row r="38">
          <cell r="B38">
            <v>107774</v>
          </cell>
          <cell r="C38" t="str">
            <v>DISTRIBUTION - GAS</v>
          </cell>
          <cell r="D38">
            <v>9.4984781332347279E-2</v>
          </cell>
          <cell r="E38">
            <v>0.1119095035311866</v>
          </cell>
          <cell r="F38">
            <v>0.11146842197386957</v>
          </cell>
          <cell r="G38">
            <v>0.11273584456204166</v>
          </cell>
          <cell r="H38">
            <v>1</v>
          </cell>
        </row>
        <row r="39">
          <cell r="B39">
            <v>107775</v>
          </cell>
          <cell r="C39" t="str">
            <v>DISTRIBUTION - GAS</v>
          </cell>
          <cell r="D39">
            <v>107775</v>
          </cell>
          <cell r="E39">
            <v>107775</v>
          </cell>
          <cell r="F39">
            <v>107775</v>
          </cell>
          <cell r="G39">
            <v>107775</v>
          </cell>
          <cell r="H39">
            <v>1</v>
          </cell>
        </row>
        <row r="40">
          <cell r="B40">
            <v>107776</v>
          </cell>
          <cell r="C40" t="str">
            <v>HEADQUARTERS-DISTRIBUTION - GAS</v>
          </cell>
          <cell r="D40">
            <v>0.12929949891237955</v>
          </cell>
          <cell r="E40">
            <v>0.1471500758355665</v>
          </cell>
          <cell r="F40">
            <v>0.24170672909209256</v>
          </cell>
          <cell r="G40">
            <v>0.11609913391504428</v>
          </cell>
          <cell r="H40">
            <v>1</v>
          </cell>
        </row>
        <row r="41">
          <cell r="A41">
            <v>107249</v>
          </cell>
          <cell r="B41" t="str">
            <v>1077R8</v>
          </cell>
          <cell r="C41" t="str">
            <v>OTHER MOTIVE EQUIPMENT-GAS</v>
          </cell>
          <cell r="D41">
            <v>9.9521238705807367</v>
          </cell>
          <cell r="E41">
            <v>5.871115684256945</v>
          </cell>
          <cell r="F41">
            <v>5.8711128234863281</v>
          </cell>
          <cell r="G41">
            <v>5.5179661350659579</v>
          </cell>
          <cell r="H41">
            <v>9.9740731895018975</v>
          </cell>
          <cell r="M41">
            <v>1</v>
          </cell>
        </row>
        <row r="42">
          <cell r="A42">
            <v>107250</v>
          </cell>
          <cell r="B42" t="str">
            <v>1078M8</v>
          </cell>
          <cell r="C42" t="str">
            <v>BUILDING/IMPROVEMENTS-GAS</v>
          </cell>
          <cell r="D42">
            <v>0.31612704209915726</v>
          </cell>
          <cell r="E42">
            <v>1.0258835564079234</v>
          </cell>
          <cell r="F42">
            <v>0.73969685126160656</v>
          </cell>
          <cell r="G42">
            <v>0.85336563923313213</v>
          </cell>
          <cell r="H42">
            <v>0.13111077761740084</v>
          </cell>
          <cell r="L42">
            <v>1</v>
          </cell>
        </row>
        <row r="43">
          <cell r="B43" t="str">
            <v>1078V8</v>
          </cell>
          <cell r="C43" t="str">
            <v>OTHER (398 &amp; 399)</v>
          </cell>
          <cell r="D43">
            <v>0.26176142372779543</v>
          </cell>
          <cell r="E43">
            <v>0.27181107435953666</v>
          </cell>
          <cell r="F43">
            <v>0.24506703128174687</v>
          </cell>
          <cell r="G43">
            <v>0.26829621649948093</v>
          </cell>
          <cell r="H43">
            <v>0.2745787082607497</v>
          </cell>
          <cell r="L43">
            <v>1</v>
          </cell>
        </row>
        <row r="44">
          <cell r="A44">
            <v>107251</v>
          </cell>
          <cell r="B44" t="str">
            <v>1077M8</v>
          </cell>
          <cell r="C44" t="str">
            <v>BUILDING/IMPROVEMENTS-GAS</v>
          </cell>
          <cell r="D44">
            <v>8.687213431982499E-2</v>
          </cell>
          <cell r="E44">
            <v>9.3514923980019857E-2</v>
          </cell>
          <cell r="F44">
            <v>9.2944222325792789E-2</v>
          </cell>
          <cell r="G44">
            <v>0.10071101072525022</v>
          </cell>
          <cell r="H44">
            <v>7.0881030065234593E-2</v>
          </cell>
          <cell r="L44">
            <v>1</v>
          </cell>
        </row>
        <row r="45">
          <cell r="A45">
            <v>107253</v>
          </cell>
          <cell r="B45">
            <v>107785</v>
          </cell>
          <cell r="C45" t="str">
            <v>METERS &amp; HOUSE REGULATORS-GAS</v>
          </cell>
          <cell r="D45">
            <v>1.254095325506673E-2</v>
          </cell>
          <cell r="E45">
            <v>1.1048053079978293E-2</v>
          </cell>
          <cell r="F45">
            <v>1.0766470099585496E-2</v>
          </cell>
          <cell r="G45">
            <v>8.2218120580681286E-3</v>
          </cell>
          <cell r="H45">
            <v>2.1081689992801272E-2</v>
          </cell>
          <cell r="I45">
            <v>0.25</v>
          </cell>
          <cell r="J45">
            <v>0.5</v>
          </cell>
          <cell r="K45">
            <v>0.25</v>
          </cell>
        </row>
        <row r="46">
          <cell r="B46">
            <v>107786</v>
          </cell>
          <cell r="C46" t="str">
            <v>HQ-METERS AND HOUSE REG-GAS</v>
          </cell>
          <cell r="D46">
            <v>107786</v>
          </cell>
          <cell r="E46">
            <v>107786</v>
          </cell>
          <cell r="F46">
            <v>107786</v>
          </cell>
          <cell r="G46">
            <v>107786</v>
          </cell>
          <cell r="H46">
            <v>107786</v>
          </cell>
          <cell r="I46">
            <v>0.25</v>
          </cell>
          <cell r="J46">
            <v>0.5</v>
          </cell>
          <cell r="K46">
            <v>0.25</v>
          </cell>
        </row>
        <row r="47">
          <cell r="B47">
            <v>107791</v>
          </cell>
          <cell r="C47" t="str">
            <v>HQ-REL METERS INSTAL TO OUT-GS</v>
          </cell>
          <cell r="D47">
            <v>0.16815733195258148</v>
          </cell>
          <cell r="E47">
            <v>0.23432356972278623</v>
          </cell>
          <cell r="F47">
            <v>0.54664867095024428</v>
          </cell>
          <cell r="G47">
            <v>0.11240529442864564</v>
          </cell>
          <cell r="H47">
            <v>8.463332734747156E-2</v>
          </cell>
          <cell r="I47">
            <v>0.25</v>
          </cell>
          <cell r="J47">
            <v>0.5</v>
          </cell>
          <cell r="O47">
            <v>0.25</v>
          </cell>
        </row>
        <row r="48">
          <cell r="B48">
            <v>107796</v>
          </cell>
          <cell r="C48" t="str">
            <v>RELO METER INSTALL OUTDOOR-GAS</v>
          </cell>
          <cell r="D48">
            <v>107796</v>
          </cell>
          <cell r="E48">
            <v>107796</v>
          </cell>
          <cell r="F48">
            <v>107796</v>
          </cell>
          <cell r="G48">
            <v>107796</v>
          </cell>
          <cell r="H48">
            <v>107796</v>
          </cell>
          <cell r="I48">
            <v>0.25</v>
          </cell>
          <cell r="J48">
            <v>0.5</v>
          </cell>
          <cell r="O48">
            <v>0.25</v>
          </cell>
        </row>
        <row r="49">
          <cell r="B49">
            <v>107881</v>
          </cell>
          <cell r="C49" t="str">
            <v>AREA-METERS &amp; HOUSE REG-GAS</v>
          </cell>
          <cell r="D49">
            <v>107881</v>
          </cell>
          <cell r="E49">
            <v>107881</v>
          </cell>
          <cell r="F49">
            <v>107881</v>
          </cell>
          <cell r="G49">
            <v>107881</v>
          </cell>
          <cell r="H49">
            <v>107881</v>
          </cell>
          <cell r="I49">
            <v>0.25</v>
          </cell>
          <cell r="J49">
            <v>0.5</v>
          </cell>
          <cell r="K49">
            <v>0.25</v>
          </cell>
        </row>
        <row r="50">
          <cell r="B50">
            <v>107885</v>
          </cell>
          <cell r="C50" t="str">
            <v>METERS &amp; HOUSE REGULATORS-GAS</v>
          </cell>
          <cell r="I50">
            <v>0.25</v>
          </cell>
          <cell r="J50">
            <v>0.5</v>
          </cell>
          <cell r="K50">
            <v>0.25</v>
          </cell>
        </row>
        <row r="51">
          <cell r="B51">
            <v>107891</v>
          </cell>
          <cell r="C51" t="str">
            <v>AREA-REL METER INSTALL OUT-GAS</v>
          </cell>
          <cell r="D51">
            <v>0.14056692721799477</v>
          </cell>
          <cell r="E51">
            <v>0.15292631858956476</v>
          </cell>
          <cell r="F51">
            <v>0.1392772705993218</v>
          </cell>
          <cell r="G51">
            <v>0.16053815359771528</v>
          </cell>
          <cell r="H51">
            <v>0.12773480372682297</v>
          </cell>
          <cell r="I51">
            <v>0.25</v>
          </cell>
          <cell r="J51">
            <v>0.5</v>
          </cell>
          <cell r="K51">
            <v>0.25</v>
          </cell>
        </row>
        <row r="52">
          <cell r="B52">
            <v>107896</v>
          </cell>
          <cell r="C52" t="str">
            <v>RELO METER INSTALL OUTDOOR-GAS</v>
          </cell>
          <cell r="G52">
            <v>107896</v>
          </cell>
          <cell r="I52">
            <v>0.25</v>
          </cell>
          <cell r="J52">
            <v>0.5</v>
          </cell>
          <cell r="K52">
            <v>0.25</v>
          </cell>
        </row>
        <row r="53">
          <cell r="A53">
            <v>107254</v>
          </cell>
          <cell r="B53">
            <v>107781</v>
          </cell>
          <cell r="C53" t="str">
            <v>HQ-METERS AND HOUSE REG-GAS</v>
          </cell>
          <cell r="D53">
            <v>4.2777133684116651</v>
          </cell>
          <cell r="E53">
            <v>4.2777099609375</v>
          </cell>
          <cell r="F53">
            <v>4.2777099609375</v>
          </cell>
          <cell r="G53">
            <v>4.2777099609375</v>
          </cell>
          <cell r="H53">
            <v>0</v>
          </cell>
          <cell r="I53">
            <v>0.25</v>
          </cell>
          <cell r="J53">
            <v>0.5</v>
          </cell>
          <cell r="K53">
            <v>0.25</v>
          </cell>
        </row>
        <row r="54">
          <cell r="B54">
            <v>107789</v>
          </cell>
          <cell r="C54" t="str">
            <v>HQ-METERS AND HOUSE REG-GAS</v>
          </cell>
          <cell r="D54">
            <v>4.0469626820168871</v>
          </cell>
          <cell r="E54">
            <v>4.0469589233398438</v>
          </cell>
          <cell r="F54">
            <v>0</v>
          </cell>
          <cell r="G54">
            <v>0.1065390526757021</v>
          </cell>
          <cell r="H54">
            <v>7.4547271904892201E-2</v>
          </cell>
          <cell r="I54">
            <v>0.25</v>
          </cell>
          <cell r="J54">
            <v>0.5</v>
          </cell>
          <cell r="K54">
            <v>0.25</v>
          </cell>
        </row>
        <row r="55">
          <cell r="A55">
            <v>107255</v>
          </cell>
          <cell r="B55" t="str">
            <v>1077T8</v>
          </cell>
          <cell r="C55" t="str">
            <v>POWER OPERATED EQUIPMENT-GAS</v>
          </cell>
          <cell r="D55">
            <v>107255</v>
          </cell>
          <cell r="E55">
            <v>107255</v>
          </cell>
          <cell r="F55">
            <v>107255</v>
          </cell>
          <cell r="G55">
            <v>107255</v>
          </cell>
          <cell r="H55">
            <v>107255</v>
          </cell>
          <cell r="N55">
            <v>0.25</v>
          </cell>
          <cell r="P55">
            <v>0.75</v>
          </cell>
        </row>
        <row r="56">
          <cell r="B56" t="str">
            <v>1078S8</v>
          </cell>
          <cell r="C56" t="str">
            <v>TOOLS &amp; WORK EQUIPMENT-GAS</v>
          </cell>
          <cell r="D56">
            <v>0.48311331873184576</v>
          </cell>
          <cell r="E56">
            <v>0.73555461316791726</v>
          </cell>
          <cell r="F56">
            <v>0.47223793624911731</v>
          </cell>
          <cell r="G56">
            <v>0.59649557624380323</v>
          </cell>
          <cell r="H56">
            <v>0.35662115659830806</v>
          </cell>
          <cell r="N56">
            <v>0.25</v>
          </cell>
          <cell r="P56">
            <v>0.75</v>
          </cell>
        </row>
        <row r="57">
          <cell r="B57" t="str">
            <v>1078T8</v>
          </cell>
          <cell r="C57" t="str">
            <v>POWER OPERATED EQUIPMENT-GAS</v>
          </cell>
          <cell r="D57">
            <v>0.75</v>
          </cell>
          <cell r="E57">
            <v>0.75</v>
          </cell>
          <cell r="F57">
            <v>0.75</v>
          </cell>
          <cell r="G57">
            <v>0.75</v>
          </cell>
          <cell r="H57">
            <v>0.75</v>
          </cell>
          <cell r="N57">
            <v>0.25</v>
          </cell>
          <cell r="P57">
            <v>0.75</v>
          </cell>
        </row>
        <row r="58">
          <cell r="A58">
            <v>107256</v>
          </cell>
          <cell r="B58" t="str">
            <v>1077S8</v>
          </cell>
          <cell r="C58" t="str">
            <v>HQ-TOOLS AND WORK EQUIP-GAS</v>
          </cell>
          <cell r="D58">
            <v>0.48391552284753514</v>
          </cell>
          <cell r="E58">
            <v>7.9496435147015487E-2</v>
          </cell>
          <cell r="F58">
            <v>6.0544857564045641E-3</v>
          </cell>
          <cell r="G58">
            <v>0.16328324993961493</v>
          </cell>
          <cell r="H58">
            <v>0.9838291808800036</v>
          </cell>
          <cell r="N58">
            <v>0.25</v>
          </cell>
          <cell r="P58">
            <v>0.75</v>
          </cell>
        </row>
        <row r="59">
          <cell r="A59">
            <v>107259</v>
          </cell>
          <cell r="B59" t="str">
            <v>1078R8</v>
          </cell>
          <cell r="C59" t="str">
            <v>OTHER AUTOMOTIVE EQUIPMNT-GAS</v>
          </cell>
          <cell r="D59">
            <v>4.4848837668232235</v>
          </cell>
          <cell r="E59">
            <v>0.98550372726610491</v>
          </cell>
          <cell r="F59">
            <v>0</v>
          </cell>
          <cell r="G59">
            <v>5.6857755539671189</v>
          </cell>
          <cell r="H59">
            <v>6.696728337738409</v>
          </cell>
          <cell r="M59">
            <v>1</v>
          </cell>
        </row>
        <row r="60">
          <cell r="A60">
            <v>107273</v>
          </cell>
          <cell r="B60" t="str">
            <v>1077W9</v>
          </cell>
          <cell r="C60" t="str">
            <v>INTANGIBLE PLANT</v>
          </cell>
          <cell r="D60">
            <v>1</v>
          </cell>
          <cell r="E60">
            <v>0.83328637240951808</v>
          </cell>
          <cell r="F60">
            <v>0.37322987889238662</v>
          </cell>
          <cell r="G60">
            <v>1.9158655370319759</v>
          </cell>
          <cell r="H60">
            <v>0.49210128319560059</v>
          </cell>
        </row>
        <row r="61">
          <cell r="A61" t="str">
            <v>Grand Total</v>
          </cell>
          <cell r="B61">
            <v>23970</v>
          </cell>
          <cell r="C61" t="str">
            <v>(397)  Communication Equipment</v>
          </cell>
          <cell r="D61">
            <v>1</v>
          </cell>
          <cell r="E61">
            <v>4</v>
          </cell>
          <cell r="F61">
            <v>6</v>
          </cell>
          <cell r="G61">
            <v>12</v>
          </cell>
          <cell r="H61">
            <v>10</v>
          </cell>
          <cell r="I61">
            <v>3.5</v>
          </cell>
          <cell r="J61">
            <v>5</v>
          </cell>
          <cell r="K61">
            <v>2</v>
          </cell>
          <cell r="L61">
            <v>3</v>
          </cell>
          <cell r="M61">
            <v>2</v>
          </cell>
          <cell r="N61">
            <v>1</v>
          </cell>
          <cell r="O61">
            <v>0.5</v>
          </cell>
          <cell r="P61">
            <v>3</v>
          </cell>
        </row>
      </sheetData>
      <sheetData sheetId="3" refreshError="1"/>
      <sheetData sheetId="4" refreshError="1"/>
      <sheetData sheetId="5"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Table of Contents"/>
      <sheetName val="1-IncStmt-MTH"/>
      <sheetName val="2-IncStmt-QTR"/>
      <sheetName val="3-IncStmt-YTD"/>
      <sheetName val="4-Other Net Detail"/>
      <sheetName val="5-MD&amp;A_EBIT"/>
      <sheetName val="6-not used"/>
      <sheetName val="7-Capital Structure "/>
      <sheetName val="8-Balance Sheet"/>
      <sheetName val="9-Other BS Detail"/>
      <sheetName val="10-Cash Flow Detail"/>
      <sheetName val="11-Summary Cash Flow"/>
      <sheetName val="Adjusted 2001 Cash Flow "/>
      <sheetName val="Board  Cash Flow"/>
      <sheetName val="12-SCF - Other Line Item Detail"/>
      <sheetName val="13-PPE"/>
      <sheetName val="14-Investments"/>
      <sheetName val="15-LTD"/>
      <sheetName val="16-GW Amort and Other Assets"/>
      <sheetName val="17-Equity Rollforward"/>
      <sheetName val="17a-OCI Roll Support YTD"/>
      <sheetName val="17b-OCI Roll Support QTD"/>
      <sheetName val="18-Footnote Disclosures"/>
      <sheetName val="19-Schedule II - Valuations"/>
      <sheetName val="20-Statistics -QTR"/>
      <sheetName val="21-Statistics - YTD"/>
      <sheetName val="22-Add'l Info"/>
      <sheetName val="23-BS Topsides"/>
      <sheetName val="23-IS Topsides"/>
      <sheetName val="24-BS Reclass-Rounding"/>
      <sheetName val="Statement of Income Variances"/>
      <sheetName val="17a-OCI Roll Support"/>
      <sheetName val="TFI use"/>
      <sheetName val="KP06 CE ATD - $$"/>
      <sheetName val="lookup"/>
    </sheetNames>
    <sheetDataSet>
      <sheetData sheetId="0" refreshError="1">
        <row r="9">
          <cell r="C9" t="str">
            <v>Exelon Consolidated</v>
          </cell>
        </row>
        <row r="26">
          <cell r="C26">
            <v>37072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o"/>
      <sheetName val="C1"/>
      <sheetName val="C2_p1"/>
      <sheetName val="C2_p2"/>
      <sheetName val="C2_p3"/>
      <sheetName val="SchC2x_1"/>
      <sheetName val="SchC2x_2"/>
      <sheetName val="Rider&amp;PThruRec"/>
      <sheetName val="Inputs"/>
      <sheetName val="RevReq2"/>
      <sheetName val="RevReq1"/>
      <sheetName val="Cptl2"/>
      <sheetName val="Cptl1"/>
      <sheetName val="RegBasisTax"/>
      <sheetName val="RegBasisOthr"/>
      <sheetName val="FERC-FI comparison"/>
      <sheetName val="RatecaseExp"/>
      <sheetName val="AddonTax"/>
      <sheetName val="WeatherNorm"/>
      <sheetName val="AnnualLaborInc2006"/>
      <sheetName val="AdjLaborInc2007"/>
      <sheetName val="TBD1"/>
      <sheetName val="TBD2"/>
      <sheetName val="Tax-GasPltLsd"/>
      <sheetName val="CharContr"/>
      <sheetName val="Pension"/>
      <sheetName val="Med&amp;Ins"/>
      <sheetName val="Pegasys"/>
      <sheetName val="CustAssistProg"/>
      <sheetName val="NetDismantle"/>
      <sheetName val="PriorRateCase"/>
      <sheetName val="PGA Settlement"/>
      <sheetName val="CrDeposits1"/>
      <sheetName val="Budget Plan"/>
      <sheetName val="ICT"/>
      <sheetName val="Sync2"/>
      <sheetName val="Sync1"/>
      <sheetName val="Interest1"/>
      <sheetName val="NotCostServ1"/>
      <sheetName val="Deprec07NetAdd"/>
      <sheetName val="Ann_nonpayroll"/>
      <sheetName val="Legal_ICCfines"/>
      <sheetName val="Legal_letterinvest"/>
      <sheetName val="Ann_CollectFees"/>
      <sheetName val="MtGreenwood"/>
      <sheetName val="Exp-SNGPlant"/>
      <sheetName val="UBA "/>
      <sheetName val="CommEqty1_noOCI"/>
      <sheetName val="PropCap_06WPD-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Inc"/>
      <sheetName val="Other Budget"/>
      <sheetName val="Other LE"/>
      <sheetName val="3-9 LE"/>
      <sheetName val="6-6 LE"/>
      <sheetName val="7-5 LE"/>
      <sheetName val="Actuals"/>
      <sheetName val="Calculations"/>
      <sheetName val="Var Anal"/>
      <sheetName val="MFR"/>
      <sheetName val="QMM"/>
      <sheetName val="BOD"/>
      <sheetName val="KPIs"/>
      <sheetName val="Module1"/>
      <sheetName val="Module2"/>
      <sheetName val="Module3"/>
      <sheetName val="Module4"/>
      <sheetName val="Module5"/>
      <sheetName val="SET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v>1</v>
          </cell>
          <cell r="E3">
            <v>36892</v>
          </cell>
          <cell r="F3">
            <v>36923</v>
          </cell>
          <cell r="G3">
            <v>36951</v>
          </cell>
          <cell r="H3">
            <v>36982</v>
          </cell>
          <cell r="I3">
            <v>37012</v>
          </cell>
          <cell r="J3">
            <v>37043</v>
          </cell>
          <cell r="K3">
            <v>37073</v>
          </cell>
          <cell r="L3">
            <v>37104</v>
          </cell>
          <cell r="M3">
            <v>37135</v>
          </cell>
          <cell r="N3">
            <v>37165</v>
          </cell>
          <cell r="O3">
            <v>37196</v>
          </cell>
          <cell r="P3">
            <v>37226</v>
          </cell>
        </row>
        <row r="4">
          <cell r="A4">
            <v>2</v>
          </cell>
        </row>
        <row r="5">
          <cell r="A5">
            <v>3</v>
          </cell>
          <cell r="B5" t="str">
            <v>Actuals</v>
          </cell>
        </row>
        <row r="6">
          <cell r="A6">
            <v>4</v>
          </cell>
          <cell r="C6" t="str">
            <v>Monthly Sales &amp; Delivery Volumes</v>
          </cell>
        </row>
        <row r="7">
          <cell r="A7">
            <v>5</v>
          </cell>
          <cell r="C7" t="str">
            <v>Electric Energy Delivery (gWh)</v>
          </cell>
          <cell r="E7">
            <v>3167.65982983</v>
          </cell>
          <cell r="F7">
            <v>2749.27458699</v>
          </cell>
          <cell r="G7">
            <v>2903.188576</v>
          </cell>
          <cell r="H7">
            <v>2593.03422</v>
          </cell>
          <cell r="I7">
            <v>2711.198856</v>
          </cell>
          <cell r="J7">
            <v>3163.424532</v>
          </cell>
          <cell r="K7">
            <v>3211.3336720000002</v>
          </cell>
          <cell r="L7">
            <v>0</v>
          </cell>
          <cell r="M7">
            <v>0</v>
          </cell>
          <cell r="N7">
            <v>0</v>
          </cell>
          <cell r="O7">
            <v>0</v>
          </cell>
          <cell r="P7">
            <v>0</v>
          </cell>
        </row>
        <row r="8">
          <cell r="A8">
            <v>6</v>
          </cell>
          <cell r="C8" t="str">
            <v>Electric Energy Sales (gWh)</v>
          </cell>
          <cell r="E8">
            <v>2137.8675628300002</v>
          </cell>
          <cell r="F8">
            <v>1946.5558519900001</v>
          </cell>
          <cell r="G8">
            <v>2122.204299</v>
          </cell>
          <cell r="H8">
            <v>1795.2801159999999</v>
          </cell>
          <cell r="I8">
            <v>1939.092034</v>
          </cell>
          <cell r="J8">
            <v>2627.478717</v>
          </cell>
          <cell r="K8">
            <v>2747.009086</v>
          </cell>
          <cell r="L8">
            <v>0</v>
          </cell>
          <cell r="M8">
            <v>0</v>
          </cell>
          <cell r="N8">
            <v>0</v>
          </cell>
          <cell r="O8">
            <v>0</v>
          </cell>
          <cell r="P8">
            <v>0</v>
          </cell>
        </row>
        <row r="9">
          <cell r="A9">
            <v>7</v>
          </cell>
          <cell r="C9" t="str">
            <v>Electric Load Retention</v>
          </cell>
          <cell r="E9">
            <v>0.67490440188608702</v>
          </cell>
          <cell r="F9">
            <v>0.70802525917251358</v>
          </cell>
          <cell r="G9">
            <v>0.73099085486343551</v>
          </cell>
          <cell r="H9">
            <v>0.69234725178443646</v>
          </cell>
          <cell r="I9">
            <v>0.71521571710194021</v>
          </cell>
          <cell r="J9">
            <v>0.83058049604832485</v>
          </cell>
          <cell r="K9">
            <v>0.85541066938994803</v>
          </cell>
          <cell r="L9" t="e">
            <v>#DIV/0!</v>
          </cell>
          <cell r="M9" t="e">
            <v>#DIV/0!</v>
          </cell>
          <cell r="N9" t="e">
            <v>#DIV/0!</v>
          </cell>
          <cell r="O9" t="e">
            <v>#DIV/0!</v>
          </cell>
          <cell r="P9" t="e">
            <v>#DIV/0!</v>
          </cell>
        </row>
        <row r="10">
          <cell r="A10">
            <v>8</v>
          </cell>
          <cell r="C10" t="str">
            <v>Energy Purchased (gWh)</v>
          </cell>
          <cell r="E10">
            <v>2320.5419999999999</v>
          </cell>
          <cell r="F10">
            <v>2119.8249999999998</v>
          </cell>
          <cell r="G10">
            <v>2290.0239999999999</v>
          </cell>
          <cell r="H10">
            <v>2014.867</v>
          </cell>
          <cell r="I10">
            <v>2304.7449999999999</v>
          </cell>
          <cell r="J10">
            <v>2855.761</v>
          </cell>
          <cell r="K10">
            <v>2975.1120000000001</v>
          </cell>
          <cell r="L10">
            <v>0</v>
          </cell>
          <cell r="M10">
            <v>0</v>
          </cell>
          <cell r="N10">
            <v>0</v>
          </cell>
          <cell r="O10">
            <v>0</v>
          </cell>
          <cell r="P10">
            <v>0</v>
          </cell>
        </row>
        <row r="11">
          <cell r="A11">
            <v>9</v>
          </cell>
          <cell r="C11" t="str">
            <v>Gas (BCF)</v>
          </cell>
          <cell r="E11">
            <v>11.112</v>
          </cell>
          <cell r="F11">
            <v>8.7959999999999994</v>
          </cell>
          <cell r="G11">
            <v>8.3620000000000001</v>
          </cell>
          <cell r="H11">
            <v>3.867</v>
          </cell>
          <cell r="I11">
            <v>1.9259999999999999</v>
          </cell>
          <cell r="J11">
            <v>1.405</v>
          </cell>
          <cell r="K11">
            <v>1.3560000000000001</v>
          </cell>
          <cell r="L11">
            <v>0</v>
          </cell>
          <cell r="M11">
            <v>0</v>
          </cell>
          <cell r="N11">
            <v>0</v>
          </cell>
          <cell r="O11">
            <v>0</v>
          </cell>
          <cell r="P11">
            <v>0</v>
          </cell>
        </row>
        <row r="12">
          <cell r="A12">
            <v>10</v>
          </cell>
        </row>
        <row r="13">
          <cell r="A13">
            <v>11</v>
          </cell>
          <cell r="C13" t="str">
            <v>QTD Sales &amp; Delivery Volumes</v>
          </cell>
        </row>
        <row r="14">
          <cell r="A14">
            <v>12</v>
          </cell>
          <cell r="C14" t="str">
            <v>Electric Energy Delivery (gWh)</v>
          </cell>
          <cell r="E14">
            <v>3167.65982983</v>
          </cell>
          <cell r="F14">
            <v>5916.9344168200005</v>
          </cell>
          <cell r="G14">
            <v>8820.1229928200009</v>
          </cell>
          <cell r="H14">
            <v>2593.03422</v>
          </cell>
          <cell r="I14">
            <v>5304.2330760000004</v>
          </cell>
          <cell r="J14">
            <v>8467.6576080000013</v>
          </cell>
          <cell r="K14">
            <v>3211.3336720000002</v>
          </cell>
          <cell r="L14">
            <v>3211.3336720000002</v>
          </cell>
          <cell r="M14">
            <v>3211.3336720000002</v>
          </cell>
          <cell r="N14">
            <v>0</v>
          </cell>
          <cell r="O14">
            <v>0</v>
          </cell>
          <cell r="P14">
            <v>0</v>
          </cell>
        </row>
        <row r="15">
          <cell r="A15">
            <v>13</v>
          </cell>
          <cell r="C15" t="str">
            <v>Electric Energy Sales (gWh)</v>
          </cell>
          <cell r="E15">
            <v>2137.8675628300002</v>
          </cell>
          <cell r="F15">
            <v>4084.4234148200003</v>
          </cell>
          <cell r="G15">
            <v>6206.6277138200003</v>
          </cell>
          <cell r="H15">
            <v>1795.2801159999999</v>
          </cell>
          <cell r="I15">
            <v>3734.3721500000001</v>
          </cell>
          <cell r="J15">
            <v>6361.8508670000001</v>
          </cell>
          <cell r="K15">
            <v>2747.009086</v>
          </cell>
          <cell r="L15">
            <v>2747.009086</v>
          </cell>
          <cell r="M15">
            <v>2747.009086</v>
          </cell>
          <cell r="N15">
            <v>0</v>
          </cell>
          <cell r="O15">
            <v>0</v>
          </cell>
          <cell r="P15">
            <v>0</v>
          </cell>
        </row>
        <row r="16">
          <cell r="A16">
            <v>14</v>
          </cell>
          <cell r="C16" t="str">
            <v>Electric Load Retention</v>
          </cell>
          <cell r="E16">
            <v>0.67490440188608702</v>
          </cell>
          <cell r="F16">
            <v>0.69029384594989884</v>
          </cell>
          <cell r="G16">
            <v>0.70368947449740671</v>
          </cell>
          <cell r="H16">
            <v>0.69234725178443646</v>
          </cell>
          <cell r="I16">
            <v>0.70403620966372482</v>
          </cell>
          <cell r="J16">
            <v>0.75131177493401535</v>
          </cell>
          <cell r="K16">
            <v>0.85541066938994803</v>
          </cell>
          <cell r="L16">
            <v>0.85541066938994803</v>
          </cell>
          <cell r="M16">
            <v>0.85541066938994803</v>
          </cell>
          <cell r="N16" t="e">
            <v>#DIV/0!</v>
          </cell>
          <cell r="O16" t="e">
            <v>#DIV/0!</v>
          </cell>
          <cell r="P16" t="e">
            <v>#DIV/0!</v>
          </cell>
        </row>
        <row r="17">
          <cell r="A17">
            <v>15</v>
          </cell>
          <cell r="C17" t="str">
            <v>Energy Purchased (gWh)</v>
          </cell>
          <cell r="E17">
            <v>2320.5419999999999</v>
          </cell>
          <cell r="F17">
            <v>4440.3670000000002</v>
          </cell>
          <cell r="G17">
            <v>6730.3909999999996</v>
          </cell>
          <cell r="H17">
            <v>2014.867</v>
          </cell>
          <cell r="I17">
            <v>4319.6120000000001</v>
          </cell>
          <cell r="J17">
            <v>7175.3729999999996</v>
          </cell>
          <cell r="K17">
            <v>2975.1120000000001</v>
          </cell>
          <cell r="L17">
            <v>2975.1120000000001</v>
          </cell>
          <cell r="M17">
            <v>2975.1120000000001</v>
          </cell>
          <cell r="N17">
            <v>0</v>
          </cell>
          <cell r="O17">
            <v>0</v>
          </cell>
          <cell r="P17">
            <v>0</v>
          </cell>
        </row>
        <row r="18">
          <cell r="A18">
            <v>16</v>
          </cell>
          <cell r="C18" t="str">
            <v>Gas (BCF)</v>
          </cell>
          <cell r="E18">
            <v>11.112</v>
          </cell>
          <cell r="F18">
            <v>19.908000000000001</v>
          </cell>
          <cell r="G18">
            <v>28.270000000000003</v>
          </cell>
          <cell r="H18">
            <v>3.867</v>
          </cell>
          <cell r="I18">
            <v>5.7930000000000001</v>
          </cell>
          <cell r="J18">
            <v>7.1980000000000004</v>
          </cell>
          <cell r="K18">
            <v>1.3560000000000001</v>
          </cell>
          <cell r="L18">
            <v>1.3560000000000001</v>
          </cell>
          <cell r="M18">
            <v>1.3560000000000001</v>
          </cell>
          <cell r="N18">
            <v>0</v>
          </cell>
          <cell r="O18">
            <v>0</v>
          </cell>
          <cell r="P18">
            <v>0</v>
          </cell>
        </row>
        <row r="19">
          <cell r="A19">
            <v>17</v>
          </cell>
        </row>
        <row r="20">
          <cell r="A20">
            <v>18</v>
          </cell>
          <cell r="C20" t="str">
            <v>YTD Sales &amp; Delivery Volumes</v>
          </cell>
        </row>
        <row r="21">
          <cell r="A21">
            <v>19</v>
          </cell>
          <cell r="C21" t="str">
            <v>Electric Energy Delivery (gWh)</v>
          </cell>
          <cell r="E21">
            <v>3167.65982983</v>
          </cell>
          <cell r="F21">
            <v>5916.9344168200005</v>
          </cell>
          <cell r="G21">
            <v>8820.1229928200009</v>
          </cell>
          <cell r="H21">
            <v>11413.15721282</v>
          </cell>
          <cell r="I21">
            <v>14124.356068820001</v>
          </cell>
          <cell r="J21">
            <v>17287.780600820002</v>
          </cell>
          <cell r="K21">
            <v>20499.114272820003</v>
          </cell>
          <cell r="L21">
            <v>20499.114272820003</v>
          </cell>
          <cell r="M21">
            <v>20499.114272820003</v>
          </cell>
          <cell r="N21">
            <v>20499.114272820003</v>
          </cell>
          <cell r="O21">
            <v>20499.114272820003</v>
          </cell>
          <cell r="P21">
            <v>20499.114272820003</v>
          </cell>
        </row>
        <row r="22">
          <cell r="A22">
            <v>20</v>
          </cell>
          <cell r="C22" t="str">
            <v>Electric Energy Sales (gWh)</v>
          </cell>
          <cell r="E22">
            <v>2137.8675628300002</v>
          </cell>
          <cell r="F22">
            <v>4084.4234148200003</v>
          </cell>
          <cell r="G22">
            <v>6206.6277138200003</v>
          </cell>
          <cell r="H22">
            <v>8001.9078298200002</v>
          </cell>
          <cell r="I22">
            <v>9940.9998638199995</v>
          </cell>
          <cell r="J22">
            <v>12568.478580819999</v>
          </cell>
          <cell r="K22">
            <v>15315.48766682</v>
          </cell>
          <cell r="L22">
            <v>15315.48766682</v>
          </cell>
          <cell r="M22">
            <v>15315.48766682</v>
          </cell>
          <cell r="N22">
            <v>15315.48766682</v>
          </cell>
          <cell r="O22">
            <v>15315.48766682</v>
          </cell>
          <cell r="P22">
            <v>15315.48766682</v>
          </cell>
        </row>
        <row r="23">
          <cell r="A23">
            <v>21</v>
          </cell>
          <cell r="C23" t="str">
            <v>Electric Load Retention</v>
          </cell>
          <cell r="E23">
            <v>0.67490440188608702</v>
          </cell>
          <cell r="F23">
            <v>0.69029384594989884</v>
          </cell>
          <cell r="G23">
            <v>0.70368947449740671</v>
          </cell>
          <cell r="H23">
            <v>0.70111255637762848</v>
          </cell>
          <cell r="I23">
            <v>0.70381968674416928</v>
          </cell>
          <cell r="J23">
            <v>0.72701516007345934</v>
          </cell>
          <cell r="K23">
            <v>0.74712923997535685</v>
          </cell>
          <cell r="L23">
            <v>0.74712923997535685</v>
          </cell>
          <cell r="M23">
            <v>0.74712923997535685</v>
          </cell>
          <cell r="N23">
            <v>0.74712923997535685</v>
          </cell>
          <cell r="O23">
            <v>0.74712923997535685</v>
          </cell>
          <cell r="P23">
            <v>0.74712923997535685</v>
          </cell>
        </row>
        <row r="24">
          <cell r="A24">
            <v>22</v>
          </cell>
          <cell r="C24" t="str">
            <v>Energy Purchased (gWh)</v>
          </cell>
          <cell r="E24">
            <v>2320.5419999999999</v>
          </cell>
          <cell r="F24">
            <v>4440.3670000000002</v>
          </cell>
          <cell r="G24">
            <v>6730.3909999999996</v>
          </cell>
          <cell r="H24">
            <v>8745.2579999999998</v>
          </cell>
          <cell r="I24">
            <v>11050.003000000001</v>
          </cell>
          <cell r="J24">
            <v>13905.764000000001</v>
          </cell>
          <cell r="K24">
            <v>16880.876</v>
          </cell>
          <cell r="L24">
            <v>16880.876</v>
          </cell>
          <cell r="M24">
            <v>16880.876</v>
          </cell>
          <cell r="N24">
            <v>16880.876</v>
          </cell>
          <cell r="O24">
            <v>16880.876</v>
          </cell>
          <cell r="P24">
            <v>16880.876</v>
          </cell>
        </row>
        <row r="25">
          <cell r="A25">
            <v>23</v>
          </cell>
          <cell r="C25" t="str">
            <v>Gas (BCF)</v>
          </cell>
          <cell r="E25">
            <v>11.112</v>
          </cell>
          <cell r="F25">
            <v>19.908000000000001</v>
          </cell>
          <cell r="G25">
            <v>28.270000000000003</v>
          </cell>
          <cell r="H25">
            <v>32.137</v>
          </cell>
          <cell r="I25">
            <v>34.063000000000002</v>
          </cell>
          <cell r="J25">
            <v>35.468000000000004</v>
          </cell>
          <cell r="K25">
            <v>36.824000000000005</v>
          </cell>
          <cell r="L25">
            <v>36.824000000000005</v>
          </cell>
          <cell r="M25">
            <v>36.824000000000005</v>
          </cell>
          <cell r="N25">
            <v>36.824000000000005</v>
          </cell>
          <cell r="O25">
            <v>36.824000000000005</v>
          </cell>
          <cell r="P25">
            <v>36.824000000000005</v>
          </cell>
        </row>
        <row r="26">
          <cell r="A26">
            <v>24</v>
          </cell>
        </row>
        <row r="27">
          <cell r="A27">
            <v>25</v>
          </cell>
          <cell r="C27" t="str">
            <v>Monthly</v>
          </cell>
        </row>
        <row r="28">
          <cell r="A28">
            <v>26</v>
          </cell>
          <cell r="C28" t="str">
            <v>Revenue</v>
          </cell>
          <cell r="E28">
            <v>378.61627700000003</v>
          </cell>
          <cell r="F28">
            <v>312.29888757999998</v>
          </cell>
          <cell r="G28">
            <v>360.18375438999999</v>
          </cell>
          <cell r="H28">
            <v>288.07063385000004</v>
          </cell>
          <cell r="I28">
            <v>272.54417445000001</v>
          </cell>
          <cell r="J28">
            <v>345.22421689000004</v>
          </cell>
          <cell r="K28">
            <v>350.52837612000002</v>
          </cell>
          <cell r="L28">
            <v>0</v>
          </cell>
          <cell r="M28">
            <v>0</v>
          </cell>
          <cell r="N28">
            <v>0</v>
          </cell>
          <cell r="O28">
            <v>0</v>
          </cell>
          <cell r="P28">
            <v>0</v>
          </cell>
        </row>
        <row r="29">
          <cell r="A29">
            <v>27</v>
          </cell>
          <cell r="C29" t="str">
            <v>Purchased Power/Fuel/GRT</v>
          </cell>
          <cell r="E29">
            <v>188.86915300000001</v>
          </cell>
          <cell r="F29">
            <v>153.02331660999999</v>
          </cell>
          <cell r="G29">
            <v>176.60595024999998</v>
          </cell>
          <cell r="H29">
            <v>132.97921802000002</v>
          </cell>
          <cell r="I29">
            <v>127.26990332000001</v>
          </cell>
          <cell r="J29">
            <v>157.29501578</v>
          </cell>
          <cell r="K29">
            <v>173.24987913999999</v>
          </cell>
          <cell r="L29">
            <v>0</v>
          </cell>
          <cell r="M29">
            <v>0</v>
          </cell>
          <cell r="N29">
            <v>0</v>
          </cell>
          <cell r="O29">
            <v>0</v>
          </cell>
          <cell r="P29">
            <v>0</v>
          </cell>
        </row>
        <row r="30">
          <cell r="A30">
            <v>28</v>
          </cell>
          <cell r="C30" t="str">
            <v>Direct Expenses</v>
          </cell>
          <cell r="E30">
            <v>8.5245630000000006</v>
          </cell>
          <cell r="F30">
            <v>13.052483639999998</v>
          </cell>
          <cell r="G30">
            <v>14.5440594</v>
          </cell>
          <cell r="H30">
            <v>6.2017335400000011</v>
          </cell>
          <cell r="I30">
            <v>11.12986944</v>
          </cell>
          <cell r="J30">
            <v>12.878882450000001</v>
          </cell>
          <cell r="K30">
            <v>12.5774592</v>
          </cell>
          <cell r="L30">
            <v>0</v>
          </cell>
          <cell r="M30">
            <v>0</v>
          </cell>
          <cell r="N30">
            <v>0</v>
          </cell>
          <cell r="O30">
            <v>0</v>
          </cell>
          <cell r="P30">
            <v>0</v>
          </cell>
        </row>
        <row r="31">
          <cell r="A31">
            <v>29</v>
          </cell>
          <cell r="C31" t="str">
            <v>Indirect Expenses</v>
          </cell>
          <cell r="E31">
            <v>20.913808</v>
          </cell>
          <cell r="F31">
            <v>17.12196754</v>
          </cell>
          <cell r="G31">
            <v>23.73291764</v>
          </cell>
          <cell r="H31">
            <v>14.1111171</v>
          </cell>
          <cell r="I31">
            <v>15.409053119999999</v>
          </cell>
          <cell r="J31">
            <v>25.807496230000002</v>
          </cell>
          <cell r="K31">
            <v>21.495436129999998</v>
          </cell>
          <cell r="L31">
            <v>0</v>
          </cell>
          <cell r="M31">
            <v>0</v>
          </cell>
          <cell r="N31">
            <v>0</v>
          </cell>
          <cell r="O31">
            <v>0</v>
          </cell>
          <cell r="P31">
            <v>0</v>
          </cell>
        </row>
        <row r="32">
          <cell r="A32">
            <v>30</v>
          </cell>
          <cell r="C32" t="str">
            <v>SG &amp;A</v>
          </cell>
          <cell r="E32">
            <v>7.2018141199999999</v>
          </cell>
          <cell r="F32">
            <v>11.266820940000001</v>
          </cell>
          <cell r="G32">
            <v>-2.4539009400000014</v>
          </cell>
          <cell r="H32">
            <v>16.404041540000001</v>
          </cell>
          <cell r="I32">
            <v>-1.3745437100000002</v>
          </cell>
          <cell r="J32">
            <v>11.750176699999999</v>
          </cell>
          <cell r="K32">
            <v>8.4999723300000003</v>
          </cell>
          <cell r="L32">
            <v>0</v>
          </cell>
          <cell r="M32">
            <v>0</v>
          </cell>
          <cell r="N32">
            <v>0</v>
          </cell>
          <cell r="O32">
            <v>0</v>
          </cell>
          <cell r="P32">
            <v>0</v>
          </cell>
        </row>
        <row r="33">
          <cell r="A33">
            <v>31</v>
          </cell>
          <cell r="C33" t="str">
            <v>BSC</v>
          </cell>
          <cell r="E33">
            <v>2.1551342400000002</v>
          </cell>
          <cell r="F33">
            <v>2.8575008099999999</v>
          </cell>
          <cell r="G33">
            <v>2.6501862000000003</v>
          </cell>
          <cell r="H33">
            <v>3.43668861</v>
          </cell>
          <cell r="I33">
            <v>3.2212818900000002</v>
          </cell>
          <cell r="J33">
            <v>3.2003910499999999</v>
          </cell>
          <cell r="K33">
            <v>2.5454918900000001</v>
          </cell>
          <cell r="L33">
            <v>0</v>
          </cell>
          <cell r="M33">
            <v>0</v>
          </cell>
          <cell r="N33">
            <v>0</v>
          </cell>
          <cell r="O33">
            <v>0</v>
          </cell>
          <cell r="P33">
            <v>0</v>
          </cell>
        </row>
        <row r="34">
          <cell r="A34">
            <v>32</v>
          </cell>
          <cell r="C34" t="str">
            <v>Corp Center Allocation</v>
          </cell>
          <cell r="E34">
            <v>0</v>
          </cell>
          <cell r="F34">
            <v>4.8</v>
          </cell>
          <cell r="G34">
            <v>5.5939363799999997</v>
          </cell>
          <cell r="H34">
            <v>-1.3815286</v>
          </cell>
          <cell r="I34">
            <v>2.54281516</v>
          </cell>
          <cell r="J34">
            <v>2.7044277999999999</v>
          </cell>
          <cell r="K34">
            <v>2.1644528100000002</v>
          </cell>
          <cell r="L34">
            <v>0</v>
          </cell>
          <cell r="M34">
            <v>0</v>
          </cell>
          <cell r="N34">
            <v>0</v>
          </cell>
          <cell r="O34">
            <v>0</v>
          </cell>
          <cell r="P34">
            <v>0</v>
          </cell>
        </row>
        <row r="35">
          <cell r="A35">
            <v>33</v>
          </cell>
          <cell r="C35" t="str">
            <v>Earnings from Invest.Equity(enter income as neg)</v>
          </cell>
          <cell r="E35">
            <v>2.4964600000008941E-3</v>
          </cell>
          <cell r="F35">
            <v>2.2439999999999999E-3</v>
          </cell>
          <cell r="G35">
            <v>-6.7981199999999995E-3</v>
          </cell>
          <cell r="H35">
            <v>-1.6456999999999999E-2</v>
          </cell>
          <cell r="I35">
            <v>1.4324E-2</v>
          </cell>
          <cell r="J35">
            <v>-8.8739999999999999E-3</v>
          </cell>
          <cell r="K35">
            <v>-4.3573000000000001E-2</v>
          </cell>
          <cell r="L35">
            <v>0</v>
          </cell>
          <cell r="M35">
            <v>0</v>
          </cell>
          <cell r="N35">
            <v>0</v>
          </cell>
          <cell r="O35">
            <v>0</v>
          </cell>
          <cell r="P35">
            <v>0</v>
          </cell>
        </row>
        <row r="36">
          <cell r="A36">
            <v>34</v>
          </cell>
          <cell r="C36" t="str">
            <v>Loss/(Gain) on Assets Disposal</v>
          </cell>
          <cell r="E36">
            <v>-0.6429954200000001</v>
          </cell>
          <cell r="F36">
            <v>0</v>
          </cell>
          <cell r="G36">
            <v>5.2929399999999995E-3</v>
          </cell>
          <cell r="H36">
            <v>-3.0000000000000001E-6</v>
          </cell>
          <cell r="I36">
            <v>0.78996481000000007</v>
          </cell>
          <cell r="J36">
            <v>0</v>
          </cell>
          <cell r="K36">
            <v>-1.1589E-3</v>
          </cell>
          <cell r="L36">
            <v>0</v>
          </cell>
          <cell r="M36">
            <v>0</v>
          </cell>
          <cell r="N36">
            <v>0</v>
          </cell>
          <cell r="O36">
            <v>0</v>
          </cell>
          <cell r="P36">
            <v>0</v>
          </cell>
        </row>
        <row r="37">
          <cell r="A37">
            <v>35</v>
          </cell>
          <cell r="C37" t="str">
            <v>Other Operating Expenses</v>
          </cell>
          <cell r="E37">
            <v>-9.1986281500000011</v>
          </cell>
          <cell r="F37">
            <v>4.5211499999999998E-3</v>
          </cell>
          <cell r="G37">
            <v>8.4014199999999997E-3</v>
          </cell>
          <cell r="H37">
            <v>-2.1752560000000001E-2</v>
          </cell>
          <cell r="I37">
            <v>-1.1751540000000001E-2</v>
          </cell>
          <cell r="J37">
            <v>3.1702849999999998E-2</v>
          </cell>
          <cell r="K37">
            <v>-4.9916389999999998E-2</v>
          </cell>
          <cell r="L37">
            <v>0</v>
          </cell>
          <cell r="M37">
            <v>0</v>
          </cell>
          <cell r="N37">
            <v>0</v>
          </cell>
          <cell r="O37">
            <v>0</v>
          </cell>
          <cell r="P37">
            <v>0</v>
          </cell>
        </row>
        <row r="38">
          <cell r="A38">
            <v>36</v>
          </cell>
          <cell r="C38" t="str">
            <v>TOTI</v>
          </cell>
          <cell r="E38">
            <v>4.0493737999999997</v>
          </cell>
          <cell r="F38">
            <v>5.0959441700000001</v>
          </cell>
          <cell r="G38">
            <v>3.9019457499999999</v>
          </cell>
          <cell r="H38">
            <v>9.2710387699999988</v>
          </cell>
          <cell r="I38">
            <v>3.4664200800000002</v>
          </cell>
          <cell r="J38">
            <v>4.0505215899999998</v>
          </cell>
          <cell r="K38">
            <v>-6.0026152899999996</v>
          </cell>
          <cell r="L38">
            <v>0</v>
          </cell>
          <cell r="M38">
            <v>0</v>
          </cell>
          <cell r="N38">
            <v>0</v>
          </cell>
          <cell r="O38">
            <v>0</v>
          </cell>
          <cell r="P38">
            <v>0</v>
          </cell>
        </row>
        <row r="39">
          <cell r="A39">
            <v>37</v>
          </cell>
          <cell r="C39" t="str">
            <v>Total O&amp;M, Other</v>
          </cell>
          <cell r="E39">
            <v>33.005566050000006</v>
          </cell>
          <cell r="F39">
            <v>54.201482249999998</v>
          </cell>
          <cell r="G39">
            <v>47.976040669999996</v>
          </cell>
          <cell r="H39">
            <v>48.004878399999988</v>
          </cell>
          <cell r="I39">
            <v>35.187433249999998</v>
          </cell>
          <cell r="J39">
            <v>60.414724670000005</v>
          </cell>
          <cell r="K39">
            <v>41.185548779999991</v>
          </cell>
          <cell r="L39">
            <v>0</v>
          </cell>
          <cell r="M39">
            <v>0</v>
          </cell>
          <cell r="N39">
            <v>0</v>
          </cell>
          <cell r="O39">
            <v>0</v>
          </cell>
          <cell r="P39">
            <v>0</v>
          </cell>
        </row>
        <row r="40">
          <cell r="A40">
            <v>38</v>
          </cell>
          <cell r="C40" t="str">
            <v>D&amp;A</v>
          </cell>
          <cell r="E40">
            <v>34.461494000000002</v>
          </cell>
          <cell r="F40">
            <v>33.0189181</v>
          </cell>
          <cell r="G40">
            <v>33.669646479999997</v>
          </cell>
          <cell r="H40">
            <v>30.61850943</v>
          </cell>
          <cell r="I40">
            <v>31.659099019999999</v>
          </cell>
          <cell r="J40">
            <v>36.240553500000004</v>
          </cell>
          <cell r="K40">
            <v>40.223600860000005</v>
          </cell>
          <cell r="L40">
            <v>0</v>
          </cell>
          <cell r="M40">
            <v>0</v>
          </cell>
          <cell r="N40">
            <v>0</v>
          </cell>
          <cell r="O40">
            <v>0</v>
          </cell>
          <cell r="P40">
            <v>0</v>
          </cell>
        </row>
        <row r="41">
          <cell r="A41">
            <v>39</v>
          </cell>
          <cell r="C41" t="str">
            <v>Interest Expense</v>
          </cell>
          <cell r="E41">
            <v>38.098998999999999</v>
          </cell>
          <cell r="F41">
            <v>38.168735410000004</v>
          </cell>
          <cell r="G41">
            <v>30.901196099999996</v>
          </cell>
          <cell r="H41">
            <v>41.269553130000006</v>
          </cell>
          <cell r="I41">
            <v>36.980243019999996</v>
          </cell>
          <cell r="J41">
            <v>38.028928350000001</v>
          </cell>
          <cell r="K41">
            <v>21.647839180000002</v>
          </cell>
          <cell r="L41">
            <v>0</v>
          </cell>
          <cell r="M41">
            <v>0</v>
          </cell>
          <cell r="N41">
            <v>0</v>
          </cell>
          <cell r="O41">
            <v>0</v>
          </cell>
          <cell r="P41">
            <v>0</v>
          </cell>
        </row>
        <row r="42">
          <cell r="A42">
            <v>40</v>
          </cell>
          <cell r="C42" t="str">
            <v>Taxes</v>
          </cell>
          <cell r="E42">
            <v>-0.37688899999999997</v>
          </cell>
          <cell r="F42">
            <v>47.753231490000005</v>
          </cell>
          <cell r="G42">
            <v>19.826177560000001</v>
          </cell>
          <cell r="H42">
            <v>10.472614</v>
          </cell>
          <cell r="I42">
            <v>15.907632</v>
          </cell>
          <cell r="J42">
            <v>18.74708</v>
          </cell>
          <cell r="K42">
            <v>27.431635</v>
          </cell>
          <cell r="L42">
            <v>0</v>
          </cell>
          <cell r="M42">
            <v>0</v>
          </cell>
          <cell r="N42">
            <v>0</v>
          </cell>
          <cell r="O42">
            <v>0</v>
          </cell>
          <cell r="P42">
            <v>0</v>
          </cell>
        </row>
        <row r="43">
          <cell r="A43">
            <v>41</v>
          </cell>
          <cell r="C43" t="str">
            <v>Preferred Stock Dividends</v>
          </cell>
          <cell r="E43">
            <v>0.80875600000000003</v>
          </cell>
          <cell r="F43">
            <v>0.80875600000000003</v>
          </cell>
          <cell r="G43">
            <v>0.80875600000000003</v>
          </cell>
          <cell r="H43">
            <v>0.80875532999999999</v>
          </cell>
          <cell r="I43">
            <v>0.80875600000000003</v>
          </cell>
          <cell r="J43">
            <v>0.80875600000000003</v>
          </cell>
          <cell r="K43">
            <v>5.6612906600000006</v>
          </cell>
          <cell r="L43">
            <v>0</v>
          </cell>
          <cell r="M43">
            <v>0</v>
          </cell>
          <cell r="N43">
            <v>0</v>
          </cell>
          <cell r="O43">
            <v>0</v>
          </cell>
          <cell r="P43">
            <v>0</v>
          </cell>
        </row>
        <row r="44">
          <cell r="A44">
            <v>42</v>
          </cell>
          <cell r="C44" t="str">
            <v>Net Income</v>
          </cell>
          <cell r="E44">
            <v>83.74919795000001</v>
          </cell>
          <cell r="F44">
            <v>-14.675552280000025</v>
          </cell>
          <cell r="G44">
            <v>50.395987329999983</v>
          </cell>
          <cell r="H44">
            <v>23.917105539999984</v>
          </cell>
          <cell r="I44">
            <v>24.731107839999996</v>
          </cell>
          <cell r="J44">
            <v>33.689158590000005</v>
          </cell>
          <cell r="K44">
            <v>41.128582500000014</v>
          </cell>
          <cell r="L44">
            <v>0</v>
          </cell>
          <cell r="M44">
            <v>0</v>
          </cell>
          <cell r="N44">
            <v>0</v>
          </cell>
          <cell r="O44">
            <v>0</v>
          </cell>
          <cell r="P44">
            <v>0</v>
          </cell>
        </row>
        <row r="45">
          <cell r="A45">
            <v>43</v>
          </cell>
          <cell r="C45" t="str">
            <v>EPS</v>
          </cell>
          <cell r="E45">
            <v>0.26336225770440252</v>
          </cell>
          <cell r="F45">
            <v>-4.6149535471698193E-2</v>
          </cell>
          <cell r="G45">
            <v>0.1584779475786163</v>
          </cell>
          <cell r="H45">
            <v>7.5211023710691771E-2</v>
          </cell>
          <cell r="I45">
            <v>7.7770779371069174E-2</v>
          </cell>
          <cell r="J45">
            <v>0.10594075028301889</v>
          </cell>
          <cell r="K45">
            <v>0.12933516509433968</v>
          </cell>
          <cell r="L45">
            <v>0</v>
          </cell>
          <cell r="M45">
            <v>0</v>
          </cell>
          <cell r="N45">
            <v>0</v>
          </cell>
          <cell r="O45">
            <v>0</v>
          </cell>
          <cell r="P45">
            <v>0</v>
          </cell>
        </row>
        <row r="46">
          <cell r="A46">
            <v>44</v>
          </cell>
        </row>
        <row r="47">
          <cell r="A47">
            <v>45</v>
          </cell>
          <cell r="C47" t="str">
            <v>QTD</v>
          </cell>
        </row>
        <row r="48">
          <cell r="A48">
            <v>46</v>
          </cell>
          <cell r="C48" t="str">
            <v>Revenue</v>
          </cell>
          <cell r="E48">
            <v>378.61627700000003</v>
          </cell>
          <cell r="F48">
            <v>690.91516458000001</v>
          </cell>
          <cell r="G48">
            <v>1051.0989189700001</v>
          </cell>
          <cell r="H48">
            <v>288.07063385000004</v>
          </cell>
          <cell r="I48">
            <v>560.61480829999994</v>
          </cell>
          <cell r="J48">
            <v>905.83902519000014</v>
          </cell>
          <cell r="K48">
            <v>350.52837612000002</v>
          </cell>
          <cell r="L48">
            <v>0</v>
          </cell>
          <cell r="M48">
            <v>0</v>
          </cell>
          <cell r="N48">
            <v>0</v>
          </cell>
          <cell r="O48">
            <v>0</v>
          </cell>
          <cell r="P48">
            <v>0</v>
          </cell>
        </row>
        <row r="49">
          <cell r="A49">
            <v>47</v>
          </cell>
          <cell r="C49" t="str">
            <v>Purchased Power and Fuel</v>
          </cell>
          <cell r="E49">
            <v>188.86915300000001</v>
          </cell>
          <cell r="F49">
            <v>341.89246961000003</v>
          </cell>
          <cell r="G49">
            <v>518.49841986000001</v>
          </cell>
          <cell r="H49">
            <v>132.97921802000002</v>
          </cell>
          <cell r="I49">
            <v>260.24912134000004</v>
          </cell>
          <cell r="J49">
            <v>417.54413712000002</v>
          </cell>
          <cell r="K49">
            <v>173.24987913999999</v>
          </cell>
          <cell r="L49">
            <v>0</v>
          </cell>
          <cell r="M49">
            <v>0</v>
          </cell>
          <cell r="N49">
            <v>0</v>
          </cell>
          <cell r="O49">
            <v>0</v>
          </cell>
          <cell r="P49">
            <v>0</v>
          </cell>
        </row>
        <row r="50">
          <cell r="A50">
            <v>48</v>
          </cell>
          <cell r="C50" t="str">
            <v>Direct Expenses</v>
          </cell>
          <cell r="E50">
            <v>8.5245630000000006</v>
          </cell>
          <cell r="F50">
            <v>21.577046639999999</v>
          </cell>
          <cell r="G50">
            <v>36.121106040000001</v>
          </cell>
          <cell r="H50">
            <v>6.2017335400000011</v>
          </cell>
          <cell r="I50">
            <v>17.33160298</v>
          </cell>
          <cell r="J50">
            <v>30.210485430000002</v>
          </cell>
          <cell r="K50">
            <v>12.5774592</v>
          </cell>
          <cell r="L50">
            <v>0</v>
          </cell>
          <cell r="M50">
            <v>0</v>
          </cell>
          <cell r="N50">
            <v>0</v>
          </cell>
          <cell r="O50">
            <v>0</v>
          </cell>
          <cell r="P50">
            <v>0</v>
          </cell>
        </row>
        <row r="51">
          <cell r="A51">
            <v>49</v>
          </cell>
          <cell r="C51" t="str">
            <v>Indirect Expenses</v>
          </cell>
          <cell r="E51">
            <v>20.913808</v>
          </cell>
          <cell r="F51">
            <v>38.035775540000003</v>
          </cell>
          <cell r="G51">
            <v>61.76869318</v>
          </cell>
          <cell r="H51">
            <v>14.1111171</v>
          </cell>
          <cell r="I51">
            <v>29.520170219999997</v>
          </cell>
          <cell r="J51">
            <v>55.327666449999995</v>
          </cell>
          <cell r="K51">
            <v>21.495436129999998</v>
          </cell>
          <cell r="L51">
            <v>0</v>
          </cell>
          <cell r="M51">
            <v>0</v>
          </cell>
          <cell r="N51">
            <v>0</v>
          </cell>
          <cell r="O51">
            <v>0</v>
          </cell>
          <cell r="P51">
            <v>0</v>
          </cell>
        </row>
        <row r="52">
          <cell r="A52">
            <v>50</v>
          </cell>
          <cell r="C52" t="str">
            <v>SG &amp;A</v>
          </cell>
          <cell r="E52">
            <v>7.2018141199999999</v>
          </cell>
          <cell r="F52">
            <v>18.46863506</v>
          </cell>
          <cell r="G52">
            <v>16.01473412</v>
          </cell>
          <cell r="H52">
            <v>16.404041540000001</v>
          </cell>
          <cell r="I52">
            <v>15.02949783</v>
          </cell>
          <cell r="J52">
            <v>26.779674530000001</v>
          </cell>
          <cell r="K52">
            <v>8.4999723300000003</v>
          </cell>
          <cell r="L52">
            <v>0</v>
          </cell>
          <cell r="M52">
            <v>0</v>
          </cell>
          <cell r="N52">
            <v>0</v>
          </cell>
          <cell r="O52">
            <v>0</v>
          </cell>
          <cell r="P52">
            <v>0</v>
          </cell>
        </row>
        <row r="53">
          <cell r="A53">
            <v>51</v>
          </cell>
          <cell r="C53" t="str">
            <v>BSC</v>
          </cell>
          <cell r="E53">
            <v>2.1551342400000002</v>
          </cell>
          <cell r="F53">
            <v>5.0126350500000001</v>
          </cell>
          <cell r="G53">
            <v>7.6628212500000004</v>
          </cell>
          <cell r="H53">
            <v>3.43668861</v>
          </cell>
          <cell r="I53">
            <v>6.6579705000000002</v>
          </cell>
          <cell r="J53">
            <v>9.8583615499999997</v>
          </cell>
          <cell r="K53">
            <v>2.5454918900000001</v>
          </cell>
          <cell r="L53">
            <v>0</v>
          </cell>
          <cell r="M53">
            <v>0</v>
          </cell>
          <cell r="N53">
            <v>0</v>
          </cell>
          <cell r="O53">
            <v>0</v>
          </cell>
          <cell r="P53">
            <v>0</v>
          </cell>
        </row>
        <row r="54">
          <cell r="A54">
            <v>52</v>
          </cell>
          <cell r="C54" t="str">
            <v>Corp Center Allocation</v>
          </cell>
          <cell r="E54">
            <v>0</v>
          </cell>
          <cell r="F54">
            <v>4.8</v>
          </cell>
          <cell r="G54">
            <v>10.39393638</v>
          </cell>
          <cell r="H54">
            <v>-1.3815286</v>
          </cell>
          <cell r="I54">
            <v>1.16128656</v>
          </cell>
          <cell r="J54">
            <v>3.8657143600000001</v>
          </cell>
          <cell r="K54">
            <v>2.1644528100000002</v>
          </cell>
          <cell r="L54">
            <v>0</v>
          </cell>
          <cell r="M54">
            <v>0</v>
          </cell>
          <cell r="N54">
            <v>0</v>
          </cell>
          <cell r="O54">
            <v>0</v>
          </cell>
          <cell r="P54">
            <v>0</v>
          </cell>
        </row>
        <row r="55">
          <cell r="A55">
            <v>53</v>
          </cell>
          <cell r="C55" t="str">
            <v>Earnings from Invest.Equity(enter income as neg)</v>
          </cell>
          <cell r="E55">
            <v>2.4964600000008941E-3</v>
          </cell>
          <cell r="F55">
            <v>4.7404600000008935E-3</v>
          </cell>
          <cell r="G55">
            <v>-2.057659999999106E-3</v>
          </cell>
          <cell r="H55">
            <v>-1.6456999999999999E-2</v>
          </cell>
          <cell r="I55">
            <v>-2.1329999999999995E-3</v>
          </cell>
          <cell r="J55">
            <v>-1.1006999999999999E-2</v>
          </cell>
          <cell r="K55">
            <v>-4.3573000000000001E-2</v>
          </cell>
          <cell r="L55">
            <v>0</v>
          </cell>
          <cell r="M55">
            <v>0</v>
          </cell>
          <cell r="N55">
            <v>0</v>
          </cell>
          <cell r="O55">
            <v>0</v>
          </cell>
          <cell r="P55">
            <v>0</v>
          </cell>
        </row>
        <row r="56">
          <cell r="A56">
            <v>54</v>
          </cell>
          <cell r="C56" t="str">
            <v>Loss/(Gain) on Assets Disposal</v>
          </cell>
          <cell r="E56">
            <v>-0.6429954200000001</v>
          </cell>
          <cell r="F56">
            <v>-0.6429954200000001</v>
          </cell>
          <cell r="G56">
            <v>-0.63770248000000007</v>
          </cell>
          <cell r="H56">
            <v>-3.0000000000000001E-6</v>
          </cell>
          <cell r="I56">
            <v>0.7899618100000001</v>
          </cell>
          <cell r="J56">
            <v>0.7899618100000001</v>
          </cell>
          <cell r="K56">
            <v>-1.1589E-3</v>
          </cell>
          <cell r="L56">
            <v>0</v>
          </cell>
          <cell r="M56">
            <v>0</v>
          </cell>
          <cell r="N56">
            <v>0</v>
          </cell>
          <cell r="O56">
            <v>0</v>
          </cell>
          <cell r="P56">
            <v>0</v>
          </cell>
        </row>
        <row r="57">
          <cell r="A57">
            <v>55</v>
          </cell>
          <cell r="C57" t="str">
            <v>Other Operating Expenses</v>
          </cell>
          <cell r="E57">
            <v>-9.1986281500000011</v>
          </cell>
          <cell r="F57">
            <v>-9.1941070000000007</v>
          </cell>
          <cell r="G57">
            <v>-9.1857055800000005</v>
          </cell>
          <cell r="H57">
            <v>-2.1752560000000001E-2</v>
          </cell>
          <cell r="I57">
            <v>-3.3504100000000002E-2</v>
          </cell>
          <cell r="J57">
            <v>-1.8012500000000042E-3</v>
          </cell>
          <cell r="K57">
            <v>-4.9916389999999998E-2</v>
          </cell>
          <cell r="L57">
            <v>0</v>
          </cell>
          <cell r="M57">
            <v>0</v>
          </cell>
          <cell r="N57">
            <v>0</v>
          </cell>
          <cell r="O57">
            <v>0</v>
          </cell>
          <cell r="P57">
            <v>0</v>
          </cell>
        </row>
        <row r="58">
          <cell r="A58">
            <v>56</v>
          </cell>
          <cell r="C58" t="str">
            <v>TOTI</v>
          </cell>
          <cell r="E58">
            <v>4.0493737999999997</v>
          </cell>
          <cell r="F58">
            <v>9.1453179700000007</v>
          </cell>
          <cell r="G58">
            <v>13.04726372</v>
          </cell>
          <cell r="H58">
            <v>9.2710387699999988</v>
          </cell>
          <cell r="I58">
            <v>12.737458849999999</v>
          </cell>
          <cell r="J58">
            <v>16.787980439999998</v>
          </cell>
          <cell r="K58">
            <v>-6.0026152899999996</v>
          </cell>
          <cell r="L58">
            <v>0</v>
          </cell>
          <cell r="M58">
            <v>0</v>
          </cell>
          <cell r="N58">
            <v>0</v>
          </cell>
          <cell r="O58">
            <v>0</v>
          </cell>
          <cell r="P58">
            <v>0</v>
          </cell>
        </row>
        <row r="59">
          <cell r="A59">
            <v>57</v>
          </cell>
          <cell r="C59" t="str">
            <v>Total O&amp;M, Other</v>
          </cell>
          <cell r="E59">
            <v>33.005566050000006</v>
          </cell>
          <cell r="F59">
            <v>87.207048299999997</v>
          </cell>
          <cell r="G59">
            <v>135.18308897</v>
          </cell>
          <cell r="H59">
            <v>48.004878399999988</v>
          </cell>
          <cell r="I59">
            <v>83.192311649999979</v>
          </cell>
          <cell r="J59">
            <v>143.60703631999999</v>
          </cell>
          <cell r="K59">
            <v>41.185548779999991</v>
          </cell>
          <cell r="L59">
            <v>0</v>
          </cell>
          <cell r="M59">
            <v>0</v>
          </cell>
          <cell r="N59">
            <v>0</v>
          </cell>
          <cell r="O59">
            <v>0</v>
          </cell>
          <cell r="P59">
            <v>0</v>
          </cell>
        </row>
        <row r="60">
          <cell r="A60">
            <v>58</v>
          </cell>
          <cell r="C60" t="str">
            <v>D&amp;A</v>
          </cell>
          <cell r="E60">
            <v>34.461494000000002</v>
          </cell>
          <cell r="F60">
            <v>67.480412099999995</v>
          </cell>
          <cell r="G60">
            <v>101.15005858000001</v>
          </cell>
          <cell r="H60">
            <v>30.61850943</v>
          </cell>
          <cell r="I60">
            <v>62.277608449999995</v>
          </cell>
          <cell r="J60">
            <v>98.518161949999993</v>
          </cell>
          <cell r="K60">
            <v>40.223600860000005</v>
          </cell>
          <cell r="L60">
            <v>0</v>
          </cell>
          <cell r="M60">
            <v>0</v>
          </cell>
          <cell r="N60">
            <v>0</v>
          </cell>
          <cell r="O60">
            <v>0</v>
          </cell>
          <cell r="P60">
            <v>0</v>
          </cell>
        </row>
        <row r="61">
          <cell r="A61">
            <v>59</v>
          </cell>
          <cell r="C61" t="str">
            <v>Net Income</v>
          </cell>
          <cell r="E61">
            <v>83.74919795000001</v>
          </cell>
          <cell r="F61">
            <v>69.073645669999962</v>
          </cell>
          <cell r="G61">
            <v>119.46963300000013</v>
          </cell>
          <cell r="H61">
            <v>23.917105539999984</v>
          </cell>
          <cell r="I61">
            <v>48.648213379999873</v>
          </cell>
          <cell r="J61">
            <v>82.337371970000177</v>
          </cell>
          <cell r="K61">
            <v>41.128582500000014</v>
          </cell>
          <cell r="L61">
            <v>0</v>
          </cell>
          <cell r="M61">
            <v>0</v>
          </cell>
          <cell r="N61">
            <v>0</v>
          </cell>
          <cell r="O61">
            <v>0</v>
          </cell>
          <cell r="P61">
            <v>0</v>
          </cell>
        </row>
        <row r="62">
          <cell r="A62">
            <v>60</v>
          </cell>
          <cell r="C62" t="str">
            <v>EPS</v>
          </cell>
          <cell r="E62">
            <v>0.26336225770440252</v>
          </cell>
          <cell r="F62">
            <v>0.2172127222327043</v>
          </cell>
          <cell r="G62">
            <v>0.37569066981132115</v>
          </cell>
          <cell r="H62">
            <v>7.5211023710691771E-2</v>
          </cell>
          <cell r="I62">
            <v>0.1529818030817606</v>
          </cell>
          <cell r="J62">
            <v>0.25892255336478043</v>
          </cell>
          <cell r="K62">
            <v>0.12933516509433968</v>
          </cell>
          <cell r="L62">
            <v>0</v>
          </cell>
          <cell r="M62">
            <v>0</v>
          </cell>
          <cell r="N62">
            <v>0</v>
          </cell>
          <cell r="O62">
            <v>0</v>
          </cell>
          <cell r="P62">
            <v>0</v>
          </cell>
        </row>
        <row r="63">
          <cell r="A63">
            <v>61</v>
          </cell>
        </row>
        <row r="64">
          <cell r="A64">
            <v>62</v>
          </cell>
          <cell r="C64" t="str">
            <v>YTD</v>
          </cell>
          <cell r="E64">
            <v>1</v>
          </cell>
          <cell r="F64">
            <v>2</v>
          </cell>
          <cell r="G64">
            <v>3</v>
          </cell>
          <cell r="H64">
            <v>4</v>
          </cell>
          <cell r="I64">
            <v>5</v>
          </cell>
          <cell r="J64">
            <v>6</v>
          </cell>
          <cell r="K64">
            <v>7</v>
          </cell>
          <cell r="L64">
            <v>8</v>
          </cell>
          <cell r="M64">
            <v>9</v>
          </cell>
          <cell r="N64">
            <v>10</v>
          </cell>
          <cell r="O64">
            <v>11</v>
          </cell>
          <cell r="P64">
            <v>12</v>
          </cell>
        </row>
        <row r="65">
          <cell r="A65">
            <v>63</v>
          </cell>
          <cell r="C65" t="str">
            <v>Revenue</v>
          </cell>
          <cell r="E65">
            <v>378.61627793000002</v>
          </cell>
          <cell r="F65">
            <v>690.91516551000007</v>
          </cell>
          <cell r="G65">
            <v>1051.0989199000001</v>
          </cell>
          <cell r="H65">
            <v>1339.16955375</v>
          </cell>
          <cell r="I65">
            <v>1611.7137282000001</v>
          </cell>
          <cell r="J65">
            <v>1956.9379450900001</v>
          </cell>
          <cell r="K65">
            <v>2307.4663212100004</v>
          </cell>
          <cell r="L65">
            <v>0</v>
          </cell>
          <cell r="M65">
            <v>0</v>
          </cell>
          <cell r="N65">
            <v>0</v>
          </cell>
          <cell r="O65">
            <v>0</v>
          </cell>
          <cell r="P65">
            <v>0</v>
          </cell>
        </row>
        <row r="66">
          <cell r="A66">
            <v>64</v>
          </cell>
          <cell r="C66" t="str">
            <v>Purchased Power and Fuel</v>
          </cell>
          <cell r="E66">
            <v>188.86956148999997</v>
          </cell>
          <cell r="F66">
            <v>341.89287809999996</v>
          </cell>
          <cell r="G66">
            <v>518.49882835000005</v>
          </cell>
          <cell r="H66">
            <v>651.47804637000002</v>
          </cell>
          <cell r="I66">
            <v>778.74794969000004</v>
          </cell>
          <cell r="J66">
            <v>936.04296547000001</v>
          </cell>
          <cell r="K66">
            <v>1109.29284461</v>
          </cell>
          <cell r="L66">
            <v>0</v>
          </cell>
          <cell r="M66">
            <v>0</v>
          </cell>
          <cell r="N66">
            <v>0</v>
          </cell>
          <cell r="O66">
            <v>0</v>
          </cell>
          <cell r="P66">
            <v>0</v>
          </cell>
        </row>
        <row r="67">
          <cell r="A67">
            <v>65</v>
          </cell>
          <cell r="C67" t="str">
            <v>Direct Expenses</v>
          </cell>
          <cell r="E67">
            <v>8.5245628100000008</v>
          </cell>
          <cell r="F67">
            <v>21.577046450000001</v>
          </cell>
          <cell r="G67">
            <v>36.121105850000006</v>
          </cell>
          <cell r="H67">
            <v>42.322839389999999</v>
          </cell>
          <cell r="I67">
            <v>53.452708830000006</v>
          </cell>
          <cell r="J67">
            <v>66.331591279999998</v>
          </cell>
          <cell r="K67">
            <v>78.909050479999991</v>
          </cell>
          <cell r="L67">
            <v>0</v>
          </cell>
          <cell r="M67">
            <v>0</v>
          </cell>
          <cell r="N67">
            <v>0</v>
          </cell>
          <cell r="O67">
            <v>0</v>
          </cell>
          <cell r="P67">
            <v>0</v>
          </cell>
        </row>
        <row r="68">
          <cell r="A68">
            <v>66</v>
          </cell>
          <cell r="C68" t="str">
            <v>Indirect Expenses</v>
          </cell>
          <cell r="E68">
            <v>20.913808169999999</v>
          </cell>
          <cell r="F68">
            <v>38.035775709999996</v>
          </cell>
          <cell r="G68">
            <v>61.768693350000007</v>
          </cell>
          <cell r="H68">
            <v>75.879810450000008</v>
          </cell>
          <cell r="I68">
            <v>91.288863570000004</v>
          </cell>
          <cell r="J68">
            <v>117.0963598</v>
          </cell>
          <cell r="K68">
            <v>138.59179592999999</v>
          </cell>
          <cell r="L68">
            <v>0</v>
          </cell>
          <cell r="M68">
            <v>0</v>
          </cell>
          <cell r="N68">
            <v>0</v>
          </cell>
          <cell r="O68">
            <v>0</v>
          </cell>
          <cell r="P68">
            <v>0</v>
          </cell>
        </row>
        <row r="69">
          <cell r="A69">
            <v>67</v>
          </cell>
          <cell r="C69" t="str">
            <v>SG &amp;A</v>
          </cell>
          <cell r="E69">
            <v>7.2018141199999999</v>
          </cell>
          <cell r="F69">
            <v>18.46863506</v>
          </cell>
          <cell r="G69">
            <v>16.01473412</v>
          </cell>
          <cell r="H69">
            <v>32.418775660000001</v>
          </cell>
          <cell r="I69">
            <v>31.044231950000004</v>
          </cell>
          <cell r="J69">
            <v>42.794408650000008</v>
          </cell>
          <cell r="K69">
            <v>51.294380980000014</v>
          </cell>
          <cell r="L69">
            <v>0</v>
          </cell>
          <cell r="M69">
            <v>0</v>
          </cell>
          <cell r="N69">
            <v>0</v>
          </cell>
          <cell r="O69">
            <v>0</v>
          </cell>
          <cell r="P69">
            <v>0</v>
          </cell>
        </row>
        <row r="70">
          <cell r="A70">
            <v>68</v>
          </cell>
          <cell r="C70" t="str">
            <v>BSC</v>
          </cell>
          <cell r="E70">
            <v>2.1551342400000002</v>
          </cell>
          <cell r="F70">
            <v>5.0126350500000001</v>
          </cell>
          <cell r="G70">
            <v>7.6628212500000012</v>
          </cell>
          <cell r="H70">
            <v>11.099509860000001</v>
          </cell>
          <cell r="I70">
            <v>14.320791750000001</v>
          </cell>
          <cell r="J70">
            <v>17.521182800000002</v>
          </cell>
          <cell r="K70">
            <v>20.066674690000003</v>
          </cell>
          <cell r="L70">
            <v>0</v>
          </cell>
          <cell r="M70">
            <v>0</v>
          </cell>
          <cell r="N70">
            <v>0</v>
          </cell>
          <cell r="O70">
            <v>0</v>
          </cell>
          <cell r="P70">
            <v>0</v>
          </cell>
        </row>
        <row r="71">
          <cell r="A71">
            <v>69</v>
          </cell>
          <cell r="C71" t="str">
            <v>Corp Center Allocation</v>
          </cell>
          <cell r="E71">
            <v>0</v>
          </cell>
          <cell r="F71">
            <v>4.8</v>
          </cell>
          <cell r="G71">
            <v>10.39393638</v>
          </cell>
          <cell r="H71">
            <v>9.0124077800000002</v>
          </cell>
          <cell r="I71">
            <v>11.55522294</v>
          </cell>
          <cell r="J71">
            <v>14.259650739999998</v>
          </cell>
          <cell r="K71">
            <v>16.424103549999998</v>
          </cell>
          <cell r="L71">
            <v>0</v>
          </cell>
          <cell r="M71">
            <v>0</v>
          </cell>
          <cell r="N71">
            <v>0</v>
          </cell>
          <cell r="O71">
            <v>0</v>
          </cell>
          <cell r="P71">
            <v>0</v>
          </cell>
        </row>
        <row r="72">
          <cell r="A72">
            <v>70</v>
          </cell>
          <cell r="C72" t="str">
            <v>Earnings from Invest.Equity(enter income as neg)</v>
          </cell>
          <cell r="E72">
            <v>2.4964600000008941E-3</v>
          </cell>
          <cell r="F72">
            <v>4.7404600000046197E-3</v>
          </cell>
          <cell r="G72">
            <v>-2.057660000000149E-3</v>
          </cell>
          <cell r="H72">
            <v>-1.8514660000003874E-2</v>
          </cell>
          <cell r="I72">
            <v>-4.1906599999964236E-3</v>
          </cell>
          <cell r="J72">
            <v>-1.3064659999996307E-2</v>
          </cell>
          <cell r="K72">
            <v>-5.6637660000011324E-2</v>
          </cell>
          <cell r="L72">
            <v>0</v>
          </cell>
          <cell r="M72">
            <v>0</v>
          </cell>
          <cell r="N72">
            <v>0</v>
          </cell>
          <cell r="O72">
            <v>0</v>
          </cell>
          <cell r="P72">
            <v>0</v>
          </cell>
        </row>
        <row r="73">
          <cell r="A73">
            <v>71</v>
          </cell>
          <cell r="C73" t="str">
            <v>Loss/(Gain) on Assets Disposal</v>
          </cell>
          <cell r="E73">
            <v>-0.6429954200000001</v>
          </cell>
          <cell r="F73">
            <v>-0.6429954200000001</v>
          </cell>
          <cell r="G73">
            <v>-0.63770247999999996</v>
          </cell>
          <cell r="H73">
            <v>-0.63770547999999994</v>
          </cell>
          <cell r="I73">
            <v>0.15225933</v>
          </cell>
          <cell r="J73">
            <v>0.15225933</v>
          </cell>
          <cell r="K73">
            <v>0.15110042999999998</v>
          </cell>
          <cell r="L73">
            <v>0</v>
          </cell>
          <cell r="M73">
            <v>0</v>
          </cell>
          <cell r="N73">
            <v>0</v>
          </cell>
          <cell r="O73">
            <v>0</v>
          </cell>
          <cell r="P73">
            <v>0</v>
          </cell>
        </row>
        <row r="74">
          <cell r="A74">
            <v>72</v>
          </cell>
          <cell r="C74" t="str">
            <v>Other Operating Expenses</v>
          </cell>
          <cell r="E74">
            <v>-9.1986281500000011</v>
          </cell>
          <cell r="F74">
            <v>-9.1941070000000007</v>
          </cell>
          <cell r="G74">
            <v>-9.1857055800000005</v>
          </cell>
          <cell r="H74">
            <v>-9.2074581400000017</v>
          </cell>
          <cell r="I74">
            <v>-9.2192096800000005</v>
          </cell>
          <cell r="J74">
            <v>-9.1875068299999985</v>
          </cell>
          <cell r="K74">
            <v>-9.2374232199999984</v>
          </cell>
          <cell r="L74">
            <v>0</v>
          </cell>
          <cell r="M74">
            <v>0</v>
          </cell>
          <cell r="N74">
            <v>0</v>
          </cell>
          <cell r="O74">
            <v>0</v>
          </cell>
          <cell r="P74">
            <v>0</v>
          </cell>
        </row>
        <row r="75">
          <cell r="A75">
            <v>73</v>
          </cell>
          <cell r="C75" t="str">
            <v>TOTI</v>
          </cell>
          <cell r="E75">
            <v>4.0493737999999997</v>
          </cell>
          <cell r="F75">
            <v>9.1453179700000007</v>
          </cell>
          <cell r="G75">
            <v>13.04726372</v>
          </cell>
          <cell r="H75">
            <v>22.318302490000001</v>
          </cell>
          <cell r="I75">
            <v>25.784722570000003</v>
          </cell>
          <cell r="J75">
            <v>29.835244160000006</v>
          </cell>
          <cell r="K75">
            <v>23.832628870000008</v>
          </cell>
          <cell r="L75">
            <v>0</v>
          </cell>
          <cell r="M75">
            <v>0</v>
          </cell>
          <cell r="N75">
            <v>0</v>
          </cell>
          <cell r="O75">
            <v>0</v>
          </cell>
          <cell r="P75">
            <v>0</v>
          </cell>
        </row>
        <row r="76">
          <cell r="A76">
            <v>74</v>
          </cell>
          <cell r="C76" t="str">
            <v>Total O&amp;M, Other</v>
          </cell>
          <cell r="E76">
            <v>33.005566030000011</v>
          </cell>
          <cell r="F76">
            <v>87.207048279999981</v>
          </cell>
          <cell r="G76">
            <v>135.18308895000004</v>
          </cell>
          <cell r="H76">
            <v>183.18796735000004</v>
          </cell>
          <cell r="I76">
            <v>218.37540060000001</v>
          </cell>
          <cell r="J76">
            <v>278.79012527000003</v>
          </cell>
          <cell r="K76">
            <v>319.97567404999995</v>
          </cell>
          <cell r="L76">
            <v>0</v>
          </cell>
          <cell r="M76">
            <v>0</v>
          </cell>
          <cell r="N76">
            <v>0</v>
          </cell>
          <cell r="O76">
            <v>0</v>
          </cell>
          <cell r="P76">
            <v>0</v>
          </cell>
        </row>
        <row r="77">
          <cell r="A77">
            <v>75</v>
          </cell>
          <cell r="C77" t="str">
            <v>D&amp;A</v>
          </cell>
          <cell r="E77">
            <v>34.461493349999998</v>
          </cell>
          <cell r="F77">
            <v>67.480411449999991</v>
          </cell>
          <cell r="G77">
            <v>101.15005793</v>
          </cell>
          <cell r="H77">
            <v>131.76856736000002</v>
          </cell>
          <cell r="I77">
            <v>163.42766638000001</v>
          </cell>
          <cell r="J77">
            <v>199.66821988000004</v>
          </cell>
          <cell r="K77">
            <v>239.89182074000001</v>
          </cell>
          <cell r="L77">
            <v>0</v>
          </cell>
          <cell r="M77">
            <v>0</v>
          </cell>
          <cell r="N77">
            <v>0</v>
          </cell>
          <cell r="O77">
            <v>0</v>
          </cell>
          <cell r="P77">
            <v>0</v>
          </cell>
        </row>
        <row r="78">
          <cell r="A78">
            <v>76</v>
          </cell>
          <cell r="C78" t="str">
            <v>Interest Expense</v>
          </cell>
          <cell r="E78">
            <v>38.098999080000006</v>
          </cell>
          <cell r="F78">
            <v>76.267734490000009</v>
          </cell>
          <cell r="G78">
            <v>107.16893058999999</v>
          </cell>
          <cell r="H78">
            <v>148.43848371999999</v>
          </cell>
          <cell r="I78">
            <v>185.41872673999998</v>
          </cell>
          <cell r="J78">
            <v>223.44765509000001</v>
          </cell>
          <cell r="K78">
            <v>249.94802960000004</v>
          </cell>
          <cell r="L78">
            <v>0</v>
          </cell>
          <cell r="M78">
            <v>0</v>
          </cell>
          <cell r="N78">
            <v>0</v>
          </cell>
          <cell r="O78">
            <v>0</v>
          </cell>
          <cell r="P78">
            <v>0</v>
          </cell>
        </row>
        <row r="79">
          <cell r="A79">
            <v>77</v>
          </cell>
          <cell r="C79" t="str">
            <v>Taxes</v>
          </cell>
          <cell r="E79">
            <v>-0.37688903000000001</v>
          </cell>
          <cell r="F79">
            <v>47.376342460000004</v>
          </cell>
          <cell r="G79">
            <v>67.202520020000009</v>
          </cell>
          <cell r="H79">
            <v>77.675134020000016</v>
          </cell>
          <cell r="I79">
            <v>93.582766020000008</v>
          </cell>
          <cell r="J79">
            <v>112.32984602000001</v>
          </cell>
          <cell r="K79">
            <v>139.76148102000002</v>
          </cell>
          <cell r="L79">
            <v>0</v>
          </cell>
          <cell r="M79">
            <v>0</v>
          </cell>
          <cell r="N79">
            <v>0</v>
          </cell>
          <cell r="O79">
            <v>0</v>
          </cell>
          <cell r="P79">
            <v>0</v>
          </cell>
        </row>
        <row r="80">
          <cell r="A80">
            <v>78</v>
          </cell>
          <cell r="C80" t="str">
            <v>Preferred Stock Dividends</v>
          </cell>
          <cell r="E80">
            <v>0.80875600000000003</v>
          </cell>
          <cell r="F80">
            <v>1.6175120000000001</v>
          </cell>
          <cell r="G80">
            <v>2.4262679999999999</v>
          </cell>
          <cell r="H80">
            <v>3.2350233300000002</v>
          </cell>
          <cell r="I80">
            <v>4.0437793300000004</v>
          </cell>
          <cell r="J80">
            <v>4.8525353300000003</v>
          </cell>
          <cell r="K80">
            <v>5.6612906600000006</v>
          </cell>
          <cell r="L80">
            <v>0</v>
          </cell>
          <cell r="M80">
            <v>0</v>
          </cell>
          <cell r="N80">
            <v>0</v>
          </cell>
          <cell r="O80">
            <v>0</v>
          </cell>
          <cell r="P80">
            <v>0</v>
          </cell>
        </row>
        <row r="81">
          <cell r="A81">
            <v>79</v>
          </cell>
          <cell r="C81" t="str">
            <v>Net Income</v>
          </cell>
          <cell r="E81">
            <v>83.748791010000005</v>
          </cell>
          <cell r="F81">
            <v>69.073238730000071</v>
          </cell>
          <cell r="G81">
            <v>119.46922606000004</v>
          </cell>
          <cell r="H81">
            <v>143.38633159999989</v>
          </cell>
          <cell r="I81">
            <v>168.11743944</v>
          </cell>
          <cell r="J81">
            <v>201.80659802999995</v>
          </cell>
          <cell r="K81">
            <v>242.93518053000045</v>
          </cell>
          <cell r="L81">
            <v>0</v>
          </cell>
          <cell r="M81">
            <v>0</v>
          </cell>
          <cell r="N81">
            <v>0</v>
          </cell>
          <cell r="O81">
            <v>0</v>
          </cell>
          <cell r="P81">
            <v>0</v>
          </cell>
        </row>
        <row r="82">
          <cell r="A82">
            <v>80</v>
          </cell>
          <cell r="C82" t="str">
            <v>EPS</v>
          </cell>
          <cell r="E82">
            <v>0.26336097801886793</v>
          </cell>
          <cell r="F82">
            <v>0.21721144254717004</v>
          </cell>
          <cell r="G82">
            <v>0.37568939012578628</v>
          </cell>
          <cell r="H82">
            <v>0.45090041383647766</v>
          </cell>
          <cell r="I82">
            <v>0.52867119320754719</v>
          </cell>
          <cell r="J82">
            <v>0.63461194349056582</v>
          </cell>
          <cell r="K82">
            <v>0.76394710858490711</v>
          </cell>
          <cell r="L82">
            <v>0</v>
          </cell>
          <cell r="M82">
            <v>0</v>
          </cell>
          <cell r="N82">
            <v>0</v>
          </cell>
          <cell r="O82">
            <v>0</v>
          </cell>
          <cell r="P82">
            <v>0</v>
          </cell>
        </row>
        <row r="83">
          <cell r="A83">
            <v>81</v>
          </cell>
        </row>
        <row r="84">
          <cell r="A84">
            <v>82</v>
          </cell>
          <cell r="B84" t="str">
            <v>Budget</v>
          </cell>
        </row>
        <row r="85">
          <cell r="A85">
            <v>83</v>
          </cell>
          <cell r="C85" t="str">
            <v>Monthly Sales &amp; Delivery Volumes</v>
          </cell>
        </row>
        <row r="86">
          <cell r="A86">
            <v>84</v>
          </cell>
          <cell r="C86" t="str">
            <v>Electric Delivery (gWh)</v>
          </cell>
          <cell r="E86">
            <v>3202.8536246776689</v>
          </cell>
          <cell r="F86">
            <v>2817.2141652382447</v>
          </cell>
          <cell r="G86">
            <v>2848.5307055500994</v>
          </cell>
          <cell r="H86">
            <v>2531.7024397606033</v>
          </cell>
          <cell r="I86">
            <v>2661.0747838173693</v>
          </cell>
          <cell r="J86">
            <v>2951.7525719799582</v>
          </cell>
          <cell r="K86">
            <v>3456.2833554166968</v>
          </cell>
          <cell r="L86">
            <v>3317.5161020968085</v>
          </cell>
          <cell r="M86">
            <v>2804.2572656379134</v>
          </cell>
          <cell r="N86">
            <v>2650.9873261788498</v>
          </cell>
          <cell r="O86">
            <v>2707.2202146811628</v>
          </cell>
          <cell r="P86">
            <v>3071.3582491605657</v>
          </cell>
        </row>
        <row r="87">
          <cell r="A87">
            <v>85</v>
          </cell>
          <cell r="C87" t="str">
            <v>Electric Energy Sales (gWh)</v>
          </cell>
          <cell r="E87">
            <v>1942.8997256542743</v>
          </cell>
          <cell r="F87">
            <v>1709.6414106955058</v>
          </cell>
          <cell r="G87">
            <v>1721.604105080927</v>
          </cell>
          <cell r="H87">
            <v>1535.5005639854855</v>
          </cell>
          <cell r="I87">
            <v>1603.637270820396</v>
          </cell>
          <cell r="J87">
            <v>1780.1855949131366</v>
          </cell>
          <cell r="K87">
            <v>2084.0934234157526</v>
          </cell>
          <cell r="L87">
            <v>2003.1768918052535</v>
          </cell>
          <cell r="M87">
            <v>1694.437174299019</v>
          </cell>
          <cell r="N87">
            <v>1601.4638984538615</v>
          </cell>
          <cell r="O87">
            <v>1638.1863678232176</v>
          </cell>
          <cell r="P87">
            <v>1859.955545023053</v>
          </cell>
        </row>
        <row r="88">
          <cell r="A88">
            <v>86</v>
          </cell>
          <cell r="C88" t="str">
            <v>Electric Load Retention (%)</v>
          </cell>
          <cell r="E88">
            <v>0.60661521047494182</v>
          </cell>
          <cell r="F88">
            <v>0.60685532246389429</v>
          </cell>
          <cell r="G88">
            <v>0.60438320068888152</v>
          </cell>
          <cell r="H88">
            <v>0.60650909833253619</v>
          </cell>
          <cell r="I88">
            <v>0.60262766028692505</v>
          </cell>
          <cell r="J88">
            <v>0.60309445033159903</v>
          </cell>
          <cell r="K88">
            <v>0.60298685295855603</v>
          </cell>
          <cell r="L88">
            <v>0.60381828758545053</v>
          </cell>
          <cell r="M88">
            <v>0.60423741967681699</v>
          </cell>
          <cell r="N88">
            <v>0.6041009259603749</v>
          </cell>
          <cell r="O88">
            <v>0.60511751461495034</v>
          </cell>
          <cell r="P88">
            <v>0.60558078678428295</v>
          </cell>
        </row>
        <row r="89">
          <cell r="A89">
            <v>87</v>
          </cell>
          <cell r="C89" t="str">
            <v>Energy Purchased (gWh)</v>
          </cell>
          <cell r="E89">
            <v>2100.1093173608938</v>
          </cell>
          <cell r="F89">
            <v>1847.6937209626849</v>
          </cell>
          <cell r="G89">
            <v>1859.3702537714657</v>
          </cell>
          <cell r="H89">
            <v>1655.8270027700289</v>
          </cell>
          <cell r="I89">
            <v>1727.1306558306158</v>
          </cell>
          <cell r="J89">
            <v>1916.1496110455194</v>
          </cell>
          <cell r="K89">
            <v>2248.190139316494</v>
          </cell>
          <cell r="L89">
            <v>2163.0559246808016</v>
          </cell>
          <cell r="M89">
            <v>1827.6899722127182</v>
          </cell>
          <cell r="N89">
            <v>1723.2025155975514</v>
          </cell>
          <cell r="O89">
            <v>1765.6157072623637</v>
          </cell>
          <cell r="P89">
            <v>2006.5993717679703</v>
          </cell>
        </row>
        <row r="90">
          <cell r="A90">
            <v>88</v>
          </cell>
          <cell r="C90" t="str">
            <v>Gas Sold (Bcf)</v>
          </cell>
          <cell r="E90">
            <v>11.375607851887413</v>
          </cell>
          <cell r="F90">
            <v>10.680133150437111</v>
          </cell>
          <cell r="G90">
            <v>9.2415013638890304</v>
          </cell>
          <cell r="H90">
            <v>6.21135800727677</v>
          </cell>
          <cell r="I90">
            <v>3.2893528719490623</v>
          </cell>
          <cell r="J90">
            <v>1.8243461996563746</v>
          </cell>
          <cell r="K90">
            <v>1.3364705643539339</v>
          </cell>
          <cell r="L90">
            <v>1.2030625042195158</v>
          </cell>
          <cell r="M90">
            <v>1.4854959116175652</v>
          </cell>
          <cell r="N90">
            <v>2.3920860745868917</v>
          </cell>
          <cell r="O90">
            <v>5.0470729994441355</v>
          </cell>
          <cell r="P90">
            <v>7.9181875006821976</v>
          </cell>
        </row>
        <row r="91">
          <cell r="A91">
            <v>89</v>
          </cell>
        </row>
        <row r="92">
          <cell r="A92">
            <v>90</v>
          </cell>
          <cell r="C92" t="str">
            <v>QTD Sales &amp; Delivery Volumes</v>
          </cell>
        </row>
        <row r="93">
          <cell r="A93">
            <v>91</v>
          </cell>
          <cell r="C93" t="str">
            <v>Electric Delivery (gWh)</v>
          </cell>
          <cell r="E93">
            <v>3202.8536246776689</v>
          </cell>
          <cell r="F93">
            <v>6020.0677899159136</v>
          </cell>
          <cell r="G93">
            <v>8868.5984954660125</v>
          </cell>
          <cell r="H93">
            <v>2531.7024397606033</v>
          </cell>
          <cell r="I93">
            <v>5192.7772235779721</v>
          </cell>
          <cell r="J93">
            <v>8144.5297955579299</v>
          </cell>
          <cell r="K93">
            <v>3456.2833554166968</v>
          </cell>
          <cell r="L93">
            <v>6773.7994575135053</v>
          </cell>
          <cell r="M93">
            <v>9578.0567231514178</v>
          </cell>
          <cell r="N93">
            <v>2650.9873261788498</v>
          </cell>
          <cell r="O93">
            <v>5358.2075408600122</v>
          </cell>
          <cell r="P93">
            <v>8429.565790020577</v>
          </cell>
        </row>
        <row r="94">
          <cell r="A94">
            <v>92</v>
          </cell>
          <cell r="C94" t="str">
            <v>Electric Energy Sales (gWh)</v>
          </cell>
          <cell r="E94">
            <v>1942.8997256542743</v>
          </cell>
          <cell r="F94">
            <v>3652.5411363497801</v>
          </cell>
          <cell r="G94">
            <v>5374.1452414307068</v>
          </cell>
          <cell r="H94">
            <v>1535.5005639854855</v>
          </cell>
          <cell r="I94">
            <v>3139.1378348058815</v>
          </cell>
          <cell r="J94">
            <v>4919.3234297190183</v>
          </cell>
          <cell r="K94">
            <v>2084.0934234157526</v>
          </cell>
          <cell r="L94">
            <v>4087.2703152210061</v>
          </cell>
          <cell r="M94">
            <v>5781.7074895200249</v>
          </cell>
          <cell r="N94">
            <v>1601.4638984538615</v>
          </cell>
          <cell r="O94">
            <v>3239.650266277079</v>
          </cell>
          <cell r="P94">
            <v>5099.6058113001318</v>
          </cell>
        </row>
        <row r="95">
          <cell r="A95">
            <v>93</v>
          </cell>
        </row>
        <row r="96">
          <cell r="A96">
            <v>94</v>
          </cell>
          <cell r="C96" t="str">
            <v>YTD Sales &amp; Delivery Volumes</v>
          </cell>
        </row>
        <row r="97">
          <cell r="A97">
            <v>95</v>
          </cell>
          <cell r="C97" t="str">
            <v>Electric Delivery (gWh)</v>
          </cell>
          <cell r="E97">
            <v>3202.8536246776689</v>
          </cell>
          <cell r="F97">
            <v>6020.0677899159136</v>
          </cell>
          <cell r="G97">
            <v>8868.5984954660125</v>
          </cell>
          <cell r="H97">
            <v>11400.300935226616</v>
          </cell>
          <cell r="I97">
            <v>14061.375719043986</v>
          </cell>
          <cell r="J97">
            <v>17013.128291023946</v>
          </cell>
          <cell r="K97">
            <v>20469.411646440643</v>
          </cell>
          <cell r="L97">
            <v>23786.927748537451</v>
          </cell>
          <cell r="M97">
            <v>26591.185014175364</v>
          </cell>
          <cell r="N97">
            <v>29242.172340354213</v>
          </cell>
          <cell r="O97">
            <v>31949.392555035374</v>
          </cell>
          <cell r="P97">
            <v>35020.750804195937</v>
          </cell>
        </row>
        <row r="98">
          <cell r="A98">
            <v>96</v>
          </cell>
          <cell r="C98" t="str">
            <v>Electric Energy Sales (gWh)</v>
          </cell>
          <cell r="E98">
            <v>1942.8997256542743</v>
          </cell>
          <cell r="F98">
            <v>3652.5411363497801</v>
          </cell>
          <cell r="G98">
            <v>5374.1452414307068</v>
          </cell>
          <cell r="H98">
            <v>6909.6458054161922</v>
          </cell>
          <cell r="I98">
            <v>8513.2830762365884</v>
          </cell>
          <cell r="J98">
            <v>10293.468671149725</v>
          </cell>
          <cell r="K98">
            <v>12377.562094565477</v>
          </cell>
          <cell r="L98">
            <v>14380.73898637073</v>
          </cell>
          <cell r="M98">
            <v>16075.176160669749</v>
          </cell>
          <cell r="N98">
            <v>17676.640059123609</v>
          </cell>
          <cell r="O98">
            <v>19314.826426946827</v>
          </cell>
          <cell r="P98">
            <v>21174.781971969882</v>
          </cell>
        </row>
        <row r="99">
          <cell r="A99">
            <v>97</v>
          </cell>
          <cell r="C99" t="str">
            <v>Electric Load Retention (%)</v>
          </cell>
          <cell r="E99">
            <v>0.60661521047494182</v>
          </cell>
          <cell r="F99">
            <v>0.6067275758037266</v>
          </cell>
          <cell r="G99">
            <v>0.60597457920529252</v>
          </cell>
          <cell r="H99">
            <v>0.60609328163132747</v>
          </cell>
          <cell r="I99">
            <v>0.60543742279118862</v>
          </cell>
          <cell r="J99">
            <v>0.60503092053802443</v>
          </cell>
          <cell r="K99">
            <v>0.60468577741059648</v>
          </cell>
          <cell r="L99">
            <v>0.60456479030819499</v>
          </cell>
          <cell r="M99">
            <v>0.60453026640596541</v>
          </cell>
          <cell r="N99">
            <v>0.60449134398711668</v>
          </cell>
          <cell r="O99">
            <v>0.60454440232863582</v>
          </cell>
          <cell r="P99">
            <v>0.60463529438189167</v>
          </cell>
        </row>
        <row r="100">
          <cell r="A100">
            <v>98</v>
          </cell>
          <cell r="C100" t="str">
            <v>Energy Purchased (gWh)</v>
          </cell>
          <cell r="E100">
            <v>2100.1093173608938</v>
          </cell>
          <cell r="F100">
            <v>3947.8030383235787</v>
          </cell>
          <cell r="G100">
            <v>5807.1732920950444</v>
          </cell>
          <cell r="H100">
            <v>7463.0002948650736</v>
          </cell>
          <cell r="I100">
            <v>9190.1309506956895</v>
          </cell>
          <cell r="J100">
            <v>11106.280561741209</v>
          </cell>
          <cell r="K100">
            <v>13354.470701057702</v>
          </cell>
          <cell r="L100">
            <v>15517.526625738505</v>
          </cell>
          <cell r="M100">
            <v>17345.216597951221</v>
          </cell>
          <cell r="N100">
            <v>19068.419113548771</v>
          </cell>
          <cell r="O100">
            <v>20834.034820811135</v>
          </cell>
          <cell r="P100">
            <v>22840.634192579106</v>
          </cell>
        </row>
        <row r="101">
          <cell r="A101">
            <v>99</v>
          </cell>
          <cell r="C101" t="str">
            <v>Gas Sold (Bcf)</v>
          </cell>
          <cell r="E101">
            <v>11.375607851887413</v>
          </cell>
          <cell r="F101">
            <v>22.055741002324524</v>
          </cell>
          <cell r="G101">
            <v>31.297242366213553</v>
          </cell>
          <cell r="H101">
            <v>37.508600373490324</v>
          </cell>
          <cell r="I101">
            <v>40.797953245439388</v>
          </cell>
          <cell r="J101">
            <v>42.622299445095763</v>
          </cell>
          <cell r="K101">
            <v>43.958770009449694</v>
          </cell>
          <cell r="L101">
            <v>45.161832513669211</v>
          </cell>
          <cell r="M101">
            <v>46.647328425286773</v>
          </cell>
          <cell r="N101">
            <v>49.039414499873665</v>
          </cell>
          <cell r="O101">
            <v>54.086487499317798</v>
          </cell>
          <cell r="P101">
            <v>62.004674999999992</v>
          </cell>
        </row>
        <row r="102">
          <cell r="A102">
            <v>100</v>
          </cell>
        </row>
        <row r="103">
          <cell r="A103">
            <v>101</v>
          </cell>
          <cell r="C103" t="str">
            <v>Monthly</v>
          </cell>
        </row>
        <row r="104">
          <cell r="A104">
            <v>102</v>
          </cell>
          <cell r="C104" t="str">
            <v>Revenue</v>
          </cell>
          <cell r="E104">
            <v>360.439187</v>
          </cell>
          <cell r="F104">
            <v>328.12718699999999</v>
          </cell>
          <cell r="G104">
            <v>314.88024799999999</v>
          </cell>
          <cell r="H104">
            <v>268.54424799999998</v>
          </cell>
          <cell r="I104">
            <v>252.59224800000004</v>
          </cell>
          <cell r="J104">
            <v>279.16224800000003</v>
          </cell>
          <cell r="K104">
            <v>329.47524800000002</v>
          </cell>
          <cell r="L104">
            <v>314.18816700000002</v>
          </cell>
          <cell r="M104">
            <v>264.99516699999998</v>
          </cell>
          <cell r="N104">
            <v>241.535167</v>
          </cell>
          <cell r="O104">
            <v>272.30816700000003</v>
          </cell>
          <cell r="P104">
            <v>317.112167</v>
          </cell>
        </row>
        <row r="105">
          <cell r="A105">
            <v>103</v>
          </cell>
          <cell r="C105" t="str">
            <v>Purchased Power/Fuel/GRT</v>
          </cell>
          <cell r="E105">
            <v>167.20399999999998</v>
          </cell>
          <cell r="F105">
            <v>152.12799999999999</v>
          </cell>
          <cell r="G105">
            <v>143.60499999999999</v>
          </cell>
          <cell r="H105">
            <v>117.68</v>
          </cell>
          <cell r="I105">
            <v>104.81099999999999</v>
          </cell>
          <cell r="J105">
            <v>111.97499999999999</v>
          </cell>
          <cell r="K105">
            <v>133.268</v>
          </cell>
          <cell r="L105">
            <v>124.003</v>
          </cell>
          <cell r="M105">
            <v>102.316</v>
          </cell>
          <cell r="N105">
            <v>97.83</v>
          </cell>
          <cell r="O105">
            <v>116.16300000000001</v>
          </cell>
          <cell r="P105">
            <v>139.666</v>
          </cell>
        </row>
        <row r="106">
          <cell r="A106">
            <v>104</v>
          </cell>
          <cell r="C106" t="str">
            <v>Direct Expenses</v>
          </cell>
          <cell r="E106">
            <v>11.564</v>
          </cell>
          <cell r="F106">
            <v>11.192</v>
          </cell>
          <cell r="G106">
            <v>11.821999999999999</v>
          </cell>
          <cell r="H106">
            <v>11.262</v>
          </cell>
          <cell r="I106">
            <v>11.077</v>
          </cell>
          <cell r="J106">
            <v>10.576000000000001</v>
          </cell>
          <cell r="K106">
            <v>10.715</v>
          </cell>
          <cell r="L106">
            <v>10.922000000000001</v>
          </cell>
          <cell r="M106">
            <v>10.472999999999999</v>
          </cell>
          <cell r="N106">
            <v>10.901</v>
          </cell>
          <cell r="O106">
            <v>11.262</v>
          </cell>
          <cell r="P106">
            <v>10.928000000000001</v>
          </cell>
        </row>
        <row r="107">
          <cell r="A107">
            <v>105</v>
          </cell>
          <cell r="C107" t="str">
            <v>Indirect Expenses</v>
          </cell>
          <cell r="E107">
            <v>7.633</v>
          </cell>
          <cell r="F107">
            <v>7.327</v>
          </cell>
          <cell r="G107">
            <v>8.2029999999999994</v>
          </cell>
          <cell r="H107">
            <v>7.782</v>
          </cell>
          <cell r="I107">
            <v>7.5410000000000004</v>
          </cell>
          <cell r="J107">
            <v>7.5979999999999999</v>
          </cell>
          <cell r="K107">
            <v>7.5330000000000004</v>
          </cell>
          <cell r="L107">
            <v>8.0039999999999996</v>
          </cell>
          <cell r="M107">
            <v>7.5380000000000003</v>
          </cell>
          <cell r="N107">
            <v>9.1609999999999996</v>
          </cell>
          <cell r="O107">
            <v>7.5439999999999996</v>
          </cell>
          <cell r="P107">
            <v>7.5860000000000003</v>
          </cell>
        </row>
        <row r="108">
          <cell r="A108">
            <v>106</v>
          </cell>
          <cell r="C108" t="str">
            <v>SG &amp;A</v>
          </cell>
          <cell r="E108">
            <v>23.55602</v>
          </cell>
          <cell r="F108">
            <v>18.562019999999997</v>
          </cell>
          <cell r="G108">
            <v>18.099080999999998</v>
          </cell>
          <cell r="H108">
            <v>17.332080999999999</v>
          </cell>
          <cell r="I108">
            <v>17.571081</v>
          </cell>
          <cell r="J108">
            <v>21.993081000000004</v>
          </cell>
          <cell r="K108">
            <v>21.280080999999999</v>
          </cell>
          <cell r="L108">
            <v>21.497</v>
          </cell>
          <cell r="M108">
            <v>20.748999999999995</v>
          </cell>
          <cell r="N108">
            <v>21.39</v>
          </cell>
          <cell r="O108">
            <v>18.012999999999998</v>
          </cell>
          <cell r="P108">
            <v>20.711999999999996</v>
          </cell>
        </row>
        <row r="109">
          <cell r="A109">
            <v>107</v>
          </cell>
          <cell r="C109" t="str">
            <v>BSC</v>
          </cell>
          <cell r="E109">
            <v>4.0720000000000001</v>
          </cell>
          <cell r="F109">
            <v>4.069</v>
          </cell>
          <cell r="G109">
            <v>4.2679999999999998</v>
          </cell>
          <cell r="H109">
            <v>4.0640000000000001</v>
          </cell>
          <cell r="I109">
            <v>4.0629999999999997</v>
          </cell>
          <cell r="J109">
            <v>4.2619999999999996</v>
          </cell>
          <cell r="K109">
            <v>4.0739999999999998</v>
          </cell>
          <cell r="L109">
            <v>4.0730000000000004</v>
          </cell>
          <cell r="M109">
            <v>4.2720000000000002</v>
          </cell>
          <cell r="N109">
            <v>4.048</v>
          </cell>
          <cell r="O109">
            <v>4.0490000000000004</v>
          </cell>
          <cell r="P109">
            <v>4.2539999999999996</v>
          </cell>
        </row>
        <row r="110">
          <cell r="A110">
            <v>108</v>
          </cell>
          <cell r="C110" t="str">
            <v>Corp Center Allocation</v>
          </cell>
          <cell r="E110">
            <v>2.367</v>
          </cell>
          <cell r="F110">
            <v>2.367</v>
          </cell>
          <cell r="G110">
            <v>2.367</v>
          </cell>
          <cell r="H110">
            <v>2.367</v>
          </cell>
          <cell r="I110">
            <v>2.367</v>
          </cell>
          <cell r="J110">
            <v>2.367</v>
          </cell>
          <cell r="K110">
            <v>2.367</v>
          </cell>
          <cell r="L110">
            <v>2.367</v>
          </cell>
          <cell r="M110">
            <v>2.367</v>
          </cell>
          <cell r="N110">
            <v>2.367</v>
          </cell>
          <cell r="O110">
            <v>2.367</v>
          </cell>
          <cell r="P110">
            <v>2.367</v>
          </cell>
        </row>
        <row r="111">
          <cell r="A111">
            <v>109</v>
          </cell>
          <cell r="C111" t="str">
            <v>Earnings from Invest.Equity(enter income as neg)</v>
          </cell>
          <cell r="E111">
            <v>0</v>
          </cell>
          <cell r="F111">
            <v>0</v>
          </cell>
          <cell r="G111">
            <v>0</v>
          </cell>
          <cell r="H111">
            <v>0</v>
          </cell>
          <cell r="I111">
            <v>0</v>
          </cell>
          <cell r="J111">
            <v>0</v>
          </cell>
          <cell r="K111">
            <v>0</v>
          </cell>
          <cell r="L111">
            <v>0</v>
          </cell>
          <cell r="M111">
            <v>0</v>
          </cell>
          <cell r="N111">
            <v>0</v>
          </cell>
          <cell r="O111">
            <v>0</v>
          </cell>
          <cell r="P111">
            <v>0</v>
          </cell>
        </row>
        <row r="112">
          <cell r="A112">
            <v>110</v>
          </cell>
          <cell r="C112" t="str">
            <v>Loss/(Gain) on Assets Disposal</v>
          </cell>
          <cell r="E112">
            <v>0</v>
          </cell>
          <cell r="F112">
            <v>0</v>
          </cell>
          <cell r="G112">
            <v>0</v>
          </cell>
          <cell r="H112">
            <v>0</v>
          </cell>
          <cell r="I112">
            <v>0</v>
          </cell>
          <cell r="J112">
            <v>0</v>
          </cell>
          <cell r="K112">
            <v>0</v>
          </cell>
          <cell r="L112">
            <v>0</v>
          </cell>
          <cell r="M112">
            <v>0</v>
          </cell>
          <cell r="N112">
            <v>0</v>
          </cell>
          <cell r="O112">
            <v>0</v>
          </cell>
          <cell r="P112">
            <v>0</v>
          </cell>
        </row>
        <row r="113">
          <cell r="A113">
            <v>111</v>
          </cell>
          <cell r="C113" t="str">
            <v>Other Operating Expenses</v>
          </cell>
          <cell r="E113">
            <v>0</v>
          </cell>
          <cell r="F113">
            <v>0</v>
          </cell>
          <cell r="G113">
            <v>0</v>
          </cell>
          <cell r="H113">
            <v>0</v>
          </cell>
          <cell r="I113">
            <v>0</v>
          </cell>
          <cell r="J113">
            <v>0</v>
          </cell>
          <cell r="K113">
            <v>0</v>
          </cell>
          <cell r="L113">
            <v>0</v>
          </cell>
          <cell r="M113">
            <v>0</v>
          </cell>
          <cell r="N113">
            <v>0</v>
          </cell>
          <cell r="O113">
            <v>0</v>
          </cell>
          <cell r="P113">
            <v>0</v>
          </cell>
        </row>
        <row r="114">
          <cell r="A114">
            <v>112</v>
          </cell>
          <cell r="C114" t="str">
            <v>TOTI</v>
          </cell>
          <cell r="E114">
            <v>3.5760000000000001</v>
          </cell>
          <cell r="F114">
            <v>3.5219999999999998</v>
          </cell>
          <cell r="G114">
            <v>3.6070000000000002</v>
          </cell>
          <cell r="H114">
            <v>3.552</v>
          </cell>
          <cell r="I114">
            <v>3.593</v>
          </cell>
          <cell r="J114">
            <v>3.605</v>
          </cell>
          <cell r="K114">
            <v>3.5830000000000002</v>
          </cell>
          <cell r="L114">
            <v>3.6070000000000002</v>
          </cell>
          <cell r="M114">
            <v>3.58</v>
          </cell>
          <cell r="N114">
            <v>3.5910000000000002</v>
          </cell>
          <cell r="O114">
            <v>3.5739999999999998</v>
          </cell>
          <cell r="P114">
            <v>3.5760000000000001</v>
          </cell>
        </row>
        <row r="115">
          <cell r="A115">
            <v>113</v>
          </cell>
          <cell r="C115" t="str">
            <v>Total O&amp;M, Other</v>
          </cell>
          <cell r="E115">
            <v>52.76802</v>
          </cell>
          <cell r="F115">
            <v>47.039019999999994</v>
          </cell>
          <cell r="G115">
            <v>48.366080999999994</v>
          </cell>
          <cell r="H115">
            <v>46.359080999999996</v>
          </cell>
          <cell r="I115">
            <v>46.212080999999998</v>
          </cell>
          <cell r="J115">
            <v>50.401080999999998</v>
          </cell>
          <cell r="K115">
            <v>49.552080999999994</v>
          </cell>
          <cell r="L115">
            <v>50.47</v>
          </cell>
          <cell r="M115">
            <v>48.978999999999985</v>
          </cell>
          <cell r="N115">
            <v>51.457999999999998</v>
          </cell>
          <cell r="O115">
            <v>46.808999999999997</v>
          </cell>
          <cell r="P115">
            <v>49.422999999999995</v>
          </cell>
        </row>
        <row r="116">
          <cell r="A116">
            <v>114</v>
          </cell>
          <cell r="C116" t="str">
            <v>D&amp;A</v>
          </cell>
          <cell r="E116">
            <v>34.511000000000003</v>
          </cell>
          <cell r="F116">
            <v>32.146000000000001</v>
          </cell>
          <cell r="G116">
            <v>31.913000000000004</v>
          </cell>
          <cell r="H116">
            <v>29.951999999999998</v>
          </cell>
          <cell r="I116">
            <v>31.067999999999998</v>
          </cell>
          <cell r="J116">
            <v>35.134999999999998</v>
          </cell>
          <cell r="K116">
            <v>39.435000000000002</v>
          </cell>
          <cell r="L116">
            <v>37.953000000000003</v>
          </cell>
          <cell r="M116">
            <v>33.771000000000001</v>
          </cell>
          <cell r="N116">
            <v>30.654000000000003</v>
          </cell>
          <cell r="O116">
            <v>31.593000000000004</v>
          </cell>
          <cell r="P116">
            <v>33.731999999999999</v>
          </cell>
        </row>
        <row r="117">
          <cell r="A117">
            <v>115</v>
          </cell>
          <cell r="C117" t="str">
            <v>Interest Expense</v>
          </cell>
          <cell r="E117">
            <v>36.084000000000003</v>
          </cell>
          <cell r="F117">
            <v>36.084000000000003</v>
          </cell>
          <cell r="G117">
            <v>36.084000000000003</v>
          </cell>
          <cell r="H117">
            <v>36.084000000000003</v>
          </cell>
          <cell r="I117">
            <v>36.084000000000003</v>
          </cell>
          <cell r="J117">
            <v>36.084000000000003</v>
          </cell>
          <cell r="K117">
            <v>36.084000000000003</v>
          </cell>
          <cell r="L117">
            <v>36.084000000000003</v>
          </cell>
          <cell r="M117">
            <v>36.084000000000003</v>
          </cell>
          <cell r="N117">
            <v>36.084000000000003</v>
          </cell>
          <cell r="O117">
            <v>36.084000000000003</v>
          </cell>
          <cell r="P117">
            <v>36.084000000000003</v>
          </cell>
        </row>
        <row r="118">
          <cell r="A118">
            <v>116</v>
          </cell>
          <cell r="C118" t="str">
            <v>Taxes</v>
          </cell>
          <cell r="E118">
            <v>26.55</v>
          </cell>
          <cell r="F118">
            <v>23.076000000000001</v>
          </cell>
          <cell r="G118">
            <v>20.864999999999998</v>
          </cell>
          <cell r="H118">
            <v>14.617000000000001</v>
          </cell>
          <cell r="I118">
            <v>13.077</v>
          </cell>
          <cell r="J118">
            <v>17.314</v>
          </cell>
          <cell r="K118">
            <v>27.03</v>
          </cell>
          <cell r="L118">
            <v>24.956</v>
          </cell>
          <cell r="M118">
            <v>16.66</v>
          </cell>
          <cell r="N118">
            <v>9.6920000000000002</v>
          </cell>
          <cell r="O118">
            <v>15.829000000000001</v>
          </cell>
          <cell r="P118">
            <v>22.117000000000001</v>
          </cell>
        </row>
        <row r="119">
          <cell r="A119">
            <v>117</v>
          </cell>
          <cell r="C119" t="str">
            <v>Preferred Stock Dividends</v>
          </cell>
          <cell r="E119">
            <v>0.76900000000000002</v>
          </cell>
          <cell r="F119">
            <v>0.76900000000000002</v>
          </cell>
          <cell r="G119">
            <v>0.76900000000000002</v>
          </cell>
          <cell r="H119">
            <v>0.76900000000000002</v>
          </cell>
          <cell r="I119">
            <v>0.76900000000000002</v>
          </cell>
          <cell r="J119">
            <v>0.76900000000000002</v>
          </cell>
          <cell r="K119">
            <v>0.76900000000000002</v>
          </cell>
          <cell r="L119">
            <v>0.76900000000000002</v>
          </cell>
          <cell r="M119">
            <v>0.76900000000000002</v>
          </cell>
          <cell r="N119">
            <v>0.76900000000000002</v>
          </cell>
          <cell r="O119">
            <v>0.76900000000000002</v>
          </cell>
          <cell r="P119">
            <v>0.76900000000000002</v>
          </cell>
        </row>
        <row r="120">
          <cell r="A120">
            <v>118</v>
          </cell>
          <cell r="C120" t="str">
            <v>Net Income</v>
          </cell>
          <cell r="E120">
            <v>42.553166999999995</v>
          </cell>
          <cell r="F120">
            <v>36.88516700000001</v>
          </cell>
          <cell r="G120">
            <v>33.278166999999989</v>
          </cell>
          <cell r="H120">
            <v>23.083167</v>
          </cell>
          <cell r="I120">
            <v>20.571167000000038</v>
          </cell>
          <cell r="J120">
            <v>27.484167000000028</v>
          </cell>
          <cell r="K120">
            <v>43.337167000000044</v>
          </cell>
          <cell r="L120">
            <v>39.953167000000015</v>
          </cell>
          <cell r="M120">
            <v>26.416166999999991</v>
          </cell>
          <cell r="N120">
            <v>15.048166999999998</v>
          </cell>
          <cell r="O120">
            <v>25.061167000000026</v>
          </cell>
          <cell r="P120">
            <v>35.321166999999996</v>
          </cell>
        </row>
        <row r="121">
          <cell r="A121">
            <v>119</v>
          </cell>
          <cell r="C121" t="str">
            <v>EPS</v>
          </cell>
          <cell r="E121">
            <v>0.13381499056603771</v>
          </cell>
          <cell r="F121">
            <v>0.11599109119496857</v>
          </cell>
          <cell r="G121">
            <v>0.10464832389937104</v>
          </cell>
          <cell r="H121">
            <v>7.2588575471698114E-2</v>
          </cell>
          <cell r="I121">
            <v>6.468920440251584E-2</v>
          </cell>
          <cell r="J121">
            <v>8.6428198113207635E-2</v>
          </cell>
          <cell r="K121">
            <v>0.13628039937106931</v>
          </cell>
          <cell r="L121">
            <v>0.12563888993710698</v>
          </cell>
          <cell r="M121">
            <v>8.3069707547169788E-2</v>
          </cell>
          <cell r="N121">
            <v>4.7321279874213834E-2</v>
          </cell>
          <cell r="O121">
            <v>7.8808701257861713E-2</v>
          </cell>
          <cell r="P121">
            <v>0.11107285220125784</v>
          </cell>
        </row>
        <row r="122">
          <cell r="A122">
            <v>120</v>
          </cell>
        </row>
        <row r="123">
          <cell r="A123">
            <v>121</v>
          </cell>
          <cell r="C123" t="str">
            <v>QTD</v>
          </cell>
        </row>
        <row r="124">
          <cell r="A124">
            <v>122</v>
          </cell>
          <cell r="C124" t="str">
            <v xml:space="preserve">Revenues </v>
          </cell>
          <cell r="E124">
            <v>360.439187</v>
          </cell>
          <cell r="F124">
            <v>688.566374</v>
          </cell>
          <cell r="G124">
            <v>1003.4466219999999</v>
          </cell>
          <cell r="H124">
            <v>268.54424799999998</v>
          </cell>
          <cell r="I124">
            <v>521.13649600000008</v>
          </cell>
          <cell r="J124">
            <v>800.29874400000017</v>
          </cell>
          <cell r="K124">
            <v>329.47524800000002</v>
          </cell>
          <cell r="L124">
            <v>643.66341499999999</v>
          </cell>
          <cell r="M124">
            <v>908.65858200000002</v>
          </cell>
          <cell r="N124">
            <v>241.535167</v>
          </cell>
          <cell r="O124">
            <v>513.84333400000003</v>
          </cell>
          <cell r="P124">
            <v>830.95550100000003</v>
          </cell>
        </row>
        <row r="125">
          <cell r="A125">
            <v>123</v>
          </cell>
          <cell r="C125" t="str">
            <v xml:space="preserve">Purchased Power/Fuel/GRT </v>
          </cell>
          <cell r="E125">
            <v>167.20399999999998</v>
          </cell>
          <cell r="F125">
            <v>319.33199999999999</v>
          </cell>
          <cell r="G125">
            <v>462.93700000000001</v>
          </cell>
          <cell r="H125">
            <v>117.68</v>
          </cell>
          <cell r="I125">
            <v>222.49099999999999</v>
          </cell>
          <cell r="J125">
            <v>334.46600000000001</v>
          </cell>
          <cell r="K125">
            <v>133.268</v>
          </cell>
          <cell r="L125">
            <v>257.27100000000002</v>
          </cell>
          <cell r="M125">
            <v>359.58699999999999</v>
          </cell>
          <cell r="N125">
            <v>97.83</v>
          </cell>
          <cell r="O125">
            <v>213.99299999999999</v>
          </cell>
          <cell r="P125">
            <v>353.65899999999999</v>
          </cell>
        </row>
        <row r="126">
          <cell r="A126">
            <v>124</v>
          </cell>
          <cell r="C126" t="str">
            <v>Direct Expenses</v>
          </cell>
          <cell r="E126">
            <v>11.564</v>
          </cell>
          <cell r="F126">
            <v>22.756</v>
          </cell>
          <cell r="G126">
            <v>34.578000000000003</v>
          </cell>
          <cell r="H126">
            <v>11.262</v>
          </cell>
          <cell r="I126">
            <v>22.338999999999999</v>
          </cell>
          <cell r="J126">
            <v>32.914999999999999</v>
          </cell>
          <cell r="K126">
            <v>10.715</v>
          </cell>
          <cell r="L126">
            <v>21.637</v>
          </cell>
          <cell r="M126">
            <v>32.11</v>
          </cell>
          <cell r="N126">
            <v>10.901</v>
          </cell>
          <cell r="O126">
            <v>22.163</v>
          </cell>
          <cell r="P126">
            <v>33.091000000000001</v>
          </cell>
        </row>
        <row r="127">
          <cell r="A127">
            <v>125</v>
          </cell>
          <cell r="C127" t="str">
            <v>Indirect Expenses</v>
          </cell>
          <cell r="E127">
            <v>7.633</v>
          </cell>
          <cell r="F127">
            <v>14.96</v>
          </cell>
          <cell r="G127">
            <v>23.163</v>
          </cell>
          <cell r="H127">
            <v>7.782</v>
          </cell>
          <cell r="I127">
            <v>15.323</v>
          </cell>
          <cell r="J127">
            <v>22.920999999999999</v>
          </cell>
          <cell r="K127">
            <v>7.5330000000000004</v>
          </cell>
          <cell r="L127">
            <v>15.536999999999999</v>
          </cell>
          <cell r="M127">
            <v>23.074999999999999</v>
          </cell>
          <cell r="N127">
            <v>9.1609999999999996</v>
          </cell>
          <cell r="O127">
            <v>16.704999999999998</v>
          </cell>
          <cell r="P127">
            <v>24.290999999999997</v>
          </cell>
        </row>
        <row r="128">
          <cell r="A128">
            <v>126</v>
          </cell>
          <cell r="C128" t="str">
            <v>SG &amp;A</v>
          </cell>
          <cell r="E128">
            <v>23.55602</v>
          </cell>
          <cell r="F128">
            <v>42.118039999999993</v>
          </cell>
          <cell r="G128">
            <v>60.217120999999992</v>
          </cell>
          <cell r="H128">
            <v>17.332080999999999</v>
          </cell>
          <cell r="I128">
            <v>34.903161999999995</v>
          </cell>
          <cell r="J128">
            <v>56.896242999999998</v>
          </cell>
          <cell r="K128">
            <v>21.280080999999999</v>
          </cell>
          <cell r="L128">
            <v>42.777080999999995</v>
          </cell>
          <cell r="M128">
            <v>63.526080999999991</v>
          </cell>
          <cell r="N128">
            <v>21.39</v>
          </cell>
          <cell r="O128">
            <v>39.402999999999999</v>
          </cell>
          <cell r="P128">
            <v>60.114999999999995</v>
          </cell>
        </row>
        <row r="129">
          <cell r="A129">
            <v>127</v>
          </cell>
          <cell r="C129" t="str">
            <v>BSC</v>
          </cell>
          <cell r="E129">
            <v>4.0720000000000001</v>
          </cell>
          <cell r="F129">
            <v>8.141</v>
          </cell>
          <cell r="G129">
            <v>12.408999999999999</v>
          </cell>
          <cell r="H129">
            <v>4.0640000000000001</v>
          </cell>
          <cell r="I129">
            <v>8.1269999999999989</v>
          </cell>
          <cell r="J129">
            <v>12.388999999999999</v>
          </cell>
          <cell r="K129">
            <v>4.0739999999999998</v>
          </cell>
          <cell r="L129">
            <v>8.1470000000000002</v>
          </cell>
          <cell r="M129">
            <v>12.419</v>
          </cell>
          <cell r="N129">
            <v>4.048</v>
          </cell>
          <cell r="O129">
            <v>8.0970000000000013</v>
          </cell>
          <cell r="P129">
            <v>12.351000000000001</v>
          </cell>
        </row>
        <row r="130">
          <cell r="A130">
            <v>128</v>
          </cell>
          <cell r="C130" t="str">
            <v>Corp Center Allocation</v>
          </cell>
          <cell r="E130">
            <v>2.367</v>
          </cell>
          <cell r="F130">
            <v>4.734</v>
          </cell>
          <cell r="G130">
            <v>7.101</v>
          </cell>
          <cell r="H130">
            <v>2.367</v>
          </cell>
          <cell r="I130">
            <v>4.734</v>
          </cell>
          <cell r="J130">
            <v>7.101</v>
          </cell>
          <cell r="K130">
            <v>2.367</v>
          </cell>
          <cell r="L130">
            <v>4.734</v>
          </cell>
          <cell r="M130">
            <v>7.101</v>
          </cell>
          <cell r="N130">
            <v>2.367</v>
          </cell>
          <cell r="O130">
            <v>4.734</v>
          </cell>
          <cell r="P130">
            <v>7.101</v>
          </cell>
        </row>
        <row r="131">
          <cell r="A131">
            <v>129</v>
          </cell>
          <cell r="C131" t="str">
            <v>Earnings from Invest.Equity(enter income as neg)</v>
          </cell>
          <cell r="E131">
            <v>0</v>
          </cell>
          <cell r="F131">
            <v>0</v>
          </cell>
          <cell r="G131">
            <v>0</v>
          </cell>
          <cell r="H131">
            <v>0</v>
          </cell>
          <cell r="I131">
            <v>0</v>
          </cell>
          <cell r="J131">
            <v>0</v>
          </cell>
          <cell r="K131">
            <v>0</v>
          </cell>
          <cell r="L131">
            <v>0</v>
          </cell>
          <cell r="M131">
            <v>0</v>
          </cell>
          <cell r="N131">
            <v>0</v>
          </cell>
          <cell r="O131">
            <v>0</v>
          </cell>
          <cell r="P131">
            <v>0</v>
          </cell>
        </row>
        <row r="132">
          <cell r="A132">
            <v>130</v>
          </cell>
          <cell r="C132" t="str">
            <v>Loss/(Gain) on Assets Disposal</v>
          </cell>
          <cell r="E132">
            <v>0</v>
          </cell>
          <cell r="F132">
            <v>0</v>
          </cell>
          <cell r="G132">
            <v>0</v>
          </cell>
          <cell r="H132">
            <v>0</v>
          </cell>
          <cell r="I132">
            <v>0</v>
          </cell>
          <cell r="J132">
            <v>0</v>
          </cell>
          <cell r="K132">
            <v>0</v>
          </cell>
          <cell r="L132">
            <v>0</v>
          </cell>
          <cell r="M132">
            <v>0</v>
          </cell>
          <cell r="N132">
            <v>0</v>
          </cell>
          <cell r="O132">
            <v>0</v>
          </cell>
          <cell r="P132">
            <v>0</v>
          </cell>
        </row>
        <row r="133">
          <cell r="A133">
            <v>131</v>
          </cell>
          <cell r="C133" t="str">
            <v>Other Operating Expenses</v>
          </cell>
          <cell r="E133">
            <v>0</v>
          </cell>
          <cell r="F133">
            <v>0</v>
          </cell>
          <cell r="G133">
            <v>0</v>
          </cell>
          <cell r="H133">
            <v>0</v>
          </cell>
          <cell r="I133">
            <v>0</v>
          </cell>
          <cell r="J133">
            <v>0</v>
          </cell>
          <cell r="K133">
            <v>0</v>
          </cell>
          <cell r="L133">
            <v>0</v>
          </cell>
          <cell r="M133">
            <v>0</v>
          </cell>
          <cell r="N133">
            <v>0</v>
          </cell>
          <cell r="O133">
            <v>0</v>
          </cell>
          <cell r="P133">
            <v>0</v>
          </cell>
        </row>
        <row r="134">
          <cell r="A134">
            <v>132</v>
          </cell>
          <cell r="C134" t="str">
            <v>TOTI, Other Operating Income</v>
          </cell>
          <cell r="E134">
            <v>3.5760000000000001</v>
          </cell>
          <cell r="F134">
            <v>7.0979999999999999</v>
          </cell>
          <cell r="G134">
            <v>10.705</v>
          </cell>
          <cell r="H134">
            <v>3.552</v>
          </cell>
          <cell r="I134">
            <v>7.1449999999999996</v>
          </cell>
          <cell r="J134">
            <v>10.75</v>
          </cell>
          <cell r="K134">
            <v>3.5830000000000002</v>
          </cell>
          <cell r="L134">
            <v>7.19</v>
          </cell>
          <cell r="M134">
            <v>10.77</v>
          </cell>
          <cell r="N134">
            <v>3.5910000000000002</v>
          </cell>
          <cell r="O134">
            <v>7.165</v>
          </cell>
          <cell r="P134">
            <v>10.741</v>
          </cell>
        </row>
        <row r="135">
          <cell r="A135">
            <v>133</v>
          </cell>
          <cell r="C135" t="str">
            <v>Total O&amp;M, Other</v>
          </cell>
          <cell r="E135">
            <v>52.76802</v>
          </cell>
          <cell r="F135">
            <v>99.807039999999986</v>
          </cell>
          <cell r="G135">
            <v>148.17312100000001</v>
          </cell>
          <cell r="H135">
            <v>46.359080999999996</v>
          </cell>
          <cell r="I135">
            <v>92.571161999999973</v>
          </cell>
          <cell r="J135">
            <v>142.97224299999999</v>
          </cell>
          <cell r="K135">
            <v>49.552080999999994</v>
          </cell>
          <cell r="L135">
            <v>100.02208099999999</v>
          </cell>
          <cell r="M135">
            <v>149.001081</v>
          </cell>
          <cell r="N135">
            <v>51.457999999999998</v>
          </cell>
          <cell r="O135">
            <v>98.266999999999996</v>
          </cell>
          <cell r="P135">
            <v>147.69</v>
          </cell>
        </row>
        <row r="136">
          <cell r="A136">
            <v>134</v>
          </cell>
          <cell r="C136" t="str">
            <v>D&amp;A</v>
          </cell>
          <cell r="E136">
            <v>34.511000000000003</v>
          </cell>
          <cell r="F136">
            <v>66.657000000000011</v>
          </cell>
          <cell r="G136">
            <v>98.570000000000022</v>
          </cell>
          <cell r="H136">
            <v>29.951999999999998</v>
          </cell>
          <cell r="I136">
            <v>61.019999999999996</v>
          </cell>
          <cell r="J136">
            <v>96.155000000000001</v>
          </cell>
          <cell r="K136">
            <v>39.435000000000002</v>
          </cell>
          <cell r="L136">
            <v>77.388000000000005</v>
          </cell>
          <cell r="M136">
            <v>111.15900000000001</v>
          </cell>
          <cell r="N136">
            <v>30.654000000000003</v>
          </cell>
          <cell r="O136">
            <v>62.247000000000007</v>
          </cell>
          <cell r="P136">
            <v>95.979000000000013</v>
          </cell>
        </row>
        <row r="137">
          <cell r="A137">
            <v>135</v>
          </cell>
          <cell r="C137" t="str">
            <v>Net Income</v>
          </cell>
          <cell r="E137">
            <v>42.553166999999995</v>
          </cell>
          <cell r="F137">
            <v>79.438333999999998</v>
          </cell>
          <cell r="G137">
            <v>112.71650099999999</v>
          </cell>
          <cell r="H137">
            <v>23.083167</v>
          </cell>
          <cell r="I137">
            <v>43.654334000000034</v>
          </cell>
          <cell r="J137">
            <v>71.138501000000062</v>
          </cell>
          <cell r="K137">
            <v>43.337167000000044</v>
          </cell>
          <cell r="L137">
            <v>83.290334000000058</v>
          </cell>
          <cell r="M137">
            <v>109.70650100000005</v>
          </cell>
          <cell r="N137">
            <v>15.048166999999998</v>
          </cell>
          <cell r="O137">
            <v>40.109334000000025</v>
          </cell>
          <cell r="P137">
            <v>75.430501000000021</v>
          </cell>
        </row>
        <row r="138">
          <cell r="A138">
            <v>136</v>
          </cell>
          <cell r="C138" t="str">
            <v>EPS</v>
          </cell>
          <cell r="E138">
            <v>0.13381499056603771</v>
          </cell>
          <cell r="F138">
            <v>0.24980608176100627</v>
          </cell>
          <cell r="G138">
            <v>0.35445440566037734</v>
          </cell>
          <cell r="H138">
            <v>7.2588575471698114E-2</v>
          </cell>
          <cell r="I138">
            <v>0.13727777987421397</v>
          </cell>
          <cell r="J138">
            <v>0.22370597798742159</v>
          </cell>
          <cell r="K138">
            <v>0.13628039937106931</v>
          </cell>
          <cell r="L138">
            <v>0.26191928930817632</v>
          </cell>
          <cell r="M138">
            <v>0.34498899685534612</v>
          </cell>
          <cell r="N138">
            <v>4.7321279874213834E-2</v>
          </cell>
          <cell r="O138">
            <v>0.12612998113207555</v>
          </cell>
          <cell r="P138">
            <v>0.23720283333333339</v>
          </cell>
        </row>
        <row r="139">
          <cell r="A139">
            <v>137</v>
          </cell>
        </row>
        <row r="140">
          <cell r="A140">
            <v>138</v>
          </cell>
          <cell r="C140" t="str">
            <v>YTD</v>
          </cell>
        </row>
        <row r="141">
          <cell r="A141">
            <v>139</v>
          </cell>
          <cell r="C141" t="str">
            <v xml:space="preserve">Revenues </v>
          </cell>
          <cell r="E141">
            <v>360.439187</v>
          </cell>
          <cell r="F141">
            <v>688.566374</v>
          </cell>
          <cell r="G141">
            <v>1003.4466219999999</v>
          </cell>
          <cell r="H141">
            <v>1271.9908699999999</v>
          </cell>
          <cell r="I141">
            <v>1524.583118</v>
          </cell>
          <cell r="J141">
            <v>1803.7453660000001</v>
          </cell>
          <cell r="K141">
            <v>2133.2206140000003</v>
          </cell>
          <cell r="L141">
            <v>2447.4087810000001</v>
          </cell>
          <cell r="M141">
            <v>2712.4039480000001</v>
          </cell>
          <cell r="N141">
            <v>2953.9391150000001</v>
          </cell>
          <cell r="O141">
            <v>3226.2472820000003</v>
          </cell>
          <cell r="P141">
            <v>3543.3594490000005</v>
          </cell>
        </row>
        <row r="142">
          <cell r="A142">
            <v>140</v>
          </cell>
          <cell r="C142" t="str">
            <v xml:space="preserve">Purchased Power/Fuel/GRT </v>
          </cell>
          <cell r="E142">
            <v>167.20399999999998</v>
          </cell>
          <cell r="F142">
            <v>319.33199999999999</v>
          </cell>
          <cell r="G142">
            <v>462.93700000000001</v>
          </cell>
          <cell r="H142">
            <v>580.61699999999996</v>
          </cell>
          <cell r="I142">
            <v>685.428</v>
          </cell>
          <cell r="J142">
            <v>797.40300000000002</v>
          </cell>
          <cell r="K142">
            <v>930.67100000000005</v>
          </cell>
          <cell r="L142">
            <v>1054.674</v>
          </cell>
          <cell r="M142">
            <v>1156.99</v>
          </cell>
          <cell r="N142">
            <v>1254.82</v>
          </cell>
          <cell r="O142">
            <v>1370.9829999999999</v>
          </cell>
          <cell r="P142">
            <v>1510.6489999999999</v>
          </cell>
        </row>
        <row r="143">
          <cell r="A143">
            <v>141</v>
          </cell>
          <cell r="C143" t="str">
            <v>Direct Expenses</v>
          </cell>
          <cell r="E143">
            <v>11.564</v>
          </cell>
          <cell r="F143">
            <v>22.756</v>
          </cell>
          <cell r="G143">
            <v>34.578000000000003</v>
          </cell>
          <cell r="H143">
            <v>45.84</v>
          </cell>
          <cell r="I143">
            <v>56.917000000000002</v>
          </cell>
          <cell r="J143">
            <v>67.492999999999995</v>
          </cell>
          <cell r="K143">
            <v>78.207999999999998</v>
          </cell>
          <cell r="L143">
            <v>89.13</v>
          </cell>
          <cell r="M143">
            <v>99.602999999999994</v>
          </cell>
          <cell r="N143">
            <v>110.50399999999999</v>
          </cell>
          <cell r="O143">
            <v>121.76599999999999</v>
          </cell>
          <cell r="P143">
            <v>132.69399999999999</v>
          </cell>
        </row>
        <row r="144">
          <cell r="A144">
            <v>142</v>
          </cell>
          <cell r="C144" t="str">
            <v>Indirect Expenses</v>
          </cell>
          <cell r="E144">
            <v>7.633</v>
          </cell>
          <cell r="F144">
            <v>14.96</v>
          </cell>
          <cell r="G144">
            <v>23.163</v>
          </cell>
          <cell r="H144">
            <v>30.945</v>
          </cell>
          <cell r="I144">
            <v>38.486000000000004</v>
          </cell>
          <cell r="J144">
            <v>46.084000000000003</v>
          </cell>
          <cell r="K144">
            <v>53.617000000000004</v>
          </cell>
          <cell r="L144">
            <v>61.621000000000002</v>
          </cell>
          <cell r="M144">
            <v>69.159000000000006</v>
          </cell>
          <cell r="N144">
            <v>78.320000000000007</v>
          </cell>
          <cell r="O144">
            <v>85.864000000000004</v>
          </cell>
          <cell r="P144">
            <v>93.45</v>
          </cell>
        </row>
        <row r="145">
          <cell r="A145">
            <v>143</v>
          </cell>
          <cell r="C145" t="str">
            <v>SG &amp;A</v>
          </cell>
          <cell r="E145">
            <v>23.55602</v>
          </cell>
          <cell r="F145">
            <v>42.118039999999993</v>
          </cell>
          <cell r="G145">
            <v>60.217120999999992</v>
          </cell>
          <cell r="H145">
            <v>77.549201999999994</v>
          </cell>
          <cell r="I145">
            <v>95.120283000000001</v>
          </cell>
          <cell r="J145">
            <v>117.113364</v>
          </cell>
          <cell r="K145">
            <v>138.39344500000001</v>
          </cell>
          <cell r="L145">
            <v>159.890445</v>
          </cell>
          <cell r="M145">
            <v>180.63944499999999</v>
          </cell>
          <cell r="N145">
            <v>202.02944500000001</v>
          </cell>
          <cell r="O145">
            <v>220.04244500000001</v>
          </cell>
          <cell r="P145">
            <v>240.754445</v>
          </cell>
        </row>
        <row r="146">
          <cell r="A146">
            <v>144</v>
          </cell>
          <cell r="C146" t="str">
            <v>BSC</v>
          </cell>
          <cell r="E146">
            <v>4.0720000000000001</v>
          </cell>
          <cell r="F146">
            <v>8.141</v>
          </cell>
          <cell r="G146">
            <v>12.408999999999999</v>
          </cell>
          <cell r="H146">
            <v>16.472999999999999</v>
          </cell>
          <cell r="I146">
            <v>20.535999999999998</v>
          </cell>
          <cell r="J146">
            <v>24.797999999999998</v>
          </cell>
          <cell r="K146">
            <v>28.872</v>
          </cell>
          <cell r="L146">
            <v>32.945</v>
          </cell>
          <cell r="M146">
            <v>37.216999999999999</v>
          </cell>
          <cell r="N146">
            <v>41.265000000000001</v>
          </cell>
          <cell r="O146">
            <v>45.314</v>
          </cell>
          <cell r="P146">
            <v>49.567999999999998</v>
          </cell>
        </row>
        <row r="147">
          <cell r="A147">
            <v>145</v>
          </cell>
          <cell r="C147" t="str">
            <v>Corp Center Allocation</v>
          </cell>
          <cell r="E147">
            <v>2.367</v>
          </cell>
          <cell r="F147">
            <v>4.734</v>
          </cell>
          <cell r="G147">
            <v>7.101</v>
          </cell>
          <cell r="H147">
            <v>9.468</v>
          </cell>
          <cell r="I147">
            <v>11.835000000000001</v>
          </cell>
          <cell r="J147">
            <v>14.202000000000002</v>
          </cell>
          <cell r="K147">
            <v>16.569000000000003</v>
          </cell>
          <cell r="L147">
            <v>18.936000000000003</v>
          </cell>
          <cell r="M147">
            <v>21.303000000000004</v>
          </cell>
          <cell r="N147">
            <v>23.670000000000005</v>
          </cell>
          <cell r="O147">
            <v>26.037000000000006</v>
          </cell>
          <cell r="P147">
            <v>28.404000000000007</v>
          </cell>
        </row>
        <row r="148">
          <cell r="A148">
            <v>146</v>
          </cell>
          <cell r="C148" t="str">
            <v>Earnings from Invest.Equity(enter income as neg)</v>
          </cell>
          <cell r="E148">
            <v>0</v>
          </cell>
          <cell r="F148">
            <v>0</v>
          </cell>
          <cell r="G148">
            <v>0</v>
          </cell>
          <cell r="H148">
            <v>0</v>
          </cell>
          <cell r="I148">
            <v>0</v>
          </cell>
          <cell r="J148">
            <v>0</v>
          </cell>
          <cell r="K148">
            <v>0</v>
          </cell>
          <cell r="L148">
            <v>0</v>
          </cell>
          <cell r="M148">
            <v>0</v>
          </cell>
          <cell r="N148">
            <v>0</v>
          </cell>
          <cell r="O148">
            <v>0</v>
          </cell>
          <cell r="P148">
            <v>0</v>
          </cell>
        </row>
        <row r="149">
          <cell r="A149">
            <v>147</v>
          </cell>
          <cell r="C149" t="str">
            <v>Loss/(Gain) on Assets Disposal</v>
          </cell>
          <cell r="E149">
            <v>0</v>
          </cell>
          <cell r="F149">
            <v>0</v>
          </cell>
          <cell r="G149">
            <v>0</v>
          </cell>
          <cell r="H149">
            <v>0</v>
          </cell>
          <cell r="I149">
            <v>0</v>
          </cell>
          <cell r="J149">
            <v>0</v>
          </cell>
          <cell r="K149">
            <v>0</v>
          </cell>
          <cell r="L149">
            <v>0</v>
          </cell>
          <cell r="M149">
            <v>0</v>
          </cell>
          <cell r="N149">
            <v>0</v>
          </cell>
          <cell r="O149">
            <v>0</v>
          </cell>
          <cell r="P149">
            <v>0</v>
          </cell>
        </row>
        <row r="150">
          <cell r="A150">
            <v>148</v>
          </cell>
          <cell r="C150" t="str">
            <v>Other Operating Expenses</v>
          </cell>
          <cell r="E150">
            <v>0</v>
          </cell>
          <cell r="F150">
            <v>0</v>
          </cell>
          <cell r="G150">
            <v>0</v>
          </cell>
          <cell r="H150">
            <v>0</v>
          </cell>
          <cell r="I150">
            <v>0</v>
          </cell>
          <cell r="J150">
            <v>0</v>
          </cell>
          <cell r="K150">
            <v>0</v>
          </cell>
          <cell r="L150">
            <v>0</v>
          </cell>
          <cell r="M150">
            <v>0</v>
          </cell>
          <cell r="N150">
            <v>0</v>
          </cell>
          <cell r="O150">
            <v>0</v>
          </cell>
          <cell r="P150">
            <v>0</v>
          </cell>
        </row>
        <row r="151">
          <cell r="A151">
            <v>149</v>
          </cell>
          <cell r="C151" t="str">
            <v>TOTI, Other Operating Income</v>
          </cell>
          <cell r="E151">
            <v>3.5760000000000001</v>
          </cell>
          <cell r="F151">
            <v>7.0979999999999999</v>
          </cell>
          <cell r="G151">
            <v>10.705</v>
          </cell>
          <cell r="H151">
            <v>14.257</v>
          </cell>
          <cell r="I151">
            <v>17.850000000000001</v>
          </cell>
          <cell r="J151">
            <v>21.455000000000002</v>
          </cell>
          <cell r="K151">
            <v>25.038000000000004</v>
          </cell>
          <cell r="L151">
            <v>28.645000000000003</v>
          </cell>
          <cell r="M151">
            <v>32.225000000000001</v>
          </cell>
          <cell r="N151">
            <v>35.816000000000003</v>
          </cell>
          <cell r="O151">
            <v>39.39</v>
          </cell>
          <cell r="P151">
            <v>42.966000000000001</v>
          </cell>
        </row>
        <row r="152">
          <cell r="A152">
            <v>150</v>
          </cell>
          <cell r="C152" t="str">
            <v>Total O&amp;M, Other</v>
          </cell>
          <cell r="E152">
            <v>52.76802</v>
          </cell>
          <cell r="F152">
            <v>99.807039999999986</v>
          </cell>
          <cell r="G152">
            <v>148.17312100000001</v>
          </cell>
          <cell r="H152">
            <v>194.53220200000001</v>
          </cell>
          <cell r="I152">
            <v>240.744283</v>
          </cell>
          <cell r="J152">
            <v>291.14536399999997</v>
          </cell>
          <cell r="K152">
            <v>340.69744500000002</v>
          </cell>
          <cell r="L152">
            <v>391.16744499999993</v>
          </cell>
          <cell r="M152">
            <v>440.14644499999997</v>
          </cell>
          <cell r="N152">
            <v>491.60444500000006</v>
          </cell>
          <cell r="O152">
            <v>538.41344500000002</v>
          </cell>
          <cell r="P152">
            <v>587.83644500000003</v>
          </cell>
        </row>
        <row r="153">
          <cell r="A153">
            <v>151</v>
          </cell>
          <cell r="C153" t="str">
            <v>D&amp;A</v>
          </cell>
          <cell r="E153">
            <v>34.511000000000003</v>
          </cell>
          <cell r="F153">
            <v>66.657000000000011</v>
          </cell>
          <cell r="G153">
            <v>98.570000000000022</v>
          </cell>
          <cell r="H153">
            <v>128.52200000000002</v>
          </cell>
          <cell r="I153">
            <v>159.59000000000003</v>
          </cell>
          <cell r="J153">
            <v>194.72500000000002</v>
          </cell>
          <cell r="K153">
            <v>234.16000000000003</v>
          </cell>
          <cell r="L153">
            <v>272.11300000000006</v>
          </cell>
          <cell r="M153">
            <v>305.88400000000007</v>
          </cell>
          <cell r="N153">
            <v>336.53800000000007</v>
          </cell>
          <cell r="O153">
            <v>368.13100000000009</v>
          </cell>
          <cell r="P153">
            <v>401.86300000000006</v>
          </cell>
        </row>
        <row r="154">
          <cell r="A154">
            <v>152</v>
          </cell>
          <cell r="C154" t="str">
            <v>Interest Expense</v>
          </cell>
          <cell r="E154">
            <v>36.084000000000003</v>
          </cell>
          <cell r="F154">
            <v>72.168000000000006</v>
          </cell>
          <cell r="G154">
            <v>108.25200000000001</v>
          </cell>
          <cell r="H154">
            <v>144.33600000000001</v>
          </cell>
          <cell r="I154">
            <v>180.42000000000002</v>
          </cell>
          <cell r="J154">
            <v>216.50400000000002</v>
          </cell>
          <cell r="K154">
            <v>252.58800000000002</v>
          </cell>
          <cell r="L154">
            <v>288.67200000000003</v>
          </cell>
          <cell r="M154">
            <v>324.75600000000003</v>
          </cell>
          <cell r="N154">
            <v>360.84000000000003</v>
          </cell>
          <cell r="O154">
            <v>396.92400000000004</v>
          </cell>
          <cell r="P154">
            <v>433.00800000000004</v>
          </cell>
        </row>
        <row r="155">
          <cell r="A155">
            <v>153</v>
          </cell>
          <cell r="C155" t="str">
            <v>Taxes</v>
          </cell>
          <cell r="E155">
            <v>26.55</v>
          </cell>
          <cell r="F155">
            <v>49.626000000000005</v>
          </cell>
          <cell r="G155">
            <v>70.491</v>
          </cell>
          <cell r="H155">
            <v>85.108000000000004</v>
          </cell>
          <cell r="I155">
            <v>98.185000000000002</v>
          </cell>
          <cell r="J155">
            <v>115.499</v>
          </cell>
          <cell r="K155">
            <v>142.529</v>
          </cell>
          <cell r="L155">
            <v>167.48499999999999</v>
          </cell>
          <cell r="M155">
            <v>184.14499999999998</v>
          </cell>
          <cell r="N155">
            <v>193.83699999999999</v>
          </cell>
          <cell r="O155">
            <v>209.666</v>
          </cell>
          <cell r="P155">
            <v>231.78299999999999</v>
          </cell>
        </row>
        <row r="156">
          <cell r="A156">
            <v>154</v>
          </cell>
          <cell r="C156" t="str">
            <v>Preferred Stock Dividends</v>
          </cell>
          <cell r="E156">
            <v>0.76900000000000002</v>
          </cell>
          <cell r="F156">
            <v>1.538</v>
          </cell>
          <cell r="G156">
            <v>2.3069999999999999</v>
          </cell>
          <cell r="H156">
            <v>3.0760000000000001</v>
          </cell>
          <cell r="I156">
            <v>3.8450000000000002</v>
          </cell>
          <cell r="J156">
            <v>4.6139999999999999</v>
          </cell>
          <cell r="K156">
            <v>5.383</v>
          </cell>
          <cell r="L156">
            <v>6.1520000000000001</v>
          </cell>
          <cell r="M156">
            <v>6.9210000000000003</v>
          </cell>
          <cell r="N156">
            <v>7.69</v>
          </cell>
          <cell r="O156">
            <v>8.4589999999999996</v>
          </cell>
          <cell r="P156">
            <v>9.2279999999999998</v>
          </cell>
        </row>
        <row r="157">
          <cell r="A157">
            <v>155</v>
          </cell>
          <cell r="C157" t="str">
            <v>Net Income</v>
          </cell>
          <cell r="E157">
            <v>42.553166999999995</v>
          </cell>
          <cell r="F157">
            <v>79.438333999999998</v>
          </cell>
          <cell r="G157">
            <v>112.71650099999999</v>
          </cell>
          <cell r="H157">
            <v>135.799668</v>
          </cell>
          <cell r="I157">
            <v>156.37083500000003</v>
          </cell>
          <cell r="J157">
            <v>183.85500200000007</v>
          </cell>
          <cell r="K157">
            <v>227.19216900000012</v>
          </cell>
          <cell r="L157">
            <v>267.14533600000016</v>
          </cell>
          <cell r="M157">
            <v>293.56150300000013</v>
          </cell>
          <cell r="N157">
            <v>308.60967000000011</v>
          </cell>
          <cell r="O157">
            <v>333.67083700000012</v>
          </cell>
          <cell r="P157">
            <v>368.99200400000012</v>
          </cell>
        </row>
        <row r="158">
          <cell r="A158">
            <v>156</v>
          </cell>
          <cell r="C158" t="str">
            <v>EPS</v>
          </cell>
          <cell r="E158">
            <v>0.13381499056603771</v>
          </cell>
          <cell r="F158">
            <v>0.24980608176100627</v>
          </cell>
          <cell r="G158">
            <v>0.35445440566037734</v>
          </cell>
          <cell r="H158">
            <v>0.42704298113207545</v>
          </cell>
          <cell r="I158">
            <v>0.4917321855345913</v>
          </cell>
          <cell r="J158">
            <v>0.57816038364779898</v>
          </cell>
          <cell r="K158">
            <v>0.71444078301886826</v>
          </cell>
          <cell r="L158">
            <v>0.84007967295597519</v>
          </cell>
          <cell r="M158">
            <v>0.92314938050314499</v>
          </cell>
          <cell r="N158">
            <v>0.97047066037735885</v>
          </cell>
          <cell r="O158">
            <v>1.0492793616352205</v>
          </cell>
          <cell r="P158">
            <v>1.1603522138364784</v>
          </cell>
        </row>
        <row r="159">
          <cell r="A159">
            <v>157</v>
          </cell>
        </row>
        <row r="160">
          <cell r="A160">
            <v>158</v>
          </cell>
          <cell r="B160" t="str">
            <v>LE Calculations</v>
          </cell>
        </row>
        <row r="161">
          <cell r="A161">
            <v>159</v>
          </cell>
          <cell r="C161" t="str">
            <v>YTD Sales &amp; Delivery Volumes</v>
          </cell>
        </row>
        <row r="162">
          <cell r="A162">
            <v>160</v>
          </cell>
          <cell r="C162" t="str">
            <v>3-9 LE Delivery</v>
          </cell>
          <cell r="E162">
            <v>3168.4965740000002</v>
          </cell>
          <cell r="F162">
            <v>5919.0495030000002</v>
          </cell>
          <cell r="G162">
            <v>8823.1720440000008</v>
          </cell>
          <cell r="H162">
            <v>11354.874483760605</v>
          </cell>
          <cell r="I162">
            <v>14015.949267577973</v>
          </cell>
          <cell r="J162">
            <v>16967.701839557933</v>
          </cell>
          <cell r="K162">
            <v>20423.98519497463</v>
          </cell>
          <cell r="L162">
            <v>23741.501297071438</v>
          </cell>
          <cell r="M162">
            <v>26545.75856270935</v>
          </cell>
          <cell r="N162">
            <v>29196.745888888199</v>
          </cell>
          <cell r="O162">
            <v>31903.966103569361</v>
          </cell>
          <cell r="P162">
            <v>34975.324352729927</v>
          </cell>
        </row>
        <row r="163">
          <cell r="A163">
            <v>161</v>
          </cell>
          <cell r="C163" t="str">
            <v>6-6 LE Delivery</v>
          </cell>
          <cell r="E163">
            <v>3168.4965740000002</v>
          </cell>
          <cell r="F163">
            <v>5919.0495030000002</v>
          </cell>
          <cell r="G163">
            <v>8823.1720440000008</v>
          </cell>
          <cell r="H163">
            <v>11418.346059000001</v>
          </cell>
          <cell r="I163">
            <v>14135.039027000001</v>
          </cell>
          <cell r="J163">
            <v>17289.744119000003</v>
          </cell>
          <cell r="K163">
            <v>20788.362993604958</v>
          </cell>
          <cell r="L163">
            <v>24144.81212763389</v>
          </cell>
          <cell r="M163">
            <v>26979.971041688124</v>
          </cell>
          <cell r="N163">
            <v>29658.875667869044</v>
          </cell>
          <cell r="O163">
            <v>32390.852213621383</v>
          </cell>
          <cell r="P163">
            <v>35483.991118784892</v>
          </cell>
        </row>
        <row r="164">
          <cell r="A164">
            <v>162</v>
          </cell>
          <cell r="C164" t="str">
            <v>7-5 LE Delivery</v>
          </cell>
          <cell r="E164">
            <v>0</v>
          </cell>
          <cell r="F164">
            <v>0</v>
          </cell>
          <cell r="G164">
            <v>0</v>
          </cell>
          <cell r="H164">
            <v>0</v>
          </cell>
          <cell r="I164">
            <v>0</v>
          </cell>
          <cell r="J164">
            <v>0</v>
          </cell>
          <cell r="K164">
            <v>0</v>
          </cell>
          <cell r="L164">
            <v>0</v>
          </cell>
          <cell r="M164">
            <v>0</v>
          </cell>
          <cell r="N164">
            <v>0</v>
          </cell>
          <cell r="O164">
            <v>0</v>
          </cell>
          <cell r="P164">
            <v>0</v>
          </cell>
        </row>
        <row r="165">
          <cell r="A165">
            <v>163</v>
          </cell>
        </row>
        <row r="166">
          <cell r="A166">
            <v>164</v>
          </cell>
          <cell r="C166" t="str">
            <v>3-9 LE Sales</v>
          </cell>
          <cell r="E166">
            <v>2138.7043069999995</v>
          </cell>
          <cell r="F166">
            <v>4086.5385009999991</v>
          </cell>
          <cell r="G166">
            <v>6209.6767649999992</v>
          </cell>
          <cell r="H166">
            <v>7868.3534282151377</v>
          </cell>
          <cell r="I166">
            <v>9954.297632944621</v>
          </cell>
          <cell r="J166">
            <v>12668.131519405651</v>
          </cell>
          <cell r="K166">
            <v>15820.039475897815</v>
          </cell>
          <cell r="L166">
            <v>18842.779526874438</v>
          </cell>
          <cell r="M166">
            <v>21411.759758891167</v>
          </cell>
          <cell r="N166">
            <v>23857.874757668105</v>
          </cell>
          <cell r="O166">
            <v>26342.156889226731</v>
          </cell>
          <cell r="P166">
            <v>29148.062195653663</v>
          </cell>
        </row>
        <row r="167">
          <cell r="A167">
            <v>165</v>
          </cell>
          <cell r="C167" t="str">
            <v>6-6 LE Sales</v>
          </cell>
          <cell r="E167">
            <v>2138.7043069999995</v>
          </cell>
          <cell r="F167">
            <v>4086.5385009999991</v>
          </cell>
          <cell r="G167">
            <v>6209.6767649999992</v>
          </cell>
          <cell r="H167">
            <v>8007.0966759999992</v>
          </cell>
          <cell r="I167">
            <v>9951.6828219999989</v>
          </cell>
          <cell r="J167">
            <v>12570.442099</v>
          </cell>
          <cell r="K167">
            <v>15761.329431939537</v>
          </cell>
          <cell r="L167">
            <v>18819.708114839159</v>
          </cell>
          <cell r="M167">
            <v>21416.948175501977</v>
          </cell>
          <cell r="N167">
            <v>23888.83861054634</v>
          </cell>
          <cell r="O167">
            <v>26396.428021862914</v>
          </cell>
          <cell r="P167">
            <v>29223.615439816367</v>
          </cell>
        </row>
        <row r="168">
          <cell r="A168">
            <v>166</v>
          </cell>
          <cell r="C168" t="str">
            <v>7-5 LE Sales</v>
          </cell>
          <cell r="E168">
            <v>0</v>
          </cell>
          <cell r="F168">
            <v>0</v>
          </cell>
          <cell r="G168">
            <v>0</v>
          </cell>
          <cell r="H168">
            <v>0</v>
          </cell>
          <cell r="I168">
            <v>0</v>
          </cell>
          <cell r="J168">
            <v>0</v>
          </cell>
          <cell r="K168">
            <v>0</v>
          </cell>
          <cell r="L168">
            <v>0</v>
          </cell>
          <cell r="M168">
            <v>0</v>
          </cell>
          <cell r="N168">
            <v>0</v>
          </cell>
          <cell r="O168">
            <v>0</v>
          </cell>
          <cell r="P168">
            <v>0</v>
          </cell>
        </row>
        <row r="169">
          <cell r="A169">
            <v>167</v>
          </cell>
        </row>
        <row r="170">
          <cell r="A170">
            <v>168</v>
          </cell>
          <cell r="C170" t="str">
            <v>3-9 LE Gas</v>
          </cell>
          <cell r="E170">
            <v>11.112</v>
          </cell>
          <cell r="F170">
            <v>19.908000000000001</v>
          </cell>
          <cell r="G170">
            <v>28.270000000000003</v>
          </cell>
          <cell r="H170">
            <v>32.137</v>
          </cell>
          <cell r="I170">
            <v>34.323999999999998</v>
          </cell>
          <cell r="J170">
            <v>35.748999999999995</v>
          </cell>
          <cell r="K170">
            <v>37.031999999999996</v>
          </cell>
          <cell r="L170">
            <v>38.312999999999995</v>
          </cell>
          <cell r="M170">
            <v>39.875999999999998</v>
          </cell>
          <cell r="N170">
            <v>43.498999999999995</v>
          </cell>
          <cell r="O170">
            <v>49.974999999999994</v>
          </cell>
          <cell r="P170">
            <v>60.209999999999994</v>
          </cell>
        </row>
        <row r="171">
          <cell r="A171">
            <v>169</v>
          </cell>
          <cell r="C171" t="str">
            <v>6-6 LE Gas</v>
          </cell>
          <cell r="E171">
            <v>11.112</v>
          </cell>
          <cell r="F171">
            <v>19.908000000000001</v>
          </cell>
          <cell r="G171">
            <v>28.270000000000003</v>
          </cell>
          <cell r="H171">
            <v>32.137</v>
          </cell>
          <cell r="I171">
            <v>34.063000000000002</v>
          </cell>
          <cell r="J171">
            <v>35.468000000000004</v>
          </cell>
          <cell r="K171">
            <v>36.751000000000005</v>
          </cell>
          <cell r="L171">
            <v>38.032000000000004</v>
          </cell>
          <cell r="M171">
            <v>39.595000000000006</v>
          </cell>
          <cell r="N171">
            <v>43.218000000000004</v>
          </cell>
          <cell r="O171">
            <v>49.694000000000003</v>
          </cell>
          <cell r="P171">
            <v>59.929000000000002</v>
          </cell>
        </row>
        <row r="172">
          <cell r="A172">
            <v>170</v>
          </cell>
          <cell r="C172" t="str">
            <v>7-5 LE Gas</v>
          </cell>
          <cell r="E172">
            <v>0</v>
          </cell>
          <cell r="F172">
            <v>0</v>
          </cell>
          <cell r="G172">
            <v>0</v>
          </cell>
          <cell r="H172">
            <v>0</v>
          </cell>
          <cell r="I172">
            <v>0</v>
          </cell>
          <cell r="J172">
            <v>0</v>
          </cell>
          <cell r="K172">
            <v>0</v>
          </cell>
          <cell r="L172">
            <v>0</v>
          </cell>
          <cell r="M172">
            <v>0</v>
          </cell>
          <cell r="N172">
            <v>0</v>
          </cell>
          <cell r="O172">
            <v>0</v>
          </cell>
          <cell r="P172">
            <v>0</v>
          </cell>
        </row>
        <row r="173">
          <cell r="A173">
            <v>171</v>
          </cell>
        </row>
        <row r="174">
          <cell r="A174">
            <v>172</v>
          </cell>
          <cell r="C174" t="str">
            <v>QTD Sales &amp; Delivery Volumes</v>
          </cell>
        </row>
        <row r="175">
          <cell r="A175">
            <v>173</v>
          </cell>
          <cell r="C175" t="str">
            <v>3-9 LE Delivery</v>
          </cell>
          <cell r="E175">
            <v>3168.4965740000002</v>
          </cell>
          <cell r="F175">
            <v>5919.0495030000002</v>
          </cell>
          <cell r="G175">
            <v>8823.1720440000008</v>
          </cell>
          <cell r="H175">
            <v>2531.7024397606033</v>
          </cell>
          <cell r="I175">
            <v>5192.7772235779721</v>
          </cell>
          <cell r="J175">
            <v>8144.5297955579299</v>
          </cell>
          <cell r="K175">
            <v>3456.2833554166968</v>
          </cell>
          <cell r="L175">
            <v>6773.7994575135053</v>
          </cell>
          <cell r="M175">
            <v>9578.0567231514178</v>
          </cell>
          <cell r="N175">
            <v>2650.9873261788498</v>
          </cell>
          <cell r="O175">
            <v>5358.2075408600122</v>
          </cell>
          <cell r="P175">
            <v>8429.565790020577</v>
          </cell>
        </row>
        <row r="176">
          <cell r="A176">
            <v>174</v>
          </cell>
          <cell r="C176" t="str">
            <v>6-6 LE Delivery</v>
          </cell>
          <cell r="E176">
            <v>3168.4965740000002</v>
          </cell>
          <cell r="F176">
            <v>5919.0495030000002</v>
          </cell>
          <cell r="G176">
            <v>8823.1720440000008</v>
          </cell>
          <cell r="H176">
            <v>2595.1740150000001</v>
          </cell>
          <cell r="I176">
            <v>5311.8669829999999</v>
          </cell>
          <cell r="J176">
            <v>8466.572075</v>
          </cell>
          <cell r="K176">
            <v>3498.6188746049561</v>
          </cell>
          <cell r="L176">
            <v>6855.068008633888</v>
          </cell>
          <cell r="M176">
            <v>9690.2269226881235</v>
          </cell>
          <cell r="N176">
            <v>2678.9046261809203</v>
          </cell>
          <cell r="O176">
            <v>5410.8811719332589</v>
          </cell>
          <cell r="P176">
            <v>8504.0200770967695</v>
          </cell>
        </row>
        <row r="177">
          <cell r="A177">
            <v>175</v>
          </cell>
          <cell r="C177" t="str">
            <v>7-5 LE Delivery</v>
          </cell>
          <cell r="E177">
            <v>0</v>
          </cell>
          <cell r="F177">
            <v>0</v>
          </cell>
          <cell r="G177">
            <v>0</v>
          </cell>
          <cell r="H177">
            <v>0</v>
          </cell>
          <cell r="I177">
            <v>0</v>
          </cell>
          <cell r="J177">
            <v>0</v>
          </cell>
          <cell r="K177">
            <v>0</v>
          </cell>
          <cell r="L177">
            <v>0</v>
          </cell>
          <cell r="M177">
            <v>0</v>
          </cell>
          <cell r="N177">
            <v>0</v>
          </cell>
          <cell r="O177">
            <v>0</v>
          </cell>
          <cell r="P177">
            <v>0</v>
          </cell>
        </row>
        <row r="178">
          <cell r="A178">
            <v>176</v>
          </cell>
        </row>
        <row r="179">
          <cell r="A179">
            <v>177</v>
          </cell>
          <cell r="C179" t="str">
            <v>3-9 LE Sales</v>
          </cell>
          <cell r="E179">
            <v>2138.7043069999995</v>
          </cell>
          <cell r="F179">
            <v>4086.5385009999991</v>
          </cell>
          <cell r="G179">
            <v>6209.6767649999992</v>
          </cell>
          <cell r="H179">
            <v>1658.6766632151382</v>
          </cell>
          <cell r="I179">
            <v>3744.6208679446208</v>
          </cell>
          <cell r="J179">
            <v>6458.4547544056522</v>
          </cell>
          <cell r="K179">
            <v>3151.9079564921631</v>
          </cell>
          <cell r="L179">
            <v>6174.6480074687861</v>
          </cell>
          <cell r="M179">
            <v>8743.6282394855152</v>
          </cell>
          <cell r="N179">
            <v>2446.1149987769372</v>
          </cell>
          <cell r="O179">
            <v>4930.3971303355629</v>
          </cell>
          <cell r="P179">
            <v>7736.3024367624957</v>
          </cell>
        </row>
        <row r="180">
          <cell r="A180">
            <v>178</v>
          </cell>
          <cell r="C180" t="str">
            <v>6-6 LE Sales</v>
          </cell>
          <cell r="E180">
            <v>2138.7043069999995</v>
          </cell>
          <cell r="F180">
            <v>4086.5385009999991</v>
          </cell>
          <cell r="G180">
            <v>6209.6767649999992</v>
          </cell>
          <cell r="H180">
            <v>1797.4199109999995</v>
          </cell>
          <cell r="I180">
            <v>3742.0060569999991</v>
          </cell>
          <cell r="J180">
            <v>6360.7653339999997</v>
          </cell>
          <cell r="K180">
            <v>3190.8873329395374</v>
          </cell>
          <cell r="L180">
            <v>6249.2660158391573</v>
          </cell>
          <cell r="M180">
            <v>8846.5060765019753</v>
          </cell>
          <cell r="N180">
            <v>2471.890435044364</v>
          </cell>
          <cell r="O180">
            <v>4979.4798463609377</v>
          </cell>
          <cell r="P180">
            <v>7806.667264314392</v>
          </cell>
        </row>
        <row r="181">
          <cell r="A181">
            <v>179</v>
          </cell>
          <cell r="C181" t="str">
            <v>7-5 LE Sales</v>
          </cell>
          <cell r="E181">
            <v>0</v>
          </cell>
          <cell r="F181">
            <v>0</v>
          </cell>
          <cell r="G181">
            <v>0</v>
          </cell>
          <cell r="H181">
            <v>0</v>
          </cell>
          <cell r="I181">
            <v>0</v>
          </cell>
          <cell r="J181">
            <v>0</v>
          </cell>
          <cell r="K181">
            <v>0</v>
          </cell>
          <cell r="L181">
            <v>0</v>
          </cell>
          <cell r="M181">
            <v>0</v>
          </cell>
          <cell r="N181">
            <v>0</v>
          </cell>
          <cell r="O181">
            <v>0</v>
          </cell>
          <cell r="P181">
            <v>0</v>
          </cell>
        </row>
        <row r="182">
          <cell r="A182">
            <v>180</v>
          </cell>
        </row>
        <row r="183">
          <cell r="A183">
            <v>181</v>
          </cell>
          <cell r="C183" t="str">
            <v>YTD</v>
          </cell>
        </row>
        <row r="184">
          <cell r="A184">
            <v>182</v>
          </cell>
          <cell r="C184" t="str">
            <v>3-9 LE Revenue</v>
          </cell>
          <cell r="E184">
            <v>378.61627700000008</v>
          </cell>
          <cell r="F184">
            <v>690.91516458000001</v>
          </cell>
          <cell r="G184">
            <v>1051.06870959</v>
          </cell>
          <cell r="H184">
            <v>1324.185520652165</v>
          </cell>
          <cell r="I184">
            <v>1601.1542431809669</v>
          </cell>
          <cell r="J184">
            <v>1934.5518206716074</v>
          </cell>
          <cell r="K184">
            <v>2321.8035587300528</v>
          </cell>
          <cell r="L184">
            <v>2693.3067490453991</v>
          </cell>
          <cell r="M184">
            <v>3006.2380831177156</v>
          </cell>
          <cell r="N184">
            <v>3294.9648610546324</v>
          </cell>
          <cell r="O184">
            <v>3613.4325910465377</v>
          </cell>
          <cell r="P184">
            <v>3984.7284227052301</v>
          </cell>
        </row>
        <row r="185">
          <cell r="A185">
            <v>183</v>
          </cell>
          <cell r="C185" t="str">
            <v>6-6 LE Revenue</v>
          </cell>
          <cell r="E185">
            <v>378.61627700000008</v>
          </cell>
          <cell r="F185">
            <v>690.91516458000001</v>
          </cell>
          <cell r="G185">
            <v>1051.06870959</v>
          </cell>
          <cell r="H185">
            <v>1339.1393434399999</v>
          </cell>
          <cell r="I185">
            <v>1611.6835178900001</v>
          </cell>
          <cell r="J185">
            <v>1956.9077347800001</v>
          </cell>
          <cell r="K185">
            <v>2351.3169468345786</v>
          </cell>
          <cell r="L185">
            <v>2730.7971282503454</v>
          </cell>
          <cell r="M185">
            <v>3052.8673178563477</v>
          </cell>
          <cell r="N185">
            <v>3364.3934964340642</v>
          </cell>
          <cell r="O185">
            <v>3715.4344413990643</v>
          </cell>
          <cell r="P185">
            <v>4135.7566459386926</v>
          </cell>
        </row>
        <row r="186">
          <cell r="A186">
            <v>184</v>
          </cell>
          <cell r="C186" t="str">
            <v>7-5 LE Revenue</v>
          </cell>
          <cell r="E186">
            <v>378.61627700000008</v>
          </cell>
          <cell r="F186">
            <v>690.91516458000001</v>
          </cell>
          <cell r="G186">
            <v>1051.06870959</v>
          </cell>
          <cell r="H186">
            <v>1339.1393434399999</v>
          </cell>
          <cell r="I186">
            <v>1611.6835178900001</v>
          </cell>
          <cell r="J186">
            <v>1956.9077347800001</v>
          </cell>
          <cell r="K186">
            <v>2307.4361109000001</v>
          </cell>
          <cell r="L186">
            <v>2695.6852923157667</v>
          </cell>
          <cell r="M186">
            <v>3017.5244819217692</v>
          </cell>
          <cell r="N186">
            <v>3328.8196604994855</v>
          </cell>
          <cell r="O186">
            <v>3679.6296054644854</v>
          </cell>
          <cell r="P186">
            <v>4099.7208100041134</v>
          </cell>
        </row>
        <row r="187">
          <cell r="A187">
            <v>185</v>
          </cell>
        </row>
        <row r="188">
          <cell r="A188">
            <v>186</v>
          </cell>
          <cell r="C188" t="str">
            <v>3-9 LE Fuel &amp; Purchased Power</v>
          </cell>
          <cell r="E188">
            <v>188.86915300000001</v>
          </cell>
          <cell r="F188">
            <v>341.89246961000003</v>
          </cell>
          <cell r="G188">
            <v>518.49841986000001</v>
          </cell>
          <cell r="H188">
            <v>648.22222210382949</v>
          </cell>
          <cell r="I188">
            <v>781.38158606476918</v>
          </cell>
          <cell r="J188">
            <v>945.75908804365554</v>
          </cell>
          <cell r="K188">
            <v>1135.5449905274147</v>
          </cell>
          <cell r="L188">
            <v>1315.7271713273219</v>
          </cell>
          <cell r="M188">
            <v>1466.3278424105865</v>
          </cell>
          <cell r="N188">
            <v>1610.2902348018504</v>
          </cell>
          <cell r="O188">
            <v>1772.0960615213235</v>
          </cell>
          <cell r="P188">
            <v>1962.0567460345496</v>
          </cell>
        </row>
        <row r="189">
          <cell r="A189">
            <v>187</v>
          </cell>
          <cell r="C189" t="str">
            <v>6-6 LE Fuel &amp; Purchased Power</v>
          </cell>
          <cell r="E189">
            <v>188.86915300000001</v>
          </cell>
          <cell r="F189">
            <v>341.89246961000003</v>
          </cell>
          <cell r="G189">
            <v>518.49841986000001</v>
          </cell>
          <cell r="H189">
            <v>651.47763787999997</v>
          </cell>
          <cell r="I189">
            <v>778.7475412</v>
          </cell>
          <cell r="J189">
            <v>936.04255697999997</v>
          </cell>
          <cell r="K189">
            <v>1131.2322412220599</v>
          </cell>
          <cell r="L189">
            <v>1317.4741094566232</v>
          </cell>
          <cell r="M189">
            <v>1474.5712349955675</v>
          </cell>
          <cell r="N189">
            <v>1637.3697862877882</v>
          </cell>
          <cell r="O189">
            <v>1826.5591510584761</v>
          </cell>
          <cell r="P189">
            <v>2061.0686036662346</v>
          </cell>
        </row>
        <row r="190">
          <cell r="A190">
            <v>188</v>
          </cell>
          <cell r="C190" t="str">
            <v>7-5 LE Fuel &amp; Purchased Power</v>
          </cell>
          <cell r="E190">
            <v>188.86915300000001</v>
          </cell>
          <cell r="F190">
            <v>341.89246961000003</v>
          </cell>
          <cell r="G190">
            <v>518.49841986000001</v>
          </cell>
          <cell r="H190">
            <v>651.47763787999997</v>
          </cell>
          <cell r="I190">
            <v>778.7475412</v>
          </cell>
          <cell r="J190">
            <v>936.04255697999997</v>
          </cell>
          <cell r="K190">
            <v>1109.29243612</v>
          </cell>
          <cell r="L190">
            <v>1295.5343043545633</v>
          </cell>
          <cell r="M190">
            <v>1452.6314298935076</v>
          </cell>
          <cell r="N190">
            <v>1615.4299811857284</v>
          </cell>
          <cell r="O190">
            <v>1804.6193459564163</v>
          </cell>
          <cell r="P190">
            <v>2039.128798564175</v>
          </cell>
        </row>
        <row r="191">
          <cell r="A191">
            <v>189</v>
          </cell>
        </row>
        <row r="192">
          <cell r="A192">
            <v>190</v>
          </cell>
          <cell r="C192" t="str">
            <v>3-9 LE Direct</v>
          </cell>
          <cell r="E192">
            <v>8.5245630000000006</v>
          </cell>
          <cell r="F192">
            <v>21.577046639999999</v>
          </cell>
          <cell r="G192">
            <v>36.121106040000001</v>
          </cell>
          <cell r="H192">
            <v>37.464122239999995</v>
          </cell>
          <cell r="I192">
            <v>40.08713843999999</v>
          </cell>
          <cell r="J192">
            <v>44.09015463999998</v>
          </cell>
          <cell r="K192">
            <v>47.513170839999972</v>
          </cell>
          <cell r="L192">
            <v>51.156187039999971</v>
          </cell>
          <cell r="M192">
            <v>55.146187039999973</v>
          </cell>
          <cell r="N192">
            <v>59.036187039999973</v>
          </cell>
          <cell r="O192">
            <v>61.906187039999971</v>
          </cell>
          <cell r="P192">
            <v>65.756187039999972</v>
          </cell>
        </row>
        <row r="193">
          <cell r="A193">
            <v>191</v>
          </cell>
          <cell r="C193" t="str">
            <v>6-6 LE Direct</v>
          </cell>
          <cell r="E193">
            <v>8.5245630000000006</v>
          </cell>
          <cell r="F193">
            <v>21.577046639999999</v>
          </cell>
          <cell r="G193">
            <v>36.121106040000001</v>
          </cell>
          <cell r="H193">
            <v>42.32283958</v>
          </cell>
          <cell r="I193">
            <v>53.45270902</v>
          </cell>
          <cell r="J193">
            <v>66.331591470000006</v>
          </cell>
          <cell r="K193">
            <v>84.471204643703373</v>
          </cell>
          <cell r="L193">
            <v>102.99125051730215</v>
          </cell>
          <cell r="M193">
            <v>122.98715693600377</v>
          </cell>
          <cell r="N193">
            <v>143.08643289798493</v>
          </cell>
          <cell r="O193">
            <v>157.24827518996287</v>
          </cell>
          <cell r="P193">
            <v>177.00153360041378</v>
          </cell>
        </row>
        <row r="194">
          <cell r="A194">
            <v>192</v>
          </cell>
          <cell r="C194" t="str">
            <v>7-5 LE Direct</v>
          </cell>
          <cell r="E194">
            <v>8.5245630000000006</v>
          </cell>
          <cell r="F194">
            <v>21.577046639999999</v>
          </cell>
          <cell r="G194">
            <v>36.121106040000001</v>
          </cell>
          <cell r="H194">
            <v>42.32283958</v>
          </cell>
          <cell r="I194">
            <v>53.45270902</v>
          </cell>
          <cell r="J194">
            <v>66.331591470000006</v>
          </cell>
          <cell r="K194">
            <v>78.909050669999999</v>
          </cell>
          <cell r="L194">
            <v>101.19809654359878</v>
          </cell>
          <cell r="M194">
            <v>120.96300296230042</v>
          </cell>
          <cell r="N194">
            <v>135.83127892428161</v>
          </cell>
          <cell r="O194">
            <v>144.76212121625954</v>
          </cell>
          <cell r="P194">
            <v>161.08437962671044</v>
          </cell>
        </row>
        <row r="195">
          <cell r="A195">
            <v>193</v>
          </cell>
        </row>
        <row r="196">
          <cell r="A196">
            <v>194</v>
          </cell>
          <cell r="C196" t="str">
            <v>3-9 LE Indirect</v>
          </cell>
          <cell r="E196">
            <v>19.243808000000001</v>
          </cell>
          <cell r="F196">
            <v>34.69577554</v>
          </cell>
          <cell r="G196">
            <v>68.508693179999995</v>
          </cell>
          <cell r="H196">
            <v>77.062463429999994</v>
          </cell>
          <cell r="I196">
            <v>87.216233679999988</v>
          </cell>
          <cell r="J196">
            <v>99.09500392999999</v>
          </cell>
          <cell r="K196">
            <v>110.24877417999998</v>
          </cell>
          <cell r="L196">
            <v>121.67754442999998</v>
          </cell>
          <cell r="M196">
            <v>133.54004442999999</v>
          </cell>
          <cell r="N196">
            <v>145.27754443000001</v>
          </cell>
          <cell r="O196">
            <v>155.74004443000001</v>
          </cell>
          <cell r="P196">
            <v>156.17754443000001</v>
          </cell>
        </row>
        <row r="197">
          <cell r="A197">
            <v>195</v>
          </cell>
          <cell r="C197" t="str">
            <v>6-6 LE Indirect</v>
          </cell>
          <cell r="E197">
            <v>20.913808</v>
          </cell>
          <cell r="F197">
            <v>38.035775540000003</v>
          </cell>
          <cell r="G197">
            <v>61.76869318</v>
          </cell>
          <cell r="H197">
            <v>75.879810280000001</v>
          </cell>
          <cell r="I197">
            <v>91.288863399999997</v>
          </cell>
          <cell r="J197">
            <v>117.09635962999999</v>
          </cell>
          <cell r="K197">
            <v>117.09635962999999</v>
          </cell>
          <cell r="L197">
            <v>117.09635962999999</v>
          </cell>
          <cell r="M197">
            <v>117.09635962999999</v>
          </cell>
          <cell r="N197">
            <v>117.09635962999999</v>
          </cell>
          <cell r="O197">
            <v>117.09635962999999</v>
          </cell>
          <cell r="P197">
            <v>117.09635962999999</v>
          </cell>
        </row>
        <row r="198">
          <cell r="A198">
            <v>196</v>
          </cell>
          <cell r="C198" t="str">
            <v>7-5 LE Indirect</v>
          </cell>
          <cell r="E198">
            <v>20.913808</v>
          </cell>
          <cell r="F198">
            <v>38.035775540000003</v>
          </cell>
          <cell r="G198">
            <v>61.76869318</v>
          </cell>
          <cell r="H198">
            <v>75.879810280000001</v>
          </cell>
          <cell r="I198">
            <v>91.288863399999997</v>
          </cell>
          <cell r="J198">
            <v>117.09635962999999</v>
          </cell>
          <cell r="K198">
            <v>138.59179576</v>
          </cell>
          <cell r="L198">
            <v>138.59179576</v>
          </cell>
          <cell r="M198">
            <v>138.59179576</v>
          </cell>
          <cell r="N198">
            <v>138.59179576</v>
          </cell>
          <cell r="O198">
            <v>138.59179576</v>
          </cell>
          <cell r="P198">
            <v>138.59179576</v>
          </cell>
        </row>
        <row r="199">
          <cell r="A199">
            <v>197</v>
          </cell>
        </row>
        <row r="200">
          <cell r="A200">
            <v>198</v>
          </cell>
          <cell r="C200" t="str">
            <v>3-9 LE SG&amp;A</v>
          </cell>
          <cell r="E200">
            <v>5.2018141199999999</v>
          </cell>
          <cell r="F200">
            <v>14.46863506</v>
          </cell>
          <cell r="G200">
            <v>10.01473412</v>
          </cell>
          <cell r="H200">
            <v>28.833028670000001</v>
          </cell>
          <cell r="I200">
            <v>51.171323220000005</v>
          </cell>
          <cell r="J200">
            <v>77.304617770000007</v>
          </cell>
          <cell r="K200">
            <v>101.84291232000001</v>
          </cell>
          <cell r="L200">
            <v>126.98620687000002</v>
          </cell>
          <cell r="M200">
            <v>153.08370687000001</v>
          </cell>
          <cell r="N200">
            <v>178.90620687000001</v>
          </cell>
          <cell r="O200">
            <v>201.92370686999999</v>
          </cell>
          <cell r="P200">
            <v>227.63620687</v>
          </cell>
        </row>
        <row r="201">
          <cell r="A201">
            <v>199</v>
          </cell>
          <cell r="C201" t="str">
            <v>6-6 LE SG&amp;A</v>
          </cell>
          <cell r="E201">
            <v>7.2018141199999999</v>
          </cell>
          <cell r="F201">
            <v>18.46863506</v>
          </cell>
          <cell r="G201">
            <v>16.01473412</v>
          </cell>
          <cell r="H201">
            <v>32.418775660000001</v>
          </cell>
          <cell r="I201">
            <v>31.04423195</v>
          </cell>
          <cell r="J201">
            <v>42.794408650000001</v>
          </cell>
          <cell r="K201">
            <v>66.006212489733528</v>
          </cell>
          <cell r="L201">
            <v>89.718471529900427</v>
          </cell>
          <cell r="M201">
            <v>115.34018214633483</v>
          </cell>
          <cell r="N201">
            <v>141.13319298308616</v>
          </cell>
          <cell r="O201">
            <v>165.69325085639935</v>
          </cell>
          <cell r="P201">
            <v>193.6288517903541</v>
          </cell>
        </row>
        <row r="202">
          <cell r="A202">
            <v>200</v>
          </cell>
          <cell r="C202" t="str">
            <v>7-5 LE SG&amp;A</v>
          </cell>
          <cell r="E202">
            <v>7.2018141199999999</v>
          </cell>
          <cell r="F202">
            <v>18.46863506</v>
          </cell>
          <cell r="G202">
            <v>16.01473412</v>
          </cell>
          <cell r="H202">
            <v>32.418775660000001</v>
          </cell>
          <cell r="I202">
            <v>31.04423195</v>
          </cell>
          <cell r="J202">
            <v>42.794408650000001</v>
          </cell>
          <cell r="K202">
            <v>51.29438098</v>
          </cell>
          <cell r="L202">
            <v>75.006640020166898</v>
          </cell>
          <cell r="M202">
            <v>100.62835063660128</v>
          </cell>
          <cell r="N202">
            <v>126.42136147335262</v>
          </cell>
          <cell r="O202">
            <v>150.9814193466658</v>
          </cell>
          <cell r="P202">
            <v>178.91702028062056</v>
          </cell>
        </row>
        <row r="203">
          <cell r="A203">
            <v>201</v>
          </cell>
        </row>
        <row r="204">
          <cell r="A204">
            <v>202</v>
          </cell>
          <cell r="C204" t="str">
            <v>3-9 LE BSC</v>
          </cell>
          <cell r="E204">
            <v>2.1551342400000002</v>
          </cell>
          <cell r="F204">
            <v>5.0126350500000001</v>
          </cell>
          <cell r="G204">
            <v>7.6628212500000004</v>
          </cell>
          <cell r="H204">
            <v>13.16282125</v>
          </cell>
          <cell r="I204">
            <v>18.66282125</v>
          </cell>
          <cell r="J204">
            <v>24.16282125</v>
          </cell>
          <cell r="K204">
            <v>29.66282125</v>
          </cell>
          <cell r="L204">
            <v>35.16282125</v>
          </cell>
          <cell r="M204">
            <v>40.66282125</v>
          </cell>
          <cell r="N204">
            <v>46.16282125</v>
          </cell>
          <cell r="O204">
            <v>51.66282125</v>
          </cell>
          <cell r="P204">
            <v>57.16282125</v>
          </cell>
        </row>
        <row r="205">
          <cell r="A205">
            <v>203</v>
          </cell>
          <cell r="C205" t="str">
            <v>6-6 LE BSC</v>
          </cell>
          <cell r="E205">
            <v>2.1551342400000002</v>
          </cell>
          <cell r="F205">
            <v>5.0126350500000001</v>
          </cell>
          <cell r="G205">
            <v>7.6628212500000004</v>
          </cell>
          <cell r="H205">
            <v>11.099509860000001</v>
          </cell>
          <cell r="I205">
            <v>14.320791750000001</v>
          </cell>
          <cell r="J205">
            <v>17.521182800000002</v>
          </cell>
          <cell r="K205">
            <v>21.595182800000003</v>
          </cell>
          <cell r="L205">
            <v>25.668182800000004</v>
          </cell>
          <cell r="M205">
            <v>29.940182800000002</v>
          </cell>
          <cell r="N205">
            <v>33.988182800000004</v>
          </cell>
          <cell r="O205">
            <v>38.037182800000004</v>
          </cell>
          <cell r="P205">
            <v>42.291182800000001</v>
          </cell>
        </row>
        <row r="206">
          <cell r="A206">
            <v>204</v>
          </cell>
          <cell r="C206" t="str">
            <v>7-5 LE BSC</v>
          </cell>
          <cell r="E206">
            <v>2.1551342400000002</v>
          </cell>
          <cell r="F206">
            <v>5.0126350500000001</v>
          </cell>
          <cell r="G206">
            <v>7.6628212500000004</v>
          </cell>
          <cell r="H206">
            <v>11.099509860000001</v>
          </cell>
          <cell r="I206">
            <v>14.320791750000001</v>
          </cell>
          <cell r="J206">
            <v>17.521182800000002</v>
          </cell>
          <cell r="K206">
            <v>20.066674690000003</v>
          </cell>
          <cell r="L206">
            <v>24.139674690000003</v>
          </cell>
          <cell r="M206">
            <v>28.411674690000005</v>
          </cell>
          <cell r="N206">
            <v>32.459674690000007</v>
          </cell>
          <cell r="O206">
            <v>36.508674690000007</v>
          </cell>
          <cell r="P206">
            <v>40.762674690000004</v>
          </cell>
        </row>
        <row r="207">
          <cell r="A207">
            <v>205</v>
          </cell>
        </row>
        <row r="208">
          <cell r="A208">
            <v>206</v>
          </cell>
          <cell r="C208" t="str">
            <v>3-9 LE Corp Center Allocation</v>
          </cell>
          <cell r="E208">
            <v>0</v>
          </cell>
          <cell r="F208">
            <v>4.8</v>
          </cell>
          <cell r="G208">
            <v>10.39393638</v>
          </cell>
          <cell r="H208">
            <v>12.76093638</v>
          </cell>
          <cell r="I208">
            <v>15.127936380000001</v>
          </cell>
          <cell r="J208">
            <v>17.494936380000002</v>
          </cell>
          <cell r="K208">
            <v>19.861936380000003</v>
          </cell>
          <cell r="L208">
            <v>22.228936380000004</v>
          </cell>
          <cell r="M208">
            <v>24.595936380000005</v>
          </cell>
          <cell r="N208">
            <v>26.962936380000006</v>
          </cell>
          <cell r="O208">
            <v>29.329936380000007</v>
          </cell>
          <cell r="P208">
            <v>29.896936380000007</v>
          </cell>
        </row>
        <row r="209">
          <cell r="A209">
            <v>207</v>
          </cell>
          <cell r="C209" t="str">
            <v>6-6 LE Corp Center Allocation</v>
          </cell>
          <cell r="E209">
            <v>0</v>
          </cell>
          <cell r="F209">
            <v>4.8</v>
          </cell>
          <cell r="G209">
            <v>10.39393638</v>
          </cell>
          <cell r="H209">
            <v>9.0124077800000002</v>
          </cell>
          <cell r="I209">
            <v>11.55522294</v>
          </cell>
          <cell r="J209">
            <v>14.25965074</v>
          </cell>
          <cell r="K209">
            <v>16.626650739999999</v>
          </cell>
          <cell r="L209">
            <v>18.99365074</v>
          </cell>
          <cell r="M209">
            <v>21.360650740000001</v>
          </cell>
          <cell r="N209">
            <v>23.727650740000001</v>
          </cell>
          <cell r="O209">
            <v>26.094650740000002</v>
          </cell>
          <cell r="P209">
            <v>28.461650740000003</v>
          </cell>
        </row>
        <row r="210">
          <cell r="A210">
            <v>208</v>
          </cell>
          <cell r="C210" t="str">
            <v>7-5 LE Corp Center Allocation</v>
          </cell>
          <cell r="E210">
            <v>0</v>
          </cell>
          <cell r="F210">
            <v>4.8</v>
          </cell>
          <cell r="G210">
            <v>10.39393638</v>
          </cell>
          <cell r="H210">
            <v>9.0124077800000002</v>
          </cell>
          <cell r="I210">
            <v>11.55522294</v>
          </cell>
          <cell r="J210">
            <v>14.25965074</v>
          </cell>
          <cell r="K210">
            <v>16.424103549999998</v>
          </cell>
          <cell r="L210">
            <v>18.791103549999999</v>
          </cell>
          <cell r="M210">
            <v>21.15810355</v>
          </cell>
          <cell r="N210">
            <v>23.525103550000001</v>
          </cell>
          <cell r="O210">
            <v>25.892103550000002</v>
          </cell>
          <cell r="P210">
            <v>28.259103550000003</v>
          </cell>
        </row>
        <row r="211">
          <cell r="A211">
            <v>209</v>
          </cell>
        </row>
        <row r="212">
          <cell r="A212">
            <v>210</v>
          </cell>
          <cell r="C212" t="str">
            <v>3-9 LE Earnings from Invest.Equity(enter income as neg)</v>
          </cell>
          <cell r="E212">
            <v>-0.6</v>
          </cell>
          <cell r="F212">
            <v>-1.03</v>
          </cell>
          <cell r="G212">
            <v>-1.83</v>
          </cell>
          <cell r="H212">
            <v>-1.83</v>
          </cell>
          <cell r="I212">
            <v>-1.83</v>
          </cell>
          <cell r="J212">
            <v>-1.83</v>
          </cell>
          <cell r="K212">
            <v>-1.83</v>
          </cell>
          <cell r="L212">
            <v>-1.83</v>
          </cell>
          <cell r="M212">
            <v>-1.83</v>
          </cell>
          <cell r="N212">
            <v>-1.83</v>
          </cell>
          <cell r="O212">
            <v>-1.83</v>
          </cell>
          <cell r="P212">
            <v>-1.83</v>
          </cell>
        </row>
        <row r="213">
          <cell r="A213">
            <v>211</v>
          </cell>
          <cell r="C213" t="str">
            <v>6-6 LE Earnings from Invest.Equity(enter income as neg)</v>
          </cell>
          <cell r="E213">
            <v>0</v>
          </cell>
          <cell r="F213">
            <v>0</v>
          </cell>
          <cell r="G213">
            <v>0</v>
          </cell>
          <cell r="H213">
            <v>-1.6456999999999999E-2</v>
          </cell>
          <cell r="I213">
            <v>-2.1329999999999995E-3</v>
          </cell>
          <cell r="J213">
            <v>-2.1329999999999995E-3</v>
          </cell>
          <cell r="K213">
            <v>-2.1329999999999995E-3</v>
          </cell>
          <cell r="L213">
            <v>-2.1329999999999995E-3</v>
          </cell>
          <cell r="M213">
            <v>-2.1329999999999995E-3</v>
          </cell>
          <cell r="N213">
            <v>-2.1329999999999995E-3</v>
          </cell>
          <cell r="O213">
            <v>-2.1329999999999995E-3</v>
          </cell>
          <cell r="P213">
            <v>-2.1329999999999995E-3</v>
          </cell>
        </row>
        <row r="214">
          <cell r="A214">
            <v>212</v>
          </cell>
          <cell r="C214" t="str">
            <v>7-5 LE Earnings from Invest.Equity(enter income as neg)</v>
          </cell>
          <cell r="E214">
            <v>0</v>
          </cell>
          <cell r="F214">
            <v>0</v>
          </cell>
          <cell r="G214">
            <v>0</v>
          </cell>
          <cell r="H214">
            <v>-1.6456999999999999E-2</v>
          </cell>
          <cell r="I214">
            <v>-2.1329999999999995E-3</v>
          </cell>
          <cell r="J214">
            <v>-2.1329999999999995E-3</v>
          </cell>
          <cell r="K214">
            <v>-4.5705999999999997E-2</v>
          </cell>
          <cell r="L214">
            <v>-4.5705999999999997E-2</v>
          </cell>
          <cell r="M214">
            <v>-4.5705999999999997E-2</v>
          </cell>
          <cell r="N214">
            <v>-4.5705999999999997E-2</v>
          </cell>
          <cell r="O214">
            <v>-4.5705999999999997E-2</v>
          </cell>
          <cell r="P214">
            <v>-4.5705999999999997E-2</v>
          </cell>
        </row>
        <row r="215">
          <cell r="A215">
            <v>213</v>
          </cell>
        </row>
        <row r="216">
          <cell r="A216">
            <v>214</v>
          </cell>
          <cell r="C216" t="str">
            <v>3-9 LE Loss/(Gain) on Assets Disposal</v>
          </cell>
          <cell r="E216">
            <v>-0.6429954200000001</v>
          </cell>
          <cell r="F216">
            <v>-0.6429954200000001</v>
          </cell>
          <cell r="G216">
            <v>-0.63770248000000007</v>
          </cell>
          <cell r="H216">
            <v>-0.63770248000000007</v>
          </cell>
          <cell r="I216">
            <v>-0.63770248000000007</v>
          </cell>
          <cell r="J216">
            <v>-0.63770248000000007</v>
          </cell>
          <cell r="K216">
            <v>-0.63770248000000007</v>
          </cell>
          <cell r="L216">
            <v>-0.63770248000000007</v>
          </cell>
          <cell r="M216">
            <v>-0.63770248000000007</v>
          </cell>
          <cell r="N216">
            <v>-0.63770248000000007</v>
          </cell>
          <cell r="O216">
            <v>-0.63770248000000007</v>
          </cell>
          <cell r="P216">
            <v>-0.63770248000000007</v>
          </cell>
        </row>
        <row r="217">
          <cell r="A217">
            <v>215</v>
          </cell>
          <cell r="C217" t="str">
            <v>6-6 LE Loss/(Gain) on Assets Disposal</v>
          </cell>
          <cell r="E217">
            <v>-0.6429954200000001</v>
          </cell>
          <cell r="F217">
            <v>-0.6429954200000001</v>
          </cell>
          <cell r="G217">
            <v>-0.63770248000000007</v>
          </cell>
          <cell r="H217">
            <v>-0.63770548000000005</v>
          </cell>
          <cell r="I217">
            <v>0.15225933000000003</v>
          </cell>
          <cell r="J217">
            <v>0.15225933000000003</v>
          </cell>
          <cell r="K217">
            <v>0.15225933000000003</v>
          </cell>
          <cell r="L217">
            <v>0.15225933000000003</v>
          </cell>
          <cell r="M217">
            <v>0.15225933000000003</v>
          </cell>
          <cell r="N217">
            <v>0.15225933000000003</v>
          </cell>
          <cell r="O217">
            <v>0.15225933000000003</v>
          </cell>
          <cell r="P217">
            <v>0.15225933000000003</v>
          </cell>
        </row>
        <row r="218">
          <cell r="A218">
            <v>216</v>
          </cell>
          <cell r="C218" t="str">
            <v>7-5 LE Loss/(Gain) on Assets Disposal</v>
          </cell>
          <cell r="E218">
            <v>-0.6429954200000001</v>
          </cell>
          <cell r="F218">
            <v>-0.6429954200000001</v>
          </cell>
          <cell r="G218">
            <v>-0.63770248000000007</v>
          </cell>
          <cell r="H218">
            <v>-0.63770548000000005</v>
          </cell>
          <cell r="I218">
            <v>0.15225933000000003</v>
          </cell>
          <cell r="J218">
            <v>0.15225933000000003</v>
          </cell>
          <cell r="K218">
            <v>0.15110043000000004</v>
          </cell>
          <cell r="L218">
            <v>0.15110043000000004</v>
          </cell>
          <cell r="M218">
            <v>0.15110043000000004</v>
          </cell>
          <cell r="N218">
            <v>0.15110043000000004</v>
          </cell>
          <cell r="O218">
            <v>0.15110043000000004</v>
          </cell>
          <cell r="P218">
            <v>0.15110043000000004</v>
          </cell>
        </row>
        <row r="219">
          <cell r="A219">
            <v>217</v>
          </cell>
        </row>
        <row r="220">
          <cell r="A220">
            <v>218</v>
          </cell>
          <cell r="C220" t="str">
            <v>3-9 LE Other Operating Expenses</v>
          </cell>
          <cell r="E220">
            <v>-9.1986281500000011</v>
          </cell>
          <cell r="F220">
            <v>-9.1941070000000007</v>
          </cell>
          <cell r="G220">
            <v>-9.1857055800000005</v>
          </cell>
          <cell r="H220">
            <v>-9.1857055800000005</v>
          </cell>
          <cell r="I220">
            <v>-9.1857055800000005</v>
          </cell>
          <cell r="J220">
            <v>-9.1857055800000005</v>
          </cell>
          <cell r="K220">
            <v>-9.1857055800000005</v>
          </cell>
          <cell r="L220">
            <v>-9.1857055800000005</v>
          </cell>
          <cell r="M220">
            <v>-9.1857055800000005</v>
          </cell>
          <cell r="N220">
            <v>-9.1857055800000005</v>
          </cell>
          <cell r="O220">
            <v>-9.1857055800000005</v>
          </cell>
          <cell r="P220">
            <v>-9.1857055800000005</v>
          </cell>
        </row>
        <row r="221">
          <cell r="A221">
            <v>219</v>
          </cell>
          <cell r="C221" t="str">
            <v>6-6 LE Other Operating Expenses</v>
          </cell>
          <cell r="E221">
            <v>-9.1986281500000011</v>
          </cell>
          <cell r="F221">
            <v>-9.1941070000000007</v>
          </cell>
          <cell r="G221">
            <v>-9.1857055800000005</v>
          </cell>
          <cell r="H221">
            <v>-9.20745814</v>
          </cell>
          <cell r="I221">
            <v>-9.2192096800000005</v>
          </cell>
          <cell r="J221">
            <v>-9.1875068300000002</v>
          </cell>
          <cell r="K221">
            <v>-9.1875068300000002</v>
          </cell>
          <cell r="L221">
            <v>-9.1875068300000002</v>
          </cell>
          <cell r="M221">
            <v>-9.1875068300000002</v>
          </cell>
          <cell r="N221">
            <v>-9.1875068300000002</v>
          </cell>
          <cell r="O221">
            <v>-9.1875068300000002</v>
          </cell>
          <cell r="P221">
            <v>-9.1875068300000002</v>
          </cell>
        </row>
        <row r="222">
          <cell r="A222">
            <v>220</v>
          </cell>
          <cell r="C222" t="str">
            <v>7-5 LE Other Operating Expenses</v>
          </cell>
          <cell r="E222">
            <v>-9.1986281500000011</v>
          </cell>
          <cell r="F222">
            <v>-9.1941070000000007</v>
          </cell>
          <cell r="G222">
            <v>-9.1857055800000005</v>
          </cell>
          <cell r="H222">
            <v>-9.20745814</v>
          </cell>
          <cell r="I222">
            <v>-9.2192096800000005</v>
          </cell>
          <cell r="J222">
            <v>-9.1875068300000002</v>
          </cell>
          <cell r="K222">
            <v>-9.2374232200000002</v>
          </cell>
          <cell r="L222">
            <v>-9.2374232200000002</v>
          </cell>
          <cell r="M222">
            <v>-9.2374232200000002</v>
          </cell>
          <cell r="N222">
            <v>-9.2374232200000002</v>
          </cell>
          <cell r="O222">
            <v>-9.2374232200000002</v>
          </cell>
          <cell r="P222">
            <v>-9.2374232200000002</v>
          </cell>
        </row>
        <row r="223">
          <cell r="A223">
            <v>221</v>
          </cell>
        </row>
        <row r="224">
          <cell r="A224">
            <v>222</v>
          </cell>
          <cell r="C224" t="str">
            <v>3-9 LE TOTI</v>
          </cell>
          <cell r="E224">
            <v>4.0493737999999997</v>
          </cell>
          <cell r="F224">
            <v>9.1453179700000007</v>
          </cell>
          <cell r="G224">
            <v>13.04726372</v>
          </cell>
          <cell r="H224">
            <v>16.59926372</v>
          </cell>
          <cell r="I224">
            <v>20.19226372</v>
          </cell>
          <cell r="J224">
            <v>23.79726372</v>
          </cell>
          <cell r="K224">
            <v>27.380263720000002</v>
          </cell>
          <cell r="L224">
            <v>30.987263720000001</v>
          </cell>
          <cell r="M224">
            <v>34.56726372</v>
          </cell>
          <cell r="N224">
            <v>38.158263720000001</v>
          </cell>
          <cell r="O224">
            <v>41.732263719999999</v>
          </cell>
          <cell r="P224">
            <v>45.308263719999999</v>
          </cell>
        </row>
        <row r="225">
          <cell r="A225">
            <v>223</v>
          </cell>
          <cell r="C225" t="str">
            <v>6-6 LE TOTI</v>
          </cell>
          <cell r="E225">
            <v>4.0493737999999997</v>
          </cell>
          <cell r="F225">
            <v>9.1453179700000007</v>
          </cell>
          <cell r="G225">
            <v>13.04726372</v>
          </cell>
          <cell r="H225">
            <v>22.318302490000001</v>
          </cell>
          <cell r="I225">
            <v>25.78472257</v>
          </cell>
          <cell r="J225">
            <v>29.835244159999998</v>
          </cell>
          <cell r="K225">
            <v>33.302617656563115</v>
          </cell>
          <cell r="L225">
            <v>36.786288512797455</v>
          </cell>
          <cell r="M225">
            <v>40.336348307661432</v>
          </cell>
          <cell r="N225">
            <v>43.887346612262249</v>
          </cell>
          <cell r="O225">
            <v>47.398163350304507</v>
          </cell>
          <cell r="P225">
            <v>51.023297649232127</v>
          </cell>
        </row>
        <row r="226">
          <cell r="A226">
            <v>224</v>
          </cell>
          <cell r="C226" t="str">
            <v>7-5 LE TOTI</v>
          </cell>
          <cell r="E226">
            <v>4.0493737999999997</v>
          </cell>
          <cell r="F226">
            <v>9.1453179700000007</v>
          </cell>
          <cell r="G226">
            <v>13.04726372</v>
          </cell>
          <cell r="H226">
            <v>22.318302490000001</v>
          </cell>
          <cell r="I226">
            <v>25.78472257</v>
          </cell>
          <cell r="J226">
            <v>29.835244159999998</v>
          </cell>
          <cell r="K226">
            <v>23.832628870000001</v>
          </cell>
          <cell r="L226">
            <v>27.316299726234337</v>
          </cell>
          <cell r="M226">
            <v>30.866359521098317</v>
          </cell>
          <cell r="N226">
            <v>34.417357825699135</v>
          </cell>
          <cell r="O226">
            <v>37.928174563741393</v>
          </cell>
          <cell r="P226">
            <v>41.553308862669013</v>
          </cell>
        </row>
        <row r="227">
          <cell r="A227">
            <v>225</v>
          </cell>
        </row>
        <row r="228">
          <cell r="A228">
            <v>226</v>
          </cell>
          <cell r="C228" t="str">
            <v>3-9 LE Total O&amp;M</v>
          </cell>
          <cell r="E228">
            <v>28.733069590000007</v>
          </cell>
          <cell r="F228">
            <v>78.832307839999999</v>
          </cell>
          <cell r="G228">
            <v>134.09514662999999</v>
          </cell>
          <cell r="H228">
            <v>174.22922763</v>
          </cell>
          <cell r="I228">
            <v>220.80430862999998</v>
          </cell>
          <cell r="J228">
            <v>274.29138963000003</v>
          </cell>
          <cell r="K228">
            <v>324.85647062999999</v>
          </cell>
          <cell r="L228">
            <v>376.54555162999998</v>
          </cell>
          <cell r="M228">
            <v>429.94255163000003</v>
          </cell>
          <cell r="N228">
            <v>482.85055163000004</v>
          </cell>
          <cell r="O228">
            <v>530.64155162999998</v>
          </cell>
          <cell r="P228">
            <v>570.28455163000001</v>
          </cell>
        </row>
        <row r="229">
          <cell r="A229">
            <v>227</v>
          </cell>
          <cell r="C229" t="str">
            <v>6-6 LE Total O&amp;M</v>
          </cell>
          <cell r="E229">
            <v>33.003069590000003</v>
          </cell>
          <cell r="F229">
            <v>87.202307840000003</v>
          </cell>
          <cell r="G229">
            <v>135.18514662999999</v>
          </cell>
          <cell r="H229">
            <v>183.19002503000002</v>
          </cell>
          <cell r="I229">
            <v>218.37745828000004</v>
          </cell>
          <cell r="J229">
            <v>278.80105694999997</v>
          </cell>
          <cell r="K229">
            <v>330.06084745999999</v>
          </cell>
          <cell r="L229">
            <v>382.21682322999999</v>
          </cell>
          <cell r="M229">
            <v>438.02350005999995</v>
          </cell>
          <cell r="N229">
            <v>493.88178516333329</v>
          </cell>
          <cell r="O229">
            <v>542.5305020666666</v>
          </cell>
          <cell r="P229">
            <v>600.46549571000014</v>
          </cell>
        </row>
        <row r="230">
          <cell r="A230">
            <v>228</v>
          </cell>
          <cell r="C230" t="str">
            <v>7-5 LE Total O&amp;M</v>
          </cell>
          <cell r="E230">
            <v>33.003069590000003</v>
          </cell>
          <cell r="F230">
            <v>87.202307840000003</v>
          </cell>
          <cell r="G230">
            <v>135.18514662999999</v>
          </cell>
          <cell r="H230">
            <v>183.19002503000002</v>
          </cell>
          <cell r="I230">
            <v>218.37745828000004</v>
          </cell>
          <cell r="J230">
            <v>278.80105694999997</v>
          </cell>
          <cell r="K230">
            <v>319.98660573000001</v>
          </cell>
          <cell r="L230">
            <v>375.91158150000001</v>
          </cell>
          <cell r="M230">
            <v>431.48725833000003</v>
          </cell>
          <cell r="N230">
            <v>482.11454343333327</v>
          </cell>
          <cell r="O230">
            <v>525.53226033666681</v>
          </cell>
          <cell r="P230">
            <v>580.03625398000008</v>
          </cell>
        </row>
        <row r="231">
          <cell r="A231">
            <v>229</v>
          </cell>
        </row>
        <row r="232">
          <cell r="A232">
            <v>230</v>
          </cell>
          <cell r="C232" t="str">
            <v>3-9 LE D&amp;A</v>
          </cell>
          <cell r="E232">
            <v>35.461494000000002</v>
          </cell>
          <cell r="F232">
            <v>68.480412099999995</v>
          </cell>
          <cell r="G232">
            <v>102.15005857999999</v>
          </cell>
          <cell r="H232">
            <v>132.10205858</v>
          </cell>
          <cell r="I232">
            <v>163.17005857999999</v>
          </cell>
          <cell r="J232">
            <v>198.30505857999998</v>
          </cell>
          <cell r="K232">
            <v>237.74005857999998</v>
          </cell>
          <cell r="L232">
            <v>275.69305857999996</v>
          </cell>
          <cell r="M232">
            <v>309.46405857999997</v>
          </cell>
          <cell r="N232">
            <v>339.61805857999997</v>
          </cell>
          <cell r="O232">
            <v>370.21105857999999</v>
          </cell>
          <cell r="P232">
            <v>402.31305857999996</v>
          </cell>
        </row>
        <row r="233">
          <cell r="A233">
            <v>231</v>
          </cell>
          <cell r="C233" t="str">
            <v>6-6 LE D&amp;A</v>
          </cell>
          <cell r="E233">
            <v>34.461494000000002</v>
          </cell>
          <cell r="F233">
            <v>67.480412099999995</v>
          </cell>
          <cell r="G233">
            <v>101.15005857999999</v>
          </cell>
          <cell r="H233">
            <v>131.76856801</v>
          </cell>
          <cell r="I233">
            <v>163.42766703000001</v>
          </cell>
          <cell r="J233">
            <v>199.66822053000001</v>
          </cell>
          <cell r="K233">
            <v>239.60322053000002</v>
          </cell>
          <cell r="L233">
            <v>278.05622053000002</v>
          </cell>
          <cell r="M233">
            <v>312.32722053000003</v>
          </cell>
          <cell r="N233">
            <v>343.48122053000003</v>
          </cell>
          <cell r="O233">
            <v>375.57422053000005</v>
          </cell>
          <cell r="P233">
            <v>408.17622053000002</v>
          </cell>
        </row>
        <row r="234">
          <cell r="A234">
            <v>232</v>
          </cell>
          <cell r="C234" t="str">
            <v>7-5 LE D&amp;A</v>
          </cell>
          <cell r="E234">
            <v>34.461494000000002</v>
          </cell>
          <cell r="F234">
            <v>67.480412099999995</v>
          </cell>
          <cell r="G234">
            <v>101.15005857999999</v>
          </cell>
          <cell r="H234">
            <v>131.76856801</v>
          </cell>
          <cell r="I234">
            <v>163.42766703000001</v>
          </cell>
          <cell r="J234">
            <v>199.66822053000001</v>
          </cell>
          <cell r="K234">
            <v>239.89182139000002</v>
          </cell>
          <cell r="L234">
            <v>278.34482138999999</v>
          </cell>
          <cell r="M234">
            <v>312.61582139000001</v>
          </cell>
          <cell r="N234">
            <v>343.76982139</v>
          </cell>
          <cell r="O234">
            <v>375.86282139000002</v>
          </cell>
          <cell r="P234">
            <v>408.46482139</v>
          </cell>
        </row>
        <row r="235">
          <cell r="A235">
            <v>233</v>
          </cell>
        </row>
        <row r="236">
          <cell r="A236">
            <v>234</v>
          </cell>
          <cell r="C236" t="str">
            <v>3-9 LE Interest Expense</v>
          </cell>
          <cell r="E236">
            <v>38.098998999999999</v>
          </cell>
          <cell r="F236">
            <v>76.267734410000003</v>
          </cell>
          <cell r="G236">
            <v>107.16893051</v>
          </cell>
          <cell r="H236">
            <v>143.25293051</v>
          </cell>
          <cell r="I236">
            <v>179.33693051</v>
          </cell>
          <cell r="J236">
            <v>215.42093051000001</v>
          </cell>
          <cell r="K236">
            <v>251.50493051000001</v>
          </cell>
          <cell r="L236">
            <v>287.58893051000001</v>
          </cell>
          <cell r="M236">
            <v>323.67293051000001</v>
          </cell>
          <cell r="N236">
            <v>359.75693051000002</v>
          </cell>
          <cell r="O236">
            <v>395.84093051000002</v>
          </cell>
          <cell r="P236">
            <v>431.92493051000002</v>
          </cell>
        </row>
        <row r="237">
          <cell r="A237">
            <v>235</v>
          </cell>
          <cell r="C237" t="str">
            <v>6-6 LE Interest Expense</v>
          </cell>
          <cell r="E237">
            <v>38.098998999999999</v>
          </cell>
          <cell r="F237">
            <v>76.267734410000003</v>
          </cell>
          <cell r="G237">
            <v>107.16893051</v>
          </cell>
          <cell r="H237">
            <v>148.43848364000002</v>
          </cell>
          <cell r="I237">
            <v>185.41872666</v>
          </cell>
          <cell r="J237">
            <v>223.44765501000001</v>
          </cell>
          <cell r="K237">
            <v>259.53165501000001</v>
          </cell>
          <cell r="L237">
            <v>295.61565501000001</v>
          </cell>
          <cell r="M237">
            <v>331.69965501000001</v>
          </cell>
          <cell r="N237">
            <v>367.78365501000002</v>
          </cell>
          <cell r="O237">
            <v>403.86765501000002</v>
          </cell>
          <cell r="P237">
            <v>439.95165501000002</v>
          </cell>
        </row>
        <row r="238">
          <cell r="A238">
            <v>236</v>
          </cell>
          <cell r="C238" t="str">
            <v>7-5 LE Interest Expense</v>
          </cell>
          <cell r="E238">
            <v>38.098998999999999</v>
          </cell>
          <cell r="F238">
            <v>76.267734410000003</v>
          </cell>
          <cell r="G238">
            <v>107.16893051</v>
          </cell>
          <cell r="H238">
            <v>148.43848364000002</v>
          </cell>
          <cell r="I238">
            <v>185.41872666</v>
          </cell>
          <cell r="J238">
            <v>223.44765501000001</v>
          </cell>
          <cell r="K238">
            <v>249.94549419000001</v>
          </cell>
          <cell r="L238">
            <v>286.02949419000004</v>
          </cell>
          <cell r="M238">
            <v>322.11349419000004</v>
          </cell>
          <cell r="N238">
            <v>358.19749419000004</v>
          </cell>
          <cell r="O238">
            <v>394.28149419000005</v>
          </cell>
          <cell r="P238">
            <v>430.36549419000005</v>
          </cell>
        </row>
        <row r="239">
          <cell r="A239">
            <v>237</v>
          </cell>
        </row>
        <row r="240">
          <cell r="A240">
            <v>238</v>
          </cell>
          <cell r="C240" t="str">
            <v>3-9 LE Taxes</v>
          </cell>
          <cell r="E240">
            <v>-0.37688899999999997</v>
          </cell>
          <cell r="F240">
            <v>47.376342490000006</v>
          </cell>
          <cell r="G240">
            <v>67.202520050000004</v>
          </cell>
          <cell r="H240">
            <v>81.347232620967517</v>
          </cell>
          <cell r="I240">
            <v>92.778498096755129</v>
          </cell>
          <cell r="J240">
            <v>109.61781601122169</v>
          </cell>
          <cell r="K240">
            <v>136.74288274960253</v>
          </cell>
          <cell r="L240">
            <v>161.66895558546946</v>
          </cell>
          <cell r="M240">
            <v>176.5188475213092</v>
          </cell>
          <cell r="N240">
            <v>186.25383402865731</v>
          </cell>
          <cell r="O240">
            <v>202.28751727218167</v>
          </cell>
          <cell r="P240">
            <v>240.01985318745875</v>
          </cell>
        </row>
        <row r="241">
          <cell r="A241">
            <v>239</v>
          </cell>
          <cell r="C241" t="str">
            <v>6-6 LE Taxes</v>
          </cell>
          <cell r="E241">
            <v>-0.37688899999999997</v>
          </cell>
          <cell r="F241">
            <v>47.376342490000006</v>
          </cell>
          <cell r="G241">
            <v>67.202520050000004</v>
          </cell>
          <cell r="H241">
            <v>77.675134049999997</v>
          </cell>
          <cell r="I241">
            <v>93.582766050000004</v>
          </cell>
          <cell r="J241">
            <v>112.32984605</v>
          </cell>
          <cell r="K241">
            <v>138.22851147890671</v>
          </cell>
          <cell r="L241">
            <v>162.18483294693985</v>
          </cell>
          <cell r="M241">
            <v>176.15693235228076</v>
          </cell>
          <cell r="N241">
            <v>185.38421553785921</v>
          </cell>
          <cell r="O241">
            <v>201.59352632261152</v>
          </cell>
          <cell r="P241">
            <v>222.90255930648462</v>
          </cell>
        </row>
        <row r="242">
          <cell r="A242">
            <v>240</v>
          </cell>
          <cell r="C242" t="str">
            <v>7-5 LE Taxes</v>
          </cell>
          <cell r="E242">
            <v>-0.37688899999999997</v>
          </cell>
          <cell r="F242">
            <v>47.376342490000006</v>
          </cell>
          <cell r="G242">
            <v>67.202520050000004</v>
          </cell>
          <cell r="H242">
            <v>77.675134049999997</v>
          </cell>
          <cell r="I242">
            <v>93.582766050000004</v>
          </cell>
          <cell r="J242">
            <v>112.32984605</v>
          </cell>
          <cell r="K242">
            <v>139.76148104999999</v>
          </cell>
          <cell r="L242">
            <v>165.51780251803314</v>
          </cell>
          <cell r="M242">
            <v>179.48990192337405</v>
          </cell>
          <cell r="N242">
            <v>190.51718510895248</v>
          </cell>
          <cell r="O242">
            <v>208.5264958937048</v>
          </cell>
          <cell r="P242">
            <v>230.98752887757792</v>
          </cell>
        </row>
        <row r="243">
          <cell r="A243">
            <v>241</v>
          </cell>
        </row>
        <row r="244">
          <cell r="A244">
            <v>242</v>
          </cell>
          <cell r="C244" t="str">
            <v>3-9 LE Preferred Dividends</v>
          </cell>
          <cell r="E244">
            <v>0.80875600000000003</v>
          </cell>
          <cell r="F244">
            <v>1.6175120000000001</v>
          </cell>
          <cell r="G244">
            <v>2.4175120000000003</v>
          </cell>
          <cell r="H244">
            <v>3.1865120000000005</v>
          </cell>
          <cell r="I244">
            <v>3.9555120000000006</v>
          </cell>
          <cell r="J244">
            <v>4.7245120000000007</v>
          </cell>
          <cell r="K244">
            <v>5.4935120000000008</v>
          </cell>
          <cell r="L244">
            <v>6.262512000000001</v>
          </cell>
          <cell r="M244">
            <v>7.0315120000000011</v>
          </cell>
          <cell r="N244">
            <v>7.8005120000000012</v>
          </cell>
          <cell r="O244">
            <v>8.5695120000000014</v>
          </cell>
          <cell r="P244">
            <v>9.3385120000000015</v>
          </cell>
        </row>
        <row r="245">
          <cell r="A245">
            <v>243</v>
          </cell>
          <cell r="C245" t="str">
            <v>6-6 LE Preferred Dividends</v>
          </cell>
          <cell r="E245">
            <v>0.80875600000000003</v>
          </cell>
          <cell r="F245">
            <v>1.6175120000000001</v>
          </cell>
          <cell r="G245">
            <v>2.4175120000000003</v>
          </cell>
          <cell r="H245">
            <v>3.2262673300000002</v>
          </cell>
          <cell r="I245">
            <v>4.0350233300000005</v>
          </cell>
          <cell r="J245">
            <v>4.8437793300000003</v>
          </cell>
          <cell r="K245">
            <v>5.6527793300000004</v>
          </cell>
          <cell r="L245">
            <v>6.4617793300000006</v>
          </cell>
          <cell r="M245">
            <v>7.2707793300000008</v>
          </cell>
          <cell r="N245">
            <v>8.0797793300000009</v>
          </cell>
          <cell r="O245">
            <v>8.8887793300000002</v>
          </cell>
          <cell r="P245">
            <v>9.6977793299999995</v>
          </cell>
        </row>
        <row r="246">
          <cell r="A246">
            <v>244</v>
          </cell>
          <cell r="C246" t="str">
            <v>7-5 LE Preferred Dividends</v>
          </cell>
          <cell r="E246">
            <v>0.80875600000000003</v>
          </cell>
          <cell r="F246">
            <v>1.6175120000000001</v>
          </cell>
          <cell r="G246">
            <v>2.4175120000000003</v>
          </cell>
          <cell r="H246">
            <v>3.2262673300000002</v>
          </cell>
          <cell r="I246">
            <v>4.0350233300000005</v>
          </cell>
          <cell r="J246">
            <v>4.8437793300000003</v>
          </cell>
          <cell r="K246">
            <v>5.6550699900000012</v>
          </cell>
          <cell r="L246">
            <v>6.4640699900000014</v>
          </cell>
          <cell r="M246">
            <v>7.2730699900000015</v>
          </cell>
          <cell r="N246">
            <v>8.0820699900000008</v>
          </cell>
          <cell r="O246">
            <v>8.8910699900000001</v>
          </cell>
          <cell r="P246">
            <v>9.7000699899999994</v>
          </cell>
        </row>
        <row r="247">
          <cell r="A247">
            <v>245</v>
          </cell>
        </row>
        <row r="248">
          <cell r="A248">
            <v>246</v>
          </cell>
          <cell r="C248" t="str">
            <v>3-9 LE Net Income</v>
          </cell>
          <cell r="E248">
            <v>87.02169441000008</v>
          </cell>
          <cell r="F248">
            <v>76.448386130000031</v>
          </cell>
          <cell r="G248">
            <v>119.53612196000009</v>
          </cell>
          <cell r="H248">
            <v>141.84533720736815</v>
          </cell>
          <cell r="I248">
            <v>159.72734929944266</v>
          </cell>
          <cell r="J248">
            <v>186.43302589673021</v>
          </cell>
          <cell r="K248">
            <v>229.9207137330358</v>
          </cell>
          <cell r="L248">
            <v>269.82056941260817</v>
          </cell>
          <cell r="M248">
            <v>293.28034046582036</v>
          </cell>
          <cell r="N248">
            <v>308.3947395041252</v>
          </cell>
          <cell r="O248">
            <v>333.78595953303335</v>
          </cell>
          <cell r="P248">
            <v>368.79077076322227</v>
          </cell>
        </row>
        <row r="249">
          <cell r="A249">
            <v>247</v>
          </cell>
          <cell r="C249" t="str">
            <v>6-6 LE Net Income</v>
          </cell>
          <cell r="E249">
            <v>83.751694410000098</v>
          </cell>
          <cell r="F249">
            <v>69.078386130000055</v>
          </cell>
          <cell r="G249">
            <v>119.44612196000011</v>
          </cell>
          <cell r="H249">
            <v>143.36322750000005</v>
          </cell>
          <cell r="I249">
            <v>168.09433534000007</v>
          </cell>
          <cell r="J249">
            <v>201.77461993000011</v>
          </cell>
          <cell r="K249">
            <v>247.00769180361203</v>
          </cell>
          <cell r="L249">
            <v>288.78770774678208</v>
          </cell>
          <cell r="M249">
            <v>312.81799557849922</v>
          </cell>
          <cell r="N249">
            <v>328.41305457508309</v>
          </cell>
          <cell r="O249">
            <v>356.42060708130947</v>
          </cell>
          <cell r="P249">
            <v>393.49433238597277</v>
          </cell>
        </row>
        <row r="250">
          <cell r="A250">
            <v>248</v>
          </cell>
          <cell r="C250" t="str">
            <v>7-5 LE Net Income</v>
          </cell>
          <cell r="E250">
            <v>83.751694410000098</v>
          </cell>
          <cell r="F250">
            <v>69.078386130000055</v>
          </cell>
          <cell r="G250">
            <v>119.44612196000011</v>
          </cell>
          <cell r="H250">
            <v>143.36322750000005</v>
          </cell>
          <cell r="I250">
            <v>168.09433534000007</v>
          </cell>
          <cell r="J250">
            <v>201.77461993000011</v>
          </cell>
          <cell r="K250">
            <v>242.90320243000011</v>
          </cell>
          <cell r="L250">
            <v>287.88321837317017</v>
          </cell>
          <cell r="M250">
            <v>311.91350620488731</v>
          </cell>
          <cell r="N250">
            <v>330.70856520147117</v>
          </cell>
          <cell r="O250">
            <v>361.91611770769754</v>
          </cell>
          <cell r="P250">
            <v>401.03784301236084</v>
          </cell>
        </row>
        <row r="251">
          <cell r="A251">
            <v>249</v>
          </cell>
        </row>
        <row r="252">
          <cell r="A252">
            <v>250</v>
          </cell>
          <cell r="C252" t="str">
            <v>3-9 LE EPS</v>
          </cell>
          <cell r="E252">
            <v>0.27365312707547196</v>
          </cell>
          <cell r="F252">
            <v>0.24040372996855355</v>
          </cell>
          <cell r="G252">
            <v>0.37589975459119523</v>
          </cell>
          <cell r="H252">
            <v>0.44605451952002562</v>
          </cell>
          <cell r="I252">
            <v>0.50228726194793294</v>
          </cell>
          <cell r="J252">
            <v>0.58626737703374288</v>
          </cell>
          <cell r="K252">
            <v>0.72302111236803723</v>
          </cell>
          <cell r="L252">
            <v>0.84849235664342193</v>
          </cell>
          <cell r="M252">
            <v>0.92226522159063007</v>
          </cell>
          <cell r="N252">
            <v>0.96979477831485905</v>
          </cell>
          <cell r="O252">
            <v>1.0496413821793502</v>
          </cell>
          <cell r="P252">
            <v>1.1597194049157933</v>
          </cell>
        </row>
        <row r="253">
          <cell r="A253">
            <v>251</v>
          </cell>
          <cell r="C253" t="str">
            <v>6-6 LE EPS</v>
          </cell>
          <cell r="E253">
            <v>0.26337010820754747</v>
          </cell>
          <cell r="F253">
            <v>0.21722762933962281</v>
          </cell>
          <cell r="G253">
            <v>0.37561673572327081</v>
          </cell>
          <cell r="H253">
            <v>0.45082775943396247</v>
          </cell>
          <cell r="I253">
            <v>0.52859853880503171</v>
          </cell>
          <cell r="J253">
            <v>0.63451138342767333</v>
          </cell>
          <cell r="K253">
            <v>0.77675374781010076</v>
          </cell>
          <cell r="L253">
            <v>0.90813744574459776</v>
          </cell>
          <cell r="M253">
            <v>0.9837043886116329</v>
          </cell>
          <cell r="N253">
            <v>1.0327454546386263</v>
          </cell>
          <cell r="O253">
            <v>1.1208195191236148</v>
          </cell>
          <cell r="P253">
            <v>1.2374035609621785</v>
          </cell>
        </row>
        <row r="254">
          <cell r="A254">
            <v>252</v>
          </cell>
          <cell r="C254" t="str">
            <v>7-5 LE EPS</v>
          </cell>
          <cell r="E254">
            <v>0.2589724626159558</v>
          </cell>
          <cell r="F254">
            <v>0.21360045185528775</v>
          </cell>
          <cell r="G254">
            <v>0.36934484217687114</v>
          </cell>
          <cell r="H254">
            <v>0.44330002319109485</v>
          </cell>
          <cell r="I254">
            <v>0.51977221811997554</v>
          </cell>
          <cell r="J254">
            <v>0.62391657368583842</v>
          </cell>
          <cell r="K254">
            <v>0.7510921534632039</v>
          </cell>
          <cell r="L254">
            <v>0.89017692756082312</v>
          </cell>
          <cell r="M254">
            <v>0.96448208473991148</v>
          </cell>
          <cell r="N254">
            <v>1.0225991502828424</v>
          </cell>
          <cell r="O254">
            <v>1.1190974573521881</v>
          </cell>
          <cell r="P254">
            <v>1.2400675417821923</v>
          </cell>
        </row>
        <row r="255">
          <cell r="A255">
            <v>253</v>
          </cell>
        </row>
        <row r="256">
          <cell r="A256">
            <v>254</v>
          </cell>
          <cell r="C256" t="str">
            <v>QTD</v>
          </cell>
        </row>
        <row r="257">
          <cell r="A257">
            <v>255</v>
          </cell>
          <cell r="C257" t="str">
            <v>3-9 LE Revenue</v>
          </cell>
          <cell r="E257">
            <v>378.61627700000008</v>
          </cell>
          <cell r="F257">
            <v>690.91516458000001</v>
          </cell>
          <cell r="G257">
            <v>1051.06870959</v>
          </cell>
          <cell r="H257">
            <v>273.11681106216503</v>
          </cell>
          <cell r="I257">
            <v>550.08553359096686</v>
          </cell>
          <cell r="J257">
            <v>883.48311108160738</v>
          </cell>
          <cell r="K257">
            <v>387.2517380584456</v>
          </cell>
          <cell r="L257">
            <v>758.75492837379204</v>
          </cell>
          <cell r="M257">
            <v>1071.6862624461087</v>
          </cell>
          <cell r="N257">
            <v>288.72677793691685</v>
          </cell>
          <cell r="O257">
            <v>607.1945079288223</v>
          </cell>
          <cell r="P257">
            <v>978.49033958751443</v>
          </cell>
        </row>
        <row r="258">
          <cell r="A258">
            <v>256</v>
          </cell>
          <cell r="C258" t="str">
            <v>6-6 LE Revenue</v>
          </cell>
          <cell r="E258">
            <v>378.61627700000008</v>
          </cell>
          <cell r="F258">
            <v>690.91516458000001</v>
          </cell>
          <cell r="G258">
            <v>1051.06870959</v>
          </cell>
          <cell r="H258">
            <v>288.07063384999998</v>
          </cell>
          <cell r="I258">
            <v>560.61480830000005</v>
          </cell>
          <cell r="J258">
            <v>905.83902519000003</v>
          </cell>
          <cell r="K258">
            <v>394.40921205457857</v>
          </cell>
          <cell r="L258">
            <v>773.88939347034511</v>
          </cell>
          <cell r="M258">
            <v>1095.9595830763474</v>
          </cell>
          <cell r="N258">
            <v>311.52617857771634</v>
          </cell>
          <cell r="O258">
            <v>662.56712354271644</v>
          </cell>
          <cell r="P258">
            <v>1082.8893280823449</v>
          </cell>
        </row>
        <row r="259">
          <cell r="A259">
            <v>257</v>
          </cell>
          <cell r="C259" t="str">
            <v>7-5 LE Revenue</v>
          </cell>
          <cell r="E259">
            <v>378.61627700000008</v>
          </cell>
          <cell r="F259">
            <v>690.91516458000001</v>
          </cell>
          <cell r="G259">
            <v>1051.06870959</v>
          </cell>
          <cell r="H259">
            <v>288.07063384999998</v>
          </cell>
          <cell r="I259">
            <v>560.61480830000005</v>
          </cell>
          <cell r="J259">
            <v>833.15898275000006</v>
          </cell>
          <cell r="K259">
            <v>345.22421689000004</v>
          </cell>
          <cell r="L259">
            <v>1251.06324208</v>
          </cell>
          <cell r="M259">
            <v>1601.5916182000001</v>
          </cell>
          <cell r="N259">
            <v>388.2491814157666</v>
          </cell>
          <cell r="O259">
            <v>710.08837102176892</v>
          </cell>
          <cell r="P259">
            <v>1770.7051181635379</v>
          </cell>
        </row>
        <row r="260">
          <cell r="A260">
            <v>258</v>
          </cell>
        </row>
        <row r="261">
          <cell r="A261">
            <v>259</v>
          </cell>
          <cell r="C261" t="str">
            <v>3-9 LE Fuel &amp; Purchased Power</v>
          </cell>
          <cell r="E261">
            <v>188.86915300000001</v>
          </cell>
          <cell r="F261">
            <v>341.89246961000003</v>
          </cell>
          <cell r="G261">
            <v>518.49841986000001</v>
          </cell>
          <cell r="H261">
            <v>129.72380224382945</v>
          </cell>
          <cell r="I261">
            <v>262.88316620476917</v>
          </cell>
          <cell r="J261">
            <v>427.26066818365553</v>
          </cell>
          <cell r="K261">
            <v>189.78590248375914</v>
          </cell>
          <cell r="L261">
            <v>369.96808328366632</v>
          </cell>
          <cell r="M261">
            <v>520.56875436693099</v>
          </cell>
          <cell r="N261">
            <v>143.9623923912639</v>
          </cell>
          <cell r="O261">
            <v>305.76821911073694</v>
          </cell>
          <cell r="P261">
            <v>495.72890362396311</v>
          </cell>
        </row>
        <row r="262">
          <cell r="A262">
            <v>260</v>
          </cell>
          <cell r="C262" t="str">
            <v>6-6 LE Fuel &amp; Purchased Power</v>
          </cell>
          <cell r="E262">
            <v>188.86915300000001</v>
          </cell>
          <cell r="F262">
            <v>341.89246961000003</v>
          </cell>
          <cell r="G262">
            <v>518.49841986000001</v>
          </cell>
          <cell r="H262">
            <v>132.97921802000002</v>
          </cell>
          <cell r="I262">
            <v>260.24912134000004</v>
          </cell>
          <cell r="J262">
            <v>417.54413712000007</v>
          </cell>
          <cell r="K262">
            <v>195.18968424205991</v>
          </cell>
          <cell r="L262">
            <v>381.43155247662332</v>
          </cell>
          <cell r="M262">
            <v>538.52867801556761</v>
          </cell>
          <cell r="N262">
            <v>162.79855129222074</v>
          </cell>
          <cell r="O262">
            <v>351.98791606290871</v>
          </cell>
          <cell r="P262">
            <v>586.49736867066736</v>
          </cell>
        </row>
        <row r="263">
          <cell r="A263">
            <v>261</v>
          </cell>
          <cell r="C263" t="str">
            <v>7-5 LE Fuel &amp; Purchased Power</v>
          </cell>
          <cell r="E263">
            <v>188.86915300000001</v>
          </cell>
          <cell r="F263">
            <v>341.89246961000003</v>
          </cell>
          <cell r="G263">
            <v>518.49841986000001</v>
          </cell>
          <cell r="H263">
            <v>518.49841986000001</v>
          </cell>
          <cell r="I263">
            <v>651.47763787999997</v>
          </cell>
          <cell r="J263">
            <v>778.7475412</v>
          </cell>
          <cell r="K263">
            <v>157.29501578</v>
          </cell>
          <cell r="L263">
            <v>574.83915290000004</v>
          </cell>
          <cell r="M263">
            <v>748.08903204000001</v>
          </cell>
          <cell r="N263">
            <v>186.24186823456338</v>
          </cell>
          <cell r="O263">
            <v>343.33899377350764</v>
          </cell>
          <cell r="P263">
            <v>859.92786668701524</v>
          </cell>
        </row>
        <row r="264">
          <cell r="A264">
            <v>262</v>
          </cell>
        </row>
        <row r="265">
          <cell r="A265">
            <v>263</v>
          </cell>
          <cell r="C265" t="str">
            <v>3-9 LE Operating Expenses</v>
          </cell>
          <cell r="E265">
            <v>24.683695790000009</v>
          </cell>
          <cell r="F265">
            <v>69.686989869999991</v>
          </cell>
          <cell r="G265">
            <v>121.04788290999998</v>
          </cell>
          <cell r="H265">
            <v>36.582081000000002</v>
          </cell>
          <cell r="I265">
            <v>79.564161999999996</v>
          </cell>
          <cell r="J265">
            <v>129.44624300000004</v>
          </cell>
          <cell r="K265">
            <v>46.982080999999937</v>
          </cell>
          <cell r="L265">
            <v>95.064161999999953</v>
          </cell>
          <cell r="M265">
            <v>144.88116199999996</v>
          </cell>
          <cell r="N265">
            <v>49.317000000000064</v>
          </cell>
          <cell r="O265">
            <v>93.533999999999992</v>
          </cell>
          <cell r="P265">
            <v>129.601</v>
          </cell>
        </row>
        <row r="266">
          <cell r="A266">
            <v>264</v>
          </cell>
          <cell r="C266" t="str">
            <v>6-6 LE Operating Expenses</v>
          </cell>
          <cell r="E266">
            <v>28.953695790000005</v>
          </cell>
          <cell r="F266">
            <v>78.056989869999995</v>
          </cell>
          <cell r="G266">
            <v>122.13788290999999</v>
          </cell>
          <cell r="H266">
            <v>38.73383963000002</v>
          </cell>
          <cell r="I266">
            <v>70.454852800000069</v>
          </cell>
          <cell r="J266">
            <v>126.82792987999999</v>
          </cell>
          <cell r="K266">
            <v>47.792417013436889</v>
          </cell>
          <cell r="L266">
            <v>96.464721927202575</v>
          </cell>
          <cell r="M266">
            <v>148.72133896233856</v>
          </cell>
          <cell r="N266">
            <v>52.307286798732491</v>
          </cell>
          <cell r="O266">
            <v>97.445186964023549</v>
          </cell>
          <cell r="P266">
            <v>151.75504630842943</v>
          </cell>
        </row>
        <row r="267">
          <cell r="A267">
            <v>265</v>
          </cell>
          <cell r="C267" t="str">
            <v>7-5 LE Operating Expenses</v>
          </cell>
          <cell r="E267">
            <v>28.953695790000005</v>
          </cell>
          <cell r="F267">
            <v>78.056989869999995</v>
          </cell>
          <cell r="G267">
            <v>122.13788290999999</v>
          </cell>
          <cell r="H267">
            <v>38.73383963000002</v>
          </cell>
          <cell r="I267">
            <v>70.454852800000069</v>
          </cell>
          <cell r="J267">
            <v>126.82792987999999</v>
          </cell>
          <cell r="K267">
            <v>47.188164070000042</v>
          </cell>
          <cell r="L267">
            <v>99.629468983765733</v>
          </cell>
          <cell r="M267">
            <v>151.65508601890173</v>
          </cell>
          <cell r="N267">
            <v>47.07628679873244</v>
          </cell>
          <cell r="O267">
            <v>86.98318696402373</v>
          </cell>
          <cell r="P267">
            <v>137.86204630842934</v>
          </cell>
        </row>
        <row r="268">
          <cell r="A268">
            <v>266</v>
          </cell>
        </row>
        <row r="269">
          <cell r="A269">
            <v>267</v>
          </cell>
          <cell r="C269" t="str">
            <v>3-9 LE EBIT</v>
          </cell>
          <cell r="E269">
            <v>125.55256041000007</v>
          </cell>
          <cell r="F269">
            <v>201.70997503000001</v>
          </cell>
          <cell r="G269">
            <v>296.32508452000008</v>
          </cell>
          <cell r="H269">
            <v>73.306927818335566</v>
          </cell>
          <cell r="I269">
            <v>139.47320538619772</v>
          </cell>
          <cell r="J269">
            <v>219.87119989795184</v>
          </cell>
          <cell r="K269">
            <v>107.46575457468644</v>
          </cell>
          <cell r="L269">
            <v>209.14468309012571</v>
          </cell>
          <cell r="M269">
            <v>284.30734607917765</v>
          </cell>
          <cell r="N269">
            <v>61.702385545652952</v>
          </cell>
          <cell r="O269">
            <v>139.98028881808546</v>
          </cell>
          <cell r="P269">
            <v>249.57043596355146</v>
          </cell>
        </row>
        <row r="270">
          <cell r="A270">
            <v>268</v>
          </cell>
          <cell r="C270" t="str">
            <v>6-6 LE EBIT</v>
          </cell>
          <cell r="E270">
            <v>122.28256041000009</v>
          </cell>
          <cell r="F270">
            <v>194.33997503000006</v>
          </cell>
          <cell r="G270">
            <v>296.2350845200001</v>
          </cell>
          <cell r="H270">
            <v>76.468027999999947</v>
          </cell>
          <cell r="I270">
            <v>154.89576685999998</v>
          </cell>
          <cell r="J270">
            <v>246.16081580000002</v>
          </cell>
          <cell r="K270">
            <v>108.02473730251863</v>
          </cell>
          <cell r="L270">
            <v>210.65407471372183</v>
          </cell>
          <cell r="M270">
            <v>285.54946195077991</v>
          </cell>
          <cell r="N270">
            <v>61.71534218216231</v>
          </cell>
          <cell r="O270">
            <v>142.82520547314098</v>
          </cell>
          <cell r="P270">
            <v>238.10096376167741</v>
          </cell>
        </row>
        <row r="271">
          <cell r="A271">
            <v>269</v>
          </cell>
          <cell r="C271" t="str">
            <v>7-5 LE EBIT</v>
          </cell>
          <cell r="E271">
            <v>122.28256041000009</v>
          </cell>
          <cell r="F271">
            <v>194.33997503000006</v>
          </cell>
          <cell r="G271">
            <v>296.2350845200001</v>
          </cell>
          <cell r="H271">
            <v>296.2350845200001</v>
          </cell>
          <cell r="I271">
            <v>372.70311252000005</v>
          </cell>
          <cell r="J271">
            <v>451.13085138000008</v>
          </cell>
          <cell r="K271">
            <v>91.265048940000042</v>
          </cell>
          <cell r="L271">
            <v>337.42586474000007</v>
          </cell>
          <cell r="M271">
            <v>433.29521208000006</v>
          </cell>
          <cell r="N271">
            <v>107.6293374112032</v>
          </cell>
          <cell r="O271">
            <v>182.52472464826127</v>
          </cell>
          <cell r="P271">
            <v>460.91879663652253</v>
          </cell>
        </row>
        <row r="272">
          <cell r="A272">
            <v>270</v>
          </cell>
        </row>
        <row r="273">
          <cell r="A273">
            <v>271</v>
          </cell>
          <cell r="C273" t="str">
            <v>3-9 LE Net Income</v>
          </cell>
          <cell r="E273">
            <v>87.02169441000008</v>
          </cell>
          <cell r="F273">
            <v>76.448386130000031</v>
          </cell>
          <cell r="G273">
            <v>119.53612196000009</v>
          </cell>
          <cell r="H273">
            <v>22.309215247368058</v>
          </cell>
          <cell r="I273">
            <v>40.191227339442577</v>
          </cell>
          <cell r="J273">
            <v>66.896903936730126</v>
          </cell>
          <cell r="K273">
            <v>43.487687836305582</v>
          </cell>
          <cell r="L273">
            <v>83.387543515877951</v>
          </cell>
          <cell r="M273">
            <v>106.84731456909014</v>
          </cell>
          <cell r="N273">
            <v>15.114399038304839</v>
          </cell>
          <cell r="O273">
            <v>40.50561906721299</v>
          </cell>
          <cell r="P273">
            <v>75.510430297401911</v>
          </cell>
        </row>
        <row r="274">
          <cell r="A274">
            <v>272</v>
          </cell>
          <cell r="C274" t="str">
            <v>6-6 LE Net Income</v>
          </cell>
          <cell r="E274">
            <v>83.751694410000098</v>
          </cell>
          <cell r="F274">
            <v>69.078386130000055</v>
          </cell>
          <cell r="G274">
            <v>119.44612196000011</v>
          </cell>
          <cell r="H274">
            <v>23.917105539999937</v>
          </cell>
          <cell r="I274">
            <v>48.648213379999959</v>
          </cell>
          <cell r="J274">
            <v>82.328497970000001</v>
          </cell>
          <cell r="K274">
            <v>45.23307187361192</v>
          </cell>
          <cell r="L274">
            <v>87.013087816781962</v>
          </cell>
          <cell r="M274">
            <v>111.04337564849911</v>
          </cell>
          <cell r="N274">
            <v>15.595058996583873</v>
          </cell>
          <cell r="O274">
            <v>43.602611502810248</v>
          </cell>
          <cell r="P274">
            <v>80.676336807473575</v>
          </cell>
        </row>
        <row r="275">
          <cell r="A275">
            <v>273</v>
          </cell>
          <cell r="C275" t="str">
            <v>7-5 LE Net Income</v>
          </cell>
          <cell r="E275">
            <v>83.751694410000098</v>
          </cell>
          <cell r="F275">
            <v>69.078386130000055</v>
          </cell>
          <cell r="G275">
            <v>119.44612196000011</v>
          </cell>
          <cell r="H275">
            <v>23.917105539999937</v>
          </cell>
          <cell r="I275">
            <v>48.648213379999959</v>
          </cell>
          <cell r="J275">
            <v>82.328497970000001</v>
          </cell>
          <cell r="K275">
            <v>41.128582499999993</v>
          </cell>
          <cell r="L275">
            <v>86.108598443170052</v>
          </cell>
          <cell r="M275">
            <v>110.1388862748872</v>
          </cell>
          <cell r="N275">
            <v>18.795058996583862</v>
          </cell>
          <cell r="O275">
            <v>50.002611502810225</v>
          </cell>
          <cell r="P275">
            <v>89.124336807473554</v>
          </cell>
        </row>
        <row r="276">
          <cell r="A276">
            <v>274</v>
          </cell>
        </row>
        <row r="277">
          <cell r="A277">
            <v>275</v>
          </cell>
          <cell r="B277" t="str">
            <v>Cash Flow</v>
          </cell>
        </row>
        <row r="278">
          <cell r="A278">
            <v>276</v>
          </cell>
          <cell r="C278" t="str">
            <v>Net Income</v>
          </cell>
          <cell r="E278">
            <v>0</v>
          </cell>
          <cell r="F278">
            <v>0</v>
          </cell>
          <cell r="G278">
            <v>122</v>
          </cell>
          <cell r="H278">
            <v>147</v>
          </cell>
          <cell r="I278">
            <v>168</v>
          </cell>
          <cell r="J278">
            <v>207</v>
          </cell>
          <cell r="K278">
            <v>0</v>
          </cell>
          <cell r="L278">
            <v>0</v>
          </cell>
          <cell r="M278">
            <v>0</v>
          </cell>
          <cell r="N278">
            <v>0</v>
          </cell>
          <cell r="O278">
            <v>0</v>
          </cell>
          <cell r="P278">
            <v>0</v>
          </cell>
        </row>
        <row r="279">
          <cell r="A279">
            <v>277</v>
          </cell>
          <cell r="C279" t="str">
            <v>D&amp;A</v>
          </cell>
          <cell r="E279">
            <v>0</v>
          </cell>
          <cell r="F279">
            <v>0</v>
          </cell>
          <cell r="G279">
            <v>101</v>
          </cell>
          <cell r="H279">
            <v>132</v>
          </cell>
          <cell r="I279">
            <v>163</v>
          </cell>
          <cell r="J279">
            <v>200</v>
          </cell>
          <cell r="K279">
            <v>0</v>
          </cell>
          <cell r="L279">
            <v>0</v>
          </cell>
          <cell r="M279">
            <v>0</v>
          </cell>
          <cell r="N279">
            <v>0</v>
          </cell>
          <cell r="O279">
            <v>0</v>
          </cell>
          <cell r="P279">
            <v>0</v>
          </cell>
        </row>
        <row r="280">
          <cell r="A280">
            <v>278</v>
          </cell>
          <cell r="C280" t="str">
            <v>Changes in Working Capital/Other</v>
          </cell>
          <cell r="E280">
            <v>0</v>
          </cell>
          <cell r="F280">
            <v>0</v>
          </cell>
          <cell r="G280">
            <v>-299</v>
          </cell>
          <cell r="H280">
            <v>-238</v>
          </cell>
          <cell r="I280">
            <v>-253</v>
          </cell>
          <cell r="J280">
            <v>-108</v>
          </cell>
          <cell r="K280">
            <v>0</v>
          </cell>
          <cell r="L280">
            <v>0</v>
          </cell>
          <cell r="M280">
            <v>0</v>
          </cell>
          <cell r="N280">
            <v>0</v>
          </cell>
          <cell r="O280">
            <v>0</v>
          </cell>
          <cell r="P280">
            <v>0</v>
          </cell>
        </row>
        <row r="281">
          <cell r="A281">
            <v>279</v>
          </cell>
          <cell r="C281" t="str">
            <v>Capital Expenditures</v>
          </cell>
          <cell r="E281">
            <v>0</v>
          </cell>
          <cell r="F281">
            <v>0</v>
          </cell>
          <cell r="G281">
            <v>-57</v>
          </cell>
          <cell r="H281">
            <v>-74</v>
          </cell>
          <cell r="I281">
            <v>-93</v>
          </cell>
          <cell r="J281">
            <v>-120</v>
          </cell>
          <cell r="K281">
            <v>0</v>
          </cell>
          <cell r="L281">
            <v>0</v>
          </cell>
          <cell r="M281">
            <v>0</v>
          </cell>
          <cell r="N281">
            <v>0</v>
          </cell>
          <cell r="O281">
            <v>0</v>
          </cell>
          <cell r="P281">
            <v>0</v>
          </cell>
        </row>
        <row r="282">
          <cell r="A282">
            <v>280</v>
          </cell>
          <cell r="C282" t="str">
            <v>Decrease (Increase) Affiliate Rec/Pay</v>
          </cell>
          <cell r="E282">
            <v>0</v>
          </cell>
          <cell r="F282">
            <v>0</v>
          </cell>
          <cell r="G282">
            <v>-46</v>
          </cell>
          <cell r="H282">
            <v>399</v>
          </cell>
          <cell r="I282">
            <v>-44</v>
          </cell>
          <cell r="J282">
            <v>0</v>
          </cell>
          <cell r="K282">
            <v>0</v>
          </cell>
          <cell r="L282">
            <v>0</v>
          </cell>
          <cell r="M282">
            <v>0</v>
          </cell>
          <cell r="N282">
            <v>0</v>
          </cell>
          <cell r="O282">
            <v>0</v>
          </cell>
          <cell r="P282">
            <v>0</v>
          </cell>
        </row>
        <row r="283">
          <cell r="A283">
            <v>281</v>
          </cell>
          <cell r="C283" t="str">
            <v>Other</v>
          </cell>
          <cell r="E283">
            <v>0</v>
          </cell>
          <cell r="F283">
            <v>0</v>
          </cell>
          <cell r="G283">
            <v>11</v>
          </cell>
          <cell r="H283">
            <v>-33</v>
          </cell>
          <cell r="I283">
            <v>34</v>
          </cell>
          <cell r="J283">
            <v>32</v>
          </cell>
          <cell r="K283">
            <v>0</v>
          </cell>
          <cell r="L283">
            <v>0</v>
          </cell>
          <cell r="M283">
            <v>0</v>
          </cell>
          <cell r="N283">
            <v>0</v>
          </cell>
          <cell r="O283">
            <v>0</v>
          </cell>
          <cell r="P283">
            <v>0</v>
          </cell>
        </row>
        <row r="284">
          <cell r="A284">
            <v>282</v>
          </cell>
          <cell r="C284" t="str">
            <v>Increase in Notes Payable-Bank</v>
          </cell>
          <cell r="E284">
            <v>0</v>
          </cell>
          <cell r="F284">
            <v>0</v>
          </cell>
          <cell r="G284">
            <v>173</v>
          </cell>
          <cell r="H284">
            <v>146</v>
          </cell>
          <cell r="I284">
            <v>160</v>
          </cell>
          <cell r="J284">
            <v>-122</v>
          </cell>
          <cell r="K284">
            <v>0</v>
          </cell>
          <cell r="L284">
            <v>0</v>
          </cell>
          <cell r="M284">
            <v>0</v>
          </cell>
          <cell r="N284">
            <v>0</v>
          </cell>
          <cell r="O284">
            <v>0</v>
          </cell>
          <cell r="P284">
            <v>0</v>
          </cell>
        </row>
        <row r="285">
          <cell r="A285">
            <v>283</v>
          </cell>
          <cell r="C285" t="str">
            <v>Retirement/ Long Term Debt</v>
          </cell>
          <cell r="E285">
            <v>0</v>
          </cell>
          <cell r="F285">
            <v>0</v>
          </cell>
          <cell r="G285">
            <v>-118</v>
          </cell>
          <cell r="H285">
            <v>-118</v>
          </cell>
          <cell r="I285">
            <v>-171</v>
          </cell>
          <cell r="J285">
            <v>-172</v>
          </cell>
          <cell r="K285">
            <v>0</v>
          </cell>
          <cell r="L285">
            <v>0</v>
          </cell>
          <cell r="M285">
            <v>0</v>
          </cell>
          <cell r="N285">
            <v>0</v>
          </cell>
          <cell r="O285">
            <v>0</v>
          </cell>
          <cell r="P285">
            <v>0</v>
          </cell>
        </row>
        <row r="286">
          <cell r="A286">
            <v>284</v>
          </cell>
          <cell r="C286" t="str">
            <v>Dividends</v>
          </cell>
          <cell r="E286">
            <v>0</v>
          </cell>
          <cell r="F286">
            <v>0</v>
          </cell>
          <cell r="G286">
            <v>-47</v>
          </cell>
          <cell r="H286">
            <v>-47</v>
          </cell>
          <cell r="I286">
            <v>-49</v>
          </cell>
          <cell r="J286">
            <v>-105</v>
          </cell>
          <cell r="K286">
            <v>0</v>
          </cell>
          <cell r="L286">
            <v>0</v>
          </cell>
          <cell r="M286">
            <v>0</v>
          </cell>
          <cell r="N286">
            <v>0</v>
          </cell>
          <cell r="O286">
            <v>0</v>
          </cell>
          <cell r="P286">
            <v>0</v>
          </cell>
        </row>
        <row r="287">
          <cell r="A287">
            <v>285</v>
          </cell>
          <cell r="C287" t="str">
            <v>Settlement Interest Rate Swap</v>
          </cell>
          <cell r="E287">
            <v>0</v>
          </cell>
          <cell r="F287">
            <v>0</v>
          </cell>
          <cell r="G287">
            <v>31</v>
          </cell>
          <cell r="H287">
            <v>31</v>
          </cell>
          <cell r="I287">
            <v>31</v>
          </cell>
          <cell r="J287">
            <v>31</v>
          </cell>
          <cell r="K287">
            <v>0</v>
          </cell>
          <cell r="L287">
            <v>0</v>
          </cell>
          <cell r="M287">
            <v>0</v>
          </cell>
          <cell r="N287">
            <v>0</v>
          </cell>
          <cell r="O287">
            <v>0</v>
          </cell>
          <cell r="P287">
            <v>0</v>
          </cell>
        </row>
        <row r="288">
          <cell r="A288">
            <v>286</v>
          </cell>
          <cell r="C288" t="str">
            <v>Change in restricted cash</v>
          </cell>
          <cell r="E288">
            <v>0</v>
          </cell>
          <cell r="F288">
            <v>0</v>
          </cell>
          <cell r="G288">
            <v>0</v>
          </cell>
          <cell r="H288">
            <v>65</v>
          </cell>
          <cell r="I288">
            <v>24</v>
          </cell>
          <cell r="J288">
            <v>-16</v>
          </cell>
          <cell r="K288">
            <v>0</v>
          </cell>
          <cell r="L288">
            <v>0</v>
          </cell>
          <cell r="M288">
            <v>0</v>
          </cell>
          <cell r="N288">
            <v>0</v>
          </cell>
          <cell r="O288">
            <v>0</v>
          </cell>
          <cell r="P288">
            <v>0</v>
          </cell>
        </row>
        <row r="289">
          <cell r="A289">
            <v>287</v>
          </cell>
        </row>
        <row r="290">
          <cell r="A290">
            <v>288</v>
          </cell>
          <cell r="B290" t="str">
            <v>Cap Ex</v>
          </cell>
        </row>
        <row r="291">
          <cell r="A291">
            <v>289</v>
          </cell>
          <cell r="C291" t="str">
            <v>Monthly</v>
          </cell>
        </row>
        <row r="292">
          <cell r="A292">
            <v>290</v>
          </cell>
          <cell r="C292" t="str">
            <v>Cap Ex Actual (Total)</v>
          </cell>
          <cell r="E292">
            <v>15.1</v>
          </cell>
          <cell r="F292">
            <v>15.4</v>
          </cell>
          <cell r="G292">
            <v>27.8</v>
          </cell>
          <cell r="H292">
            <v>16.7</v>
          </cell>
          <cell r="I292">
            <v>18.3</v>
          </cell>
          <cell r="J292">
            <v>26.204000000000001</v>
          </cell>
          <cell r="K292">
            <v>23.068000000000001</v>
          </cell>
          <cell r="L292">
            <v>0</v>
          </cell>
          <cell r="M292">
            <v>0</v>
          </cell>
          <cell r="N292">
            <v>0</v>
          </cell>
          <cell r="O292">
            <v>0</v>
          </cell>
          <cell r="P292">
            <v>0</v>
          </cell>
        </row>
        <row r="293">
          <cell r="A293">
            <v>291</v>
          </cell>
          <cell r="C293" t="str">
            <v>Cap Ex Budget</v>
          </cell>
          <cell r="E293">
            <v>21.481763999999998</v>
          </cell>
          <cell r="F293">
            <v>20.012181000000002</v>
          </cell>
          <cell r="G293">
            <v>22.425255</v>
          </cell>
          <cell r="H293">
            <v>22.896467999999999</v>
          </cell>
          <cell r="I293">
            <v>24.159032</v>
          </cell>
          <cell r="J293">
            <v>23.382874000000001</v>
          </cell>
          <cell r="K293">
            <v>23.444109999999998</v>
          </cell>
          <cell r="L293">
            <v>23.089335999999999</v>
          </cell>
          <cell r="M293">
            <v>21.489720999999999</v>
          </cell>
          <cell r="N293">
            <v>21.504860000000001</v>
          </cell>
          <cell r="O293">
            <v>20.421693999999999</v>
          </cell>
          <cell r="P293">
            <v>20.480136999999999</v>
          </cell>
        </row>
        <row r="294">
          <cell r="A294">
            <v>292</v>
          </cell>
        </row>
        <row r="295">
          <cell r="A295">
            <v>293</v>
          </cell>
          <cell r="C295" t="str">
            <v>YTD</v>
          </cell>
        </row>
        <row r="296">
          <cell r="A296">
            <v>294</v>
          </cell>
          <cell r="C296" t="str">
            <v>Cap Ex Actual (Growth)</v>
          </cell>
          <cell r="E296">
            <v>7.862333333333333</v>
          </cell>
          <cell r="F296">
            <v>15.724666666666666</v>
          </cell>
          <cell r="G296">
            <v>23.587</v>
          </cell>
          <cell r="H296">
            <v>31.890500000000003</v>
          </cell>
          <cell r="I296">
            <v>40.194000000000003</v>
          </cell>
          <cell r="J296">
            <v>48.695</v>
          </cell>
          <cell r="K296">
            <v>48.695</v>
          </cell>
          <cell r="L296">
            <v>48.695</v>
          </cell>
          <cell r="M296">
            <v>48.695</v>
          </cell>
          <cell r="N296">
            <v>48.695</v>
          </cell>
          <cell r="O296">
            <v>48.695</v>
          </cell>
          <cell r="P296">
            <v>48.695</v>
          </cell>
        </row>
        <row r="297">
          <cell r="A297">
            <v>295</v>
          </cell>
          <cell r="C297" t="str">
            <v>Cap Ex Actual (Maintenance)</v>
          </cell>
          <cell r="E297">
            <v>11.424333333333335</v>
          </cell>
          <cell r="F297">
            <v>22.84866666666667</v>
          </cell>
          <cell r="G297">
            <v>34.273000000000003</v>
          </cell>
          <cell r="H297">
            <v>43.712000000000003</v>
          </cell>
          <cell r="I297">
            <v>53.151000000000003</v>
          </cell>
          <cell r="J297">
            <v>70.853999999999999</v>
          </cell>
          <cell r="K297">
            <v>70.853999999999999</v>
          </cell>
          <cell r="L297">
            <v>70.853999999999999</v>
          </cell>
          <cell r="M297">
            <v>70.853999999999999</v>
          </cell>
          <cell r="N297">
            <v>70.853999999999999</v>
          </cell>
          <cell r="O297">
            <v>70.853999999999999</v>
          </cell>
          <cell r="P297">
            <v>70.853999999999999</v>
          </cell>
        </row>
        <row r="298">
          <cell r="A298">
            <v>296</v>
          </cell>
          <cell r="C298" t="str">
            <v>Cap Ex Actual (Total)</v>
          </cell>
          <cell r="E298">
            <v>15.1</v>
          </cell>
          <cell r="F298">
            <v>30.5</v>
          </cell>
          <cell r="G298">
            <v>58.3</v>
          </cell>
          <cell r="H298">
            <v>75</v>
          </cell>
          <cell r="I298">
            <v>93.3</v>
          </cell>
          <cell r="J298">
            <v>119.50399999999999</v>
          </cell>
          <cell r="K298">
            <v>142.572</v>
          </cell>
          <cell r="L298">
            <v>142.572</v>
          </cell>
          <cell r="M298">
            <v>142.572</v>
          </cell>
          <cell r="N298">
            <v>142.572</v>
          </cell>
          <cell r="O298">
            <v>142.572</v>
          </cell>
          <cell r="P298">
            <v>142.572</v>
          </cell>
        </row>
        <row r="299">
          <cell r="A299">
            <v>297</v>
          </cell>
          <cell r="C299" t="str">
            <v>Cap Ex Budget YTD</v>
          </cell>
          <cell r="E299">
            <v>21.481763999999998</v>
          </cell>
          <cell r="F299">
            <v>41.493944999999997</v>
          </cell>
          <cell r="G299">
            <v>63.919199999999996</v>
          </cell>
          <cell r="H299">
            <v>86.815667999999988</v>
          </cell>
          <cell r="I299">
            <v>110.97469999999998</v>
          </cell>
          <cell r="J299">
            <v>134.357574</v>
          </cell>
          <cell r="K299">
            <v>157.80168399999999</v>
          </cell>
          <cell r="L299">
            <v>180.89102</v>
          </cell>
          <cell r="M299">
            <v>202.380741</v>
          </cell>
          <cell r="N299">
            <v>223.88560100000001</v>
          </cell>
          <cell r="O299">
            <v>244.30729500000001</v>
          </cell>
          <cell r="P299">
            <v>264.78743200000002</v>
          </cell>
        </row>
        <row r="300">
          <cell r="A300">
            <v>298</v>
          </cell>
        </row>
        <row r="301">
          <cell r="A301">
            <v>299</v>
          </cell>
          <cell r="C301" t="str">
            <v>LE</v>
          </cell>
        </row>
        <row r="302">
          <cell r="A302">
            <v>300</v>
          </cell>
          <cell r="C302" t="str">
            <v>3-9 YTD LE (Growth)</v>
          </cell>
          <cell r="E302">
            <v>7.862333333333333</v>
          </cell>
          <cell r="F302">
            <v>15.724666666666666</v>
          </cell>
          <cell r="G302">
            <v>23.587</v>
          </cell>
          <cell r="H302">
            <v>32.783999999999999</v>
          </cell>
          <cell r="I302">
            <v>42.311999999999998</v>
          </cell>
          <cell r="J302">
            <v>51.927999999999997</v>
          </cell>
          <cell r="K302">
            <v>61.553999999999995</v>
          </cell>
          <cell r="L302">
            <v>71.503999999999991</v>
          </cell>
          <cell r="M302">
            <v>80.967999999999989</v>
          </cell>
          <cell r="N302">
            <v>90.144999999999982</v>
          </cell>
          <cell r="O302">
            <v>98.60499999999999</v>
          </cell>
          <cell r="P302">
            <v>106.73199999999999</v>
          </cell>
        </row>
        <row r="303">
          <cell r="A303">
            <v>301</v>
          </cell>
          <cell r="C303" t="str">
            <v>6-6 YTD LE (Growth)</v>
          </cell>
          <cell r="E303">
            <v>7.862333333333333</v>
          </cell>
          <cell r="F303">
            <v>15.724666666666666</v>
          </cell>
          <cell r="G303">
            <v>23.587</v>
          </cell>
          <cell r="H303">
            <v>31.890500000000003</v>
          </cell>
          <cell r="I303">
            <v>40.194000000000003</v>
          </cell>
          <cell r="J303">
            <v>48.695</v>
          </cell>
          <cell r="K303">
            <v>58.150999999999996</v>
          </cell>
          <cell r="L303">
            <v>67.530999999999992</v>
          </cell>
          <cell r="M303">
            <v>76.27</v>
          </cell>
          <cell r="N303">
            <v>85.183999999999997</v>
          </cell>
          <cell r="O303">
            <v>93.850999999999999</v>
          </cell>
          <cell r="P303">
            <v>102.184</v>
          </cell>
        </row>
        <row r="304">
          <cell r="A304">
            <v>302</v>
          </cell>
          <cell r="C304" t="str">
            <v>9-3 YTD LE (Growth)</v>
          </cell>
          <cell r="E304">
            <v>7.862333333333333</v>
          </cell>
          <cell r="F304">
            <v>15.724666666666666</v>
          </cell>
          <cell r="G304">
            <v>23.587</v>
          </cell>
          <cell r="H304">
            <v>31.890500000000003</v>
          </cell>
          <cell r="I304">
            <v>40.194000000000003</v>
          </cell>
          <cell r="J304">
            <v>48.695</v>
          </cell>
          <cell r="K304">
            <v>0</v>
          </cell>
          <cell r="L304">
            <v>0</v>
          </cell>
          <cell r="M304">
            <v>0</v>
          </cell>
          <cell r="N304">
            <v>0</v>
          </cell>
          <cell r="O304">
            <v>0</v>
          </cell>
          <cell r="P304">
            <v>0</v>
          </cell>
        </row>
        <row r="305">
          <cell r="A305">
            <v>303</v>
          </cell>
        </row>
        <row r="306">
          <cell r="A306">
            <v>304</v>
          </cell>
          <cell r="C306" t="str">
            <v>3-9 YTD LE (Maintenance)</v>
          </cell>
          <cell r="E306">
            <v>11.424333333333335</v>
          </cell>
          <cell r="F306">
            <v>22.84866666666667</v>
          </cell>
          <cell r="G306">
            <v>34.273000000000003</v>
          </cell>
          <cell r="H306">
            <v>48.457000000000001</v>
          </cell>
          <cell r="I306">
            <v>62.921999999999997</v>
          </cell>
          <cell r="J306">
            <v>77.188000000000002</v>
          </cell>
          <cell r="K306">
            <v>91.50200000000001</v>
          </cell>
          <cell r="L306">
            <v>105.947</v>
          </cell>
          <cell r="M306">
            <v>119.86</v>
          </cell>
          <cell r="N306">
            <v>133.83799999999999</v>
          </cell>
          <cell r="O306">
            <v>147.77099999999999</v>
          </cell>
          <cell r="P306">
            <v>161.34799999999998</v>
          </cell>
        </row>
        <row r="307">
          <cell r="A307">
            <v>305</v>
          </cell>
          <cell r="C307" t="str">
            <v>6-6 YTD LE (Maintenance)</v>
          </cell>
          <cell r="E307">
            <v>11.424333333333335</v>
          </cell>
          <cell r="F307">
            <v>22.84866666666667</v>
          </cell>
          <cell r="G307">
            <v>34.273000000000003</v>
          </cell>
          <cell r="H307">
            <v>43.712000000000003</v>
          </cell>
          <cell r="I307">
            <v>53.151000000000003</v>
          </cell>
          <cell r="J307">
            <v>70.853999999999999</v>
          </cell>
          <cell r="K307">
            <v>85.822999999999993</v>
          </cell>
          <cell r="L307">
            <v>100.919</v>
          </cell>
          <cell r="M307">
            <v>115.65599999999999</v>
          </cell>
          <cell r="N307">
            <v>130.273</v>
          </cell>
          <cell r="O307">
            <v>144.80099999999999</v>
          </cell>
          <cell r="P307">
            <v>158.74099999999999</v>
          </cell>
        </row>
        <row r="308">
          <cell r="A308">
            <v>306</v>
          </cell>
          <cell r="C308" t="str">
            <v>9-3 YTD LE (Maintenance)</v>
          </cell>
          <cell r="E308">
            <v>11.424333333333335</v>
          </cell>
          <cell r="F308">
            <v>22.84866666666667</v>
          </cell>
          <cell r="G308">
            <v>34.273000000000003</v>
          </cell>
          <cell r="H308">
            <v>43.712000000000003</v>
          </cell>
          <cell r="I308">
            <v>53.151000000000003</v>
          </cell>
          <cell r="J308">
            <v>70.853999999999999</v>
          </cell>
          <cell r="K308">
            <v>0</v>
          </cell>
          <cell r="L308">
            <v>0</v>
          </cell>
          <cell r="M308">
            <v>0</v>
          </cell>
          <cell r="N308">
            <v>0</v>
          </cell>
          <cell r="O308">
            <v>0</v>
          </cell>
          <cell r="P308">
            <v>0</v>
          </cell>
        </row>
        <row r="309">
          <cell r="A309">
            <v>307</v>
          </cell>
        </row>
        <row r="310">
          <cell r="A310">
            <v>308</v>
          </cell>
          <cell r="C310" t="str">
            <v>3-9 YTD LE (Total)</v>
          </cell>
          <cell r="E310">
            <v>15.1</v>
          </cell>
          <cell r="F310">
            <v>30.5</v>
          </cell>
          <cell r="G310">
            <v>58.3</v>
          </cell>
          <cell r="H310">
            <v>81.680999999999997</v>
          </cell>
          <cell r="I310">
            <v>105.67400000000001</v>
          </cell>
          <cell r="J310">
            <v>129.55600000000001</v>
          </cell>
          <cell r="K310">
            <v>153.49600000000001</v>
          </cell>
          <cell r="L310">
            <v>177.89100000000002</v>
          </cell>
          <cell r="M310">
            <v>201.26800000000003</v>
          </cell>
          <cell r="N310">
            <v>224.42300000000003</v>
          </cell>
          <cell r="O310">
            <v>246.81600000000003</v>
          </cell>
          <cell r="P310">
            <v>268.52000000000004</v>
          </cell>
        </row>
        <row r="311">
          <cell r="A311">
            <v>309</v>
          </cell>
          <cell r="C311" t="str">
            <v>6-6 YTD LE (Total)</v>
          </cell>
          <cell r="E311">
            <v>15.1</v>
          </cell>
          <cell r="F311">
            <v>30.5</v>
          </cell>
          <cell r="G311">
            <v>58.3</v>
          </cell>
          <cell r="H311">
            <v>75</v>
          </cell>
          <cell r="I311">
            <v>93.3</v>
          </cell>
          <cell r="J311">
            <v>119.50399999999999</v>
          </cell>
          <cell r="K311">
            <v>143.92899999999997</v>
          </cell>
          <cell r="L311">
            <v>168.40499999999997</v>
          </cell>
          <cell r="M311">
            <v>191.88099999999997</v>
          </cell>
          <cell r="N311">
            <v>215.41199999999998</v>
          </cell>
          <cell r="O311">
            <v>238.60699999999997</v>
          </cell>
          <cell r="P311">
            <v>260.88</v>
          </cell>
        </row>
        <row r="312">
          <cell r="A312">
            <v>310</v>
          </cell>
          <cell r="C312" t="str">
            <v>9-3 YTD LE (Total)</v>
          </cell>
          <cell r="E312">
            <v>15.1</v>
          </cell>
          <cell r="F312">
            <v>30.5</v>
          </cell>
          <cell r="G312">
            <v>58.3</v>
          </cell>
          <cell r="H312">
            <v>75</v>
          </cell>
          <cell r="I312">
            <v>93.3</v>
          </cell>
          <cell r="J312">
            <v>119.50399999999999</v>
          </cell>
          <cell r="K312">
            <v>142.572</v>
          </cell>
          <cell r="L312">
            <v>167.024</v>
          </cell>
          <cell r="M312">
            <v>189.95099999999999</v>
          </cell>
          <cell r="N312">
            <v>214.22399999999999</v>
          </cell>
          <cell r="O312">
            <v>237.69199999999998</v>
          </cell>
          <cell r="P312">
            <v>260.79399999999998</v>
          </cell>
        </row>
        <row r="313">
          <cell r="A313">
            <v>311</v>
          </cell>
        </row>
        <row r="314">
          <cell r="A314">
            <v>312</v>
          </cell>
          <cell r="B314" t="str">
            <v>Fringe Benefits &amp; Salaries</v>
          </cell>
        </row>
        <row r="315">
          <cell r="A315">
            <v>313</v>
          </cell>
          <cell r="C315" t="str">
            <v>Fringe Benefits</v>
          </cell>
        </row>
        <row r="316">
          <cell r="A316">
            <v>314</v>
          </cell>
          <cell r="C316" t="str">
            <v>Monthly Actual</v>
          </cell>
          <cell r="E316">
            <v>3.9243948199999998</v>
          </cell>
          <cell r="F316">
            <v>5.9830662300000004</v>
          </cell>
          <cell r="G316">
            <v>3.7861667199999989</v>
          </cell>
          <cell r="H316">
            <v>2.6139004000000003</v>
          </cell>
          <cell r="I316">
            <v>-1.5649854300000001</v>
          </cell>
          <cell r="J316">
            <v>3.5921915700000007</v>
          </cell>
          <cell r="K316">
            <v>4.6910249000000004</v>
          </cell>
          <cell r="L316">
            <v>0</v>
          </cell>
          <cell r="M316">
            <v>0</v>
          </cell>
          <cell r="N316">
            <v>0</v>
          </cell>
          <cell r="O316">
            <v>0</v>
          </cell>
          <cell r="P316">
            <v>0</v>
          </cell>
        </row>
        <row r="317">
          <cell r="A317">
            <v>315</v>
          </cell>
          <cell r="C317" t="str">
            <v>QTD Actual</v>
          </cell>
          <cell r="E317">
            <v>3.9243948199999998</v>
          </cell>
          <cell r="F317">
            <v>9.9074610500000002</v>
          </cell>
          <cell r="G317">
            <v>13.693627769999999</v>
          </cell>
          <cell r="H317">
            <v>2.6139004000000003</v>
          </cell>
          <cell r="I317">
            <v>1.0489149700000002</v>
          </cell>
          <cell r="J317">
            <v>4.6411065400000009</v>
          </cell>
          <cell r="K317">
            <v>4.6910249000000004</v>
          </cell>
          <cell r="L317">
            <v>0</v>
          </cell>
          <cell r="M317">
            <v>0</v>
          </cell>
          <cell r="N317">
            <v>0</v>
          </cell>
          <cell r="O317">
            <v>0</v>
          </cell>
          <cell r="P317">
            <v>0</v>
          </cell>
        </row>
        <row r="318">
          <cell r="A318">
            <v>316</v>
          </cell>
          <cell r="C318" t="str">
            <v>YTD Actual</v>
          </cell>
          <cell r="E318">
            <v>3.9243948199999998</v>
          </cell>
          <cell r="F318">
            <v>9.9074610500000002</v>
          </cell>
          <cell r="G318">
            <v>13.693627770000001</v>
          </cell>
          <cell r="H318">
            <v>16.307528170000001</v>
          </cell>
          <cell r="I318">
            <v>14.742542740000001</v>
          </cell>
          <cell r="J318">
            <v>18.334734310000002</v>
          </cell>
          <cell r="K318">
            <v>23.02575921</v>
          </cell>
          <cell r="L318">
            <v>0</v>
          </cell>
          <cell r="M318">
            <v>0</v>
          </cell>
          <cell r="N318">
            <v>0</v>
          </cell>
          <cell r="O318">
            <v>0</v>
          </cell>
          <cell r="P318">
            <v>0</v>
          </cell>
        </row>
        <row r="319">
          <cell r="A319">
            <v>317</v>
          </cell>
        </row>
        <row r="320">
          <cell r="A320">
            <v>318</v>
          </cell>
          <cell r="C320" t="str">
            <v>Monthly Budget</v>
          </cell>
          <cell r="E320">
            <v>2.7240000000000002</v>
          </cell>
          <cell r="F320">
            <v>2.4859999999999998</v>
          </cell>
          <cell r="G320">
            <v>2.7469999999999999</v>
          </cell>
          <cell r="H320">
            <v>2.657</v>
          </cell>
          <cell r="I320">
            <v>2.7949999999999999</v>
          </cell>
          <cell r="J320">
            <v>2.6660000000000004</v>
          </cell>
          <cell r="K320">
            <v>2.7450000000000001</v>
          </cell>
          <cell r="L320">
            <v>2.76</v>
          </cell>
          <cell r="M320">
            <v>2.6549999999999998</v>
          </cell>
          <cell r="N320">
            <v>2.7989999999999999</v>
          </cell>
          <cell r="O320">
            <v>2.6930000000000001</v>
          </cell>
          <cell r="P320">
            <v>2.7210000000000001</v>
          </cell>
        </row>
        <row r="321">
          <cell r="A321">
            <v>319</v>
          </cell>
          <cell r="C321" t="str">
            <v>QTD Budget</v>
          </cell>
          <cell r="E321">
            <v>2.7240000000000002</v>
          </cell>
          <cell r="F321">
            <v>5.21</v>
          </cell>
          <cell r="G321">
            <v>7.9569999999999999</v>
          </cell>
          <cell r="H321">
            <v>2.657</v>
          </cell>
          <cell r="I321">
            <v>5.452</v>
          </cell>
          <cell r="J321">
            <v>8.1180000000000003</v>
          </cell>
          <cell r="K321">
            <v>2.7450000000000001</v>
          </cell>
          <cell r="L321">
            <v>5.5049999999999999</v>
          </cell>
          <cell r="M321">
            <v>8.16</v>
          </cell>
          <cell r="N321">
            <v>2.7989999999999999</v>
          </cell>
          <cell r="O321">
            <v>5.492</v>
          </cell>
          <cell r="P321">
            <v>8.213000000000001</v>
          </cell>
        </row>
        <row r="322">
          <cell r="A322">
            <v>320</v>
          </cell>
          <cell r="C322" t="str">
            <v>YTD Budget</v>
          </cell>
          <cell r="E322">
            <v>2.7240000000000002</v>
          </cell>
          <cell r="F322">
            <v>5.21</v>
          </cell>
          <cell r="G322">
            <v>7.9569999999999999</v>
          </cell>
          <cell r="H322">
            <v>10.614000000000001</v>
          </cell>
          <cell r="I322">
            <v>13.409000000000001</v>
          </cell>
          <cell r="J322">
            <v>16.075000000000003</v>
          </cell>
          <cell r="K322">
            <v>18.820000000000004</v>
          </cell>
          <cell r="L322">
            <v>21.580000000000005</v>
          </cell>
          <cell r="M322">
            <v>24.235000000000007</v>
          </cell>
          <cell r="N322">
            <v>27.034000000000006</v>
          </cell>
          <cell r="O322">
            <v>29.727000000000007</v>
          </cell>
          <cell r="P322">
            <v>32.448000000000008</v>
          </cell>
        </row>
        <row r="323">
          <cell r="A323">
            <v>321</v>
          </cell>
        </row>
        <row r="324">
          <cell r="A324">
            <v>322</v>
          </cell>
          <cell r="C324" t="str">
            <v>3-9 QTD LE</v>
          </cell>
          <cell r="E324">
            <v>3.9243948199999998</v>
          </cell>
          <cell r="F324">
            <v>9.9074610500000002</v>
          </cell>
          <cell r="G324">
            <v>13.693627769999999</v>
          </cell>
          <cell r="H324">
            <v>0</v>
          </cell>
          <cell r="I324">
            <v>0</v>
          </cell>
          <cell r="J324">
            <v>0</v>
          </cell>
          <cell r="K324">
            <v>0</v>
          </cell>
          <cell r="L324">
            <v>0</v>
          </cell>
          <cell r="M324">
            <v>0</v>
          </cell>
          <cell r="N324">
            <v>0</v>
          </cell>
          <cell r="O324">
            <v>0</v>
          </cell>
          <cell r="P324">
            <v>-11.25</v>
          </cell>
        </row>
        <row r="325">
          <cell r="A325">
            <v>323</v>
          </cell>
          <cell r="C325" t="str">
            <v>6-6 QTD LE</v>
          </cell>
          <cell r="E325">
            <v>3.9243948199999998</v>
          </cell>
          <cell r="F325">
            <v>9.9074610500000002</v>
          </cell>
          <cell r="G325">
            <v>13.693627769999999</v>
          </cell>
          <cell r="H325">
            <v>2.6139004000000003</v>
          </cell>
          <cell r="I325">
            <v>1.0489149700000002</v>
          </cell>
          <cell r="J325">
            <v>4.6411065400000009</v>
          </cell>
          <cell r="K325">
            <v>3.0850361540647575</v>
          </cell>
          <cell r="L325">
            <v>6.2298292935906598</v>
          </cell>
          <cell r="M325">
            <v>9.6180485414252459</v>
          </cell>
          <cell r="N325">
            <v>3.3916604502030068</v>
          </cell>
          <cell r="O325">
            <v>6.6359884896912824</v>
          </cell>
          <cell r="P325">
            <v>10.299480919092549</v>
          </cell>
        </row>
        <row r="326">
          <cell r="A326">
            <v>324</v>
          </cell>
          <cell r="C326" t="str">
            <v>9-3 QTD LE</v>
          </cell>
          <cell r="E326">
            <v>3.9243948199999998</v>
          </cell>
          <cell r="F326">
            <v>9.9074610500000002</v>
          </cell>
          <cell r="G326">
            <v>13.693627769999999</v>
          </cell>
          <cell r="H326">
            <v>13.693627769999999</v>
          </cell>
          <cell r="I326">
            <v>16.307528169999998</v>
          </cell>
          <cell r="J326">
            <v>14.742542739999998</v>
          </cell>
          <cell r="K326">
            <v>3.5921915700000007</v>
          </cell>
          <cell r="L326">
            <v>8.2332981100000016</v>
          </cell>
          <cell r="M326">
            <v>12.924323010000002</v>
          </cell>
          <cell r="N326">
            <v>3.1447931395259028</v>
          </cell>
          <cell r="O326">
            <v>3.3882192478345869</v>
          </cell>
          <cell r="P326">
            <v>11.224037287360488</v>
          </cell>
        </row>
        <row r="327">
          <cell r="A327">
            <v>325</v>
          </cell>
        </row>
        <row r="328">
          <cell r="A328">
            <v>326</v>
          </cell>
          <cell r="C328" t="str">
            <v>3-9 YTD LE</v>
          </cell>
          <cell r="E328">
            <v>3.9243948199999998</v>
          </cell>
          <cell r="F328">
            <v>9.9074610500000002</v>
          </cell>
          <cell r="G328">
            <v>13.693627769999999</v>
          </cell>
          <cell r="H328">
            <v>13.693627769999999</v>
          </cell>
          <cell r="I328">
            <v>13.693627769999999</v>
          </cell>
          <cell r="J328">
            <v>13.693627769999999</v>
          </cell>
          <cell r="K328">
            <v>13.693627769999999</v>
          </cell>
          <cell r="L328">
            <v>13.693627769999999</v>
          </cell>
          <cell r="M328">
            <v>13.693627769999999</v>
          </cell>
          <cell r="N328">
            <v>13.693627769999999</v>
          </cell>
          <cell r="O328">
            <v>13.693627769999999</v>
          </cell>
          <cell r="P328">
            <v>2.4436277699999991</v>
          </cell>
        </row>
        <row r="329">
          <cell r="A329">
            <v>327</v>
          </cell>
          <cell r="C329" t="str">
            <v>6-6 YTD LE</v>
          </cell>
          <cell r="E329">
            <v>3.9243948199999998</v>
          </cell>
          <cell r="F329">
            <v>9.9074610500000002</v>
          </cell>
          <cell r="G329">
            <v>13.693627769999999</v>
          </cell>
          <cell r="H329">
            <v>16.307528169999998</v>
          </cell>
          <cell r="I329">
            <v>14.742542739999998</v>
          </cell>
          <cell r="J329">
            <v>18.334734309999998</v>
          </cell>
          <cell r="K329">
            <v>21.419770464064754</v>
          </cell>
          <cell r="L329">
            <v>24.564563603590656</v>
          </cell>
          <cell r="M329">
            <v>27.952782851425244</v>
          </cell>
          <cell r="N329">
            <v>31.34444330162825</v>
          </cell>
          <cell r="O329">
            <v>34.588771341116527</v>
          </cell>
          <cell r="P329">
            <v>38.252263770517793</v>
          </cell>
        </row>
        <row r="330">
          <cell r="A330">
            <v>328</v>
          </cell>
          <cell r="C330" t="str">
            <v>9-3 YTD LE</v>
          </cell>
          <cell r="E330">
            <v>3.9243948199999998</v>
          </cell>
          <cell r="F330">
            <v>9.9074610500000002</v>
          </cell>
          <cell r="G330">
            <v>13.693627769999999</v>
          </cell>
          <cell r="H330">
            <v>27.387255539999998</v>
          </cell>
          <cell r="I330">
            <v>30.001155939999997</v>
          </cell>
          <cell r="J330">
            <v>28.436170509999997</v>
          </cell>
          <cell r="K330">
            <v>32.028362079999994</v>
          </cell>
          <cell r="L330">
            <v>36.669468619999996</v>
          </cell>
          <cell r="M330">
            <v>41.360493519999999</v>
          </cell>
          <cell r="N330">
            <v>44.5052866595259</v>
          </cell>
          <cell r="O330">
            <v>47.893505907360485</v>
          </cell>
          <cell r="P330">
            <v>59.117543194720973</v>
          </cell>
        </row>
        <row r="331">
          <cell r="A331">
            <v>329</v>
          </cell>
        </row>
        <row r="332">
          <cell r="A332">
            <v>330</v>
          </cell>
          <cell r="C332" t="str">
            <v>Salaries</v>
          </cell>
        </row>
        <row r="333">
          <cell r="A333">
            <v>331</v>
          </cell>
          <cell r="C333" t="str">
            <v>Monthly Actual</v>
          </cell>
          <cell r="E333">
            <v>10.127219589999999</v>
          </cell>
          <cell r="F333">
            <v>11.14968266</v>
          </cell>
          <cell r="G333">
            <v>9.6102007700000005</v>
          </cell>
          <cell r="H333">
            <v>9.8690210799999996</v>
          </cell>
          <cell r="I333">
            <v>10.247396929999999</v>
          </cell>
          <cell r="J333">
            <v>10.5214546</v>
          </cell>
          <cell r="K333">
            <v>11.1516141</v>
          </cell>
          <cell r="L333">
            <v>0</v>
          </cell>
          <cell r="M333">
            <v>0</v>
          </cell>
          <cell r="N333">
            <v>0</v>
          </cell>
          <cell r="O333">
            <v>0</v>
          </cell>
          <cell r="P333">
            <v>0</v>
          </cell>
        </row>
        <row r="334">
          <cell r="A334">
            <v>332</v>
          </cell>
          <cell r="C334" t="str">
            <v>QTD Actual</v>
          </cell>
          <cell r="E334">
            <v>10.127219589999999</v>
          </cell>
          <cell r="F334">
            <v>21.276902249999999</v>
          </cell>
          <cell r="G334">
            <v>30.887103020000001</v>
          </cell>
          <cell r="H334">
            <v>9.8690210799999996</v>
          </cell>
          <cell r="I334">
            <v>20.11641801</v>
          </cell>
          <cell r="J334">
            <v>30.637872610000002</v>
          </cell>
          <cell r="K334">
            <v>11.1516141</v>
          </cell>
          <cell r="L334">
            <v>0</v>
          </cell>
          <cell r="M334">
            <v>0</v>
          </cell>
          <cell r="N334">
            <v>0</v>
          </cell>
          <cell r="O334">
            <v>0</v>
          </cell>
          <cell r="P334">
            <v>0</v>
          </cell>
        </row>
        <row r="335">
          <cell r="A335">
            <v>333</v>
          </cell>
          <cell r="C335" t="str">
            <v>YTD Actual</v>
          </cell>
          <cell r="E335">
            <v>10.127219160000001</v>
          </cell>
          <cell r="F335">
            <v>21.276901819999999</v>
          </cell>
          <cell r="G335">
            <v>30.887102590000001</v>
          </cell>
          <cell r="H335">
            <v>40.756123670000008</v>
          </cell>
          <cell r="I335">
            <v>51.003520600000009</v>
          </cell>
          <cell r="J335">
            <v>61.5249752</v>
          </cell>
          <cell r="K335">
            <v>72.676589300000003</v>
          </cell>
          <cell r="L335">
            <v>0</v>
          </cell>
          <cell r="M335">
            <v>0</v>
          </cell>
          <cell r="N335">
            <v>0</v>
          </cell>
          <cell r="O335">
            <v>0</v>
          </cell>
          <cell r="P335">
            <v>0</v>
          </cell>
        </row>
        <row r="336">
          <cell r="A336">
            <v>334</v>
          </cell>
        </row>
        <row r="337">
          <cell r="A337">
            <v>335</v>
          </cell>
          <cell r="C337" t="str">
            <v>Monthly Budget</v>
          </cell>
          <cell r="E337">
            <v>10.865</v>
          </cell>
          <cell r="F337">
            <v>10.247</v>
          </cell>
          <cell r="G337">
            <v>11.221</v>
          </cell>
          <cell r="H337">
            <v>10.592000000000001</v>
          </cell>
          <cell r="I337">
            <v>11.065000000000001</v>
          </cell>
          <cell r="J337">
            <v>11.202999999999999</v>
          </cell>
          <cell r="K337">
            <v>10.952</v>
          </cell>
          <cell r="L337">
            <v>11.219000000000001</v>
          </cell>
          <cell r="M337">
            <v>10.914999999999999</v>
          </cell>
          <cell r="N337">
            <v>11.038</v>
          </cell>
          <cell r="O337">
            <v>10.84</v>
          </cell>
          <cell r="P337">
            <v>10.865</v>
          </cell>
        </row>
        <row r="338">
          <cell r="A338">
            <v>336</v>
          </cell>
          <cell r="C338" t="str">
            <v>QTD Budget</v>
          </cell>
          <cell r="E338">
            <v>10.865</v>
          </cell>
          <cell r="F338">
            <v>21.112000000000002</v>
          </cell>
          <cell r="G338">
            <v>32.332999999999998</v>
          </cell>
          <cell r="H338">
            <v>10.592000000000001</v>
          </cell>
          <cell r="I338">
            <v>21.657000000000004</v>
          </cell>
          <cell r="J338">
            <v>32.86</v>
          </cell>
          <cell r="K338">
            <v>10.952</v>
          </cell>
          <cell r="L338">
            <v>22.170999999999999</v>
          </cell>
          <cell r="M338">
            <v>33.085999999999999</v>
          </cell>
          <cell r="N338">
            <v>11.038</v>
          </cell>
          <cell r="O338">
            <v>21.878</v>
          </cell>
          <cell r="P338">
            <v>32.743000000000002</v>
          </cell>
        </row>
        <row r="339">
          <cell r="A339">
            <v>337</v>
          </cell>
          <cell r="C339" t="str">
            <v>YTD Budget</v>
          </cell>
          <cell r="E339">
            <v>10.865</v>
          </cell>
          <cell r="F339">
            <v>21.112000000000002</v>
          </cell>
          <cell r="G339">
            <v>32.332999999999998</v>
          </cell>
          <cell r="H339">
            <v>42.924999999999997</v>
          </cell>
          <cell r="I339">
            <v>53.989999999999995</v>
          </cell>
          <cell r="J339">
            <v>65.192999999999998</v>
          </cell>
          <cell r="K339">
            <v>76.144999999999996</v>
          </cell>
          <cell r="L339">
            <v>87.364000000000004</v>
          </cell>
          <cell r="M339">
            <v>98.278999999999996</v>
          </cell>
          <cell r="N339">
            <v>109.31699999999999</v>
          </cell>
          <cell r="O339">
            <v>120.157</v>
          </cell>
          <cell r="P339">
            <v>131.02199999999999</v>
          </cell>
        </row>
        <row r="340">
          <cell r="A340">
            <v>338</v>
          </cell>
        </row>
        <row r="341">
          <cell r="A341">
            <v>339</v>
          </cell>
          <cell r="C341" t="str">
            <v>3-9 QTD LE</v>
          </cell>
          <cell r="E341">
            <v>10.127219589999999</v>
          </cell>
          <cell r="F341">
            <v>21.276902249999999</v>
          </cell>
          <cell r="G341">
            <v>30.887103019999998</v>
          </cell>
          <cell r="H341">
            <v>0</v>
          </cell>
          <cell r="I341">
            <v>0</v>
          </cell>
          <cell r="J341">
            <v>0</v>
          </cell>
          <cell r="K341">
            <v>0</v>
          </cell>
          <cell r="L341">
            <v>0</v>
          </cell>
          <cell r="M341">
            <v>0</v>
          </cell>
          <cell r="N341">
            <v>0</v>
          </cell>
          <cell r="O341">
            <v>0</v>
          </cell>
          <cell r="P341">
            <v>0</v>
          </cell>
        </row>
        <row r="342">
          <cell r="A342">
            <v>340</v>
          </cell>
          <cell r="C342" t="str">
            <v>6-6 QTD LE</v>
          </cell>
          <cell r="E342">
            <v>10.127219589999999</v>
          </cell>
          <cell r="F342">
            <v>21.276902249999999</v>
          </cell>
          <cell r="G342">
            <v>30.887103019999998</v>
          </cell>
          <cell r="H342">
            <v>9.8690210799999996</v>
          </cell>
          <cell r="I342">
            <v>20.116418009999997</v>
          </cell>
          <cell r="J342">
            <v>30.637872609999995</v>
          </cell>
          <cell r="K342">
            <v>11.899994265556645</v>
          </cell>
          <cell r="L342">
            <v>24.030490784183371</v>
          </cell>
          <cell r="M342">
            <v>37.09996148278637</v>
          </cell>
          <cell r="N342">
            <v>13.082744542540567</v>
          </cell>
          <cell r="O342">
            <v>25.597179750901731</v>
          </cell>
          <cell r="P342">
            <v>39.728469215482228</v>
          </cell>
        </row>
        <row r="343">
          <cell r="A343">
            <v>341</v>
          </cell>
          <cell r="C343" t="str">
            <v>9-3 QTD LE</v>
          </cell>
          <cell r="E343">
            <v>10.127219589999999</v>
          </cell>
          <cell r="F343">
            <v>21.276902249999999</v>
          </cell>
          <cell r="G343">
            <v>30.887103019999998</v>
          </cell>
          <cell r="H343">
            <v>30.887103020000001</v>
          </cell>
          <cell r="I343">
            <v>40.756124100000001</v>
          </cell>
          <cell r="J343">
            <v>51.003521030000002</v>
          </cell>
          <cell r="K343">
            <v>10.5214546</v>
          </cell>
          <cell r="L343">
            <v>41.159327210000001</v>
          </cell>
          <cell r="M343">
            <v>52.310941310000004</v>
          </cell>
          <cell r="N343">
            <v>12.130496518626725</v>
          </cell>
          <cell r="O343">
            <v>25.199967217229723</v>
          </cell>
          <cell r="P343">
            <v>61.551548534459457</v>
          </cell>
        </row>
        <row r="344">
          <cell r="A344">
            <v>342</v>
          </cell>
        </row>
        <row r="345">
          <cell r="A345">
            <v>343</v>
          </cell>
          <cell r="C345" t="str">
            <v>3-9 YTD LE</v>
          </cell>
          <cell r="E345">
            <v>10.127219589999999</v>
          </cell>
          <cell r="F345">
            <v>21.276902249999999</v>
          </cell>
          <cell r="G345">
            <v>30.887103019999998</v>
          </cell>
          <cell r="H345">
            <v>30.887103019999998</v>
          </cell>
          <cell r="I345">
            <v>30.887103019999998</v>
          </cell>
          <cell r="J345">
            <v>30.887103019999998</v>
          </cell>
          <cell r="K345">
            <v>30.887103019999998</v>
          </cell>
          <cell r="L345">
            <v>30.887103019999998</v>
          </cell>
          <cell r="M345">
            <v>30.887103019999998</v>
          </cell>
          <cell r="N345">
            <v>30.887103019999998</v>
          </cell>
          <cell r="O345">
            <v>30.887103019999998</v>
          </cell>
          <cell r="P345">
            <v>30.887103019999998</v>
          </cell>
        </row>
        <row r="346">
          <cell r="A346">
            <v>344</v>
          </cell>
          <cell r="C346" t="str">
            <v>6-6 YTD LE</v>
          </cell>
          <cell r="E346">
            <v>10.127219589999999</v>
          </cell>
          <cell r="F346">
            <v>21.276902249999999</v>
          </cell>
          <cell r="G346">
            <v>30.887103019999998</v>
          </cell>
          <cell r="H346">
            <v>40.756124099999994</v>
          </cell>
          <cell r="I346">
            <v>51.003521029999995</v>
          </cell>
          <cell r="J346">
            <v>61.524975629999993</v>
          </cell>
          <cell r="K346">
            <v>73.424969895556643</v>
          </cell>
          <cell r="L346">
            <v>85.555466414183371</v>
          </cell>
          <cell r="M346">
            <v>98.62493711278637</v>
          </cell>
          <cell r="N346">
            <v>111.70768165532694</v>
          </cell>
          <cell r="O346">
            <v>124.2221168636881</v>
          </cell>
          <cell r="P346">
            <v>138.35340632826859</v>
          </cell>
        </row>
        <row r="347">
          <cell r="A347">
            <v>345</v>
          </cell>
          <cell r="C347" t="str">
            <v>9-3 YTD LE</v>
          </cell>
          <cell r="E347">
            <v>10.127219589999999</v>
          </cell>
          <cell r="F347">
            <v>21.276902249999999</v>
          </cell>
          <cell r="G347">
            <v>30.887103019999998</v>
          </cell>
          <cell r="H347">
            <v>61.774206039999996</v>
          </cell>
          <cell r="I347">
            <v>71.643227119999992</v>
          </cell>
          <cell r="J347">
            <v>81.890624049999985</v>
          </cell>
          <cell r="K347">
            <v>92.412078649999984</v>
          </cell>
          <cell r="L347">
            <v>123.04995125999999</v>
          </cell>
          <cell r="M347">
            <v>134.20156535999999</v>
          </cell>
          <cell r="N347">
            <v>146.33206187862672</v>
          </cell>
          <cell r="O347">
            <v>159.40153257722972</v>
          </cell>
          <cell r="P347">
            <v>195.75311389445943</v>
          </cell>
        </row>
        <row r="348">
          <cell r="A348">
            <v>346</v>
          </cell>
        </row>
        <row r="349">
          <cell r="A349">
            <v>347</v>
          </cell>
          <cell r="B349" t="str">
            <v>Dividends to Parents</v>
          </cell>
        </row>
        <row r="350">
          <cell r="A350">
            <v>348</v>
          </cell>
          <cell r="C350" t="str">
            <v>Actual</v>
          </cell>
          <cell r="E350">
            <v>0</v>
          </cell>
          <cell r="F350">
            <v>0</v>
          </cell>
          <cell r="G350">
            <v>45</v>
          </cell>
          <cell r="H350">
            <v>0</v>
          </cell>
          <cell r="I350">
            <v>0</v>
          </cell>
          <cell r="J350">
            <v>55</v>
          </cell>
          <cell r="K350">
            <v>0</v>
          </cell>
          <cell r="L350">
            <v>0</v>
          </cell>
          <cell r="M350">
            <v>0</v>
          </cell>
          <cell r="N350">
            <v>0</v>
          </cell>
          <cell r="O350">
            <v>0</v>
          </cell>
          <cell r="P350">
            <v>0</v>
          </cell>
        </row>
        <row r="351">
          <cell r="A351">
            <v>349</v>
          </cell>
          <cell r="C351" t="str">
            <v>YTD Actual</v>
          </cell>
          <cell r="E351">
            <v>0</v>
          </cell>
          <cell r="F351">
            <v>0</v>
          </cell>
          <cell r="G351">
            <v>45</v>
          </cell>
          <cell r="H351">
            <v>45</v>
          </cell>
          <cell r="I351">
            <v>45</v>
          </cell>
          <cell r="J351">
            <v>100</v>
          </cell>
          <cell r="K351">
            <v>100</v>
          </cell>
          <cell r="L351">
            <v>100</v>
          </cell>
          <cell r="M351">
            <v>100</v>
          </cell>
          <cell r="N351">
            <v>100</v>
          </cell>
          <cell r="O351">
            <v>100</v>
          </cell>
          <cell r="P351">
            <v>100</v>
          </cell>
        </row>
        <row r="352">
          <cell r="A352">
            <v>350</v>
          </cell>
          <cell r="C352" t="str">
            <v>YTD 3-9 LE</v>
          </cell>
          <cell r="E352">
            <v>0</v>
          </cell>
          <cell r="F352">
            <v>0</v>
          </cell>
          <cell r="G352">
            <v>45</v>
          </cell>
          <cell r="H352">
            <v>45</v>
          </cell>
          <cell r="I352">
            <v>45</v>
          </cell>
          <cell r="J352">
            <v>90</v>
          </cell>
          <cell r="K352">
            <v>90</v>
          </cell>
          <cell r="L352">
            <v>90</v>
          </cell>
          <cell r="M352">
            <v>135</v>
          </cell>
          <cell r="N352">
            <v>135</v>
          </cell>
          <cell r="O352">
            <v>135</v>
          </cell>
          <cell r="P352">
            <v>180</v>
          </cell>
        </row>
        <row r="353">
          <cell r="A353">
            <v>351</v>
          </cell>
          <cell r="C353" t="str">
            <v>YTD 6-6 LE</v>
          </cell>
          <cell r="E353">
            <v>0</v>
          </cell>
          <cell r="F353">
            <v>0</v>
          </cell>
          <cell r="G353">
            <v>55</v>
          </cell>
          <cell r="H353">
            <v>55</v>
          </cell>
          <cell r="I353">
            <v>55</v>
          </cell>
          <cell r="J353">
            <v>110</v>
          </cell>
          <cell r="K353">
            <v>110</v>
          </cell>
          <cell r="L353">
            <v>110</v>
          </cell>
          <cell r="M353">
            <v>165</v>
          </cell>
          <cell r="N353">
            <v>165</v>
          </cell>
          <cell r="O353">
            <v>165</v>
          </cell>
          <cell r="P353">
            <v>220</v>
          </cell>
        </row>
        <row r="354">
          <cell r="A354">
            <v>352</v>
          </cell>
          <cell r="C354" t="str">
            <v>YTD 7-5 LE</v>
          </cell>
          <cell r="E354">
            <v>0</v>
          </cell>
          <cell r="F354">
            <v>0</v>
          </cell>
          <cell r="G354">
            <v>0</v>
          </cell>
          <cell r="H354">
            <v>0</v>
          </cell>
          <cell r="I354">
            <v>0</v>
          </cell>
          <cell r="J354">
            <v>0</v>
          </cell>
          <cell r="K354">
            <v>0</v>
          </cell>
          <cell r="L354">
            <v>0</v>
          </cell>
          <cell r="M354">
            <v>0</v>
          </cell>
          <cell r="N354">
            <v>0</v>
          </cell>
          <cell r="O354">
            <v>0</v>
          </cell>
          <cell r="P354">
            <v>0</v>
          </cell>
        </row>
        <row r="355">
          <cell r="A355">
            <v>353</v>
          </cell>
        </row>
        <row r="356">
          <cell r="A356">
            <v>354</v>
          </cell>
          <cell r="B356" t="str">
            <v>Debt Principle Payments</v>
          </cell>
        </row>
        <row r="357">
          <cell r="A357">
            <v>355</v>
          </cell>
          <cell r="C357" t="str">
            <v>Actual</v>
          </cell>
          <cell r="E357">
            <v>0</v>
          </cell>
          <cell r="F357">
            <v>0</v>
          </cell>
          <cell r="G357">
            <v>130</v>
          </cell>
          <cell r="H357">
            <v>0</v>
          </cell>
          <cell r="I357">
            <v>0</v>
          </cell>
          <cell r="J357">
            <v>0</v>
          </cell>
          <cell r="K357">
            <v>0</v>
          </cell>
          <cell r="L357">
            <v>0</v>
          </cell>
          <cell r="M357">
            <v>112</v>
          </cell>
          <cell r="N357">
            <v>0</v>
          </cell>
          <cell r="O357">
            <v>0</v>
          </cell>
          <cell r="P357">
            <v>0</v>
          </cell>
        </row>
        <row r="358">
          <cell r="A358">
            <v>356</v>
          </cell>
          <cell r="C358" t="str">
            <v>YTD Actual</v>
          </cell>
          <cell r="E358">
            <v>0</v>
          </cell>
          <cell r="F358">
            <v>0</v>
          </cell>
          <cell r="G358">
            <v>130</v>
          </cell>
          <cell r="H358">
            <v>130</v>
          </cell>
          <cell r="I358">
            <v>130</v>
          </cell>
          <cell r="J358">
            <v>130</v>
          </cell>
          <cell r="K358">
            <v>130</v>
          </cell>
          <cell r="L358">
            <v>130</v>
          </cell>
          <cell r="M358">
            <v>242</v>
          </cell>
          <cell r="N358">
            <v>242</v>
          </cell>
          <cell r="O358">
            <v>242</v>
          </cell>
          <cell r="P358">
            <v>242</v>
          </cell>
        </row>
        <row r="359">
          <cell r="A359">
            <v>357</v>
          </cell>
          <cell r="C359" t="str">
            <v>YTD 3-9 LE</v>
          </cell>
          <cell r="E359">
            <v>0</v>
          </cell>
          <cell r="F359">
            <v>0</v>
          </cell>
          <cell r="G359">
            <v>130</v>
          </cell>
          <cell r="H359">
            <v>130</v>
          </cell>
          <cell r="I359">
            <v>130</v>
          </cell>
          <cell r="J359">
            <v>130</v>
          </cell>
          <cell r="K359">
            <v>130</v>
          </cell>
          <cell r="L359">
            <v>130</v>
          </cell>
          <cell r="M359">
            <v>242</v>
          </cell>
          <cell r="N359">
            <v>242</v>
          </cell>
          <cell r="O359">
            <v>242</v>
          </cell>
          <cell r="P359">
            <v>242</v>
          </cell>
        </row>
        <row r="360">
          <cell r="A360">
            <v>358</v>
          </cell>
          <cell r="C360" t="str">
            <v>YTD 6-6 LE</v>
          </cell>
          <cell r="E360">
            <v>0</v>
          </cell>
          <cell r="F360">
            <v>0</v>
          </cell>
          <cell r="G360">
            <v>130</v>
          </cell>
          <cell r="H360">
            <v>130</v>
          </cell>
          <cell r="I360">
            <v>130</v>
          </cell>
          <cell r="J360">
            <v>130</v>
          </cell>
          <cell r="K360">
            <v>130</v>
          </cell>
          <cell r="L360">
            <v>130</v>
          </cell>
          <cell r="M360">
            <v>242</v>
          </cell>
          <cell r="N360">
            <v>242</v>
          </cell>
          <cell r="O360">
            <v>242</v>
          </cell>
          <cell r="P360">
            <v>242</v>
          </cell>
        </row>
        <row r="361">
          <cell r="A361">
            <v>359</v>
          </cell>
          <cell r="C361" t="str">
            <v>YTD 7-5 LE</v>
          </cell>
          <cell r="E361">
            <v>0</v>
          </cell>
          <cell r="F361">
            <v>0</v>
          </cell>
          <cell r="G361">
            <v>130</v>
          </cell>
          <cell r="H361">
            <v>130</v>
          </cell>
          <cell r="I361">
            <v>130</v>
          </cell>
          <cell r="J361">
            <v>130</v>
          </cell>
          <cell r="K361">
            <v>130</v>
          </cell>
          <cell r="L361">
            <v>130</v>
          </cell>
          <cell r="M361">
            <v>242</v>
          </cell>
          <cell r="N361">
            <v>242</v>
          </cell>
          <cell r="O361">
            <v>242</v>
          </cell>
          <cell r="P361">
            <v>242</v>
          </cell>
        </row>
        <row r="362">
          <cell r="A362">
            <v>360</v>
          </cell>
          <cell r="C362" t="str">
            <v>Budget</v>
          </cell>
          <cell r="E362">
            <v>0</v>
          </cell>
          <cell r="F362">
            <v>0</v>
          </cell>
          <cell r="G362">
            <v>130</v>
          </cell>
          <cell r="H362">
            <v>130</v>
          </cell>
          <cell r="I362">
            <v>130</v>
          </cell>
          <cell r="J362">
            <v>130</v>
          </cell>
          <cell r="K362">
            <v>130</v>
          </cell>
          <cell r="L362">
            <v>130</v>
          </cell>
          <cell r="M362">
            <v>242</v>
          </cell>
          <cell r="N362">
            <v>242</v>
          </cell>
          <cell r="O362">
            <v>242</v>
          </cell>
          <cell r="P362">
            <v>242</v>
          </cell>
        </row>
        <row r="363">
          <cell r="A363">
            <v>361</v>
          </cell>
        </row>
        <row r="364">
          <cell r="A364">
            <v>362</v>
          </cell>
          <cell r="B364" t="str">
            <v>Headcount</v>
          </cell>
        </row>
        <row r="365">
          <cell r="A365">
            <v>363</v>
          </cell>
          <cell r="C365" t="str">
            <v>Actual</v>
          </cell>
          <cell r="E365">
            <v>19.166666666666668</v>
          </cell>
          <cell r="F365">
            <v>19.166666666666668</v>
          </cell>
          <cell r="G365">
            <v>19.166666666666668</v>
          </cell>
          <cell r="H365">
            <v>19.166666666666668</v>
          </cell>
          <cell r="I365">
            <v>19.166666666666668</v>
          </cell>
          <cell r="J365">
            <v>19.166666666666668</v>
          </cell>
          <cell r="K365">
            <v>0</v>
          </cell>
          <cell r="L365">
            <v>0</v>
          </cell>
          <cell r="M365">
            <v>0</v>
          </cell>
          <cell r="N365">
            <v>0</v>
          </cell>
          <cell r="O365">
            <v>0</v>
          </cell>
          <cell r="P365">
            <v>0</v>
          </cell>
        </row>
        <row r="366">
          <cell r="A366">
            <v>364</v>
          </cell>
          <cell r="C366" t="str">
            <v>Budget</v>
          </cell>
          <cell r="E366">
            <v>0</v>
          </cell>
          <cell r="F366">
            <v>0</v>
          </cell>
          <cell r="G366">
            <v>0</v>
          </cell>
          <cell r="H366">
            <v>0</v>
          </cell>
          <cell r="I366">
            <v>0</v>
          </cell>
          <cell r="J366">
            <v>0</v>
          </cell>
          <cell r="K366">
            <v>0</v>
          </cell>
          <cell r="L366">
            <v>0</v>
          </cell>
          <cell r="M366">
            <v>0</v>
          </cell>
          <cell r="N366">
            <v>0</v>
          </cell>
          <cell r="O366">
            <v>0</v>
          </cell>
          <cell r="P366">
            <v>0</v>
          </cell>
        </row>
        <row r="367">
          <cell r="A367">
            <v>365</v>
          </cell>
          <cell r="C367" t="str">
            <v>3-9 LE</v>
          </cell>
          <cell r="E367">
            <v>3600</v>
          </cell>
          <cell r="F367">
            <v>3600</v>
          </cell>
          <cell r="G367">
            <v>3600</v>
          </cell>
          <cell r="H367">
            <v>3600</v>
          </cell>
          <cell r="I367">
            <v>3600</v>
          </cell>
          <cell r="J367">
            <v>3600</v>
          </cell>
          <cell r="K367">
            <v>3600</v>
          </cell>
          <cell r="L367">
            <v>3600</v>
          </cell>
          <cell r="M367">
            <v>3600</v>
          </cell>
          <cell r="N367">
            <v>3600</v>
          </cell>
          <cell r="O367">
            <v>3600</v>
          </cell>
          <cell r="P367">
            <v>3600</v>
          </cell>
        </row>
        <row r="368">
          <cell r="A368">
            <v>366</v>
          </cell>
          <cell r="C368" t="str">
            <v>6-6 LE</v>
          </cell>
          <cell r="E368">
            <v>3600</v>
          </cell>
          <cell r="F368">
            <v>3600</v>
          </cell>
          <cell r="G368">
            <v>3600</v>
          </cell>
          <cell r="H368">
            <v>3600</v>
          </cell>
          <cell r="I368">
            <v>3600</v>
          </cell>
          <cell r="J368">
            <v>3600</v>
          </cell>
          <cell r="K368">
            <v>3600</v>
          </cell>
          <cell r="L368">
            <v>3600</v>
          </cell>
          <cell r="M368">
            <v>3600</v>
          </cell>
          <cell r="N368">
            <v>3600</v>
          </cell>
          <cell r="O368">
            <v>3600</v>
          </cell>
          <cell r="P368">
            <v>3600</v>
          </cell>
        </row>
        <row r="369">
          <cell r="A369">
            <v>367</v>
          </cell>
          <cell r="C369" t="str">
            <v>7-5 LE</v>
          </cell>
          <cell r="E369">
            <v>0</v>
          </cell>
          <cell r="F369">
            <v>0</v>
          </cell>
          <cell r="G369">
            <v>0</v>
          </cell>
          <cell r="H369">
            <v>0</v>
          </cell>
          <cell r="I369">
            <v>0</v>
          </cell>
          <cell r="J369">
            <v>0</v>
          </cell>
          <cell r="K369">
            <v>0</v>
          </cell>
          <cell r="L369">
            <v>0</v>
          </cell>
          <cell r="M369">
            <v>0</v>
          </cell>
          <cell r="N369">
            <v>0</v>
          </cell>
          <cell r="O369">
            <v>0</v>
          </cell>
          <cell r="P369">
            <v>0</v>
          </cell>
        </row>
        <row r="370">
          <cell r="A370">
            <v>368</v>
          </cell>
        </row>
        <row r="371">
          <cell r="A371">
            <v>369</v>
          </cell>
          <cell r="B371" t="str">
            <v>Sales and Delivery Variances</v>
          </cell>
        </row>
        <row r="372">
          <cell r="A372">
            <v>370</v>
          </cell>
          <cell r="C372" t="str">
            <v>YTD Actual</v>
          </cell>
        </row>
        <row r="373">
          <cell r="A373">
            <v>371</v>
          </cell>
          <cell r="C373" t="str">
            <v>Energy</v>
          </cell>
          <cell r="E373">
            <v>181.95425596000001</v>
          </cell>
          <cell r="F373">
            <v>7.1248404399999856</v>
          </cell>
          <cell r="G373">
            <v>11.27360792999994</v>
          </cell>
          <cell r="H373">
            <v>13.956082739999999</v>
          </cell>
          <cell r="I373">
            <v>15.469881579999935</v>
          </cell>
          <cell r="J373">
            <v>24.11121186999992</v>
          </cell>
          <cell r="K373">
            <v>31.165743389999989</v>
          </cell>
          <cell r="L373">
            <v>0</v>
          </cell>
          <cell r="M373">
            <v>0</v>
          </cell>
          <cell r="N373">
            <v>0</v>
          </cell>
          <cell r="O373">
            <v>0</v>
          </cell>
          <cell r="P373">
            <v>0</v>
          </cell>
        </row>
        <row r="374">
          <cell r="A374">
            <v>372</v>
          </cell>
          <cell r="C374" t="str">
            <v>Delivery</v>
          </cell>
          <cell r="E374">
            <v>-15.404312850000025</v>
          </cell>
          <cell r="F374">
            <v>297.72925831999999</v>
          </cell>
          <cell r="G374">
            <v>453.37859526999995</v>
          </cell>
          <cell r="H374">
            <v>589.98147578999999</v>
          </cell>
          <cell r="I374">
            <v>729.88722329000007</v>
          </cell>
          <cell r="J374">
            <v>910.46640848999994</v>
          </cell>
          <cell r="K374">
            <v>1092.7693092499999</v>
          </cell>
          <cell r="L374">
            <v>0</v>
          </cell>
          <cell r="M374">
            <v>0</v>
          </cell>
          <cell r="N374">
            <v>0</v>
          </cell>
          <cell r="O374">
            <v>0</v>
          </cell>
          <cell r="P374">
            <v>0</v>
          </cell>
        </row>
        <row r="375">
          <cell r="A375">
            <v>373</v>
          </cell>
          <cell r="C375" t="str">
            <v>Gas</v>
          </cell>
          <cell r="E375">
            <v>32.419187210000018</v>
          </cell>
          <cell r="F375">
            <v>60.914763430000022</v>
          </cell>
          <cell r="G375">
            <v>89.968092679999984</v>
          </cell>
          <cell r="H375">
            <v>104.14024187999999</v>
          </cell>
          <cell r="I375">
            <v>114.83977269000002</v>
          </cell>
          <cell r="J375">
            <v>123.70187869</v>
          </cell>
          <cell r="K375">
            <v>130.24113655999997</v>
          </cell>
          <cell r="L375">
            <v>0</v>
          </cell>
          <cell r="M375">
            <v>0</v>
          </cell>
          <cell r="N375">
            <v>0</v>
          </cell>
          <cell r="O375">
            <v>0</v>
          </cell>
          <cell r="P375">
            <v>0</v>
          </cell>
        </row>
        <row r="376">
          <cell r="A376">
            <v>374</v>
          </cell>
        </row>
        <row r="377">
          <cell r="A377">
            <v>375</v>
          </cell>
          <cell r="C377" t="str">
            <v>Budget</v>
          </cell>
        </row>
        <row r="378">
          <cell r="A378">
            <v>376</v>
          </cell>
          <cell r="C378" t="str">
            <v>Energy</v>
          </cell>
          <cell r="E378">
            <v>3.2600000000000051</v>
          </cell>
          <cell r="F378">
            <v>5.6779999999999973</v>
          </cell>
          <cell r="G378">
            <v>7.4500000000000028</v>
          </cell>
          <cell r="H378">
            <v>8.3030000000000044</v>
          </cell>
          <cell r="I378">
            <v>9.6090000000000089</v>
          </cell>
          <cell r="J378">
            <v>13.265000000000015</v>
          </cell>
          <cell r="K378">
            <v>19.302000000000021</v>
          </cell>
          <cell r="L378">
            <v>24.506000000000014</v>
          </cell>
          <cell r="M378">
            <v>27.50500000000001</v>
          </cell>
          <cell r="N378">
            <v>28.609000000000009</v>
          </cell>
          <cell r="O378">
            <v>30.260000000000019</v>
          </cell>
          <cell r="P378">
            <v>32.936000000000021</v>
          </cell>
        </row>
        <row r="379">
          <cell r="A379">
            <v>377</v>
          </cell>
          <cell r="C379" t="str">
            <v>Delivery</v>
          </cell>
          <cell r="E379">
            <v>159.50300000000001</v>
          </cell>
          <cell r="F379">
            <v>303.16399999999999</v>
          </cell>
          <cell r="G379">
            <v>446.649</v>
          </cell>
          <cell r="H379">
            <v>578.02300000000002</v>
          </cell>
          <cell r="I379">
            <v>714.42499999999995</v>
          </cell>
          <cell r="J379">
            <v>873.59399999999994</v>
          </cell>
          <cell r="K379">
            <v>1062.931</v>
          </cell>
          <cell r="L379">
            <v>1246.559</v>
          </cell>
          <cell r="M379">
            <v>1402.1030000000001</v>
          </cell>
          <cell r="N379">
            <v>1536.7910000000002</v>
          </cell>
          <cell r="O379">
            <v>1676.4690000000003</v>
          </cell>
          <cell r="P379">
            <v>1829.6750000000002</v>
          </cell>
        </row>
        <row r="380">
          <cell r="A380">
            <v>378</v>
          </cell>
          <cell r="C380" t="str">
            <v>Gas</v>
          </cell>
          <cell r="E380">
            <v>36.372</v>
          </cell>
          <cell r="F380">
            <v>71.082999999999998</v>
          </cell>
          <cell r="G380">
            <v>101.82</v>
          </cell>
          <cell r="H380">
            <v>124.32199999999999</v>
          </cell>
          <cell r="I380">
            <v>138.667</v>
          </cell>
          <cell r="J380">
            <v>149.01500000000001</v>
          </cell>
          <cell r="K380">
            <v>158.161</v>
          </cell>
          <cell r="L380">
            <v>167.167</v>
          </cell>
          <cell r="M380">
            <v>176.797</v>
          </cell>
          <cell r="N380">
            <v>188.833</v>
          </cell>
          <cell r="O380">
            <v>208.11599999999999</v>
          </cell>
          <cell r="P380">
            <v>235.09199999999998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 O M"/>
      <sheetName val="BUD O M"/>
      <sheetName val="ACT CAP"/>
      <sheetName val="BUD CAP"/>
      <sheetName val="Calculations"/>
    </sheetNames>
    <sheetDataSet>
      <sheetData sheetId="0" refreshError="1">
        <row r="7">
          <cell r="D7">
            <v>42631.939999999995</v>
          </cell>
          <cell r="E7">
            <v>33885.899999999994</v>
          </cell>
          <cell r="F7">
            <v>42182.119999999995</v>
          </cell>
          <cell r="G7">
            <v>46031.429999999993</v>
          </cell>
          <cell r="H7">
            <v>45035.1</v>
          </cell>
          <cell r="I7">
            <v>43921.56</v>
          </cell>
          <cell r="J7">
            <v>48408</v>
          </cell>
          <cell r="K7">
            <v>63191.88</v>
          </cell>
          <cell r="L7">
            <v>57001</v>
          </cell>
          <cell r="M7">
            <v>67803.33</v>
          </cell>
          <cell r="N7">
            <v>57478.12</v>
          </cell>
          <cell r="O7">
            <v>49319.12</v>
          </cell>
          <cell r="P7">
            <v>422288.93</v>
          </cell>
          <cell r="Q7">
            <v>1210</v>
          </cell>
          <cell r="R7">
            <v>441000</v>
          </cell>
          <cell r="S7">
            <v>0</v>
          </cell>
          <cell r="T7">
            <v>441000</v>
          </cell>
        </row>
        <row r="8">
          <cell r="D8">
            <v>-417.93</v>
          </cell>
          <cell r="E8">
            <v>-306.72000000000003</v>
          </cell>
          <cell r="F8">
            <v>211.68</v>
          </cell>
          <cell r="G8">
            <v>313.64</v>
          </cell>
          <cell r="H8">
            <v>756.89</v>
          </cell>
          <cell r="I8">
            <v>438.26</v>
          </cell>
          <cell r="J8">
            <v>1318.25</v>
          </cell>
          <cell r="K8">
            <v>1022</v>
          </cell>
          <cell r="L8">
            <v>1113</v>
          </cell>
          <cell r="M8">
            <v>1682.9</v>
          </cell>
          <cell r="N8">
            <v>1086.8499999999999</v>
          </cell>
          <cell r="O8">
            <v>999.2</v>
          </cell>
          <cell r="P8">
            <v>4449.07</v>
          </cell>
          <cell r="Q8">
            <v>1220</v>
          </cell>
          <cell r="R8">
            <v>24000</v>
          </cell>
          <cell r="S8">
            <v>0</v>
          </cell>
          <cell r="T8">
            <v>24000</v>
          </cell>
        </row>
        <row r="9">
          <cell r="F9">
            <v>18972.039999999979</v>
          </cell>
          <cell r="I9">
            <v>475000</v>
          </cell>
          <cell r="L9">
            <v>416850</v>
          </cell>
          <cell r="M9">
            <v>36400</v>
          </cell>
          <cell r="N9">
            <v>0</v>
          </cell>
          <cell r="O9">
            <v>350000</v>
          </cell>
          <cell r="P9">
            <v>910822.04</v>
          </cell>
          <cell r="Q9">
            <v>1230</v>
          </cell>
          <cell r="R9">
            <v>788000</v>
          </cell>
          <cell r="S9">
            <v>0</v>
          </cell>
          <cell r="T9">
            <v>788000</v>
          </cell>
        </row>
        <row r="10">
          <cell r="M10">
            <v>0</v>
          </cell>
          <cell r="N10">
            <v>0</v>
          </cell>
          <cell r="O10">
            <v>0</v>
          </cell>
          <cell r="P10">
            <v>0</v>
          </cell>
          <cell r="Q10">
            <v>1240</v>
          </cell>
          <cell r="R10">
            <v>100000</v>
          </cell>
          <cell r="S10">
            <v>0</v>
          </cell>
          <cell r="T10">
            <v>100000</v>
          </cell>
        </row>
        <row r="11">
          <cell r="F11">
            <v>70804.010000000009</v>
          </cell>
          <cell r="G11">
            <v>-24042.969999999998</v>
          </cell>
          <cell r="H11">
            <v>22234.77</v>
          </cell>
          <cell r="I11">
            <v>11758.77</v>
          </cell>
          <cell r="J11">
            <v>25689.96</v>
          </cell>
          <cell r="K11">
            <v>20763</v>
          </cell>
          <cell r="L11">
            <v>24576</v>
          </cell>
          <cell r="M11">
            <v>32351.18</v>
          </cell>
          <cell r="N11">
            <v>33652.86</v>
          </cell>
          <cell r="O11">
            <v>33992.76</v>
          </cell>
          <cell r="P11">
            <v>151783.54</v>
          </cell>
          <cell r="Q11">
            <v>1299</v>
          </cell>
          <cell r="R11">
            <v>167600</v>
          </cell>
          <cell r="S11">
            <v>0</v>
          </cell>
          <cell r="T11">
            <v>167600</v>
          </cell>
        </row>
        <row r="12">
          <cell r="F12">
            <v>4318.7700000000004</v>
          </cell>
          <cell r="G12">
            <v>7792.87</v>
          </cell>
          <cell r="M12">
            <v>0</v>
          </cell>
          <cell r="N12">
            <v>0</v>
          </cell>
          <cell r="O12">
            <v>0</v>
          </cell>
          <cell r="P12">
            <v>12111.64</v>
          </cell>
          <cell r="Q12">
            <v>1610</v>
          </cell>
          <cell r="R12">
            <v>0</v>
          </cell>
          <cell r="S12">
            <v>0</v>
          </cell>
          <cell r="T12">
            <v>0</v>
          </cell>
        </row>
        <row r="13">
          <cell r="I13">
            <v>2940</v>
          </cell>
          <cell r="M13">
            <v>0</v>
          </cell>
          <cell r="N13">
            <v>0</v>
          </cell>
          <cell r="O13">
            <v>0</v>
          </cell>
          <cell r="P13">
            <v>2940</v>
          </cell>
          <cell r="Q13">
            <v>1700</v>
          </cell>
          <cell r="R13">
            <v>0</v>
          </cell>
          <cell r="S13">
            <v>0</v>
          </cell>
          <cell r="T13">
            <v>0</v>
          </cell>
        </row>
        <row r="14">
          <cell r="D14">
            <v>163949.79999999999</v>
          </cell>
          <cell r="E14">
            <v>39747.490000000005</v>
          </cell>
          <cell r="F14">
            <v>-367.54999999999973</v>
          </cell>
          <cell r="G14">
            <v>1120.95</v>
          </cell>
          <cell r="H14">
            <v>6215.32</v>
          </cell>
          <cell r="I14">
            <v>46220.91</v>
          </cell>
          <cell r="J14">
            <v>33709.839999999997</v>
          </cell>
          <cell r="K14">
            <v>54289</v>
          </cell>
          <cell r="L14">
            <v>139265</v>
          </cell>
          <cell r="M14">
            <v>96924.56</v>
          </cell>
          <cell r="N14">
            <v>102546.18</v>
          </cell>
          <cell r="O14">
            <v>230757</v>
          </cell>
          <cell r="P14">
            <v>484150.76</v>
          </cell>
          <cell r="Q14">
            <v>2000</v>
          </cell>
          <cell r="R14">
            <v>103500</v>
          </cell>
          <cell r="S14">
            <v>0</v>
          </cell>
          <cell r="T14">
            <v>103500</v>
          </cell>
        </row>
        <row r="15">
          <cell r="M15">
            <v>0</v>
          </cell>
          <cell r="N15">
            <v>0</v>
          </cell>
          <cell r="O15">
            <v>0</v>
          </cell>
          <cell r="P15">
            <v>0</v>
          </cell>
          <cell r="Q15">
            <v>2300</v>
          </cell>
          <cell r="R15">
            <v>0</v>
          </cell>
          <cell r="S15">
            <v>0</v>
          </cell>
          <cell r="T15">
            <v>0</v>
          </cell>
        </row>
        <row r="16">
          <cell r="D16">
            <v>52621.67</v>
          </cell>
          <cell r="E16">
            <v>54063.19</v>
          </cell>
          <cell r="F16">
            <v>59248.85</v>
          </cell>
          <cell r="G16">
            <v>55944.17</v>
          </cell>
          <cell r="H16">
            <v>57060.58</v>
          </cell>
          <cell r="I16">
            <v>55849.9</v>
          </cell>
          <cell r="J16">
            <v>53440.49</v>
          </cell>
          <cell r="K16">
            <v>57126</v>
          </cell>
          <cell r="L16">
            <v>55790</v>
          </cell>
          <cell r="M16">
            <v>55902.1</v>
          </cell>
          <cell r="N16">
            <v>55268.94</v>
          </cell>
          <cell r="O16">
            <v>61028.19</v>
          </cell>
          <cell r="P16">
            <v>501144.85000000003</v>
          </cell>
          <cell r="Q16">
            <v>2310</v>
          </cell>
          <cell r="R16">
            <v>766500</v>
          </cell>
          <cell r="S16">
            <v>0</v>
          </cell>
          <cell r="T16">
            <v>766500</v>
          </cell>
        </row>
        <row r="17">
          <cell r="M17">
            <v>0</v>
          </cell>
          <cell r="N17">
            <v>0</v>
          </cell>
          <cell r="O17">
            <v>0</v>
          </cell>
          <cell r="P17">
            <v>0</v>
          </cell>
          <cell r="Q17">
            <v>2400</v>
          </cell>
          <cell r="R17">
            <v>0</v>
          </cell>
          <cell r="S17">
            <v>0</v>
          </cell>
          <cell r="T17">
            <v>0</v>
          </cell>
        </row>
        <row r="18">
          <cell r="F18">
            <v>100</v>
          </cell>
          <cell r="J18">
            <v>29860</v>
          </cell>
          <cell r="K18">
            <v>-29860</v>
          </cell>
          <cell r="M18">
            <v>0</v>
          </cell>
          <cell r="N18">
            <v>45081.9</v>
          </cell>
          <cell r="O18">
            <v>29992.5</v>
          </cell>
          <cell r="P18">
            <v>100</v>
          </cell>
          <cell r="Q18">
            <v>2500</v>
          </cell>
          <cell r="R18">
            <v>0</v>
          </cell>
          <cell r="S18">
            <v>0</v>
          </cell>
          <cell r="T18">
            <v>0</v>
          </cell>
        </row>
        <row r="19">
          <cell r="E19">
            <v>604</v>
          </cell>
          <cell r="M19">
            <v>0</v>
          </cell>
          <cell r="N19">
            <v>0</v>
          </cell>
          <cell r="O19">
            <v>607.32000000000005</v>
          </cell>
          <cell r="P19">
            <v>604</v>
          </cell>
          <cell r="Q19">
            <v>3000</v>
          </cell>
          <cell r="R19">
            <v>0</v>
          </cell>
          <cell r="S19">
            <v>0</v>
          </cell>
          <cell r="T19">
            <v>0</v>
          </cell>
        </row>
        <row r="20">
          <cell r="M20">
            <v>0</v>
          </cell>
          <cell r="N20">
            <v>0</v>
          </cell>
          <cell r="O20">
            <v>0</v>
          </cell>
          <cell r="P20">
            <v>0</v>
          </cell>
          <cell r="Q20">
            <v>3100</v>
          </cell>
          <cell r="R20">
            <v>0</v>
          </cell>
          <cell r="S20">
            <v>0</v>
          </cell>
          <cell r="T20">
            <v>0</v>
          </cell>
        </row>
        <row r="21">
          <cell r="D21">
            <v>1457.08</v>
          </cell>
          <cell r="E21">
            <v>861.92</v>
          </cell>
          <cell r="J21">
            <v>397.56</v>
          </cell>
          <cell r="L21">
            <v>857</v>
          </cell>
          <cell r="M21">
            <v>0</v>
          </cell>
          <cell r="N21">
            <v>5156.6099999999997</v>
          </cell>
          <cell r="O21">
            <v>8598.06</v>
          </cell>
          <cell r="P21">
            <v>3573.56</v>
          </cell>
          <cell r="Q21">
            <v>3200</v>
          </cell>
          <cell r="R21">
            <v>0</v>
          </cell>
          <cell r="S21">
            <v>0</v>
          </cell>
          <cell r="T21">
            <v>0</v>
          </cell>
        </row>
        <row r="22">
          <cell r="M22">
            <v>0</v>
          </cell>
          <cell r="N22">
            <v>0</v>
          </cell>
          <cell r="O22">
            <v>4053.72</v>
          </cell>
          <cell r="P22">
            <v>0</v>
          </cell>
          <cell r="Q22">
            <v>4000</v>
          </cell>
          <cell r="R22">
            <v>0</v>
          </cell>
          <cell r="S22">
            <v>0</v>
          </cell>
          <cell r="T22">
            <v>0</v>
          </cell>
        </row>
        <row r="23">
          <cell r="D23">
            <v>10088.1</v>
          </cell>
          <cell r="E23">
            <v>20257</v>
          </cell>
          <cell r="F23">
            <v>3951.42</v>
          </cell>
          <cell r="G23">
            <v>8479.33</v>
          </cell>
          <cell r="H23">
            <v>20189.43</v>
          </cell>
          <cell r="I23">
            <v>12611.89</v>
          </cell>
          <cell r="J23">
            <v>29425.14</v>
          </cell>
          <cell r="K23">
            <v>5986</v>
          </cell>
          <cell r="L23">
            <v>4069</v>
          </cell>
          <cell r="M23">
            <v>11631.01</v>
          </cell>
          <cell r="N23">
            <v>21909.48</v>
          </cell>
          <cell r="O23">
            <v>6873.97</v>
          </cell>
          <cell r="P23">
            <v>115057.31</v>
          </cell>
          <cell r="Q23">
            <v>5000</v>
          </cell>
          <cell r="R23">
            <v>321500</v>
          </cell>
          <cell r="S23">
            <v>0</v>
          </cell>
          <cell r="T23">
            <v>321500</v>
          </cell>
        </row>
        <row r="24">
          <cell r="D24">
            <v>6289.34</v>
          </cell>
          <cell r="E24">
            <v>3051.48</v>
          </cell>
          <cell r="F24">
            <v>5455.95</v>
          </cell>
          <cell r="G24">
            <v>14212.57</v>
          </cell>
          <cell r="H24">
            <v>7305.57</v>
          </cell>
          <cell r="I24">
            <v>20569.5</v>
          </cell>
          <cell r="J24">
            <v>9339.06</v>
          </cell>
          <cell r="K24">
            <v>20979.120000000003</v>
          </cell>
          <cell r="L24">
            <v>8394</v>
          </cell>
          <cell r="M24">
            <v>55361.13</v>
          </cell>
          <cell r="N24">
            <v>8092.79</v>
          </cell>
          <cell r="O24">
            <v>32807.51</v>
          </cell>
          <cell r="P24">
            <v>95596.59</v>
          </cell>
          <cell r="Q24">
            <v>5200</v>
          </cell>
          <cell r="R24">
            <v>783700</v>
          </cell>
          <cell r="S24">
            <v>0</v>
          </cell>
          <cell r="T24">
            <v>783700</v>
          </cell>
        </row>
        <row r="25">
          <cell r="E25">
            <v>63.6</v>
          </cell>
          <cell r="F25">
            <v>273.47000000000003</v>
          </cell>
          <cell r="H25">
            <v>562.29999999999995</v>
          </cell>
          <cell r="M25">
            <v>250</v>
          </cell>
          <cell r="N25">
            <v>0</v>
          </cell>
          <cell r="O25">
            <v>0</v>
          </cell>
          <cell r="P25">
            <v>899.37</v>
          </cell>
          <cell r="Q25">
            <v>5400</v>
          </cell>
          <cell r="R25">
            <v>1800</v>
          </cell>
          <cell r="S25">
            <v>0</v>
          </cell>
          <cell r="T25">
            <v>1800</v>
          </cell>
        </row>
        <row r="26">
          <cell r="D26">
            <v>1002.66</v>
          </cell>
          <cell r="E26">
            <v>861.11</v>
          </cell>
          <cell r="F26">
            <v>830.76</v>
          </cell>
          <cell r="G26">
            <v>836.93</v>
          </cell>
          <cell r="H26">
            <v>888.91</v>
          </cell>
          <cell r="I26">
            <v>1227.83</v>
          </cell>
          <cell r="J26">
            <v>1791.48</v>
          </cell>
          <cell r="K26">
            <v>1541</v>
          </cell>
          <cell r="L26">
            <v>952</v>
          </cell>
          <cell r="M26">
            <v>4261.66</v>
          </cell>
          <cell r="N26">
            <v>1365.12</v>
          </cell>
          <cell r="O26">
            <v>1113.9100000000001</v>
          </cell>
          <cell r="P26">
            <v>9932.68</v>
          </cell>
          <cell r="Q26">
            <v>5600</v>
          </cell>
          <cell r="R26">
            <v>12000</v>
          </cell>
          <cell r="S26">
            <v>0</v>
          </cell>
          <cell r="T26">
            <v>12000</v>
          </cell>
        </row>
        <row r="27">
          <cell r="M27">
            <v>0</v>
          </cell>
          <cell r="N27">
            <v>0</v>
          </cell>
          <cell r="O27">
            <v>0</v>
          </cell>
          <cell r="P27">
            <v>0</v>
          </cell>
          <cell r="Q27">
            <v>5799</v>
          </cell>
          <cell r="R27">
            <v>0</v>
          </cell>
          <cell r="S27">
            <v>0</v>
          </cell>
          <cell r="T27">
            <v>0</v>
          </cell>
        </row>
        <row r="28">
          <cell r="D28">
            <v>40.81</v>
          </cell>
          <cell r="F28">
            <v>346.81</v>
          </cell>
          <cell r="J28">
            <v>255</v>
          </cell>
          <cell r="K28">
            <v>288</v>
          </cell>
          <cell r="L28">
            <v>7450</v>
          </cell>
          <cell r="M28">
            <v>1673.9</v>
          </cell>
          <cell r="N28">
            <v>0</v>
          </cell>
          <cell r="O28">
            <v>15098.26</v>
          </cell>
          <cell r="P28">
            <v>8380.6200000000008</v>
          </cell>
          <cell r="Q28">
            <v>6000</v>
          </cell>
          <cell r="R28">
            <v>10300</v>
          </cell>
          <cell r="S28">
            <v>0</v>
          </cell>
          <cell r="T28">
            <v>10300</v>
          </cell>
        </row>
        <row r="29">
          <cell r="M29">
            <v>0</v>
          </cell>
          <cell r="N29">
            <v>0</v>
          </cell>
          <cell r="O29">
            <v>0</v>
          </cell>
          <cell r="P29">
            <v>0</v>
          </cell>
          <cell r="Q29">
            <v>6200</v>
          </cell>
          <cell r="R29">
            <v>0</v>
          </cell>
          <cell r="S29">
            <v>0</v>
          </cell>
          <cell r="T29">
            <v>0</v>
          </cell>
        </row>
        <row r="30">
          <cell r="M30">
            <v>0</v>
          </cell>
          <cell r="N30">
            <v>0</v>
          </cell>
          <cell r="O30">
            <v>0</v>
          </cell>
          <cell r="P30">
            <v>0</v>
          </cell>
          <cell r="Q30">
            <v>6600</v>
          </cell>
          <cell r="R30">
            <v>0</v>
          </cell>
          <cell r="S30">
            <v>0</v>
          </cell>
          <cell r="T30">
            <v>0</v>
          </cell>
        </row>
        <row r="31">
          <cell r="M31">
            <v>0</v>
          </cell>
          <cell r="N31">
            <v>0</v>
          </cell>
          <cell r="O31">
            <v>0</v>
          </cell>
          <cell r="P31">
            <v>0</v>
          </cell>
          <cell r="Q31">
            <v>6800</v>
          </cell>
          <cell r="R31">
            <v>5100</v>
          </cell>
          <cell r="S31">
            <v>0</v>
          </cell>
          <cell r="T31">
            <v>5100</v>
          </cell>
        </row>
        <row r="32">
          <cell r="E32">
            <v>-27.55</v>
          </cell>
          <cell r="F32">
            <v>-22.32</v>
          </cell>
          <cell r="G32">
            <v>-290</v>
          </cell>
          <cell r="I32">
            <v>-0.01</v>
          </cell>
          <cell r="K32">
            <v>0</v>
          </cell>
          <cell r="L32">
            <v>381</v>
          </cell>
          <cell r="M32">
            <v>214.21</v>
          </cell>
          <cell r="N32">
            <v>-6.99</v>
          </cell>
          <cell r="O32">
            <v>181.66</v>
          </cell>
          <cell r="P32">
            <v>41.120000000000005</v>
          </cell>
          <cell r="Q32">
            <v>7000</v>
          </cell>
          <cell r="R32">
            <v>0</v>
          </cell>
          <cell r="S32">
            <v>0</v>
          </cell>
          <cell r="T32">
            <v>0</v>
          </cell>
        </row>
      </sheetData>
      <sheetData sheetId="1" refreshError="1">
        <row r="7">
          <cell r="D7">
            <v>38900</v>
          </cell>
          <cell r="E7">
            <v>33800</v>
          </cell>
          <cell r="F7">
            <v>37200</v>
          </cell>
          <cell r="G7">
            <v>35500</v>
          </cell>
          <cell r="H7">
            <v>38900</v>
          </cell>
          <cell r="I7">
            <v>35500</v>
          </cell>
          <cell r="J7">
            <v>37200</v>
          </cell>
          <cell r="K7">
            <v>38900</v>
          </cell>
          <cell r="L7">
            <v>33800</v>
          </cell>
          <cell r="M7">
            <v>38900</v>
          </cell>
          <cell r="N7">
            <v>37200</v>
          </cell>
          <cell r="O7">
            <v>35200</v>
          </cell>
        </row>
        <row r="8">
          <cell r="D8">
            <v>2100</v>
          </cell>
          <cell r="E8">
            <v>1800</v>
          </cell>
          <cell r="F8">
            <v>2000</v>
          </cell>
          <cell r="G8">
            <v>1900</v>
          </cell>
          <cell r="H8">
            <v>2100</v>
          </cell>
          <cell r="I8">
            <v>1900</v>
          </cell>
          <cell r="J8">
            <v>2000</v>
          </cell>
          <cell r="K8">
            <v>2100</v>
          </cell>
          <cell r="L8">
            <v>1800</v>
          </cell>
          <cell r="M8">
            <v>2100</v>
          </cell>
          <cell r="N8">
            <v>2000</v>
          </cell>
          <cell r="O8">
            <v>2200</v>
          </cell>
        </row>
        <row r="9">
          <cell r="F9">
            <v>197000</v>
          </cell>
          <cell r="I9">
            <v>197000</v>
          </cell>
          <cell r="L9">
            <v>197000</v>
          </cell>
          <cell r="O9">
            <v>197000</v>
          </cell>
        </row>
        <row r="10">
          <cell r="D10">
            <v>8300</v>
          </cell>
          <cell r="E10">
            <v>8300</v>
          </cell>
          <cell r="F10">
            <v>8400</v>
          </cell>
          <cell r="G10">
            <v>8300</v>
          </cell>
          <cell r="H10">
            <v>8300</v>
          </cell>
          <cell r="I10">
            <v>8400</v>
          </cell>
          <cell r="J10">
            <v>8300</v>
          </cell>
          <cell r="K10">
            <v>8300</v>
          </cell>
          <cell r="L10">
            <v>8400</v>
          </cell>
          <cell r="M10">
            <v>8300</v>
          </cell>
          <cell r="N10">
            <v>8300</v>
          </cell>
          <cell r="O10">
            <v>8400</v>
          </cell>
        </row>
        <row r="11">
          <cell r="D11">
            <v>14800</v>
          </cell>
          <cell r="E11">
            <v>12800</v>
          </cell>
          <cell r="F11">
            <v>14100</v>
          </cell>
          <cell r="G11">
            <v>13500</v>
          </cell>
          <cell r="H11">
            <v>14800</v>
          </cell>
          <cell r="I11">
            <v>13500</v>
          </cell>
          <cell r="J11">
            <v>14100</v>
          </cell>
          <cell r="K11">
            <v>14800</v>
          </cell>
          <cell r="L11">
            <v>12800</v>
          </cell>
          <cell r="M11">
            <v>14800</v>
          </cell>
          <cell r="N11">
            <v>14100</v>
          </cell>
          <cell r="O11">
            <v>13500</v>
          </cell>
        </row>
        <row r="14">
          <cell r="D14">
            <v>8600</v>
          </cell>
          <cell r="E14">
            <v>8600</v>
          </cell>
          <cell r="F14">
            <v>8600</v>
          </cell>
          <cell r="G14">
            <v>8600</v>
          </cell>
          <cell r="H14">
            <v>8600</v>
          </cell>
          <cell r="I14">
            <v>8600</v>
          </cell>
          <cell r="J14">
            <v>8600</v>
          </cell>
          <cell r="K14">
            <v>8600</v>
          </cell>
          <cell r="L14">
            <v>8600</v>
          </cell>
          <cell r="M14">
            <v>8600</v>
          </cell>
          <cell r="N14">
            <v>8600</v>
          </cell>
          <cell r="O14">
            <v>8900</v>
          </cell>
        </row>
        <row r="16">
          <cell r="D16">
            <v>63900</v>
          </cell>
          <cell r="E16">
            <v>63900</v>
          </cell>
          <cell r="F16">
            <v>63900</v>
          </cell>
          <cell r="G16">
            <v>63800</v>
          </cell>
          <cell r="H16">
            <v>63900</v>
          </cell>
          <cell r="I16">
            <v>63800</v>
          </cell>
          <cell r="J16">
            <v>63900</v>
          </cell>
          <cell r="K16">
            <v>63900</v>
          </cell>
          <cell r="L16">
            <v>63800</v>
          </cell>
          <cell r="M16">
            <v>63900</v>
          </cell>
          <cell r="N16">
            <v>63900</v>
          </cell>
          <cell r="O16">
            <v>63900</v>
          </cell>
        </row>
        <row r="23">
          <cell r="D23">
            <v>26800</v>
          </cell>
          <cell r="E23">
            <v>26800</v>
          </cell>
          <cell r="F23">
            <v>26800</v>
          </cell>
          <cell r="G23">
            <v>26800</v>
          </cell>
          <cell r="H23">
            <v>26800</v>
          </cell>
          <cell r="I23">
            <v>26700</v>
          </cell>
          <cell r="J23">
            <v>26800</v>
          </cell>
          <cell r="K23">
            <v>26800</v>
          </cell>
          <cell r="L23">
            <v>26800</v>
          </cell>
          <cell r="M23">
            <v>26800</v>
          </cell>
          <cell r="N23">
            <v>26800</v>
          </cell>
          <cell r="O23">
            <v>26800</v>
          </cell>
        </row>
        <row r="24">
          <cell r="D24">
            <v>71000</v>
          </cell>
          <cell r="E24">
            <v>71000</v>
          </cell>
          <cell r="F24">
            <v>71000</v>
          </cell>
          <cell r="G24">
            <v>65000</v>
          </cell>
          <cell r="H24">
            <v>65000</v>
          </cell>
          <cell r="I24">
            <v>65000</v>
          </cell>
          <cell r="J24">
            <v>75000</v>
          </cell>
          <cell r="K24">
            <v>75000</v>
          </cell>
          <cell r="L24">
            <v>75000</v>
          </cell>
          <cell r="M24">
            <v>50200</v>
          </cell>
          <cell r="N24">
            <v>50200</v>
          </cell>
          <cell r="O24">
            <v>50300</v>
          </cell>
        </row>
        <row r="25">
          <cell r="D25">
            <v>200</v>
          </cell>
          <cell r="E25">
            <v>100</v>
          </cell>
          <cell r="F25">
            <v>100</v>
          </cell>
          <cell r="G25">
            <v>200</v>
          </cell>
          <cell r="H25">
            <v>200</v>
          </cell>
          <cell r="I25">
            <v>100</v>
          </cell>
          <cell r="J25">
            <v>200</v>
          </cell>
          <cell r="K25">
            <v>200</v>
          </cell>
          <cell r="L25">
            <v>100</v>
          </cell>
          <cell r="M25">
            <v>200</v>
          </cell>
          <cell r="N25">
            <v>100</v>
          </cell>
          <cell r="O25">
            <v>100</v>
          </cell>
        </row>
        <row r="26">
          <cell r="D26">
            <v>1000</v>
          </cell>
          <cell r="E26">
            <v>1000</v>
          </cell>
          <cell r="F26">
            <v>1000</v>
          </cell>
          <cell r="G26">
            <v>1000</v>
          </cell>
          <cell r="H26">
            <v>1000</v>
          </cell>
          <cell r="I26">
            <v>1000</v>
          </cell>
          <cell r="J26">
            <v>1000</v>
          </cell>
          <cell r="K26">
            <v>1000</v>
          </cell>
          <cell r="L26">
            <v>1000</v>
          </cell>
          <cell r="M26">
            <v>1000</v>
          </cell>
          <cell r="N26">
            <v>1000</v>
          </cell>
          <cell r="O26">
            <v>1000</v>
          </cell>
        </row>
        <row r="28">
          <cell r="D28">
            <v>900</v>
          </cell>
          <cell r="E28">
            <v>900</v>
          </cell>
          <cell r="F28">
            <v>800</v>
          </cell>
          <cell r="G28">
            <v>900</v>
          </cell>
          <cell r="H28">
            <v>900</v>
          </cell>
          <cell r="I28">
            <v>800</v>
          </cell>
          <cell r="J28">
            <v>900</v>
          </cell>
          <cell r="K28">
            <v>900</v>
          </cell>
          <cell r="L28">
            <v>800</v>
          </cell>
          <cell r="M28">
            <v>900</v>
          </cell>
          <cell r="N28">
            <v>900</v>
          </cell>
          <cell r="O28">
            <v>700</v>
          </cell>
        </row>
        <row r="31">
          <cell r="D31">
            <v>400</v>
          </cell>
          <cell r="E31">
            <v>400</v>
          </cell>
          <cell r="F31">
            <v>500</v>
          </cell>
          <cell r="G31">
            <v>400</v>
          </cell>
          <cell r="H31">
            <v>400</v>
          </cell>
          <cell r="I31">
            <v>500</v>
          </cell>
          <cell r="J31">
            <v>400</v>
          </cell>
          <cell r="K31">
            <v>400</v>
          </cell>
          <cell r="L31">
            <v>400</v>
          </cell>
          <cell r="M31">
            <v>400</v>
          </cell>
          <cell r="N31">
            <v>400</v>
          </cell>
          <cell r="O31">
            <v>500</v>
          </cell>
        </row>
      </sheetData>
      <sheetData sheetId="2" refreshError="1">
        <row r="7">
          <cell r="E7">
            <v>2542.6999999999998</v>
          </cell>
          <cell r="F7">
            <v>749.81999999999994</v>
          </cell>
          <cell r="G7">
            <v>1568.19</v>
          </cell>
          <cell r="H7">
            <v>1200.43</v>
          </cell>
          <cell r="I7">
            <v>225.06</v>
          </cell>
          <cell r="J7">
            <v>2582.1699999999996</v>
          </cell>
          <cell r="K7">
            <v>1034</v>
          </cell>
          <cell r="L7">
            <v>563</v>
          </cell>
          <cell r="M7">
            <v>0</v>
          </cell>
          <cell r="N7">
            <v>204</v>
          </cell>
          <cell r="O7">
            <v>1896.58</v>
          </cell>
          <cell r="P7">
            <v>10465.369999999999</v>
          </cell>
          <cell r="Q7">
            <v>1210</v>
          </cell>
          <cell r="R7">
            <v>0</v>
          </cell>
          <cell r="S7">
            <v>0</v>
          </cell>
          <cell r="T7">
            <v>0</v>
          </cell>
        </row>
        <row r="8">
          <cell r="K8">
            <v>0</v>
          </cell>
          <cell r="M8">
            <v>0</v>
          </cell>
          <cell r="N8">
            <v>0</v>
          </cell>
          <cell r="O8">
            <v>0</v>
          </cell>
          <cell r="P8">
            <v>0</v>
          </cell>
          <cell r="Q8">
            <v>1220</v>
          </cell>
          <cell r="R8">
            <v>0</v>
          </cell>
          <cell r="S8">
            <v>0</v>
          </cell>
          <cell r="T8">
            <v>0</v>
          </cell>
        </row>
        <row r="9">
          <cell r="M9">
            <v>0</v>
          </cell>
          <cell r="N9">
            <v>0</v>
          </cell>
          <cell r="O9">
            <v>0</v>
          </cell>
          <cell r="P9">
            <v>0</v>
          </cell>
          <cell r="Q9">
            <v>1230</v>
          </cell>
          <cell r="R9">
            <v>0</v>
          </cell>
          <cell r="S9">
            <v>0</v>
          </cell>
          <cell r="T9">
            <v>0</v>
          </cell>
        </row>
        <row r="10">
          <cell r="M10">
            <v>0</v>
          </cell>
          <cell r="N10">
            <v>0</v>
          </cell>
          <cell r="O10">
            <v>0</v>
          </cell>
          <cell r="P10">
            <v>0</v>
          </cell>
          <cell r="Q10">
            <v>1240</v>
          </cell>
          <cell r="R10">
            <v>0</v>
          </cell>
          <cell r="S10">
            <v>0</v>
          </cell>
          <cell r="T10">
            <v>0</v>
          </cell>
        </row>
        <row r="11">
          <cell r="F11">
            <v>2099.08</v>
          </cell>
          <cell r="G11">
            <v>-892.26</v>
          </cell>
          <cell r="H11">
            <v>-109.9</v>
          </cell>
          <cell r="I11">
            <v>98.449999999999989</v>
          </cell>
          <cell r="J11">
            <v>1452.74</v>
          </cell>
          <cell r="K11">
            <v>330</v>
          </cell>
          <cell r="L11">
            <v>259</v>
          </cell>
          <cell r="M11">
            <v>0</v>
          </cell>
          <cell r="N11">
            <v>119.16</v>
          </cell>
          <cell r="O11">
            <v>1458.14</v>
          </cell>
          <cell r="P11">
            <v>3237.1099999999997</v>
          </cell>
          <cell r="Q11">
            <v>1299</v>
          </cell>
          <cell r="R11">
            <v>0</v>
          </cell>
          <cell r="S11">
            <v>0</v>
          </cell>
          <cell r="T11">
            <v>0</v>
          </cell>
        </row>
        <row r="12">
          <cell r="M12">
            <v>0</v>
          </cell>
          <cell r="N12">
            <v>0</v>
          </cell>
          <cell r="O12">
            <v>0</v>
          </cell>
          <cell r="P12">
            <v>0</v>
          </cell>
          <cell r="Q12">
            <v>1610</v>
          </cell>
          <cell r="R12">
            <v>0</v>
          </cell>
          <cell r="S12">
            <v>0</v>
          </cell>
          <cell r="T12">
            <v>0</v>
          </cell>
        </row>
        <row r="13">
          <cell r="M13">
            <v>0</v>
          </cell>
          <cell r="N13">
            <v>0</v>
          </cell>
          <cell r="O13">
            <v>0</v>
          </cell>
          <cell r="P13">
            <v>0</v>
          </cell>
          <cell r="Q13">
            <v>1700</v>
          </cell>
          <cell r="R13">
            <v>0</v>
          </cell>
          <cell r="S13">
            <v>0</v>
          </cell>
          <cell r="T13">
            <v>0</v>
          </cell>
        </row>
        <row r="14">
          <cell r="F14">
            <v>296.39999999999998</v>
          </cell>
          <cell r="G14">
            <v>61.4</v>
          </cell>
          <cell r="H14">
            <v>-61.4</v>
          </cell>
          <cell r="K14">
            <v>0</v>
          </cell>
          <cell r="M14">
            <v>0</v>
          </cell>
          <cell r="N14">
            <v>0</v>
          </cell>
          <cell r="O14">
            <v>0</v>
          </cell>
          <cell r="P14">
            <v>296.39999999999998</v>
          </cell>
          <cell r="Q14">
            <v>2000</v>
          </cell>
          <cell r="R14">
            <v>0</v>
          </cell>
          <cell r="S14">
            <v>0</v>
          </cell>
          <cell r="T14">
            <v>0</v>
          </cell>
        </row>
        <row r="15">
          <cell r="M15">
            <v>0</v>
          </cell>
          <cell r="N15">
            <v>0</v>
          </cell>
          <cell r="O15">
            <v>0</v>
          </cell>
          <cell r="P15">
            <v>0</v>
          </cell>
          <cell r="Q15">
            <v>2300</v>
          </cell>
          <cell r="R15">
            <v>0</v>
          </cell>
          <cell r="S15">
            <v>0</v>
          </cell>
          <cell r="T15">
            <v>0</v>
          </cell>
        </row>
        <row r="16">
          <cell r="M16">
            <v>0</v>
          </cell>
          <cell r="N16">
            <v>0</v>
          </cell>
          <cell r="O16">
            <v>0</v>
          </cell>
          <cell r="P16">
            <v>0</v>
          </cell>
          <cell r="Q16">
            <v>2310</v>
          </cell>
          <cell r="R16">
            <v>0</v>
          </cell>
          <cell r="S16">
            <v>0</v>
          </cell>
          <cell r="T16">
            <v>0</v>
          </cell>
        </row>
        <row r="17">
          <cell r="M17">
            <v>0</v>
          </cell>
          <cell r="N17">
            <v>0</v>
          </cell>
          <cell r="O17">
            <v>0</v>
          </cell>
          <cell r="P17">
            <v>0</v>
          </cell>
          <cell r="Q17">
            <v>2400</v>
          </cell>
          <cell r="R17">
            <v>0</v>
          </cell>
          <cell r="S17">
            <v>0</v>
          </cell>
          <cell r="T17">
            <v>0</v>
          </cell>
        </row>
        <row r="18">
          <cell r="K18">
            <v>0</v>
          </cell>
          <cell r="M18">
            <v>0</v>
          </cell>
          <cell r="N18">
            <v>0</v>
          </cell>
          <cell r="O18">
            <v>0</v>
          </cell>
          <cell r="P18">
            <v>0</v>
          </cell>
          <cell r="Q18">
            <v>2500</v>
          </cell>
          <cell r="R18">
            <v>0</v>
          </cell>
          <cell r="S18">
            <v>0</v>
          </cell>
          <cell r="T18">
            <v>0</v>
          </cell>
        </row>
        <row r="19">
          <cell r="M19">
            <v>0</v>
          </cell>
          <cell r="N19">
            <v>0</v>
          </cell>
          <cell r="O19">
            <v>0</v>
          </cell>
          <cell r="P19">
            <v>0</v>
          </cell>
          <cell r="Q19">
            <v>3000</v>
          </cell>
          <cell r="R19">
            <v>0</v>
          </cell>
          <cell r="S19">
            <v>0</v>
          </cell>
          <cell r="T19">
            <v>0</v>
          </cell>
        </row>
        <row r="20">
          <cell r="M20">
            <v>0</v>
          </cell>
          <cell r="N20">
            <v>0</v>
          </cell>
          <cell r="O20">
            <v>0</v>
          </cell>
          <cell r="P20">
            <v>0</v>
          </cell>
          <cell r="Q20">
            <v>3100</v>
          </cell>
          <cell r="R20">
            <v>0</v>
          </cell>
          <cell r="S20">
            <v>0</v>
          </cell>
          <cell r="T20">
            <v>0</v>
          </cell>
        </row>
        <row r="21">
          <cell r="L21">
            <v>151</v>
          </cell>
          <cell r="M21">
            <v>0</v>
          </cell>
          <cell r="N21">
            <v>0</v>
          </cell>
          <cell r="O21">
            <v>0</v>
          </cell>
          <cell r="P21">
            <v>151</v>
          </cell>
          <cell r="Q21">
            <v>3200</v>
          </cell>
          <cell r="R21">
            <v>0</v>
          </cell>
          <cell r="S21">
            <v>0</v>
          </cell>
          <cell r="T21">
            <v>0</v>
          </cell>
        </row>
        <row r="22">
          <cell r="M22">
            <v>0</v>
          </cell>
          <cell r="N22">
            <v>0</v>
          </cell>
          <cell r="O22">
            <v>0</v>
          </cell>
          <cell r="P22">
            <v>0</v>
          </cell>
          <cell r="Q22">
            <v>4000</v>
          </cell>
          <cell r="R22">
            <v>0</v>
          </cell>
          <cell r="S22">
            <v>0</v>
          </cell>
          <cell r="T22">
            <v>0</v>
          </cell>
        </row>
        <row r="23">
          <cell r="K23">
            <v>0</v>
          </cell>
          <cell r="M23">
            <v>0</v>
          </cell>
          <cell r="N23">
            <v>0</v>
          </cell>
          <cell r="O23">
            <v>0</v>
          </cell>
          <cell r="P23">
            <v>0</v>
          </cell>
          <cell r="Q23">
            <v>5000</v>
          </cell>
          <cell r="R23">
            <v>0</v>
          </cell>
          <cell r="S23">
            <v>0</v>
          </cell>
          <cell r="T23">
            <v>0</v>
          </cell>
        </row>
        <row r="24">
          <cell r="D24">
            <v>4196</v>
          </cell>
          <cell r="E24">
            <v>4989</v>
          </cell>
          <cell r="F24">
            <v>6530.83</v>
          </cell>
          <cell r="G24">
            <v>-111.26</v>
          </cell>
          <cell r="H24">
            <v>2678.3</v>
          </cell>
          <cell r="I24">
            <v>4104.66</v>
          </cell>
          <cell r="J24">
            <v>2203.0300000000002</v>
          </cell>
          <cell r="K24">
            <v>2519</v>
          </cell>
          <cell r="L24">
            <v>6677</v>
          </cell>
          <cell r="M24">
            <v>5295.13</v>
          </cell>
          <cell r="N24">
            <v>2500.63</v>
          </cell>
          <cell r="O24">
            <v>4765.9399999999996</v>
          </cell>
          <cell r="P24">
            <v>33786.559999999998</v>
          </cell>
          <cell r="Q24">
            <v>5200</v>
          </cell>
          <cell r="R24">
            <v>8000</v>
          </cell>
          <cell r="S24">
            <v>0</v>
          </cell>
          <cell r="T24">
            <v>8000</v>
          </cell>
        </row>
        <row r="25">
          <cell r="M25">
            <v>0</v>
          </cell>
          <cell r="N25">
            <v>0</v>
          </cell>
          <cell r="O25">
            <v>0</v>
          </cell>
          <cell r="P25">
            <v>0</v>
          </cell>
          <cell r="Q25">
            <v>5400</v>
          </cell>
          <cell r="R25">
            <v>0</v>
          </cell>
          <cell r="S25">
            <v>0</v>
          </cell>
          <cell r="T25">
            <v>0</v>
          </cell>
        </row>
        <row r="26">
          <cell r="M26">
            <v>0</v>
          </cell>
          <cell r="N26">
            <v>0</v>
          </cell>
          <cell r="O26">
            <v>0</v>
          </cell>
          <cell r="P26">
            <v>0</v>
          </cell>
          <cell r="Q26">
            <v>5600</v>
          </cell>
          <cell r="R26">
            <v>0</v>
          </cell>
          <cell r="S26">
            <v>0</v>
          </cell>
          <cell r="T26">
            <v>0</v>
          </cell>
        </row>
        <row r="27">
          <cell r="M27">
            <v>0</v>
          </cell>
          <cell r="N27">
            <v>0</v>
          </cell>
          <cell r="O27">
            <v>0</v>
          </cell>
          <cell r="P27">
            <v>0</v>
          </cell>
          <cell r="Q27">
            <v>5799</v>
          </cell>
          <cell r="R27">
            <v>0</v>
          </cell>
          <cell r="S27">
            <v>0</v>
          </cell>
          <cell r="T27">
            <v>0</v>
          </cell>
        </row>
        <row r="28">
          <cell r="F28">
            <v>320.14</v>
          </cell>
          <cell r="K28">
            <v>4</v>
          </cell>
          <cell r="M28">
            <v>0</v>
          </cell>
          <cell r="N28">
            <v>0</v>
          </cell>
          <cell r="O28">
            <v>0</v>
          </cell>
          <cell r="P28">
            <v>324.14</v>
          </cell>
          <cell r="Q28">
            <v>6000</v>
          </cell>
          <cell r="R28">
            <v>0</v>
          </cell>
          <cell r="S28">
            <v>0</v>
          </cell>
          <cell r="T28">
            <v>0</v>
          </cell>
        </row>
        <row r="29">
          <cell r="M29">
            <v>0</v>
          </cell>
          <cell r="N29">
            <v>0</v>
          </cell>
          <cell r="O29">
            <v>0</v>
          </cell>
          <cell r="P29">
            <v>0</v>
          </cell>
          <cell r="Q29">
            <v>6200</v>
          </cell>
          <cell r="R29">
            <v>0</v>
          </cell>
          <cell r="S29">
            <v>0</v>
          </cell>
          <cell r="T29">
            <v>0</v>
          </cell>
        </row>
        <row r="30">
          <cell r="M30">
            <v>0</v>
          </cell>
          <cell r="N30">
            <v>0</v>
          </cell>
          <cell r="O30">
            <v>0</v>
          </cell>
          <cell r="P30">
            <v>0</v>
          </cell>
          <cell r="Q30">
            <v>6600</v>
          </cell>
          <cell r="R30">
            <v>0</v>
          </cell>
          <cell r="S30">
            <v>0</v>
          </cell>
          <cell r="T30">
            <v>0</v>
          </cell>
        </row>
        <row r="31">
          <cell r="M31">
            <v>0</v>
          </cell>
          <cell r="N31">
            <v>0</v>
          </cell>
          <cell r="O31">
            <v>0</v>
          </cell>
          <cell r="P31">
            <v>0</v>
          </cell>
          <cell r="Q31">
            <v>6800</v>
          </cell>
          <cell r="R31">
            <v>0</v>
          </cell>
          <cell r="S31">
            <v>0</v>
          </cell>
          <cell r="T31">
            <v>0</v>
          </cell>
        </row>
        <row r="32">
          <cell r="E32">
            <v>28</v>
          </cell>
          <cell r="F32">
            <v>22.32</v>
          </cell>
          <cell r="H32">
            <v>712.53</v>
          </cell>
          <cell r="L32">
            <v>5</v>
          </cell>
          <cell r="M32">
            <v>0</v>
          </cell>
          <cell r="N32">
            <v>-0.02</v>
          </cell>
          <cell r="O32">
            <v>7.8</v>
          </cell>
          <cell r="P32">
            <v>767.85</v>
          </cell>
          <cell r="Q32">
            <v>7000</v>
          </cell>
          <cell r="R32">
            <v>0</v>
          </cell>
          <cell r="S32">
            <v>0</v>
          </cell>
          <cell r="T32">
            <v>0</v>
          </cell>
        </row>
      </sheetData>
      <sheetData sheetId="3" refreshError="1">
        <row r="24">
          <cell r="F24">
            <v>4000</v>
          </cell>
          <cell r="L24">
            <v>4000</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 - April 23, 2004"/>
      <sheetName val="#REF"/>
    </sheetNames>
    <sheetDataSet>
      <sheetData sheetId="0" refreshError="1"/>
      <sheetData sheetId="1"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A - 1"/>
      <sheetName val="A - 2"/>
      <sheetName val="A - 2.1"/>
      <sheetName val="A - 3"/>
      <sheetName val="A - 4"/>
      <sheetName val="A - 5a"/>
      <sheetName val="A - 5b"/>
      <sheetName val="WPA - 5a"/>
      <sheetName val="WPA - 5b"/>
      <sheetName val="B - 1"/>
      <sheetName val="WPB - 1"/>
      <sheetName val="B - 2"/>
      <sheetName val="B - 2.1"/>
      <sheetName val="WPB - 2.1a"/>
      <sheetName val="WPB - 2.1b"/>
      <sheetName val="B - 2.2"/>
      <sheetName val="WPB - 2.2a"/>
      <sheetName val="WPB - 2.2b"/>
      <sheetName val="WPB - 2.2c"/>
      <sheetName val="WPB - 2.2d"/>
      <sheetName val="B - 2.3"/>
      <sheetName val="WPB - 2.3"/>
      <sheetName val="B - 2.4"/>
      <sheetName val="WPB - 2.4a"/>
      <sheetName val="WPB - 2.4b"/>
      <sheetName val="B - 3"/>
      <sheetName val="B - 4"/>
      <sheetName val="B - 5"/>
      <sheetName val="WPB - 5"/>
      <sheetName val="B - 6a"/>
      <sheetName val="B - 6b"/>
      <sheetName val="B - 7"/>
      <sheetName val="WPB - 7"/>
      <sheetName val="B - 7.1"/>
      <sheetName val="B - 7.2a"/>
      <sheetName val="B - 7.2b"/>
      <sheetName val="B - 8"/>
      <sheetName val="B - 8.1"/>
      <sheetName val="WPB - 8.1a"/>
      <sheetName val="WPB - 8.1b"/>
      <sheetName val="B - 9"/>
      <sheetName val="WPB - 9a"/>
      <sheetName val="WPB - 9b"/>
      <sheetName val="B - 9.1"/>
      <sheetName val="B - 13"/>
      <sheetName val="WPB - 13a"/>
      <sheetName val="WPB - 13b"/>
      <sheetName val="WPB - 13c"/>
      <sheetName val="B - 14"/>
      <sheetName val="WPB - 14"/>
      <sheetName val="C - 1"/>
      <sheetName val="C - 2"/>
      <sheetName val="C - 2.1"/>
      <sheetName val="WPC - 2.1"/>
      <sheetName val="C - 2.2"/>
      <sheetName val="C - 2.3"/>
      <sheetName val="WPC - 2.3a"/>
      <sheetName val="WPC - 2.3b"/>
      <sheetName val="C - 2.4"/>
      <sheetName val="WPC - 2.4"/>
      <sheetName val="C - 2.5"/>
      <sheetName val="WPC - 2.5"/>
      <sheetName val="C - 2.6"/>
      <sheetName val="WPC - 2.6"/>
      <sheetName val="C - 2.7"/>
      <sheetName val="WPC - 2.7"/>
      <sheetName val="C - 2.8"/>
      <sheetName val="WPC - 2.8"/>
      <sheetName val="C - 2.9"/>
      <sheetName val="C - 2.10"/>
      <sheetName val="C - 2.x"/>
      <sheetName val="C - 2.12"/>
      <sheetName val="WPC - 2.12a"/>
      <sheetName val="WPC - 2.12b"/>
      <sheetName val="C - 2.13"/>
      <sheetName val="WPC - 2.13a"/>
      <sheetName val="WPC - 2.13b"/>
      <sheetName val="WPC - 2.13c"/>
      <sheetName val="C - 2.14"/>
      <sheetName val="C - 2.15"/>
      <sheetName val="WPC - 2.15a"/>
      <sheetName val="WPC - 2.15b"/>
      <sheetName val="WPC - 2.15c"/>
      <sheetName val="C - 2.16"/>
      <sheetName val="WPC - 2.16"/>
      <sheetName val="C - 2.17"/>
      <sheetName val="WPC - 2.17a"/>
      <sheetName val="WPC - 2.17b"/>
      <sheetName val="C - 2.18"/>
      <sheetName val="C - 2.19"/>
      <sheetName val="C - 2.20"/>
      <sheetName val="WPC - 2.20"/>
      <sheetName val="C - 2.21"/>
      <sheetName val="WPC - 2.21a"/>
      <sheetName val="WPC - 2.21b"/>
      <sheetName val="WPC - 2.21c"/>
      <sheetName val="C - 3"/>
      <sheetName val="C - 4"/>
      <sheetName val="WPC - 4"/>
      <sheetName val="C - 5"/>
      <sheetName val="C - 5b"/>
      <sheetName val="C - 5.1"/>
      <sheetName val="C - 5.2"/>
      <sheetName val="C - 5.3"/>
      <sheetName val="C - 5.4"/>
      <sheetName val="WPC - 5.4"/>
      <sheetName val="C - 6"/>
      <sheetName val="C - 6.1"/>
      <sheetName val="C - 6.2"/>
      <sheetName val="C - 7"/>
      <sheetName val="C - 8"/>
      <sheetName val="WPC - 8"/>
      <sheetName val="C - 9"/>
      <sheetName val="C - 10"/>
      <sheetName val="WPC - 10"/>
      <sheetName val="C - 10.1"/>
      <sheetName val="C - 11.1"/>
      <sheetName val="WPC - 11.1"/>
      <sheetName val="C - 11.2a"/>
      <sheetName val="C - 11.2b"/>
      <sheetName val="C-11.2c"/>
      <sheetName val="C-11.2d"/>
      <sheetName val="C - 11.2e"/>
      <sheetName val="C - 11.2f"/>
      <sheetName val="C - 11.2g"/>
      <sheetName val="C - 11.2h"/>
      <sheetName val="C - 11.3"/>
      <sheetName val="WPC - 11.3"/>
      <sheetName val="C - 12"/>
      <sheetName val="WPC - 12a"/>
      <sheetName val="WPC - 12b"/>
      <sheetName val="C - 13"/>
      <sheetName val="C - 14"/>
      <sheetName val="WPC - 14"/>
      <sheetName val="C - 16"/>
      <sheetName val="C-17a"/>
      <sheetName val="C-17b"/>
      <sheetName val="C-17c"/>
      <sheetName val="C-17d"/>
      <sheetName val="C - 18"/>
      <sheetName val="WPC - 18a"/>
      <sheetName val="WPC - 18b"/>
      <sheetName val="C - 19"/>
      <sheetName val="C - 21"/>
      <sheetName val="C - 23"/>
      <sheetName val="WPC - 23"/>
      <sheetName val="C - 25"/>
      <sheetName val="C - 26"/>
      <sheetName val="Print Macro Creat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st"/>
      <sheetName val="East"/>
      <sheetName val="Exhibit - No Fossil"/>
      <sheetName val="Exhibit"/>
      <sheetName val="Ratio Summary"/>
      <sheetName val="SAS Results"/>
      <sheetName val="SAP Results"/>
      <sheetName val="CBPP Summary"/>
      <sheetName val="SMRP Results"/>
      <sheetName val="SPBP Results"/>
      <sheetName val="BU Translation"/>
    </sheetNames>
    <sheetDataSet>
      <sheetData sheetId="0"/>
      <sheetData sheetId="1"/>
      <sheetData sheetId="2"/>
      <sheetData sheetId="3"/>
      <sheetData sheetId="4"/>
      <sheetData sheetId="5"/>
      <sheetData sheetId="6"/>
      <sheetData sheetId="7" refreshError="1">
        <row r="5">
          <cell r="I5" t="str">
            <v>BSC</v>
          </cell>
          <cell r="J5">
            <v>7368378</v>
          </cell>
        </row>
        <row r="6">
          <cell r="I6" t="str">
            <v>EDSS</v>
          </cell>
          <cell r="J6">
            <v>234284</v>
          </cell>
        </row>
        <row r="7">
          <cell r="I7" t="str">
            <v>ComEd</v>
          </cell>
          <cell r="J7">
            <v>80255</v>
          </cell>
        </row>
        <row r="8">
          <cell r="I8" t="str">
            <v>Genco - Power Labs</v>
          </cell>
          <cell r="J8">
            <v>31006</v>
          </cell>
        </row>
        <row r="9">
          <cell r="I9" t="str">
            <v>Genco - Corporate</v>
          </cell>
          <cell r="J9">
            <v>381287</v>
          </cell>
        </row>
        <row r="10">
          <cell r="I10" t="str">
            <v>Genco - Fossil</v>
          </cell>
          <cell r="J10">
            <v>7463518</v>
          </cell>
        </row>
        <row r="11">
          <cell r="I11" t="str">
            <v>Genco - Nuclear</v>
          </cell>
          <cell r="J11">
            <v>11594885</v>
          </cell>
        </row>
        <row r="12">
          <cell r="I12" t="str">
            <v>Genco - New England</v>
          </cell>
          <cell r="J12">
            <v>517450</v>
          </cell>
        </row>
        <row r="13">
          <cell r="I13" t="str">
            <v>PECO</v>
          </cell>
          <cell r="J13">
            <v>33941975</v>
          </cell>
        </row>
        <row r="14">
          <cell r="I14" t="str">
            <v>Genco - Power Team</v>
          </cell>
          <cell r="J14">
            <v>172526</v>
          </cell>
        </row>
        <row r="15">
          <cell r="I15" t="str">
            <v>Genco - Hydro</v>
          </cell>
          <cell r="J15">
            <v>230641</v>
          </cell>
        </row>
        <row r="16">
          <cell r="I16" t="str">
            <v>Genco - TXU</v>
          </cell>
          <cell r="J16">
            <v>358029</v>
          </cell>
        </row>
        <row r="19">
          <cell r="I19" t="str">
            <v>BSC</v>
          </cell>
          <cell r="J19">
            <v>4050946</v>
          </cell>
        </row>
        <row r="20">
          <cell r="I20" t="str">
            <v>ComEd</v>
          </cell>
          <cell r="J20">
            <v>9404397</v>
          </cell>
        </row>
        <row r="21">
          <cell r="I21" t="str">
            <v>Genco - Corporate</v>
          </cell>
          <cell r="J21">
            <v>2500286</v>
          </cell>
        </row>
        <row r="22">
          <cell r="I22" t="str">
            <v>Genco - Fossil</v>
          </cell>
          <cell r="J22">
            <v>335831</v>
          </cell>
        </row>
        <row r="23">
          <cell r="I23" t="str">
            <v>Genco - Nuclear</v>
          </cell>
          <cell r="J23">
            <v>6074967</v>
          </cell>
        </row>
        <row r="24">
          <cell r="I24" t="str">
            <v>Genco - New England</v>
          </cell>
          <cell r="J24">
            <v>9582</v>
          </cell>
        </row>
        <row r="25">
          <cell r="I25" t="str">
            <v>Genco - NRG</v>
          </cell>
          <cell r="J25">
            <v>25848</v>
          </cell>
        </row>
      </sheetData>
      <sheetData sheetId="8" refreshError="1">
        <row r="28">
          <cell r="H28" t="str">
            <v>BSC</v>
          </cell>
          <cell r="I28">
            <v>618908</v>
          </cell>
        </row>
        <row r="29">
          <cell r="H29" t="str">
            <v>Genco - Corporate</v>
          </cell>
          <cell r="I29">
            <v>36265</v>
          </cell>
        </row>
        <row r="30">
          <cell r="H30" t="str">
            <v>Genco - Fossil</v>
          </cell>
          <cell r="I30">
            <v>62294</v>
          </cell>
        </row>
        <row r="31">
          <cell r="H31" t="str">
            <v>Genco - Nuclear</v>
          </cell>
          <cell r="I31">
            <v>120114</v>
          </cell>
        </row>
        <row r="32">
          <cell r="H32" t="str">
            <v>Genco - New England</v>
          </cell>
          <cell r="I32">
            <v>0</v>
          </cell>
        </row>
        <row r="33">
          <cell r="H33" t="str">
            <v>PECO</v>
          </cell>
          <cell r="I33">
            <v>404131</v>
          </cell>
        </row>
        <row r="34">
          <cell r="H34" t="str">
            <v>Genco - Power Team</v>
          </cell>
          <cell r="I34">
            <v>14296</v>
          </cell>
        </row>
        <row r="37">
          <cell r="H37" t="str">
            <v>BSC</v>
          </cell>
          <cell r="I37">
            <v>10038941</v>
          </cell>
        </row>
        <row r="38">
          <cell r="H38" t="str">
            <v>ComEd</v>
          </cell>
          <cell r="I38">
            <v>12623949</v>
          </cell>
        </row>
        <row r="39">
          <cell r="H39" t="str">
            <v>Genco - Corporate</v>
          </cell>
          <cell r="I39">
            <v>4131295</v>
          </cell>
        </row>
        <row r="40">
          <cell r="H40" t="str">
            <v>Genco - Fossil</v>
          </cell>
          <cell r="I40">
            <v>29858</v>
          </cell>
        </row>
        <row r="41">
          <cell r="H41" t="str">
            <v>Genco - Nuclear</v>
          </cell>
          <cell r="I41">
            <v>2318033</v>
          </cell>
        </row>
        <row r="42">
          <cell r="H42" t="str">
            <v>Genco - NRG</v>
          </cell>
          <cell r="I42">
            <v>30990</v>
          </cell>
        </row>
        <row r="43">
          <cell r="H43" t="str">
            <v>PECO</v>
          </cell>
          <cell r="I43">
            <v>1151740</v>
          </cell>
        </row>
      </sheetData>
      <sheetData sheetId="9"/>
      <sheetData sheetId="10"/>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Declarations"/>
      <sheetName val="Report Specific Functions"/>
      <sheetName val="Report Template Module"/>
      <sheetName val="REPORT1"/>
      <sheetName val="REPORT1.xlr"/>
    </sheetNames>
    <definedNames>
      <definedName name="Choose_Prefs"/>
      <definedName name="Refresh_Report"/>
    </defined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ction Data"/>
      <sheetName val="Auction Report"/>
      <sheetName val="Payment Memo"/>
      <sheetName val="DR_Form"/>
    </sheetNames>
    <sheetDataSet>
      <sheetData sheetId="0" refreshError="1"/>
      <sheetData sheetId="1" refreshError="1"/>
      <sheetData sheetId="2" refreshError="1"/>
      <sheetData sheetId="3"/>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A - 1"/>
      <sheetName val="A - 2"/>
      <sheetName val="A - 2.1"/>
      <sheetName val="A - 3"/>
      <sheetName val="A - 4"/>
      <sheetName val="A - 5a"/>
      <sheetName val="A - 5b"/>
      <sheetName val="WPA - 5"/>
      <sheetName val="WPA - 5a"/>
      <sheetName val="WPA - 5b"/>
      <sheetName val="B - 1"/>
      <sheetName val="WPB - 1"/>
      <sheetName val="B - 2"/>
      <sheetName val="B - 2.1"/>
      <sheetName val="WPB - 2.1a"/>
      <sheetName val="WPB - 2.1b"/>
      <sheetName val="WPB - 2.1c"/>
      <sheetName val="WPB - 2.1d"/>
      <sheetName val="WPB - 2.1e"/>
      <sheetName val="B - 3"/>
      <sheetName val="B - 4"/>
      <sheetName val="WPB - 4"/>
      <sheetName val="B - 5"/>
      <sheetName val="WPB - 5"/>
      <sheetName val="B - 6a"/>
      <sheetName val="B - 6b"/>
      <sheetName val="B - 7.2a"/>
      <sheetName val="B - 7.2b"/>
      <sheetName val="B - 8"/>
      <sheetName val="B - 8.1"/>
      <sheetName val="WPB-8.1asub"/>
      <sheetName val="WPB - 8.1a"/>
      <sheetName val="WPB - 8.1b"/>
      <sheetName val="WPB - 8.1c"/>
      <sheetName val="B - 9"/>
      <sheetName val="B-9sub"/>
      <sheetName val="WPB - 9a"/>
      <sheetName val="WPB - 9b"/>
      <sheetName val="B - 9.1"/>
      <sheetName val="B - 13"/>
      <sheetName val="WPB - 13"/>
      <sheetName val="B - 14"/>
      <sheetName val="WPB - 14"/>
      <sheetName val="C - 1"/>
      <sheetName val="C - 2"/>
      <sheetName val="C - 2 sub"/>
      <sheetName val="C - 2.1"/>
      <sheetName val="WPC - 2.1"/>
      <sheetName val="C - 2.2"/>
      <sheetName val="C - 2.3"/>
      <sheetName val="WPC - 2.3a"/>
      <sheetName val="WPC - 2.3b"/>
      <sheetName val="C - 2.4"/>
      <sheetName val="WPC - 2.4"/>
      <sheetName val="C - 2.5"/>
      <sheetName val="WPC - 2.5"/>
      <sheetName val="C - 2.6"/>
      <sheetName val="WPC - 2.6a"/>
      <sheetName val="WPC - 2.6b"/>
      <sheetName val="C - 2.7"/>
      <sheetName val="WPC - 2.7"/>
      <sheetName val="WPC - 2.7a"/>
      <sheetName val="WPC - 2.7b"/>
      <sheetName val="WPC - 2.7c"/>
      <sheetName val="WPC - 2.7d"/>
      <sheetName val="WPC - 2.7e"/>
      <sheetName val="C-2.8"/>
      <sheetName val="C - 2.9"/>
      <sheetName val="C - 2.10"/>
      <sheetName val="C - 2.11"/>
      <sheetName val="WPC - 2.11"/>
      <sheetName val="C - 2.12"/>
      <sheetName val="WPC-2.12"/>
      <sheetName val="C - 2.13"/>
      <sheetName val="C - 2.14"/>
      <sheetName val="WPC - 2.14"/>
      <sheetName val="C - 2.15"/>
      <sheetName val="WPC - 2.15a"/>
      <sheetName val="WPC - 2.15b"/>
      <sheetName val="C - 2.16"/>
      <sheetName val="C - 3"/>
      <sheetName val="C - 4"/>
      <sheetName val="WPC-4"/>
      <sheetName val="WPC - 4dup"/>
      <sheetName val="C - 5"/>
      <sheetName val="C - 5.1"/>
      <sheetName val="C - 5.2"/>
      <sheetName val="C - 5.3"/>
      <sheetName val="C - 5.4"/>
      <sheetName val="WPC - 5.4"/>
      <sheetName val="C - 5.5"/>
      <sheetName val="C - 6"/>
      <sheetName val="C - 6.1"/>
      <sheetName val="C - 6.2"/>
      <sheetName val="C - 7"/>
      <sheetName val="C - 8"/>
      <sheetName val="WPC - 8"/>
      <sheetName val="C - 9"/>
      <sheetName val="C - 10"/>
      <sheetName val="WPC - 10"/>
      <sheetName val="C - 10.1"/>
      <sheetName val="C - 11.1"/>
      <sheetName val="WPC - 11.1"/>
      <sheetName val="C - 11.2a"/>
      <sheetName val="C - 11.2b"/>
      <sheetName val="C - 11.2c"/>
      <sheetName val="C - 11.2d"/>
      <sheetName val="C - 11.2e"/>
      <sheetName val="C - 11.2f"/>
      <sheetName val="C - 11.2g"/>
      <sheetName val="C - 11.2h"/>
      <sheetName val="C - 11.3"/>
      <sheetName val="WPC - 11.3a"/>
      <sheetName val="WPC - 11.3b"/>
      <sheetName val="WPC - 11.3c"/>
      <sheetName val="WPC - 11.3d"/>
      <sheetName val="C - 12"/>
      <sheetName val="WPC-12"/>
      <sheetName val="C - 13a"/>
      <sheetName val="C - 13b"/>
      <sheetName val="C - 14"/>
      <sheetName val="WPC - 14"/>
      <sheetName val="C - 16"/>
      <sheetName val="WPC - 16"/>
      <sheetName val="C - 17a"/>
      <sheetName val="C - 17b"/>
      <sheetName val="C - 17c"/>
      <sheetName val="C - 17d"/>
      <sheetName val="C - 18"/>
      <sheetName val="WPC - 18a"/>
      <sheetName val="WPC - 18b"/>
      <sheetName val="WPC - 18c"/>
      <sheetName val="C - 19"/>
      <sheetName val="C-21"/>
      <sheetName val="C - 23"/>
      <sheetName val="WPC - 23"/>
      <sheetName val="C - 25"/>
      <sheetName val="C - 31"/>
    </sheetNames>
    <sheetDataSet>
      <sheetData sheetId="0" refreshError="1">
        <row r="159">
          <cell r="C159" t="str">
            <v>AmerenCILCO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Print"/>
      <sheetName val="A - 1"/>
      <sheetName val="A - 2"/>
      <sheetName val="A - 2.1"/>
      <sheetName val="A - 3"/>
      <sheetName val="A - 4"/>
      <sheetName val="A - 5a"/>
      <sheetName val="A - 5b"/>
      <sheetName val="WPA - 5a"/>
      <sheetName val="WPA - 5b"/>
      <sheetName val="WPA - 5c"/>
      <sheetName val="B - 1"/>
      <sheetName val="WPB - 1"/>
      <sheetName val="B - 2"/>
      <sheetName val="B - 2.1"/>
      <sheetName val="B - 2.2"/>
      <sheetName val="WPB - 2.2"/>
      <sheetName val="B - 2.3"/>
      <sheetName val="WPB - 2.1b"/>
      <sheetName val="WPB - 2.1c"/>
      <sheetName val="WPB - 2.1d"/>
      <sheetName val="WPB - 2.1e"/>
      <sheetName val="B - 3a"/>
      <sheetName val="B - 3b"/>
      <sheetName val="WPB - 4"/>
      <sheetName val="B - 4"/>
      <sheetName val="B - 5"/>
      <sheetName val="WPB - 5a"/>
      <sheetName val="WPB - 5b"/>
      <sheetName val="WPB - 5c"/>
      <sheetName val="B - 5.2"/>
      <sheetName val="B - 6"/>
      <sheetName val="WPB - 6a"/>
      <sheetName val="WPB - 6b"/>
      <sheetName val="WPB - 7.2UEC"/>
      <sheetName val="B - 7.2a"/>
      <sheetName val="B - 7.2b"/>
      <sheetName val="Workpaper"/>
      <sheetName val="B - 8"/>
      <sheetName val="B - 8.1"/>
      <sheetName val="WPB - 8.1a"/>
      <sheetName val="WPB - 8.1b"/>
      <sheetName val="B - 9"/>
      <sheetName val="WPB - 9a"/>
      <sheetName val="WPB - 9b"/>
      <sheetName val="B - 9.1"/>
      <sheetName val="B - 13"/>
      <sheetName val="WPB - 13a"/>
      <sheetName val="WPB - 13b"/>
      <sheetName val="WPB - 13c"/>
      <sheetName val="B - 14"/>
      <sheetName val="WPB - 14"/>
      <sheetName val="C - 1"/>
      <sheetName val="C - 2"/>
      <sheetName val="C - 2.1"/>
      <sheetName val="WPC - 2.1"/>
      <sheetName val="C - 2.2"/>
      <sheetName val="C - 2.3"/>
      <sheetName val="WPC - 2.3a"/>
      <sheetName val="WPC - 2.3b"/>
      <sheetName val="C - 2.4"/>
      <sheetName val="WPC - 2.4"/>
      <sheetName val="C - 2.5"/>
      <sheetName val="WPC - 2.5a"/>
      <sheetName val="WPC - 2.5b"/>
      <sheetName val="C - 2.6"/>
      <sheetName val="WPC - 2.6"/>
      <sheetName val="C - 2.7"/>
      <sheetName val="WPC - 2.7"/>
      <sheetName val="C - 2.8"/>
      <sheetName val="WPC - 2.8"/>
      <sheetName val="C - 2.9"/>
      <sheetName val="C - 2.10"/>
      <sheetName val="C - 2.11"/>
      <sheetName val="WPC - 2.11"/>
      <sheetName val="C - 2.12"/>
      <sheetName val="C - 2.14"/>
      <sheetName val="WPC - 2.14"/>
      <sheetName val="C - 2.15"/>
      <sheetName val="WPC - 2.15a"/>
      <sheetName val="WPC - 2.15b"/>
      <sheetName val="C - 2.16"/>
      <sheetName val="C - 2.6 NOT USED"/>
      <sheetName val="WPC - 2.6a NOT USED"/>
      <sheetName val="C - 2.18"/>
      <sheetName val="WPC - 2.18a"/>
      <sheetName val="WPC - 2.18b"/>
      <sheetName val="C - 2.20"/>
      <sheetName val="WPC - 2.15"/>
      <sheetName val="C - 3"/>
      <sheetName val="WPC - 3a"/>
      <sheetName val="WPC - 3b"/>
      <sheetName val="C - 4"/>
      <sheetName val="WPC - 4a"/>
      <sheetName val="WPC - 4b"/>
      <sheetName val="WPC - 4c"/>
      <sheetName val="WPC - 4d"/>
      <sheetName val="WPC - 5a"/>
      <sheetName val="WPC - 5b"/>
      <sheetName val="C - 5"/>
      <sheetName val="C - 5b"/>
      <sheetName val="C - 5.1"/>
      <sheetName val="C - 5.2"/>
      <sheetName val="C - 5.3"/>
      <sheetName val="C - 5.4"/>
      <sheetName val="WPC - 5.4"/>
      <sheetName val="C - 5.5"/>
      <sheetName val="WPC - 5.5"/>
      <sheetName val="C - 6"/>
      <sheetName val="WPC - 6"/>
      <sheetName val="C - 6.1"/>
      <sheetName val="WPC - 6.1"/>
      <sheetName val="C - 6.2"/>
      <sheetName val="C - 7"/>
      <sheetName val="WPC - 7"/>
      <sheetName val="C - 8"/>
      <sheetName val="WPC - 8"/>
      <sheetName val="C - 9"/>
      <sheetName val="WPC - 9"/>
      <sheetName val="C - 10"/>
      <sheetName val="WPC - 10"/>
      <sheetName val="C - 10.1"/>
      <sheetName val="C - 11.1"/>
      <sheetName val="WPC - 11.1a"/>
      <sheetName val="WPC - 11.1b"/>
      <sheetName val="WPC - 11.1c"/>
      <sheetName val="WPC - 11.1d"/>
      <sheetName val="C - 11.2a 2001"/>
      <sheetName val="C - 11.2b 2002"/>
      <sheetName val="C - 11.2a"/>
      <sheetName val="C - 11.2b"/>
      <sheetName val="C - 11.2e 2001"/>
      <sheetName val="C - 11.2f 2002"/>
      <sheetName val="C - 11.2c"/>
      <sheetName val="C - 11.2d"/>
      <sheetName val="C - 11.2e"/>
      <sheetName val="C - 11.2f"/>
      <sheetName val="C - 11.2i 2001"/>
      <sheetName val="C - 11.2j 2002"/>
      <sheetName val="C - 11.2g"/>
      <sheetName val="C - 11.2h"/>
      <sheetName val="C - 11.2m 2001"/>
      <sheetName val="C - 11.2n 2002"/>
      <sheetName val="C - 11.3"/>
      <sheetName val="WPC - 11.3a"/>
      <sheetName val="WPC - 11.3b"/>
      <sheetName val="C - 12"/>
      <sheetName val="WPC - 12a"/>
      <sheetName val="WPC - 12b"/>
      <sheetName val="WPC - 12c"/>
      <sheetName val="C - 13"/>
      <sheetName val="C - 14"/>
      <sheetName val="WPC - 14a"/>
      <sheetName val="WPC - 14b"/>
      <sheetName val="C - 16"/>
      <sheetName val="C - 17a"/>
      <sheetName val="C - 17b"/>
      <sheetName val="C - 17c"/>
      <sheetName val="C - 17d"/>
      <sheetName val="C - 17 - 2002"/>
      <sheetName val="C - 17 - 2001"/>
      <sheetName val="WPC - 18c1"/>
      <sheetName val="C - 18"/>
      <sheetName val="WPC - 18a"/>
      <sheetName val="WPC - 18b"/>
      <sheetName val="WPC - 18c"/>
      <sheetName val="WPC - 18d"/>
      <sheetName val="WPC - 18e"/>
      <sheetName val="WPC - 18f"/>
      <sheetName val="C - 19"/>
      <sheetName val="C - 21"/>
      <sheetName val="WPC - 21"/>
      <sheetName val="WPC - 21b"/>
      <sheetName val="C - 23"/>
      <sheetName val="WPC - 23a"/>
      <sheetName val="WPC - 23b"/>
      <sheetName val="WPC - 23c"/>
      <sheetName val="C - 25"/>
      <sheetName val="C - 26"/>
    </sheetNames>
    <sheetDataSet>
      <sheetData sheetId="0">
        <row r="186">
          <cell r="C186" t="str">
            <v>AmerenCIPS</v>
          </cell>
        </row>
        <row r="187">
          <cell r="C187" t="str">
            <v>AmerenUE Illinois</v>
          </cell>
        </row>
        <row r="190">
          <cell r="C190" t="str">
            <v>($000s)</v>
          </cell>
        </row>
        <row r="192">
          <cell r="C192" t="str">
            <v>As Of December 31,</v>
          </cell>
        </row>
        <row r="193">
          <cell r="C193" t="str">
            <v>As of December 31, 2006</v>
          </cell>
        </row>
        <row r="194">
          <cell r="C194" t="str">
            <v>For the Twelve Months Ended December 31,</v>
          </cell>
        </row>
        <row r="195">
          <cell r="C195" t="str">
            <v>For the Twelve Months Ended December 31, 2006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Print"/>
      <sheetName val="Sch A-1"/>
      <sheetName val="Sch A-2"/>
      <sheetName val="Sch A-2.1"/>
      <sheetName val="Sch A-3"/>
      <sheetName val="Sch A-4"/>
      <sheetName val="Sch A-5 RB"/>
      <sheetName val="Sch A-5 Exp"/>
      <sheetName val="WPA-5"/>
      <sheetName val="WPA - 5b"/>
      <sheetName val="WPA-5.2"/>
      <sheetName val="Sch B-1"/>
      <sheetName val="Sch B-2"/>
      <sheetName val="Sch B-2.1"/>
      <sheetName val="Sch B-2.2"/>
      <sheetName val="WPB-2.2a"/>
      <sheetName val="WPB-2.2b"/>
      <sheetName val="Sch B-2.3"/>
      <sheetName val="WPB-2.3"/>
      <sheetName val="Sch B-2.4"/>
      <sheetName val="WPB-2.4"/>
      <sheetName val="Sch B-2.5"/>
      <sheetName val="WPB-2.5a"/>
      <sheetName val="Sch B-2.6"/>
      <sheetName val="WPB-2.6"/>
      <sheetName val="Sch B-3"/>
      <sheetName val="Sch B-4"/>
      <sheetName val="Sch B-5"/>
      <sheetName val="WPB-5"/>
      <sheetName val="Sch B-5.1"/>
      <sheetName val="Sch B-6"/>
      <sheetName val="Sch B-7.2"/>
      <sheetName val="Sch B-7.2a"/>
      <sheetName val="Sch B-8"/>
      <sheetName val="Sch B-8.1"/>
      <sheetName val="WPB-8.1a"/>
      <sheetName val="Sch B-9"/>
      <sheetName val="WPB-9"/>
      <sheetName val="WPB-9a"/>
      <sheetName val="WPB-9b"/>
      <sheetName val="Sch B-9.1"/>
      <sheetName val="Sch B-13"/>
      <sheetName val="WPB-13a"/>
      <sheetName val="Sch B-14"/>
      <sheetName val="Sch C-1"/>
      <sheetName val="Sch C-2"/>
      <sheetName val="Sch C-2.1"/>
      <sheetName val="WPC-2.1"/>
      <sheetName val="Sch C-2.2"/>
      <sheetName val="WPC-2.2"/>
      <sheetName val="Sch C-2.3"/>
      <sheetName val="WPC-2.3"/>
      <sheetName val="WPC-2.3.3 Annualized Detail"/>
      <sheetName val="Sch C-2.4"/>
      <sheetName val="Sch C-2.5"/>
      <sheetName val="WPC-2.5"/>
      <sheetName val="Sch C-2.6"/>
      <sheetName val="WPC-2.6"/>
      <sheetName val="Sch C-2.7"/>
      <sheetName val="Sch C-2.8"/>
      <sheetName val="Sch C-2.9"/>
      <sheetName val="Sch C-2.10"/>
      <sheetName val="WPC-2.10"/>
      <sheetName val="Sch C-2.11"/>
      <sheetName val="WPC-2.11"/>
      <sheetName val="Sch C-2.12"/>
      <sheetName val="WPC-2.12"/>
      <sheetName val="Sch C-2.13"/>
      <sheetName val="WPC-2.13"/>
      <sheetName val="Sch C-2.14"/>
      <sheetName val="WPC-2.14"/>
      <sheetName val="WPC-2.14a"/>
      <sheetName val="Sch C-2.15"/>
      <sheetName val="Sch C-2.16"/>
      <sheetName val="Sch C-2.17"/>
      <sheetName val="Sch C-2.18"/>
      <sheetName val="Sch C-2.19"/>
      <sheetName val="WPC-2.19"/>
      <sheetName val="Sch C-2.20"/>
      <sheetName val="WPC-2.20"/>
      <sheetName val="Sch C-2.21"/>
      <sheetName val="WPC-2.21"/>
      <sheetName val="Sch C-2.22"/>
      <sheetName val="Sch C-2.23"/>
      <sheetName val="WPC-2.23"/>
      <sheetName val="Sch C-2.24"/>
      <sheetName val="Sch C-3"/>
      <sheetName val="Sch C-4"/>
      <sheetName val="WPC-4"/>
      <sheetName val="Sch C-5a"/>
      <sheetName val="Sch C-5b"/>
      <sheetName val="Sch C-5.1"/>
      <sheetName val="Sch C-5.2"/>
      <sheetName val="Sch C-5.3"/>
      <sheetName val="Sch C-5.4"/>
      <sheetName val="WPC-5.4"/>
      <sheetName val="Sch C-6"/>
      <sheetName val="Sch C-6.1"/>
      <sheetName val="Sch C-6.2"/>
      <sheetName val="Sch C-7"/>
      <sheetName val="Schedule C-7"/>
      <sheetName val="Sch C-8"/>
      <sheetName val="Sch C-9"/>
      <sheetName val="Sch C-10"/>
      <sheetName val="WPC-10"/>
      <sheetName val="Sch C-10.1"/>
      <sheetName val="Sch C-11.1"/>
      <sheetName val="WPC-11.1"/>
      <sheetName val="WPC-11.1a"/>
      <sheetName val="Sch C-11.2a"/>
      <sheetName val="Sch C-11.2b"/>
      <sheetName val="Sch C-11.2c"/>
      <sheetName val="Sch C-11.2d"/>
      <sheetName val="Sch C-11.2e"/>
      <sheetName val="Sch C-11.2f"/>
      <sheetName val="Sch C-11.2g"/>
      <sheetName val="Sch C-11.2h"/>
      <sheetName val="Sch C-11.3"/>
      <sheetName val="WPC-11.3"/>
      <sheetName val="WPC-11.3a"/>
      <sheetName val="WPC-11.3b"/>
      <sheetName val="WPC-11.3c"/>
      <sheetName val="Sch C-12"/>
      <sheetName val="WPC-12"/>
      <sheetName val="Sch C-13"/>
      <sheetName val="Sch C-14"/>
      <sheetName val="WPC-14"/>
      <sheetName val="Sch C-16 OLD-Replaced 12.12.05"/>
      <sheetName val="WPC-16a"/>
      <sheetName val="Sch C-16"/>
      <sheetName val="Sch C-17 2004"/>
      <sheetName val="Sch C-17 2004 to Sept"/>
      <sheetName val="Sch C-17 2003"/>
      <sheetName val="Sch C-17 2002"/>
      <sheetName val="Sch C-17 2001"/>
      <sheetName val="Sch C-18"/>
      <sheetName val="WPC-18a"/>
      <sheetName val="WPC-18b"/>
      <sheetName val="WPC-18c"/>
      <sheetName val="Sch C-19"/>
      <sheetName val="Sch C-21"/>
      <sheetName val="Sch C-22"/>
      <sheetName val="Sch C-23"/>
      <sheetName val="WPC-23"/>
      <sheetName val="Sch C-25"/>
      <sheetName val="Sch C-26"/>
      <sheetName val="Sch C-29"/>
      <sheetName val="Sch C-31"/>
      <sheetName val="Sch C-32"/>
      <sheetName val="WPA-5.1.4 Func Factors"/>
      <sheetName val="WPB-1 Cust Adv"/>
      <sheetName val="WPB-2.2.3"/>
      <sheetName val="WPB-2.4.2 Int Plt Gross - AMS"/>
      <sheetName val="WPB-2.4.3 Int Plt Reserve - AMS"/>
      <sheetName val="WPB-2.4.4 Int Plt Net - AMS"/>
      <sheetName val="WPB-2.4.5 Gen Plt Gross -AMS"/>
      <sheetName val="WPB-2.4.6 Gen Plt Reserve - AMS"/>
      <sheetName val="WPB-2.4.7 Gen Plt Net - AMS"/>
      <sheetName val="Sch B-5.2 Merged or Acq Prop"/>
      <sheetName val="Sch B-5.3 Leased Prop"/>
      <sheetName val="Sch B-7 CWIP"/>
      <sheetName val="Sch B-7.1 CWIP % Complete"/>
      <sheetName val="WPB-8.1b"/>
      <sheetName val="Construction"/>
      <sheetName val="GPROD"/>
      <sheetName val="ETRANS"/>
      <sheetName val="GTRANS"/>
      <sheetName val="EDISTR"/>
      <sheetName val="GDISTR"/>
      <sheetName val="DistrMisc"/>
      <sheetName val="Other"/>
      <sheetName val="Sch B-10 Def Charges"/>
      <sheetName val="Sch B-11 PHFFU"/>
      <sheetName val="Sch B-12 Analysis of PHFFU"/>
      <sheetName val="WPC-2.2.2"/>
      <sheetName val="WPC-2.2.3"/>
      <sheetName val="WPC-2.2.4"/>
      <sheetName val="WPC-2.2.5"/>
      <sheetName val="WPC-2.2.6"/>
      <sheetName val="WPC-2.2.7"/>
      <sheetName val="WPC-2.3.4 IP 04-05"/>
      <sheetName val="WPC-2.3.5 IP 05-05"/>
      <sheetName val="WPC-2.3.6 IP 06-05"/>
      <sheetName val="WPC-2.3.6 IP 07-05"/>
      <sheetName val="WPC-2.8"/>
      <sheetName val="WPC-2.13.3"/>
      <sheetName val="WPC-2.13.4"/>
      <sheetName val="WPC-2.13.5"/>
      <sheetName val="WPC-2.13.6"/>
      <sheetName val="WPC-2.13.7"/>
      <sheetName val="WPC-2.13.8"/>
      <sheetName val="WPC-2.13.9"/>
      <sheetName val="WPC-2.13.10"/>
      <sheetName val="WPC-2.13.11"/>
      <sheetName val="WPC-2.13.12"/>
      <sheetName val="WPC-2.22"/>
      <sheetName val="Sch C-5.5 ITC &amp; Job Dev. Cr"/>
      <sheetName val="WPC-6.1"/>
      <sheetName val="WPC-6.1 2004"/>
      <sheetName val="WPC-6.1 2003"/>
      <sheetName val="WPC-6.1 2002"/>
      <sheetName val="WPC-6.1 2001"/>
      <sheetName val="WPC-6.2"/>
      <sheetName val="Sheet2"/>
      <sheetName val="WPC-7"/>
      <sheetName val="WPC-8"/>
      <sheetName val="WPC-9"/>
      <sheetName val="Sch 11.4 Recon Est Ovrhd"/>
      <sheetName val="WPC-13.1 Affl Int Trans"/>
      <sheetName val="WPC-14a"/>
      <sheetName val="WPC-14b"/>
      <sheetName val="WPC-14c"/>
      <sheetName val="WPC-14d"/>
      <sheetName val="WPC-14e"/>
      <sheetName val="Sch C-15 Major Maint Proj"/>
      <sheetName val="WPC-16"/>
      <sheetName val="WPC-18b Accr Prop Tax"/>
      <sheetName val="WPC-18a 2004"/>
      <sheetName val="Sch C-18a Oth Tx 2003"/>
      <sheetName val="WPC-18a 2003"/>
      <sheetName val="Sch C-18a Oth Tx 2002"/>
      <sheetName val="WPC-18a Oth Tx 2002"/>
      <sheetName val="WPC-18a 2001"/>
      <sheetName val="Sch C-20 Local Tx"/>
      <sheetName val="Sch C-24 Legal Exp &amp; Res"/>
      <sheetName val="WPC-25"/>
      <sheetName val="Sch C-27 Fuel Adj Rev &amp; Exp"/>
      <sheetName val="Sch C-28 Fuel Transp Exp"/>
      <sheetName val="Sch C-30 PGA Rev &amp; Exp"/>
      <sheetName val="Sch C-33 Billing Exper"/>
      <sheetName val="Common"/>
      <sheetName val="Allocators"/>
      <sheetName val="C-6 Social and Svc Club Dues"/>
      <sheetName val="Schedule C-6.1"/>
      <sheetName val="WPC-6.1  2003"/>
      <sheetName val="WPC-6.1   2002"/>
      <sheetName val="WPC-6.1   2001"/>
      <sheetName val="Schedule C-6.2"/>
      <sheetName val="Schedule C-8"/>
      <sheetName val="Schedule C-11.1"/>
      <sheetName val="WPC-11.1b"/>
      <sheetName val="WPC-11.3d"/>
      <sheetName val="Sch C-17"/>
      <sheetName val="Schedule C-18a 2004"/>
      <sheetName val="Schedule C-18b 2003"/>
      <sheetName val="Schedule C-18c 2002"/>
      <sheetName val="Schedule C-18d 2001"/>
      <sheetName val="Schedule C-18e Accr Prop Tax"/>
      <sheetName val="Schedule C-1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sheetData sheetId="88"/>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 sheetId="103"/>
      <sheetData sheetId="104" refreshError="1"/>
      <sheetData sheetId="105" refreshError="1"/>
      <sheetData sheetId="106" refreshError="1"/>
      <sheetData sheetId="107" refreshError="1"/>
      <sheetData sheetId="108" refreshError="1"/>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refreshError="1"/>
      <sheetData sheetId="120"/>
      <sheetData sheetId="121"/>
      <sheetData sheetId="122"/>
      <sheetData sheetId="123" refreshError="1"/>
      <sheetData sheetId="124" refreshError="1"/>
      <sheetData sheetId="125" refreshError="1"/>
      <sheetData sheetId="126"/>
      <sheetData sheetId="127" refreshError="1"/>
      <sheetData sheetId="128" refreshError="1"/>
      <sheetData sheetId="129" refreshError="1"/>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sheetData sheetId="200" refreshError="1"/>
      <sheetData sheetId="201" refreshError="1"/>
      <sheetData sheetId="202" refreshError="1"/>
      <sheetData sheetId="203"/>
      <sheetData sheetId="204" refreshError="1"/>
      <sheetData sheetId="205"/>
      <sheetData sheetId="206"/>
      <sheetData sheetId="207"/>
      <sheetData sheetId="208" refreshError="1"/>
      <sheetData sheetId="209" refreshError="1"/>
      <sheetData sheetId="210"/>
      <sheetData sheetId="211"/>
      <sheetData sheetId="212"/>
      <sheetData sheetId="213"/>
      <sheetData sheetId="214"/>
      <sheetData sheetId="215" refreshError="1"/>
      <sheetData sheetId="216"/>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row r="2">
          <cell r="B2" t="str">
            <v>Ameren IP</v>
          </cell>
        </row>
        <row r="3">
          <cell r="B3" t="str">
            <v>Docket No.</v>
          </cell>
        </row>
      </sheetData>
      <sheetData sheetId="232" refreshError="1">
        <row r="7">
          <cell r="W7">
            <v>69.952500000000001</v>
          </cell>
        </row>
        <row r="18">
          <cell r="W18">
            <v>69.435000000000002</v>
          </cell>
        </row>
        <row r="20">
          <cell r="W20">
            <v>69.502499999999998</v>
          </cell>
        </row>
        <row r="22">
          <cell r="W22">
            <v>68.872500000000002</v>
          </cell>
        </row>
      </sheetData>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pplication of Controls"/>
      <sheetName val="Doc &amp; Chg Control Tab Sample 1"/>
      <sheetName val="Doc &amp; Chg Control Tab Sample 2"/>
      <sheetName val="Inventory Request- UPDATED"/>
      <sheetName val="Inventory Request- OLD"/>
      <sheetName val="Categories &amp; Complexity"/>
      <sheetName val="lists"/>
      <sheetName val="Assumptions - In"/>
      <sheetName val="Spreadsheet Inventory Template "/>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 - 1"/>
      <sheetName val="A - 2"/>
      <sheetName val="A - 2.1"/>
      <sheetName val="A - 4"/>
      <sheetName val="A - 5a"/>
      <sheetName val="A - 5b"/>
      <sheetName val="WPA - 5a"/>
      <sheetName val="WPA - 5b"/>
      <sheetName val="WPA - 5c"/>
      <sheetName val="B - 1"/>
      <sheetName val="WPB - 1a"/>
      <sheetName val="WPB - 1b"/>
      <sheetName val="B - 2"/>
      <sheetName val="B - 2.1"/>
      <sheetName val="B - 2.2"/>
      <sheetName val="WPB - 2.2"/>
      <sheetName val="B - 2.3"/>
      <sheetName val="B - 2.4"/>
      <sheetName val="B-2.5"/>
      <sheetName val="WPB-2.5"/>
      <sheetName val="B - 3a"/>
      <sheetName val="B - 3b"/>
      <sheetName val="B - 4"/>
      <sheetName val="B - 5"/>
      <sheetName val="WPB - 5a"/>
      <sheetName val="WPB - 5b"/>
      <sheetName val="WPB - 5c"/>
      <sheetName val="B - 5.2"/>
      <sheetName val="B - 6a"/>
      <sheetName val="WPB - 6a"/>
      <sheetName val="B - 6b"/>
      <sheetName val="B - 7.2a"/>
      <sheetName val="B - 7.2b"/>
      <sheetName val="B - 8(alt)"/>
      <sheetName val="B - 8"/>
      <sheetName val="B - 8.1"/>
      <sheetName val="WPB - 8.1"/>
      <sheetName val="B-9"/>
      <sheetName val="WPB - 9"/>
      <sheetName val="B - 9.1"/>
      <sheetName val="B - 13"/>
      <sheetName val="WPB - 13a"/>
      <sheetName val="WPB - 13b"/>
      <sheetName val="WPB - 13c"/>
      <sheetName val="B-14"/>
      <sheetName val="WPB - 14"/>
      <sheetName val="C - 1"/>
      <sheetName val="C - 2"/>
      <sheetName val="C - 2.1"/>
      <sheetName val="C - 2.2"/>
      <sheetName val="C - 2.3"/>
      <sheetName val="C - 2.4"/>
      <sheetName val="C-2.4"/>
      <sheetName val="C-2.5"/>
      <sheetName val="C-2.6"/>
      <sheetName val="WPC-2.6a"/>
      <sheetName val="WPC-2.6b"/>
      <sheetName val="C-2.7"/>
      <sheetName val="C-2.8"/>
      <sheetName val="WPC-2.8"/>
      <sheetName val="C-2.9"/>
      <sheetName val="WPC-2.9"/>
      <sheetName val="C-2.10"/>
      <sheetName val="WPC-2.10"/>
      <sheetName val="C-2.11"/>
      <sheetName val="C-2.12"/>
      <sheetName val="C-2.13"/>
      <sheetName val="C-2.14"/>
      <sheetName val="WPC-2.14"/>
      <sheetName val="C - 3"/>
      <sheetName val="WPC - 3a"/>
      <sheetName val="WPC - 3b"/>
      <sheetName val="C - 4"/>
      <sheetName val="WPC - 4a"/>
      <sheetName val="WPC - 4b"/>
      <sheetName val="WPC - 4c"/>
      <sheetName val="C-5"/>
      <sheetName val="C - 5b"/>
      <sheetName val="C - 5.1"/>
      <sheetName val="C-5.2"/>
      <sheetName val="C-5.3"/>
      <sheetName val="C - 5.4"/>
      <sheetName val="WPC - 5.4"/>
      <sheetName val="C-5.5"/>
      <sheetName val="C - 6"/>
      <sheetName val="C - 6.1"/>
      <sheetName val="C - 6.2"/>
      <sheetName val="C - 7"/>
      <sheetName val="C - 8"/>
      <sheetName val="WPC - 8"/>
      <sheetName val="C - 9"/>
      <sheetName val="C - 10"/>
      <sheetName val="WPC - 10"/>
      <sheetName val="C - 10.1"/>
      <sheetName val="C - 11.1"/>
      <sheetName val="WPC - 11.1a"/>
      <sheetName val="WPC - 11.1b"/>
      <sheetName val="WPC - 11.1c"/>
      <sheetName val="WPC - 11.1d"/>
      <sheetName val="C-11.2a"/>
      <sheetName val="C-11.2b"/>
      <sheetName val="C-11.2c"/>
      <sheetName val="C-11.2d"/>
      <sheetName val="C-11.2e"/>
      <sheetName val="C-11.2f"/>
      <sheetName val="C-11.2g"/>
      <sheetName val="C-11.2h"/>
      <sheetName val="C - 11.3"/>
      <sheetName val="WPC - 11.3a"/>
      <sheetName val="WPC - 11.3b"/>
      <sheetName val="C - 12"/>
      <sheetName val="WPC - 12a"/>
      <sheetName val="WPC - 12b"/>
      <sheetName val="WPC-12c"/>
      <sheetName val="WPC - 12d"/>
      <sheetName val="C - 13"/>
      <sheetName val="C - 14"/>
      <sheetName val="WPC-14a"/>
      <sheetName val="WPC-14b"/>
      <sheetName val="C - 16"/>
      <sheetName val="C - 17a"/>
      <sheetName val="C - 17b"/>
      <sheetName val="C - 17c"/>
      <sheetName val="C - 17d"/>
      <sheetName val="C - 18"/>
      <sheetName val="WPC - 18a"/>
      <sheetName val="WPC - 18b"/>
      <sheetName val="WPC - 18c"/>
      <sheetName val="C - 19"/>
      <sheetName val="C - 21"/>
      <sheetName val="WPC - 21a"/>
      <sheetName val="WPC - 21b"/>
      <sheetName val="C - 23"/>
      <sheetName val="WPC - 23a"/>
      <sheetName val="WPC - 23b"/>
      <sheetName val="WPC - 23c"/>
      <sheetName val="WPC - 23d"/>
      <sheetName val="C - 25"/>
      <sheetName val="C - 26"/>
      <sheetName val="C - 30"/>
    </sheetNames>
    <sheetDataSet>
      <sheetData sheetId="0" refreshError="1">
        <row r="154">
          <cell r="B154" t="str">
            <v>AmerenCIPS</v>
          </cell>
        </row>
        <row r="160">
          <cell r="B160" t="str">
            <v>(000s)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A - 1"/>
      <sheetName val="A - 2"/>
      <sheetName val="A - 2.1"/>
      <sheetName val="A - 3"/>
      <sheetName val="A - 4"/>
      <sheetName val="A - 5a"/>
      <sheetName val="A - 5b"/>
      <sheetName val="WPA - 5a"/>
      <sheetName val="WPA - 5b"/>
      <sheetName val="WPA - 5c"/>
      <sheetName val="B - 1"/>
      <sheetName val="WPB - 1"/>
      <sheetName val="WPB - 1b"/>
      <sheetName val="B - 2"/>
      <sheetName val="B - 2.1"/>
      <sheetName val="B - 2.2"/>
      <sheetName val="WPB - 2.2"/>
      <sheetName val="B - 2.3"/>
      <sheetName val="B - 2.4"/>
      <sheetName val="B-2.5"/>
      <sheetName val="WPB-2.5"/>
      <sheetName val="B - 2.6"/>
      <sheetName val="B - 2.7"/>
      <sheetName val="B - 3a"/>
      <sheetName val="B - 3b"/>
      <sheetName val="B - 4"/>
      <sheetName val="B - 5"/>
      <sheetName val="WPB - 5a"/>
      <sheetName val="WPB - 5b"/>
      <sheetName val="WPB - 5c"/>
      <sheetName val="B - 5.2"/>
      <sheetName val="B - 6a"/>
      <sheetName val="WPB - 6a"/>
      <sheetName val="B - 6b"/>
      <sheetName val="B - 7.2a"/>
      <sheetName val="B - 7.2b"/>
      <sheetName val="EXH-3"/>
      <sheetName val="EXH-2"/>
      <sheetName val="EXH-1"/>
      <sheetName val="B - 8"/>
      <sheetName val="B - 8.1"/>
      <sheetName val="WPB - 8.1a"/>
      <sheetName val="WPB - 8.1b"/>
      <sheetName val="B-9"/>
      <sheetName val="WPB - 9"/>
      <sheetName val="B - 9.1"/>
      <sheetName val="B - 13"/>
      <sheetName val="WPB - 13a"/>
      <sheetName val="WPB - 13b"/>
      <sheetName val="WPB - 13c"/>
      <sheetName val="B-14"/>
      <sheetName val="WPB - 14"/>
      <sheetName val="C - 1"/>
      <sheetName val="C - 2"/>
      <sheetName val="C - 2.1"/>
      <sheetName val="C - 2.2"/>
      <sheetName val="C - 2.3"/>
      <sheetName val="C - 2.4"/>
      <sheetName val="C-2.4"/>
      <sheetName val="C-2.5"/>
      <sheetName val="C-2.6"/>
      <sheetName val="WPC-2.6a"/>
      <sheetName val="WPC-2.6b"/>
      <sheetName val="C-2.7"/>
      <sheetName val="C-2.8"/>
      <sheetName val="WPC - 2.8"/>
      <sheetName val="C-2.9"/>
      <sheetName val="WPC-2.9"/>
      <sheetName val="WPC - 2.9a"/>
      <sheetName val="WPC - 2.9b"/>
      <sheetName val="C-2.10"/>
      <sheetName val="WPC-2.10"/>
      <sheetName val="C-2.11"/>
      <sheetName val="C-2.12"/>
      <sheetName val="C-2.13"/>
      <sheetName val="C-2.14"/>
      <sheetName val="WPC-2.14"/>
      <sheetName val="C - 3"/>
      <sheetName val="WPC - 3a"/>
      <sheetName val="WPC - 3b"/>
      <sheetName val="C - 4"/>
      <sheetName val="WPC - 4a"/>
      <sheetName val="WPC - 4b"/>
      <sheetName val="WPC - 4c"/>
      <sheetName val="C-5"/>
      <sheetName val="C - 5b"/>
      <sheetName val="C - 5.1"/>
      <sheetName val="C-5.2"/>
      <sheetName val="C-5.3"/>
      <sheetName val="C - 5.4"/>
      <sheetName val="WPC - 5.4"/>
      <sheetName val="C-5.5"/>
      <sheetName val="C - 6"/>
      <sheetName val="WPC - 6"/>
      <sheetName val="C - 6.1"/>
      <sheetName val="WPC - 6.1"/>
      <sheetName val="C - 6.2"/>
      <sheetName val="C - 7"/>
      <sheetName val="WPC - 7"/>
      <sheetName val="C - 8"/>
      <sheetName val="WPC - 8"/>
      <sheetName val="C - 9"/>
      <sheetName val="C - 10"/>
      <sheetName val="WPC - 10"/>
      <sheetName val="C - 10.1"/>
      <sheetName val="C - 11.1"/>
      <sheetName val="WPC - 11.1a"/>
      <sheetName val="WPC - 11.1b"/>
      <sheetName val="WPC - 11.1c"/>
      <sheetName val="WPC - 11.1d"/>
      <sheetName val="C-11.2a"/>
      <sheetName val="C-11.2b"/>
      <sheetName val="C-11.2c"/>
      <sheetName val="C-11.2d"/>
      <sheetName val="C-11.2e"/>
      <sheetName val="C-11.2f"/>
      <sheetName val="C-11.2g"/>
      <sheetName val="C-11.2h"/>
      <sheetName val="C - 11.3"/>
      <sheetName val="WPC - 11.3a"/>
      <sheetName val="WPC - 11.3b"/>
      <sheetName val="C - 12"/>
      <sheetName val="WPC - 12a"/>
      <sheetName val="WPC - 12b"/>
      <sheetName val="WPC - 12c"/>
      <sheetName val="WPC-12c"/>
      <sheetName val="WPC - 12d"/>
      <sheetName val="C - 13"/>
      <sheetName val="C - 14"/>
      <sheetName val="WPC-14a"/>
      <sheetName val="WPC-14b"/>
      <sheetName val="C - 16"/>
      <sheetName val="C - 17a"/>
      <sheetName val="C - 17b"/>
      <sheetName val="C - 17c"/>
      <sheetName val="C - 17d"/>
      <sheetName val="C - 18"/>
      <sheetName val="WPC - 18a"/>
      <sheetName val="WPC - 18b"/>
      <sheetName val="WPC - 18c"/>
      <sheetName val="C - 19"/>
      <sheetName val="C - 21"/>
      <sheetName val="WPC - 21a"/>
      <sheetName val="WPC - 21b"/>
      <sheetName val="C - 23"/>
      <sheetName val="WPC - 23a"/>
      <sheetName val="WPC - 23b"/>
      <sheetName val="WPC - 23c"/>
      <sheetName val="WPC - 23d"/>
      <sheetName val="C - 25"/>
      <sheetName val="C - 26"/>
      <sheetName val="C - 30"/>
    </sheetNames>
    <sheetDataSet>
      <sheetData sheetId="0">
        <row r="170">
          <cell r="B170" t="str">
            <v>AmerenCIPS</v>
          </cell>
        </row>
        <row r="171">
          <cell r="B171" t="str">
            <v>AmerenUE Illinois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A - 1"/>
      <sheetName val="A - 2"/>
      <sheetName val="A - 2.1"/>
      <sheetName val="A - 4"/>
      <sheetName val="A - 5a"/>
      <sheetName val="A - 5b"/>
      <sheetName val="WPA - 5a"/>
      <sheetName val="WPA - 5b"/>
      <sheetName val="B - 1"/>
      <sheetName val="WPB-1.1"/>
      <sheetName val="WPB-1.2"/>
      <sheetName val="B  - 2"/>
      <sheetName val="B - 2.1"/>
      <sheetName val="B - 2.2"/>
      <sheetName val="B - 3"/>
      <sheetName val="B - 4"/>
      <sheetName val="B - 5"/>
      <sheetName val="B - 6a"/>
      <sheetName val="B - 6b"/>
      <sheetName val="B - 7.2a"/>
      <sheetName val="B - 7.2b"/>
      <sheetName val="B - 8 (alt)"/>
      <sheetName val="B - 8"/>
      <sheetName val="B - 8.1"/>
      <sheetName val="WPB - 8.1"/>
      <sheetName val="B - 9"/>
      <sheetName val="WPB - 9"/>
      <sheetName val="B - 13"/>
      <sheetName val="WPB - 13a"/>
      <sheetName val="WPB - 13b"/>
      <sheetName val="WPB - 13c"/>
      <sheetName val="2003 - B - 13"/>
      <sheetName val="2003 - WPB - 13"/>
      <sheetName val="B - 14"/>
      <sheetName val="WPB - 14"/>
      <sheetName val="C - 1"/>
      <sheetName val="C - 2"/>
      <sheetName val="C - 2.1"/>
      <sheetName val="C - 2.2"/>
      <sheetName val="C - 2.3"/>
      <sheetName val="C - 2.4moot"/>
      <sheetName val="C-2.4"/>
      <sheetName val="C-2.5"/>
      <sheetName val="C-2.6"/>
      <sheetName val="WPC-2.6a"/>
      <sheetName val="WPC-2.6b"/>
      <sheetName val="C-2.7"/>
      <sheetName val="C-2.8"/>
      <sheetName val="WPC-2.8"/>
      <sheetName val="C-2.9"/>
      <sheetName val="WPC-2.9"/>
      <sheetName val="C-2.10"/>
      <sheetName val="WPC-2.10a"/>
      <sheetName val="WPC - 2.10b"/>
      <sheetName val="C-2.11"/>
      <sheetName val="C-2.12"/>
      <sheetName val="WPC-2.12"/>
      <sheetName val="C-2.13"/>
      <sheetName val="C-2.14"/>
      <sheetName val="C - 3"/>
      <sheetName val="C - 4"/>
      <sheetName val="WPC - 4"/>
      <sheetName val="C-5"/>
      <sheetName val="C - 5b"/>
      <sheetName val="C - 5.1"/>
      <sheetName val="C-5.2"/>
      <sheetName val="C - 5.3"/>
      <sheetName val="C - 5.4"/>
      <sheetName val="WPC - 5.4"/>
      <sheetName val="C - 5.5"/>
      <sheetName val="C - 6"/>
      <sheetName val="C - 6.1"/>
      <sheetName val="C - 6.2"/>
      <sheetName val="C - 7"/>
      <sheetName val="C - 8"/>
      <sheetName val="WPC - 8"/>
      <sheetName val="C - 9"/>
      <sheetName val="C - 10"/>
      <sheetName val="WPC-10"/>
      <sheetName val="C - 10.1"/>
      <sheetName val="C - 11.1"/>
      <sheetName val="WPC - 11.1"/>
      <sheetName val="C-11.2a"/>
      <sheetName val="WPC-11.2a"/>
      <sheetName val="C-11.2b"/>
      <sheetName val="C-11.2c"/>
      <sheetName val="C-11.2d"/>
      <sheetName val="C-11.2e"/>
      <sheetName val="C-11.2f"/>
      <sheetName val="C-11.2g"/>
      <sheetName val="C-11.2h"/>
      <sheetName val="C - 11.3"/>
      <sheetName val="WPC - 11.3"/>
      <sheetName val="C - 12"/>
      <sheetName val="WPC - 12a"/>
      <sheetName val="WPC - 12b"/>
      <sheetName val="WPC - 12c"/>
      <sheetName val="C-13"/>
      <sheetName val="C - 14"/>
      <sheetName val="WPC - 14"/>
      <sheetName val="C - 16"/>
      <sheetName val="WPC-16"/>
      <sheetName val="C - 17a"/>
      <sheetName val="C - 17b"/>
      <sheetName val="C - 17c"/>
      <sheetName val="C - 17d"/>
      <sheetName val="C-18"/>
      <sheetName val="WPC - 18a"/>
      <sheetName val="WPC - 18b"/>
      <sheetName val="WPC - 18c"/>
      <sheetName val="C - 19"/>
      <sheetName val="C - 21"/>
      <sheetName val="C - 23"/>
      <sheetName val="WPC - 23"/>
      <sheetName val="C - 25"/>
      <sheetName val="C - 26"/>
      <sheetName val="C - 30"/>
    </sheetNames>
    <sheetDataSet>
      <sheetData sheetId="0" refreshError="1">
        <row r="109">
          <cell r="C109" t="str">
            <v>AmerenCILCO</v>
          </cell>
        </row>
        <row r="110">
          <cell r="C110" t="str">
            <v>As of December 31, 2006</v>
          </cell>
        </row>
        <row r="111">
          <cell r="C111" t="str">
            <v>As of December 31,</v>
          </cell>
        </row>
        <row r="112">
          <cell r="C112" t="str">
            <v>For the Twelve Months Ended December 31, 2006</v>
          </cell>
        </row>
        <row r="113">
          <cell r="C113" t="str">
            <v>For the Twelve Months Ended December 31,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O Fees"/>
      <sheetName val="Cost Care"/>
    </sheetNames>
    <sheetDataSet>
      <sheetData sheetId="0"/>
      <sheetData sheetId="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Year Credit Facility (2)"/>
      <sheetName val="One Year Credit Facility"/>
      <sheetName val="One Year Credit Facility (2 (3)"/>
      <sheetName val="Three Year Credit Facility"/>
      <sheetName val="FIVE Year Credit Facility"/>
      <sheetName val="Credit Facility.2005"/>
      <sheetName val="Credit Facility.2004"/>
      <sheetName val="Formulas"/>
      <sheetName val="Spreadsheet Changes"/>
      <sheetName val="Credit Facility"/>
      <sheetName val="One Year Credit Facility05"/>
    </sheetNames>
    <sheetDataSet>
      <sheetData sheetId="0" refreshError="1"/>
      <sheetData sheetId="1" refreshError="1">
        <row r="23">
          <cell r="A23">
            <v>37955</v>
          </cell>
          <cell r="B23">
            <v>52239.015521978028</v>
          </cell>
          <cell r="C23">
            <v>561148.134478022</v>
          </cell>
          <cell r="D23">
            <v>52239.015521978028</v>
          </cell>
        </row>
        <row r="24">
          <cell r="A24">
            <v>37986</v>
          </cell>
          <cell r="B24">
            <v>52239.015521978028</v>
          </cell>
          <cell r="C24">
            <v>508909.11895604397</v>
          </cell>
          <cell r="D24">
            <v>104478.03104395606</v>
          </cell>
        </row>
        <row r="25">
          <cell r="A25">
            <v>38017</v>
          </cell>
          <cell r="B25">
            <v>52239.015521978028</v>
          </cell>
          <cell r="C25">
            <v>456670.10343406594</v>
          </cell>
          <cell r="D25">
            <v>52239.015521978028</v>
          </cell>
        </row>
        <row r="26">
          <cell r="A26">
            <v>38046</v>
          </cell>
          <cell r="B26">
            <v>48868.756456043964</v>
          </cell>
          <cell r="C26">
            <v>407801.34697802196</v>
          </cell>
          <cell r="D26">
            <v>101107.77197802199</v>
          </cell>
        </row>
        <row r="27">
          <cell r="A27">
            <v>38077</v>
          </cell>
          <cell r="B27">
            <v>52239.015521978028</v>
          </cell>
          <cell r="C27">
            <v>355562.33145604393</v>
          </cell>
          <cell r="D27">
            <v>153346.78750000003</v>
          </cell>
        </row>
        <row r="28">
          <cell r="A28">
            <v>38107</v>
          </cell>
          <cell r="B28">
            <v>50553.885989010996</v>
          </cell>
          <cell r="C28">
            <v>305008.44546703296</v>
          </cell>
          <cell r="D28">
            <v>203900.67348901104</v>
          </cell>
        </row>
        <row r="29">
          <cell r="A29">
            <v>38138</v>
          </cell>
          <cell r="B29">
            <v>52239.015521978028</v>
          </cell>
          <cell r="C29">
            <v>252769.42994505493</v>
          </cell>
          <cell r="D29">
            <v>256139.68901098907</v>
          </cell>
        </row>
        <row r="30">
          <cell r="A30">
            <v>38168</v>
          </cell>
          <cell r="B30">
            <v>50553.885989010996</v>
          </cell>
          <cell r="C30">
            <v>202215.54395604393</v>
          </cell>
          <cell r="D30">
            <v>306693.57500000007</v>
          </cell>
        </row>
        <row r="31">
          <cell r="A31" t="str">
            <v>Adjustment</v>
          </cell>
          <cell r="B31">
            <v>186715.54395604393</v>
          </cell>
          <cell r="C31">
            <v>15500</v>
          </cell>
          <cell r="D31">
            <v>493409.11895604397</v>
          </cell>
        </row>
        <row r="32">
          <cell r="A32">
            <v>38199</v>
          </cell>
          <cell r="B32">
            <v>3875</v>
          </cell>
          <cell r="C32">
            <v>198340.54395604393</v>
          </cell>
          <cell r="D32">
            <v>497284.11895604397</v>
          </cell>
        </row>
        <row r="33">
          <cell r="A33">
            <v>38230</v>
          </cell>
          <cell r="B33">
            <v>3875</v>
          </cell>
          <cell r="C33">
            <v>194465.54395604393</v>
          </cell>
          <cell r="D33">
            <v>501159.11895604397</v>
          </cell>
        </row>
        <row r="34">
          <cell r="A34">
            <v>38260</v>
          </cell>
          <cell r="B34">
            <v>3875</v>
          </cell>
          <cell r="C34">
            <v>190590.54395604393</v>
          </cell>
          <cell r="D34">
            <v>505034.11895604397</v>
          </cell>
        </row>
      </sheetData>
      <sheetData sheetId="2" refreshError="1">
        <row r="23">
          <cell r="A23">
            <v>38321</v>
          </cell>
          <cell r="B23">
            <v>6280.8870054945055</v>
          </cell>
          <cell r="C23">
            <v>67468.882994505504</v>
          </cell>
          <cell r="D23">
            <v>6280.8870054945055</v>
          </cell>
        </row>
        <row r="24">
          <cell r="A24">
            <v>38352</v>
          </cell>
          <cell r="B24">
            <v>6280.8870054945055</v>
          </cell>
          <cell r="C24">
            <v>61187.995989010997</v>
          </cell>
          <cell r="D24">
            <v>12561.774010989011</v>
          </cell>
        </row>
        <row r="25">
          <cell r="A25">
            <v>38383</v>
          </cell>
          <cell r="B25">
            <v>6280.8870054945055</v>
          </cell>
          <cell r="C25">
            <v>54907.108983516489</v>
          </cell>
          <cell r="D25">
            <v>6280.8870054945055</v>
          </cell>
        </row>
        <row r="26">
          <cell r="A26">
            <v>38411</v>
          </cell>
          <cell r="B26">
            <v>5875.6684890109891</v>
          </cell>
          <cell r="C26">
            <v>49031.440494505499</v>
          </cell>
          <cell r="D26">
            <v>12156.555494505494</v>
          </cell>
        </row>
        <row r="27">
          <cell r="A27">
            <v>38442</v>
          </cell>
          <cell r="B27">
            <v>6280.8870054945055</v>
          </cell>
          <cell r="C27">
            <v>42750.553489010992</v>
          </cell>
          <cell r="D27">
            <v>18437.442499999997</v>
          </cell>
        </row>
        <row r="28">
          <cell r="A28">
            <v>38472</v>
          </cell>
          <cell r="B28">
            <v>6078.2777472527478</v>
          </cell>
          <cell r="C28">
            <v>36672.275741758247</v>
          </cell>
          <cell r="D28">
            <v>24515.720247252746</v>
          </cell>
        </row>
        <row r="29">
          <cell r="A29">
            <v>38503</v>
          </cell>
          <cell r="B29">
            <v>6280.8870054945055</v>
          </cell>
          <cell r="C29">
            <v>30391.38873626374</v>
          </cell>
          <cell r="D29">
            <v>30796.60725274725</v>
          </cell>
        </row>
        <row r="30">
          <cell r="A30">
            <v>38533</v>
          </cell>
          <cell r="B30">
            <v>6078.2777472527478</v>
          </cell>
          <cell r="C30">
            <v>202215.54395604393</v>
          </cell>
          <cell r="D30">
            <v>36874.884999999995</v>
          </cell>
        </row>
        <row r="31">
          <cell r="A31">
            <v>38564</v>
          </cell>
          <cell r="B31">
            <v>6078.2777472527478</v>
          </cell>
          <cell r="C31">
            <v>15500</v>
          </cell>
          <cell r="D31">
            <v>42953.16274725274</v>
          </cell>
        </row>
        <row r="32">
          <cell r="A32">
            <v>38595</v>
          </cell>
          <cell r="B32">
            <v>6078.2777472527478</v>
          </cell>
          <cell r="C32">
            <v>196137.26620879117</v>
          </cell>
          <cell r="D32">
            <v>49031.440494505485</v>
          </cell>
        </row>
        <row r="33">
          <cell r="A33">
            <v>38625</v>
          </cell>
          <cell r="B33">
            <v>6078.2777472527478</v>
          </cell>
          <cell r="C33">
            <v>190058.98846153842</v>
          </cell>
          <cell r="D33">
            <v>55109.71824175823</v>
          </cell>
        </row>
        <row r="34">
          <cell r="A34">
            <v>38656</v>
          </cell>
          <cell r="B34">
            <v>6078.2777472527478</v>
          </cell>
          <cell r="C34">
            <v>183980.71071428567</v>
          </cell>
          <cell r="D34">
            <v>61187.995989010975</v>
          </cell>
        </row>
      </sheetData>
      <sheetData sheetId="3" refreshError="1">
        <row r="22">
          <cell r="A22">
            <v>37955</v>
          </cell>
          <cell r="B22">
            <v>15746.865277777779</v>
          </cell>
          <cell r="C22">
            <v>551140.28472222225</v>
          </cell>
          <cell r="D22">
            <v>15746.865277777779</v>
          </cell>
        </row>
        <row r="23">
          <cell r="A23">
            <v>37986</v>
          </cell>
          <cell r="B23">
            <v>15746.865277777779</v>
          </cell>
          <cell r="C23">
            <v>535393.41944444447</v>
          </cell>
          <cell r="D23">
            <v>31493.730555555558</v>
          </cell>
        </row>
        <row r="24">
          <cell r="A24">
            <v>38017</v>
          </cell>
          <cell r="B24">
            <v>15746.865277777779</v>
          </cell>
          <cell r="C24">
            <v>519646.5541666667</v>
          </cell>
          <cell r="D24">
            <v>15746.865277777779</v>
          </cell>
        </row>
        <row r="25">
          <cell r="A25">
            <v>38046</v>
          </cell>
          <cell r="B25">
            <v>15746.865277777779</v>
          </cell>
          <cell r="C25">
            <v>503899.68888888892</v>
          </cell>
          <cell r="D25">
            <v>31493.730555555558</v>
          </cell>
        </row>
        <row r="26">
          <cell r="A26">
            <v>38077</v>
          </cell>
          <cell r="B26">
            <v>15746.865277777779</v>
          </cell>
          <cell r="C26">
            <v>488152.82361111115</v>
          </cell>
          <cell r="D26">
            <v>47240.59583333334</v>
          </cell>
        </row>
        <row r="27">
          <cell r="A27">
            <v>38107</v>
          </cell>
          <cell r="B27">
            <v>15746.865277777779</v>
          </cell>
          <cell r="C27">
            <v>472405.95833333337</v>
          </cell>
          <cell r="D27">
            <v>62987.461111111115</v>
          </cell>
        </row>
        <row r="28">
          <cell r="A28">
            <v>38138</v>
          </cell>
          <cell r="B28">
            <v>15746.865277777779</v>
          </cell>
          <cell r="C28">
            <v>456659.0930555556</v>
          </cell>
          <cell r="D28">
            <v>78734.326388888891</v>
          </cell>
        </row>
        <row r="29">
          <cell r="A29">
            <v>38168</v>
          </cell>
          <cell r="B29">
            <v>15746.865277777779</v>
          </cell>
          <cell r="C29">
            <v>440912.22777777782</v>
          </cell>
          <cell r="D29">
            <v>94481.191666666666</v>
          </cell>
        </row>
        <row r="30">
          <cell r="A30">
            <v>38199</v>
          </cell>
          <cell r="B30">
            <v>15746.865277777779</v>
          </cell>
          <cell r="C30">
            <v>425165.36250000005</v>
          </cell>
          <cell r="D30">
            <v>110228.05694444444</v>
          </cell>
        </row>
        <row r="31">
          <cell r="A31">
            <v>38230</v>
          </cell>
          <cell r="B31">
            <v>15746.865277777779</v>
          </cell>
          <cell r="C31">
            <v>409418.49722222227</v>
          </cell>
          <cell r="D31">
            <v>125974.92222222222</v>
          </cell>
        </row>
        <row r="32">
          <cell r="A32">
            <v>38260</v>
          </cell>
          <cell r="B32">
            <v>15746.865277777779</v>
          </cell>
          <cell r="C32">
            <v>393671.6319444445</v>
          </cell>
          <cell r="D32">
            <v>141721.78750000001</v>
          </cell>
        </row>
        <row r="33">
          <cell r="A33">
            <v>38291</v>
          </cell>
          <cell r="B33">
            <v>15746.865277777779</v>
          </cell>
          <cell r="C33">
            <v>377924.76666666672</v>
          </cell>
          <cell r="D33">
            <v>157468.65277777778</v>
          </cell>
        </row>
        <row r="34">
          <cell r="A34">
            <v>38321</v>
          </cell>
          <cell r="B34">
            <v>15746.865277777779</v>
          </cell>
          <cell r="C34">
            <v>362177.90138888895</v>
          </cell>
          <cell r="D34">
            <v>173215.51805555556</v>
          </cell>
        </row>
        <row r="35">
          <cell r="A35">
            <v>38352</v>
          </cell>
          <cell r="B35">
            <v>15746.865277777779</v>
          </cell>
          <cell r="C35">
            <v>346431.03611111117</v>
          </cell>
          <cell r="D35">
            <v>188962.38333333333</v>
          </cell>
        </row>
        <row r="36">
          <cell r="A36">
            <v>38383</v>
          </cell>
          <cell r="B36">
            <v>15746.865277777779</v>
          </cell>
          <cell r="C36">
            <v>330684.1708333334</v>
          </cell>
          <cell r="D36">
            <v>15746.865277777779</v>
          </cell>
        </row>
        <row r="37">
          <cell r="A37">
            <v>38411</v>
          </cell>
          <cell r="B37">
            <v>15746.865277777779</v>
          </cell>
          <cell r="C37">
            <v>314937.30555555562</v>
          </cell>
          <cell r="D37">
            <v>31493.730555555558</v>
          </cell>
        </row>
        <row r="38">
          <cell r="A38">
            <v>38442</v>
          </cell>
          <cell r="B38">
            <v>15746.865277777779</v>
          </cell>
          <cell r="C38">
            <v>299190.44027777785</v>
          </cell>
          <cell r="D38">
            <v>47240.59583333334</v>
          </cell>
        </row>
        <row r="39">
          <cell r="A39">
            <v>38472</v>
          </cell>
          <cell r="B39">
            <v>15746.865277777779</v>
          </cell>
          <cell r="C39">
            <v>283443.57500000007</v>
          </cell>
          <cell r="D39">
            <v>62987.461111111115</v>
          </cell>
        </row>
        <row r="40">
          <cell r="A40">
            <v>38503</v>
          </cell>
          <cell r="B40">
            <v>15746.865277777779</v>
          </cell>
          <cell r="C40">
            <v>267696.70972222229</v>
          </cell>
          <cell r="D40">
            <v>78734.326388888891</v>
          </cell>
        </row>
        <row r="41">
          <cell r="A41">
            <v>38533</v>
          </cell>
          <cell r="B41">
            <v>15746.865277777779</v>
          </cell>
          <cell r="C41">
            <v>251949.84444444452</v>
          </cell>
          <cell r="D41">
            <v>94481.191666666666</v>
          </cell>
        </row>
        <row r="42">
          <cell r="A42">
            <v>38564</v>
          </cell>
          <cell r="B42">
            <v>15746.865277777779</v>
          </cell>
          <cell r="C42">
            <v>236202.97916666674</v>
          </cell>
          <cell r="D42">
            <v>110228.05694444444</v>
          </cell>
        </row>
        <row r="43">
          <cell r="A43">
            <v>38595</v>
          </cell>
          <cell r="B43">
            <v>15746.865277777779</v>
          </cell>
          <cell r="C43">
            <v>220456.11388888897</v>
          </cell>
          <cell r="D43">
            <v>125974.92222222222</v>
          </cell>
        </row>
        <row r="44">
          <cell r="A44">
            <v>38625</v>
          </cell>
          <cell r="B44">
            <v>15746.865277777779</v>
          </cell>
          <cell r="C44">
            <v>204709.24861111119</v>
          </cell>
          <cell r="D44">
            <v>141721.78750000001</v>
          </cell>
        </row>
        <row r="45">
          <cell r="A45">
            <v>38656</v>
          </cell>
          <cell r="B45">
            <v>15746.865277777779</v>
          </cell>
          <cell r="C45">
            <v>188962.38333333342</v>
          </cell>
          <cell r="D45">
            <v>157468.65277777778</v>
          </cell>
        </row>
        <row r="46">
          <cell r="A46">
            <v>38686</v>
          </cell>
          <cell r="B46">
            <v>15746.865277777779</v>
          </cell>
          <cell r="C46">
            <v>173215.51805555564</v>
          </cell>
          <cell r="D46">
            <v>173215.51805555556</v>
          </cell>
        </row>
        <row r="47">
          <cell r="A47">
            <v>38717</v>
          </cell>
          <cell r="B47">
            <v>15746.865277777779</v>
          </cell>
          <cell r="C47">
            <v>157468.65277777787</v>
          </cell>
          <cell r="D47">
            <v>188962.38333333333</v>
          </cell>
        </row>
        <row r="48">
          <cell r="A48">
            <v>38748</v>
          </cell>
          <cell r="B48">
            <v>15746.865277777779</v>
          </cell>
          <cell r="C48">
            <v>141721.78750000009</v>
          </cell>
          <cell r="D48">
            <v>15746.865277777779</v>
          </cell>
        </row>
        <row r="49">
          <cell r="A49">
            <v>38776</v>
          </cell>
          <cell r="B49">
            <v>15746.865277777779</v>
          </cell>
          <cell r="C49">
            <v>125974.92222222232</v>
          </cell>
          <cell r="D49">
            <v>31493.730555555558</v>
          </cell>
        </row>
        <row r="50">
          <cell r="A50">
            <v>38807</v>
          </cell>
          <cell r="B50">
            <v>15746.865277777779</v>
          </cell>
          <cell r="C50">
            <v>110228.05694444454</v>
          </cell>
          <cell r="D50">
            <v>47240.59583333334</v>
          </cell>
        </row>
        <row r="51">
          <cell r="A51">
            <v>38837</v>
          </cell>
          <cell r="B51">
            <v>15746.865277777779</v>
          </cell>
          <cell r="C51">
            <v>94481.191666666768</v>
          </cell>
          <cell r="D51">
            <v>62987.461111111115</v>
          </cell>
        </row>
        <row r="52">
          <cell r="A52">
            <v>38868</v>
          </cell>
          <cell r="B52">
            <v>15746.865277777779</v>
          </cell>
          <cell r="C52">
            <v>78734.326388888992</v>
          </cell>
          <cell r="D52">
            <v>78734.326388888891</v>
          </cell>
        </row>
        <row r="53">
          <cell r="A53">
            <v>38898</v>
          </cell>
          <cell r="B53">
            <v>15746.865277777779</v>
          </cell>
          <cell r="C53">
            <v>62987.461111111217</v>
          </cell>
          <cell r="D53">
            <v>94481.191666666666</v>
          </cell>
        </row>
        <row r="54">
          <cell r="A54">
            <v>38929</v>
          </cell>
          <cell r="B54">
            <v>15746.865277777779</v>
          </cell>
          <cell r="C54">
            <v>47240.595833333442</v>
          </cell>
          <cell r="D54">
            <v>110228.05694444444</v>
          </cell>
        </row>
        <row r="55">
          <cell r="A55">
            <v>38960</v>
          </cell>
          <cell r="B55">
            <v>15746.865277777779</v>
          </cell>
          <cell r="C55">
            <v>31493.730555555663</v>
          </cell>
          <cell r="D55">
            <v>125974.92222222222</v>
          </cell>
        </row>
        <row r="56">
          <cell r="A56">
            <v>38990</v>
          </cell>
          <cell r="B56">
            <v>15746.865277777779</v>
          </cell>
          <cell r="C56">
            <v>15746.865277777884</v>
          </cell>
          <cell r="D56">
            <v>141721.78750000001</v>
          </cell>
        </row>
        <row r="57">
          <cell r="A57">
            <v>39021</v>
          </cell>
          <cell r="B57">
            <v>15746.865277777779</v>
          </cell>
          <cell r="C57">
            <v>1.0550138540565968E-10</v>
          </cell>
          <cell r="D57">
            <v>157468.65277777778</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Rank2"/>
      <sheetName val="Rank"/>
      <sheetName val="Data DGS"/>
      <sheetName val="DGS"/>
      <sheetName val="CS"/>
      <sheetName val="Data CS"/>
      <sheetName val="PctRev"/>
      <sheetName val="PP"/>
      <sheetName val="Cost"/>
      <sheetName val="Adm"/>
      <sheetName val="HdctBwAvg"/>
      <sheetName val="NR by Cluster"/>
      <sheetName val="Comp"/>
      <sheetName val="Data"/>
      <sheetName val="DataAdm"/>
      <sheetName val="RSF"/>
      <sheetName val="Adm Salary Leveling"/>
      <sheetName val="Tables"/>
      <sheetName val="One Year Credit Facility (2 (3)"/>
      <sheetName val="One Year Credit Facility"/>
      <sheetName val="Three Year Credit Fac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4">
          <cell r="H4">
            <v>7</v>
          </cell>
        </row>
      </sheetData>
      <sheetData sheetId="19" refreshError="1"/>
      <sheetData sheetId="20" refreshError="1"/>
      <sheetData sheetId="21"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RP Funded Status Split PBO"/>
      <sheetName val="SPBP Funded Status Split PBO"/>
      <sheetName val="AMG Funded Status Split PBO"/>
      <sheetName val="ENE Funded Status Split PBO"/>
      <sheetName val="CBPPBU Funded Status Split PBO"/>
      <sheetName val="CBPP Funded Status Split PBO"/>
      <sheetName val="ECRP Funded Status Split PBO"/>
      <sheetName val="East-West Ratio Summary"/>
      <sheetName val="2007 BU FVA, TO, PSC Split"/>
      <sheetName val="2007 BU PBO, SC Split(PreEDSS)"/>
      <sheetName val="2007 BU PBO, SC Split(PostEDSS)"/>
      <sheetName val="BU Ratio Summary"/>
      <sheetName val="Summary of FAS 158 Entries"/>
      <sheetName val="Steps"/>
      <sheetName val="Plans Included"/>
      <sheetName val="change07 by plan"/>
      <sheetName val="nppc 07 by plan"/>
      <sheetName val="Extra Information"/>
      <sheetName val="Output1"/>
      <sheetName val="Output2"/>
      <sheetName val="Output3"/>
      <sheetName val="Output4"/>
      <sheetName val="Output5"/>
      <sheetName val="Output6"/>
      <sheetName val="Outpu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28">
          <cell r="D28">
            <v>6.2100000000000002E-2</v>
          </cell>
        </row>
      </sheetData>
      <sheetData sheetId="16"/>
      <sheetData sheetId="17"/>
      <sheetData sheetId="18"/>
      <sheetData sheetId="19"/>
      <sheetData sheetId="20"/>
      <sheetData sheetId="21"/>
      <sheetData sheetId="22"/>
      <sheetData sheetId="23"/>
      <sheetData sheetId="24"/>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s CWIP Blanket WOs"/>
      <sheetName val="Estimated Retirements"/>
      <sheetName val="WO Type Id PJF Acct"/>
    </sheetNames>
    <sheetDataSet>
      <sheetData sheetId="0"/>
      <sheetData sheetId="1" refreshError="1"/>
      <sheetData sheetId="2" refreshError="1">
        <row r="6">
          <cell r="C6" t="str">
            <v>PJF 2</v>
          </cell>
          <cell r="D6">
            <v>23030</v>
          </cell>
          <cell r="E6">
            <v>23040</v>
          </cell>
          <cell r="F6">
            <v>23550</v>
          </cell>
          <cell r="G6">
            <v>23670</v>
          </cell>
          <cell r="H6">
            <v>23760</v>
          </cell>
          <cell r="I6">
            <v>23800</v>
          </cell>
          <cell r="J6">
            <v>23820</v>
          </cell>
          <cell r="K6">
            <v>23830</v>
          </cell>
          <cell r="L6">
            <v>23900</v>
          </cell>
          <cell r="M6">
            <v>23920</v>
          </cell>
          <cell r="N6">
            <v>23940</v>
          </cell>
          <cell r="O6">
            <v>23950</v>
          </cell>
          <cell r="P6">
            <v>23960</v>
          </cell>
          <cell r="Q6" t="str">
            <v>Grand Total</v>
          </cell>
        </row>
        <row r="7">
          <cell r="E7">
            <v>1</v>
          </cell>
          <cell r="Q7">
            <v>1</v>
          </cell>
        </row>
        <row r="8">
          <cell r="E8">
            <v>1</v>
          </cell>
          <cell r="Q8">
            <v>1</v>
          </cell>
        </row>
        <row r="9">
          <cell r="C9" t="str">
            <v>107732</v>
          </cell>
          <cell r="F9">
            <v>1</v>
          </cell>
          <cell r="Q9">
            <v>1</v>
          </cell>
        </row>
        <row r="10">
          <cell r="F10">
            <v>1</v>
          </cell>
          <cell r="Q10">
            <v>1</v>
          </cell>
        </row>
        <row r="11">
          <cell r="C11" t="str">
            <v>107735</v>
          </cell>
          <cell r="F11">
            <v>1</v>
          </cell>
          <cell r="Q11">
            <v>1</v>
          </cell>
        </row>
        <row r="12">
          <cell r="C12" t="str">
            <v>107736</v>
          </cell>
          <cell r="F12">
            <v>1</v>
          </cell>
          <cell r="Q12">
            <v>1</v>
          </cell>
        </row>
        <row r="13">
          <cell r="C13" t="str">
            <v>107737</v>
          </cell>
          <cell r="F13">
            <v>1</v>
          </cell>
          <cell r="Q13">
            <v>1</v>
          </cell>
        </row>
        <row r="14">
          <cell r="C14" t="str">
            <v>107751</v>
          </cell>
          <cell r="G14">
            <v>1</v>
          </cell>
          <cell r="Q14">
            <v>1</v>
          </cell>
        </row>
        <row r="15">
          <cell r="C15" t="str">
            <v>107753</v>
          </cell>
          <cell r="G15">
            <v>1</v>
          </cell>
          <cell r="Q15">
            <v>1</v>
          </cell>
        </row>
        <row r="16">
          <cell r="C16" t="str">
            <v>107754</v>
          </cell>
          <cell r="G16">
            <v>1</v>
          </cell>
          <cell r="Q16">
            <v>1</v>
          </cell>
        </row>
        <row r="17">
          <cell r="C17" t="str">
            <v>107755</v>
          </cell>
          <cell r="G17">
            <v>1</v>
          </cell>
          <cell r="Q17">
            <v>1</v>
          </cell>
        </row>
        <row r="18">
          <cell r="C18" t="str">
            <v>107756</v>
          </cell>
          <cell r="G18">
            <v>1</v>
          </cell>
          <cell r="Q18">
            <v>1</v>
          </cell>
        </row>
        <row r="19">
          <cell r="C19" t="str">
            <v>107759</v>
          </cell>
          <cell r="G19">
            <v>1</v>
          </cell>
          <cell r="Q19">
            <v>1</v>
          </cell>
        </row>
        <row r="20">
          <cell r="C20" t="str">
            <v>107771</v>
          </cell>
          <cell r="H20">
            <v>1</v>
          </cell>
          <cell r="Q20">
            <v>1</v>
          </cell>
        </row>
        <row r="21">
          <cell r="C21" t="str">
            <v>107773</v>
          </cell>
          <cell r="H21">
            <v>1</v>
          </cell>
          <cell r="Q21">
            <v>1</v>
          </cell>
        </row>
        <row r="22">
          <cell r="C22" t="str">
            <v>107774</v>
          </cell>
          <cell r="H22">
            <v>1</v>
          </cell>
          <cell r="Q22">
            <v>1</v>
          </cell>
        </row>
        <row r="23">
          <cell r="C23" t="str">
            <v>107775</v>
          </cell>
          <cell r="H23">
            <v>1</v>
          </cell>
          <cell r="Q23">
            <v>1</v>
          </cell>
        </row>
        <row r="24">
          <cell r="H24">
            <v>1</v>
          </cell>
          <cell r="Q24">
            <v>1</v>
          </cell>
        </row>
        <row r="25">
          <cell r="C25" t="str">
            <v>107781</v>
          </cell>
          <cell r="I25">
            <v>0.25</v>
          </cell>
          <cell r="J25">
            <v>0.5</v>
          </cell>
          <cell r="K25">
            <v>0.25</v>
          </cell>
          <cell r="Q25">
            <v>1</v>
          </cell>
        </row>
        <row r="26">
          <cell r="I26">
            <v>0.25</v>
          </cell>
          <cell r="J26">
            <v>0.5</v>
          </cell>
          <cell r="K26">
            <v>0.25</v>
          </cell>
          <cell r="Q26">
            <v>1</v>
          </cell>
        </row>
        <row r="27">
          <cell r="I27">
            <v>0.25</v>
          </cell>
          <cell r="J27">
            <v>0.5</v>
          </cell>
          <cell r="K27">
            <v>0.25</v>
          </cell>
          <cell r="Q27">
            <v>1</v>
          </cell>
        </row>
        <row r="28">
          <cell r="I28">
            <v>0.25</v>
          </cell>
          <cell r="J28">
            <v>0.5</v>
          </cell>
          <cell r="K28">
            <v>0.25</v>
          </cell>
          <cell r="Q28">
            <v>1</v>
          </cell>
        </row>
        <row r="29">
          <cell r="I29">
            <v>0.25</v>
          </cell>
          <cell r="J29">
            <v>0.5</v>
          </cell>
          <cell r="O29">
            <v>0.25</v>
          </cell>
          <cell r="Q29">
            <v>1</v>
          </cell>
        </row>
        <row r="30">
          <cell r="I30">
            <v>0.25</v>
          </cell>
          <cell r="J30">
            <v>0.5</v>
          </cell>
          <cell r="O30">
            <v>0.25</v>
          </cell>
          <cell r="Q30">
            <v>1</v>
          </cell>
        </row>
        <row r="31">
          <cell r="L31">
            <v>1</v>
          </cell>
          <cell r="Q31">
            <v>1</v>
          </cell>
        </row>
        <row r="32">
          <cell r="M32">
            <v>1</v>
          </cell>
          <cell r="Q32">
            <v>1</v>
          </cell>
        </row>
        <row r="33">
          <cell r="N33">
            <v>0.25</v>
          </cell>
          <cell r="P33">
            <v>0.75</v>
          </cell>
          <cell r="Q33">
            <v>1</v>
          </cell>
        </row>
        <row r="34">
          <cell r="N34">
            <v>0.25</v>
          </cell>
          <cell r="P34">
            <v>0.75</v>
          </cell>
          <cell r="Q34">
            <v>1</v>
          </cell>
        </row>
        <row r="35">
          <cell r="D35">
            <v>1</v>
          </cell>
          <cell r="Q35">
            <v>1</v>
          </cell>
        </row>
        <row r="36">
          <cell r="E36">
            <v>1</v>
          </cell>
          <cell r="Q36">
            <v>1</v>
          </cell>
        </row>
        <row r="37">
          <cell r="E37">
            <v>1</v>
          </cell>
          <cell r="Q37">
            <v>1</v>
          </cell>
        </row>
        <row r="38">
          <cell r="C38" t="str">
            <v>107835</v>
          </cell>
          <cell r="F38">
            <v>1</v>
          </cell>
          <cell r="Q38">
            <v>1</v>
          </cell>
        </row>
        <row r="39">
          <cell r="C39" t="str">
            <v>107851</v>
          </cell>
          <cell r="G39">
            <v>1</v>
          </cell>
          <cell r="Q39">
            <v>1</v>
          </cell>
        </row>
        <row r="40">
          <cell r="C40" t="str">
            <v>107853</v>
          </cell>
          <cell r="G40">
            <v>1</v>
          </cell>
          <cell r="Q40">
            <v>1</v>
          </cell>
        </row>
        <row r="41">
          <cell r="C41" t="str">
            <v>107854</v>
          </cell>
          <cell r="G41">
            <v>1</v>
          </cell>
          <cell r="Q41">
            <v>1</v>
          </cell>
        </row>
        <row r="42">
          <cell r="C42" t="str">
            <v>107855</v>
          </cell>
          <cell r="G42">
            <v>1</v>
          </cell>
          <cell r="Q42">
            <v>1</v>
          </cell>
        </row>
        <row r="43">
          <cell r="C43" t="str">
            <v>107856</v>
          </cell>
          <cell r="G43">
            <v>1</v>
          </cell>
          <cell r="Q43">
            <v>1</v>
          </cell>
        </row>
        <row r="44">
          <cell r="C44" t="str">
            <v>107859</v>
          </cell>
          <cell r="G44">
            <v>1</v>
          </cell>
          <cell r="Q44">
            <v>1</v>
          </cell>
        </row>
        <row r="45">
          <cell r="C45" t="str">
            <v>107861</v>
          </cell>
          <cell r="I45">
            <v>1</v>
          </cell>
          <cell r="Q45">
            <v>1</v>
          </cell>
        </row>
        <row r="46">
          <cell r="C46" t="str">
            <v>107871</v>
          </cell>
          <cell r="H46">
            <v>1</v>
          </cell>
          <cell r="Q46">
            <v>1</v>
          </cell>
        </row>
        <row r="47">
          <cell r="C47" t="str">
            <v>107873</v>
          </cell>
          <cell r="H47">
            <v>1</v>
          </cell>
          <cell r="Q47">
            <v>1</v>
          </cell>
        </row>
        <row r="48">
          <cell r="C48" t="str">
            <v>107874</v>
          </cell>
          <cell r="H48">
            <v>1</v>
          </cell>
          <cell r="Q48">
            <v>1</v>
          </cell>
        </row>
        <row r="49">
          <cell r="C49" t="str">
            <v>107875</v>
          </cell>
          <cell r="H49">
            <v>1</v>
          </cell>
          <cell r="Q49">
            <v>1</v>
          </cell>
        </row>
        <row r="50">
          <cell r="C50" t="str">
            <v>107876</v>
          </cell>
          <cell r="H50">
            <v>1</v>
          </cell>
          <cell r="Q50">
            <v>1</v>
          </cell>
        </row>
        <row r="51">
          <cell r="C51" t="str">
            <v>107881</v>
          </cell>
          <cell r="I51">
            <v>0.25</v>
          </cell>
          <cell r="J51">
            <v>0.5</v>
          </cell>
          <cell r="K51">
            <v>0.25</v>
          </cell>
          <cell r="Q51">
            <v>1</v>
          </cell>
        </row>
        <row r="52">
          <cell r="I52">
            <v>0.25</v>
          </cell>
          <cell r="J52">
            <v>0.5</v>
          </cell>
          <cell r="K52">
            <v>0.25</v>
          </cell>
          <cell r="Q52">
            <v>1</v>
          </cell>
        </row>
        <row r="53">
          <cell r="I53">
            <v>0.25</v>
          </cell>
          <cell r="J53">
            <v>0.5</v>
          </cell>
          <cell r="K53">
            <v>0.25</v>
          </cell>
          <cell r="Q53">
            <v>1</v>
          </cell>
        </row>
        <row r="54">
          <cell r="I54">
            <v>0.25</v>
          </cell>
          <cell r="J54">
            <v>0.5</v>
          </cell>
          <cell r="K54">
            <v>0.25</v>
          </cell>
          <cell r="Q54">
            <v>1</v>
          </cell>
        </row>
        <row r="55">
          <cell r="L55">
            <v>1</v>
          </cell>
          <cell r="Q55">
            <v>1</v>
          </cell>
        </row>
        <row r="56">
          <cell r="M56">
            <v>1</v>
          </cell>
          <cell r="Q56">
            <v>1</v>
          </cell>
        </row>
        <row r="57">
          <cell r="C57" t="str">
            <v>1078S8</v>
          </cell>
          <cell r="N57">
            <v>0.25</v>
          </cell>
          <cell r="P57">
            <v>0.75</v>
          </cell>
          <cell r="Q57">
            <v>1</v>
          </cell>
        </row>
        <row r="58">
          <cell r="N58">
            <v>0.25</v>
          </cell>
          <cell r="P58">
            <v>0.75</v>
          </cell>
          <cell r="Q58">
            <v>1</v>
          </cell>
        </row>
        <row r="59">
          <cell r="L59">
            <v>1</v>
          </cell>
          <cell r="Q59">
            <v>1</v>
          </cell>
        </row>
      </sheetData>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 2007"/>
      <sheetName val="FY 2006"/>
      <sheetName val="FY 2005"/>
      <sheetName val="FY 2004"/>
    </sheetNames>
    <sheetDataSet>
      <sheetData sheetId="0"/>
      <sheetData sheetId="1"/>
      <sheetData sheetId="2"/>
      <sheetData sheetId="3"/>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 FR A-1 - REC for Reconcil"/>
      <sheetName val="Sch FR A-3 for Reconcil"/>
      <sheetName val="RECs with Numbers"/>
    </sheetNames>
    <definedNames>
      <definedName name="DATAFEEDER" refersTo="#REF!"/>
    </definedNames>
    <sheetDataSet>
      <sheetData sheetId="0"/>
      <sheetData sheetId="1"/>
      <sheetData sheetId="2"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tional Plant CWIP (2)"/>
      <sheetName val="Functional Plant CWIP"/>
      <sheetName val="Intantigble Plant CWIP"/>
      <sheetName val="JointUse Subs-CWIP"/>
      <sheetName val="CWIP to In-Service Pro Forma"/>
      <sheetName val="Pro Forma (3)"/>
      <sheetName val="Pro Forma (2)"/>
      <sheetName val="Pro Forma"/>
      <sheetName val="CWIP Dec 2004-Data"/>
      <sheetName val="Alloc Table"/>
      <sheetName val="CWIP-Ameren#-WO#"/>
      <sheetName val="Remaining CWIP No AFUDC"/>
      <sheetName val="Remaining CWIP"/>
      <sheetName val="CWIP Statusing"/>
      <sheetName val="BWO CWIP"/>
      <sheetName val="CWIP W-InServ Date&gt;2004"/>
      <sheetName val="CWIP W-InServ Date&lt;2005"/>
      <sheetName val="E-PJF Translation - Active"/>
      <sheetName val="Controls"/>
      <sheetName val="Joint Use Subs"/>
      <sheetName val="CWIP Review"/>
      <sheetName val="CWIP &lt;2005 Reti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A3" t="str">
            <v>Actual Proj Function</v>
          </cell>
          <cell r="B3" t="str">
            <v>Project Function Title</v>
          </cell>
          <cell r="C3" t="str">
            <v>Type</v>
          </cell>
          <cell r="D3" t="str">
            <v>Budget PJF</v>
          </cell>
          <cell r="E3" t="str">
            <v>Budget PJF Loading Factor</v>
          </cell>
          <cell r="F3" t="str">
            <v>COR Factor</v>
          </cell>
          <cell r="G3" t="str">
            <v>FERC Description</v>
          </cell>
          <cell r="H3" t="str">
            <v>Total</v>
          </cell>
          <cell r="I3" t="str">
            <v>Miscellaneous Intangible Plan</v>
          </cell>
          <cell r="J3" t="str">
            <v>Structures and Improvements</v>
          </cell>
          <cell r="K3" t="str">
            <v>Boiler Plant Equipment</v>
          </cell>
          <cell r="L3" t="str">
            <v>Turbogenerator Units</v>
          </cell>
          <cell r="M3" t="str">
            <v>Accessory Electric Equip</v>
          </cell>
          <cell r="N3" t="str">
            <v>Misc Power Plant Equip</v>
          </cell>
          <cell r="O3" t="str">
            <v>Structures and Improvements</v>
          </cell>
          <cell r="P3" t="str">
            <v>Reactor Plant Equip</v>
          </cell>
          <cell r="Q3" t="str">
            <v>Turbogenerator Units</v>
          </cell>
          <cell r="R3" t="str">
            <v>Accessory Electric Equip</v>
          </cell>
          <cell r="S3" t="str">
            <v>Misc Power Plant Equip</v>
          </cell>
          <cell r="T3" t="str">
            <v>Generators</v>
          </cell>
          <cell r="U3" t="str">
            <v>Structures &amp; Improvements</v>
          </cell>
          <cell r="V3" t="str">
            <v>Station Equipment</v>
          </cell>
          <cell r="W3" t="str">
            <v>Towers and Fixtures</v>
          </cell>
          <cell r="X3" t="str">
            <v>Poles and Fixtures</v>
          </cell>
          <cell r="Y3" t="str">
            <v>Ovrhead conductors, devices</v>
          </cell>
          <cell r="Z3" t="str">
            <v>Structures and Improvements</v>
          </cell>
          <cell r="AA3" t="str">
            <v>Station Equipment</v>
          </cell>
          <cell r="AB3" t="str">
            <v>Poles, Towers and Fixtures</v>
          </cell>
          <cell r="AC3" t="str">
            <v>Ovrhead Conductors, Devices</v>
          </cell>
          <cell r="AD3" t="str">
            <v>Underground Conduit</v>
          </cell>
          <cell r="AE3" t="str">
            <v>Undrgrnd conductors,devices</v>
          </cell>
          <cell r="AF3" t="str">
            <v>Line Transformers</v>
          </cell>
          <cell r="AG3" t="str">
            <v>Services</v>
          </cell>
          <cell r="AH3" t="str">
            <v>Meters</v>
          </cell>
          <cell r="AI3" t="str">
            <v>Installs Customer Premise</v>
          </cell>
          <cell r="AJ3" t="str">
            <v>Street Lghtng &amp; Signal Sys</v>
          </cell>
          <cell r="AK3" t="str">
            <v>Land and Land rights</v>
          </cell>
          <cell r="AL3" t="str">
            <v>Structures and Improvements</v>
          </cell>
          <cell r="AM3" t="str">
            <v>Office Furniture, Equipment</v>
          </cell>
          <cell r="AN3" t="str">
            <v>Computers, Personal</v>
          </cell>
          <cell r="AO3" t="str">
            <v>Transportation Equipment</v>
          </cell>
          <cell r="AP3" t="str">
            <v>Tools</v>
          </cell>
          <cell r="AQ3" t="str">
            <v>Laboratory Equipment</v>
          </cell>
          <cell r="AR3" t="str">
            <v>Communication Equipment</v>
          </cell>
          <cell r="AS3" t="str">
            <v>Non-Utility</v>
          </cell>
        </row>
        <row r="4">
          <cell r="A4">
            <v>107510</v>
          </cell>
          <cell r="B4" t="str">
            <v>HQ-PRODUCTION FACIL-FOSSIL</v>
          </cell>
          <cell r="H4">
            <v>1</v>
          </cell>
          <cell r="J4">
            <v>0.2</v>
          </cell>
          <cell r="K4">
            <v>0.5</v>
          </cell>
          <cell r="L4">
            <v>0.2</v>
          </cell>
          <cell r="M4">
            <v>0.05</v>
          </cell>
          <cell r="N4">
            <v>0.05</v>
          </cell>
        </row>
        <row r="5">
          <cell r="A5">
            <v>107514</v>
          </cell>
          <cell r="B5" t="str">
            <v>HQ-PRODUCTION FACIL-FOSSIL</v>
          </cell>
          <cell r="H5">
            <v>1</v>
          </cell>
          <cell r="J5">
            <v>0.2</v>
          </cell>
          <cell r="K5">
            <v>0.5</v>
          </cell>
          <cell r="L5">
            <v>0.2</v>
          </cell>
          <cell r="M5">
            <v>0.05</v>
          </cell>
          <cell r="N5">
            <v>0.05</v>
          </cell>
        </row>
        <row r="6">
          <cell r="A6">
            <v>107521</v>
          </cell>
          <cell r="B6" t="str">
            <v>OTHER PRODUCTION</v>
          </cell>
          <cell r="H6">
            <v>1</v>
          </cell>
          <cell r="T6">
            <v>1</v>
          </cell>
        </row>
        <row r="7">
          <cell r="A7">
            <v>107524</v>
          </cell>
          <cell r="B7" t="str">
            <v>OTHER PRODUCTION</v>
          </cell>
          <cell r="H7">
            <v>1</v>
          </cell>
          <cell r="T7">
            <v>1</v>
          </cell>
        </row>
        <row r="8">
          <cell r="A8">
            <v>107527</v>
          </cell>
          <cell r="B8" t="str">
            <v>OTHER PRODUCTION</v>
          </cell>
          <cell r="H8">
            <v>1</v>
          </cell>
          <cell r="T8">
            <v>1</v>
          </cell>
        </row>
        <row r="9">
          <cell r="A9">
            <v>107529</v>
          </cell>
          <cell r="B9" t="str">
            <v>OTHER PRODUCTION</v>
          </cell>
          <cell r="H9">
            <v>1</v>
          </cell>
          <cell r="T9">
            <v>1</v>
          </cell>
        </row>
        <row r="10">
          <cell r="A10">
            <v>107532</v>
          </cell>
          <cell r="B10" t="str">
            <v>HQ-OVHD TRANS LINE 345 KV</v>
          </cell>
          <cell r="H10">
            <v>1</v>
          </cell>
          <cell r="W10">
            <v>0.2</v>
          </cell>
          <cell r="X10">
            <v>0.3</v>
          </cell>
          <cell r="Y10">
            <v>0.5</v>
          </cell>
        </row>
        <row r="11">
          <cell r="A11">
            <v>107533</v>
          </cell>
          <cell r="B11" t="str">
            <v>HQ-OVHD TRANS LINE 345 KV</v>
          </cell>
          <cell r="H11">
            <v>1</v>
          </cell>
          <cell r="W11">
            <v>0.2</v>
          </cell>
          <cell r="X11">
            <v>0.3</v>
          </cell>
          <cell r="Y11">
            <v>0.5</v>
          </cell>
        </row>
        <row r="12">
          <cell r="A12">
            <v>107534</v>
          </cell>
          <cell r="B12" t="str">
            <v>HQ - OVHD TRANS LINE 345KV</v>
          </cell>
          <cell r="H12">
            <v>1</v>
          </cell>
          <cell r="W12">
            <v>0.2</v>
          </cell>
          <cell r="X12">
            <v>0.3</v>
          </cell>
          <cell r="Y12">
            <v>0.5</v>
          </cell>
        </row>
        <row r="13">
          <cell r="A13">
            <v>107535</v>
          </cell>
          <cell r="B13" t="str">
            <v>HQ-OVHD TRANS LINE 345 KV</v>
          </cell>
          <cell r="H13">
            <v>1</v>
          </cell>
          <cell r="W13">
            <v>0.2</v>
          </cell>
          <cell r="X13">
            <v>0.3</v>
          </cell>
          <cell r="Y13">
            <v>0.5</v>
          </cell>
        </row>
        <row r="14">
          <cell r="A14">
            <v>107536</v>
          </cell>
          <cell r="B14" t="str">
            <v>HQ-OVHD TRANS LINE 345 KV</v>
          </cell>
          <cell r="H14">
            <v>1</v>
          </cell>
          <cell r="W14">
            <v>0.2</v>
          </cell>
          <cell r="X14">
            <v>0.3</v>
          </cell>
          <cell r="Y14">
            <v>0.5</v>
          </cell>
        </row>
        <row r="15">
          <cell r="A15">
            <v>107539</v>
          </cell>
          <cell r="B15" t="str">
            <v>HQ-OVHD TRANS LINE 345 KV</v>
          </cell>
          <cell r="H15">
            <v>1</v>
          </cell>
          <cell r="W15">
            <v>0.2</v>
          </cell>
          <cell r="X15">
            <v>0.3</v>
          </cell>
          <cell r="Y15">
            <v>0.5</v>
          </cell>
        </row>
        <row r="16">
          <cell r="A16">
            <v>107541</v>
          </cell>
          <cell r="B16" t="str">
            <v>HQ-OVHD TRANS LINE 138 KV</v>
          </cell>
          <cell r="H16">
            <v>1</v>
          </cell>
          <cell r="W16">
            <v>0.2</v>
          </cell>
          <cell r="X16">
            <v>0.3</v>
          </cell>
          <cell r="Y16">
            <v>0.5</v>
          </cell>
        </row>
        <row r="17">
          <cell r="A17">
            <v>107542</v>
          </cell>
          <cell r="B17" t="str">
            <v>HQ-OVHD TRANS LINE 138 KV</v>
          </cell>
          <cell r="H17">
            <v>1</v>
          </cell>
          <cell r="W17">
            <v>0.2</v>
          </cell>
          <cell r="X17">
            <v>0.3</v>
          </cell>
          <cell r="Y17">
            <v>0.5</v>
          </cell>
        </row>
        <row r="18">
          <cell r="A18">
            <v>107543</v>
          </cell>
          <cell r="B18" t="str">
            <v>HQ-OVHD TRANS LINE 138 KV</v>
          </cell>
          <cell r="H18">
            <v>1</v>
          </cell>
          <cell r="W18">
            <v>0.2</v>
          </cell>
          <cell r="X18">
            <v>0.3</v>
          </cell>
          <cell r="Y18">
            <v>0.5</v>
          </cell>
        </row>
        <row r="19">
          <cell r="A19">
            <v>107544</v>
          </cell>
          <cell r="B19" t="str">
            <v>HQ-OVHD TRANS LINE 138 KV</v>
          </cell>
          <cell r="H19">
            <v>1</v>
          </cell>
          <cell r="W19">
            <v>0.2</v>
          </cell>
          <cell r="X19">
            <v>0.3</v>
          </cell>
          <cell r="Y19">
            <v>0.5</v>
          </cell>
        </row>
        <row r="20">
          <cell r="A20">
            <v>107545</v>
          </cell>
          <cell r="B20" t="str">
            <v>HQ-OVHD TRANS LINE 138 KV</v>
          </cell>
          <cell r="H20">
            <v>1</v>
          </cell>
          <cell r="W20">
            <v>0.2</v>
          </cell>
          <cell r="X20">
            <v>0.3</v>
          </cell>
          <cell r="Y20">
            <v>0.5</v>
          </cell>
        </row>
        <row r="21">
          <cell r="A21">
            <v>107546</v>
          </cell>
          <cell r="B21" t="str">
            <v>HQ-OVHD TRANS LINE 138 KV</v>
          </cell>
          <cell r="H21">
            <v>1</v>
          </cell>
          <cell r="W21">
            <v>0.2</v>
          </cell>
          <cell r="X21">
            <v>0.3</v>
          </cell>
          <cell r="Y21">
            <v>0.5</v>
          </cell>
        </row>
        <row r="22">
          <cell r="A22">
            <v>107547</v>
          </cell>
          <cell r="B22" t="str">
            <v>HQ-OVHD TRANS LINE 138 KV</v>
          </cell>
          <cell r="H22">
            <v>1</v>
          </cell>
          <cell r="W22">
            <v>0.2</v>
          </cell>
          <cell r="X22">
            <v>0.3</v>
          </cell>
          <cell r="Y22">
            <v>0.5</v>
          </cell>
        </row>
        <row r="23">
          <cell r="A23">
            <v>107549</v>
          </cell>
          <cell r="B23" t="str">
            <v>HQ-OVHD TRANS LINE 138 KV</v>
          </cell>
          <cell r="H23">
            <v>1</v>
          </cell>
          <cell r="W23">
            <v>0.2</v>
          </cell>
          <cell r="X23">
            <v>0.3</v>
          </cell>
          <cell r="Y23">
            <v>0.5</v>
          </cell>
        </row>
        <row r="24">
          <cell r="A24">
            <v>107551</v>
          </cell>
          <cell r="B24" t="str">
            <v>HQ-OVHD TRANS LINE 69 KV</v>
          </cell>
          <cell r="H24">
            <v>1</v>
          </cell>
          <cell r="AB24">
            <v>0.5</v>
          </cell>
          <cell r="AC24">
            <v>0.5</v>
          </cell>
        </row>
        <row r="25">
          <cell r="A25">
            <v>107552</v>
          </cell>
          <cell r="B25" t="str">
            <v>HQ-OVHD TRANS LINE 69 KV</v>
          </cell>
          <cell r="H25">
            <v>1</v>
          </cell>
          <cell r="AB25">
            <v>0.5</v>
          </cell>
          <cell r="AC25">
            <v>0.5</v>
          </cell>
        </row>
        <row r="26">
          <cell r="A26">
            <v>107553</v>
          </cell>
          <cell r="B26" t="str">
            <v>HQ-OVHD TRANS LINE 69 KV</v>
          </cell>
          <cell r="H26">
            <v>1</v>
          </cell>
          <cell r="AB26">
            <v>0.5</v>
          </cell>
          <cell r="AC26">
            <v>0.5</v>
          </cell>
        </row>
        <row r="27">
          <cell r="A27">
            <v>107554</v>
          </cell>
          <cell r="B27" t="str">
            <v>HQ-OVHD TRANS LINE 69 KV</v>
          </cell>
          <cell r="H27">
            <v>1</v>
          </cell>
          <cell r="AB27">
            <v>0.5</v>
          </cell>
          <cell r="AC27">
            <v>0.5</v>
          </cell>
        </row>
        <row r="28">
          <cell r="A28">
            <v>107555</v>
          </cell>
          <cell r="B28" t="str">
            <v>HQ-OVHD TRANS LINE 69 KV</v>
          </cell>
          <cell r="H28">
            <v>1</v>
          </cell>
          <cell r="AB28">
            <v>0.5</v>
          </cell>
          <cell r="AC28">
            <v>0.5</v>
          </cell>
        </row>
        <row r="29">
          <cell r="A29">
            <v>107556</v>
          </cell>
          <cell r="B29" t="str">
            <v>HQ-OVHD TRANS LINE 69 KV</v>
          </cell>
          <cell r="H29">
            <v>1</v>
          </cell>
          <cell r="AB29">
            <v>0.5</v>
          </cell>
          <cell r="AC29">
            <v>0.5</v>
          </cell>
        </row>
        <row r="30">
          <cell r="A30">
            <v>107559</v>
          </cell>
          <cell r="B30" t="str">
            <v>HQ-OVHD TRANS LINE 69 KV</v>
          </cell>
          <cell r="H30">
            <v>1</v>
          </cell>
          <cell r="AB30">
            <v>0.5</v>
          </cell>
          <cell r="AC30">
            <v>0.5</v>
          </cell>
        </row>
        <row r="31">
          <cell r="A31">
            <v>107561</v>
          </cell>
          <cell r="B31" t="str">
            <v>HQ-UG TRANS LINE &gt;= 69 KV</v>
          </cell>
          <cell r="H31">
            <v>1</v>
          </cell>
          <cell r="AD31">
            <v>0.5</v>
          </cell>
          <cell r="AE31">
            <v>0.5</v>
          </cell>
        </row>
        <row r="32">
          <cell r="A32">
            <v>107563</v>
          </cell>
          <cell r="B32" t="str">
            <v>TRANS SUB HI VOLTAGE &gt; 230 KV</v>
          </cell>
          <cell r="H32">
            <v>1</v>
          </cell>
          <cell r="U32">
            <v>1</v>
          </cell>
        </row>
        <row r="33">
          <cell r="A33">
            <v>107564</v>
          </cell>
          <cell r="B33" t="str">
            <v>H-TRANS SUB EQ HI VOLT &gt;=230KV</v>
          </cell>
          <cell r="H33">
            <v>1</v>
          </cell>
          <cell r="V33">
            <v>1</v>
          </cell>
        </row>
        <row r="34">
          <cell r="A34">
            <v>107565</v>
          </cell>
          <cell r="B34" t="str">
            <v>H-TRANS SUB EQ HI VOLT &gt;=230KV</v>
          </cell>
          <cell r="H34">
            <v>1</v>
          </cell>
          <cell r="V34">
            <v>1</v>
          </cell>
        </row>
        <row r="35">
          <cell r="A35">
            <v>107566</v>
          </cell>
          <cell r="B35" t="str">
            <v>H-TRANS SUB EQ HI VOLT &gt;=230KV</v>
          </cell>
          <cell r="H35">
            <v>1</v>
          </cell>
          <cell r="V35">
            <v>1</v>
          </cell>
        </row>
        <row r="36">
          <cell r="A36">
            <v>107573</v>
          </cell>
          <cell r="B36" t="str">
            <v>TRANS SUB - HI VOLTAGE &lt; 230KV</v>
          </cell>
          <cell r="H36">
            <v>1</v>
          </cell>
          <cell r="Z36">
            <v>0.05</v>
          </cell>
          <cell r="AA36">
            <v>0.95</v>
          </cell>
        </row>
        <row r="37">
          <cell r="A37">
            <v>107574</v>
          </cell>
          <cell r="B37" t="str">
            <v>H-TRANS SUB EQ HI VOLT&lt;230 KV</v>
          </cell>
          <cell r="H37">
            <v>1</v>
          </cell>
          <cell r="Z37">
            <v>0.05</v>
          </cell>
          <cell r="AA37">
            <v>0.95</v>
          </cell>
        </row>
        <row r="38">
          <cell r="A38">
            <v>107575</v>
          </cell>
          <cell r="B38" t="str">
            <v>H-TRANS SUB EQ HI VOLT &lt; 230KV</v>
          </cell>
          <cell r="H38">
            <v>1</v>
          </cell>
          <cell r="U38">
            <v>0.05</v>
          </cell>
          <cell r="V38">
            <v>0.95</v>
          </cell>
        </row>
        <row r="39">
          <cell r="A39">
            <v>107576</v>
          </cell>
          <cell r="B39" t="str">
            <v>H-TRANS SUB EQ HI VOLT &lt; 230KV</v>
          </cell>
          <cell r="H39">
            <v>1</v>
          </cell>
          <cell r="U39">
            <v>0.05</v>
          </cell>
          <cell r="V39">
            <v>0.95</v>
          </cell>
        </row>
        <row r="40">
          <cell r="A40">
            <v>107585</v>
          </cell>
          <cell r="B40" t="str">
            <v>H-TRANS SUB 69 KV 2NDARY VOLT</v>
          </cell>
          <cell r="H40">
            <v>1</v>
          </cell>
          <cell r="Z40">
            <v>0.05</v>
          </cell>
          <cell r="AA40">
            <v>0.95</v>
          </cell>
        </row>
        <row r="41">
          <cell r="A41">
            <v>107586</v>
          </cell>
          <cell r="B41" t="str">
            <v>H-TRANS SUB 69 KV 2NDARY VOLT</v>
          </cell>
          <cell r="H41">
            <v>1</v>
          </cell>
          <cell r="Z41">
            <v>0.05</v>
          </cell>
          <cell r="AA41">
            <v>0.95</v>
          </cell>
        </row>
        <row r="42">
          <cell r="A42">
            <v>107591</v>
          </cell>
          <cell r="B42" t="str">
            <v>HQ-OVHD DISTR LINE 34.5 KV</v>
          </cell>
          <cell r="H42">
            <v>1</v>
          </cell>
          <cell r="AB42">
            <v>0.05</v>
          </cell>
          <cell r="AC42">
            <v>0.95</v>
          </cell>
        </row>
        <row r="43">
          <cell r="A43">
            <v>107592</v>
          </cell>
          <cell r="B43" t="str">
            <v>HQ-OVHD DIST LINES 34.5 KV</v>
          </cell>
          <cell r="H43">
            <v>1</v>
          </cell>
          <cell r="AB43">
            <v>0.05</v>
          </cell>
          <cell r="AC43">
            <v>0.95</v>
          </cell>
        </row>
        <row r="44">
          <cell r="A44">
            <v>107593</v>
          </cell>
          <cell r="B44" t="str">
            <v>HQ-OVHD DISTR LINE 34.5 KV</v>
          </cell>
          <cell r="H44">
            <v>1</v>
          </cell>
          <cell r="AB44">
            <v>0.05</v>
          </cell>
          <cell r="AC44">
            <v>0.95</v>
          </cell>
        </row>
        <row r="45">
          <cell r="A45">
            <v>107594</v>
          </cell>
          <cell r="B45" t="str">
            <v>HQ-OVHD DISTR LINE 34.5 KV</v>
          </cell>
          <cell r="H45">
            <v>1</v>
          </cell>
          <cell r="AB45">
            <v>0.05</v>
          </cell>
          <cell r="AC45">
            <v>0.95</v>
          </cell>
        </row>
        <row r="46">
          <cell r="A46">
            <v>107595</v>
          </cell>
          <cell r="B46" t="str">
            <v>HQ-OVHD DISTR LINE 34.5 KV</v>
          </cell>
          <cell r="H46">
            <v>1</v>
          </cell>
          <cell r="AB46">
            <v>0.05</v>
          </cell>
          <cell r="AC46">
            <v>0.95</v>
          </cell>
        </row>
        <row r="47">
          <cell r="A47">
            <v>107596</v>
          </cell>
          <cell r="B47" t="str">
            <v>HQ-OVHD DISTR LINE 34.5 KV</v>
          </cell>
          <cell r="H47">
            <v>1</v>
          </cell>
          <cell r="AB47">
            <v>0.05</v>
          </cell>
          <cell r="AC47">
            <v>0.95</v>
          </cell>
        </row>
        <row r="48">
          <cell r="A48">
            <v>107633</v>
          </cell>
          <cell r="B48" t="str">
            <v>OVHD TRANS LINE 345 KV</v>
          </cell>
          <cell r="H48">
            <v>1</v>
          </cell>
          <cell r="W48">
            <v>0.2</v>
          </cell>
          <cell r="X48">
            <v>0.3</v>
          </cell>
          <cell r="Y48">
            <v>0.5</v>
          </cell>
        </row>
        <row r="49">
          <cell r="A49">
            <v>107634</v>
          </cell>
          <cell r="B49" t="str">
            <v>AREA - OVHD TRANS LINE 345KV</v>
          </cell>
          <cell r="H49">
            <v>1</v>
          </cell>
          <cell r="W49">
            <v>0.2</v>
          </cell>
          <cell r="X49">
            <v>0.3</v>
          </cell>
          <cell r="Y49">
            <v>0.5</v>
          </cell>
        </row>
        <row r="50">
          <cell r="A50">
            <v>107635</v>
          </cell>
          <cell r="B50" t="str">
            <v>OVHD TRANS LINE 345 KV</v>
          </cell>
          <cell r="H50">
            <v>1</v>
          </cell>
          <cell r="W50">
            <v>0.2</v>
          </cell>
          <cell r="X50">
            <v>0.3</v>
          </cell>
          <cell r="Y50">
            <v>0.5</v>
          </cell>
        </row>
        <row r="51">
          <cell r="A51">
            <v>107639</v>
          </cell>
          <cell r="B51" t="str">
            <v>OVHD TRANS LINE 345 KV</v>
          </cell>
          <cell r="H51">
            <v>1</v>
          </cell>
          <cell r="W51">
            <v>0.2</v>
          </cell>
          <cell r="X51">
            <v>0.3</v>
          </cell>
          <cell r="Y51">
            <v>0.5</v>
          </cell>
        </row>
        <row r="52">
          <cell r="A52">
            <v>107641</v>
          </cell>
          <cell r="B52" t="str">
            <v>OVHD TRANS LINE 138 KV</v>
          </cell>
          <cell r="H52">
            <v>1</v>
          </cell>
          <cell r="W52">
            <v>0.2</v>
          </cell>
          <cell r="X52">
            <v>0.3</v>
          </cell>
          <cell r="Y52">
            <v>0.5</v>
          </cell>
        </row>
        <row r="53">
          <cell r="A53">
            <v>107643</v>
          </cell>
          <cell r="B53" t="str">
            <v>OVHD TRANS LINE 138 KV</v>
          </cell>
          <cell r="H53">
            <v>1</v>
          </cell>
          <cell r="W53">
            <v>0.2</v>
          </cell>
          <cell r="X53">
            <v>0.3</v>
          </cell>
          <cell r="Y53">
            <v>0.5</v>
          </cell>
        </row>
        <row r="54">
          <cell r="A54">
            <v>107644</v>
          </cell>
          <cell r="B54" t="str">
            <v>OVHD TRANS LINE 138 KV</v>
          </cell>
          <cell r="H54">
            <v>1</v>
          </cell>
          <cell r="W54">
            <v>0.2</v>
          </cell>
          <cell r="X54">
            <v>0.3</v>
          </cell>
          <cell r="Y54">
            <v>0.5</v>
          </cell>
        </row>
        <row r="55">
          <cell r="A55">
            <v>107645</v>
          </cell>
          <cell r="B55" t="str">
            <v>OVHD TRANS LINE 138 KV</v>
          </cell>
          <cell r="H55">
            <v>1</v>
          </cell>
          <cell r="W55">
            <v>0.2</v>
          </cell>
          <cell r="X55">
            <v>0.3</v>
          </cell>
          <cell r="Y55">
            <v>0.5</v>
          </cell>
        </row>
        <row r="56">
          <cell r="A56">
            <v>107646</v>
          </cell>
          <cell r="B56" t="str">
            <v>OVHD TRANS LINE 138 KV</v>
          </cell>
          <cell r="H56">
            <v>1</v>
          </cell>
          <cell r="W56">
            <v>0.2</v>
          </cell>
          <cell r="X56">
            <v>0.3</v>
          </cell>
          <cell r="Y56">
            <v>0.5</v>
          </cell>
        </row>
        <row r="57">
          <cell r="A57">
            <v>107649</v>
          </cell>
          <cell r="B57" t="str">
            <v>OVHD TRANS LINE 138 KV</v>
          </cell>
          <cell r="H57">
            <v>1</v>
          </cell>
          <cell r="W57">
            <v>0.2</v>
          </cell>
          <cell r="X57">
            <v>0.3</v>
          </cell>
          <cell r="Y57">
            <v>0.5</v>
          </cell>
        </row>
        <row r="58">
          <cell r="A58">
            <v>107651</v>
          </cell>
          <cell r="B58" t="str">
            <v>OVHD TRANS LINE 69 KV</v>
          </cell>
          <cell r="H58">
            <v>1</v>
          </cell>
          <cell r="AB58">
            <v>0.5</v>
          </cell>
          <cell r="AC58">
            <v>0.5</v>
          </cell>
        </row>
        <row r="59">
          <cell r="A59">
            <v>107653</v>
          </cell>
          <cell r="B59" t="str">
            <v>OVHD TRANS LINE 69 KV</v>
          </cell>
          <cell r="H59">
            <v>1</v>
          </cell>
          <cell r="AB59">
            <v>0.5</v>
          </cell>
          <cell r="AC59">
            <v>0.5</v>
          </cell>
        </row>
        <row r="60">
          <cell r="A60">
            <v>107654</v>
          </cell>
          <cell r="B60" t="str">
            <v>OVHD TRANS LINE 69 KV</v>
          </cell>
          <cell r="H60">
            <v>1</v>
          </cell>
          <cell r="AB60">
            <v>0.5</v>
          </cell>
          <cell r="AC60">
            <v>0.5</v>
          </cell>
        </row>
        <row r="61">
          <cell r="A61">
            <v>107655</v>
          </cell>
          <cell r="B61" t="str">
            <v>OVHD TRANS LINE 69 KV</v>
          </cell>
          <cell r="H61">
            <v>1</v>
          </cell>
          <cell r="AB61">
            <v>0.5</v>
          </cell>
          <cell r="AC61">
            <v>0.5</v>
          </cell>
        </row>
        <row r="62">
          <cell r="A62">
            <v>107656</v>
          </cell>
          <cell r="B62" t="str">
            <v>OVHD TRANS LINE 69 KV</v>
          </cell>
          <cell r="H62">
            <v>1</v>
          </cell>
          <cell r="AB62">
            <v>0.5</v>
          </cell>
          <cell r="AC62">
            <v>0.5</v>
          </cell>
        </row>
        <row r="63">
          <cell r="A63">
            <v>107659</v>
          </cell>
          <cell r="B63" t="str">
            <v>OVHD TRANS LINE 69 KV</v>
          </cell>
          <cell r="H63">
            <v>1</v>
          </cell>
          <cell r="AB63">
            <v>0.5</v>
          </cell>
          <cell r="AC63">
            <v>0.5</v>
          </cell>
        </row>
        <row r="64">
          <cell r="A64">
            <v>107661</v>
          </cell>
          <cell r="B64" t="str">
            <v>UG TRANS LINE &gt;= 69 KV</v>
          </cell>
          <cell r="H64">
            <v>1</v>
          </cell>
          <cell r="AB64">
            <v>0.5</v>
          </cell>
          <cell r="AC64">
            <v>0.5</v>
          </cell>
        </row>
        <row r="65">
          <cell r="A65">
            <v>107665</v>
          </cell>
          <cell r="B65" t="str">
            <v>A-TRANS SUB EQ HI VOLT &gt;=230KV</v>
          </cell>
          <cell r="H65">
            <v>1</v>
          </cell>
          <cell r="U65">
            <v>0.05</v>
          </cell>
          <cell r="V65">
            <v>0.95</v>
          </cell>
        </row>
        <row r="66">
          <cell r="A66">
            <v>107666</v>
          </cell>
          <cell r="B66" t="str">
            <v>A-TRANS SUB EQ HI VOLT &gt;=230KV</v>
          </cell>
          <cell r="H66">
            <v>1</v>
          </cell>
          <cell r="U66">
            <v>0.05</v>
          </cell>
          <cell r="V66">
            <v>0.95</v>
          </cell>
        </row>
        <row r="67">
          <cell r="A67">
            <v>107675</v>
          </cell>
          <cell r="B67" t="str">
            <v>A-TRANS SUB EQ HI VOLT &lt; 230KV</v>
          </cell>
          <cell r="H67">
            <v>1</v>
          </cell>
          <cell r="Z67">
            <v>0.05</v>
          </cell>
          <cell r="AA67">
            <v>0.95</v>
          </cell>
        </row>
        <row r="68">
          <cell r="A68">
            <v>107676</v>
          </cell>
          <cell r="B68" t="str">
            <v>A-TRANS SUB EQ HI VOLT &lt; 230KV</v>
          </cell>
          <cell r="H68">
            <v>1</v>
          </cell>
          <cell r="Z68">
            <v>0.05</v>
          </cell>
          <cell r="AA68">
            <v>0.95</v>
          </cell>
        </row>
        <row r="69">
          <cell r="A69">
            <v>107685</v>
          </cell>
          <cell r="B69" t="str">
            <v>A-TRANS SUB 69 KV 2NDARY VOLT</v>
          </cell>
          <cell r="H69">
            <v>1</v>
          </cell>
          <cell r="Z69">
            <v>0.05</v>
          </cell>
          <cell r="AA69">
            <v>0.95</v>
          </cell>
        </row>
        <row r="70">
          <cell r="A70">
            <v>107686</v>
          </cell>
          <cell r="B70" t="str">
            <v>A-TRANS SUB 69 KV 2NDARY VOLT</v>
          </cell>
          <cell r="H70">
            <v>1</v>
          </cell>
          <cell r="Z70">
            <v>0.05</v>
          </cell>
          <cell r="AA70">
            <v>0.95</v>
          </cell>
        </row>
        <row r="71">
          <cell r="A71">
            <v>107691</v>
          </cell>
          <cell r="B71" t="str">
            <v>OVHD DISTR LINE 34.5 KV</v>
          </cell>
          <cell r="H71">
            <v>1</v>
          </cell>
          <cell r="AB71">
            <v>0.5</v>
          </cell>
          <cell r="AC71">
            <v>0.5</v>
          </cell>
        </row>
        <row r="72">
          <cell r="A72">
            <v>107693</v>
          </cell>
          <cell r="B72" t="str">
            <v>OVHD DISTR LINE 34.5 KV</v>
          </cell>
          <cell r="H72">
            <v>1</v>
          </cell>
          <cell r="AB72">
            <v>0.5</v>
          </cell>
          <cell r="AC72">
            <v>0.5</v>
          </cell>
        </row>
        <row r="73">
          <cell r="A73">
            <v>107694</v>
          </cell>
          <cell r="B73" t="str">
            <v>OVHD DISTR LINE 34.5 KV</v>
          </cell>
          <cell r="H73">
            <v>1</v>
          </cell>
          <cell r="AB73">
            <v>0.5</v>
          </cell>
          <cell r="AC73">
            <v>0.5</v>
          </cell>
        </row>
        <row r="74">
          <cell r="A74">
            <v>107695</v>
          </cell>
          <cell r="B74" t="str">
            <v>OVHD DISTR LINE 34.5 KV</v>
          </cell>
          <cell r="H74">
            <v>1</v>
          </cell>
          <cell r="AB74">
            <v>0.5</v>
          </cell>
          <cell r="AC74">
            <v>0.5</v>
          </cell>
        </row>
        <row r="75">
          <cell r="A75">
            <v>107696</v>
          </cell>
          <cell r="B75" t="str">
            <v>OVHD DISTR LINE 34.5 KV</v>
          </cell>
          <cell r="H75">
            <v>1</v>
          </cell>
          <cell r="AB75">
            <v>0.5</v>
          </cell>
          <cell r="AC75">
            <v>0.5</v>
          </cell>
        </row>
        <row r="76">
          <cell r="A76" t="str">
            <v>107940</v>
          </cell>
          <cell r="B76" t="str">
            <v>HQ OVHD DIST LINES - 138 KV</v>
          </cell>
          <cell r="H76">
            <v>1</v>
          </cell>
          <cell r="AB76">
            <v>0.5</v>
          </cell>
          <cell r="AC76">
            <v>0.5</v>
          </cell>
        </row>
        <row r="77">
          <cell r="A77" t="str">
            <v>107941</v>
          </cell>
          <cell r="B77" t="str">
            <v>HQ OVHD DIST LINES - 138 KV</v>
          </cell>
          <cell r="H77">
            <v>1</v>
          </cell>
          <cell r="AB77">
            <v>0.5</v>
          </cell>
          <cell r="AC77">
            <v>0.5</v>
          </cell>
        </row>
        <row r="78">
          <cell r="A78">
            <v>107942</v>
          </cell>
          <cell r="B78" t="str">
            <v>HQ OVHD DIST LINES - 138 KV</v>
          </cell>
          <cell r="H78">
            <v>1</v>
          </cell>
          <cell r="AB78">
            <v>0.5</v>
          </cell>
          <cell r="AC78">
            <v>0.5</v>
          </cell>
        </row>
        <row r="79">
          <cell r="A79">
            <v>107943</v>
          </cell>
          <cell r="B79" t="str">
            <v>HQ OVHD DIST LINES - 138 KV</v>
          </cell>
          <cell r="H79">
            <v>1</v>
          </cell>
          <cell r="AB79">
            <v>0.5</v>
          </cell>
          <cell r="AC79">
            <v>0.5</v>
          </cell>
        </row>
        <row r="80">
          <cell r="A80">
            <v>107944</v>
          </cell>
          <cell r="B80" t="str">
            <v>HQ OVHD DIST LINES - 138 KV</v>
          </cell>
          <cell r="H80">
            <v>1</v>
          </cell>
          <cell r="AB80">
            <v>0.5</v>
          </cell>
          <cell r="AC80">
            <v>0.5</v>
          </cell>
        </row>
        <row r="81">
          <cell r="A81">
            <v>107945</v>
          </cell>
          <cell r="B81" t="str">
            <v>HQ OVHD DIST LINES - 138 KV</v>
          </cell>
          <cell r="H81">
            <v>1</v>
          </cell>
          <cell r="AB81">
            <v>0.5</v>
          </cell>
          <cell r="AC81">
            <v>0.5</v>
          </cell>
        </row>
        <row r="82">
          <cell r="A82">
            <v>107946</v>
          </cell>
          <cell r="B82" t="str">
            <v>HQ OVHD DIST LINES - 138 KV</v>
          </cell>
          <cell r="H82">
            <v>1</v>
          </cell>
          <cell r="AB82">
            <v>0.5</v>
          </cell>
          <cell r="AC82">
            <v>0.5</v>
          </cell>
        </row>
        <row r="83">
          <cell r="A83">
            <v>107947</v>
          </cell>
          <cell r="B83" t="str">
            <v>HQ OVHD DIST LINES - 138 KV</v>
          </cell>
          <cell r="H83">
            <v>1</v>
          </cell>
          <cell r="AB83">
            <v>0.5</v>
          </cell>
          <cell r="AC83">
            <v>0.5</v>
          </cell>
        </row>
        <row r="84">
          <cell r="A84">
            <v>107949</v>
          </cell>
          <cell r="B84" t="str">
            <v>HQ OVHD DIST LINES - 138 KV</v>
          </cell>
          <cell r="H84">
            <v>1</v>
          </cell>
          <cell r="AB84">
            <v>0.5</v>
          </cell>
          <cell r="AC84">
            <v>0.5</v>
          </cell>
        </row>
        <row r="85">
          <cell r="A85">
            <v>107950</v>
          </cell>
          <cell r="B85" t="str">
            <v xml:space="preserve">HQ OVHD DIST LINES - 69 KV </v>
          </cell>
          <cell r="H85">
            <v>1</v>
          </cell>
          <cell r="AB85">
            <v>0.5</v>
          </cell>
          <cell r="AC85">
            <v>0.5</v>
          </cell>
        </row>
        <row r="86">
          <cell r="A86">
            <v>107951</v>
          </cell>
          <cell r="B86" t="str">
            <v xml:space="preserve">HQ OVHD DIST LINES - 69 KV </v>
          </cell>
          <cell r="H86">
            <v>1</v>
          </cell>
          <cell r="AB86">
            <v>0.5</v>
          </cell>
          <cell r="AC86">
            <v>0.5</v>
          </cell>
        </row>
        <row r="87">
          <cell r="A87">
            <v>107952</v>
          </cell>
          <cell r="B87" t="str">
            <v xml:space="preserve">HQ OVHD DIST LINES - 69 KV </v>
          </cell>
          <cell r="H87">
            <v>1</v>
          </cell>
          <cell r="AB87">
            <v>0.5</v>
          </cell>
          <cell r="AC87">
            <v>0.5</v>
          </cell>
        </row>
        <row r="88">
          <cell r="A88">
            <v>107953</v>
          </cell>
          <cell r="B88" t="str">
            <v xml:space="preserve">HQ OVHD DIST LINES - 69 KV    </v>
          </cell>
          <cell r="H88">
            <v>1</v>
          </cell>
          <cell r="AB88">
            <v>0.5</v>
          </cell>
          <cell r="AC88">
            <v>0.5</v>
          </cell>
        </row>
        <row r="89">
          <cell r="A89">
            <v>107954</v>
          </cell>
          <cell r="B89" t="str">
            <v xml:space="preserve">HQ OVHD DIST LINES - 69 KV    </v>
          </cell>
          <cell r="H89">
            <v>1</v>
          </cell>
          <cell r="AB89">
            <v>0.5</v>
          </cell>
          <cell r="AC89">
            <v>0.5</v>
          </cell>
        </row>
        <row r="90">
          <cell r="A90">
            <v>107955</v>
          </cell>
          <cell r="B90" t="str">
            <v xml:space="preserve">HQ OVHD DIST LINES - 69 KV    </v>
          </cell>
          <cell r="H90">
            <v>1</v>
          </cell>
          <cell r="AB90">
            <v>0.5</v>
          </cell>
          <cell r="AC90">
            <v>0.5</v>
          </cell>
        </row>
        <row r="91">
          <cell r="A91" t="str">
            <v>107956</v>
          </cell>
          <cell r="B91" t="str">
            <v xml:space="preserve">HQ OVHD DIST LINES - 69 KV    </v>
          </cell>
          <cell r="H91">
            <v>1</v>
          </cell>
          <cell r="AB91">
            <v>0.5</v>
          </cell>
          <cell r="AC91">
            <v>0.5</v>
          </cell>
        </row>
        <row r="92">
          <cell r="A92" t="str">
            <v>107957</v>
          </cell>
          <cell r="B92" t="str">
            <v xml:space="preserve">HQ OVHD DIST LINES - 69 KV    </v>
          </cell>
          <cell r="H92">
            <v>1</v>
          </cell>
          <cell r="AB92">
            <v>0.5</v>
          </cell>
          <cell r="AC92">
            <v>0.5</v>
          </cell>
        </row>
        <row r="93">
          <cell r="A93" t="str">
            <v>107959</v>
          </cell>
          <cell r="B93" t="str">
            <v xml:space="preserve">HQ OVHD DIST LINES - 69 KV    </v>
          </cell>
          <cell r="H93">
            <v>1</v>
          </cell>
          <cell r="AB93">
            <v>0.5</v>
          </cell>
          <cell r="AC93">
            <v>0.5</v>
          </cell>
        </row>
        <row r="94">
          <cell r="A94" t="str">
            <v>107960</v>
          </cell>
          <cell r="B94" t="str">
            <v>H-DIS SUB EQ JTUSE HVOLT&gt;230KV</v>
          </cell>
          <cell r="H94">
            <v>1</v>
          </cell>
          <cell r="Z94">
            <v>0.05</v>
          </cell>
          <cell r="AA94">
            <v>0.95</v>
          </cell>
        </row>
        <row r="95">
          <cell r="A95" t="str">
            <v>107961</v>
          </cell>
          <cell r="B95" t="str">
            <v>H-DIS SUB EQ JTUSE HVOLT&gt;230KV</v>
          </cell>
          <cell r="H95">
            <v>1</v>
          </cell>
          <cell r="Z95">
            <v>0.05</v>
          </cell>
          <cell r="AA95">
            <v>0.95</v>
          </cell>
        </row>
        <row r="96">
          <cell r="A96" t="str">
            <v>107962</v>
          </cell>
          <cell r="B96" t="str">
            <v>H-DIS SUB EQ JTUSE HVOLT&gt;230KV</v>
          </cell>
          <cell r="H96">
            <v>1</v>
          </cell>
          <cell r="Z96">
            <v>0.05</v>
          </cell>
          <cell r="AA96">
            <v>0.95</v>
          </cell>
        </row>
        <row r="97">
          <cell r="A97" t="str">
            <v>107963</v>
          </cell>
          <cell r="B97" t="str">
            <v>H-DIS SUB EQ JTUSE HVOLT&gt;230KV</v>
          </cell>
          <cell r="H97">
            <v>1</v>
          </cell>
          <cell r="Z97">
            <v>0.05</v>
          </cell>
          <cell r="AA97">
            <v>0.95</v>
          </cell>
        </row>
        <row r="98">
          <cell r="A98" t="str">
            <v>107964</v>
          </cell>
          <cell r="B98" t="str">
            <v>H-DIS SUB EQ JTUSE HVOLT&gt;230KV</v>
          </cell>
          <cell r="H98">
            <v>1</v>
          </cell>
          <cell r="Z98">
            <v>0.05</v>
          </cell>
          <cell r="AA98">
            <v>0.95</v>
          </cell>
        </row>
        <row r="99">
          <cell r="A99">
            <v>107965</v>
          </cell>
          <cell r="B99" t="str">
            <v>H-DIS SUB EQ JTUSE HVOLT&gt;230KV</v>
          </cell>
          <cell r="H99">
            <v>1</v>
          </cell>
          <cell r="Z99">
            <v>0.05</v>
          </cell>
          <cell r="AA99">
            <v>0.95</v>
          </cell>
        </row>
        <row r="100">
          <cell r="A100" t="str">
            <v>107966</v>
          </cell>
          <cell r="B100" t="str">
            <v>H-DIS SUB EQ JTUSE HVOLT&gt;230KV</v>
          </cell>
          <cell r="H100">
            <v>1</v>
          </cell>
          <cell r="Z100">
            <v>0.05</v>
          </cell>
          <cell r="AA100">
            <v>0.95</v>
          </cell>
        </row>
        <row r="101">
          <cell r="A101" t="str">
            <v>107967</v>
          </cell>
          <cell r="B101" t="str">
            <v>H-DIS SUB EQ JTUSE HVOLT&gt;230KV</v>
          </cell>
          <cell r="H101">
            <v>1</v>
          </cell>
          <cell r="Z101">
            <v>0.05</v>
          </cell>
          <cell r="AA101">
            <v>0.95</v>
          </cell>
        </row>
        <row r="102">
          <cell r="A102" t="str">
            <v>107969</v>
          </cell>
          <cell r="B102" t="str">
            <v>H-DIS SUB EQ JTUSE HVOLT&gt;230KV</v>
          </cell>
          <cell r="H102">
            <v>1</v>
          </cell>
          <cell r="Z102">
            <v>0.05</v>
          </cell>
          <cell r="AA102">
            <v>0.95</v>
          </cell>
        </row>
        <row r="103">
          <cell r="A103" t="str">
            <v>107970</v>
          </cell>
          <cell r="B103" t="str">
            <v>H-DIST JT USE SUB HIVOLT&lt;230KV</v>
          </cell>
          <cell r="H103">
            <v>1</v>
          </cell>
          <cell r="Z103">
            <v>0.05</v>
          </cell>
          <cell r="AA103">
            <v>0.95</v>
          </cell>
        </row>
        <row r="104">
          <cell r="A104" t="str">
            <v>107971</v>
          </cell>
          <cell r="B104" t="str">
            <v>H-DIST JT USE SUB HIVOLT&lt;230KV</v>
          </cell>
          <cell r="H104">
            <v>1</v>
          </cell>
          <cell r="Z104">
            <v>0.05</v>
          </cell>
          <cell r="AA104">
            <v>0.95</v>
          </cell>
        </row>
        <row r="105">
          <cell r="A105" t="str">
            <v>107972</v>
          </cell>
          <cell r="B105" t="str">
            <v>H-DIST JT USE SUB HIVOLT&lt;230KV</v>
          </cell>
          <cell r="H105">
            <v>1</v>
          </cell>
          <cell r="Z105">
            <v>0.05</v>
          </cell>
          <cell r="AA105">
            <v>0.95</v>
          </cell>
        </row>
        <row r="106">
          <cell r="A106" t="str">
            <v>107973</v>
          </cell>
          <cell r="B106" t="str">
            <v>H-DIST JT USE SUB HIVOLT&lt;230KV</v>
          </cell>
          <cell r="H106">
            <v>1</v>
          </cell>
          <cell r="Z106">
            <v>0.05</v>
          </cell>
          <cell r="AA106">
            <v>0.95</v>
          </cell>
        </row>
        <row r="107">
          <cell r="A107">
            <v>107974</v>
          </cell>
          <cell r="B107" t="str">
            <v>H-DIST JT USE SUB HIVOLT&lt;230KV</v>
          </cell>
          <cell r="H107">
            <v>1</v>
          </cell>
          <cell r="Z107">
            <v>0.05</v>
          </cell>
          <cell r="AA107">
            <v>0.95</v>
          </cell>
        </row>
        <row r="108">
          <cell r="A108">
            <v>107975</v>
          </cell>
          <cell r="B108" t="str">
            <v>H-DIST JT USE SUB HIVOLT&lt;230KV</v>
          </cell>
          <cell r="H108">
            <v>1</v>
          </cell>
          <cell r="Z108">
            <v>0.05</v>
          </cell>
          <cell r="AA108">
            <v>0.95</v>
          </cell>
        </row>
        <row r="109">
          <cell r="A109" t="str">
            <v>107976</v>
          </cell>
          <cell r="B109" t="str">
            <v>H-DIST JT USE SUB HIVOLT&lt;230KV</v>
          </cell>
          <cell r="H109">
            <v>1</v>
          </cell>
          <cell r="Z109">
            <v>0.05</v>
          </cell>
          <cell r="AA109">
            <v>0.95</v>
          </cell>
        </row>
        <row r="110">
          <cell r="A110" t="str">
            <v>107977</v>
          </cell>
          <cell r="B110" t="str">
            <v>H-DIST JT USE SUB HIVOLT&lt;230KV</v>
          </cell>
          <cell r="H110">
            <v>1</v>
          </cell>
          <cell r="Z110">
            <v>0.05</v>
          </cell>
          <cell r="AA110">
            <v>0.95</v>
          </cell>
        </row>
        <row r="111">
          <cell r="A111" t="str">
            <v>107979</v>
          </cell>
          <cell r="B111" t="str">
            <v>H-DIST JT USE SUB HIVOLT&lt;230KV</v>
          </cell>
          <cell r="H111">
            <v>1</v>
          </cell>
          <cell r="Z111">
            <v>0.05</v>
          </cell>
          <cell r="AA111">
            <v>0.95</v>
          </cell>
        </row>
        <row r="112">
          <cell r="A112" t="str">
            <v>107980</v>
          </cell>
          <cell r="B112" t="str">
            <v>HQ-DISTRIBUTION SUBSTATN-69KV</v>
          </cell>
          <cell r="H112">
            <v>1</v>
          </cell>
          <cell r="Z112">
            <v>0.05</v>
          </cell>
          <cell r="AA112">
            <v>0.95</v>
          </cell>
        </row>
        <row r="113">
          <cell r="A113" t="str">
            <v>107981</v>
          </cell>
          <cell r="B113" t="str">
            <v>HQ-DISTRIBUTION SUBSTATN-69KV</v>
          </cell>
          <cell r="H113">
            <v>1</v>
          </cell>
          <cell r="Z113">
            <v>0.05</v>
          </cell>
          <cell r="AA113">
            <v>0.95</v>
          </cell>
        </row>
        <row r="114">
          <cell r="A114" t="str">
            <v>107982</v>
          </cell>
          <cell r="B114" t="str">
            <v xml:space="preserve">HQ-DISTIBUTION SUBSTATN-69KV </v>
          </cell>
          <cell r="H114">
            <v>1</v>
          </cell>
          <cell r="Z114">
            <v>0.05</v>
          </cell>
          <cell r="AA114">
            <v>0.95</v>
          </cell>
        </row>
        <row r="115">
          <cell r="A115" t="str">
            <v>107983</v>
          </cell>
          <cell r="B115" t="str">
            <v xml:space="preserve">HQ-DISTRIBUTION SUBSTAN-69KV </v>
          </cell>
          <cell r="H115">
            <v>1</v>
          </cell>
          <cell r="Z115">
            <v>0.05</v>
          </cell>
          <cell r="AA115">
            <v>0.95</v>
          </cell>
        </row>
        <row r="116">
          <cell r="A116">
            <v>107984</v>
          </cell>
          <cell r="B116" t="str">
            <v>HQ-DISTRIBUTION SUBSTATN-69KV</v>
          </cell>
          <cell r="H116">
            <v>1</v>
          </cell>
          <cell r="Z116">
            <v>0.05</v>
          </cell>
          <cell r="AA116">
            <v>0.95</v>
          </cell>
        </row>
        <row r="117">
          <cell r="A117">
            <v>107985</v>
          </cell>
          <cell r="B117" t="str">
            <v>HQ-DISTRIBUTION SUBSTATN-69KV</v>
          </cell>
          <cell r="H117">
            <v>1</v>
          </cell>
          <cell r="Z117">
            <v>0.05</v>
          </cell>
          <cell r="AA117">
            <v>0.95</v>
          </cell>
        </row>
        <row r="118">
          <cell r="A118">
            <v>107986</v>
          </cell>
          <cell r="B118" t="str">
            <v>HQ-DISTRIBUTION SUBSTATN-69KV</v>
          </cell>
          <cell r="H118">
            <v>1</v>
          </cell>
          <cell r="Z118">
            <v>0.05</v>
          </cell>
          <cell r="AA118">
            <v>0.95</v>
          </cell>
        </row>
        <row r="119">
          <cell r="A119" t="str">
            <v>107987</v>
          </cell>
          <cell r="B119" t="str">
            <v>DIST SUB 69 KV 2NDARY VOLTAGE</v>
          </cell>
          <cell r="H119">
            <v>1</v>
          </cell>
          <cell r="Z119">
            <v>0.05</v>
          </cell>
          <cell r="AA119">
            <v>0.95</v>
          </cell>
        </row>
        <row r="120">
          <cell r="A120" t="str">
            <v>107989</v>
          </cell>
          <cell r="B120" t="str">
            <v>DIST SUB 69 KV 2NDARY VOLTAGE</v>
          </cell>
          <cell r="H120">
            <v>1</v>
          </cell>
          <cell r="Z120">
            <v>0.05</v>
          </cell>
          <cell r="AA120">
            <v>0.95</v>
          </cell>
        </row>
        <row r="121">
          <cell r="A121" t="str">
            <v>1075A1</v>
          </cell>
          <cell r="B121" t="str">
            <v>HQ-OVHD DIST LINE &lt; 34.5 KV</v>
          </cell>
          <cell r="H121">
            <v>1</v>
          </cell>
          <cell r="AB121">
            <v>0.5</v>
          </cell>
          <cell r="AC121">
            <v>0.5</v>
          </cell>
        </row>
        <row r="122">
          <cell r="A122" t="str">
            <v>1075A3</v>
          </cell>
          <cell r="B122" t="str">
            <v>HQ-OVHD DIST LINE &lt; 34.5 KV</v>
          </cell>
          <cell r="H122">
            <v>1</v>
          </cell>
          <cell r="AB122">
            <v>0.5</v>
          </cell>
          <cell r="AC122">
            <v>0.5</v>
          </cell>
        </row>
        <row r="123">
          <cell r="A123" t="str">
            <v>1075A4</v>
          </cell>
          <cell r="B123" t="str">
            <v>HQ-OVHD DIST LINE &lt; 34.5 KV</v>
          </cell>
          <cell r="H123">
            <v>1</v>
          </cell>
          <cell r="AB123">
            <v>0.5</v>
          </cell>
          <cell r="AC123">
            <v>0.5</v>
          </cell>
        </row>
        <row r="124">
          <cell r="A124" t="str">
            <v>1075A5</v>
          </cell>
          <cell r="B124" t="str">
            <v>HQ-OVHD DIST LINE &lt; 34.5 KV</v>
          </cell>
          <cell r="H124">
            <v>1</v>
          </cell>
          <cell r="AB124">
            <v>0.5</v>
          </cell>
          <cell r="AC124">
            <v>0.5</v>
          </cell>
        </row>
        <row r="125">
          <cell r="A125" t="str">
            <v>1075A6</v>
          </cell>
          <cell r="B125" t="str">
            <v>HQ-OVHD DIST LINE &lt; 34.5 KV</v>
          </cell>
          <cell r="H125">
            <v>1</v>
          </cell>
          <cell r="AB125">
            <v>0.5</v>
          </cell>
          <cell r="AC125">
            <v>0.5</v>
          </cell>
        </row>
        <row r="126">
          <cell r="A126" t="str">
            <v>1075E1</v>
          </cell>
          <cell r="B126" t="str">
            <v>HQ-DIST SUB 34.5 KV 2NDARY VLT</v>
          </cell>
          <cell r="H126">
            <v>1</v>
          </cell>
          <cell r="Z126">
            <v>0.05</v>
          </cell>
          <cell r="AA126">
            <v>0.95</v>
          </cell>
        </row>
        <row r="127">
          <cell r="A127" t="str">
            <v>1075E2</v>
          </cell>
          <cell r="B127" t="str">
            <v>HQ-DIST SUB 34.5 KV 2NDARY VLT</v>
          </cell>
          <cell r="H127">
            <v>1</v>
          </cell>
          <cell r="Z127">
            <v>0.05</v>
          </cell>
          <cell r="AA127">
            <v>0.95</v>
          </cell>
        </row>
        <row r="128">
          <cell r="A128" t="str">
            <v>1075E3</v>
          </cell>
          <cell r="B128" t="str">
            <v>HQ-DIST SUB 34.5 KV 2NDARY VLT</v>
          </cell>
          <cell r="H128">
            <v>1</v>
          </cell>
          <cell r="Z128">
            <v>0.05</v>
          </cell>
          <cell r="AA128">
            <v>0.95</v>
          </cell>
        </row>
        <row r="129">
          <cell r="A129" t="str">
            <v>1075E4</v>
          </cell>
          <cell r="B129" t="str">
            <v>HQ-DIST SUB 34.5 KV 2NDARY VLT</v>
          </cell>
          <cell r="H129">
            <v>1</v>
          </cell>
          <cell r="Z129">
            <v>0.05</v>
          </cell>
          <cell r="AA129">
            <v>0.95</v>
          </cell>
        </row>
        <row r="130">
          <cell r="A130" t="str">
            <v>1075E5</v>
          </cell>
          <cell r="B130" t="str">
            <v>HQ-DIST SUB 34.5 KV 2NDARY VLT</v>
          </cell>
          <cell r="H130">
            <v>1</v>
          </cell>
          <cell r="Z130">
            <v>0.05</v>
          </cell>
          <cell r="AA130">
            <v>0.95</v>
          </cell>
        </row>
        <row r="131">
          <cell r="A131" t="str">
            <v>1075E6</v>
          </cell>
          <cell r="B131" t="str">
            <v>HQ-DIST SUB 34.5 KV 2NDARY VLT</v>
          </cell>
          <cell r="H131">
            <v>1</v>
          </cell>
          <cell r="Z131">
            <v>0.05</v>
          </cell>
          <cell r="AA131">
            <v>0.95</v>
          </cell>
        </row>
        <row r="132">
          <cell r="A132" t="str">
            <v>1075F1</v>
          </cell>
          <cell r="B132" t="str">
            <v>HQ-DIST SUB &lt;34.5 KV 2ND VOLT</v>
          </cell>
          <cell r="H132">
            <v>1</v>
          </cell>
          <cell r="Z132">
            <v>0.05</v>
          </cell>
          <cell r="AA132">
            <v>0.95</v>
          </cell>
        </row>
        <row r="133">
          <cell r="A133" t="str">
            <v>1075F2</v>
          </cell>
          <cell r="B133" t="str">
            <v>HQ-DIST SUB &lt;34.5 KV 2ND VOLT</v>
          </cell>
          <cell r="H133">
            <v>1</v>
          </cell>
          <cell r="Z133">
            <v>0.05</v>
          </cell>
          <cell r="AA133">
            <v>0.95</v>
          </cell>
        </row>
        <row r="134">
          <cell r="A134" t="str">
            <v>1075F3</v>
          </cell>
          <cell r="B134" t="str">
            <v>HQ-DIST SUB &lt;34.5 KV 2ND VOLT</v>
          </cell>
          <cell r="H134">
            <v>1</v>
          </cell>
          <cell r="Z134">
            <v>0.05</v>
          </cell>
          <cell r="AA134">
            <v>0.95</v>
          </cell>
        </row>
        <row r="135">
          <cell r="A135" t="str">
            <v>1075F4</v>
          </cell>
          <cell r="B135" t="str">
            <v>HQ-DIST SUB &lt;34.5 KV 2ND VOLT</v>
          </cell>
          <cell r="H135">
            <v>1</v>
          </cell>
          <cell r="Z135">
            <v>0.05</v>
          </cell>
          <cell r="AA135">
            <v>0.95</v>
          </cell>
        </row>
        <row r="136">
          <cell r="A136" t="str">
            <v>1075F5</v>
          </cell>
          <cell r="B136" t="str">
            <v>HQ-DIST SUB &lt;34.5 KV 2ND VOLT</v>
          </cell>
          <cell r="H136">
            <v>1</v>
          </cell>
          <cell r="Z136">
            <v>0.05</v>
          </cell>
          <cell r="AA136">
            <v>0.95</v>
          </cell>
        </row>
        <row r="137">
          <cell r="A137" t="str">
            <v>1075F6</v>
          </cell>
          <cell r="B137" t="str">
            <v>HQ-DIST SUB &lt;34.5 KV 2ND VOLT</v>
          </cell>
          <cell r="H137">
            <v>1</v>
          </cell>
          <cell r="Z137">
            <v>0.05</v>
          </cell>
          <cell r="AA137">
            <v>0.95</v>
          </cell>
        </row>
        <row r="138">
          <cell r="A138" t="str">
            <v>1075G1</v>
          </cell>
          <cell r="B138" t="str">
            <v>HQ-CUST SUB &gt;= 138 2NDARY VOLT</v>
          </cell>
          <cell r="H138">
            <v>1</v>
          </cell>
          <cell r="Z138">
            <v>0.05</v>
          </cell>
          <cell r="AA138">
            <v>0.95</v>
          </cell>
        </row>
        <row r="139">
          <cell r="A139" t="str">
            <v>1075G2</v>
          </cell>
          <cell r="B139" t="str">
            <v>HQ-CUST SUB &gt;= 138 2NDARY VOLT</v>
          </cell>
          <cell r="H139">
            <v>1</v>
          </cell>
          <cell r="Z139">
            <v>0.05</v>
          </cell>
          <cell r="AA139">
            <v>0.95</v>
          </cell>
        </row>
        <row r="140">
          <cell r="A140" t="str">
            <v>1075G3</v>
          </cell>
          <cell r="B140" t="str">
            <v>HQ-CUST SUB &gt;= 138 2NDARY VOLT</v>
          </cell>
          <cell r="H140">
            <v>1</v>
          </cell>
          <cell r="Z140">
            <v>0.05</v>
          </cell>
          <cell r="AA140">
            <v>0.95</v>
          </cell>
        </row>
        <row r="141">
          <cell r="A141" t="str">
            <v>1075G4</v>
          </cell>
          <cell r="B141" t="str">
            <v>HQ-CUST SUB &gt;= 138 2NDARY VOLT</v>
          </cell>
          <cell r="H141">
            <v>1</v>
          </cell>
          <cell r="Z141">
            <v>0.05</v>
          </cell>
          <cell r="AA141">
            <v>0.95</v>
          </cell>
        </row>
        <row r="142">
          <cell r="A142" t="str">
            <v>1075G5</v>
          </cell>
          <cell r="B142" t="str">
            <v>HQ-CUST SUB &gt;= 138 2NDARY VOLT</v>
          </cell>
          <cell r="H142">
            <v>1</v>
          </cell>
          <cell r="Z142">
            <v>0.05</v>
          </cell>
          <cell r="AA142">
            <v>0.95</v>
          </cell>
        </row>
        <row r="143">
          <cell r="A143" t="str">
            <v>1075G6</v>
          </cell>
          <cell r="B143" t="str">
            <v>HQ-CUST SUB &gt;= 138 2NDARY VOLT</v>
          </cell>
          <cell r="H143">
            <v>1</v>
          </cell>
          <cell r="Z143">
            <v>0.05</v>
          </cell>
          <cell r="AA143">
            <v>0.95</v>
          </cell>
        </row>
        <row r="144">
          <cell r="A144" t="str">
            <v>1075H1</v>
          </cell>
          <cell r="B144" t="str">
            <v>HQ-CUST SUB 69 2NDARY VOLT</v>
          </cell>
          <cell r="H144">
            <v>1</v>
          </cell>
          <cell r="Z144">
            <v>0.05</v>
          </cell>
          <cell r="AA144">
            <v>0.95</v>
          </cell>
        </row>
        <row r="145">
          <cell r="A145" t="str">
            <v>1075H2</v>
          </cell>
          <cell r="B145" t="str">
            <v>HQ-CUST SUB 69 2NDARY VOLT</v>
          </cell>
          <cell r="H145">
            <v>1</v>
          </cell>
          <cell r="Z145">
            <v>0.05</v>
          </cell>
          <cell r="AA145">
            <v>0.95</v>
          </cell>
        </row>
        <row r="146">
          <cell r="A146" t="str">
            <v>1075H3</v>
          </cell>
          <cell r="B146" t="str">
            <v>HQ-CUST SUB 69 2NDARY VOLT</v>
          </cell>
          <cell r="H146">
            <v>1</v>
          </cell>
          <cell r="Z146">
            <v>0.05</v>
          </cell>
          <cell r="AA146">
            <v>0.95</v>
          </cell>
        </row>
        <row r="147">
          <cell r="A147" t="str">
            <v>1075H4</v>
          </cell>
          <cell r="B147" t="str">
            <v>HQ-CUST SUB 69 2NDARY VOLT</v>
          </cell>
          <cell r="H147">
            <v>1</v>
          </cell>
          <cell r="Z147">
            <v>0.05</v>
          </cell>
          <cell r="AA147">
            <v>0.95</v>
          </cell>
        </row>
        <row r="148">
          <cell r="A148" t="str">
            <v>1075H5</v>
          </cell>
          <cell r="B148" t="str">
            <v>HQ-CUST SUB 69 2NDARY VOLT</v>
          </cell>
          <cell r="H148">
            <v>1</v>
          </cell>
          <cell r="Z148">
            <v>0.05</v>
          </cell>
          <cell r="AA148">
            <v>0.95</v>
          </cell>
        </row>
        <row r="149">
          <cell r="A149" t="str">
            <v>1075H6</v>
          </cell>
          <cell r="B149" t="str">
            <v>HQ-CUST SUB 69 2NDARY VOLT</v>
          </cell>
          <cell r="H149">
            <v>1</v>
          </cell>
          <cell r="Z149">
            <v>0.05</v>
          </cell>
          <cell r="AA149">
            <v>0.95</v>
          </cell>
        </row>
        <row r="150">
          <cell r="A150" t="str">
            <v>1075I1</v>
          </cell>
          <cell r="B150" t="str">
            <v>HQ-CUST SUB 34.5 2NDARY VOLT</v>
          </cell>
          <cell r="H150">
            <v>1</v>
          </cell>
          <cell r="Z150">
            <v>0.05</v>
          </cell>
          <cell r="AA150">
            <v>0.95</v>
          </cell>
        </row>
        <row r="151">
          <cell r="A151" t="str">
            <v>1075I2</v>
          </cell>
          <cell r="B151" t="str">
            <v>HQ-CUST SUB 34.5 2NDARY VOLT</v>
          </cell>
          <cell r="H151">
            <v>1</v>
          </cell>
          <cell r="Z151">
            <v>0.05</v>
          </cell>
          <cell r="AA151">
            <v>0.95</v>
          </cell>
        </row>
        <row r="152">
          <cell r="A152" t="str">
            <v>1075I3</v>
          </cell>
          <cell r="B152" t="str">
            <v>HQ-CUST SUB 34.5 2NDARY VOLT</v>
          </cell>
          <cell r="H152">
            <v>1</v>
          </cell>
          <cell r="Z152">
            <v>0.05</v>
          </cell>
          <cell r="AA152">
            <v>0.95</v>
          </cell>
        </row>
        <row r="153">
          <cell r="A153" t="str">
            <v>1075I4</v>
          </cell>
          <cell r="B153" t="str">
            <v>HQ-CUST SUB 34.5 2NDARY VOLT</v>
          </cell>
          <cell r="H153">
            <v>1</v>
          </cell>
          <cell r="Z153">
            <v>0.05</v>
          </cell>
          <cell r="AA153">
            <v>0.95</v>
          </cell>
        </row>
        <row r="154">
          <cell r="A154" t="str">
            <v>1075I5</v>
          </cell>
          <cell r="B154" t="str">
            <v>HQ-CUST SUB 34.5 2NDARY VOLT</v>
          </cell>
          <cell r="H154">
            <v>1</v>
          </cell>
          <cell r="Z154">
            <v>0.05</v>
          </cell>
          <cell r="AA154">
            <v>0.95</v>
          </cell>
        </row>
        <row r="155">
          <cell r="A155" t="str">
            <v>1075I6</v>
          </cell>
          <cell r="B155" t="str">
            <v>HQ-CUST SUB 34.5 2NDARY VOLT</v>
          </cell>
          <cell r="H155">
            <v>1</v>
          </cell>
          <cell r="Z155">
            <v>0.05</v>
          </cell>
          <cell r="AA155">
            <v>0.95</v>
          </cell>
        </row>
        <row r="156">
          <cell r="A156" t="str">
            <v>1075J1</v>
          </cell>
          <cell r="B156" t="str">
            <v>HQ-CUST SUB &lt; 34.5 2NDARY VOLT</v>
          </cell>
          <cell r="H156">
            <v>1</v>
          </cell>
          <cell r="Z156">
            <v>0.05</v>
          </cell>
          <cell r="AA156">
            <v>0.95</v>
          </cell>
        </row>
        <row r="157">
          <cell r="A157" t="str">
            <v>1075J2</v>
          </cell>
          <cell r="B157" t="str">
            <v>HQ-CUST SUB &lt; 34.5 2NDARY VOLT</v>
          </cell>
          <cell r="H157">
            <v>1</v>
          </cell>
          <cell r="Z157">
            <v>0.05</v>
          </cell>
          <cell r="AA157">
            <v>0.95</v>
          </cell>
        </row>
        <row r="158">
          <cell r="A158" t="str">
            <v>1075J3</v>
          </cell>
          <cell r="B158" t="str">
            <v>HQ-CUST SUB &lt; 34.5 2NDARY VOLT</v>
          </cell>
          <cell r="H158">
            <v>1</v>
          </cell>
          <cell r="Z158">
            <v>0.05</v>
          </cell>
          <cell r="AA158">
            <v>0.95</v>
          </cell>
        </row>
        <row r="159">
          <cell r="A159" t="str">
            <v>1075J4</v>
          </cell>
          <cell r="B159" t="str">
            <v>HQ-CUST SUB &lt; 34.5 2NDARY VOLT</v>
          </cell>
          <cell r="H159">
            <v>1</v>
          </cell>
          <cell r="Z159">
            <v>0.05</v>
          </cell>
          <cell r="AA159">
            <v>0.95</v>
          </cell>
        </row>
        <row r="160">
          <cell r="A160" t="str">
            <v>1075J5</v>
          </cell>
          <cell r="B160" t="str">
            <v>HQ-CUST SUB &lt; 34.5 2NDARY VOLT</v>
          </cell>
          <cell r="H160">
            <v>1</v>
          </cell>
          <cell r="Z160">
            <v>0.05</v>
          </cell>
          <cell r="AA160">
            <v>0.95</v>
          </cell>
        </row>
        <row r="161">
          <cell r="A161" t="str">
            <v>1075J6</v>
          </cell>
          <cell r="B161" t="str">
            <v>HQ-CUST SUB &lt; 34.5 2NDARY VOLT</v>
          </cell>
          <cell r="H161">
            <v>1</v>
          </cell>
          <cell r="Z161">
            <v>0.05</v>
          </cell>
          <cell r="AA161">
            <v>0.95</v>
          </cell>
        </row>
        <row r="162">
          <cell r="A162" t="str">
            <v>1075K1</v>
          </cell>
          <cell r="B162" t="str">
            <v>HQ-METER &amp; INSTR TRANS - ELEC</v>
          </cell>
          <cell r="H162">
            <v>1</v>
          </cell>
          <cell r="AB162">
            <v>0.5</v>
          </cell>
          <cell r="AC162">
            <v>0.5</v>
          </cell>
        </row>
        <row r="163">
          <cell r="A163" t="str">
            <v>1075K5</v>
          </cell>
          <cell r="B163" t="str">
            <v>METERS &amp; INST TRANSFORMERS</v>
          </cell>
          <cell r="H163">
            <v>1</v>
          </cell>
          <cell r="AB163">
            <v>0.5</v>
          </cell>
          <cell r="AC163">
            <v>0.5</v>
          </cell>
        </row>
        <row r="164">
          <cell r="A164" t="str">
            <v>1075K6</v>
          </cell>
          <cell r="B164" t="str">
            <v>HQ - METER INSTALLATIONS</v>
          </cell>
          <cell r="H164">
            <v>1</v>
          </cell>
          <cell r="AB164">
            <v>0.5</v>
          </cell>
          <cell r="AC164">
            <v>0.5</v>
          </cell>
        </row>
        <row r="165">
          <cell r="A165" t="str">
            <v>1075K9</v>
          </cell>
          <cell r="B165" t="str">
            <v>HQ - METER INSTALLLATIONS</v>
          </cell>
          <cell r="H165">
            <v>1</v>
          </cell>
          <cell r="AB165">
            <v>0.5</v>
          </cell>
          <cell r="AC165">
            <v>0.5</v>
          </cell>
        </row>
        <row r="166">
          <cell r="A166" t="str">
            <v>1075L1</v>
          </cell>
          <cell r="B166" t="str">
            <v>HQ-TRANS,CAP &amp; VOLT REGULATORS</v>
          </cell>
          <cell r="H166">
            <v>1</v>
          </cell>
          <cell r="AB166">
            <v>0.5</v>
          </cell>
          <cell r="AC166">
            <v>0.5</v>
          </cell>
        </row>
        <row r="167">
          <cell r="A167" t="str">
            <v>1075L5</v>
          </cell>
          <cell r="B167" t="str">
            <v>HQ-TRANS,CAPACITOR &amp; VOLT REG</v>
          </cell>
          <cell r="H167">
            <v>1</v>
          </cell>
          <cell r="AB167">
            <v>0.5</v>
          </cell>
          <cell r="AC167">
            <v>0.5</v>
          </cell>
        </row>
        <row r="168">
          <cell r="A168" t="str">
            <v>1075M8</v>
          </cell>
          <cell r="B168" t="str">
            <v>BUILDING/IMPROVEMENTS-ELEC</v>
          </cell>
          <cell r="H168">
            <v>1</v>
          </cell>
          <cell r="AL168">
            <v>1</v>
          </cell>
        </row>
        <row r="169">
          <cell r="A169" t="str">
            <v>1075N8</v>
          </cell>
          <cell r="B169" t="str">
            <v>OFFICE FURNITURE &amp; FIXT-ELEC</v>
          </cell>
          <cell r="H169">
            <v>1</v>
          </cell>
          <cell r="AM169">
            <v>1</v>
          </cell>
        </row>
        <row r="170">
          <cell r="A170" t="str">
            <v>1075P8</v>
          </cell>
          <cell r="B170" t="str">
            <v>(PC) EQUIPMENT (391)</v>
          </cell>
          <cell r="H170">
            <v>1</v>
          </cell>
          <cell r="AN170">
            <v>1</v>
          </cell>
        </row>
        <row r="171">
          <cell r="A171" t="str">
            <v>1075Q8</v>
          </cell>
          <cell r="B171" t="str">
            <v>PASSENGER CAR-ELECTRIC (392)</v>
          </cell>
          <cell r="H171">
            <v>1</v>
          </cell>
          <cell r="AO171">
            <v>1</v>
          </cell>
        </row>
        <row r="172">
          <cell r="A172" t="str">
            <v>1075R8</v>
          </cell>
          <cell r="B172" t="str">
            <v>OTHER MOTIVE EQUIPMENT-ELEC</v>
          </cell>
          <cell r="H172">
            <v>1</v>
          </cell>
          <cell r="AO172">
            <v>1</v>
          </cell>
        </row>
        <row r="173">
          <cell r="A173" t="str">
            <v>1075S8</v>
          </cell>
          <cell r="B173" t="str">
            <v>HQ-TOOLS AND WORK EQUIP-ELEC</v>
          </cell>
          <cell r="H173">
            <v>1</v>
          </cell>
          <cell r="AP173">
            <v>0.7</v>
          </cell>
          <cell r="AQ173">
            <v>0.3</v>
          </cell>
        </row>
        <row r="174">
          <cell r="A174" t="str">
            <v>1075T8</v>
          </cell>
          <cell r="B174" t="str">
            <v>HQ-POWER OPERATED EQUIP-ELEC</v>
          </cell>
          <cell r="H174">
            <v>1</v>
          </cell>
          <cell r="AP174">
            <v>0.7</v>
          </cell>
          <cell r="AQ174">
            <v>0.3</v>
          </cell>
        </row>
        <row r="175">
          <cell r="A175" t="str">
            <v>1075U8</v>
          </cell>
          <cell r="B175" t="str">
            <v>COMM FACILITITES &amp; EQUIP-ELEC</v>
          </cell>
          <cell r="H175">
            <v>1</v>
          </cell>
          <cell r="AR175">
            <v>1</v>
          </cell>
        </row>
        <row r="176">
          <cell r="A176" t="str">
            <v>1075V8</v>
          </cell>
          <cell r="B176" t="str">
            <v>OTHER (PROP ACCTS) (398 &amp; 399)</v>
          </cell>
          <cell r="H176">
            <v>1</v>
          </cell>
          <cell r="AM176">
            <v>1</v>
          </cell>
        </row>
        <row r="177">
          <cell r="A177" t="str">
            <v>1075W9</v>
          </cell>
          <cell r="B177" t="str">
            <v>INTANGIBLE PLANT</v>
          </cell>
          <cell r="H177">
            <v>1</v>
          </cell>
          <cell r="I177">
            <v>1</v>
          </cell>
        </row>
        <row r="178">
          <cell r="A178" t="str">
            <v>1075X9</v>
          </cell>
          <cell r="B178" t="str">
            <v>TRANSFER OF EQUIPMENT-ELEC</v>
          </cell>
          <cell r="H178">
            <v>1</v>
          </cell>
          <cell r="Z178">
            <v>1</v>
          </cell>
        </row>
        <row r="179">
          <cell r="A179" t="str">
            <v>1075Y9</v>
          </cell>
          <cell r="B179" t="str">
            <v>HQ NON-UTILITY PROP - ELEC</v>
          </cell>
          <cell r="H179">
            <v>1</v>
          </cell>
          <cell r="AS179">
            <v>1</v>
          </cell>
        </row>
        <row r="180">
          <cell r="A180" t="str">
            <v>1075Z9</v>
          </cell>
          <cell r="B180" t="str">
            <v>DISTRIBUTIVE GENRTN FACILITIES</v>
          </cell>
          <cell r="H180">
            <v>1</v>
          </cell>
          <cell r="AS180">
            <v>1</v>
          </cell>
        </row>
        <row r="181">
          <cell r="A181" t="str">
            <v>1076A1</v>
          </cell>
          <cell r="B181" t="str">
            <v>OVHD DIST LINE &lt; 34.5 KV</v>
          </cell>
          <cell r="H181">
            <v>1</v>
          </cell>
          <cell r="AB181">
            <v>0.5</v>
          </cell>
          <cell r="AC181">
            <v>0.5</v>
          </cell>
        </row>
        <row r="182">
          <cell r="A182" t="str">
            <v>1076A3</v>
          </cell>
          <cell r="B182" t="str">
            <v>OVHD DIST LINE &lt; 34.5 KV</v>
          </cell>
          <cell r="H182">
            <v>1</v>
          </cell>
          <cell r="AB182">
            <v>0.5</v>
          </cell>
          <cell r="AC182">
            <v>0.5</v>
          </cell>
        </row>
        <row r="183">
          <cell r="A183" t="str">
            <v>1076A4</v>
          </cell>
          <cell r="B183" t="str">
            <v>OVHD DIST LINE &lt; 34.5 KV</v>
          </cell>
          <cell r="H183">
            <v>1</v>
          </cell>
          <cell r="AB183">
            <v>0.5</v>
          </cell>
          <cell r="AC183">
            <v>0.5</v>
          </cell>
        </row>
        <row r="184">
          <cell r="A184" t="str">
            <v>1076A5</v>
          </cell>
          <cell r="B184" t="str">
            <v>OVHD DIST LINE &lt; 34.5 KV</v>
          </cell>
          <cell r="H184">
            <v>1</v>
          </cell>
          <cell r="AB184">
            <v>0.5</v>
          </cell>
          <cell r="AC184">
            <v>0.5</v>
          </cell>
        </row>
        <row r="185">
          <cell r="A185" t="str">
            <v>1076A6</v>
          </cell>
          <cell r="B185" t="str">
            <v>OVHD DIST LINE &lt; 34.5 KV</v>
          </cell>
          <cell r="H185">
            <v>1</v>
          </cell>
          <cell r="AB185">
            <v>0.5</v>
          </cell>
          <cell r="AC185">
            <v>0.5</v>
          </cell>
        </row>
        <row r="186">
          <cell r="A186" t="str">
            <v>1076B1</v>
          </cell>
          <cell r="B186" t="str">
            <v>ST LIGHTINGS AND NITE LIGHTS</v>
          </cell>
          <cell r="H186">
            <v>1</v>
          </cell>
          <cell r="AB186">
            <v>0.46</v>
          </cell>
          <cell r="AC186">
            <v>0.43</v>
          </cell>
          <cell r="AJ186">
            <v>0.11</v>
          </cell>
        </row>
        <row r="187">
          <cell r="A187" t="str">
            <v>1076B3</v>
          </cell>
          <cell r="B187" t="str">
            <v>ST LIGHTINGS AND NITE LIGHTS</v>
          </cell>
          <cell r="H187">
            <v>1</v>
          </cell>
          <cell r="AB187">
            <v>0.46</v>
          </cell>
          <cell r="AC187">
            <v>0.43</v>
          </cell>
          <cell r="AJ187">
            <v>0.11</v>
          </cell>
        </row>
        <row r="188">
          <cell r="A188" t="str">
            <v>1076B5</v>
          </cell>
          <cell r="B188" t="str">
            <v>ST LIGHTINGS AND NITE LIGHTS</v>
          </cell>
          <cell r="H188">
            <v>1</v>
          </cell>
          <cell r="AB188">
            <v>0.46</v>
          </cell>
          <cell r="AC188">
            <v>0.43</v>
          </cell>
          <cell r="AJ188">
            <v>0.11</v>
          </cell>
        </row>
        <row r="189">
          <cell r="A189" t="str">
            <v>1076B6</v>
          </cell>
          <cell r="B189" t="str">
            <v>AREA STREET LIGHTS - CONSTRUCT</v>
          </cell>
          <cell r="H189">
            <v>1</v>
          </cell>
          <cell r="AB189">
            <v>0.46</v>
          </cell>
          <cell r="AC189">
            <v>0.43</v>
          </cell>
          <cell r="AJ189">
            <v>0.11</v>
          </cell>
        </row>
        <row r="190">
          <cell r="A190" t="str">
            <v>1076C1</v>
          </cell>
          <cell r="B190" t="str">
            <v>UG DIST LINE-34.5KV BUT &lt;69 KV</v>
          </cell>
          <cell r="H190">
            <v>1</v>
          </cell>
          <cell r="AD190">
            <v>0.4</v>
          </cell>
          <cell r="AE190">
            <v>0.6</v>
          </cell>
        </row>
        <row r="191">
          <cell r="A191" t="str">
            <v>1076C3</v>
          </cell>
          <cell r="B191" t="str">
            <v>UG DIST LINE-34.5KV BUT &lt;69 KV</v>
          </cell>
          <cell r="H191">
            <v>1</v>
          </cell>
          <cell r="AD191">
            <v>0.4</v>
          </cell>
          <cell r="AE191">
            <v>0.6</v>
          </cell>
        </row>
        <row r="192">
          <cell r="A192" t="str">
            <v>1076C5</v>
          </cell>
          <cell r="B192" t="str">
            <v>UG DIST LINE-34.5KV BUT &lt;69 KV</v>
          </cell>
          <cell r="H192">
            <v>1</v>
          </cell>
          <cell r="AD192">
            <v>0.4</v>
          </cell>
          <cell r="AE192">
            <v>0.6</v>
          </cell>
        </row>
        <row r="193">
          <cell r="A193" t="str">
            <v>1076D1</v>
          </cell>
          <cell r="B193" t="str">
            <v>UG DIST LINE &lt; 34.5 KV</v>
          </cell>
          <cell r="H193">
            <v>1</v>
          </cell>
          <cell r="AD193">
            <v>0.4</v>
          </cell>
          <cell r="AE193">
            <v>0.6</v>
          </cell>
        </row>
        <row r="194">
          <cell r="A194" t="str">
            <v>1076D3</v>
          </cell>
          <cell r="B194" t="str">
            <v>UG DIST LINE &lt; 34.5 KV</v>
          </cell>
          <cell r="H194">
            <v>1</v>
          </cell>
          <cell r="AD194">
            <v>0.4</v>
          </cell>
          <cell r="AE194">
            <v>0.6</v>
          </cell>
        </row>
        <row r="195">
          <cell r="A195" t="str">
            <v>1076D5</v>
          </cell>
          <cell r="B195" t="str">
            <v>UG DIST LINE &lt; 34.5 KV</v>
          </cell>
          <cell r="H195">
            <v>1</v>
          </cell>
          <cell r="AD195">
            <v>0.4</v>
          </cell>
          <cell r="AE195">
            <v>0.6</v>
          </cell>
        </row>
        <row r="196">
          <cell r="A196" t="str">
            <v>1076E1</v>
          </cell>
          <cell r="B196" t="str">
            <v>DIST SUB 34.5 KV 2NDARY VOLT</v>
          </cell>
          <cell r="H196">
            <v>1</v>
          </cell>
          <cell r="Z196">
            <v>0.05</v>
          </cell>
          <cell r="AA196">
            <v>0.95</v>
          </cell>
        </row>
        <row r="197">
          <cell r="A197" t="str">
            <v>1076E2</v>
          </cell>
          <cell r="B197" t="str">
            <v>DIST SUB 34.5 KV 2NDARY VOLT</v>
          </cell>
          <cell r="H197">
            <v>1</v>
          </cell>
          <cell r="Z197">
            <v>0.05</v>
          </cell>
          <cell r="AA197">
            <v>0.95</v>
          </cell>
        </row>
        <row r="198">
          <cell r="A198" t="str">
            <v>1076E3</v>
          </cell>
          <cell r="B198" t="str">
            <v>DIST SUB 34.5 KV 2NDARY VOLT</v>
          </cell>
          <cell r="H198">
            <v>1</v>
          </cell>
          <cell r="Z198">
            <v>0.05</v>
          </cell>
          <cell r="AA198">
            <v>0.95</v>
          </cell>
        </row>
        <row r="199">
          <cell r="A199" t="str">
            <v>1076E4</v>
          </cell>
          <cell r="B199" t="str">
            <v>DIST SUB 34.5 KV 2NDARY VOLT</v>
          </cell>
          <cell r="H199">
            <v>1</v>
          </cell>
          <cell r="Z199">
            <v>0.05</v>
          </cell>
          <cell r="AA199">
            <v>0.95</v>
          </cell>
        </row>
        <row r="200">
          <cell r="A200" t="str">
            <v>1076E5</v>
          </cell>
          <cell r="B200" t="str">
            <v>DIST SUB 34.5 KV 2NDARY VOLT</v>
          </cell>
          <cell r="H200">
            <v>1</v>
          </cell>
          <cell r="Z200">
            <v>0.05</v>
          </cell>
          <cell r="AA200">
            <v>0.95</v>
          </cell>
        </row>
        <row r="201">
          <cell r="A201" t="str">
            <v>1076E6</v>
          </cell>
          <cell r="B201" t="str">
            <v>DIST SUB 34.5 KV 2NDARY VOLT</v>
          </cell>
          <cell r="H201">
            <v>1</v>
          </cell>
          <cell r="Z201">
            <v>0.05</v>
          </cell>
          <cell r="AA201">
            <v>0.95</v>
          </cell>
        </row>
        <row r="202">
          <cell r="A202" t="str">
            <v>1076F1</v>
          </cell>
          <cell r="B202" t="str">
            <v>DIST SUB &lt;34.5 KV 2NDARY VOLT</v>
          </cell>
          <cell r="H202">
            <v>1</v>
          </cell>
          <cell r="Z202">
            <v>0.05</v>
          </cell>
          <cell r="AA202">
            <v>0.95</v>
          </cell>
        </row>
        <row r="203">
          <cell r="A203" t="str">
            <v>1076F2</v>
          </cell>
          <cell r="B203" t="str">
            <v>DIST SUB &lt;34.5 KV 2NDARY VOLT</v>
          </cell>
          <cell r="H203">
            <v>1</v>
          </cell>
          <cell r="Z203">
            <v>0.05</v>
          </cell>
          <cell r="AA203">
            <v>0.95</v>
          </cell>
        </row>
        <row r="204">
          <cell r="A204" t="str">
            <v>1076F3</v>
          </cell>
          <cell r="B204" t="str">
            <v>DIST SUB &lt;34.5 KV 2NDARY VOLT</v>
          </cell>
          <cell r="H204">
            <v>1</v>
          </cell>
          <cell r="Z204">
            <v>0.05</v>
          </cell>
          <cell r="AA204">
            <v>0.95</v>
          </cell>
        </row>
        <row r="205">
          <cell r="A205" t="str">
            <v>1076F4</v>
          </cell>
          <cell r="B205" t="str">
            <v>DIST SUB &lt;34.5 KV 2NDARY VOLT</v>
          </cell>
          <cell r="H205">
            <v>1</v>
          </cell>
          <cell r="Z205">
            <v>0.05</v>
          </cell>
          <cell r="AA205">
            <v>0.95</v>
          </cell>
        </row>
        <row r="206">
          <cell r="A206" t="str">
            <v>1076F5</v>
          </cell>
          <cell r="B206" t="str">
            <v>DIST SUB &lt;34.5 KV 2NDARY VOLT</v>
          </cell>
          <cell r="H206">
            <v>1</v>
          </cell>
          <cell r="Z206">
            <v>0.05</v>
          </cell>
          <cell r="AA206">
            <v>0.95</v>
          </cell>
        </row>
        <row r="207">
          <cell r="A207" t="str">
            <v>1076F6</v>
          </cell>
          <cell r="B207" t="str">
            <v>DIST SUB &lt;34.5 KV 2NDARY VOLT</v>
          </cell>
          <cell r="H207">
            <v>1</v>
          </cell>
          <cell r="Z207">
            <v>0.05</v>
          </cell>
          <cell r="AA207">
            <v>0.95</v>
          </cell>
        </row>
        <row r="208">
          <cell r="A208" t="str">
            <v>1076G1</v>
          </cell>
          <cell r="B208" t="str">
            <v>CUST SUB &gt;= 138 2NDARY VOLT</v>
          </cell>
          <cell r="H208">
            <v>1</v>
          </cell>
          <cell r="Z208">
            <v>0.05</v>
          </cell>
          <cell r="AA208">
            <v>0.95</v>
          </cell>
        </row>
        <row r="209">
          <cell r="A209" t="str">
            <v>1076G2</v>
          </cell>
          <cell r="B209" t="str">
            <v>CUST SUB &gt;= 138 2NDARY VOLT</v>
          </cell>
          <cell r="H209">
            <v>1</v>
          </cell>
          <cell r="Z209">
            <v>0.05</v>
          </cell>
          <cell r="AA209">
            <v>0.95</v>
          </cell>
        </row>
        <row r="210">
          <cell r="A210" t="str">
            <v>1076G3</v>
          </cell>
          <cell r="B210" t="str">
            <v>CUST SUB &gt;= 138 2NDARY VOLT</v>
          </cell>
          <cell r="H210">
            <v>1</v>
          </cell>
          <cell r="Z210">
            <v>0.05</v>
          </cell>
          <cell r="AA210">
            <v>0.95</v>
          </cell>
        </row>
        <row r="211">
          <cell r="A211" t="str">
            <v>1076G4</v>
          </cell>
          <cell r="B211" t="str">
            <v>CUST SUB &gt;= 138 2NDARY VOLT</v>
          </cell>
          <cell r="H211">
            <v>1</v>
          </cell>
          <cell r="Z211">
            <v>0.05</v>
          </cell>
          <cell r="AA211">
            <v>0.95</v>
          </cell>
        </row>
        <row r="212">
          <cell r="A212" t="str">
            <v>1076G5</v>
          </cell>
          <cell r="B212" t="str">
            <v>CUST SUB &gt;= 138 2NDARY VOLT</v>
          </cell>
          <cell r="H212">
            <v>1</v>
          </cell>
          <cell r="Z212">
            <v>0.05</v>
          </cell>
          <cell r="AA212">
            <v>0.95</v>
          </cell>
        </row>
        <row r="213">
          <cell r="A213" t="str">
            <v>1076G6</v>
          </cell>
          <cell r="B213" t="str">
            <v>CUST SUB &gt;= 138 2NDARY VOLT</v>
          </cell>
          <cell r="H213">
            <v>1</v>
          </cell>
          <cell r="Z213">
            <v>0.05</v>
          </cell>
          <cell r="AA213">
            <v>0.95</v>
          </cell>
        </row>
        <row r="214">
          <cell r="A214" t="str">
            <v>1076H1</v>
          </cell>
          <cell r="B214" t="str">
            <v>CUST SUB 69 2NDARY VOLT</v>
          </cell>
          <cell r="H214">
            <v>1</v>
          </cell>
          <cell r="Z214">
            <v>0.05</v>
          </cell>
          <cell r="AA214">
            <v>0.95</v>
          </cell>
        </row>
        <row r="215">
          <cell r="A215" t="str">
            <v>1076H2</v>
          </cell>
          <cell r="B215" t="str">
            <v>CUST SUB 69 2NDARY VOLT</v>
          </cell>
          <cell r="H215">
            <v>1</v>
          </cell>
          <cell r="Z215">
            <v>0.05</v>
          </cell>
          <cell r="AA215">
            <v>0.95</v>
          </cell>
        </row>
        <row r="216">
          <cell r="A216" t="str">
            <v>1076H3</v>
          </cell>
          <cell r="B216" t="str">
            <v>CUST SUB 69 2NDARY VOLT</v>
          </cell>
          <cell r="H216">
            <v>1</v>
          </cell>
          <cell r="Z216">
            <v>0.05</v>
          </cell>
          <cell r="AA216">
            <v>0.95</v>
          </cell>
        </row>
        <row r="217">
          <cell r="A217" t="str">
            <v>1076H4</v>
          </cell>
          <cell r="B217" t="str">
            <v>CUST SUB 69 2NDARY VOLT</v>
          </cell>
          <cell r="H217">
            <v>1</v>
          </cell>
          <cell r="Z217">
            <v>0.05</v>
          </cell>
          <cell r="AA217">
            <v>0.95</v>
          </cell>
        </row>
        <row r="218">
          <cell r="A218" t="str">
            <v>1076H5</v>
          </cell>
          <cell r="B218" t="str">
            <v>CUST SUB 69 2NDARY VOLT</v>
          </cell>
          <cell r="H218">
            <v>1</v>
          </cell>
          <cell r="Z218">
            <v>0.05</v>
          </cell>
          <cell r="AA218">
            <v>0.95</v>
          </cell>
        </row>
        <row r="219">
          <cell r="A219" t="str">
            <v>1076H6</v>
          </cell>
          <cell r="B219" t="str">
            <v>CUST SUB 69 2NDARY VOLT</v>
          </cell>
          <cell r="H219">
            <v>1</v>
          </cell>
          <cell r="Z219">
            <v>0.05</v>
          </cell>
          <cell r="AA219">
            <v>0.95</v>
          </cell>
        </row>
        <row r="220">
          <cell r="A220" t="str">
            <v>1076I1</v>
          </cell>
          <cell r="B220" t="str">
            <v>CUST SUB 34.5 2NDARY VOLT</v>
          </cell>
          <cell r="H220">
            <v>1</v>
          </cell>
          <cell r="Z220">
            <v>0.05</v>
          </cell>
          <cell r="AA220">
            <v>0.95</v>
          </cell>
        </row>
        <row r="221">
          <cell r="A221" t="str">
            <v>1076I2</v>
          </cell>
          <cell r="B221" t="str">
            <v>CUST SUB 34.5 2NDARY VOLT</v>
          </cell>
          <cell r="H221">
            <v>1</v>
          </cell>
          <cell r="Z221">
            <v>0.05</v>
          </cell>
          <cell r="AA221">
            <v>0.95</v>
          </cell>
        </row>
        <row r="222">
          <cell r="A222" t="str">
            <v>1076I3</v>
          </cell>
          <cell r="B222" t="str">
            <v>CUST SUB 34.5 2NDARY VOLT</v>
          </cell>
          <cell r="H222">
            <v>1</v>
          </cell>
          <cell r="Z222">
            <v>0.05</v>
          </cell>
          <cell r="AA222">
            <v>0.95</v>
          </cell>
        </row>
        <row r="223">
          <cell r="A223" t="str">
            <v>1076I4</v>
          </cell>
          <cell r="B223" t="str">
            <v>CUST SUB 34.5 2NDARY VOLT</v>
          </cell>
          <cell r="H223">
            <v>1</v>
          </cell>
          <cell r="Z223">
            <v>0.05</v>
          </cell>
          <cell r="AA223">
            <v>0.95</v>
          </cell>
        </row>
        <row r="224">
          <cell r="A224" t="str">
            <v>1076I5</v>
          </cell>
          <cell r="B224" t="str">
            <v>CUST SUB 34.5 2NDARY VOLT</v>
          </cell>
          <cell r="H224">
            <v>1</v>
          </cell>
          <cell r="Z224">
            <v>0.05</v>
          </cell>
          <cell r="AA224">
            <v>0.95</v>
          </cell>
        </row>
        <row r="225">
          <cell r="A225" t="str">
            <v>1076I6</v>
          </cell>
          <cell r="B225" t="str">
            <v>CUST SUB 34.5 2NDARY VOLT</v>
          </cell>
          <cell r="H225">
            <v>1</v>
          </cell>
          <cell r="Z225">
            <v>0.05</v>
          </cell>
          <cell r="AA225">
            <v>0.95</v>
          </cell>
        </row>
        <row r="226">
          <cell r="A226" t="str">
            <v>1076J1</v>
          </cell>
          <cell r="B226" t="str">
            <v>CUST SUB &lt; 34.5 2NDARY VOLT</v>
          </cell>
          <cell r="H226">
            <v>1</v>
          </cell>
          <cell r="Z226">
            <v>0.05</v>
          </cell>
          <cell r="AA226">
            <v>0.95</v>
          </cell>
        </row>
        <row r="227">
          <cell r="A227" t="str">
            <v>1076J2</v>
          </cell>
          <cell r="B227" t="str">
            <v>CUST SUB &lt; 34.5 2NDARY VOLT</v>
          </cell>
          <cell r="H227">
            <v>1</v>
          </cell>
          <cell r="Z227">
            <v>0.05</v>
          </cell>
          <cell r="AA227">
            <v>0.95</v>
          </cell>
        </row>
        <row r="228">
          <cell r="A228" t="str">
            <v>1076J3</v>
          </cell>
          <cell r="B228" t="str">
            <v>CUST SUB &lt; 34.5 2NDARY VOLT</v>
          </cell>
          <cell r="H228">
            <v>1</v>
          </cell>
          <cell r="Z228">
            <v>0.05</v>
          </cell>
          <cell r="AA228">
            <v>0.95</v>
          </cell>
        </row>
        <row r="229">
          <cell r="A229" t="str">
            <v>1076J4</v>
          </cell>
          <cell r="B229" t="str">
            <v>CUST SUB &lt; 34.5 2NDARY VOLT</v>
          </cell>
          <cell r="H229">
            <v>1</v>
          </cell>
          <cell r="Z229">
            <v>0.05</v>
          </cell>
          <cell r="AA229">
            <v>0.95</v>
          </cell>
        </row>
        <row r="230">
          <cell r="A230" t="str">
            <v>1076J5</v>
          </cell>
          <cell r="B230" t="str">
            <v>CUST SUB &lt; 34.5 2NDARY VOLT</v>
          </cell>
          <cell r="H230">
            <v>1</v>
          </cell>
          <cell r="Z230">
            <v>0.05</v>
          </cell>
          <cell r="AA230">
            <v>0.95</v>
          </cell>
        </row>
        <row r="231">
          <cell r="A231" t="str">
            <v>1076J6</v>
          </cell>
          <cell r="B231" t="str">
            <v>CUST SUB &lt; 34.5 2NDARY VOLT</v>
          </cell>
          <cell r="H231">
            <v>1</v>
          </cell>
          <cell r="Z231">
            <v>0.05</v>
          </cell>
          <cell r="AA231">
            <v>0.95</v>
          </cell>
        </row>
        <row r="232">
          <cell r="A232" t="str">
            <v>1076K1</v>
          </cell>
          <cell r="B232" t="str">
            <v>AREA-METER &amp; INSTR TRANS-ELEC</v>
          </cell>
          <cell r="H232">
            <v>1</v>
          </cell>
          <cell r="AB232">
            <v>0.5</v>
          </cell>
          <cell r="AC232">
            <v>0.5</v>
          </cell>
        </row>
        <row r="233">
          <cell r="A233" t="str">
            <v>1076K5</v>
          </cell>
          <cell r="B233" t="str">
            <v>METERS &amp; INST TRANSFORMERS</v>
          </cell>
          <cell r="H233">
            <v>1</v>
          </cell>
          <cell r="AB233">
            <v>0.5</v>
          </cell>
          <cell r="AC233">
            <v>0.5</v>
          </cell>
        </row>
        <row r="234">
          <cell r="A234" t="str">
            <v>1076L1</v>
          </cell>
          <cell r="B234" t="str">
            <v>AREA-TRANS,CAP &amp; VOLT REG</v>
          </cell>
          <cell r="H234">
            <v>1</v>
          </cell>
          <cell r="AB234">
            <v>0.5</v>
          </cell>
          <cell r="AC234">
            <v>0.5</v>
          </cell>
        </row>
        <row r="235">
          <cell r="A235" t="str">
            <v>1076L5</v>
          </cell>
          <cell r="B235" t="str">
            <v>TRANSFORM,CAPACITOR &amp; VOLT REG</v>
          </cell>
          <cell r="H235">
            <v>1</v>
          </cell>
          <cell r="AB235">
            <v>0.5</v>
          </cell>
          <cell r="AC235">
            <v>0.5</v>
          </cell>
        </row>
        <row r="236">
          <cell r="A236" t="str">
            <v>1076M8</v>
          </cell>
          <cell r="B236" t="str">
            <v>BUILDING/IMPROVEMENTS-ELEC</v>
          </cell>
          <cell r="H236">
            <v>1</v>
          </cell>
          <cell r="AL236">
            <v>1</v>
          </cell>
        </row>
        <row r="237">
          <cell r="A237" t="str">
            <v>1076N8</v>
          </cell>
          <cell r="B237" t="str">
            <v>OFFICE FURNITURE &amp; FIXT-ELEC</v>
          </cell>
          <cell r="H237">
            <v>1</v>
          </cell>
          <cell r="AM237">
            <v>1</v>
          </cell>
        </row>
        <row r="238">
          <cell r="A238" t="str">
            <v>1076P8</v>
          </cell>
          <cell r="B238" t="str">
            <v>(PC) EQUIPMENT (391)</v>
          </cell>
          <cell r="H238">
            <v>1</v>
          </cell>
          <cell r="AN238">
            <v>1</v>
          </cell>
        </row>
        <row r="239">
          <cell r="A239" t="str">
            <v>1076R8</v>
          </cell>
          <cell r="B239" t="str">
            <v>OTHER AUTOMOTIVE EQUIPMNT-ELEC</v>
          </cell>
          <cell r="H239">
            <v>1</v>
          </cell>
          <cell r="AO239">
            <v>1</v>
          </cell>
        </row>
        <row r="240">
          <cell r="A240" t="str">
            <v>1076S8</v>
          </cell>
          <cell r="B240" t="str">
            <v>TOOLS &amp; WORK EQUIPMENT-ELEC</v>
          </cell>
          <cell r="H240">
            <v>1</v>
          </cell>
          <cell r="AP240">
            <v>0.7</v>
          </cell>
          <cell r="AQ240">
            <v>0.3</v>
          </cell>
        </row>
        <row r="241">
          <cell r="A241" t="str">
            <v>1076T8</v>
          </cell>
          <cell r="B241" t="str">
            <v>POWER OPERATED EQUIP-ELEC</v>
          </cell>
          <cell r="H241">
            <v>1</v>
          </cell>
          <cell r="AP241">
            <v>0.7</v>
          </cell>
          <cell r="AQ241">
            <v>0.3</v>
          </cell>
        </row>
        <row r="242">
          <cell r="A242" t="str">
            <v>1076U8</v>
          </cell>
          <cell r="B242" t="str">
            <v>COMM FACILITIES &amp; EQUIP - ELEC</v>
          </cell>
          <cell r="H242">
            <v>1</v>
          </cell>
          <cell r="AR242">
            <v>1</v>
          </cell>
        </row>
        <row r="243">
          <cell r="A243" t="str">
            <v>1076V8</v>
          </cell>
          <cell r="B243" t="str">
            <v>OTHER (PROP ACCTS) (398 &amp; 399)</v>
          </cell>
          <cell r="H243">
            <v>1</v>
          </cell>
          <cell r="AM243">
            <v>1</v>
          </cell>
        </row>
      </sheetData>
      <sheetData sheetId="18" refreshError="1"/>
      <sheetData sheetId="19" refreshError="1"/>
      <sheetData sheetId="20" refreshError="1"/>
      <sheetData sheetId="21"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Print"/>
      <sheetName val="Sch A-1"/>
      <sheetName val="Sch A-2"/>
      <sheetName val="Sch A-2.1"/>
      <sheetName val="Sch A-3"/>
      <sheetName val="Sch A-4"/>
      <sheetName val="Sch A-5 RB"/>
      <sheetName val="Sch A-5 Exp"/>
      <sheetName val="WPA - 5a"/>
      <sheetName val="WPA - 5b"/>
      <sheetName val="Sch B-1"/>
      <sheetName val="WPB-1"/>
      <sheetName val="Sch B-2"/>
      <sheetName val="Sch B-2.1"/>
      <sheetName val="Sch B-2.2"/>
      <sheetName val="Sch B-2.3"/>
      <sheetName val="Sch B-2.4"/>
      <sheetName val="Sch B-3"/>
      <sheetName val="Sch B-4"/>
      <sheetName val="Sch B-5"/>
      <sheetName val="WPB-5"/>
      <sheetName val="Sch B-5.1"/>
      <sheetName val="Sch B-6"/>
      <sheetName val="Sch B-7.2a"/>
      <sheetName val="Sch B-7.2b"/>
      <sheetName val="EXH-3"/>
      <sheetName val="EXH-2"/>
      <sheetName val="EXH-1"/>
      <sheetName val="Sch B-8"/>
      <sheetName val="Sch B-8.1"/>
      <sheetName val="WPB-8.1a"/>
      <sheetName val="WPB-8.1b"/>
      <sheetName val="Sch B-9"/>
      <sheetName val="WPB-9a"/>
      <sheetName val="WPB-9b"/>
      <sheetName val="Sch B-9.1"/>
      <sheetName val="Sch B-13"/>
      <sheetName val="WPB-13a"/>
      <sheetName val="WPB-13b"/>
      <sheetName val="WPB-13c"/>
      <sheetName val="Sch B-14"/>
      <sheetName val="WPB - 14"/>
      <sheetName val="Sch C-1"/>
      <sheetName val="Sch C-2"/>
      <sheetName val="Sch C-2.1"/>
      <sheetName val="WPC-2.1"/>
      <sheetName val="Sch C-2.2"/>
      <sheetName val="Sch C-2.3"/>
      <sheetName val="Sch C-2.4"/>
      <sheetName val="Sch C-2.5"/>
      <sheetName val="WPC-2.5a"/>
      <sheetName val="WPC-2.5b"/>
      <sheetName val="Sch C-2.6"/>
      <sheetName val="WPC-2.6"/>
      <sheetName val="C - 2.7"/>
      <sheetName val="WPC - 2.7a"/>
      <sheetName val="WPC - 2.7b"/>
      <sheetName val="Sch C-2.x"/>
      <sheetName val="WPC-2.x"/>
      <sheetName val="Sch C-2.8"/>
      <sheetName val="Sch C-2.9"/>
      <sheetName val="Sch C-2.y"/>
      <sheetName val="C - 2.10"/>
      <sheetName val="WPC - 2.10a"/>
      <sheetName val="WPC - 2.10b"/>
      <sheetName val="Sch C-2.11"/>
      <sheetName val="WPC-2.11"/>
      <sheetName val="Sch C-2.12"/>
      <sheetName val="WPC-2.12a"/>
      <sheetName val="WPC-2.12b"/>
      <sheetName val="Sch C-2.13"/>
      <sheetName val="Sch C-2.14"/>
      <sheetName val="Sch C-2.15"/>
      <sheetName val="Sch C-2.16"/>
      <sheetName val="WPC-2.16"/>
      <sheetName val="Sch C-2.17"/>
      <sheetName val="WPC-2.17"/>
      <sheetName val="Sch C-2.18"/>
      <sheetName val="Sch C-2.19"/>
      <sheetName val="WPC-2.19"/>
      <sheetName val="Sch C-2.20"/>
      <sheetName val="WPC-2.20"/>
      <sheetName val="Sch C-2.21"/>
      <sheetName val="WPC-2.21"/>
      <sheetName val="Sch C-2.22"/>
      <sheetName val="Sch C-2.23"/>
      <sheetName val="Sch C-2.24"/>
      <sheetName val="Sch C-3"/>
      <sheetName val="Sch C-4"/>
      <sheetName val="WPC-4"/>
      <sheetName val="Sch C-5"/>
      <sheetName val="Sch C-5b"/>
      <sheetName val="Sch C-5.1"/>
      <sheetName val="Sch C-5.2"/>
      <sheetName val="Sch C-5.3"/>
      <sheetName val="Sch C-5.4"/>
      <sheetName val="WPC-5.4"/>
      <sheetName val="Sch C-6"/>
      <sheetName val="Sch C-6.1"/>
      <sheetName val="Sch C-6.2"/>
      <sheetName val="Sch C-7"/>
      <sheetName val="Sch C-8"/>
      <sheetName val="WPC - 8"/>
      <sheetName val="Sch C-9"/>
      <sheetName val="Sch C-10"/>
      <sheetName val="WPC - 10"/>
      <sheetName val="Sch C-10.1"/>
      <sheetName val="Sch C-11.1"/>
      <sheetName val="WPC-11.1"/>
      <sheetName val="Sch C-11.2a"/>
      <sheetName val="Sch C-11.2b"/>
      <sheetName val="Sch C-11.2c"/>
      <sheetName val="Sch C-11.2d"/>
      <sheetName val="Sch C-11.2e"/>
      <sheetName val="Sch C-11.2f"/>
      <sheetName val="Sch C-11.2g"/>
      <sheetName val="Sch C-11.2h"/>
      <sheetName val="Sch C-11.3"/>
      <sheetName val="WPC-11.3a"/>
      <sheetName val="WPC-11.3b"/>
      <sheetName val="WPC-11.3c"/>
      <sheetName val="WPC-11.3d"/>
      <sheetName val="Sch C-12"/>
      <sheetName val="WPC-12a"/>
      <sheetName val="WPC-12b"/>
      <sheetName val="Sch C-13a"/>
      <sheetName val="Sch C-13b"/>
      <sheetName val="Sch C-14"/>
      <sheetName val="WPC-14"/>
      <sheetName val="Sch C-16"/>
      <sheetName val="Sch C-17a"/>
      <sheetName val="Sch C-17b"/>
      <sheetName val="Sch C-17c"/>
      <sheetName val="Sch C-17d"/>
      <sheetName val="Sch C-18"/>
      <sheetName val="WPC-18a"/>
      <sheetName val="WPC-18b"/>
      <sheetName val="WPC-18c"/>
      <sheetName val="Sch C-19"/>
      <sheetName val="Sch C-21"/>
      <sheetName val="Sch C-22"/>
      <sheetName val="Sch C-23"/>
      <sheetName val="WPC-23"/>
      <sheetName val="Sch C-25"/>
      <sheetName val="Sch C-26"/>
      <sheetName val="Sch C-29"/>
      <sheetName val="Sch C-31"/>
      <sheetName val="Sch B-5.2 Merged or Acq Prop"/>
      <sheetName val="Sch B-5.3 Leased Prop"/>
      <sheetName val="Sch B-10 Def Charges"/>
      <sheetName val="Sch B-11 PHFFU"/>
      <sheetName val="Sch B-12 Analysis of PHFFU"/>
      <sheetName val="Sch C-5.5 ITC &amp; Job Dev. Cr"/>
      <sheetName val="WPC-6.1 2004"/>
      <sheetName val="WPC-6.1 2003"/>
      <sheetName val="WPC-6.2"/>
      <sheetName val="WPC-8"/>
      <sheetName val="WPC-9"/>
      <sheetName val="Sch 11.4 Recon Est Ovrhd"/>
      <sheetName val="WPC-14a"/>
      <sheetName val="WPC-14b"/>
      <sheetName val="WPC-14c"/>
      <sheetName val="WPC-14d"/>
      <sheetName val="WPC-14e"/>
      <sheetName val="Sch C-15 Major Maint Proj"/>
      <sheetName val="Sch C-24 Legal Exp &amp; Res"/>
      <sheetName val="WPC-25"/>
      <sheetName val="Sch C-27 Fuel Adj Rev &amp; Exp"/>
      <sheetName val="Sch C-28 Fuel Transp Exp"/>
      <sheetName val="Sch C-33 Billing Exper"/>
      <sheetName val="Common"/>
      <sheetName val="Sch C-2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ow r="2">
          <cell r="B2" t="str">
            <v>AmerenIP</v>
          </cell>
        </row>
        <row r="11">
          <cell r="B11" t="str">
            <v>For the Twelve Months Ended December 31,</v>
          </cell>
        </row>
      </sheetData>
      <sheetData sheetId="172"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Print"/>
      <sheetName val="Sch A-1"/>
      <sheetName val="Sch A-2"/>
      <sheetName val="Sch A-2.1"/>
      <sheetName val="Sch A-3"/>
      <sheetName val="Sch A-4"/>
      <sheetName val="Sch A-5 RB"/>
      <sheetName val="Sch A-5 Exp"/>
      <sheetName val="WPA - 5a"/>
      <sheetName val="WPA - 5b"/>
      <sheetName val="Sch B-1"/>
      <sheetName val="WPB-1"/>
      <sheetName val="Sch B-2"/>
      <sheetName val="Sch B-2.1"/>
      <sheetName val="Sch B-2.2"/>
      <sheetName val="Sch B-2.3"/>
      <sheetName val="Sch B-2.4"/>
      <sheetName val="Sch B-3"/>
      <sheetName val="Sch B-4"/>
      <sheetName val="Sch B-5"/>
      <sheetName val="WPB-5"/>
      <sheetName val="Sch B-5.1"/>
      <sheetName val="Sch B-6"/>
      <sheetName val="Sch B-7.2a"/>
      <sheetName val="Sch B-7.2b"/>
      <sheetName val="EXH-3"/>
      <sheetName val="EXH-2"/>
      <sheetName val="EXH-1"/>
      <sheetName val="Sch B-8"/>
      <sheetName val="Sch B-8.1"/>
      <sheetName val="WPB-8.1a"/>
      <sheetName val="WPB-8.1b"/>
      <sheetName val="Sch B-9"/>
      <sheetName val="WPB-9a"/>
      <sheetName val="WPB-9b"/>
      <sheetName val="Sch B-9.1"/>
      <sheetName val="Sch B-13"/>
      <sheetName val="WPB-13a"/>
      <sheetName val="WPB-13b"/>
      <sheetName val="WPB-13c"/>
      <sheetName val="Sch B-14"/>
      <sheetName val="WPB - 14"/>
      <sheetName val="Sch C-1"/>
      <sheetName val="Sch C-2"/>
      <sheetName val="Sch C-2.1"/>
      <sheetName val="WPC-2.1"/>
      <sheetName val="Sch C-2.2"/>
      <sheetName val="Sch C-2.3"/>
      <sheetName val="Sch C-2.4"/>
      <sheetName val="Sch C-2.5"/>
      <sheetName val="WPC-2.5a"/>
      <sheetName val="WPC-2.5b"/>
      <sheetName val="Sch C-2.6"/>
      <sheetName val="WPC-2.6"/>
      <sheetName val="C - 2.7"/>
      <sheetName val="WPC - 2.7a"/>
      <sheetName val="WPC - 2.7b"/>
      <sheetName val="Sch C-2.x"/>
      <sheetName val="WPC-2.x"/>
      <sheetName val="Sch C-2.8"/>
      <sheetName val="Sch C-2.9"/>
      <sheetName val="Sch C-2.y"/>
      <sheetName val="C - 2.10"/>
      <sheetName val="WPC - 2.10a"/>
      <sheetName val="WPC - 2.10b"/>
      <sheetName val="Sch C-2.11"/>
      <sheetName val="WPC-2.11"/>
      <sheetName val="Sch C-2.12"/>
      <sheetName val="WPC-2.12a"/>
      <sheetName val="WPC-2.12b"/>
      <sheetName val="Sch C-2.13"/>
      <sheetName val="Sch C-2.14"/>
      <sheetName val="Sch C-2.15"/>
      <sheetName val="Sch C-2.16"/>
      <sheetName val="WPC-2.16"/>
      <sheetName val="Sch C-2.17"/>
      <sheetName val="WPC-2.17"/>
      <sheetName val="Sch C-2.18"/>
      <sheetName val="Sch C-2.19"/>
      <sheetName val="WPC-2.19"/>
      <sheetName val="Sch C-2.20"/>
      <sheetName val="WPC-2.20"/>
      <sheetName val="Sch C-2.21"/>
      <sheetName val="WPC-2.21"/>
      <sheetName val="Sch C-2.22"/>
      <sheetName val="Sch C-2.23"/>
      <sheetName val="Sch C-2.24"/>
      <sheetName val="Sch C-3"/>
      <sheetName val="Sch C-4"/>
      <sheetName val="WPC-4"/>
      <sheetName val="Sch C-5"/>
      <sheetName val="Sch C-5b"/>
      <sheetName val="Sch C-5.1"/>
      <sheetName val="Sch C-5.2"/>
      <sheetName val="Sch C-5.3"/>
      <sheetName val="Sch C-5.4"/>
      <sheetName val="WPC-5.4"/>
      <sheetName val="Sch C-6"/>
      <sheetName val="Sch C-6.1"/>
      <sheetName val="Sch C-6.2"/>
      <sheetName val="Sch C-7"/>
      <sheetName val="Sch C-8"/>
      <sheetName val="WPC - 8"/>
      <sheetName val="Sch C-9"/>
      <sheetName val="Sch C-10"/>
      <sheetName val="WPC - 10"/>
      <sheetName val="Sch C-10.1"/>
      <sheetName val="Sch C-11.1"/>
      <sheetName val="WPC-11.1"/>
      <sheetName val="Sch C-11.2a"/>
      <sheetName val="Sch C-11.2b"/>
      <sheetName val="Sch C-11.2c"/>
      <sheetName val="Sch C-11.2d"/>
      <sheetName val="Sch C-11.2e"/>
      <sheetName val="Sch C-11.2f"/>
      <sheetName val="Sch C-11.2g"/>
      <sheetName val="Sch C-11.2h"/>
      <sheetName val="Sch C-11.3"/>
      <sheetName val="WPC-11.3a"/>
      <sheetName val="WPC-11.3b"/>
      <sheetName val="WPC-11.3c"/>
      <sheetName val="WPC-11.3d"/>
      <sheetName val="Sch C-12"/>
      <sheetName val="WPC-12a"/>
      <sheetName val="WPC-12b"/>
      <sheetName val="Sch C-13a"/>
      <sheetName val="Sch C-13b"/>
      <sheetName val="Sch C-14"/>
      <sheetName val="WPC-14"/>
      <sheetName val="Sch C-16"/>
      <sheetName val="Sch C-17a"/>
      <sheetName val="Sch C-17b"/>
      <sheetName val="Sch C-17c"/>
      <sheetName val="Sch C-17d"/>
      <sheetName val="Sch C-18"/>
      <sheetName val="WPC-18a"/>
      <sheetName val="WPC-18b"/>
      <sheetName val="WPC-18c"/>
      <sheetName val="Sch C-19"/>
      <sheetName val="Sch C-21"/>
      <sheetName val="Sch C-22"/>
      <sheetName val="Sch C-23"/>
      <sheetName val="WPC-23"/>
      <sheetName val="Sch C-25"/>
      <sheetName val="Sch C-26"/>
      <sheetName val="Sch C-29"/>
      <sheetName val="Sch C-31"/>
      <sheetName val="Sch B-5.2 Merged or Acq Prop"/>
      <sheetName val="Sch B-5.3 Leased Prop"/>
      <sheetName val="Sch B-10 Def Charges"/>
      <sheetName val="Sch B-11 PHFFU"/>
      <sheetName val="Sch B-12 Analysis of PHFFU"/>
      <sheetName val="Sch C-5.5 ITC &amp; Job Dev. Cr"/>
      <sheetName val="WPC-6.1 2004"/>
      <sheetName val="WPC-6.1 2003"/>
      <sheetName val="WPC-6.2"/>
      <sheetName val="WPC-8"/>
      <sheetName val="WPC-9"/>
      <sheetName val="Sch 11.4 Recon Est Ovrhd"/>
      <sheetName val="WPC-14a"/>
      <sheetName val="WPC-14b"/>
      <sheetName val="WPC-14c"/>
      <sheetName val="WPC-14d"/>
      <sheetName val="WPC-14e"/>
      <sheetName val="Sch C-15 Major Maint Proj"/>
      <sheetName val="Sch C-24 Legal Exp &amp; Res"/>
      <sheetName val="WPC-25"/>
      <sheetName val="Sch C-27 Fuel Adj Rev &amp; Exp"/>
      <sheetName val="Sch C-28 Fuel Transp Exp"/>
      <sheetName val="Sch C-33 Billing Exper"/>
      <sheetName val="Common"/>
      <sheetName val="Sch C-2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ow r="2">
          <cell r="B2" t="str">
            <v>AmerenIP</v>
          </cell>
        </row>
        <row r="11">
          <cell r="B11" t="str">
            <v>For the Twelve Months Ended December 31,</v>
          </cell>
        </row>
      </sheetData>
      <sheetData sheetId="17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Print"/>
      <sheetName val="A - 2"/>
      <sheetName val="A - 1"/>
      <sheetName val="A - 2.1"/>
      <sheetName val="A - 3"/>
      <sheetName val="A - 4"/>
      <sheetName val="A - 5a"/>
      <sheetName val="A - 5b"/>
      <sheetName val="WPA - 5"/>
      <sheetName val="DefResp-3a"/>
      <sheetName val="WPA - 5a"/>
      <sheetName val="DefResp-3b"/>
      <sheetName val="B - 1"/>
      <sheetName val="WPB - 1"/>
      <sheetName val="B - 2"/>
      <sheetName val="B - 2.1"/>
      <sheetName val="WPB - 2.1a"/>
      <sheetName val="WPB - 2.1b"/>
      <sheetName val="WPB - 2.1c"/>
      <sheetName val="WPB - 2.1d"/>
      <sheetName val="WPB - 2.1e"/>
      <sheetName val="B - 3"/>
      <sheetName val="B - 4"/>
      <sheetName val="WPB - 4"/>
      <sheetName val="B - 5"/>
      <sheetName val="WPB - 5"/>
      <sheetName val="B - 6a"/>
      <sheetName val="B - 6b"/>
      <sheetName val="B - 7.2a"/>
      <sheetName val="B - 7.2b"/>
      <sheetName val="B - 8"/>
      <sheetName val="CWC"/>
      <sheetName val="B - 8.1"/>
      <sheetName val="WPB-8.1asub"/>
      <sheetName val="WPB - 8.1a"/>
      <sheetName val="WPB - 8.1b"/>
      <sheetName val="WPB - 8.1c"/>
      <sheetName val="B - 9"/>
      <sheetName val="B-9sub"/>
      <sheetName val="WPB - 9a"/>
      <sheetName val="WPB - 9b"/>
      <sheetName val="B - 9.1"/>
      <sheetName val="B - 13"/>
      <sheetName val="WPB - 13"/>
      <sheetName val="B - 14"/>
      <sheetName val="WPB - 14"/>
      <sheetName val="C - 1"/>
      <sheetName val="C - 2"/>
      <sheetName val="C - 2 sub"/>
      <sheetName val="C - 2.1"/>
      <sheetName val="WPC - 2.1"/>
      <sheetName val="C - 2.2"/>
      <sheetName val="C - 2.3"/>
      <sheetName val="WPC - 2.3a"/>
      <sheetName val="WPC - 2.3b"/>
      <sheetName val="C - 2.4"/>
      <sheetName val="WPC - 2.4"/>
      <sheetName val="C - 2.5"/>
      <sheetName val="WPC - 2.5"/>
      <sheetName val="C - 2.6"/>
      <sheetName val="WPC - 2.6a"/>
      <sheetName val="C - 2.6 NOT USED"/>
      <sheetName val="WPC - 2.6a NOT USED"/>
      <sheetName val="WPC - 2.6b"/>
      <sheetName val="C - 2.7"/>
      <sheetName val="WPC - 2.7"/>
      <sheetName val="WPC - 2.7a"/>
      <sheetName val="WPC - 2.7b"/>
      <sheetName val="WPC - 2.7c"/>
      <sheetName val="WPC - 2.7d"/>
      <sheetName val="WPC - 2.7e"/>
      <sheetName val="C - 2.8"/>
      <sheetName val="C - 2.9"/>
      <sheetName val="C - 2.10"/>
      <sheetName val="C - 2.11"/>
      <sheetName val="WPC - 2.11"/>
      <sheetName val="C - 2.12"/>
      <sheetName val="WPC - 2.12"/>
      <sheetName val="C - 2.13"/>
      <sheetName val="C - 2.14"/>
      <sheetName val="WPC - 2.14"/>
      <sheetName val="C - 2.15"/>
      <sheetName val="WPC - 2.15a"/>
      <sheetName val="WPC - 2.15b"/>
      <sheetName val="C - 2.16"/>
      <sheetName val="C - 3"/>
      <sheetName val="C - 4"/>
      <sheetName val="WPC - 4"/>
      <sheetName val="WPC - 4dup"/>
      <sheetName val="C - 5"/>
      <sheetName val="C - 5b"/>
      <sheetName val="C - 5.1"/>
      <sheetName val="C - 5.2"/>
      <sheetName val="C - 5.3"/>
      <sheetName val="C - 5.4"/>
      <sheetName val="WPC - 5.4"/>
      <sheetName val="C - 5.5"/>
      <sheetName val="C - 6"/>
      <sheetName val="C - 6.1"/>
      <sheetName val="C - 6.2"/>
      <sheetName val="C - 7"/>
      <sheetName val="C - 8"/>
      <sheetName val="WPC - 8"/>
      <sheetName val="C - 9"/>
      <sheetName val="C - 10"/>
      <sheetName val="WPC - 10"/>
      <sheetName val="C - 10.1"/>
      <sheetName val="C - 11.1"/>
      <sheetName val="WPC - 11.1"/>
      <sheetName val="C - 11.2a"/>
      <sheetName val="C - 11.2b"/>
      <sheetName val="C - 11.2c"/>
      <sheetName val="C - 11.2d"/>
      <sheetName val="C - 11.2e"/>
      <sheetName val="C - 11.2f"/>
      <sheetName val="C - 11.2g"/>
      <sheetName val="C - 11.2h"/>
      <sheetName val="C - 11.3"/>
      <sheetName val="WPC - 11.3a"/>
      <sheetName val="WPC - 11.3b"/>
      <sheetName val="WPC - 11.3c"/>
      <sheetName val="WPC - 11.3d"/>
      <sheetName val="C - 12"/>
      <sheetName val="WPC - 12"/>
      <sheetName val="C - 13a"/>
      <sheetName val="C - 13b"/>
      <sheetName val="C - 14"/>
      <sheetName val="WPC - 14"/>
      <sheetName val="C - 16"/>
      <sheetName val="WPC - 16"/>
      <sheetName val="C - 17a"/>
      <sheetName val="C - 17b"/>
      <sheetName val="C - 17c"/>
      <sheetName val="C - 17d"/>
      <sheetName val="C - 18"/>
      <sheetName val="WPC-18a"/>
      <sheetName val="WPC-18b"/>
      <sheetName val="WPC - 18b"/>
      <sheetName val="C - 19"/>
      <sheetName val="C - 21"/>
      <sheetName val="C - 23"/>
      <sheetName val="WPC - 23"/>
      <sheetName val="C - 25"/>
      <sheetName val="Schedule C-30"/>
      <sheetName val="WPC-30a"/>
      <sheetName val="WPC-30b"/>
      <sheetName val="WPC-30c"/>
      <sheetName val="WPC-30d"/>
      <sheetName val="WPC-30e"/>
      <sheetName val="C - 31"/>
      <sheetName val="B-9"/>
      <sheetName val="B-9 Sub"/>
      <sheetName val="WPB - 13a"/>
      <sheetName val="WPB - 13b"/>
      <sheetName val="WPB - 13c"/>
      <sheetName val="C-11.2a"/>
      <sheetName val="WPC-11.2a"/>
      <sheetName val="C-11.2b"/>
      <sheetName val="C-11.2c"/>
      <sheetName val="C-11.2d"/>
      <sheetName val="C-11.2e"/>
      <sheetName val="C-11.2f"/>
      <sheetName val="C-11.2g"/>
      <sheetName val="C-11.2h"/>
    </sheetNames>
    <sheetDataSet>
      <sheetData sheetId="0" refreshError="1">
        <row r="154">
          <cell r="C154" t="str">
            <v>AmerenCILCO</v>
          </cell>
        </row>
        <row r="156">
          <cell r="C156" t="str">
            <v>As of December 31,</v>
          </cell>
        </row>
        <row r="158">
          <cell r="C158" t="str">
            <v>For the Twelve Months Ended December 31,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Sch A-1"/>
      <sheetName val="Sch A-2"/>
      <sheetName val="Sch A-2.1"/>
      <sheetName val="Sch A-3"/>
      <sheetName val="Sch A-4"/>
      <sheetName val="Sch A-5a"/>
      <sheetName val="Sch A-5b"/>
      <sheetName val="WPA-5a"/>
      <sheetName val="WPA-5b"/>
      <sheetName val="Sch B-1"/>
      <sheetName val="WPB-1"/>
      <sheetName val="Sch B-2"/>
      <sheetName val="Sch B-2.1"/>
      <sheetName val="Sch B-2.2"/>
      <sheetName val="WPB-2.2"/>
      <sheetName val="Sch B-2.3"/>
      <sheetName val="Sch B-3"/>
      <sheetName val="Sch B-4"/>
      <sheetName val="Sch B-5"/>
      <sheetName val="WPB-5"/>
      <sheetName val="Sch B-5.1"/>
      <sheetName val="Sch B-6a"/>
      <sheetName val="Sch B-6b"/>
      <sheetName val="Sch B-7.2a"/>
      <sheetName val="Sch B-7.2b"/>
      <sheetName val="Sch B-8"/>
      <sheetName val="Sch B-8.1"/>
      <sheetName val="WPB-8.1a"/>
      <sheetName val="WPB-8.1b"/>
      <sheetName val="Sch B-9"/>
      <sheetName val="WPB-9a"/>
      <sheetName val="WPB-9b"/>
      <sheetName val="Sch B-9.1"/>
      <sheetName val="Sch B-9.1 - Last filing"/>
      <sheetName val="Sch B-13"/>
      <sheetName val="WPB-13a"/>
      <sheetName val="WPB-13b"/>
      <sheetName val="Sch B-14"/>
      <sheetName val="WPB-14"/>
      <sheetName val="Sch C-1"/>
      <sheetName val="Sch C-2"/>
      <sheetName val="Sch C-2.1"/>
      <sheetName val="WPC-2.1"/>
      <sheetName val="Sch C-2.2"/>
      <sheetName val="Sch C-2.3"/>
      <sheetName val="WPC-2.3a"/>
      <sheetName val="WPC-2.3b"/>
      <sheetName val="Sch C-2.4"/>
      <sheetName val="WPC-2.4"/>
      <sheetName val="Sch C-2.5"/>
      <sheetName val="WPC-2.5a"/>
      <sheetName val="WPC-2.5b"/>
      <sheetName val="Sch C-2.6"/>
      <sheetName val="WPC-2.6"/>
      <sheetName val="Sch C-2.7"/>
      <sheetName val="WPC - 2.7"/>
      <sheetName val="Sch C-2.8"/>
      <sheetName val="WPC - 2.8"/>
      <sheetName val="Sch C-2.9"/>
      <sheetName val="Sch C-2.10"/>
      <sheetName val="Sch C-2.11"/>
      <sheetName val="WPC - 2.11"/>
      <sheetName val="Sch C-2.12"/>
      <sheetName val="Sch C-2.13"/>
      <sheetName val="WPC-2.13"/>
      <sheetName val="Sch C-2.14"/>
      <sheetName val="WPC-2.14"/>
      <sheetName val="Sch C-2.15"/>
      <sheetName val="WPC-2.15a"/>
      <sheetName val="WPC-2.15b"/>
      <sheetName val="Sch C-2.16"/>
      <sheetName val="Sch C-2.17"/>
      <sheetName val="Sch C-2.18"/>
      <sheetName val="WPC-2.18a"/>
      <sheetName val="WPC-2.18b"/>
      <sheetName val="Sch C-2.19"/>
      <sheetName val="WPC-2.19"/>
      <sheetName val="Sch C-2.20"/>
      <sheetName val="Sch C-3"/>
      <sheetName val="Sch C-4"/>
      <sheetName val="WPC-4"/>
      <sheetName val="Sch C-5"/>
      <sheetName val="Sch C-5b"/>
      <sheetName val="Sch C-5.1"/>
      <sheetName val="Sch C-5.2"/>
      <sheetName val="Sch C-5.3"/>
      <sheetName val="Sch C-5.4"/>
      <sheetName val="WPC-5.4"/>
      <sheetName val="Sch C-6"/>
      <sheetName val="Sch C-6.1"/>
      <sheetName val="Sch C-6.2"/>
      <sheetName val="Sch C-7"/>
      <sheetName val="Sch C-8"/>
      <sheetName val="WPC-8"/>
      <sheetName val="Sch C-9"/>
      <sheetName val="Sch C-10"/>
      <sheetName val="WPC-10"/>
      <sheetName val="Sch C-10.1"/>
      <sheetName val="Sch C-11.1"/>
      <sheetName val="WPC-11.1"/>
      <sheetName val="Sch C-11.2a"/>
      <sheetName val="Sch C-11.2b"/>
      <sheetName val="Sch C-11.2c"/>
      <sheetName val="Sch C-11.2d"/>
      <sheetName val="Sch C-11.2e"/>
      <sheetName val="Sch C-11.2f"/>
      <sheetName val="Sch C-11.2g"/>
      <sheetName val="Sch C-11.2h"/>
      <sheetName val="Sch C-11.3"/>
      <sheetName val="WPC-11.3a"/>
      <sheetName val="WPC-11.3b"/>
      <sheetName val="WPC-11.3c"/>
      <sheetName val="WPC-11.3d"/>
      <sheetName val="Sch C-12"/>
      <sheetName val="WPC-12a"/>
      <sheetName val="WPC-12b"/>
      <sheetName val="Sch C-13a"/>
      <sheetName val="Sch C-13b"/>
      <sheetName val="Sch C-14"/>
      <sheetName val="WPC-14"/>
      <sheetName val="Sch C-16"/>
      <sheetName val="Sch C-17 - 2004"/>
      <sheetName val="Sch C-17 - 2003"/>
      <sheetName val="Sch C-17a"/>
      <sheetName val="Sch C-17b"/>
      <sheetName val="Sch C-17c"/>
      <sheetName val="Sch C-17d"/>
      <sheetName val="Sch C-18"/>
      <sheetName val="WPC-18a"/>
      <sheetName val="WPC-18b"/>
      <sheetName val="WPC-18c"/>
      <sheetName val="WPC-18"/>
      <sheetName val="WPC-18d - old"/>
      <sheetName val="WPC-18d"/>
      <sheetName val="Sch C-19"/>
      <sheetName val="Sch C-21"/>
      <sheetName val="Sch C-22"/>
      <sheetName val="Sch C-23"/>
      <sheetName val="WPC-23"/>
      <sheetName val="Sch C-25"/>
      <sheetName val="Sch C-26"/>
      <sheetName val="Comm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ow r="5">
          <cell r="B5" t="str">
            <v>As of December 31, 2006 ($000)</v>
          </cell>
        </row>
        <row r="7">
          <cell r="B7" t="str">
            <v>As of December 31,</v>
          </cell>
        </row>
        <row r="9">
          <cell r="B9" t="str">
            <v>For the Twelve Months Ended December 31, 2006 ($000)</v>
          </cell>
        </row>
      </sheetData>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ecific Allocated Examples"/>
      <sheetName val="Specific Examples"/>
      <sheetName val="Generation Example"/>
      <sheetName val="Summary"/>
      <sheetName val="By Factor"/>
      <sheetName val="By Category"/>
      <sheetName val="Pivot"/>
      <sheetName val="PA12633200612"/>
      <sheetName val="Allocation Factor Categories"/>
      <sheetName val="Allocation Factors"/>
      <sheetName val="IL-A&amp;G SR Pivot"/>
      <sheetName val="Pivot total A&amp;G Charges"/>
      <sheetName val="AMS-A&amp;GChargesByTarget"/>
      <sheetName val="Sheet1"/>
      <sheetName val="Allocated to AUIs"/>
    </sheetNames>
    <sheetDataSet>
      <sheetData sheetId="0" refreshError="1"/>
      <sheetData sheetId="1"/>
      <sheetData sheetId="2"/>
      <sheetData sheetId="3"/>
      <sheetData sheetId="4"/>
      <sheetData sheetId="5">
        <row r="2">
          <cell r="A2" t="str">
            <v>001A</v>
          </cell>
        </row>
      </sheetData>
      <sheetData sheetId="6">
        <row r="8">
          <cell r="A8" t="str">
            <v>ADC</v>
          </cell>
        </row>
      </sheetData>
      <sheetData sheetId="7"/>
      <sheetData sheetId="8">
        <row r="2">
          <cell r="A2" t="str">
            <v>001A</v>
          </cell>
          <cell r="B2" t="str">
            <v>Electric/Gas Composite (T&amp;D &amp; Interchange MO/IL) *</v>
          </cell>
          <cell r="C2" t="str">
            <v>N</v>
          </cell>
          <cell r="D2" t="str">
            <v>N</v>
          </cell>
          <cell r="E2" t="str">
            <v>N</v>
          </cell>
        </row>
        <row r="3">
          <cell r="A3" t="str">
            <v>001D</v>
          </cell>
          <cell r="B3" t="str">
            <v>Illinois Gas Composite (T&amp;D &amp; Interchange Sales &amp; T&amp;D customers)**</v>
          </cell>
          <cell r="C3" t="str">
            <v>Y</v>
          </cell>
          <cell r="D3" t="str">
            <v>N</v>
          </cell>
          <cell r="E3" t="str">
            <v>N</v>
          </cell>
        </row>
        <row r="4">
          <cell r="A4" t="str">
            <v>001G</v>
          </cell>
          <cell r="B4" t="str">
            <v>UEC/CIP Composite (Electric/Gas T&amp;D MO/IL)*</v>
          </cell>
          <cell r="C4" t="str">
            <v>Y</v>
          </cell>
          <cell r="D4" t="str">
            <v>N</v>
          </cell>
          <cell r="E4" t="str">
            <v>N</v>
          </cell>
        </row>
        <row r="5">
          <cell r="A5" t="str">
            <v>002A</v>
          </cell>
          <cell r="B5" t="str">
            <v># of Customers(T&amp;D &amp; Interchange Electric/Gas in MO/IL)^^^</v>
          </cell>
          <cell r="C5" t="str">
            <v>Y</v>
          </cell>
          <cell r="D5" t="str">
            <v>N</v>
          </cell>
          <cell r="E5" t="str">
            <v>N</v>
          </cell>
        </row>
        <row r="6">
          <cell r="A6" t="str">
            <v>002D</v>
          </cell>
          <cell r="B6" t="str">
            <v># of Gas Customers (T&amp;D in MO/IL)</v>
          </cell>
          <cell r="C6" t="str">
            <v>Y</v>
          </cell>
          <cell r="D6" t="str">
            <v>N</v>
          </cell>
          <cell r="E6" t="str">
            <v>N</v>
          </cell>
        </row>
        <row r="7">
          <cell r="A7" t="str">
            <v>002F</v>
          </cell>
          <cell r="B7" t="str">
            <v># of Customers (T&amp;D Illinois non-residential electric)</v>
          </cell>
          <cell r="C7" t="str">
            <v>N</v>
          </cell>
          <cell r="D7" t="str">
            <v>Y</v>
          </cell>
          <cell r="E7" t="str">
            <v>N</v>
          </cell>
        </row>
        <row r="8">
          <cell r="A8" t="str">
            <v>002I</v>
          </cell>
          <cell r="B8" t="str">
            <v># of Customers (T&amp;D Electric/Gas Illinois)^^^</v>
          </cell>
          <cell r="C8" t="str">
            <v>N</v>
          </cell>
          <cell r="D8" t="str">
            <v>Y</v>
          </cell>
          <cell r="E8" t="str">
            <v>N</v>
          </cell>
        </row>
        <row r="9">
          <cell r="A9" t="str">
            <v>002K</v>
          </cell>
          <cell r="B9" t="str">
            <v># Electric Distribution Customers (MO/IL)</v>
          </cell>
          <cell r="C9" t="str">
            <v>Y</v>
          </cell>
          <cell r="D9" t="str">
            <v>N</v>
          </cell>
          <cell r="E9" t="str">
            <v>N</v>
          </cell>
        </row>
        <row r="10">
          <cell r="A10" t="str">
            <v>002L</v>
          </cell>
          <cell r="B10" t="str">
            <v># Electric/Gas Distribution Customers (MO/IL)</v>
          </cell>
          <cell r="C10" t="str">
            <v>N</v>
          </cell>
          <cell r="D10" t="str">
            <v>N</v>
          </cell>
          <cell r="E10" t="str">
            <v>N</v>
          </cell>
        </row>
        <row r="11">
          <cell r="A11" t="str">
            <v>002M</v>
          </cell>
          <cell r="B11" t="str">
            <v># Electric/Gas Distribution Customers (IL)</v>
          </cell>
          <cell r="C11" t="str">
            <v>N</v>
          </cell>
          <cell r="D11" t="str">
            <v>Y</v>
          </cell>
          <cell r="E11" t="str">
            <v>N</v>
          </cell>
        </row>
        <row r="12">
          <cell r="A12" t="str">
            <v>002O</v>
          </cell>
          <cell r="B12" t="str">
            <v># Electric Distribution Customers (IL)</v>
          </cell>
          <cell r="C12" t="str">
            <v>N</v>
          </cell>
          <cell r="D12" t="str">
            <v>Y</v>
          </cell>
          <cell r="E12" t="str">
            <v>N</v>
          </cell>
        </row>
        <row r="13">
          <cell r="A13" t="str">
            <v>002P</v>
          </cell>
          <cell r="B13" t="str">
            <v># Gas Distribution Customers (IL)</v>
          </cell>
          <cell r="C13" t="str">
            <v>N</v>
          </cell>
          <cell r="D13" t="str">
            <v>Y</v>
          </cell>
          <cell r="E13" t="str">
            <v>N</v>
          </cell>
        </row>
        <row r="14">
          <cell r="A14" t="str">
            <v>003A</v>
          </cell>
          <cell r="B14" t="str">
            <v>Electric/Gas Sales (T&amp;D and Interchange in MO/IL)</v>
          </cell>
          <cell r="C14" t="str">
            <v>N</v>
          </cell>
          <cell r="D14" t="str">
            <v>N</v>
          </cell>
          <cell r="E14" t="str">
            <v>N</v>
          </cell>
        </row>
        <row r="15">
          <cell r="A15" t="str">
            <v>003B</v>
          </cell>
          <cell r="B15" t="str">
            <v>Electric Sales (T&amp;D and Interchange in MO/IL)</v>
          </cell>
          <cell r="C15" t="str">
            <v>N</v>
          </cell>
          <cell r="D15" t="str">
            <v>N</v>
          </cell>
          <cell r="E15" t="str">
            <v>N</v>
          </cell>
        </row>
        <row r="16">
          <cell r="A16" t="str">
            <v>004A</v>
          </cell>
          <cell r="B16" t="str">
            <v># of Employees (Mgmt &amp; Contract)</v>
          </cell>
          <cell r="C16" t="str">
            <v>N</v>
          </cell>
          <cell r="D16" t="str">
            <v>N</v>
          </cell>
          <cell r="E16" t="str">
            <v>N</v>
          </cell>
        </row>
        <row r="17">
          <cell r="A17" t="str">
            <v>004B</v>
          </cell>
          <cell r="B17" t="str">
            <v># of Contract Employees</v>
          </cell>
          <cell r="C17" t="str">
            <v>N</v>
          </cell>
          <cell r="D17" t="str">
            <v>N</v>
          </cell>
          <cell r="E17" t="str">
            <v>N</v>
          </cell>
        </row>
        <row r="18">
          <cell r="A18" t="str">
            <v>004C</v>
          </cell>
          <cell r="B18" t="str">
            <v># of Non-Contract Employees</v>
          </cell>
          <cell r="C18" t="str">
            <v>N</v>
          </cell>
          <cell r="D18" t="str">
            <v>N</v>
          </cell>
          <cell r="E18" t="str">
            <v>N</v>
          </cell>
        </row>
        <row r="19">
          <cell r="A19" t="str">
            <v>004F</v>
          </cell>
          <cell r="B19" t="str">
            <v># UEC/CIP Employees (Mgmt &amp; Contract)</v>
          </cell>
          <cell r="C19" t="str">
            <v>Y</v>
          </cell>
          <cell r="D19" t="str">
            <v>N</v>
          </cell>
          <cell r="E19" t="str">
            <v>N</v>
          </cell>
        </row>
        <row r="20">
          <cell r="A20" t="str">
            <v>004O</v>
          </cell>
          <cell r="B20" t="str">
            <v>Number of Employees (Management &amp; Contract (Excluding AME &amp; GMC)</v>
          </cell>
          <cell r="C20" t="str">
            <v>N</v>
          </cell>
          <cell r="D20" t="str">
            <v>N</v>
          </cell>
          <cell r="E20" t="str">
            <v>N</v>
          </cell>
        </row>
        <row r="21">
          <cell r="A21" t="str">
            <v>004P</v>
          </cell>
          <cell r="B21" t="str">
            <v>Number of Energy Delivery Employees</v>
          </cell>
          <cell r="C21" t="str">
            <v>Y</v>
          </cell>
          <cell r="D21" t="str">
            <v>N</v>
          </cell>
          <cell r="E21" t="str">
            <v>N</v>
          </cell>
        </row>
        <row r="22">
          <cell r="A22" t="str">
            <v>007A</v>
          </cell>
          <cell r="B22" t="str">
            <v>Total Capitalization</v>
          </cell>
          <cell r="C22" t="str">
            <v>N</v>
          </cell>
          <cell r="D22" t="str">
            <v>N</v>
          </cell>
          <cell r="E22" t="str">
            <v>N</v>
          </cell>
        </row>
        <row r="23">
          <cell r="A23" t="str">
            <v>008A</v>
          </cell>
          <cell r="B23" t="str">
            <v>Total Assets</v>
          </cell>
          <cell r="C23" t="str">
            <v>N</v>
          </cell>
          <cell r="D23" t="str">
            <v>N</v>
          </cell>
          <cell r="E23" t="str">
            <v>N</v>
          </cell>
        </row>
        <row r="24">
          <cell r="A24" t="str">
            <v>008C</v>
          </cell>
          <cell r="B24" t="str">
            <v>Net Plant Assets</v>
          </cell>
          <cell r="C24" t="str">
            <v>N</v>
          </cell>
          <cell r="D24" t="str">
            <v>N</v>
          </cell>
          <cell r="E24" t="str">
            <v>N</v>
          </cell>
        </row>
        <row r="25">
          <cell r="A25" t="str">
            <v>010A</v>
          </cell>
          <cell r="B25" t="str">
            <v>Peak Load (Electric)</v>
          </cell>
          <cell r="C25" t="str">
            <v>Y</v>
          </cell>
          <cell r="D25" t="str">
            <v>N</v>
          </cell>
          <cell r="E25" t="str">
            <v>N</v>
          </cell>
        </row>
        <row r="26">
          <cell r="A26" t="str">
            <v>010B</v>
          </cell>
          <cell r="B26" t="str">
            <v>Peak Load (Gas)</v>
          </cell>
          <cell r="C26" t="str">
            <v>N</v>
          </cell>
          <cell r="D26" t="str">
            <v>N</v>
          </cell>
          <cell r="E26" t="str">
            <v>N</v>
          </cell>
        </row>
        <row r="27">
          <cell r="A27" t="str">
            <v>011A</v>
          </cell>
          <cell r="B27" t="str">
            <v>Generating Capacity (All Plants)</v>
          </cell>
          <cell r="C27" t="str">
            <v>N</v>
          </cell>
          <cell r="D27" t="str">
            <v>N</v>
          </cell>
          <cell r="E27" t="str">
            <v>Y</v>
          </cell>
        </row>
        <row r="28">
          <cell r="A28" t="str">
            <v>011B</v>
          </cell>
          <cell r="B28" t="str">
            <v>Generating Capacity (Fossil)</v>
          </cell>
          <cell r="C28" t="str">
            <v>N</v>
          </cell>
          <cell r="D28" t="str">
            <v>N</v>
          </cell>
          <cell r="E28" t="str">
            <v>Y</v>
          </cell>
        </row>
        <row r="29">
          <cell r="A29" t="str">
            <v>011C</v>
          </cell>
          <cell r="B29" t="str">
            <v>Generating Capacity Nameplate (Including Not in Service)</v>
          </cell>
          <cell r="C29" t="str">
            <v>N</v>
          </cell>
          <cell r="D29" t="str">
            <v>N</v>
          </cell>
          <cell r="E29" t="str">
            <v>Y</v>
          </cell>
        </row>
        <row r="30">
          <cell r="A30" t="str">
            <v>011D</v>
          </cell>
          <cell r="B30" t="e">
            <v>#N/A</v>
          </cell>
          <cell r="C30" t="str">
            <v>N</v>
          </cell>
          <cell r="D30" t="str">
            <v>N</v>
          </cell>
          <cell r="E30" t="str">
            <v>Y</v>
          </cell>
        </row>
        <row r="31">
          <cell r="A31" t="str">
            <v>012A</v>
          </cell>
          <cell r="B31" t="str">
            <v>Gas Throughput (Incl. Transp.)</v>
          </cell>
          <cell r="C31" t="str">
            <v>N</v>
          </cell>
          <cell r="D31" t="str">
            <v>N</v>
          </cell>
          <cell r="E31" t="str">
            <v>N</v>
          </cell>
        </row>
        <row r="32">
          <cell r="A32" t="str">
            <v>012B</v>
          </cell>
          <cell r="B32" t="str">
            <v>Total Electric Net Output</v>
          </cell>
          <cell r="C32" t="str">
            <v>N</v>
          </cell>
          <cell r="D32" t="str">
            <v>N</v>
          </cell>
          <cell r="E32" t="str">
            <v>N</v>
          </cell>
        </row>
        <row r="33">
          <cell r="A33" t="str">
            <v>012D</v>
          </cell>
          <cell r="B33" t="str">
            <v>Electric Net Generation</v>
          </cell>
          <cell r="C33" t="str">
            <v>N</v>
          </cell>
          <cell r="D33" t="str">
            <v>N</v>
          </cell>
          <cell r="E33" t="str">
            <v>Y</v>
          </cell>
        </row>
        <row r="34">
          <cell r="A34" t="str">
            <v>015A</v>
          </cell>
          <cell r="B34" t="str">
            <v>Current Tax Expense</v>
          </cell>
          <cell r="C34" t="str">
            <v>N</v>
          </cell>
          <cell r="D34" t="str">
            <v>N</v>
          </cell>
          <cell r="E34" t="str">
            <v>N</v>
          </cell>
        </row>
        <row r="35">
          <cell r="A35" t="str">
            <v>016A</v>
          </cell>
          <cell r="B35" t="str">
            <v># of Vehicles</v>
          </cell>
          <cell r="C35" t="str">
            <v>N</v>
          </cell>
          <cell r="D35" t="str">
            <v>N</v>
          </cell>
          <cell r="E35" t="str">
            <v>N</v>
          </cell>
        </row>
        <row r="36">
          <cell r="A36" t="str">
            <v>017A</v>
          </cell>
          <cell r="B36" t="str">
            <v># of General Ledger Transactions</v>
          </cell>
          <cell r="C36" t="str">
            <v>N</v>
          </cell>
          <cell r="D36" t="str">
            <v>N</v>
          </cell>
          <cell r="E36" t="str">
            <v>N</v>
          </cell>
        </row>
        <row r="37">
          <cell r="A37" t="str">
            <v>017B</v>
          </cell>
          <cell r="B37" t="str">
            <v># of Accounts Payable Vouchers</v>
          </cell>
          <cell r="C37" t="str">
            <v>N</v>
          </cell>
          <cell r="D37" t="str">
            <v>N</v>
          </cell>
          <cell r="E37" t="str">
            <v>N</v>
          </cell>
        </row>
        <row r="38">
          <cell r="A38" t="str">
            <v>017C</v>
          </cell>
          <cell r="B38" t="str">
            <v># Projects (Active &amp; Closed) All Projects</v>
          </cell>
          <cell r="C38" t="str">
            <v>N</v>
          </cell>
          <cell r="D38" t="str">
            <v>N</v>
          </cell>
          <cell r="E38" t="str">
            <v>N</v>
          </cell>
        </row>
        <row r="39">
          <cell r="A39" t="str">
            <v>018A</v>
          </cell>
          <cell r="B39" t="str">
            <v>$ Purchases</v>
          </cell>
          <cell r="C39" t="str">
            <v>N</v>
          </cell>
          <cell r="D39" t="str">
            <v>N</v>
          </cell>
          <cell r="E39" t="str">
            <v>N</v>
          </cell>
        </row>
        <row r="40">
          <cell r="A40" t="str">
            <v>018D</v>
          </cell>
          <cell r="B40" t="e">
            <v>#N/A</v>
          </cell>
          <cell r="C40" t="str">
            <v>N</v>
          </cell>
          <cell r="D40" t="str">
            <v>N</v>
          </cell>
          <cell r="E40" t="str">
            <v>N</v>
          </cell>
        </row>
        <row r="41">
          <cell r="A41" t="str">
            <v>ADC</v>
          </cell>
          <cell r="B41" t="str">
            <v>100% to Ameren Development</v>
          </cell>
          <cell r="C41" t="str">
            <v>N</v>
          </cell>
          <cell r="D41" t="str">
            <v>N</v>
          </cell>
          <cell r="E41" t="str">
            <v>N</v>
          </cell>
        </row>
        <row r="42">
          <cell r="A42" t="str">
            <v>AED</v>
          </cell>
          <cell r="B42" t="str">
            <v>100% to Ameren Energy Development Co.</v>
          </cell>
          <cell r="C42" t="str">
            <v>N</v>
          </cell>
          <cell r="D42" t="str">
            <v>N</v>
          </cell>
          <cell r="E42" t="str">
            <v>N</v>
          </cell>
        </row>
        <row r="43">
          <cell r="A43" t="str">
            <v>AFS</v>
          </cell>
          <cell r="B43" t="str">
            <v>100% to Ameren Energy Fuel &amp; Services</v>
          </cell>
          <cell r="C43" t="str">
            <v>N</v>
          </cell>
          <cell r="D43" t="str">
            <v>N</v>
          </cell>
          <cell r="E43" t="str">
            <v>N</v>
          </cell>
        </row>
        <row r="44">
          <cell r="A44" t="str">
            <v>AMC</v>
          </cell>
          <cell r="B44" t="str">
            <v>100% to Ameren Corporation</v>
          </cell>
          <cell r="C44" t="str">
            <v>N</v>
          </cell>
          <cell r="D44" t="str">
            <v>N</v>
          </cell>
          <cell r="E44" t="str">
            <v>N</v>
          </cell>
        </row>
        <row r="45">
          <cell r="A45" t="str">
            <v>ARG</v>
          </cell>
          <cell r="B45" t="str">
            <v>100% to Ameren Resources Generating Co.</v>
          </cell>
          <cell r="C45" t="str">
            <v>N</v>
          </cell>
          <cell r="D45" t="str">
            <v>N</v>
          </cell>
          <cell r="E45" t="str">
            <v>N</v>
          </cell>
        </row>
        <row r="46">
          <cell r="A46" t="str">
            <v>CCP</v>
          </cell>
          <cell r="B46" t="str">
            <v>100% to AmerenCILCORP</v>
          </cell>
          <cell r="C46" t="str">
            <v>N</v>
          </cell>
          <cell r="D46" t="str">
            <v>N</v>
          </cell>
          <cell r="E46" t="str">
            <v>N</v>
          </cell>
        </row>
        <row r="47">
          <cell r="A47" t="str">
            <v>CIC</v>
          </cell>
          <cell r="B47" t="str">
            <v>100% to CIPSCO Investment</v>
          </cell>
          <cell r="C47" t="str">
            <v>N</v>
          </cell>
          <cell r="D47" t="str">
            <v>N</v>
          </cell>
          <cell r="E47" t="str">
            <v>N</v>
          </cell>
        </row>
        <row r="48">
          <cell r="A48" t="str">
            <v>CIL</v>
          </cell>
          <cell r="B48" t="str">
            <v>100% to AmerenCILCO</v>
          </cell>
          <cell r="C48" t="str">
            <v>N</v>
          </cell>
          <cell r="D48" t="str">
            <v>N</v>
          </cell>
          <cell r="E48" t="str">
            <v>N</v>
          </cell>
        </row>
        <row r="49">
          <cell r="A49" t="str">
            <v>CIP</v>
          </cell>
          <cell r="B49" t="str">
            <v>100% to AmerenCIPS</v>
          </cell>
          <cell r="C49" t="str">
            <v>N</v>
          </cell>
          <cell r="D49" t="str">
            <v>N</v>
          </cell>
          <cell r="E49" t="str">
            <v>N</v>
          </cell>
        </row>
        <row r="50">
          <cell r="A50" t="str">
            <v>GEN</v>
          </cell>
          <cell r="B50" t="str">
            <v>100% to Ameren Energy Generating Co.</v>
          </cell>
          <cell r="C50" t="str">
            <v>N</v>
          </cell>
          <cell r="D50" t="str">
            <v>N</v>
          </cell>
          <cell r="E50" t="str">
            <v>N</v>
          </cell>
        </row>
        <row r="51">
          <cell r="A51" t="str">
            <v>GMC</v>
          </cell>
          <cell r="B51" t="str">
            <v>100% to Ameren Energy Marketing Company</v>
          </cell>
          <cell r="C51" t="str">
            <v>N</v>
          </cell>
          <cell r="D51" t="str">
            <v>N</v>
          </cell>
          <cell r="E51" t="str">
            <v>N</v>
          </cell>
        </row>
        <row r="52">
          <cell r="A52" t="str">
            <v>IHC</v>
          </cell>
          <cell r="B52" t="str">
            <v>100% to Ameren Energy Resources Co.</v>
          </cell>
          <cell r="C52" t="str">
            <v>N</v>
          </cell>
          <cell r="D52" t="str">
            <v>N</v>
          </cell>
          <cell r="E52" t="str">
            <v>N</v>
          </cell>
        </row>
        <row r="53">
          <cell r="A53" t="str">
            <v>Indirect</v>
          </cell>
          <cell r="B53" t="e">
            <v>#N/A</v>
          </cell>
          <cell r="C53" t="str">
            <v>N</v>
          </cell>
          <cell r="D53" t="str">
            <v>N</v>
          </cell>
          <cell r="E53" t="str">
            <v>N</v>
          </cell>
        </row>
        <row r="54">
          <cell r="A54" t="str">
            <v>IPC</v>
          </cell>
          <cell r="B54" t="str">
            <v>100% to AmerenIP</v>
          </cell>
          <cell r="C54" t="str">
            <v>N</v>
          </cell>
          <cell r="D54" t="str">
            <v>N</v>
          </cell>
          <cell r="E54" t="str">
            <v>N</v>
          </cell>
        </row>
        <row r="55">
          <cell r="A55" t="str">
            <v>MV1</v>
          </cell>
          <cell r="B55" t="str">
            <v>100% to Ameren Resources - Medina Valley</v>
          </cell>
          <cell r="C55" t="str">
            <v>N</v>
          </cell>
          <cell r="D55" t="str">
            <v>N</v>
          </cell>
          <cell r="E55" t="str">
            <v>N</v>
          </cell>
        </row>
        <row r="56">
          <cell r="A56" t="str">
            <v>UDC</v>
          </cell>
          <cell r="B56" t="str">
            <v xml:space="preserve">100% to Union  Electric Development </v>
          </cell>
          <cell r="C56" t="str">
            <v>N</v>
          </cell>
          <cell r="D56" t="str">
            <v>N</v>
          </cell>
          <cell r="E56" t="str">
            <v>N</v>
          </cell>
        </row>
        <row r="57">
          <cell r="A57" t="str">
            <v>UEC</v>
          </cell>
          <cell r="B57" t="str">
            <v>100% to AmerenUE</v>
          </cell>
          <cell r="C57" t="str">
            <v>N</v>
          </cell>
          <cell r="D57" t="str">
            <v>N</v>
          </cell>
          <cell r="E57" t="str">
            <v>N</v>
          </cell>
        </row>
        <row r="58">
          <cell r="A58" t="str">
            <v>(blank)</v>
          </cell>
          <cell r="B58" t="e">
            <v>#N/A</v>
          </cell>
          <cell r="C58" t="str">
            <v>N</v>
          </cell>
          <cell r="D58" t="str">
            <v>N</v>
          </cell>
          <cell r="E58" t="str">
            <v>N</v>
          </cell>
        </row>
      </sheetData>
      <sheetData sheetId="9">
        <row r="8">
          <cell r="A8" t="str">
            <v>ADC</v>
          </cell>
          <cell r="B8" t="str">
            <v>100% to Ameren Development</v>
          </cell>
        </row>
        <row r="9">
          <cell r="A9" t="str">
            <v>AMC</v>
          </cell>
          <cell r="B9" t="str">
            <v>100% to Ameren Corporation</v>
          </cell>
        </row>
        <row r="10">
          <cell r="A10" t="str">
            <v>AEC</v>
          </cell>
          <cell r="B10" t="str">
            <v>100% to Ameren Energy Communications, Inc.</v>
          </cell>
        </row>
        <row r="11">
          <cell r="A11" t="str">
            <v>AME</v>
          </cell>
          <cell r="B11" t="str">
            <v>100% to Ameren Energy</v>
          </cell>
        </row>
        <row r="12">
          <cell r="A12" t="str">
            <v>AMS</v>
          </cell>
          <cell r="B12" t="str">
            <v>100% to Ameren Services</v>
          </cell>
        </row>
        <row r="13">
          <cell r="A13" t="str">
            <v>CIC</v>
          </cell>
          <cell r="B13" t="str">
            <v>100% to CIPSCO Investment</v>
          </cell>
        </row>
        <row r="14">
          <cell r="A14" t="str">
            <v>ERC</v>
          </cell>
          <cell r="B14" t="str">
            <v>100% to Ameren ERC</v>
          </cell>
        </row>
        <row r="15">
          <cell r="A15" t="str">
            <v>GEN</v>
          </cell>
          <cell r="B15" t="str">
            <v>100% to Ameren Energy Generating Co.</v>
          </cell>
        </row>
        <row r="16">
          <cell r="A16" t="str">
            <v>AED</v>
          </cell>
          <cell r="B16" t="str">
            <v>100% to Ameren Energy Development Co.</v>
          </cell>
        </row>
        <row r="17">
          <cell r="A17" t="str">
            <v>IHC</v>
          </cell>
          <cell r="B17" t="str">
            <v>100% to Ameren Energy Resources Co.</v>
          </cell>
        </row>
        <row r="18">
          <cell r="A18" t="str">
            <v>IMS</v>
          </cell>
          <cell r="B18" t="str">
            <v>100% to Illinois Materials Supply Co.</v>
          </cell>
        </row>
        <row r="19">
          <cell r="A19" t="str">
            <v>GMC</v>
          </cell>
          <cell r="B19" t="str">
            <v>100% to Ameren Energy Marketing Company</v>
          </cell>
        </row>
        <row r="20">
          <cell r="A20" t="str">
            <v>AFS</v>
          </cell>
          <cell r="B20" t="str">
            <v>100% to Ameren Energy Fuel &amp; Services</v>
          </cell>
        </row>
        <row r="21">
          <cell r="A21" t="str">
            <v>UDC</v>
          </cell>
          <cell r="B21" t="str">
            <v xml:space="preserve">100% to Union  Electric Development </v>
          </cell>
        </row>
        <row r="22">
          <cell r="A22" t="str">
            <v>UEC</v>
          </cell>
          <cell r="B22" t="str">
            <v>100% to AmerenUE</v>
          </cell>
        </row>
        <row r="23">
          <cell r="A23" t="str">
            <v>CIP</v>
          </cell>
          <cell r="B23" t="str">
            <v>100% to AmerenCIPS</v>
          </cell>
        </row>
        <row r="24">
          <cell r="A24" t="str">
            <v>CIL</v>
          </cell>
          <cell r="B24" t="str">
            <v>100% to AmerenCILCO</v>
          </cell>
        </row>
        <row r="25">
          <cell r="A25" t="str">
            <v>CIM</v>
          </cell>
          <cell r="B25" t="str">
            <v>100% to AmerenCILCORP Investment Mgt.</v>
          </cell>
        </row>
        <row r="26">
          <cell r="A26" t="str">
            <v>CCP</v>
          </cell>
          <cell r="B26" t="str">
            <v>100% to AmerenCILCORP</v>
          </cell>
        </row>
        <row r="27">
          <cell r="A27" t="str">
            <v>QST</v>
          </cell>
          <cell r="B27" t="str">
            <v>100% to QST Enterprises</v>
          </cell>
        </row>
        <row r="28">
          <cell r="A28" t="str">
            <v>CVI</v>
          </cell>
          <cell r="B28" t="str">
            <v>100% to AmerenCILCORP Venture</v>
          </cell>
        </row>
        <row r="29">
          <cell r="A29" t="str">
            <v>CED</v>
          </cell>
          <cell r="B29" t="str">
            <v>100% to CILCO Exploration &amp; Dev.</v>
          </cell>
        </row>
        <row r="30">
          <cell r="A30" t="str">
            <v>CRG</v>
          </cell>
          <cell r="B30" t="str">
            <v>100% to CILCO Energy Corporation</v>
          </cell>
        </row>
        <row r="31">
          <cell r="A31" t="str">
            <v>CIS</v>
          </cell>
          <cell r="B31" t="str">
            <v>100% to CILCO Infraservices</v>
          </cell>
        </row>
        <row r="32">
          <cell r="A32" t="str">
            <v>CSI</v>
          </cell>
          <cell r="B32" t="str">
            <v>100% to CILCO Energy Sevices</v>
          </cell>
        </row>
        <row r="33">
          <cell r="A33" t="str">
            <v>MV1</v>
          </cell>
          <cell r="B33" t="str">
            <v>100% to Ameren Resources - Medina Valley</v>
          </cell>
        </row>
        <row r="34">
          <cell r="A34" t="str">
            <v>ARG</v>
          </cell>
          <cell r="B34" t="str">
            <v>100% to Ameren Resources Generating Co.</v>
          </cell>
        </row>
        <row r="35">
          <cell r="A35" t="str">
            <v>IPC</v>
          </cell>
          <cell r="B35" t="str">
            <v>100% to AmerenIP</v>
          </cell>
        </row>
        <row r="36">
          <cell r="A36" t="str">
            <v>001a</v>
          </cell>
          <cell r="B36" t="str">
            <v>Electric/Gas Composite (T&amp;D &amp; Interchange MO/IL) *</v>
          </cell>
        </row>
        <row r="37">
          <cell r="A37" t="str">
            <v>001b</v>
          </cell>
          <cell r="B37" t="str">
            <v>Electric/Gas Composite w % to CIC &amp; UDC (T&amp;D &amp; Interchg MO/IL )*</v>
          </cell>
        </row>
        <row r="38">
          <cell r="A38" t="str">
            <v>001c</v>
          </cell>
          <cell r="B38" t="str">
            <v>Electric/Gas Composite w % toUDC (T&amp;D &amp; Interchg MO/IL )*---RETIRED</v>
          </cell>
        </row>
        <row r="39">
          <cell r="A39" t="str">
            <v>001d</v>
          </cell>
          <cell r="B39" t="str">
            <v>Illinois Gas Composite (T&amp;D &amp; Interchange Sales &amp; T&amp;D customers)**</v>
          </cell>
        </row>
        <row r="40">
          <cell r="A40" t="str">
            <v>001e</v>
          </cell>
          <cell r="B40" t="str">
            <v>Gas Composite (T&amp;D &amp; Interchange Sales &amp; T&amp;D customers-- MO/IL)**</v>
          </cell>
        </row>
        <row r="41">
          <cell r="A41" t="str">
            <v>001f</v>
          </cell>
          <cell r="B41" t="str">
            <v>Illinois Electric Composite (Sales &amp; Customer--T&amp;D &amp; Interchange)**</v>
          </cell>
        </row>
        <row r="42">
          <cell r="A42" t="str">
            <v>001g</v>
          </cell>
          <cell r="B42" t="str">
            <v>UEC/CIP Composite (Electric/Gas T&amp;D MO/IL)*</v>
          </cell>
        </row>
        <row r="43">
          <cell r="A43" t="str">
            <v>001h</v>
          </cell>
          <cell r="B43" t="str">
            <v>UEC/CIP Composite w % to UDC and CIC (Electric/Gas T&amp;D MO/IL)*--RETIRED</v>
          </cell>
        </row>
        <row r="44">
          <cell r="A44" t="str">
            <v>001i</v>
          </cell>
          <cell r="B44" t="str">
            <v>UEC/CIP Composite w % to UDC (Electric/Gas T&amp;D MO/IL)*--RETIRED</v>
          </cell>
        </row>
        <row r="45">
          <cell r="A45" t="str">
            <v>001J</v>
          </cell>
          <cell r="B45" t="str">
            <v>Ameren Energy Resources Composite (Employees, Net Plant Assets)***</v>
          </cell>
        </row>
        <row r="46">
          <cell r="A46" t="str">
            <v>002a</v>
          </cell>
          <cell r="B46" t="str">
            <v># of Customers(T&amp;D &amp; Interchange Electric/Gas in MO/IL)^^^</v>
          </cell>
        </row>
        <row r="47">
          <cell r="A47" t="str">
            <v>002b</v>
          </cell>
          <cell r="B47" t="str">
            <v># of Gas Transportation Customers (MO/IL)</v>
          </cell>
        </row>
        <row r="48">
          <cell r="A48" t="str">
            <v>002c</v>
          </cell>
          <cell r="B48" t="str">
            <v># of Customers (T&amp;D &amp; Interchange electric in MO/IL)^^^</v>
          </cell>
        </row>
        <row r="49">
          <cell r="A49" t="str">
            <v>002d</v>
          </cell>
          <cell r="B49" t="str">
            <v># of Gas Customers (T&amp;D in MO/IL)</v>
          </cell>
        </row>
        <row r="50">
          <cell r="A50" t="str">
            <v>002e</v>
          </cell>
          <cell r="B50" t="str">
            <v># of Customers w % to UDC (T&amp;D &amp; Interchange Electric/Gas in MO/IL)--RETIRED</v>
          </cell>
        </row>
        <row r="51">
          <cell r="A51" t="str">
            <v>002f</v>
          </cell>
          <cell r="B51" t="str">
            <v># of Customers (T&amp;D Illinois non-residential electric)</v>
          </cell>
        </row>
        <row r="52">
          <cell r="A52" t="str">
            <v>002g</v>
          </cell>
          <cell r="B52" t="str">
            <v># of Customers ( Illinois non-residential gas)</v>
          </cell>
        </row>
        <row r="53">
          <cell r="A53" t="str">
            <v>002h</v>
          </cell>
          <cell r="B53" t="str">
            <v># of Customers (T&amp;D Illinois non-residential Electric/Gas)</v>
          </cell>
        </row>
        <row r="54">
          <cell r="A54" t="str">
            <v>002i</v>
          </cell>
          <cell r="B54" t="str">
            <v># of Customers (T&amp;D Electric/Gas Illinois)^^^</v>
          </cell>
        </row>
        <row r="55">
          <cell r="A55" t="str">
            <v>002j</v>
          </cell>
          <cell r="B55" t="str">
            <v># Electric Customers Non-Residential (MO/IL) % to GMC</v>
          </cell>
        </row>
        <row r="56">
          <cell r="A56" t="str">
            <v>002k</v>
          </cell>
          <cell r="B56" t="str">
            <v># Electric Distribution Customers (MO/IL)</v>
          </cell>
        </row>
        <row r="57">
          <cell r="A57" t="str">
            <v>002l</v>
          </cell>
          <cell r="B57" t="str">
            <v># Electric/Gas Distribution Customers (MO/IL)</v>
          </cell>
        </row>
        <row r="58">
          <cell r="A58" t="str">
            <v>002m</v>
          </cell>
          <cell r="B58" t="str">
            <v># Electric/Gas Distribution Customers (IL)</v>
          </cell>
        </row>
        <row r="59">
          <cell r="A59" t="str">
            <v>002n</v>
          </cell>
          <cell r="B59" t="str">
            <v># Electric/Gas Distribution Customers (MO/IL) except IPC</v>
          </cell>
        </row>
        <row r="60">
          <cell r="A60" t="str">
            <v>003a</v>
          </cell>
          <cell r="B60" t="str">
            <v>Electric/Gas Sales (T&amp;D and Interchange in MO/IL)</v>
          </cell>
        </row>
        <row r="61">
          <cell r="A61" t="str">
            <v>003b</v>
          </cell>
          <cell r="B61" t="str">
            <v>Electric Sales (T&amp;D and Interchange in MO/IL)</v>
          </cell>
        </row>
        <row r="62">
          <cell r="A62" t="str">
            <v>003c</v>
          </cell>
          <cell r="B62" t="str">
            <v>Gas Sales (T&amp;D and Interchange in MO/IL)</v>
          </cell>
        </row>
        <row r="63">
          <cell r="A63" t="str">
            <v>004a</v>
          </cell>
          <cell r="B63" t="str">
            <v># of Employees (Mgmt &amp; Contract)</v>
          </cell>
        </row>
        <row r="64">
          <cell r="A64" t="str">
            <v>004b</v>
          </cell>
          <cell r="B64" t="str">
            <v># of Contract Employees</v>
          </cell>
        </row>
        <row r="65">
          <cell r="A65" t="str">
            <v>004c</v>
          </cell>
          <cell r="B65" t="str">
            <v># of Non-Contract Employees</v>
          </cell>
        </row>
        <row r="66">
          <cell r="A66" t="str">
            <v>004d</v>
          </cell>
          <cell r="B66" t="str">
            <v># AMS/UEC Employees (Mgmt &amp; Contract)</v>
          </cell>
        </row>
        <row r="67">
          <cell r="A67" t="str">
            <v>004e</v>
          </cell>
          <cell r="B67" t="str">
            <v># AMS/CIP Employees (Mgmt &amp; Contract)</v>
          </cell>
        </row>
        <row r="68">
          <cell r="A68" t="str">
            <v>004f</v>
          </cell>
          <cell r="B68" t="str">
            <v># UEC/CIP Employees (Mgmt &amp; Contract)</v>
          </cell>
        </row>
        <row r="69">
          <cell r="A69" t="str">
            <v>004g</v>
          </cell>
          <cell r="B69" t="str">
            <v># UEC/CIP Employees (Non-Contract)</v>
          </cell>
        </row>
        <row r="70">
          <cell r="A70" t="str">
            <v>004h</v>
          </cell>
          <cell r="B70" t="str">
            <v>HR Use Only # AFS,AME,GEN,GMC,UEC Employees</v>
          </cell>
        </row>
        <row r="71">
          <cell r="A71" t="str">
            <v>004i</v>
          </cell>
          <cell r="B71" t="str">
            <v>HR Use Only # AFS,CIP,GEN,UEC Management &amp; Contract Employees</v>
          </cell>
        </row>
        <row r="72">
          <cell r="A72" t="str">
            <v>004j</v>
          </cell>
          <cell r="B72" t="str">
            <v>HR Use Only # AFS,CIP,GEN,UEC Management Employees</v>
          </cell>
        </row>
        <row r="73">
          <cell r="A73" t="str">
            <v>004k</v>
          </cell>
          <cell r="B73" t="str">
            <v>HR Use Only # AFS,AME,CIP,GEN,GMC,UEC Management and AmerenUE Contract Employees</v>
          </cell>
        </row>
        <row r="74">
          <cell r="A74" t="str">
            <v>004l</v>
          </cell>
          <cell r="B74" t="str">
            <v>HR Use Only # CIP,GEN Contract Employees</v>
          </cell>
        </row>
        <row r="75">
          <cell r="A75" t="str">
            <v>004m</v>
          </cell>
          <cell r="B75" t="str">
            <v>HR Use Only #AFS, UEC Local 1455 Employees</v>
          </cell>
        </row>
        <row r="76">
          <cell r="A76" t="str">
            <v>004n</v>
          </cell>
          <cell r="B76" t="str">
            <v>HR Use Only # AFS,AME,CIP, GEN,GMC,UEC Employees</v>
          </cell>
        </row>
        <row r="77">
          <cell r="A77" t="str">
            <v>004o</v>
          </cell>
          <cell r="B77" t="str">
            <v>Number of Employees (Management &amp; Contract (Excluding AME &amp; GMC)</v>
          </cell>
        </row>
        <row r="78">
          <cell r="A78" t="str">
            <v>004p</v>
          </cell>
          <cell r="B78" t="str">
            <v>Number of Energy Delivery Employees</v>
          </cell>
        </row>
        <row r="79">
          <cell r="A79" t="str">
            <v>005a</v>
          </cell>
          <cell r="B79" t="str">
            <v>Electric/Gas O&amp;M Non-Capital Labor (MO/IL)</v>
          </cell>
        </row>
        <row r="80">
          <cell r="A80" t="str">
            <v>005b</v>
          </cell>
          <cell r="B80" t="str">
            <v>Electric O&amp;M Non-Capital Labor (MO/IL)</v>
          </cell>
        </row>
        <row r="81">
          <cell r="A81" t="str">
            <v>005c</v>
          </cell>
          <cell r="B81" t="str">
            <v>Gas O&amp;M Non-Capital Labor (MO/IL)</v>
          </cell>
        </row>
        <row r="82">
          <cell r="A82" t="str">
            <v>006a</v>
          </cell>
          <cell r="B82" t="str">
            <v>Operating Revenue (Total)--RETIRED</v>
          </cell>
        </row>
        <row r="83">
          <cell r="A83" t="str">
            <v>006b</v>
          </cell>
          <cell r="B83" t="str">
            <v>Revenue (Electric)--RETIRED</v>
          </cell>
        </row>
        <row r="84">
          <cell r="A84" t="str">
            <v>006c</v>
          </cell>
          <cell r="B84" t="str">
            <v>Revenue (Gas)--RETIRED</v>
          </cell>
        </row>
        <row r="85">
          <cell r="A85" t="str">
            <v>007a</v>
          </cell>
          <cell r="B85" t="str">
            <v>Total Capitalization</v>
          </cell>
        </row>
        <row r="86">
          <cell r="A86" t="str">
            <v>007b</v>
          </cell>
          <cell r="B86" t="str">
            <v>Total Capitalization (% to AMC)--RETIRED</v>
          </cell>
        </row>
        <row r="87">
          <cell r="A87" t="str">
            <v>008a</v>
          </cell>
          <cell r="B87" t="str">
            <v>Total Assets</v>
          </cell>
        </row>
        <row r="88">
          <cell r="A88" t="str">
            <v>008b</v>
          </cell>
          <cell r="B88" t="str">
            <v>Total Assets (UEC &amp; CIP)</v>
          </cell>
        </row>
        <row r="89">
          <cell r="A89" t="str">
            <v>008c</v>
          </cell>
          <cell r="B89" t="str">
            <v>Net Plant Assets</v>
          </cell>
        </row>
        <row r="90">
          <cell r="A90" t="str">
            <v>008d</v>
          </cell>
          <cell r="B90" t="str">
            <v>Gross Transmission Plant Investment</v>
          </cell>
        </row>
        <row r="91">
          <cell r="A91" t="str">
            <v>008c</v>
          </cell>
          <cell r="B91" t="str">
            <v>Gross Plant-in-Service plus CWIP (Absolute Value)</v>
          </cell>
        </row>
        <row r="92">
          <cell r="A92" t="str">
            <v>009a</v>
          </cell>
          <cell r="B92" t="str">
            <v>Construction Expenditures</v>
          </cell>
        </row>
        <row r="93">
          <cell r="A93" t="str">
            <v>010a</v>
          </cell>
          <cell r="B93" t="str">
            <v>Peak Load (Electric)</v>
          </cell>
        </row>
        <row r="94">
          <cell r="A94" t="str">
            <v>010b</v>
          </cell>
          <cell r="B94" t="str">
            <v>Peak Load (Gas)</v>
          </cell>
        </row>
        <row r="95">
          <cell r="A95" t="str">
            <v>011a</v>
          </cell>
          <cell r="B95" t="str">
            <v>Generating Capacity (All Plants)</v>
          </cell>
        </row>
        <row r="96">
          <cell r="A96" t="str">
            <v>011b</v>
          </cell>
          <cell r="B96" t="str">
            <v>Generating Capacity (Fossil)</v>
          </cell>
        </row>
        <row r="97">
          <cell r="A97" t="str">
            <v>011c</v>
          </cell>
          <cell r="B97" t="str">
            <v>Generating Capacity Nameplate (Including Not in Service)</v>
          </cell>
        </row>
        <row r="98">
          <cell r="A98" t="str">
            <v>011c</v>
          </cell>
          <cell r="B98" t="str">
            <v>Generating Capacity excluding CTGS (Except Grand Tower)</v>
          </cell>
        </row>
        <row r="99">
          <cell r="A99" t="str">
            <v>012a</v>
          </cell>
          <cell r="B99" t="str">
            <v>Gas Throughput (Incl. Transp.)</v>
          </cell>
        </row>
        <row r="100">
          <cell r="A100" t="str">
            <v>012b</v>
          </cell>
          <cell r="B100" t="str">
            <v>Total Electric Net Output</v>
          </cell>
        </row>
        <row r="101">
          <cell r="A101" t="str">
            <v>012c</v>
          </cell>
          <cell r="B101" t="str">
            <v>Gas Throughput with % to GEN</v>
          </cell>
        </row>
        <row r="102">
          <cell r="A102" t="str">
            <v>012d</v>
          </cell>
          <cell r="B102" t="str">
            <v>Electric Net Generation</v>
          </cell>
        </row>
        <row r="103">
          <cell r="A103" t="str">
            <v>013a</v>
          </cell>
          <cell r="B103" t="str">
            <v>CPU Cycles - Mainframe--RETIRED</v>
          </cell>
        </row>
        <row r="104">
          <cell r="A104" t="str">
            <v>013b</v>
          </cell>
          <cell r="B104" t="str">
            <v>CPU Cycles - Unix--RETIRED</v>
          </cell>
        </row>
        <row r="105">
          <cell r="A105" t="str">
            <v>014a</v>
          </cell>
          <cell r="B105" t="str">
            <v># of Network Accounts</v>
          </cell>
        </row>
        <row r="106">
          <cell r="A106" t="str">
            <v>015a</v>
          </cell>
          <cell r="B106" t="str">
            <v>Current Tax Expense</v>
          </cell>
        </row>
        <row r="107">
          <cell r="A107" t="str">
            <v>016a</v>
          </cell>
          <cell r="B107" t="str">
            <v># of Vehicles</v>
          </cell>
        </row>
        <row r="108">
          <cell r="A108" t="str">
            <v>017a</v>
          </cell>
          <cell r="B108" t="str">
            <v># of General Ledger Transactions</v>
          </cell>
        </row>
        <row r="109">
          <cell r="A109" t="str">
            <v>017b</v>
          </cell>
          <cell r="B109" t="str">
            <v># of Accounts Payable Vouchers</v>
          </cell>
        </row>
        <row r="110">
          <cell r="A110" t="str">
            <v>018a</v>
          </cell>
          <cell r="B110" t="str">
            <v>$ Purchases</v>
          </cell>
        </row>
        <row r="111">
          <cell r="A111" t="str">
            <v>017c</v>
          </cell>
          <cell r="B111" t="str">
            <v># Projects (Active &amp; Closed) All Projects</v>
          </cell>
        </row>
        <row r="112">
          <cell r="A112" t="str">
            <v>018a</v>
          </cell>
          <cell r="B112" t="str">
            <v>Number of Managed PCs</v>
          </cell>
        </row>
      </sheetData>
      <sheetData sheetId="10"/>
      <sheetData sheetId="11"/>
      <sheetData sheetId="12">
        <row r="2">
          <cell r="B2" t="str">
            <v>02963</v>
          </cell>
        </row>
      </sheetData>
      <sheetData sheetId="13">
        <row r="2">
          <cell r="B2" t="str">
            <v>02963</v>
          </cell>
          <cell r="C2" t="str">
            <v>Direct</v>
          </cell>
          <cell r="D2" t="str">
            <v>UEC</v>
          </cell>
        </row>
        <row r="3">
          <cell r="B3" t="str">
            <v>02990</v>
          </cell>
          <cell r="C3" t="str">
            <v>Direct</v>
          </cell>
          <cell r="D3" t="str">
            <v>CIL</v>
          </cell>
        </row>
        <row r="4">
          <cell r="B4" t="str">
            <v>03994</v>
          </cell>
          <cell r="C4" t="str">
            <v>Direct</v>
          </cell>
          <cell r="D4" t="str">
            <v>UEC</v>
          </cell>
        </row>
        <row r="5">
          <cell r="B5" t="str">
            <v>09432</v>
          </cell>
          <cell r="C5" t="str">
            <v>Direct</v>
          </cell>
          <cell r="D5" t="str">
            <v>UEC</v>
          </cell>
        </row>
        <row r="6">
          <cell r="B6" t="str">
            <v>09941</v>
          </cell>
          <cell r="C6" t="str">
            <v>Direct</v>
          </cell>
          <cell r="D6" t="str">
            <v>GEN</v>
          </cell>
        </row>
        <row r="7">
          <cell r="B7" t="str">
            <v>0A001</v>
          </cell>
          <cell r="C7" t="str">
            <v>Direct</v>
          </cell>
          <cell r="D7" t="str">
            <v>UEC</v>
          </cell>
        </row>
        <row r="8">
          <cell r="B8" t="str">
            <v>0A005</v>
          </cell>
          <cell r="C8" t="str">
            <v>Direct</v>
          </cell>
          <cell r="D8" t="str">
            <v>UEC</v>
          </cell>
        </row>
        <row r="9">
          <cell r="B9" t="str">
            <v>0A006</v>
          </cell>
          <cell r="C9" t="str">
            <v>Direct</v>
          </cell>
          <cell r="D9" t="str">
            <v>UEC</v>
          </cell>
        </row>
        <row r="10">
          <cell r="B10" t="str">
            <v>0A009</v>
          </cell>
          <cell r="C10" t="str">
            <v>Direct</v>
          </cell>
          <cell r="D10" t="str">
            <v>UEC</v>
          </cell>
        </row>
        <row r="11">
          <cell r="B11" t="str">
            <v>0A010</v>
          </cell>
          <cell r="C11" t="str">
            <v>Direct</v>
          </cell>
          <cell r="D11" t="str">
            <v>UEC</v>
          </cell>
        </row>
        <row r="12">
          <cell r="B12" t="str">
            <v>0A011</v>
          </cell>
          <cell r="C12" t="str">
            <v>Direct</v>
          </cell>
          <cell r="D12" t="str">
            <v>UEC</v>
          </cell>
        </row>
        <row r="13">
          <cell r="B13" t="str">
            <v>0A012</v>
          </cell>
          <cell r="C13" t="str">
            <v>Direct</v>
          </cell>
          <cell r="D13" t="str">
            <v>UEC</v>
          </cell>
        </row>
        <row r="14">
          <cell r="B14" t="str">
            <v>0A018</v>
          </cell>
          <cell r="C14" t="str">
            <v>Direct</v>
          </cell>
          <cell r="D14" t="str">
            <v>UEC</v>
          </cell>
        </row>
        <row r="15">
          <cell r="B15" t="str">
            <v>0A037</v>
          </cell>
          <cell r="C15" t="str">
            <v>Direct</v>
          </cell>
          <cell r="D15" t="str">
            <v>UEC</v>
          </cell>
        </row>
        <row r="16">
          <cell r="B16" t="str">
            <v>0A039</v>
          </cell>
          <cell r="C16" t="str">
            <v>Direct</v>
          </cell>
          <cell r="D16" t="str">
            <v>UEC</v>
          </cell>
        </row>
        <row r="17">
          <cell r="B17" t="str">
            <v>0A043</v>
          </cell>
          <cell r="C17" t="str">
            <v>Direct</v>
          </cell>
          <cell r="D17" t="str">
            <v>UEC</v>
          </cell>
        </row>
        <row r="18">
          <cell r="B18" t="str">
            <v>0A046</v>
          </cell>
          <cell r="C18" t="str">
            <v>Direct</v>
          </cell>
          <cell r="D18" t="str">
            <v>UEC</v>
          </cell>
        </row>
        <row r="19">
          <cell r="B19" t="str">
            <v>0A047</v>
          </cell>
          <cell r="C19" t="str">
            <v>Direct</v>
          </cell>
          <cell r="D19" t="str">
            <v>UEC</v>
          </cell>
        </row>
        <row r="20">
          <cell r="B20" t="str">
            <v>0A048</v>
          </cell>
          <cell r="C20" t="str">
            <v>Direct</v>
          </cell>
          <cell r="D20" t="str">
            <v>UEC</v>
          </cell>
        </row>
        <row r="21">
          <cell r="B21" t="str">
            <v>0A049</v>
          </cell>
          <cell r="C21" t="str">
            <v>Direct</v>
          </cell>
          <cell r="D21" t="str">
            <v>UEC</v>
          </cell>
        </row>
        <row r="22">
          <cell r="B22" t="str">
            <v>0A072</v>
          </cell>
          <cell r="C22" t="str">
            <v>Direct</v>
          </cell>
          <cell r="D22" t="str">
            <v>UEC</v>
          </cell>
        </row>
        <row r="23">
          <cell r="B23" t="str">
            <v>0A076</v>
          </cell>
          <cell r="C23" t="str">
            <v>Direct</v>
          </cell>
          <cell r="D23" t="str">
            <v>UEC</v>
          </cell>
        </row>
        <row r="24">
          <cell r="B24" t="str">
            <v>0A090</v>
          </cell>
          <cell r="C24" t="str">
            <v>Direct</v>
          </cell>
          <cell r="D24" t="str">
            <v>UEC</v>
          </cell>
        </row>
        <row r="25">
          <cell r="B25" t="str">
            <v>0A094</v>
          </cell>
          <cell r="C25" t="str">
            <v>Direct</v>
          </cell>
          <cell r="D25" t="str">
            <v>UEC</v>
          </cell>
        </row>
        <row r="26">
          <cell r="B26" t="str">
            <v>0A095</v>
          </cell>
          <cell r="C26" t="str">
            <v>Direct</v>
          </cell>
          <cell r="D26" t="str">
            <v>UEC</v>
          </cell>
        </row>
        <row r="27">
          <cell r="B27" t="str">
            <v>0A100</v>
          </cell>
          <cell r="C27" t="str">
            <v>Direct</v>
          </cell>
          <cell r="D27" t="str">
            <v>UEC</v>
          </cell>
        </row>
        <row r="28">
          <cell r="B28" t="str">
            <v>0A101</v>
          </cell>
          <cell r="C28" t="str">
            <v>Direct</v>
          </cell>
          <cell r="D28" t="str">
            <v>UEC</v>
          </cell>
        </row>
        <row r="29">
          <cell r="B29" t="str">
            <v>0A107</v>
          </cell>
          <cell r="C29" t="str">
            <v>Direct</v>
          </cell>
          <cell r="D29" t="str">
            <v>GEN</v>
          </cell>
        </row>
        <row r="30">
          <cell r="B30" t="str">
            <v>0A121</v>
          </cell>
          <cell r="C30" t="str">
            <v>Direct</v>
          </cell>
          <cell r="D30" t="str">
            <v>UEC</v>
          </cell>
        </row>
        <row r="31">
          <cell r="B31" t="str">
            <v>0A125</v>
          </cell>
          <cell r="C31" t="str">
            <v>Direct</v>
          </cell>
          <cell r="D31" t="str">
            <v>UEC</v>
          </cell>
        </row>
        <row r="32">
          <cell r="B32" t="str">
            <v>0A127</v>
          </cell>
          <cell r="C32" t="str">
            <v>Direct</v>
          </cell>
          <cell r="D32" t="str">
            <v>UEC</v>
          </cell>
        </row>
        <row r="33">
          <cell r="B33" t="str">
            <v>0A128</v>
          </cell>
          <cell r="C33" t="str">
            <v>Direct</v>
          </cell>
          <cell r="D33" t="str">
            <v>UEC</v>
          </cell>
        </row>
        <row r="34">
          <cell r="B34" t="str">
            <v>0A197</v>
          </cell>
          <cell r="C34" t="str">
            <v>Direct</v>
          </cell>
          <cell r="D34" t="str">
            <v>UEC</v>
          </cell>
        </row>
        <row r="35">
          <cell r="B35" t="str">
            <v>0A202</v>
          </cell>
          <cell r="C35" t="str">
            <v>Direct</v>
          </cell>
          <cell r="D35" t="str">
            <v>CIP</v>
          </cell>
        </row>
        <row r="36">
          <cell r="B36" t="str">
            <v>0A203</v>
          </cell>
          <cell r="C36" t="str">
            <v>Direct</v>
          </cell>
          <cell r="D36" t="str">
            <v>CIP</v>
          </cell>
        </row>
        <row r="37">
          <cell r="B37" t="str">
            <v>0A204</v>
          </cell>
          <cell r="C37" t="str">
            <v>Direct</v>
          </cell>
          <cell r="D37" t="str">
            <v>CIP</v>
          </cell>
        </row>
        <row r="38">
          <cell r="B38" t="str">
            <v>0A207</v>
          </cell>
          <cell r="C38" t="str">
            <v>Direct</v>
          </cell>
          <cell r="D38" t="str">
            <v>CIP</v>
          </cell>
        </row>
        <row r="39">
          <cell r="B39" t="str">
            <v>0A208</v>
          </cell>
          <cell r="C39" t="str">
            <v>Direct</v>
          </cell>
          <cell r="D39" t="str">
            <v>CIP</v>
          </cell>
        </row>
        <row r="40">
          <cell r="B40" t="str">
            <v>0A209</v>
          </cell>
          <cell r="C40" t="str">
            <v>Direct</v>
          </cell>
          <cell r="D40" t="str">
            <v>CIP</v>
          </cell>
        </row>
        <row r="41">
          <cell r="B41" t="str">
            <v>0A401</v>
          </cell>
          <cell r="C41" t="str">
            <v>Direct</v>
          </cell>
          <cell r="D41" t="str">
            <v>UEC</v>
          </cell>
        </row>
        <row r="42">
          <cell r="B42" t="str">
            <v>0A490</v>
          </cell>
          <cell r="C42" t="str">
            <v>Direct</v>
          </cell>
          <cell r="D42" t="str">
            <v>UEC</v>
          </cell>
        </row>
        <row r="43">
          <cell r="B43" t="str">
            <v>0A491</v>
          </cell>
          <cell r="C43" t="str">
            <v>Direct</v>
          </cell>
          <cell r="D43" t="str">
            <v>UEC</v>
          </cell>
        </row>
        <row r="44">
          <cell r="B44" t="str">
            <v>0A592</v>
          </cell>
          <cell r="C44" t="str">
            <v>Direct</v>
          </cell>
          <cell r="D44" t="str">
            <v>UEC</v>
          </cell>
        </row>
        <row r="45">
          <cell r="B45" t="str">
            <v>0A596</v>
          </cell>
          <cell r="C45" t="str">
            <v>Direct</v>
          </cell>
          <cell r="D45" t="str">
            <v>UEC</v>
          </cell>
        </row>
        <row r="46">
          <cell r="B46" t="str">
            <v>0A597</v>
          </cell>
          <cell r="C46" t="str">
            <v>Direct</v>
          </cell>
          <cell r="D46" t="str">
            <v>UEC</v>
          </cell>
        </row>
        <row r="47">
          <cell r="B47" t="str">
            <v>0A694</v>
          </cell>
          <cell r="C47" t="str">
            <v>Direct</v>
          </cell>
          <cell r="D47" t="str">
            <v>UEC</v>
          </cell>
        </row>
        <row r="48">
          <cell r="B48" t="str">
            <v>0A999</v>
          </cell>
          <cell r="C48" t="str">
            <v>Direct</v>
          </cell>
          <cell r="D48" t="str">
            <v>UEC</v>
          </cell>
        </row>
        <row r="49">
          <cell r="B49" t="str">
            <v>0B590</v>
          </cell>
          <cell r="C49" t="str">
            <v>Direct</v>
          </cell>
          <cell r="D49" t="str">
            <v>UEC</v>
          </cell>
        </row>
        <row r="50">
          <cell r="B50" t="str">
            <v>0B591</v>
          </cell>
          <cell r="C50" t="str">
            <v>Direct</v>
          </cell>
          <cell r="D50" t="str">
            <v>UEC</v>
          </cell>
        </row>
        <row r="51">
          <cell r="B51" t="str">
            <v>0B592</v>
          </cell>
          <cell r="C51" t="str">
            <v>Direct</v>
          </cell>
          <cell r="D51" t="str">
            <v>UEC</v>
          </cell>
        </row>
        <row r="52">
          <cell r="B52" t="str">
            <v>0B593</v>
          </cell>
          <cell r="C52" t="str">
            <v>Direct</v>
          </cell>
          <cell r="D52" t="str">
            <v>UEC</v>
          </cell>
        </row>
        <row r="53">
          <cell r="B53" t="str">
            <v>0B594</v>
          </cell>
          <cell r="C53" t="str">
            <v>Direct</v>
          </cell>
          <cell r="D53" t="str">
            <v>UEC</v>
          </cell>
        </row>
        <row r="54">
          <cell r="B54" t="str">
            <v>0B595</v>
          </cell>
          <cell r="C54" t="str">
            <v>Direct</v>
          </cell>
          <cell r="D54" t="str">
            <v>UEC</v>
          </cell>
        </row>
        <row r="55">
          <cell r="B55" t="str">
            <v>0B596</v>
          </cell>
          <cell r="C55" t="str">
            <v>Direct</v>
          </cell>
          <cell r="D55" t="str">
            <v>UEC</v>
          </cell>
        </row>
        <row r="56">
          <cell r="B56" t="str">
            <v>0B597</v>
          </cell>
          <cell r="C56" t="str">
            <v>Direct</v>
          </cell>
          <cell r="D56" t="str">
            <v>UEC</v>
          </cell>
        </row>
        <row r="57">
          <cell r="B57" t="str">
            <v>0B598</v>
          </cell>
          <cell r="C57" t="str">
            <v>Direct</v>
          </cell>
          <cell r="D57" t="str">
            <v>UEC</v>
          </cell>
        </row>
        <row r="58">
          <cell r="B58" t="str">
            <v>0K009</v>
          </cell>
          <cell r="C58" t="str">
            <v>Direct</v>
          </cell>
          <cell r="D58" t="str">
            <v>UEC</v>
          </cell>
        </row>
        <row r="59">
          <cell r="B59" t="str">
            <v>0K028</v>
          </cell>
          <cell r="C59" t="str">
            <v>Direct</v>
          </cell>
          <cell r="D59" t="str">
            <v>UEC</v>
          </cell>
        </row>
        <row r="60">
          <cell r="B60" t="str">
            <v>0K091</v>
          </cell>
          <cell r="C60" t="str">
            <v>Direct</v>
          </cell>
          <cell r="D60" t="str">
            <v>UEC</v>
          </cell>
        </row>
        <row r="61">
          <cell r="B61" t="str">
            <v>0K116</v>
          </cell>
          <cell r="C61" t="str">
            <v>Direct</v>
          </cell>
          <cell r="D61" t="str">
            <v>CIP</v>
          </cell>
        </row>
        <row r="62">
          <cell r="B62" t="str">
            <v>0K236</v>
          </cell>
          <cell r="C62" t="str">
            <v>Direct</v>
          </cell>
          <cell r="D62" t="str">
            <v>UEC</v>
          </cell>
        </row>
        <row r="63">
          <cell r="B63" t="str">
            <v>0K237</v>
          </cell>
          <cell r="C63" t="str">
            <v>Direct</v>
          </cell>
          <cell r="D63" t="str">
            <v>CIL</v>
          </cell>
        </row>
        <row r="64">
          <cell r="B64" t="str">
            <v>0K334</v>
          </cell>
          <cell r="C64" t="str">
            <v>Direct</v>
          </cell>
          <cell r="D64" t="str">
            <v>AFS</v>
          </cell>
        </row>
        <row r="65">
          <cell r="B65" t="str">
            <v>0K389</v>
          </cell>
          <cell r="C65" t="str">
            <v>Direct</v>
          </cell>
          <cell r="D65" t="str">
            <v>GEN</v>
          </cell>
        </row>
        <row r="66">
          <cell r="B66" t="str">
            <v>0K390</v>
          </cell>
          <cell r="C66" t="str">
            <v>Direct</v>
          </cell>
          <cell r="D66" t="str">
            <v>ARG</v>
          </cell>
        </row>
        <row r="67">
          <cell r="B67" t="str">
            <v>0K396</v>
          </cell>
          <cell r="C67" t="str">
            <v>Direct</v>
          </cell>
          <cell r="D67" t="str">
            <v>CIP</v>
          </cell>
        </row>
        <row r="68">
          <cell r="B68" t="str">
            <v>0K398</v>
          </cell>
          <cell r="C68" t="str">
            <v>Direct</v>
          </cell>
          <cell r="D68" t="str">
            <v>CIL</v>
          </cell>
        </row>
        <row r="69">
          <cell r="B69" t="str">
            <v>0K399</v>
          </cell>
          <cell r="C69" t="str">
            <v>Direct</v>
          </cell>
          <cell r="D69" t="str">
            <v>IPC</v>
          </cell>
        </row>
        <row r="70">
          <cell r="B70" t="str">
            <v>0K405</v>
          </cell>
          <cell r="C70" t="str">
            <v>Direct</v>
          </cell>
          <cell r="D70" t="str">
            <v>IPC</v>
          </cell>
        </row>
        <row r="71">
          <cell r="B71" t="str">
            <v>0K460</v>
          </cell>
          <cell r="C71" t="str">
            <v>Direct</v>
          </cell>
          <cell r="D71" t="str">
            <v>UEC</v>
          </cell>
        </row>
        <row r="72">
          <cell r="B72" t="str">
            <v>0K466</v>
          </cell>
          <cell r="C72" t="str">
            <v>Direct</v>
          </cell>
          <cell r="D72" t="str">
            <v>UEC</v>
          </cell>
        </row>
        <row r="73">
          <cell r="B73" t="str">
            <v>0K471</v>
          </cell>
          <cell r="C73" t="str">
            <v>Direct</v>
          </cell>
          <cell r="D73" t="str">
            <v>UEC</v>
          </cell>
        </row>
        <row r="74">
          <cell r="B74" t="str">
            <v>0K476</v>
          </cell>
          <cell r="C74" t="str">
            <v>Direct</v>
          </cell>
          <cell r="D74" t="str">
            <v>IPC</v>
          </cell>
        </row>
        <row r="75">
          <cell r="B75" t="str">
            <v>0K481</v>
          </cell>
          <cell r="C75" t="str">
            <v>Direct</v>
          </cell>
          <cell r="D75" t="str">
            <v>UEC</v>
          </cell>
        </row>
        <row r="76">
          <cell r="B76" t="str">
            <v>0K487</v>
          </cell>
          <cell r="C76" t="str">
            <v>Direct</v>
          </cell>
          <cell r="D76" t="str">
            <v>CIL</v>
          </cell>
        </row>
        <row r="77">
          <cell r="B77" t="str">
            <v>0K937</v>
          </cell>
          <cell r="C77" t="str">
            <v>Direct</v>
          </cell>
          <cell r="D77" t="str">
            <v>CIP</v>
          </cell>
        </row>
        <row r="78">
          <cell r="B78" t="str">
            <v>0M234</v>
          </cell>
          <cell r="C78" t="str">
            <v>Direct</v>
          </cell>
          <cell r="D78" t="str">
            <v>UEC</v>
          </cell>
        </row>
        <row r="79">
          <cell r="B79" t="str">
            <v>0M414</v>
          </cell>
          <cell r="C79" t="str">
            <v>Direct</v>
          </cell>
          <cell r="D79" t="str">
            <v>UEC</v>
          </cell>
        </row>
        <row r="80">
          <cell r="B80" t="str">
            <v>0M453</v>
          </cell>
          <cell r="C80" t="str">
            <v>Direct</v>
          </cell>
          <cell r="D80" t="str">
            <v>UEC</v>
          </cell>
        </row>
        <row r="81">
          <cell r="B81" t="str">
            <v>0M463</v>
          </cell>
          <cell r="C81" t="str">
            <v>Direct</v>
          </cell>
          <cell r="D81" t="str">
            <v>UEC</v>
          </cell>
        </row>
        <row r="82">
          <cell r="B82" t="str">
            <v>0P012</v>
          </cell>
          <cell r="C82" t="str">
            <v>Direct</v>
          </cell>
          <cell r="D82" t="str">
            <v>UEC</v>
          </cell>
        </row>
        <row r="83">
          <cell r="B83" t="str">
            <v>0P015</v>
          </cell>
          <cell r="C83" t="str">
            <v>Direct</v>
          </cell>
          <cell r="D83" t="str">
            <v>011B</v>
          </cell>
        </row>
        <row r="84">
          <cell r="B84" t="str">
            <v>0P135</v>
          </cell>
          <cell r="C84" t="str">
            <v>Direct</v>
          </cell>
          <cell r="D84" t="str">
            <v>UEC</v>
          </cell>
        </row>
        <row r="85">
          <cell r="B85" t="str">
            <v>0P237</v>
          </cell>
          <cell r="C85" t="str">
            <v>Direct</v>
          </cell>
          <cell r="D85" t="str">
            <v>UEC</v>
          </cell>
        </row>
        <row r="86">
          <cell r="B86" t="str">
            <v>0P238</v>
          </cell>
          <cell r="C86" t="str">
            <v>Direct</v>
          </cell>
          <cell r="D86" t="str">
            <v>UEC</v>
          </cell>
        </row>
        <row r="87">
          <cell r="B87" t="str">
            <v>0P274</v>
          </cell>
          <cell r="C87" t="str">
            <v>Direct</v>
          </cell>
          <cell r="D87" t="str">
            <v>UEC</v>
          </cell>
        </row>
        <row r="88">
          <cell r="B88" t="str">
            <v>0P287</v>
          </cell>
          <cell r="C88" t="str">
            <v>Direct</v>
          </cell>
          <cell r="D88" t="str">
            <v>UEC</v>
          </cell>
        </row>
        <row r="89">
          <cell r="B89" t="str">
            <v>0P309</v>
          </cell>
          <cell r="C89" t="str">
            <v>Direct</v>
          </cell>
          <cell r="D89" t="str">
            <v>UEC</v>
          </cell>
        </row>
        <row r="90">
          <cell r="B90" t="str">
            <v>0P409</v>
          </cell>
          <cell r="C90" t="str">
            <v>Direct</v>
          </cell>
          <cell r="D90" t="str">
            <v>UEC</v>
          </cell>
        </row>
        <row r="91">
          <cell r="B91" t="str">
            <v>0P410</v>
          </cell>
          <cell r="C91" t="str">
            <v>Direct</v>
          </cell>
          <cell r="D91" t="str">
            <v>011B</v>
          </cell>
        </row>
        <row r="92">
          <cell r="B92" t="str">
            <v>0P432</v>
          </cell>
          <cell r="C92" t="str">
            <v>Direct</v>
          </cell>
          <cell r="D92" t="str">
            <v>UEC</v>
          </cell>
        </row>
        <row r="93">
          <cell r="B93" t="str">
            <v>0P526</v>
          </cell>
          <cell r="C93" t="str">
            <v>Direct</v>
          </cell>
          <cell r="D93" t="str">
            <v>011B</v>
          </cell>
        </row>
        <row r="94">
          <cell r="B94" t="str">
            <v>0P527</v>
          </cell>
          <cell r="C94" t="str">
            <v>Direct</v>
          </cell>
          <cell r="D94" t="str">
            <v>011B</v>
          </cell>
        </row>
        <row r="95">
          <cell r="B95" t="str">
            <v>0P568</v>
          </cell>
          <cell r="C95" t="str">
            <v>Direct</v>
          </cell>
          <cell r="D95" t="str">
            <v>UEC</v>
          </cell>
        </row>
        <row r="96">
          <cell r="B96" t="str">
            <v>0P581</v>
          </cell>
          <cell r="C96" t="str">
            <v>Direct</v>
          </cell>
          <cell r="D96" t="str">
            <v>UEC</v>
          </cell>
        </row>
        <row r="97">
          <cell r="B97" t="str">
            <v>0P606</v>
          </cell>
          <cell r="C97" t="str">
            <v>Direct</v>
          </cell>
          <cell r="D97" t="str">
            <v>UEC</v>
          </cell>
        </row>
        <row r="98">
          <cell r="B98" t="str">
            <v>0P661</v>
          </cell>
          <cell r="C98" t="str">
            <v>Direct</v>
          </cell>
          <cell r="D98" t="str">
            <v>UEC</v>
          </cell>
        </row>
        <row r="99">
          <cell r="B99" t="str">
            <v>0P666</v>
          </cell>
          <cell r="C99" t="str">
            <v>Direct</v>
          </cell>
          <cell r="D99" t="str">
            <v>UEC</v>
          </cell>
        </row>
        <row r="100">
          <cell r="B100" t="str">
            <v>0P739</v>
          </cell>
          <cell r="C100" t="str">
            <v>Direct</v>
          </cell>
          <cell r="D100" t="str">
            <v>UEC</v>
          </cell>
        </row>
        <row r="101">
          <cell r="B101" t="str">
            <v>0P774</v>
          </cell>
          <cell r="C101" t="str">
            <v>Direct</v>
          </cell>
          <cell r="D101" t="str">
            <v>UEC</v>
          </cell>
        </row>
        <row r="102">
          <cell r="B102" t="str">
            <v>0P781</v>
          </cell>
          <cell r="C102" t="str">
            <v>Direct</v>
          </cell>
          <cell r="D102" t="str">
            <v>UEC</v>
          </cell>
        </row>
        <row r="103">
          <cell r="B103" t="str">
            <v>0P794</v>
          </cell>
          <cell r="C103" t="str">
            <v>Direct</v>
          </cell>
          <cell r="D103" t="str">
            <v>011B</v>
          </cell>
        </row>
        <row r="104">
          <cell r="B104" t="str">
            <v>0P839</v>
          </cell>
          <cell r="C104" t="str">
            <v>Direct</v>
          </cell>
          <cell r="D104" t="str">
            <v>UEC</v>
          </cell>
        </row>
        <row r="105">
          <cell r="B105" t="str">
            <v>0P841</v>
          </cell>
          <cell r="C105" t="str">
            <v>Direct</v>
          </cell>
          <cell r="D105" t="str">
            <v>UEC</v>
          </cell>
        </row>
        <row r="106">
          <cell r="B106" t="str">
            <v>0P871</v>
          </cell>
          <cell r="C106" t="str">
            <v>Direct</v>
          </cell>
          <cell r="D106" t="str">
            <v>UEC</v>
          </cell>
        </row>
        <row r="107">
          <cell r="B107" t="str">
            <v>0P873</v>
          </cell>
          <cell r="C107" t="str">
            <v>Direct</v>
          </cell>
          <cell r="D107" t="str">
            <v>UEC</v>
          </cell>
        </row>
        <row r="108">
          <cell r="B108" t="str">
            <v>0P879</v>
          </cell>
          <cell r="C108" t="str">
            <v>Direct</v>
          </cell>
          <cell r="D108" t="str">
            <v>UEC</v>
          </cell>
        </row>
        <row r="109">
          <cell r="B109" t="str">
            <v>0P881</v>
          </cell>
          <cell r="C109" t="str">
            <v>Direct</v>
          </cell>
          <cell r="D109" t="str">
            <v>UEC</v>
          </cell>
        </row>
        <row r="110">
          <cell r="B110" t="str">
            <v>0P882</v>
          </cell>
          <cell r="C110" t="str">
            <v>Direct</v>
          </cell>
          <cell r="D110" t="str">
            <v>UEC</v>
          </cell>
        </row>
        <row r="111">
          <cell r="B111" t="str">
            <v>0P883</v>
          </cell>
          <cell r="C111" t="str">
            <v>Direct</v>
          </cell>
          <cell r="D111" t="str">
            <v>UEC</v>
          </cell>
        </row>
        <row r="112">
          <cell r="B112" t="str">
            <v>0P975</v>
          </cell>
          <cell r="C112" t="str">
            <v>Direct</v>
          </cell>
          <cell r="D112" t="str">
            <v>UEC</v>
          </cell>
        </row>
        <row r="113">
          <cell r="B113" t="str">
            <v>0PM2T</v>
          </cell>
          <cell r="C113" t="str">
            <v>Direct</v>
          </cell>
          <cell r="D113" t="str">
            <v>UEC</v>
          </cell>
        </row>
        <row r="114">
          <cell r="B114" t="str">
            <v>0PM3B</v>
          </cell>
          <cell r="C114" t="str">
            <v>Direct</v>
          </cell>
          <cell r="D114" t="str">
            <v>UEC</v>
          </cell>
        </row>
        <row r="115">
          <cell r="B115" t="str">
            <v>0PM3T</v>
          </cell>
          <cell r="C115" t="str">
            <v>Direct</v>
          </cell>
          <cell r="D115" t="str">
            <v>UEC</v>
          </cell>
        </row>
        <row r="116">
          <cell r="B116" t="str">
            <v>0PM4B</v>
          </cell>
          <cell r="C116" t="str">
            <v>Direct</v>
          </cell>
          <cell r="D116" t="str">
            <v>UEC</v>
          </cell>
        </row>
        <row r="117">
          <cell r="B117" t="str">
            <v>0PM4T</v>
          </cell>
          <cell r="C117" t="str">
            <v>Direct</v>
          </cell>
          <cell r="D117" t="str">
            <v>UEC</v>
          </cell>
        </row>
        <row r="118">
          <cell r="B118" t="str">
            <v>0PR1B</v>
          </cell>
          <cell r="C118" t="str">
            <v>Direct</v>
          </cell>
          <cell r="D118" t="str">
            <v>UEC</v>
          </cell>
        </row>
        <row r="119">
          <cell r="B119" t="str">
            <v>0PR1T</v>
          </cell>
          <cell r="C119" t="str">
            <v>Direct</v>
          </cell>
          <cell r="D119" t="str">
            <v>UEC</v>
          </cell>
        </row>
        <row r="120">
          <cell r="B120" t="str">
            <v>0PR2B</v>
          </cell>
          <cell r="C120" t="str">
            <v>Direct</v>
          </cell>
          <cell r="D120" t="str">
            <v>UEC</v>
          </cell>
        </row>
        <row r="121">
          <cell r="B121" t="str">
            <v>0PR2T</v>
          </cell>
          <cell r="C121" t="str">
            <v>Direct</v>
          </cell>
          <cell r="D121" t="str">
            <v>UEC</v>
          </cell>
        </row>
        <row r="122">
          <cell r="B122" t="str">
            <v>0PS1B</v>
          </cell>
          <cell r="C122" t="str">
            <v>Direct</v>
          </cell>
          <cell r="D122" t="str">
            <v>UEC</v>
          </cell>
        </row>
        <row r="123">
          <cell r="B123" t="str">
            <v>0PS1T</v>
          </cell>
          <cell r="C123" t="str">
            <v>Direct</v>
          </cell>
          <cell r="D123" t="str">
            <v>UEC</v>
          </cell>
        </row>
        <row r="124">
          <cell r="B124" t="str">
            <v>0PS2B</v>
          </cell>
          <cell r="C124" t="str">
            <v>Direct</v>
          </cell>
          <cell r="D124" t="str">
            <v>UEC</v>
          </cell>
        </row>
        <row r="125">
          <cell r="B125" t="str">
            <v>0PS2T</v>
          </cell>
          <cell r="C125" t="str">
            <v>Direct</v>
          </cell>
          <cell r="D125" t="str">
            <v>UEC</v>
          </cell>
        </row>
        <row r="126">
          <cell r="B126" t="str">
            <v>10467</v>
          </cell>
          <cell r="C126" t="str">
            <v>Direct</v>
          </cell>
          <cell r="D126" t="str">
            <v>UEC</v>
          </cell>
        </row>
        <row r="127">
          <cell r="B127" t="str">
            <v>10695</v>
          </cell>
          <cell r="C127" t="str">
            <v>Direct</v>
          </cell>
          <cell r="D127" t="str">
            <v>AED</v>
          </cell>
        </row>
        <row r="128">
          <cell r="B128" t="str">
            <v>10715</v>
          </cell>
          <cell r="C128" t="str">
            <v>Direct</v>
          </cell>
          <cell r="D128" t="str">
            <v>UEC</v>
          </cell>
        </row>
        <row r="129">
          <cell r="B129" t="str">
            <v>10811</v>
          </cell>
          <cell r="C129" t="str">
            <v>Direct</v>
          </cell>
          <cell r="D129" t="str">
            <v>UEC</v>
          </cell>
        </row>
        <row r="130">
          <cell r="B130" t="str">
            <v>10847</v>
          </cell>
          <cell r="C130" t="str">
            <v>Direct</v>
          </cell>
          <cell r="D130" t="str">
            <v>UEC</v>
          </cell>
        </row>
        <row r="131">
          <cell r="B131" t="str">
            <v>10854</v>
          </cell>
          <cell r="C131" t="str">
            <v>Direct</v>
          </cell>
          <cell r="D131" t="str">
            <v>UEC</v>
          </cell>
        </row>
        <row r="132">
          <cell r="B132" t="str">
            <v>10887</v>
          </cell>
          <cell r="C132" t="str">
            <v>Direct</v>
          </cell>
          <cell r="D132" t="str">
            <v>UEC</v>
          </cell>
        </row>
        <row r="133">
          <cell r="B133" t="str">
            <v>10888</v>
          </cell>
          <cell r="C133" t="str">
            <v>Direct</v>
          </cell>
          <cell r="D133" t="str">
            <v>UEC</v>
          </cell>
        </row>
        <row r="134">
          <cell r="B134" t="str">
            <v>10895</v>
          </cell>
          <cell r="C134" t="str">
            <v>Direct</v>
          </cell>
          <cell r="D134" t="str">
            <v>UEC</v>
          </cell>
        </row>
        <row r="135">
          <cell r="B135" t="str">
            <v>10997</v>
          </cell>
          <cell r="C135" t="str">
            <v>Direct</v>
          </cell>
          <cell r="D135" t="str">
            <v>UEC</v>
          </cell>
        </row>
        <row r="136">
          <cell r="B136" t="str">
            <v>11042</v>
          </cell>
          <cell r="C136" t="str">
            <v>Direct</v>
          </cell>
          <cell r="D136" t="str">
            <v>UEC</v>
          </cell>
        </row>
        <row r="137">
          <cell r="B137" t="str">
            <v>11057</v>
          </cell>
          <cell r="C137" t="str">
            <v>Direct</v>
          </cell>
          <cell r="D137" t="str">
            <v>UEC</v>
          </cell>
        </row>
        <row r="138">
          <cell r="B138" t="str">
            <v>11146</v>
          </cell>
          <cell r="C138" t="str">
            <v>Direct</v>
          </cell>
          <cell r="D138" t="str">
            <v>UEC</v>
          </cell>
        </row>
        <row r="139">
          <cell r="B139" t="str">
            <v>11180</v>
          </cell>
          <cell r="C139" t="str">
            <v>Direct</v>
          </cell>
          <cell r="D139" t="str">
            <v>UEC</v>
          </cell>
        </row>
        <row r="140">
          <cell r="B140" t="str">
            <v>11234</v>
          </cell>
          <cell r="C140" t="str">
            <v>Direct</v>
          </cell>
          <cell r="D140" t="str">
            <v>UEC</v>
          </cell>
        </row>
        <row r="141">
          <cell r="B141" t="str">
            <v>11290</v>
          </cell>
          <cell r="C141" t="str">
            <v>Direct</v>
          </cell>
          <cell r="D141" t="str">
            <v>UEC</v>
          </cell>
        </row>
        <row r="142">
          <cell r="B142" t="str">
            <v>11306</v>
          </cell>
          <cell r="C142" t="str">
            <v>Direct</v>
          </cell>
          <cell r="D142" t="str">
            <v>UEC</v>
          </cell>
        </row>
        <row r="143">
          <cell r="B143" t="str">
            <v>11354</v>
          </cell>
          <cell r="C143" t="str">
            <v>Direct</v>
          </cell>
          <cell r="D143" t="str">
            <v>UEC</v>
          </cell>
        </row>
        <row r="144">
          <cell r="B144" t="str">
            <v>11363</v>
          </cell>
          <cell r="C144" t="str">
            <v>Direct</v>
          </cell>
          <cell r="D144" t="str">
            <v>UEC</v>
          </cell>
        </row>
        <row r="145">
          <cell r="B145" t="str">
            <v>11366</v>
          </cell>
          <cell r="C145" t="str">
            <v>Direct</v>
          </cell>
          <cell r="D145" t="str">
            <v>CIP</v>
          </cell>
        </row>
        <row r="146">
          <cell r="B146" t="str">
            <v>11370</v>
          </cell>
          <cell r="C146" t="str">
            <v>Direct</v>
          </cell>
          <cell r="D146" t="str">
            <v>CIP</v>
          </cell>
        </row>
        <row r="147">
          <cell r="B147" t="str">
            <v>11378</v>
          </cell>
          <cell r="C147" t="str">
            <v>Direct</v>
          </cell>
          <cell r="D147" t="str">
            <v>UEC</v>
          </cell>
        </row>
        <row r="148">
          <cell r="B148" t="str">
            <v>11427</v>
          </cell>
          <cell r="C148" t="str">
            <v>Direct</v>
          </cell>
          <cell r="D148" t="str">
            <v>UEC</v>
          </cell>
        </row>
        <row r="149">
          <cell r="B149" t="str">
            <v>11488</v>
          </cell>
          <cell r="C149" t="str">
            <v>Direct</v>
          </cell>
          <cell r="D149" t="str">
            <v>UEC</v>
          </cell>
        </row>
        <row r="150">
          <cell r="B150" t="str">
            <v>11506</v>
          </cell>
          <cell r="C150" t="str">
            <v>Direct</v>
          </cell>
          <cell r="D150" t="str">
            <v>UEC</v>
          </cell>
        </row>
        <row r="151">
          <cell r="B151" t="str">
            <v>11507</v>
          </cell>
          <cell r="C151" t="str">
            <v>Direct</v>
          </cell>
          <cell r="D151" t="str">
            <v>UEC</v>
          </cell>
        </row>
        <row r="152">
          <cell r="B152" t="str">
            <v>11508</v>
          </cell>
          <cell r="C152" t="str">
            <v>Direct</v>
          </cell>
          <cell r="D152" t="str">
            <v>UEC</v>
          </cell>
        </row>
        <row r="153">
          <cell r="B153" t="str">
            <v>11515</v>
          </cell>
          <cell r="C153" t="str">
            <v>Direct</v>
          </cell>
          <cell r="D153" t="str">
            <v>UEC</v>
          </cell>
        </row>
        <row r="154">
          <cell r="B154" t="str">
            <v>11560</v>
          </cell>
          <cell r="C154" t="str">
            <v>Direct</v>
          </cell>
          <cell r="D154" t="str">
            <v>UEC</v>
          </cell>
        </row>
        <row r="155">
          <cell r="B155" t="str">
            <v>11601</v>
          </cell>
          <cell r="C155" t="str">
            <v>Direct</v>
          </cell>
          <cell r="D155" t="str">
            <v>UEC</v>
          </cell>
        </row>
        <row r="156">
          <cell r="B156" t="str">
            <v>11619</v>
          </cell>
          <cell r="C156" t="str">
            <v>Direct</v>
          </cell>
          <cell r="D156" t="str">
            <v>UEC</v>
          </cell>
        </row>
        <row r="157">
          <cell r="B157" t="str">
            <v>11645</v>
          </cell>
          <cell r="C157" t="str">
            <v>Direct</v>
          </cell>
          <cell r="D157" t="str">
            <v>UEC</v>
          </cell>
        </row>
        <row r="158">
          <cell r="B158" t="str">
            <v>11647</v>
          </cell>
          <cell r="C158" t="str">
            <v>Direct</v>
          </cell>
          <cell r="D158" t="str">
            <v>UEC</v>
          </cell>
        </row>
        <row r="159">
          <cell r="B159" t="str">
            <v>11650</v>
          </cell>
          <cell r="C159" t="str">
            <v>Direct</v>
          </cell>
          <cell r="D159" t="str">
            <v>UEC</v>
          </cell>
        </row>
        <row r="160">
          <cell r="B160" t="str">
            <v>11747</v>
          </cell>
          <cell r="C160" t="str">
            <v>Direct</v>
          </cell>
          <cell r="D160" t="str">
            <v>UEC</v>
          </cell>
        </row>
        <row r="161">
          <cell r="B161" t="str">
            <v>11753</v>
          </cell>
          <cell r="C161" t="str">
            <v>Direct</v>
          </cell>
          <cell r="D161" t="str">
            <v>UEC</v>
          </cell>
        </row>
        <row r="162">
          <cell r="B162" t="str">
            <v>11757</v>
          </cell>
          <cell r="C162" t="str">
            <v>Direct</v>
          </cell>
          <cell r="D162" t="str">
            <v>UEC</v>
          </cell>
        </row>
        <row r="163">
          <cell r="B163" t="str">
            <v>11758</v>
          </cell>
          <cell r="C163" t="str">
            <v>Direct</v>
          </cell>
          <cell r="D163" t="str">
            <v>UEC</v>
          </cell>
        </row>
        <row r="164">
          <cell r="B164" t="str">
            <v>11789</v>
          </cell>
          <cell r="C164" t="str">
            <v>Direct</v>
          </cell>
          <cell r="D164" t="str">
            <v>UEC</v>
          </cell>
        </row>
        <row r="165">
          <cell r="B165" t="str">
            <v>11800</v>
          </cell>
          <cell r="C165" t="str">
            <v>Direct</v>
          </cell>
          <cell r="D165" t="str">
            <v>UEC</v>
          </cell>
        </row>
        <row r="166">
          <cell r="B166" t="str">
            <v>11801</v>
          </cell>
          <cell r="C166" t="str">
            <v>Direct</v>
          </cell>
          <cell r="D166" t="str">
            <v>UEC</v>
          </cell>
        </row>
        <row r="167">
          <cell r="B167" t="str">
            <v>11819</v>
          </cell>
          <cell r="C167" t="str">
            <v>Direct</v>
          </cell>
          <cell r="D167" t="str">
            <v>UEC</v>
          </cell>
        </row>
        <row r="168">
          <cell r="B168" t="str">
            <v>11847</v>
          </cell>
          <cell r="C168" t="str">
            <v>Direct</v>
          </cell>
          <cell r="D168" t="str">
            <v>UEC</v>
          </cell>
        </row>
        <row r="169">
          <cell r="B169" t="str">
            <v>11907</v>
          </cell>
          <cell r="C169" t="str">
            <v>Direct</v>
          </cell>
          <cell r="D169" t="str">
            <v>UEC</v>
          </cell>
        </row>
        <row r="170">
          <cell r="B170" t="str">
            <v>11920</v>
          </cell>
          <cell r="C170" t="str">
            <v>Direct</v>
          </cell>
          <cell r="D170" t="str">
            <v>UEC</v>
          </cell>
        </row>
        <row r="171">
          <cell r="B171" t="str">
            <v>11940</v>
          </cell>
          <cell r="C171" t="str">
            <v>Direct</v>
          </cell>
          <cell r="D171" t="str">
            <v>UEC</v>
          </cell>
        </row>
        <row r="172">
          <cell r="B172" t="str">
            <v>11941</v>
          </cell>
          <cell r="C172" t="str">
            <v>Direct</v>
          </cell>
          <cell r="D172" t="str">
            <v>UEC</v>
          </cell>
        </row>
        <row r="173">
          <cell r="B173" t="str">
            <v>11995</v>
          </cell>
          <cell r="C173" t="str">
            <v>Direct</v>
          </cell>
          <cell r="D173" t="str">
            <v>UEC</v>
          </cell>
        </row>
        <row r="174">
          <cell r="B174" t="str">
            <v>12001</v>
          </cell>
          <cell r="C174" t="str">
            <v>Direct</v>
          </cell>
          <cell r="D174" t="str">
            <v>UEC</v>
          </cell>
        </row>
        <row r="175">
          <cell r="B175" t="str">
            <v>12275</v>
          </cell>
          <cell r="C175" t="str">
            <v>Direct</v>
          </cell>
          <cell r="D175" t="str">
            <v>GEN</v>
          </cell>
        </row>
        <row r="176">
          <cell r="B176" t="str">
            <v>12397</v>
          </cell>
          <cell r="C176" t="str">
            <v>Direct</v>
          </cell>
          <cell r="D176" t="str">
            <v>UEC</v>
          </cell>
        </row>
        <row r="177">
          <cell r="B177" t="str">
            <v>12444</v>
          </cell>
          <cell r="C177" t="str">
            <v>Direct</v>
          </cell>
          <cell r="D177" t="str">
            <v>UEC</v>
          </cell>
        </row>
        <row r="178">
          <cell r="B178" t="str">
            <v>12449</v>
          </cell>
          <cell r="C178" t="str">
            <v>Direct</v>
          </cell>
          <cell r="D178" t="str">
            <v>UEC</v>
          </cell>
        </row>
        <row r="179">
          <cell r="B179" t="str">
            <v>12474</v>
          </cell>
          <cell r="C179" t="str">
            <v>Direct</v>
          </cell>
          <cell r="D179" t="str">
            <v>UEC</v>
          </cell>
        </row>
        <row r="180">
          <cell r="B180" t="str">
            <v>12491</v>
          </cell>
          <cell r="C180" t="str">
            <v>Direct</v>
          </cell>
          <cell r="D180" t="str">
            <v>UEC</v>
          </cell>
        </row>
        <row r="181">
          <cell r="B181" t="str">
            <v>12636</v>
          </cell>
          <cell r="C181" t="str">
            <v>Direct</v>
          </cell>
          <cell r="D181" t="str">
            <v>UEC</v>
          </cell>
        </row>
        <row r="182">
          <cell r="B182" t="str">
            <v>12644</v>
          </cell>
          <cell r="C182" t="str">
            <v>Direct</v>
          </cell>
          <cell r="D182" t="str">
            <v>UEC</v>
          </cell>
        </row>
        <row r="183">
          <cell r="B183" t="str">
            <v>12676</v>
          </cell>
          <cell r="C183" t="str">
            <v>Direct</v>
          </cell>
          <cell r="D183" t="str">
            <v>CIP</v>
          </cell>
        </row>
        <row r="184">
          <cell r="B184" t="str">
            <v>12684</v>
          </cell>
          <cell r="C184" t="str">
            <v>Direct</v>
          </cell>
          <cell r="D184" t="str">
            <v>UEC</v>
          </cell>
        </row>
        <row r="185">
          <cell r="B185" t="str">
            <v>12705</v>
          </cell>
          <cell r="C185" t="str">
            <v>Direct</v>
          </cell>
          <cell r="D185" t="str">
            <v>UEC</v>
          </cell>
        </row>
        <row r="186">
          <cell r="B186" t="str">
            <v>12711</v>
          </cell>
          <cell r="C186" t="str">
            <v>Direct</v>
          </cell>
          <cell r="D186" t="str">
            <v>UEC</v>
          </cell>
        </row>
        <row r="187">
          <cell r="B187" t="str">
            <v>12732</v>
          </cell>
          <cell r="C187" t="str">
            <v>Direct</v>
          </cell>
          <cell r="D187" t="str">
            <v>CIP</v>
          </cell>
        </row>
        <row r="188">
          <cell r="B188" t="str">
            <v>12737</v>
          </cell>
          <cell r="C188" t="str">
            <v>Direct</v>
          </cell>
          <cell r="D188" t="str">
            <v>CIP</v>
          </cell>
        </row>
        <row r="189">
          <cell r="B189" t="str">
            <v>12744</v>
          </cell>
          <cell r="C189" t="str">
            <v>Direct</v>
          </cell>
          <cell r="D189" t="str">
            <v>UEC</v>
          </cell>
        </row>
        <row r="190">
          <cell r="B190" t="str">
            <v>12749</v>
          </cell>
          <cell r="C190" t="str">
            <v>Direct</v>
          </cell>
          <cell r="D190" t="str">
            <v>UEC</v>
          </cell>
        </row>
        <row r="191">
          <cell r="B191" t="str">
            <v>12756</v>
          </cell>
          <cell r="C191" t="str">
            <v>Direct</v>
          </cell>
          <cell r="D191" t="str">
            <v>CIP</v>
          </cell>
        </row>
        <row r="192">
          <cell r="B192" t="str">
            <v>12768</v>
          </cell>
          <cell r="C192" t="str">
            <v>Direct</v>
          </cell>
          <cell r="D192" t="str">
            <v>UEC</v>
          </cell>
        </row>
        <row r="193">
          <cell r="B193" t="str">
            <v>12773</v>
          </cell>
          <cell r="C193" t="str">
            <v>Direct</v>
          </cell>
          <cell r="D193" t="str">
            <v>UEC</v>
          </cell>
        </row>
        <row r="194">
          <cell r="B194" t="str">
            <v>12775</v>
          </cell>
          <cell r="C194" t="str">
            <v>Direct</v>
          </cell>
          <cell r="D194" t="str">
            <v>UEC</v>
          </cell>
        </row>
        <row r="195">
          <cell r="B195" t="str">
            <v>12789</v>
          </cell>
          <cell r="C195" t="str">
            <v>Direct</v>
          </cell>
          <cell r="D195" t="str">
            <v>UEC</v>
          </cell>
        </row>
        <row r="196">
          <cell r="B196" t="str">
            <v>12794</v>
          </cell>
          <cell r="C196" t="str">
            <v>Direct</v>
          </cell>
          <cell r="D196" t="str">
            <v>UEC</v>
          </cell>
        </row>
        <row r="197">
          <cell r="B197" t="str">
            <v>12795</v>
          </cell>
          <cell r="C197" t="str">
            <v>Direct</v>
          </cell>
          <cell r="D197" t="str">
            <v>UEC</v>
          </cell>
        </row>
        <row r="198">
          <cell r="B198" t="str">
            <v>12810</v>
          </cell>
          <cell r="C198" t="str">
            <v>Direct</v>
          </cell>
          <cell r="D198" t="str">
            <v>UEC</v>
          </cell>
        </row>
        <row r="199">
          <cell r="B199" t="str">
            <v>12813</v>
          </cell>
          <cell r="C199" t="str">
            <v>Direct</v>
          </cell>
          <cell r="D199" t="str">
            <v>UEC</v>
          </cell>
        </row>
        <row r="200">
          <cell r="B200" t="str">
            <v>12814</v>
          </cell>
          <cell r="C200" t="str">
            <v>Direct</v>
          </cell>
          <cell r="D200" t="str">
            <v>UEC</v>
          </cell>
        </row>
        <row r="201">
          <cell r="B201" t="str">
            <v>12815</v>
          </cell>
          <cell r="C201" t="str">
            <v>Direct</v>
          </cell>
          <cell r="D201" t="str">
            <v>CIP</v>
          </cell>
        </row>
        <row r="202">
          <cell r="B202" t="str">
            <v>12819</v>
          </cell>
          <cell r="C202" t="str">
            <v>Direct</v>
          </cell>
          <cell r="D202" t="str">
            <v>CIP</v>
          </cell>
        </row>
        <row r="203">
          <cell r="B203" t="str">
            <v>12822</v>
          </cell>
          <cell r="C203" t="str">
            <v>Direct</v>
          </cell>
          <cell r="D203" t="str">
            <v>UEC</v>
          </cell>
        </row>
        <row r="204">
          <cell r="B204" t="str">
            <v>12826</v>
          </cell>
          <cell r="C204" t="str">
            <v>Direct</v>
          </cell>
          <cell r="D204" t="str">
            <v>UEC</v>
          </cell>
        </row>
        <row r="205">
          <cell r="B205" t="str">
            <v>12839</v>
          </cell>
          <cell r="C205" t="str">
            <v>Direct</v>
          </cell>
          <cell r="D205" t="str">
            <v>UEC</v>
          </cell>
        </row>
        <row r="206">
          <cell r="B206" t="str">
            <v>12848</v>
          </cell>
          <cell r="C206" t="str">
            <v>Direct</v>
          </cell>
          <cell r="D206" t="str">
            <v>UEC</v>
          </cell>
        </row>
        <row r="207">
          <cell r="B207" t="str">
            <v>12851</v>
          </cell>
          <cell r="C207" t="str">
            <v>Direct</v>
          </cell>
          <cell r="D207" t="str">
            <v>UEC</v>
          </cell>
        </row>
        <row r="208">
          <cell r="B208" t="str">
            <v>12861</v>
          </cell>
          <cell r="C208" t="str">
            <v>Direct</v>
          </cell>
          <cell r="D208" t="str">
            <v>UEC</v>
          </cell>
        </row>
        <row r="209">
          <cell r="B209" t="str">
            <v>12862</v>
          </cell>
          <cell r="C209" t="str">
            <v>Direct</v>
          </cell>
          <cell r="D209" t="str">
            <v>UEC</v>
          </cell>
        </row>
        <row r="210">
          <cell r="B210" t="str">
            <v>12864</v>
          </cell>
          <cell r="C210" t="str">
            <v>Direct</v>
          </cell>
          <cell r="D210" t="str">
            <v>UEC</v>
          </cell>
        </row>
        <row r="211">
          <cell r="B211" t="str">
            <v>12865</v>
          </cell>
          <cell r="C211" t="str">
            <v>Direct</v>
          </cell>
          <cell r="D211" t="str">
            <v>UEC</v>
          </cell>
        </row>
        <row r="212">
          <cell r="B212" t="str">
            <v>12891</v>
          </cell>
          <cell r="C212" t="str">
            <v>Direct</v>
          </cell>
          <cell r="D212" t="str">
            <v>UEC</v>
          </cell>
        </row>
        <row r="213">
          <cell r="B213" t="str">
            <v>12893</v>
          </cell>
          <cell r="C213" t="str">
            <v>Direct</v>
          </cell>
          <cell r="D213" t="str">
            <v>UEC</v>
          </cell>
        </row>
        <row r="214">
          <cell r="B214" t="str">
            <v>12895</v>
          </cell>
          <cell r="C214" t="str">
            <v>Direct</v>
          </cell>
          <cell r="D214" t="str">
            <v>UEC</v>
          </cell>
        </row>
        <row r="215">
          <cell r="B215" t="str">
            <v>12896</v>
          </cell>
          <cell r="C215" t="str">
            <v>Direct</v>
          </cell>
          <cell r="D215" t="str">
            <v>UEC</v>
          </cell>
        </row>
        <row r="216">
          <cell r="B216" t="str">
            <v>12899</v>
          </cell>
          <cell r="C216" t="str">
            <v>Direct</v>
          </cell>
          <cell r="D216" t="str">
            <v>CIP</v>
          </cell>
        </row>
        <row r="217">
          <cell r="B217" t="str">
            <v>12905</v>
          </cell>
          <cell r="C217" t="str">
            <v>Direct</v>
          </cell>
          <cell r="D217" t="str">
            <v>UEC</v>
          </cell>
        </row>
        <row r="218">
          <cell r="B218" t="str">
            <v>12906</v>
          </cell>
          <cell r="C218" t="str">
            <v>Direct</v>
          </cell>
          <cell r="D218" t="str">
            <v>UEC</v>
          </cell>
        </row>
        <row r="219">
          <cell r="B219" t="str">
            <v>12907</v>
          </cell>
          <cell r="C219" t="str">
            <v>Direct</v>
          </cell>
          <cell r="D219" t="str">
            <v>UEC</v>
          </cell>
        </row>
        <row r="220">
          <cell r="B220" t="str">
            <v>12921</v>
          </cell>
          <cell r="C220" t="str">
            <v>Direct</v>
          </cell>
          <cell r="D220" t="str">
            <v>UEC</v>
          </cell>
        </row>
        <row r="221">
          <cell r="B221" t="str">
            <v>12933</v>
          </cell>
          <cell r="C221" t="str">
            <v>Direct</v>
          </cell>
          <cell r="D221" t="str">
            <v>UEC</v>
          </cell>
        </row>
        <row r="222">
          <cell r="B222" t="str">
            <v>12937</v>
          </cell>
          <cell r="C222" t="str">
            <v>Direct</v>
          </cell>
          <cell r="D222" t="str">
            <v>UEC</v>
          </cell>
        </row>
        <row r="223">
          <cell r="B223" t="str">
            <v>12942</v>
          </cell>
          <cell r="C223" t="str">
            <v>Direct</v>
          </cell>
          <cell r="D223" t="str">
            <v>UEC</v>
          </cell>
        </row>
        <row r="224">
          <cell r="B224" t="str">
            <v>12950</v>
          </cell>
          <cell r="C224" t="str">
            <v>Direct</v>
          </cell>
          <cell r="D224" t="str">
            <v>UEC</v>
          </cell>
        </row>
        <row r="225">
          <cell r="B225" t="str">
            <v>12955</v>
          </cell>
          <cell r="C225" t="str">
            <v>Direct</v>
          </cell>
          <cell r="D225" t="str">
            <v>UEC</v>
          </cell>
        </row>
        <row r="226">
          <cell r="B226" t="str">
            <v>12973</v>
          </cell>
          <cell r="C226" t="str">
            <v>Direct</v>
          </cell>
          <cell r="D226" t="str">
            <v>UEC</v>
          </cell>
        </row>
        <row r="227">
          <cell r="B227" t="str">
            <v>12976</v>
          </cell>
          <cell r="C227" t="str">
            <v>Direct</v>
          </cell>
          <cell r="D227" t="str">
            <v>UEC</v>
          </cell>
        </row>
        <row r="228">
          <cell r="B228" t="str">
            <v>12977</v>
          </cell>
          <cell r="C228" t="str">
            <v>Direct</v>
          </cell>
          <cell r="D228" t="str">
            <v>UEC</v>
          </cell>
        </row>
        <row r="229">
          <cell r="B229" t="str">
            <v>12978</v>
          </cell>
          <cell r="C229" t="str">
            <v>Direct</v>
          </cell>
          <cell r="D229" t="str">
            <v>UEC</v>
          </cell>
        </row>
        <row r="230">
          <cell r="B230" t="str">
            <v>12989</v>
          </cell>
          <cell r="C230" t="str">
            <v>Direct</v>
          </cell>
          <cell r="D230" t="str">
            <v>UEC</v>
          </cell>
        </row>
        <row r="231">
          <cell r="B231" t="str">
            <v>12990</v>
          </cell>
          <cell r="C231" t="str">
            <v>Direct</v>
          </cell>
          <cell r="D231" t="str">
            <v>UEC</v>
          </cell>
        </row>
        <row r="232">
          <cell r="B232" t="str">
            <v>13014</v>
          </cell>
          <cell r="C232" t="str">
            <v>Direct</v>
          </cell>
          <cell r="D232" t="str">
            <v>GEN</v>
          </cell>
        </row>
        <row r="233">
          <cell r="B233" t="str">
            <v>13076</v>
          </cell>
          <cell r="C233" t="str">
            <v>Direct</v>
          </cell>
          <cell r="D233" t="str">
            <v>GEN</v>
          </cell>
        </row>
        <row r="234">
          <cell r="B234" t="str">
            <v>13101</v>
          </cell>
          <cell r="C234" t="str">
            <v>Direct</v>
          </cell>
          <cell r="D234" t="str">
            <v>UEC</v>
          </cell>
        </row>
        <row r="235">
          <cell r="B235" t="str">
            <v>13174</v>
          </cell>
          <cell r="C235" t="str">
            <v>Direct</v>
          </cell>
          <cell r="D235" t="str">
            <v>UEC</v>
          </cell>
        </row>
        <row r="236">
          <cell r="B236" t="str">
            <v>13270</v>
          </cell>
          <cell r="C236" t="str">
            <v>Direct</v>
          </cell>
          <cell r="D236" t="str">
            <v>UEC</v>
          </cell>
        </row>
        <row r="237">
          <cell r="B237" t="str">
            <v>13326</v>
          </cell>
          <cell r="C237" t="str">
            <v>Direct</v>
          </cell>
          <cell r="D237" t="str">
            <v>AMC</v>
          </cell>
        </row>
        <row r="238">
          <cell r="B238" t="str">
            <v>13328</v>
          </cell>
          <cell r="C238" t="str">
            <v>Direct</v>
          </cell>
          <cell r="D238" t="str">
            <v>UEC</v>
          </cell>
        </row>
        <row r="239">
          <cell r="B239" t="str">
            <v>13329</v>
          </cell>
          <cell r="C239" t="str">
            <v>Direct</v>
          </cell>
          <cell r="D239" t="str">
            <v>UEC</v>
          </cell>
        </row>
        <row r="240">
          <cell r="B240" t="str">
            <v>13354</v>
          </cell>
          <cell r="C240" t="str">
            <v>Direct</v>
          </cell>
          <cell r="D240" t="str">
            <v>UEC</v>
          </cell>
        </row>
        <row r="241">
          <cell r="B241" t="str">
            <v>13355</v>
          </cell>
          <cell r="C241" t="str">
            <v>Direct</v>
          </cell>
          <cell r="D241" t="str">
            <v>UEC</v>
          </cell>
        </row>
        <row r="242">
          <cell r="B242" t="str">
            <v>13358</v>
          </cell>
          <cell r="C242" t="str">
            <v>Direct</v>
          </cell>
          <cell r="D242" t="str">
            <v>UEC</v>
          </cell>
        </row>
        <row r="243">
          <cell r="B243" t="str">
            <v>13372</v>
          </cell>
          <cell r="C243" t="str">
            <v>Direct</v>
          </cell>
          <cell r="D243" t="str">
            <v>UEC</v>
          </cell>
        </row>
        <row r="244">
          <cell r="B244" t="str">
            <v>13376</v>
          </cell>
          <cell r="C244" t="str">
            <v>Direct</v>
          </cell>
          <cell r="D244" t="str">
            <v>UEC</v>
          </cell>
        </row>
        <row r="245">
          <cell r="B245" t="str">
            <v>13377</v>
          </cell>
          <cell r="C245" t="str">
            <v>Direct</v>
          </cell>
          <cell r="D245" t="str">
            <v>UEC</v>
          </cell>
        </row>
        <row r="246">
          <cell r="B246" t="str">
            <v>13391</v>
          </cell>
          <cell r="C246" t="str">
            <v>Direct</v>
          </cell>
          <cell r="D246" t="str">
            <v>UEC</v>
          </cell>
        </row>
        <row r="247">
          <cell r="B247" t="str">
            <v>13395</v>
          </cell>
          <cell r="C247" t="str">
            <v>Direct</v>
          </cell>
          <cell r="D247" t="str">
            <v>UEC</v>
          </cell>
        </row>
        <row r="248">
          <cell r="B248" t="str">
            <v>13396</v>
          </cell>
          <cell r="C248" t="str">
            <v>Direct</v>
          </cell>
          <cell r="D248" t="str">
            <v>UEC</v>
          </cell>
        </row>
        <row r="249">
          <cell r="B249" t="str">
            <v>13398</v>
          </cell>
          <cell r="C249" t="str">
            <v>Direct</v>
          </cell>
          <cell r="D249" t="str">
            <v>UEC</v>
          </cell>
        </row>
        <row r="250">
          <cell r="B250" t="str">
            <v>13403</v>
          </cell>
          <cell r="C250" t="str">
            <v>Direct</v>
          </cell>
          <cell r="D250" t="str">
            <v>CIP</v>
          </cell>
        </row>
        <row r="251">
          <cell r="B251" t="str">
            <v>13421</v>
          </cell>
          <cell r="C251" t="str">
            <v>Direct</v>
          </cell>
          <cell r="D251" t="str">
            <v>UEC</v>
          </cell>
        </row>
        <row r="252">
          <cell r="B252" t="str">
            <v>13428</v>
          </cell>
          <cell r="C252" t="str">
            <v>Direct</v>
          </cell>
          <cell r="D252" t="str">
            <v>UEC</v>
          </cell>
        </row>
        <row r="253">
          <cell r="B253" t="str">
            <v>13429</v>
          </cell>
          <cell r="C253" t="str">
            <v>Direct</v>
          </cell>
          <cell r="D253" t="str">
            <v>UEC</v>
          </cell>
        </row>
        <row r="254">
          <cell r="B254" t="str">
            <v>13434</v>
          </cell>
          <cell r="C254" t="str">
            <v>Direct</v>
          </cell>
          <cell r="D254" t="str">
            <v>UEC</v>
          </cell>
        </row>
        <row r="255">
          <cell r="B255" t="str">
            <v>13477</v>
          </cell>
          <cell r="C255" t="str">
            <v>Direct</v>
          </cell>
          <cell r="D255" t="str">
            <v>UEC</v>
          </cell>
        </row>
        <row r="256">
          <cell r="B256" t="str">
            <v>13479</v>
          </cell>
          <cell r="C256" t="str">
            <v>Direct</v>
          </cell>
          <cell r="D256" t="str">
            <v>UEC</v>
          </cell>
        </row>
        <row r="257">
          <cell r="B257" t="str">
            <v>13488</v>
          </cell>
          <cell r="C257" t="str">
            <v>Direct</v>
          </cell>
          <cell r="D257" t="str">
            <v>UEC</v>
          </cell>
        </row>
        <row r="258">
          <cell r="B258" t="str">
            <v>13497</v>
          </cell>
          <cell r="C258" t="str">
            <v>Direct</v>
          </cell>
          <cell r="D258" t="str">
            <v>UEC</v>
          </cell>
        </row>
        <row r="259">
          <cell r="B259" t="str">
            <v>13504</v>
          </cell>
          <cell r="C259" t="str">
            <v>Direct</v>
          </cell>
          <cell r="D259" t="str">
            <v>CIP</v>
          </cell>
        </row>
        <row r="260">
          <cell r="B260" t="str">
            <v>13552</v>
          </cell>
          <cell r="C260" t="str">
            <v>Direct</v>
          </cell>
          <cell r="D260" t="str">
            <v>UEC</v>
          </cell>
        </row>
        <row r="261">
          <cell r="B261" t="str">
            <v>13560</v>
          </cell>
          <cell r="C261" t="str">
            <v>Direct</v>
          </cell>
          <cell r="D261" t="str">
            <v>UEC</v>
          </cell>
        </row>
        <row r="262">
          <cell r="B262" t="str">
            <v>13563</v>
          </cell>
          <cell r="C262" t="str">
            <v>Direct</v>
          </cell>
          <cell r="D262" t="str">
            <v>UEC</v>
          </cell>
        </row>
        <row r="263">
          <cell r="B263" t="str">
            <v>13568</v>
          </cell>
          <cell r="C263" t="str">
            <v>Direct</v>
          </cell>
          <cell r="D263" t="str">
            <v>UEC</v>
          </cell>
        </row>
        <row r="264">
          <cell r="B264" t="str">
            <v>13573</v>
          </cell>
          <cell r="C264" t="str">
            <v>Direct</v>
          </cell>
          <cell r="D264" t="str">
            <v>UEC</v>
          </cell>
        </row>
        <row r="265">
          <cell r="B265" t="str">
            <v>13576</v>
          </cell>
          <cell r="C265" t="str">
            <v>Direct</v>
          </cell>
          <cell r="D265" t="str">
            <v>UEC</v>
          </cell>
        </row>
        <row r="266">
          <cell r="B266" t="str">
            <v>13607</v>
          </cell>
          <cell r="C266" t="str">
            <v>Direct</v>
          </cell>
          <cell r="D266" t="str">
            <v>UEC</v>
          </cell>
        </row>
        <row r="267">
          <cell r="B267" t="str">
            <v>13609</v>
          </cell>
          <cell r="C267" t="str">
            <v>Direct</v>
          </cell>
          <cell r="D267" t="str">
            <v>UEC</v>
          </cell>
        </row>
        <row r="268">
          <cell r="B268" t="str">
            <v>13622</v>
          </cell>
          <cell r="C268" t="str">
            <v>Direct</v>
          </cell>
          <cell r="D268" t="str">
            <v>UEC</v>
          </cell>
        </row>
        <row r="269">
          <cell r="B269" t="str">
            <v>13625</v>
          </cell>
          <cell r="C269" t="str">
            <v>Direct</v>
          </cell>
          <cell r="D269" t="str">
            <v>UEC</v>
          </cell>
        </row>
        <row r="270">
          <cell r="B270" t="str">
            <v>13631</v>
          </cell>
          <cell r="C270" t="str">
            <v>Direct</v>
          </cell>
          <cell r="D270" t="str">
            <v>UEC</v>
          </cell>
        </row>
        <row r="271">
          <cell r="B271" t="str">
            <v>13634</v>
          </cell>
          <cell r="C271" t="str">
            <v>Direct</v>
          </cell>
          <cell r="D271" t="str">
            <v>UEC</v>
          </cell>
        </row>
        <row r="272">
          <cell r="B272" t="str">
            <v>13636</v>
          </cell>
          <cell r="C272" t="str">
            <v>Direct</v>
          </cell>
          <cell r="D272" t="str">
            <v>UEC</v>
          </cell>
        </row>
        <row r="273">
          <cell r="B273" t="str">
            <v>13638</v>
          </cell>
          <cell r="C273" t="str">
            <v>Direct</v>
          </cell>
          <cell r="D273" t="str">
            <v>UEC</v>
          </cell>
        </row>
        <row r="274">
          <cell r="B274" t="str">
            <v>13646</v>
          </cell>
          <cell r="C274" t="str">
            <v>Direct</v>
          </cell>
          <cell r="D274" t="str">
            <v>UEC</v>
          </cell>
        </row>
        <row r="275">
          <cell r="B275" t="str">
            <v>13668</v>
          </cell>
          <cell r="C275" t="str">
            <v>Direct</v>
          </cell>
          <cell r="D275" t="str">
            <v>UEC</v>
          </cell>
        </row>
        <row r="276">
          <cell r="B276" t="str">
            <v>13700</v>
          </cell>
          <cell r="C276" t="str">
            <v>Direct</v>
          </cell>
          <cell r="D276" t="str">
            <v>UEC</v>
          </cell>
        </row>
        <row r="277">
          <cell r="B277" t="str">
            <v>13712</v>
          </cell>
          <cell r="C277" t="str">
            <v>Direct</v>
          </cell>
          <cell r="D277" t="str">
            <v>UEC</v>
          </cell>
        </row>
        <row r="278">
          <cell r="B278" t="str">
            <v>13714</v>
          </cell>
          <cell r="C278" t="str">
            <v>Direct</v>
          </cell>
          <cell r="D278" t="str">
            <v>UEC</v>
          </cell>
        </row>
        <row r="279">
          <cell r="B279" t="str">
            <v>13722</v>
          </cell>
          <cell r="C279" t="str">
            <v>Direct</v>
          </cell>
          <cell r="D279" t="str">
            <v>UEC</v>
          </cell>
        </row>
        <row r="280">
          <cell r="B280" t="str">
            <v>13730</v>
          </cell>
          <cell r="C280" t="str">
            <v>Direct</v>
          </cell>
          <cell r="D280" t="str">
            <v>UEC</v>
          </cell>
        </row>
        <row r="281">
          <cell r="B281" t="str">
            <v>13745</v>
          </cell>
          <cell r="C281" t="str">
            <v>Direct</v>
          </cell>
          <cell r="D281" t="str">
            <v>UEC</v>
          </cell>
        </row>
        <row r="282">
          <cell r="B282" t="str">
            <v>13767</v>
          </cell>
          <cell r="C282" t="str">
            <v>Direct</v>
          </cell>
          <cell r="D282" t="str">
            <v>GEN</v>
          </cell>
        </row>
        <row r="283">
          <cell r="B283" t="str">
            <v>13769</v>
          </cell>
          <cell r="C283" t="str">
            <v>Direct</v>
          </cell>
          <cell r="D283" t="str">
            <v>UEC</v>
          </cell>
        </row>
        <row r="284">
          <cell r="B284" t="str">
            <v>13772</v>
          </cell>
          <cell r="C284" t="str">
            <v>Direct</v>
          </cell>
          <cell r="D284" t="str">
            <v>UEC</v>
          </cell>
        </row>
        <row r="285">
          <cell r="B285" t="str">
            <v>13778</v>
          </cell>
          <cell r="C285" t="str">
            <v>Direct</v>
          </cell>
          <cell r="D285" t="str">
            <v>UEC</v>
          </cell>
        </row>
        <row r="286">
          <cell r="B286" t="str">
            <v>13781</v>
          </cell>
          <cell r="C286" t="str">
            <v>Direct</v>
          </cell>
          <cell r="D286" t="str">
            <v>UEC</v>
          </cell>
        </row>
        <row r="287">
          <cell r="B287" t="str">
            <v>13795</v>
          </cell>
          <cell r="C287" t="str">
            <v>Direct</v>
          </cell>
          <cell r="D287" t="str">
            <v>UEC</v>
          </cell>
        </row>
        <row r="288">
          <cell r="B288" t="str">
            <v>13807</v>
          </cell>
          <cell r="C288" t="str">
            <v>Direct</v>
          </cell>
          <cell r="D288" t="str">
            <v>UEC</v>
          </cell>
        </row>
        <row r="289">
          <cell r="B289" t="str">
            <v>13809</v>
          </cell>
          <cell r="C289" t="str">
            <v>Direct</v>
          </cell>
          <cell r="D289" t="str">
            <v>UEC</v>
          </cell>
        </row>
        <row r="290">
          <cell r="B290" t="str">
            <v>13830</v>
          </cell>
          <cell r="C290" t="str">
            <v>Direct</v>
          </cell>
          <cell r="D290" t="str">
            <v>UEC</v>
          </cell>
        </row>
        <row r="291">
          <cell r="B291" t="str">
            <v>13833</v>
          </cell>
          <cell r="C291" t="str">
            <v>Direct</v>
          </cell>
          <cell r="D291" t="str">
            <v>UEC</v>
          </cell>
        </row>
        <row r="292">
          <cell r="B292" t="str">
            <v>13834</v>
          </cell>
          <cell r="C292" t="str">
            <v>Direct</v>
          </cell>
          <cell r="D292" t="str">
            <v>UEC</v>
          </cell>
        </row>
        <row r="293">
          <cell r="B293" t="str">
            <v>13837</v>
          </cell>
          <cell r="C293" t="str">
            <v>Direct</v>
          </cell>
          <cell r="D293" t="str">
            <v>UEC</v>
          </cell>
        </row>
        <row r="294">
          <cell r="B294" t="str">
            <v>13838</v>
          </cell>
          <cell r="C294" t="str">
            <v>Direct</v>
          </cell>
          <cell r="D294" t="str">
            <v>UEC</v>
          </cell>
        </row>
        <row r="295">
          <cell r="B295" t="str">
            <v>13839</v>
          </cell>
          <cell r="C295" t="str">
            <v>Direct</v>
          </cell>
          <cell r="D295" t="str">
            <v>UEC</v>
          </cell>
        </row>
        <row r="296">
          <cell r="B296" t="str">
            <v>13843</v>
          </cell>
          <cell r="C296" t="str">
            <v>Direct</v>
          </cell>
          <cell r="D296" t="str">
            <v>UEC</v>
          </cell>
        </row>
        <row r="297">
          <cell r="B297" t="str">
            <v>13851</v>
          </cell>
          <cell r="C297" t="str">
            <v>Direct</v>
          </cell>
          <cell r="D297" t="str">
            <v>UEC</v>
          </cell>
        </row>
        <row r="298">
          <cell r="B298" t="str">
            <v>13856</v>
          </cell>
          <cell r="C298" t="str">
            <v>Direct</v>
          </cell>
          <cell r="D298" t="str">
            <v>UEC</v>
          </cell>
        </row>
        <row r="299">
          <cell r="B299" t="str">
            <v>13878</v>
          </cell>
          <cell r="C299" t="str">
            <v>Direct</v>
          </cell>
          <cell r="D299" t="str">
            <v>UEC</v>
          </cell>
        </row>
        <row r="300">
          <cell r="B300" t="str">
            <v>13879</v>
          </cell>
          <cell r="C300" t="str">
            <v>Direct</v>
          </cell>
          <cell r="D300" t="str">
            <v>UEC</v>
          </cell>
        </row>
        <row r="301">
          <cell r="B301" t="str">
            <v>13880</v>
          </cell>
          <cell r="C301" t="str">
            <v>Direct</v>
          </cell>
          <cell r="D301" t="str">
            <v>UEC</v>
          </cell>
        </row>
        <row r="302">
          <cell r="B302" t="str">
            <v>13888</v>
          </cell>
          <cell r="C302" t="str">
            <v>Direct</v>
          </cell>
          <cell r="D302" t="str">
            <v>UEC</v>
          </cell>
        </row>
        <row r="303">
          <cell r="B303" t="str">
            <v>13919</v>
          </cell>
          <cell r="C303" t="str">
            <v>Direct</v>
          </cell>
          <cell r="D303" t="str">
            <v>CIP</v>
          </cell>
        </row>
        <row r="304">
          <cell r="B304" t="str">
            <v>13920</v>
          </cell>
          <cell r="C304" t="str">
            <v>Direct</v>
          </cell>
          <cell r="D304" t="str">
            <v>UEC</v>
          </cell>
        </row>
        <row r="305">
          <cell r="B305" t="str">
            <v>13921</v>
          </cell>
          <cell r="C305" t="str">
            <v>Direct</v>
          </cell>
          <cell r="D305" t="str">
            <v>UEC</v>
          </cell>
        </row>
        <row r="306">
          <cell r="B306" t="str">
            <v>13922</v>
          </cell>
          <cell r="C306" t="str">
            <v>Direct</v>
          </cell>
          <cell r="D306" t="str">
            <v>UEC</v>
          </cell>
        </row>
        <row r="307">
          <cell r="B307" t="str">
            <v>13942</v>
          </cell>
          <cell r="C307" t="str">
            <v>Direct</v>
          </cell>
          <cell r="D307" t="str">
            <v>UEC</v>
          </cell>
        </row>
        <row r="308">
          <cell r="B308" t="str">
            <v>13946</v>
          </cell>
          <cell r="C308" t="str">
            <v>Direct</v>
          </cell>
          <cell r="D308" t="str">
            <v>UEC</v>
          </cell>
        </row>
        <row r="309">
          <cell r="B309" t="str">
            <v>13953</v>
          </cell>
          <cell r="C309" t="str">
            <v>Direct</v>
          </cell>
          <cell r="D309" t="str">
            <v>CIP</v>
          </cell>
        </row>
        <row r="310">
          <cell r="B310" t="str">
            <v>13955</v>
          </cell>
          <cell r="C310" t="str">
            <v>Direct</v>
          </cell>
          <cell r="D310" t="str">
            <v>UEC</v>
          </cell>
        </row>
        <row r="311">
          <cell r="B311" t="str">
            <v>13965</v>
          </cell>
          <cell r="C311" t="str">
            <v>Direct</v>
          </cell>
          <cell r="D311" t="str">
            <v>UEC</v>
          </cell>
        </row>
        <row r="312">
          <cell r="B312" t="str">
            <v>13987</v>
          </cell>
          <cell r="C312" t="str">
            <v>Direct</v>
          </cell>
          <cell r="D312" t="str">
            <v>CIL</v>
          </cell>
        </row>
        <row r="313">
          <cell r="B313" t="str">
            <v>14036</v>
          </cell>
          <cell r="C313" t="str">
            <v>Direct</v>
          </cell>
          <cell r="D313" t="str">
            <v>UEC</v>
          </cell>
        </row>
        <row r="314">
          <cell r="B314" t="str">
            <v>14041</v>
          </cell>
          <cell r="C314" t="str">
            <v>Direct</v>
          </cell>
          <cell r="D314" t="str">
            <v>UEC</v>
          </cell>
        </row>
        <row r="315">
          <cell r="B315" t="str">
            <v>14045</v>
          </cell>
          <cell r="C315" t="str">
            <v>Direct</v>
          </cell>
          <cell r="D315" t="str">
            <v>UEC</v>
          </cell>
        </row>
        <row r="316">
          <cell r="B316" t="str">
            <v>14057</v>
          </cell>
          <cell r="C316" t="str">
            <v>Direct</v>
          </cell>
          <cell r="D316" t="str">
            <v>UEC</v>
          </cell>
        </row>
        <row r="317">
          <cell r="B317" t="str">
            <v>14091</v>
          </cell>
          <cell r="C317" t="str">
            <v>Direct</v>
          </cell>
          <cell r="D317" t="str">
            <v>UEC</v>
          </cell>
        </row>
        <row r="318">
          <cell r="B318" t="str">
            <v>14114</v>
          </cell>
          <cell r="C318" t="str">
            <v>Direct</v>
          </cell>
          <cell r="D318" t="str">
            <v>UEC</v>
          </cell>
        </row>
        <row r="319">
          <cell r="B319" t="str">
            <v>14115</v>
          </cell>
          <cell r="C319" t="str">
            <v>Direct</v>
          </cell>
          <cell r="D319" t="str">
            <v>UEC</v>
          </cell>
        </row>
        <row r="320">
          <cell r="B320" t="str">
            <v>14117</v>
          </cell>
          <cell r="C320" t="str">
            <v>Direct</v>
          </cell>
          <cell r="D320" t="str">
            <v>UEC</v>
          </cell>
        </row>
        <row r="321">
          <cell r="B321" t="str">
            <v>14119</v>
          </cell>
          <cell r="C321" t="str">
            <v>Direct</v>
          </cell>
          <cell r="D321" t="str">
            <v>UEC</v>
          </cell>
        </row>
        <row r="322">
          <cell r="B322" t="str">
            <v>14130</v>
          </cell>
          <cell r="C322" t="str">
            <v>Direct</v>
          </cell>
          <cell r="D322" t="str">
            <v>CIL</v>
          </cell>
        </row>
        <row r="323">
          <cell r="B323" t="str">
            <v>14142</v>
          </cell>
          <cell r="C323" t="str">
            <v>Direct</v>
          </cell>
          <cell r="D323" t="str">
            <v>UEC</v>
          </cell>
        </row>
        <row r="324">
          <cell r="B324" t="str">
            <v>14181</v>
          </cell>
          <cell r="C324" t="str">
            <v>Direct</v>
          </cell>
          <cell r="D324" t="str">
            <v>UEC</v>
          </cell>
        </row>
        <row r="325">
          <cell r="B325" t="str">
            <v>14192</v>
          </cell>
          <cell r="C325" t="str">
            <v>Direct</v>
          </cell>
          <cell r="D325" t="str">
            <v>GEN</v>
          </cell>
        </row>
        <row r="326">
          <cell r="B326" t="str">
            <v>14202</v>
          </cell>
          <cell r="C326" t="str">
            <v>Direct</v>
          </cell>
          <cell r="D326" t="str">
            <v>UEC</v>
          </cell>
        </row>
        <row r="327">
          <cell r="B327" t="str">
            <v>14212</v>
          </cell>
          <cell r="C327" t="str">
            <v>Direct</v>
          </cell>
          <cell r="D327" t="str">
            <v>UEC</v>
          </cell>
        </row>
        <row r="328">
          <cell r="B328" t="str">
            <v>14216</v>
          </cell>
          <cell r="C328" t="str">
            <v>Direct</v>
          </cell>
          <cell r="D328" t="str">
            <v>UEC</v>
          </cell>
        </row>
        <row r="329">
          <cell r="B329" t="str">
            <v>14252</v>
          </cell>
          <cell r="C329" t="str">
            <v>Direct</v>
          </cell>
          <cell r="D329" t="str">
            <v>CIP</v>
          </cell>
        </row>
        <row r="330">
          <cell r="B330" t="str">
            <v>14295</v>
          </cell>
          <cell r="C330" t="str">
            <v>Direct</v>
          </cell>
          <cell r="D330" t="str">
            <v>UEC</v>
          </cell>
        </row>
        <row r="331">
          <cell r="B331" t="str">
            <v>14300</v>
          </cell>
          <cell r="C331" t="str">
            <v>Direct</v>
          </cell>
          <cell r="D331" t="str">
            <v>GEN</v>
          </cell>
        </row>
        <row r="332">
          <cell r="B332" t="str">
            <v>14303</v>
          </cell>
          <cell r="C332" t="str">
            <v>Direct</v>
          </cell>
          <cell r="D332" t="str">
            <v>GEN</v>
          </cell>
        </row>
        <row r="333">
          <cell r="B333" t="str">
            <v>14308</v>
          </cell>
          <cell r="C333" t="str">
            <v>Direct</v>
          </cell>
          <cell r="D333" t="str">
            <v>ARG</v>
          </cell>
        </row>
        <row r="334">
          <cell r="B334" t="str">
            <v>14309</v>
          </cell>
          <cell r="C334" t="str">
            <v>Direct</v>
          </cell>
          <cell r="D334" t="str">
            <v>ARG</v>
          </cell>
        </row>
        <row r="335">
          <cell r="B335" t="str">
            <v>14314</v>
          </cell>
          <cell r="C335" t="str">
            <v>Direct</v>
          </cell>
          <cell r="D335" t="str">
            <v>UEC</v>
          </cell>
        </row>
        <row r="336">
          <cell r="B336" t="str">
            <v>14318</v>
          </cell>
          <cell r="C336" t="str">
            <v>Direct</v>
          </cell>
          <cell r="D336" t="str">
            <v>UEC</v>
          </cell>
        </row>
        <row r="337">
          <cell r="B337" t="str">
            <v>14320</v>
          </cell>
          <cell r="C337" t="str">
            <v>Direct</v>
          </cell>
          <cell r="D337" t="str">
            <v>CIL</v>
          </cell>
        </row>
        <row r="338">
          <cell r="B338" t="str">
            <v>14328</v>
          </cell>
          <cell r="C338" t="str">
            <v>Direct</v>
          </cell>
          <cell r="D338" t="str">
            <v>UEC</v>
          </cell>
        </row>
        <row r="339">
          <cell r="B339" t="str">
            <v>14334</v>
          </cell>
          <cell r="C339" t="str">
            <v>Direct</v>
          </cell>
          <cell r="D339" t="str">
            <v>CIP</v>
          </cell>
        </row>
        <row r="340">
          <cell r="B340" t="str">
            <v>14336</v>
          </cell>
          <cell r="C340" t="str">
            <v>Direct</v>
          </cell>
          <cell r="D340" t="str">
            <v>UEC</v>
          </cell>
        </row>
        <row r="341">
          <cell r="B341" t="str">
            <v>14337</v>
          </cell>
          <cell r="C341" t="str">
            <v>Direct</v>
          </cell>
          <cell r="D341" t="str">
            <v>UEC</v>
          </cell>
        </row>
        <row r="342">
          <cell r="B342" t="str">
            <v>14377</v>
          </cell>
          <cell r="C342" t="str">
            <v>Direct</v>
          </cell>
          <cell r="D342" t="str">
            <v>UEC</v>
          </cell>
        </row>
        <row r="343">
          <cell r="B343" t="str">
            <v>14379</v>
          </cell>
          <cell r="C343" t="str">
            <v>Direct</v>
          </cell>
          <cell r="D343" t="str">
            <v>UEC</v>
          </cell>
        </row>
        <row r="344">
          <cell r="B344" t="str">
            <v>14385</v>
          </cell>
          <cell r="C344" t="str">
            <v>Direct</v>
          </cell>
          <cell r="D344" t="str">
            <v>UEC</v>
          </cell>
        </row>
        <row r="345">
          <cell r="B345" t="str">
            <v>14405</v>
          </cell>
          <cell r="C345" t="str">
            <v>Direct</v>
          </cell>
          <cell r="D345" t="str">
            <v>UEC</v>
          </cell>
        </row>
        <row r="346">
          <cell r="B346" t="str">
            <v>14413</v>
          </cell>
          <cell r="C346" t="str">
            <v>Direct</v>
          </cell>
          <cell r="D346" t="str">
            <v>UEC</v>
          </cell>
        </row>
        <row r="347">
          <cell r="B347" t="str">
            <v>14414</v>
          </cell>
          <cell r="C347" t="str">
            <v>Direct</v>
          </cell>
          <cell r="D347" t="str">
            <v>UEC</v>
          </cell>
        </row>
        <row r="348">
          <cell r="B348" t="str">
            <v>14416</v>
          </cell>
          <cell r="C348" t="str">
            <v>Direct</v>
          </cell>
          <cell r="D348" t="str">
            <v>UEC</v>
          </cell>
        </row>
        <row r="349">
          <cell r="B349" t="str">
            <v>14418</v>
          </cell>
          <cell r="C349" t="str">
            <v>Direct</v>
          </cell>
          <cell r="D349" t="str">
            <v>CIP</v>
          </cell>
        </row>
        <row r="350">
          <cell r="B350" t="str">
            <v>14429</v>
          </cell>
          <cell r="C350" t="str">
            <v>Direct</v>
          </cell>
          <cell r="D350" t="str">
            <v>UEC</v>
          </cell>
        </row>
        <row r="351">
          <cell r="B351" t="str">
            <v>14454</v>
          </cell>
          <cell r="C351" t="str">
            <v>Direct</v>
          </cell>
          <cell r="D351" t="str">
            <v>UEC</v>
          </cell>
        </row>
        <row r="352">
          <cell r="B352" t="str">
            <v>14464</v>
          </cell>
          <cell r="C352" t="str">
            <v>Direct</v>
          </cell>
          <cell r="D352" t="str">
            <v>UEC</v>
          </cell>
        </row>
        <row r="353">
          <cell r="B353" t="str">
            <v>14465</v>
          </cell>
          <cell r="C353" t="str">
            <v>Direct</v>
          </cell>
          <cell r="D353" t="str">
            <v>UEC</v>
          </cell>
        </row>
        <row r="354">
          <cell r="B354" t="str">
            <v>14478</v>
          </cell>
          <cell r="C354" t="str">
            <v>Direct</v>
          </cell>
          <cell r="D354" t="str">
            <v>UEC</v>
          </cell>
        </row>
        <row r="355">
          <cell r="B355" t="str">
            <v>14479</v>
          </cell>
          <cell r="C355" t="str">
            <v>Direct</v>
          </cell>
          <cell r="D355" t="str">
            <v>UEC</v>
          </cell>
        </row>
        <row r="356">
          <cell r="B356" t="str">
            <v>14483</v>
          </cell>
          <cell r="C356" t="str">
            <v>Direct</v>
          </cell>
          <cell r="D356" t="str">
            <v>UEC</v>
          </cell>
        </row>
        <row r="357">
          <cell r="B357" t="str">
            <v>14489</v>
          </cell>
          <cell r="C357" t="str">
            <v>Direct</v>
          </cell>
          <cell r="D357" t="str">
            <v>CIP</v>
          </cell>
        </row>
        <row r="358">
          <cell r="B358" t="str">
            <v>14490</v>
          </cell>
          <cell r="C358" t="str">
            <v>Direct</v>
          </cell>
          <cell r="D358" t="str">
            <v>UEC</v>
          </cell>
        </row>
        <row r="359">
          <cell r="B359" t="str">
            <v>14491</v>
          </cell>
          <cell r="C359" t="str">
            <v>Direct</v>
          </cell>
          <cell r="D359" t="str">
            <v>UEC</v>
          </cell>
        </row>
        <row r="360">
          <cell r="B360" t="str">
            <v>14503</v>
          </cell>
          <cell r="C360" t="str">
            <v>Direct</v>
          </cell>
          <cell r="D360" t="str">
            <v>CIP</v>
          </cell>
        </row>
        <row r="361">
          <cell r="B361" t="str">
            <v>14504</v>
          </cell>
          <cell r="C361" t="str">
            <v>Direct</v>
          </cell>
          <cell r="D361" t="str">
            <v>CIL</v>
          </cell>
        </row>
        <row r="362">
          <cell r="B362" t="str">
            <v>14506</v>
          </cell>
          <cell r="C362" t="str">
            <v>Direct</v>
          </cell>
          <cell r="D362" t="str">
            <v>CIL</v>
          </cell>
        </row>
        <row r="363">
          <cell r="B363" t="str">
            <v>14508</v>
          </cell>
          <cell r="C363" t="str">
            <v>Direct</v>
          </cell>
          <cell r="D363" t="str">
            <v>UEC</v>
          </cell>
        </row>
        <row r="364">
          <cell r="B364" t="str">
            <v>14509</v>
          </cell>
          <cell r="C364" t="str">
            <v>Direct</v>
          </cell>
          <cell r="D364" t="str">
            <v>UEC</v>
          </cell>
        </row>
        <row r="365">
          <cell r="B365" t="str">
            <v>14514</v>
          </cell>
          <cell r="C365" t="str">
            <v>Direct</v>
          </cell>
          <cell r="D365" t="str">
            <v>UEC</v>
          </cell>
        </row>
        <row r="366">
          <cell r="B366" t="str">
            <v>14519</v>
          </cell>
          <cell r="C366" t="str">
            <v>Direct</v>
          </cell>
          <cell r="D366" t="str">
            <v>UEC</v>
          </cell>
        </row>
        <row r="367">
          <cell r="B367" t="str">
            <v>14520</v>
          </cell>
          <cell r="C367" t="str">
            <v>Direct</v>
          </cell>
          <cell r="D367" t="str">
            <v>UEC</v>
          </cell>
        </row>
        <row r="368">
          <cell r="B368" t="str">
            <v>14525</v>
          </cell>
          <cell r="C368" t="str">
            <v>Direct</v>
          </cell>
          <cell r="D368" t="str">
            <v>UEC</v>
          </cell>
        </row>
        <row r="369">
          <cell r="B369" t="str">
            <v>14540</v>
          </cell>
          <cell r="C369" t="str">
            <v>Direct</v>
          </cell>
          <cell r="D369" t="str">
            <v>UEC</v>
          </cell>
        </row>
        <row r="370">
          <cell r="B370" t="str">
            <v>14541</v>
          </cell>
          <cell r="C370" t="str">
            <v>Direct</v>
          </cell>
          <cell r="D370" t="str">
            <v>UEC</v>
          </cell>
        </row>
        <row r="371">
          <cell r="B371" t="str">
            <v>14546</v>
          </cell>
          <cell r="C371" t="str">
            <v>Direct</v>
          </cell>
          <cell r="D371" t="str">
            <v>UEC</v>
          </cell>
        </row>
        <row r="372">
          <cell r="B372" t="str">
            <v>14548</v>
          </cell>
          <cell r="C372" t="str">
            <v>Direct</v>
          </cell>
          <cell r="D372" t="str">
            <v>UEC</v>
          </cell>
        </row>
        <row r="373">
          <cell r="B373" t="str">
            <v>14551</v>
          </cell>
          <cell r="C373" t="str">
            <v>Direct</v>
          </cell>
          <cell r="D373" t="str">
            <v>CIL</v>
          </cell>
        </row>
        <row r="374">
          <cell r="B374" t="str">
            <v>14552</v>
          </cell>
          <cell r="C374" t="str">
            <v>Direct</v>
          </cell>
          <cell r="D374" t="str">
            <v>CIL</v>
          </cell>
        </row>
        <row r="375">
          <cell r="B375" t="str">
            <v>14554</v>
          </cell>
          <cell r="C375" t="str">
            <v>Direct</v>
          </cell>
          <cell r="D375" t="str">
            <v>CIL</v>
          </cell>
        </row>
        <row r="376">
          <cell r="B376" t="str">
            <v>14555</v>
          </cell>
          <cell r="C376" t="str">
            <v>Direct</v>
          </cell>
          <cell r="D376" t="str">
            <v>CIL</v>
          </cell>
        </row>
        <row r="377">
          <cell r="B377" t="str">
            <v>14556</v>
          </cell>
          <cell r="C377" t="str">
            <v>Direct</v>
          </cell>
          <cell r="D377" t="str">
            <v>CIL</v>
          </cell>
        </row>
        <row r="378">
          <cell r="B378" t="str">
            <v>14557</v>
          </cell>
          <cell r="C378" t="str">
            <v>Direct</v>
          </cell>
          <cell r="D378" t="str">
            <v>CIL</v>
          </cell>
        </row>
        <row r="379">
          <cell r="B379" t="str">
            <v>14558</v>
          </cell>
          <cell r="C379" t="str">
            <v>Direct</v>
          </cell>
          <cell r="D379" t="str">
            <v>CIP</v>
          </cell>
        </row>
        <row r="380">
          <cell r="B380" t="str">
            <v>14559</v>
          </cell>
          <cell r="C380" t="str">
            <v>Direct</v>
          </cell>
          <cell r="D380" t="str">
            <v>CIP</v>
          </cell>
        </row>
        <row r="381">
          <cell r="B381" t="str">
            <v>14561</v>
          </cell>
          <cell r="C381" t="str">
            <v>Direct</v>
          </cell>
          <cell r="D381" t="str">
            <v>UEC</v>
          </cell>
        </row>
        <row r="382">
          <cell r="B382" t="str">
            <v>14566</v>
          </cell>
          <cell r="C382" t="str">
            <v>Direct</v>
          </cell>
          <cell r="D382" t="str">
            <v>UEC</v>
          </cell>
        </row>
        <row r="383">
          <cell r="B383" t="str">
            <v>14568</v>
          </cell>
          <cell r="C383" t="str">
            <v>Direct</v>
          </cell>
          <cell r="D383" t="str">
            <v>UEC</v>
          </cell>
        </row>
        <row r="384">
          <cell r="B384" t="str">
            <v>14569</v>
          </cell>
          <cell r="C384" t="str">
            <v>Direct</v>
          </cell>
          <cell r="D384" t="str">
            <v>AMC</v>
          </cell>
        </row>
        <row r="385">
          <cell r="B385" t="str">
            <v>14572</v>
          </cell>
          <cell r="C385" t="str">
            <v>Direct</v>
          </cell>
          <cell r="D385" t="str">
            <v>UEC</v>
          </cell>
        </row>
        <row r="386">
          <cell r="B386" t="str">
            <v>14574</v>
          </cell>
          <cell r="C386" t="str">
            <v>Direct</v>
          </cell>
          <cell r="D386" t="str">
            <v>UEC</v>
          </cell>
        </row>
        <row r="387">
          <cell r="B387" t="str">
            <v>14575</v>
          </cell>
          <cell r="C387" t="str">
            <v>Direct</v>
          </cell>
          <cell r="D387" t="str">
            <v>UEC</v>
          </cell>
        </row>
        <row r="388">
          <cell r="B388" t="str">
            <v>14578</v>
          </cell>
          <cell r="C388" t="str">
            <v>Direct</v>
          </cell>
          <cell r="D388" t="str">
            <v>UEC</v>
          </cell>
        </row>
        <row r="389">
          <cell r="B389" t="str">
            <v>14579</v>
          </cell>
          <cell r="C389" t="str">
            <v>Direct</v>
          </cell>
          <cell r="D389" t="str">
            <v>UEC</v>
          </cell>
        </row>
        <row r="390">
          <cell r="B390" t="str">
            <v>14580</v>
          </cell>
          <cell r="C390" t="str">
            <v>Direct</v>
          </cell>
          <cell r="D390" t="str">
            <v>UEC</v>
          </cell>
        </row>
        <row r="391">
          <cell r="B391" t="str">
            <v>14581</v>
          </cell>
          <cell r="C391" t="str">
            <v>Direct</v>
          </cell>
          <cell r="D391" t="str">
            <v>UEC</v>
          </cell>
        </row>
        <row r="392">
          <cell r="B392" t="str">
            <v>14589</v>
          </cell>
          <cell r="C392" t="str">
            <v>Direct</v>
          </cell>
          <cell r="D392" t="str">
            <v>UEC</v>
          </cell>
        </row>
        <row r="393">
          <cell r="B393" t="str">
            <v>14590</v>
          </cell>
          <cell r="C393" t="str">
            <v>Direct</v>
          </cell>
          <cell r="D393" t="str">
            <v>UEC</v>
          </cell>
        </row>
        <row r="394">
          <cell r="B394" t="str">
            <v>14594</v>
          </cell>
          <cell r="C394" t="str">
            <v>Direct</v>
          </cell>
          <cell r="D394" t="str">
            <v>UEC</v>
          </cell>
        </row>
        <row r="395">
          <cell r="B395" t="str">
            <v>14608</v>
          </cell>
          <cell r="C395" t="str">
            <v>Direct</v>
          </cell>
          <cell r="D395" t="str">
            <v>UEC</v>
          </cell>
        </row>
        <row r="396">
          <cell r="B396" t="str">
            <v>14611</v>
          </cell>
          <cell r="C396" t="str">
            <v>Direct</v>
          </cell>
          <cell r="D396" t="str">
            <v>UEC</v>
          </cell>
        </row>
        <row r="397">
          <cell r="B397" t="str">
            <v>14613</v>
          </cell>
          <cell r="C397" t="str">
            <v>Direct</v>
          </cell>
          <cell r="D397" t="str">
            <v>UEC</v>
          </cell>
        </row>
        <row r="398">
          <cell r="B398" t="str">
            <v>14614</v>
          </cell>
          <cell r="C398" t="str">
            <v>Direct</v>
          </cell>
          <cell r="D398" t="str">
            <v>UEC</v>
          </cell>
        </row>
        <row r="399">
          <cell r="B399" t="str">
            <v>14616</v>
          </cell>
          <cell r="C399" t="str">
            <v>Direct</v>
          </cell>
          <cell r="D399" t="str">
            <v>CIL</v>
          </cell>
        </row>
        <row r="400">
          <cell r="B400" t="str">
            <v>14617</v>
          </cell>
          <cell r="C400" t="str">
            <v>Direct</v>
          </cell>
          <cell r="D400" t="str">
            <v>CIL</v>
          </cell>
        </row>
        <row r="401">
          <cell r="B401" t="str">
            <v>14683</v>
          </cell>
          <cell r="C401" t="str">
            <v>Direct</v>
          </cell>
          <cell r="D401" t="str">
            <v>UEC</v>
          </cell>
        </row>
        <row r="402">
          <cell r="B402" t="str">
            <v>14686</v>
          </cell>
          <cell r="C402" t="str">
            <v>Direct</v>
          </cell>
          <cell r="D402" t="str">
            <v>UEC</v>
          </cell>
        </row>
        <row r="403">
          <cell r="B403" t="str">
            <v>14690</v>
          </cell>
          <cell r="C403" t="str">
            <v>Direct</v>
          </cell>
          <cell r="D403" t="str">
            <v>UEC</v>
          </cell>
        </row>
        <row r="404">
          <cell r="B404" t="str">
            <v>14722</v>
          </cell>
          <cell r="C404" t="str">
            <v>Direct</v>
          </cell>
          <cell r="D404" t="str">
            <v>UEC</v>
          </cell>
        </row>
        <row r="405">
          <cell r="B405" t="str">
            <v>14725</v>
          </cell>
          <cell r="C405" t="str">
            <v>Direct</v>
          </cell>
          <cell r="D405" t="str">
            <v>UEC</v>
          </cell>
        </row>
        <row r="406">
          <cell r="B406" t="str">
            <v>14742</v>
          </cell>
          <cell r="C406" t="str">
            <v>Direct</v>
          </cell>
          <cell r="D406" t="str">
            <v>UEC</v>
          </cell>
        </row>
        <row r="407">
          <cell r="B407" t="str">
            <v>14746</v>
          </cell>
          <cell r="C407" t="str">
            <v>Direct</v>
          </cell>
          <cell r="D407" t="str">
            <v>UEC</v>
          </cell>
        </row>
        <row r="408">
          <cell r="B408" t="str">
            <v>14762</v>
          </cell>
          <cell r="C408" t="str">
            <v>Direct</v>
          </cell>
          <cell r="D408" t="str">
            <v>UEC</v>
          </cell>
        </row>
        <row r="409">
          <cell r="B409" t="str">
            <v>14798</v>
          </cell>
          <cell r="C409" t="str">
            <v>Direct</v>
          </cell>
          <cell r="D409" t="str">
            <v>UEC</v>
          </cell>
        </row>
        <row r="410">
          <cell r="B410" t="str">
            <v>14804</v>
          </cell>
          <cell r="C410" t="str">
            <v>Direct</v>
          </cell>
          <cell r="D410" t="str">
            <v>ARG</v>
          </cell>
        </row>
        <row r="411">
          <cell r="B411" t="str">
            <v>14808</v>
          </cell>
          <cell r="C411" t="str">
            <v>Direct</v>
          </cell>
          <cell r="D411" t="str">
            <v>UEC</v>
          </cell>
        </row>
        <row r="412">
          <cell r="B412" t="str">
            <v>14809</v>
          </cell>
          <cell r="C412" t="str">
            <v>Direct</v>
          </cell>
          <cell r="D412" t="str">
            <v>UEC</v>
          </cell>
        </row>
        <row r="413">
          <cell r="B413" t="str">
            <v>14810</v>
          </cell>
          <cell r="C413" t="str">
            <v>Direct</v>
          </cell>
          <cell r="D413" t="str">
            <v>UEC</v>
          </cell>
        </row>
        <row r="414">
          <cell r="B414" t="str">
            <v>14832</v>
          </cell>
          <cell r="C414" t="str">
            <v>Direct</v>
          </cell>
          <cell r="D414" t="str">
            <v>UEC</v>
          </cell>
        </row>
        <row r="415">
          <cell r="B415" t="str">
            <v>14835</v>
          </cell>
          <cell r="C415" t="str">
            <v>Direct</v>
          </cell>
          <cell r="D415" t="str">
            <v>UEC</v>
          </cell>
        </row>
        <row r="416">
          <cell r="B416" t="str">
            <v>14884</v>
          </cell>
          <cell r="C416" t="str">
            <v>Direct</v>
          </cell>
          <cell r="D416" t="str">
            <v>UEC</v>
          </cell>
        </row>
        <row r="417">
          <cell r="B417" t="str">
            <v>14963</v>
          </cell>
          <cell r="C417" t="str">
            <v>Direct</v>
          </cell>
          <cell r="D417" t="str">
            <v>ARG</v>
          </cell>
        </row>
        <row r="418">
          <cell r="B418" t="str">
            <v>15021</v>
          </cell>
          <cell r="C418" t="str">
            <v>Direct</v>
          </cell>
          <cell r="D418" t="str">
            <v>UEC</v>
          </cell>
        </row>
        <row r="419">
          <cell r="B419" t="str">
            <v>15070</v>
          </cell>
          <cell r="C419" t="str">
            <v>Direct</v>
          </cell>
          <cell r="D419" t="str">
            <v>ARG</v>
          </cell>
        </row>
        <row r="420">
          <cell r="B420" t="str">
            <v>15071</v>
          </cell>
          <cell r="C420" t="str">
            <v>Direct</v>
          </cell>
          <cell r="D420" t="str">
            <v>ARG</v>
          </cell>
        </row>
        <row r="421">
          <cell r="B421" t="str">
            <v>15073</v>
          </cell>
          <cell r="C421" t="str">
            <v>Direct</v>
          </cell>
          <cell r="D421" t="str">
            <v>UEC</v>
          </cell>
        </row>
        <row r="422">
          <cell r="B422" t="str">
            <v>15089</v>
          </cell>
          <cell r="C422" t="str">
            <v>Direct</v>
          </cell>
          <cell r="D422" t="str">
            <v>UEC</v>
          </cell>
        </row>
        <row r="423">
          <cell r="B423" t="str">
            <v>15100</v>
          </cell>
          <cell r="C423" t="str">
            <v>Direct</v>
          </cell>
          <cell r="D423" t="str">
            <v>CIL</v>
          </cell>
        </row>
        <row r="424">
          <cell r="B424" t="str">
            <v>15105</v>
          </cell>
          <cell r="C424" t="str">
            <v>Direct</v>
          </cell>
          <cell r="D424" t="str">
            <v>CIL</v>
          </cell>
        </row>
        <row r="425">
          <cell r="B425" t="str">
            <v>15107</v>
          </cell>
          <cell r="C425" t="str">
            <v>Direct</v>
          </cell>
          <cell r="D425" t="str">
            <v>ARG</v>
          </cell>
        </row>
        <row r="426">
          <cell r="B426" t="str">
            <v>15140</v>
          </cell>
          <cell r="C426" t="str">
            <v>Direct</v>
          </cell>
          <cell r="D426" t="str">
            <v>UEC</v>
          </cell>
        </row>
        <row r="427">
          <cell r="B427" t="str">
            <v>15180</v>
          </cell>
          <cell r="C427" t="str">
            <v>Direct</v>
          </cell>
          <cell r="D427" t="str">
            <v>CIP</v>
          </cell>
        </row>
        <row r="428">
          <cell r="B428" t="str">
            <v>15199</v>
          </cell>
          <cell r="C428" t="str">
            <v>Direct</v>
          </cell>
          <cell r="D428" t="str">
            <v>UEC</v>
          </cell>
        </row>
        <row r="429">
          <cell r="B429" t="str">
            <v>15204</v>
          </cell>
          <cell r="C429" t="str">
            <v>Direct</v>
          </cell>
          <cell r="D429" t="str">
            <v>UEC</v>
          </cell>
        </row>
        <row r="430">
          <cell r="B430" t="str">
            <v>15219</v>
          </cell>
          <cell r="C430" t="str">
            <v>Direct</v>
          </cell>
          <cell r="D430" t="str">
            <v>UEC</v>
          </cell>
        </row>
        <row r="431">
          <cell r="B431" t="str">
            <v>15229</v>
          </cell>
          <cell r="C431" t="str">
            <v>Direct</v>
          </cell>
          <cell r="D431" t="str">
            <v>UEC</v>
          </cell>
        </row>
        <row r="432">
          <cell r="B432" t="str">
            <v>15250</v>
          </cell>
          <cell r="C432" t="str">
            <v>Direct</v>
          </cell>
          <cell r="D432" t="str">
            <v>CIP</v>
          </cell>
        </row>
        <row r="433">
          <cell r="B433" t="str">
            <v>15253</v>
          </cell>
          <cell r="C433" t="str">
            <v>Direct</v>
          </cell>
          <cell r="D433" t="str">
            <v>UEC</v>
          </cell>
        </row>
        <row r="434">
          <cell r="B434" t="str">
            <v>15261</v>
          </cell>
          <cell r="C434" t="str">
            <v>Direct</v>
          </cell>
          <cell r="D434" t="str">
            <v>UEC</v>
          </cell>
        </row>
        <row r="435">
          <cell r="B435" t="str">
            <v>15277</v>
          </cell>
          <cell r="C435" t="str">
            <v>Direct</v>
          </cell>
          <cell r="D435" t="str">
            <v>IPC</v>
          </cell>
        </row>
        <row r="436">
          <cell r="B436" t="str">
            <v>15291</v>
          </cell>
          <cell r="C436" t="str">
            <v>Direct</v>
          </cell>
          <cell r="D436" t="str">
            <v>UEC</v>
          </cell>
        </row>
        <row r="437">
          <cell r="B437" t="str">
            <v>15297</v>
          </cell>
          <cell r="C437" t="str">
            <v>Direct</v>
          </cell>
          <cell r="D437" t="str">
            <v>ARG</v>
          </cell>
        </row>
        <row r="438">
          <cell r="B438" t="str">
            <v>15299</v>
          </cell>
          <cell r="C438" t="str">
            <v>Direct</v>
          </cell>
          <cell r="D438" t="str">
            <v>ARG</v>
          </cell>
        </row>
        <row r="439">
          <cell r="B439" t="str">
            <v>15301</v>
          </cell>
          <cell r="C439" t="str">
            <v>Direct</v>
          </cell>
          <cell r="D439" t="str">
            <v>ARG</v>
          </cell>
        </row>
        <row r="440">
          <cell r="B440" t="str">
            <v>15321</v>
          </cell>
          <cell r="C440" t="str">
            <v>Direct</v>
          </cell>
          <cell r="D440" t="str">
            <v>ARG</v>
          </cell>
        </row>
        <row r="441">
          <cell r="B441" t="str">
            <v>15370</v>
          </cell>
          <cell r="C441" t="str">
            <v>Direct</v>
          </cell>
          <cell r="D441" t="str">
            <v>ARG</v>
          </cell>
        </row>
        <row r="442">
          <cell r="B442" t="str">
            <v>15375</v>
          </cell>
          <cell r="C442" t="str">
            <v>Direct</v>
          </cell>
          <cell r="D442" t="str">
            <v>GEN</v>
          </cell>
        </row>
        <row r="443">
          <cell r="B443" t="str">
            <v>15398</v>
          </cell>
          <cell r="C443" t="str">
            <v>Direct</v>
          </cell>
          <cell r="D443" t="str">
            <v>GEN</v>
          </cell>
        </row>
        <row r="444">
          <cell r="B444" t="str">
            <v>15428</v>
          </cell>
          <cell r="C444" t="str">
            <v>Direct</v>
          </cell>
          <cell r="D444" t="str">
            <v>UEC</v>
          </cell>
        </row>
        <row r="445">
          <cell r="B445" t="str">
            <v>15430</v>
          </cell>
          <cell r="C445" t="str">
            <v>Direct</v>
          </cell>
          <cell r="D445" t="str">
            <v>UEC</v>
          </cell>
        </row>
        <row r="446">
          <cell r="B446" t="str">
            <v>15436</v>
          </cell>
          <cell r="C446" t="str">
            <v>Direct</v>
          </cell>
          <cell r="D446" t="str">
            <v>GEN</v>
          </cell>
        </row>
        <row r="447">
          <cell r="B447" t="str">
            <v>15443</v>
          </cell>
          <cell r="C447" t="str">
            <v>Direct</v>
          </cell>
          <cell r="D447" t="str">
            <v>UEC</v>
          </cell>
        </row>
        <row r="448">
          <cell r="B448" t="str">
            <v>15449</v>
          </cell>
          <cell r="C448" t="str">
            <v>Direct</v>
          </cell>
          <cell r="D448" t="str">
            <v>UEC</v>
          </cell>
        </row>
        <row r="449">
          <cell r="B449" t="str">
            <v>15452</v>
          </cell>
          <cell r="C449" t="str">
            <v>Direct</v>
          </cell>
          <cell r="D449" t="str">
            <v>CIP</v>
          </cell>
        </row>
        <row r="450">
          <cell r="B450" t="str">
            <v>15475</v>
          </cell>
          <cell r="C450" t="str">
            <v>Direct</v>
          </cell>
          <cell r="D450" t="str">
            <v>UEC</v>
          </cell>
        </row>
        <row r="451">
          <cell r="B451" t="str">
            <v>15477</v>
          </cell>
          <cell r="C451" t="str">
            <v>Direct</v>
          </cell>
          <cell r="D451" t="str">
            <v>UEC</v>
          </cell>
        </row>
        <row r="452">
          <cell r="B452" t="str">
            <v>15478</v>
          </cell>
          <cell r="C452" t="str">
            <v>Direct</v>
          </cell>
          <cell r="D452" t="str">
            <v>UEC</v>
          </cell>
        </row>
        <row r="453">
          <cell r="B453" t="str">
            <v>15481</v>
          </cell>
          <cell r="C453" t="str">
            <v>Direct</v>
          </cell>
          <cell r="D453" t="str">
            <v>GEN</v>
          </cell>
        </row>
        <row r="454">
          <cell r="B454" t="str">
            <v>15496</v>
          </cell>
          <cell r="C454" t="str">
            <v>Direct</v>
          </cell>
          <cell r="D454" t="str">
            <v>UEC</v>
          </cell>
        </row>
        <row r="455">
          <cell r="B455" t="str">
            <v>15519</v>
          </cell>
          <cell r="C455" t="str">
            <v>Direct</v>
          </cell>
          <cell r="D455" t="str">
            <v>UEC</v>
          </cell>
        </row>
        <row r="456">
          <cell r="B456" t="str">
            <v>15520</v>
          </cell>
          <cell r="C456" t="str">
            <v>Direct</v>
          </cell>
          <cell r="D456" t="str">
            <v>UEC</v>
          </cell>
        </row>
        <row r="457">
          <cell r="B457" t="str">
            <v>15522</v>
          </cell>
          <cell r="C457" t="str">
            <v>Direct</v>
          </cell>
          <cell r="D457" t="str">
            <v>UEC</v>
          </cell>
        </row>
        <row r="458">
          <cell r="B458" t="str">
            <v>15526</v>
          </cell>
          <cell r="C458" t="str">
            <v>Direct</v>
          </cell>
          <cell r="D458" t="str">
            <v>UEC</v>
          </cell>
        </row>
        <row r="459">
          <cell r="B459" t="str">
            <v>15527</v>
          </cell>
          <cell r="C459" t="str">
            <v>Direct</v>
          </cell>
          <cell r="D459" t="str">
            <v>UEC</v>
          </cell>
        </row>
        <row r="460">
          <cell r="B460" t="str">
            <v>15528</v>
          </cell>
          <cell r="C460" t="str">
            <v>Direct</v>
          </cell>
          <cell r="D460" t="str">
            <v>UEC</v>
          </cell>
        </row>
        <row r="461">
          <cell r="B461" t="str">
            <v>15529</v>
          </cell>
          <cell r="C461" t="str">
            <v>Direct</v>
          </cell>
          <cell r="D461" t="str">
            <v>UEC</v>
          </cell>
        </row>
        <row r="462">
          <cell r="B462" t="str">
            <v>15531</v>
          </cell>
          <cell r="C462" t="str">
            <v>Direct</v>
          </cell>
          <cell r="D462" t="str">
            <v>UEC</v>
          </cell>
        </row>
        <row r="463">
          <cell r="B463" t="str">
            <v>15548</v>
          </cell>
          <cell r="C463" t="str">
            <v>Direct</v>
          </cell>
          <cell r="D463" t="str">
            <v>UEC</v>
          </cell>
        </row>
        <row r="464">
          <cell r="B464" t="str">
            <v>15567</v>
          </cell>
          <cell r="C464" t="str">
            <v>Direct</v>
          </cell>
          <cell r="D464" t="str">
            <v>UEC</v>
          </cell>
        </row>
        <row r="465">
          <cell r="B465" t="str">
            <v>15568</v>
          </cell>
          <cell r="C465" t="str">
            <v>Direct</v>
          </cell>
          <cell r="D465" t="str">
            <v>UEC</v>
          </cell>
        </row>
        <row r="466">
          <cell r="B466" t="str">
            <v>15569</v>
          </cell>
          <cell r="C466" t="str">
            <v>Direct</v>
          </cell>
          <cell r="D466" t="str">
            <v>UEC</v>
          </cell>
        </row>
        <row r="467">
          <cell r="B467" t="str">
            <v>15578</v>
          </cell>
          <cell r="C467" t="str">
            <v>Direct</v>
          </cell>
          <cell r="D467" t="str">
            <v>UEC</v>
          </cell>
        </row>
        <row r="468">
          <cell r="B468" t="str">
            <v>15579</v>
          </cell>
          <cell r="C468" t="str">
            <v>Direct</v>
          </cell>
          <cell r="D468" t="str">
            <v>UEC</v>
          </cell>
        </row>
        <row r="469">
          <cell r="B469" t="str">
            <v>15580</v>
          </cell>
          <cell r="C469" t="str">
            <v>Direct</v>
          </cell>
          <cell r="D469" t="str">
            <v>UEC</v>
          </cell>
        </row>
        <row r="470">
          <cell r="B470" t="str">
            <v>15588</v>
          </cell>
          <cell r="C470" t="str">
            <v>Direct</v>
          </cell>
          <cell r="D470" t="str">
            <v>UEC</v>
          </cell>
        </row>
        <row r="471">
          <cell r="B471" t="str">
            <v>15590</v>
          </cell>
          <cell r="C471" t="str">
            <v>Direct</v>
          </cell>
          <cell r="D471" t="str">
            <v>UEC</v>
          </cell>
        </row>
        <row r="472">
          <cell r="B472" t="str">
            <v>15604</v>
          </cell>
          <cell r="C472" t="str">
            <v>Direct</v>
          </cell>
          <cell r="D472" t="str">
            <v>UEC</v>
          </cell>
        </row>
        <row r="473">
          <cell r="B473" t="str">
            <v>15605</v>
          </cell>
          <cell r="C473" t="str">
            <v>Direct</v>
          </cell>
          <cell r="D473" t="str">
            <v>UEC</v>
          </cell>
        </row>
        <row r="474">
          <cell r="B474" t="str">
            <v>15665</v>
          </cell>
          <cell r="C474" t="str">
            <v>Direct</v>
          </cell>
          <cell r="D474" t="str">
            <v>UEC</v>
          </cell>
        </row>
        <row r="475">
          <cell r="B475" t="str">
            <v>15673</v>
          </cell>
          <cell r="C475" t="str">
            <v>Direct</v>
          </cell>
          <cell r="D475" t="str">
            <v>UEC</v>
          </cell>
        </row>
        <row r="476">
          <cell r="B476" t="str">
            <v>15680</v>
          </cell>
          <cell r="C476" t="str">
            <v>Direct</v>
          </cell>
          <cell r="D476" t="str">
            <v>UEC</v>
          </cell>
        </row>
        <row r="477">
          <cell r="B477" t="str">
            <v>15682</v>
          </cell>
          <cell r="C477" t="str">
            <v>Direct</v>
          </cell>
          <cell r="D477" t="str">
            <v>UEC</v>
          </cell>
        </row>
        <row r="478">
          <cell r="B478" t="str">
            <v>15686</v>
          </cell>
          <cell r="C478" t="str">
            <v>Direct</v>
          </cell>
          <cell r="D478" t="str">
            <v>UEC</v>
          </cell>
        </row>
        <row r="479">
          <cell r="B479" t="str">
            <v>15700</v>
          </cell>
          <cell r="C479" t="str">
            <v>Direct</v>
          </cell>
          <cell r="D479" t="str">
            <v>UEC</v>
          </cell>
        </row>
        <row r="480">
          <cell r="B480" t="str">
            <v>15718</v>
          </cell>
          <cell r="C480" t="str">
            <v>Direct</v>
          </cell>
          <cell r="D480" t="str">
            <v>UEC</v>
          </cell>
        </row>
        <row r="481">
          <cell r="B481" t="str">
            <v>15723</v>
          </cell>
          <cell r="C481" t="str">
            <v>Direct</v>
          </cell>
          <cell r="D481" t="str">
            <v>UEC</v>
          </cell>
        </row>
        <row r="482">
          <cell r="B482" t="str">
            <v>15736</v>
          </cell>
          <cell r="C482" t="str">
            <v>Direct</v>
          </cell>
          <cell r="D482" t="str">
            <v>UEC</v>
          </cell>
        </row>
        <row r="483">
          <cell r="B483" t="str">
            <v>15739</v>
          </cell>
          <cell r="C483" t="str">
            <v>Direct</v>
          </cell>
          <cell r="D483" t="str">
            <v>UEC</v>
          </cell>
        </row>
        <row r="484">
          <cell r="B484" t="str">
            <v>15782</v>
          </cell>
          <cell r="C484" t="str">
            <v>Direct</v>
          </cell>
          <cell r="D484" t="str">
            <v>IPC</v>
          </cell>
        </row>
        <row r="485">
          <cell r="B485" t="str">
            <v>15790</v>
          </cell>
          <cell r="C485" t="str">
            <v>Direct</v>
          </cell>
          <cell r="D485" t="str">
            <v>UEC</v>
          </cell>
        </row>
        <row r="486">
          <cell r="B486" t="str">
            <v>15792</v>
          </cell>
          <cell r="C486" t="str">
            <v>Direct</v>
          </cell>
          <cell r="D486" t="str">
            <v>CIP</v>
          </cell>
        </row>
        <row r="487">
          <cell r="B487" t="str">
            <v>15804</v>
          </cell>
          <cell r="C487" t="str">
            <v>Direct</v>
          </cell>
          <cell r="D487" t="str">
            <v>GEN</v>
          </cell>
        </row>
        <row r="488">
          <cell r="B488" t="str">
            <v>15805</v>
          </cell>
          <cell r="C488" t="str">
            <v>Direct</v>
          </cell>
          <cell r="D488" t="str">
            <v>ARG</v>
          </cell>
        </row>
        <row r="489">
          <cell r="B489" t="str">
            <v>15806</v>
          </cell>
          <cell r="C489" t="str">
            <v>Direct</v>
          </cell>
          <cell r="D489" t="str">
            <v>GEN</v>
          </cell>
        </row>
        <row r="490">
          <cell r="B490" t="str">
            <v>15807</v>
          </cell>
          <cell r="C490" t="str">
            <v>Direct</v>
          </cell>
          <cell r="D490" t="str">
            <v>GEN</v>
          </cell>
        </row>
        <row r="491">
          <cell r="B491" t="str">
            <v>15808</v>
          </cell>
          <cell r="C491" t="str">
            <v>Direct</v>
          </cell>
          <cell r="D491" t="str">
            <v>GEN</v>
          </cell>
        </row>
        <row r="492">
          <cell r="B492" t="str">
            <v>15809</v>
          </cell>
          <cell r="C492" t="str">
            <v>Direct</v>
          </cell>
          <cell r="D492" t="str">
            <v>GEN</v>
          </cell>
        </row>
        <row r="493">
          <cell r="B493" t="str">
            <v>15850</v>
          </cell>
          <cell r="C493" t="str">
            <v>Direct</v>
          </cell>
          <cell r="D493" t="str">
            <v>UEC</v>
          </cell>
        </row>
        <row r="494">
          <cell r="B494" t="str">
            <v>15871</v>
          </cell>
          <cell r="C494" t="str">
            <v>Direct</v>
          </cell>
          <cell r="D494" t="str">
            <v>UEC</v>
          </cell>
        </row>
        <row r="495">
          <cell r="B495" t="str">
            <v>15909</v>
          </cell>
          <cell r="C495" t="str">
            <v>Direct</v>
          </cell>
          <cell r="D495" t="str">
            <v>UEC</v>
          </cell>
        </row>
        <row r="496">
          <cell r="B496" t="str">
            <v>15931</v>
          </cell>
          <cell r="C496" t="str">
            <v>Direct</v>
          </cell>
          <cell r="D496" t="str">
            <v>CIP</v>
          </cell>
        </row>
        <row r="497">
          <cell r="B497" t="str">
            <v>15932</v>
          </cell>
          <cell r="C497" t="str">
            <v>Direct</v>
          </cell>
          <cell r="D497" t="str">
            <v>UEC</v>
          </cell>
        </row>
        <row r="498">
          <cell r="B498" t="str">
            <v>15933</v>
          </cell>
          <cell r="C498" t="str">
            <v>Direct</v>
          </cell>
          <cell r="D498" t="str">
            <v>UEC</v>
          </cell>
        </row>
        <row r="499">
          <cell r="B499" t="str">
            <v>15936</v>
          </cell>
          <cell r="C499" t="str">
            <v>Direct</v>
          </cell>
          <cell r="D499" t="str">
            <v>CIP</v>
          </cell>
        </row>
        <row r="500">
          <cell r="B500" t="str">
            <v>15938</v>
          </cell>
          <cell r="C500" t="str">
            <v>Direct</v>
          </cell>
          <cell r="D500" t="str">
            <v>UEC</v>
          </cell>
        </row>
        <row r="501">
          <cell r="B501" t="str">
            <v>15964</v>
          </cell>
          <cell r="C501" t="str">
            <v>Direct</v>
          </cell>
          <cell r="D501" t="str">
            <v>ARG</v>
          </cell>
        </row>
        <row r="502">
          <cell r="B502" t="str">
            <v>15966</v>
          </cell>
          <cell r="C502" t="str">
            <v>Direct</v>
          </cell>
          <cell r="D502" t="str">
            <v>UEC</v>
          </cell>
        </row>
        <row r="503">
          <cell r="B503" t="str">
            <v>15971</v>
          </cell>
          <cell r="C503" t="str">
            <v>Direct</v>
          </cell>
          <cell r="D503" t="str">
            <v>UEC</v>
          </cell>
        </row>
        <row r="504">
          <cell r="B504" t="str">
            <v>15973</v>
          </cell>
          <cell r="C504" t="str">
            <v>Direct</v>
          </cell>
          <cell r="D504" t="str">
            <v>UEC</v>
          </cell>
        </row>
        <row r="505">
          <cell r="B505" t="str">
            <v>15974</v>
          </cell>
          <cell r="C505" t="str">
            <v>Direct</v>
          </cell>
          <cell r="D505" t="str">
            <v>UEC</v>
          </cell>
        </row>
        <row r="506">
          <cell r="B506" t="str">
            <v>15975</v>
          </cell>
          <cell r="C506" t="str">
            <v>Direct</v>
          </cell>
          <cell r="D506" t="str">
            <v>UEC</v>
          </cell>
        </row>
        <row r="507">
          <cell r="B507" t="str">
            <v>15978</v>
          </cell>
          <cell r="C507" t="str">
            <v>Direct</v>
          </cell>
          <cell r="D507" t="str">
            <v>UEC</v>
          </cell>
        </row>
        <row r="508">
          <cell r="B508" t="str">
            <v>15979</v>
          </cell>
          <cell r="C508" t="str">
            <v>Direct</v>
          </cell>
          <cell r="D508" t="str">
            <v>UEC</v>
          </cell>
        </row>
        <row r="509">
          <cell r="B509" t="str">
            <v>15983</v>
          </cell>
          <cell r="C509" t="str">
            <v>Direct</v>
          </cell>
          <cell r="D509" t="str">
            <v>GEN</v>
          </cell>
        </row>
        <row r="510">
          <cell r="B510" t="str">
            <v>15984</v>
          </cell>
          <cell r="C510" t="str">
            <v>Direct</v>
          </cell>
          <cell r="D510" t="str">
            <v>CIP</v>
          </cell>
        </row>
        <row r="511">
          <cell r="B511" t="str">
            <v>15989</v>
          </cell>
          <cell r="C511" t="str">
            <v>Direct</v>
          </cell>
          <cell r="D511" t="str">
            <v>CIP</v>
          </cell>
        </row>
        <row r="512">
          <cell r="B512" t="str">
            <v>15993</v>
          </cell>
          <cell r="C512" t="str">
            <v>Direct</v>
          </cell>
          <cell r="D512" t="str">
            <v>CIP</v>
          </cell>
        </row>
        <row r="513">
          <cell r="B513" t="str">
            <v>15996</v>
          </cell>
          <cell r="C513" t="str">
            <v>Direct</v>
          </cell>
          <cell r="D513" t="str">
            <v>CIP</v>
          </cell>
        </row>
        <row r="514">
          <cell r="B514" t="str">
            <v>15997</v>
          </cell>
          <cell r="C514" t="str">
            <v>Direct</v>
          </cell>
          <cell r="D514" t="str">
            <v>UEC</v>
          </cell>
        </row>
        <row r="515">
          <cell r="B515" t="str">
            <v>15998</v>
          </cell>
          <cell r="C515" t="str">
            <v>Direct</v>
          </cell>
          <cell r="D515" t="str">
            <v>UEC</v>
          </cell>
        </row>
        <row r="516">
          <cell r="B516" t="str">
            <v>16001</v>
          </cell>
          <cell r="C516" t="str">
            <v>Direct</v>
          </cell>
          <cell r="D516" t="str">
            <v>UEC</v>
          </cell>
        </row>
        <row r="517">
          <cell r="B517" t="str">
            <v>16002</v>
          </cell>
          <cell r="C517" t="str">
            <v>Direct</v>
          </cell>
          <cell r="D517" t="str">
            <v>UEC</v>
          </cell>
        </row>
        <row r="518">
          <cell r="B518" t="str">
            <v>16003</v>
          </cell>
          <cell r="C518" t="str">
            <v>Direct</v>
          </cell>
          <cell r="D518" t="str">
            <v>CIL</v>
          </cell>
        </row>
        <row r="519">
          <cell r="B519" t="str">
            <v>16030</v>
          </cell>
          <cell r="C519" t="str">
            <v>Direct</v>
          </cell>
          <cell r="D519" t="str">
            <v>UEC</v>
          </cell>
        </row>
        <row r="520">
          <cell r="B520" t="str">
            <v>16053</v>
          </cell>
          <cell r="C520" t="str">
            <v>Direct</v>
          </cell>
          <cell r="D520" t="str">
            <v>UEC</v>
          </cell>
        </row>
        <row r="521">
          <cell r="B521" t="str">
            <v>16088</v>
          </cell>
          <cell r="C521" t="str">
            <v>Direct</v>
          </cell>
          <cell r="D521" t="str">
            <v>UEC</v>
          </cell>
        </row>
        <row r="522">
          <cell r="B522" t="str">
            <v>16090</v>
          </cell>
          <cell r="C522" t="str">
            <v>Direct</v>
          </cell>
          <cell r="D522" t="str">
            <v>UEC</v>
          </cell>
        </row>
        <row r="523">
          <cell r="B523" t="str">
            <v>16095</v>
          </cell>
          <cell r="C523" t="str">
            <v>Direct</v>
          </cell>
          <cell r="D523" t="str">
            <v>CIP</v>
          </cell>
        </row>
        <row r="524">
          <cell r="B524" t="str">
            <v>16106</v>
          </cell>
          <cell r="C524" t="str">
            <v>Direct</v>
          </cell>
          <cell r="D524" t="str">
            <v>CIP</v>
          </cell>
        </row>
        <row r="525">
          <cell r="B525" t="str">
            <v>16107</v>
          </cell>
          <cell r="C525" t="str">
            <v>Direct</v>
          </cell>
          <cell r="D525" t="str">
            <v>CIP</v>
          </cell>
        </row>
        <row r="526">
          <cell r="B526" t="str">
            <v>16108</v>
          </cell>
          <cell r="C526" t="str">
            <v>Direct</v>
          </cell>
          <cell r="D526" t="str">
            <v>CIP</v>
          </cell>
        </row>
        <row r="527">
          <cell r="B527" t="str">
            <v>16109</v>
          </cell>
          <cell r="C527" t="str">
            <v>Direct</v>
          </cell>
          <cell r="D527" t="str">
            <v>CIP</v>
          </cell>
        </row>
        <row r="528">
          <cell r="B528" t="str">
            <v>16114</v>
          </cell>
          <cell r="C528" t="str">
            <v>Direct</v>
          </cell>
          <cell r="D528" t="str">
            <v>CIP</v>
          </cell>
        </row>
        <row r="529">
          <cell r="B529" t="str">
            <v>16116</v>
          </cell>
          <cell r="C529" t="str">
            <v>Direct</v>
          </cell>
          <cell r="D529" t="str">
            <v>IPC</v>
          </cell>
        </row>
        <row r="530">
          <cell r="B530" t="str">
            <v>16117</v>
          </cell>
          <cell r="C530" t="str">
            <v>Direct</v>
          </cell>
          <cell r="D530" t="str">
            <v>UEC</v>
          </cell>
        </row>
        <row r="531">
          <cell r="B531" t="str">
            <v>16129</v>
          </cell>
          <cell r="C531" t="str">
            <v>Direct</v>
          </cell>
          <cell r="D531" t="str">
            <v>UEC</v>
          </cell>
        </row>
        <row r="532">
          <cell r="B532" t="str">
            <v>16130</v>
          </cell>
          <cell r="C532" t="str">
            <v>Direct</v>
          </cell>
          <cell r="D532" t="str">
            <v>GEN</v>
          </cell>
        </row>
        <row r="533">
          <cell r="B533" t="str">
            <v>16143</v>
          </cell>
          <cell r="C533" t="str">
            <v>Direct</v>
          </cell>
          <cell r="D533" t="str">
            <v>CIP</v>
          </cell>
        </row>
        <row r="534">
          <cell r="B534" t="str">
            <v>16145</v>
          </cell>
          <cell r="C534" t="str">
            <v>Direct</v>
          </cell>
          <cell r="D534" t="str">
            <v>GEN</v>
          </cell>
        </row>
        <row r="535">
          <cell r="B535" t="str">
            <v>16147</v>
          </cell>
          <cell r="C535" t="str">
            <v>Direct</v>
          </cell>
          <cell r="D535" t="str">
            <v>UEC</v>
          </cell>
        </row>
        <row r="536">
          <cell r="B536" t="str">
            <v>16162</v>
          </cell>
          <cell r="C536" t="str">
            <v>Direct</v>
          </cell>
          <cell r="D536" t="str">
            <v>CIP</v>
          </cell>
        </row>
        <row r="537">
          <cell r="B537" t="str">
            <v>16179</v>
          </cell>
          <cell r="C537" t="str">
            <v>Direct</v>
          </cell>
          <cell r="D537" t="str">
            <v>GEN</v>
          </cell>
        </row>
        <row r="538">
          <cell r="B538" t="str">
            <v>16185</v>
          </cell>
          <cell r="C538" t="str">
            <v>Direct</v>
          </cell>
          <cell r="D538" t="str">
            <v>CIP</v>
          </cell>
        </row>
        <row r="539">
          <cell r="B539" t="str">
            <v>16190</v>
          </cell>
          <cell r="C539" t="str">
            <v>Direct</v>
          </cell>
          <cell r="D539" t="str">
            <v>CIP</v>
          </cell>
        </row>
        <row r="540">
          <cell r="B540" t="str">
            <v>16217</v>
          </cell>
          <cell r="C540" t="str">
            <v>Direct</v>
          </cell>
          <cell r="D540" t="str">
            <v>GEN</v>
          </cell>
        </row>
        <row r="541">
          <cell r="B541" t="str">
            <v>16218</v>
          </cell>
          <cell r="C541" t="str">
            <v>Direct</v>
          </cell>
          <cell r="D541" t="str">
            <v>GEN</v>
          </cell>
        </row>
        <row r="542">
          <cell r="B542" t="str">
            <v>16219</v>
          </cell>
          <cell r="C542" t="str">
            <v>Direct</v>
          </cell>
          <cell r="D542" t="str">
            <v>GEN</v>
          </cell>
        </row>
        <row r="543">
          <cell r="B543" t="str">
            <v>16220</v>
          </cell>
          <cell r="C543" t="str">
            <v>Direct</v>
          </cell>
          <cell r="D543" t="str">
            <v>GEN</v>
          </cell>
        </row>
        <row r="544">
          <cell r="B544" t="str">
            <v>16221</v>
          </cell>
          <cell r="C544" t="str">
            <v>Direct</v>
          </cell>
          <cell r="D544" t="str">
            <v>GEN</v>
          </cell>
        </row>
        <row r="545">
          <cell r="B545" t="str">
            <v>16222</v>
          </cell>
          <cell r="C545" t="str">
            <v>Direct</v>
          </cell>
          <cell r="D545" t="str">
            <v>ARG</v>
          </cell>
        </row>
        <row r="546">
          <cell r="B546" t="str">
            <v>16223</v>
          </cell>
          <cell r="C546" t="str">
            <v>Direct</v>
          </cell>
          <cell r="D546" t="str">
            <v>ARG</v>
          </cell>
        </row>
        <row r="547">
          <cell r="B547" t="str">
            <v>16229</v>
          </cell>
          <cell r="C547" t="str">
            <v>Direct</v>
          </cell>
          <cell r="D547" t="str">
            <v>UEC</v>
          </cell>
        </row>
        <row r="548">
          <cell r="B548" t="str">
            <v>16231</v>
          </cell>
          <cell r="C548" t="str">
            <v>Direct</v>
          </cell>
          <cell r="D548" t="str">
            <v>UEC</v>
          </cell>
        </row>
        <row r="549">
          <cell r="B549" t="str">
            <v>16246</v>
          </cell>
          <cell r="C549" t="str">
            <v>Direct</v>
          </cell>
          <cell r="D549" t="str">
            <v>UEC</v>
          </cell>
        </row>
        <row r="550">
          <cell r="B550" t="str">
            <v>16268</v>
          </cell>
          <cell r="C550" t="str">
            <v>Direct</v>
          </cell>
          <cell r="D550" t="str">
            <v>GEN</v>
          </cell>
        </row>
        <row r="551">
          <cell r="B551" t="str">
            <v>16282</v>
          </cell>
          <cell r="C551" t="str">
            <v>Direct</v>
          </cell>
          <cell r="D551" t="str">
            <v>IPC</v>
          </cell>
        </row>
        <row r="552">
          <cell r="B552" t="str">
            <v>16283</v>
          </cell>
          <cell r="C552" t="str">
            <v>Direct</v>
          </cell>
          <cell r="D552" t="str">
            <v>IPC</v>
          </cell>
        </row>
        <row r="553">
          <cell r="B553" t="str">
            <v>16284</v>
          </cell>
          <cell r="C553" t="str">
            <v>Direct</v>
          </cell>
          <cell r="D553" t="str">
            <v>IPC</v>
          </cell>
        </row>
        <row r="554">
          <cell r="B554" t="str">
            <v>16292</v>
          </cell>
          <cell r="C554" t="str">
            <v>Direct</v>
          </cell>
          <cell r="D554" t="str">
            <v>AFS</v>
          </cell>
        </row>
        <row r="555">
          <cell r="B555" t="str">
            <v>16295</v>
          </cell>
          <cell r="C555" t="str">
            <v>Direct</v>
          </cell>
          <cell r="D555" t="str">
            <v>UEC</v>
          </cell>
        </row>
        <row r="556">
          <cell r="B556" t="str">
            <v>16303</v>
          </cell>
          <cell r="C556" t="str">
            <v>Direct</v>
          </cell>
          <cell r="D556" t="str">
            <v>IPC</v>
          </cell>
        </row>
        <row r="557">
          <cell r="B557" t="str">
            <v>16304</v>
          </cell>
          <cell r="C557" t="str">
            <v>Direct</v>
          </cell>
          <cell r="D557" t="str">
            <v>IPC</v>
          </cell>
        </row>
        <row r="558">
          <cell r="B558" t="str">
            <v>16305</v>
          </cell>
          <cell r="C558" t="str">
            <v>Direct</v>
          </cell>
          <cell r="D558" t="str">
            <v>UEC</v>
          </cell>
        </row>
        <row r="559">
          <cell r="B559" t="str">
            <v>16306</v>
          </cell>
          <cell r="C559" t="str">
            <v>Direct</v>
          </cell>
          <cell r="D559" t="str">
            <v>IPC</v>
          </cell>
        </row>
        <row r="560">
          <cell r="B560" t="str">
            <v>16310</v>
          </cell>
          <cell r="C560" t="str">
            <v>Direct</v>
          </cell>
          <cell r="D560" t="str">
            <v>IPC</v>
          </cell>
        </row>
        <row r="561">
          <cell r="B561" t="str">
            <v>16321</v>
          </cell>
          <cell r="C561" t="str">
            <v>Direct</v>
          </cell>
          <cell r="D561" t="str">
            <v>IPC</v>
          </cell>
        </row>
        <row r="562">
          <cell r="B562" t="str">
            <v>16322</v>
          </cell>
          <cell r="C562" t="str">
            <v>Direct</v>
          </cell>
          <cell r="D562" t="str">
            <v>IPC</v>
          </cell>
        </row>
        <row r="563">
          <cell r="B563" t="str">
            <v>16331</v>
          </cell>
          <cell r="C563" t="str">
            <v>Direct</v>
          </cell>
          <cell r="D563" t="str">
            <v>IPC</v>
          </cell>
        </row>
        <row r="564">
          <cell r="B564" t="str">
            <v>16336</v>
          </cell>
          <cell r="C564" t="str">
            <v>Direct</v>
          </cell>
          <cell r="D564" t="str">
            <v>IPC</v>
          </cell>
        </row>
        <row r="565">
          <cell r="B565" t="str">
            <v>16337</v>
          </cell>
          <cell r="C565" t="str">
            <v>Direct</v>
          </cell>
          <cell r="D565" t="str">
            <v>IPC</v>
          </cell>
        </row>
        <row r="566">
          <cell r="B566" t="str">
            <v>16338</v>
          </cell>
          <cell r="C566" t="str">
            <v>Direct</v>
          </cell>
          <cell r="D566" t="str">
            <v>IPC</v>
          </cell>
        </row>
        <row r="567">
          <cell r="B567" t="str">
            <v>16339</v>
          </cell>
          <cell r="C567" t="str">
            <v>Direct</v>
          </cell>
          <cell r="D567" t="str">
            <v>IPC</v>
          </cell>
        </row>
        <row r="568">
          <cell r="B568" t="str">
            <v>16340</v>
          </cell>
          <cell r="C568" t="str">
            <v>Direct</v>
          </cell>
          <cell r="D568" t="str">
            <v>IPC</v>
          </cell>
        </row>
        <row r="569">
          <cell r="B569" t="str">
            <v>16342</v>
          </cell>
          <cell r="C569" t="str">
            <v>Direct</v>
          </cell>
          <cell r="D569" t="str">
            <v>IPC</v>
          </cell>
        </row>
        <row r="570">
          <cell r="B570" t="str">
            <v>16344</v>
          </cell>
          <cell r="C570" t="str">
            <v>Direct</v>
          </cell>
          <cell r="D570" t="str">
            <v>IPC</v>
          </cell>
        </row>
        <row r="571">
          <cell r="B571" t="str">
            <v>16347</v>
          </cell>
          <cell r="C571" t="str">
            <v>Direct</v>
          </cell>
          <cell r="D571" t="str">
            <v>IPC</v>
          </cell>
        </row>
        <row r="572">
          <cell r="B572" t="str">
            <v>16348</v>
          </cell>
          <cell r="C572" t="str">
            <v>Direct</v>
          </cell>
          <cell r="D572" t="str">
            <v>IPC</v>
          </cell>
        </row>
        <row r="573">
          <cell r="B573" t="str">
            <v>16349</v>
          </cell>
          <cell r="C573" t="str">
            <v>Direct</v>
          </cell>
          <cell r="D573" t="str">
            <v>IPC</v>
          </cell>
        </row>
        <row r="574">
          <cell r="B574" t="str">
            <v>16350</v>
          </cell>
          <cell r="C574" t="str">
            <v>Direct</v>
          </cell>
          <cell r="D574" t="str">
            <v>IPC</v>
          </cell>
        </row>
        <row r="575">
          <cell r="B575" t="str">
            <v>16354</v>
          </cell>
          <cell r="C575" t="str">
            <v>Direct</v>
          </cell>
          <cell r="D575" t="str">
            <v>IPC</v>
          </cell>
        </row>
        <row r="576">
          <cell r="B576" t="str">
            <v>16355</v>
          </cell>
          <cell r="C576" t="str">
            <v>Direct</v>
          </cell>
          <cell r="D576" t="str">
            <v>IPC</v>
          </cell>
        </row>
        <row r="577">
          <cell r="B577" t="str">
            <v>16356</v>
          </cell>
          <cell r="C577" t="str">
            <v>Direct</v>
          </cell>
          <cell r="D577" t="str">
            <v>IPC</v>
          </cell>
        </row>
        <row r="578">
          <cell r="B578" t="str">
            <v>16357</v>
          </cell>
          <cell r="C578" t="str">
            <v>Direct</v>
          </cell>
          <cell r="D578" t="str">
            <v>IPC</v>
          </cell>
        </row>
        <row r="579">
          <cell r="B579" t="str">
            <v>16360</v>
          </cell>
          <cell r="C579" t="str">
            <v>Direct</v>
          </cell>
          <cell r="D579" t="str">
            <v>IPC</v>
          </cell>
        </row>
        <row r="580">
          <cell r="B580" t="str">
            <v>16361</v>
          </cell>
          <cell r="C580" t="str">
            <v>Direct</v>
          </cell>
          <cell r="D580" t="str">
            <v>IPC</v>
          </cell>
        </row>
        <row r="581">
          <cell r="B581" t="str">
            <v>16362</v>
          </cell>
          <cell r="C581" t="str">
            <v>Direct</v>
          </cell>
          <cell r="D581" t="str">
            <v>IPC</v>
          </cell>
        </row>
        <row r="582">
          <cell r="B582" t="str">
            <v>16363</v>
          </cell>
          <cell r="C582" t="str">
            <v>Direct</v>
          </cell>
          <cell r="D582" t="str">
            <v>IPC</v>
          </cell>
        </row>
        <row r="583">
          <cell r="B583" t="str">
            <v>16364</v>
          </cell>
          <cell r="C583" t="str">
            <v>Direct</v>
          </cell>
          <cell r="D583" t="str">
            <v>IPC</v>
          </cell>
        </row>
        <row r="584">
          <cell r="B584" t="str">
            <v>16365</v>
          </cell>
          <cell r="C584" t="str">
            <v>Direct</v>
          </cell>
          <cell r="D584" t="str">
            <v>IPC</v>
          </cell>
        </row>
        <row r="585">
          <cell r="B585" t="str">
            <v>16366</v>
          </cell>
          <cell r="C585" t="str">
            <v>Direct</v>
          </cell>
          <cell r="D585" t="str">
            <v>IPC</v>
          </cell>
        </row>
        <row r="586">
          <cell r="B586" t="str">
            <v>16367</v>
          </cell>
          <cell r="C586" t="str">
            <v>Direct</v>
          </cell>
          <cell r="D586" t="str">
            <v>IPC</v>
          </cell>
        </row>
        <row r="587">
          <cell r="B587" t="str">
            <v>16371</v>
          </cell>
          <cell r="C587" t="str">
            <v>Direct</v>
          </cell>
          <cell r="D587" t="str">
            <v>IPC</v>
          </cell>
        </row>
        <row r="588">
          <cell r="B588" t="str">
            <v>16373</v>
          </cell>
          <cell r="C588" t="str">
            <v>Direct</v>
          </cell>
          <cell r="D588" t="str">
            <v>IPC</v>
          </cell>
        </row>
        <row r="589">
          <cell r="B589" t="str">
            <v>16374</v>
          </cell>
          <cell r="C589" t="str">
            <v>Direct</v>
          </cell>
          <cell r="D589" t="str">
            <v>IPC</v>
          </cell>
        </row>
        <row r="590">
          <cell r="B590" t="str">
            <v>16375</v>
          </cell>
          <cell r="C590" t="str">
            <v>Direct</v>
          </cell>
          <cell r="D590" t="str">
            <v>IPC</v>
          </cell>
        </row>
        <row r="591">
          <cell r="B591" t="str">
            <v>16377</v>
          </cell>
          <cell r="C591" t="str">
            <v>Direct</v>
          </cell>
          <cell r="D591" t="str">
            <v>IPC</v>
          </cell>
        </row>
        <row r="592">
          <cell r="B592" t="str">
            <v>16378</v>
          </cell>
          <cell r="C592" t="str">
            <v>Direct</v>
          </cell>
          <cell r="D592" t="str">
            <v>IPC</v>
          </cell>
        </row>
        <row r="593">
          <cell r="B593" t="str">
            <v>16379</v>
          </cell>
          <cell r="C593" t="str">
            <v>Direct</v>
          </cell>
          <cell r="D593" t="str">
            <v>IPC</v>
          </cell>
        </row>
        <row r="594">
          <cell r="B594" t="str">
            <v>16380</v>
          </cell>
          <cell r="C594" t="str">
            <v>Direct</v>
          </cell>
          <cell r="D594" t="str">
            <v>IPC</v>
          </cell>
        </row>
        <row r="595">
          <cell r="B595" t="str">
            <v>16381</v>
          </cell>
          <cell r="C595" t="str">
            <v>Direct</v>
          </cell>
          <cell r="D595" t="str">
            <v>IPC</v>
          </cell>
        </row>
        <row r="596">
          <cell r="B596" t="str">
            <v>16384</v>
          </cell>
          <cell r="C596" t="str">
            <v>Direct</v>
          </cell>
          <cell r="D596" t="str">
            <v>IPC</v>
          </cell>
        </row>
        <row r="597">
          <cell r="B597" t="str">
            <v>16419</v>
          </cell>
          <cell r="C597" t="str">
            <v>Direct</v>
          </cell>
          <cell r="D597" t="str">
            <v>UEC</v>
          </cell>
        </row>
        <row r="598">
          <cell r="B598" t="str">
            <v>16420</v>
          </cell>
          <cell r="C598" t="str">
            <v>Direct</v>
          </cell>
          <cell r="D598" t="str">
            <v>ARG</v>
          </cell>
        </row>
        <row r="599">
          <cell r="B599" t="str">
            <v>16422</v>
          </cell>
          <cell r="C599" t="str">
            <v>Direct</v>
          </cell>
          <cell r="D599" t="str">
            <v>UEC</v>
          </cell>
        </row>
        <row r="600">
          <cell r="B600" t="str">
            <v>16424</v>
          </cell>
          <cell r="C600" t="str">
            <v>Direct</v>
          </cell>
          <cell r="D600" t="str">
            <v>UEC</v>
          </cell>
        </row>
        <row r="601">
          <cell r="B601" t="str">
            <v>16428</v>
          </cell>
          <cell r="C601" t="str">
            <v>Direct</v>
          </cell>
          <cell r="D601" t="str">
            <v>UEC</v>
          </cell>
        </row>
        <row r="602">
          <cell r="B602" t="str">
            <v>16432</v>
          </cell>
          <cell r="C602" t="str">
            <v>Direct</v>
          </cell>
          <cell r="D602" t="str">
            <v>UEC</v>
          </cell>
        </row>
        <row r="603">
          <cell r="B603" t="str">
            <v>16434</v>
          </cell>
          <cell r="C603" t="str">
            <v>Direct</v>
          </cell>
          <cell r="D603" t="str">
            <v>CIP</v>
          </cell>
        </row>
        <row r="604">
          <cell r="B604" t="str">
            <v>16435</v>
          </cell>
          <cell r="C604" t="str">
            <v>Direct</v>
          </cell>
          <cell r="D604" t="str">
            <v>CIP</v>
          </cell>
        </row>
        <row r="605">
          <cell r="B605" t="str">
            <v>16448</v>
          </cell>
          <cell r="C605" t="str">
            <v>Direct</v>
          </cell>
          <cell r="D605" t="str">
            <v>CIL</v>
          </cell>
        </row>
        <row r="606">
          <cell r="B606" t="str">
            <v>16453</v>
          </cell>
          <cell r="C606" t="str">
            <v>Direct</v>
          </cell>
          <cell r="D606" t="str">
            <v>UEC</v>
          </cell>
        </row>
        <row r="607">
          <cell r="B607" t="str">
            <v>16455</v>
          </cell>
          <cell r="C607" t="str">
            <v>Direct</v>
          </cell>
          <cell r="D607" t="str">
            <v>CIP</v>
          </cell>
        </row>
        <row r="608">
          <cell r="B608" t="str">
            <v>16456</v>
          </cell>
          <cell r="C608" t="str">
            <v>Direct</v>
          </cell>
          <cell r="D608" t="str">
            <v>UEC</v>
          </cell>
        </row>
        <row r="609">
          <cell r="B609" t="str">
            <v>16459</v>
          </cell>
          <cell r="C609" t="str">
            <v>Direct</v>
          </cell>
          <cell r="D609" t="str">
            <v>ARG</v>
          </cell>
        </row>
        <row r="610">
          <cell r="B610" t="str">
            <v>16462</v>
          </cell>
          <cell r="C610" t="str">
            <v>Direct</v>
          </cell>
          <cell r="D610" t="str">
            <v>GEN</v>
          </cell>
        </row>
        <row r="611">
          <cell r="B611" t="str">
            <v>16470</v>
          </cell>
          <cell r="C611" t="str">
            <v>Direct</v>
          </cell>
          <cell r="D611" t="str">
            <v>CIP</v>
          </cell>
        </row>
        <row r="612">
          <cell r="B612" t="str">
            <v>16472</v>
          </cell>
          <cell r="C612" t="str">
            <v>Direct</v>
          </cell>
          <cell r="D612" t="str">
            <v>ARG</v>
          </cell>
        </row>
        <row r="613">
          <cell r="B613" t="str">
            <v>16473</v>
          </cell>
          <cell r="C613" t="str">
            <v>Direct</v>
          </cell>
          <cell r="D613" t="str">
            <v>UEC</v>
          </cell>
        </row>
        <row r="614">
          <cell r="B614" t="str">
            <v>16478</v>
          </cell>
          <cell r="C614" t="str">
            <v>Direct</v>
          </cell>
          <cell r="D614" t="str">
            <v>ARG</v>
          </cell>
        </row>
        <row r="615">
          <cell r="B615" t="str">
            <v>16479</v>
          </cell>
          <cell r="C615" t="str">
            <v>Direct</v>
          </cell>
          <cell r="D615" t="str">
            <v>GEN</v>
          </cell>
        </row>
        <row r="616">
          <cell r="B616" t="str">
            <v>16480</v>
          </cell>
          <cell r="C616" t="str">
            <v>Direct</v>
          </cell>
          <cell r="D616" t="str">
            <v>UEC</v>
          </cell>
        </row>
        <row r="617">
          <cell r="B617" t="str">
            <v>16481</v>
          </cell>
          <cell r="C617" t="str">
            <v>Direct</v>
          </cell>
          <cell r="D617" t="str">
            <v>GEN</v>
          </cell>
        </row>
        <row r="618">
          <cell r="B618" t="str">
            <v>16492</v>
          </cell>
          <cell r="C618" t="str">
            <v>Direct</v>
          </cell>
          <cell r="D618" t="str">
            <v>GEN</v>
          </cell>
        </row>
        <row r="619">
          <cell r="B619" t="str">
            <v>16503</v>
          </cell>
          <cell r="C619" t="str">
            <v>Direct</v>
          </cell>
          <cell r="D619" t="str">
            <v>UEC</v>
          </cell>
        </row>
        <row r="620">
          <cell r="B620" t="str">
            <v>16507</v>
          </cell>
          <cell r="C620" t="str">
            <v>Direct</v>
          </cell>
          <cell r="D620" t="str">
            <v>UEC</v>
          </cell>
        </row>
        <row r="621">
          <cell r="B621" t="str">
            <v>16508</v>
          </cell>
          <cell r="C621" t="str">
            <v>Direct</v>
          </cell>
          <cell r="D621" t="str">
            <v>CIL</v>
          </cell>
        </row>
        <row r="622">
          <cell r="B622" t="str">
            <v>16516</v>
          </cell>
          <cell r="C622" t="str">
            <v>Direct</v>
          </cell>
          <cell r="D622" t="str">
            <v>UEC</v>
          </cell>
        </row>
        <row r="623">
          <cell r="B623" t="str">
            <v>16521</v>
          </cell>
          <cell r="C623" t="str">
            <v>Direct</v>
          </cell>
          <cell r="D623" t="str">
            <v>IPC</v>
          </cell>
        </row>
        <row r="624">
          <cell r="B624" t="str">
            <v>16522</v>
          </cell>
          <cell r="C624" t="str">
            <v>Direct</v>
          </cell>
          <cell r="D624" t="str">
            <v>IPC</v>
          </cell>
        </row>
        <row r="625">
          <cell r="B625" t="str">
            <v>16527</v>
          </cell>
          <cell r="C625" t="str">
            <v>Direct</v>
          </cell>
          <cell r="D625" t="str">
            <v>UEC</v>
          </cell>
        </row>
        <row r="626">
          <cell r="B626" t="str">
            <v>16533</v>
          </cell>
          <cell r="C626" t="str">
            <v>Direct</v>
          </cell>
          <cell r="D626" t="str">
            <v>ARG</v>
          </cell>
        </row>
        <row r="627">
          <cell r="B627" t="str">
            <v>16534</v>
          </cell>
          <cell r="C627" t="str">
            <v>Direct</v>
          </cell>
          <cell r="D627" t="str">
            <v>ARG</v>
          </cell>
        </row>
        <row r="628">
          <cell r="B628" t="str">
            <v>16535</v>
          </cell>
          <cell r="C628" t="str">
            <v>Direct</v>
          </cell>
          <cell r="D628" t="str">
            <v>ARG</v>
          </cell>
        </row>
        <row r="629">
          <cell r="B629" t="str">
            <v>16536</v>
          </cell>
          <cell r="C629" t="str">
            <v>Direct</v>
          </cell>
          <cell r="D629" t="str">
            <v>ARG</v>
          </cell>
        </row>
        <row r="630">
          <cell r="B630" t="str">
            <v>16543</v>
          </cell>
          <cell r="C630" t="str">
            <v>Direct</v>
          </cell>
          <cell r="D630" t="str">
            <v>IPC</v>
          </cell>
        </row>
        <row r="631">
          <cell r="B631" t="str">
            <v>16544</v>
          </cell>
          <cell r="C631" t="str">
            <v>Direct</v>
          </cell>
          <cell r="D631" t="str">
            <v>IPC</v>
          </cell>
        </row>
        <row r="632">
          <cell r="B632" t="str">
            <v>16547</v>
          </cell>
          <cell r="C632" t="str">
            <v>Direct</v>
          </cell>
          <cell r="D632" t="str">
            <v>IPC</v>
          </cell>
        </row>
        <row r="633">
          <cell r="B633" t="str">
            <v>16548</v>
          </cell>
          <cell r="C633" t="str">
            <v>Direct</v>
          </cell>
          <cell r="D633" t="str">
            <v>IPC</v>
          </cell>
        </row>
        <row r="634">
          <cell r="B634" t="str">
            <v>16557</v>
          </cell>
          <cell r="C634" t="str">
            <v>Direct</v>
          </cell>
          <cell r="D634" t="str">
            <v>AMC</v>
          </cell>
        </row>
        <row r="635">
          <cell r="B635" t="str">
            <v>16558</v>
          </cell>
          <cell r="C635" t="str">
            <v>Direct</v>
          </cell>
          <cell r="D635" t="str">
            <v>CIL</v>
          </cell>
        </row>
        <row r="636">
          <cell r="B636" t="str">
            <v>16561</v>
          </cell>
          <cell r="C636" t="str">
            <v>Direct</v>
          </cell>
          <cell r="D636" t="str">
            <v>IPC</v>
          </cell>
        </row>
        <row r="637">
          <cell r="B637" t="str">
            <v>16562</v>
          </cell>
          <cell r="C637" t="str">
            <v>Direct</v>
          </cell>
          <cell r="D637" t="str">
            <v>IPC</v>
          </cell>
        </row>
        <row r="638">
          <cell r="B638" t="str">
            <v>16564</v>
          </cell>
          <cell r="C638" t="str">
            <v>Direct</v>
          </cell>
          <cell r="D638" t="str">
            <v>IPC</v>
          </cell>
        </row>
        <row r="639">
          <cell r="B639" t="str">
            <v>16565</v>
          </cell>
          <cell r="C639" t="str">
            <v>Direct</v>
          </cell>
          <cell r="D639" t="str">
            <v>UEC</v>
          </cell>
        </row>
        <row r="640">
          <cell r="B640" t="str">
            <v>16566</v>
          </cell>
          <cell r="C640" t="str">
            <v>Direct</v>
          </cell>
          <cell r="D640" t="str">
            <v>UEC</v>
          </cell>
        </row>
        <row r="641">
          <cell r="B641" t="str">
            <v>16567</v>
          </cell>
          <cell r="C641" t="str">
            <v>Direct</v>
          </cell>
          <cell r="D641" t="str">
            <v>IPC</v>
          </cell>
        </row>
        <row r="642">
          <cell r="B642" t="str">
            <v>16574</v>
          </cell>
          <cell r="C642" t="str">
            <v>Direct</v>
          </cell>
          <cell r="D642" t="str">
            <v>UEC</v>
          </cell>
        </row>
        <row r="643">
          <cell r="B643" t="str">
            <v>16575</v>
          </cell>
          <cell r="C643" t="str">
            <v>Direct</v>
          </cell>
          <cell r="D643" t="str">
            <v>CIP</v>
          </cell>
        </row>
        <row r="644">
          <cell r="B644" t="str">
            <v>16577</v>
          </cell>
          <cell r="C644" t="str">
            <v>Direct</v>
          </cell>
          <cell r="D644" t="str">
            <v>AMC</v>
          </cell>
        </row>
        <row r="645">
          <cell r="B645" t="str">
            <v>16582</v>
          </cell>
          <cell r="C645" t="str">
            <v>Direct</v>
          </cell>
          <cell r="D645" t="str">
            <v>UEC</v>
          </cell>
        </row>
        <row r="646">
          <cell r="B646" t="str">
            <v>16583</v>
          </cell>
          <cell r="C646" t="str">
            <v>Direct</v>
          </cell>
          <cell r="D646" t="str">
            <v>UEC</v>
          </cell>
        </row>
        <row r="647">
          <cell r="B647" t="str">
            <v>16584</v>
          </cell>
          <cell r="C647" t="str">
            <v>Direct</v>
          </cell>
          <cell r="D647" t="str">
            <v>UEC</v>
          </cell>
        </row>
        <row r="648">
          <cell r="B648" t="str">
            <v>16585</v>
          </cell>
          <cell r="C648" t="str">
            <v>Direct</v>
          </cell>
          <cell r="D648" t="str">
            <v>GEN</v>
          </cell>
        </row>
        <row r="649">
          <cell r="B649" t="str">
            <v>16587</v>
          </cell>
          <cell r="C649" t="str">
            <v>Direct</v>
          </cell>
          <cell r="D649" t="str">
            <v>GEN</v>
          </cell>
        </row>
        <row r="650">
          <cell r="B650" t="str">
            <v>16588</v>
          </cell>
          <cell r="C650" t="str">
            <v>Direct</v>
          </cell>
          <cell r="D650" t="str">
            <v>GEN</v>
          </cell>
        </row>
        <row r="651">
          <cell r="B651" t="str">
            <v>16589</v>
          </cell>
          <cell r="C651" t="str">
            <v>Direct</v>
          </cell>
          <cell r="D651" t="str">
            <v>UEC</v>
          </cell>
        </row>
        <row r="652">
          <cell r="B652" t="str">
            <v>16590</v>
          </cell>
          <cell r="C652" t="str">
            <v>Direct</v>
          </cell>
          <cell r="D652" t="str">
            <v>CIP</v>
          </cell>
        </row>
        <row r="653">
          <cell r="B653" t="str">
            <v>16609</v>
          </cell>
          <cell r="C653" t="str">
            <v>Direct</v>
          </cell>
          <cell r="D653" t="str">
            <v>IPC</v>
          </cell>
        </row>
        <row r="654">
          <cell r="B654" t="str">
            <v>16610</v>
          </cell>
          <cell r="C654" t="str">
            <v>Direct</v>
          </cell>
          <cell r="D654" t="str">
            <v>CIP</v>
          </cell>
        </row>
        <row r="655">
          <cell r="B655" t="str">
            <v>16626</v>
          </cell>
          <cell r="C655" t="str">
            <v>Direct</v>
          </cell>
          <cell r="D655" t="str">
            <v>UEC</v>
          </cell>
        </row>
        <row r="656">
          <cell r="B656" t="str">
            <v>16628</v>
          </cell>
          <cell r="C656" t="str">
            <v>Direct</v>
          </cell>
          <cell r="D656" t="str">
            <v>GEN</v>
          </cell>
        </row>
        <row r="657">
          <cell r="B657" t="str">
            <v>16639</v>
          </cell>
          <cell r="C657" t="str">
            <v>Direct</v>
          </cell>
          <cell r="D657" t="str">
            <v>ARG</v>
          </cell>
        </row>
        <row r="658">
          <cell r="B658" t="str">
            <v>16650</v>
          </cell>
          <cell r="C658" t="str">
            <v>Direct</v>
          </cell>
          <cell r="D658" t="str">
            <v>UEC</v>
          </cell>
        </row>
        <row r="659">
          <cell r="B659" t="str">
            <v>16653</v>
          </cell>
          <cell r="C659" t="str">
            <v>Direct</v>
          </cell>
          <cell r="D659" t="str">
            <v>IPC</v>
          </cell>
        </row>
        <row r="660">
          <cell r="B660" t="str">
            <v>16654</v>
          </cell>
          <cell r="C660" t="str">
            <v>Direct</v>
          </cell>
          <cell r="D660" t="str">
            <v>IPC</v>
          </cell>
        </row>
        <row r="661">
          <cell r="B661" t="str">
            <v>16655</v>
          </cell>
          <cell r="C661" t="str">
            <v>Direct</v>
          </cell>
          <cell r="D661" t="str">
            <v>IPC</v>
          </cell>
        </row>
        <row r="662">
          <cell r="B662" t="str">
            <v>16656</v>
          </cell>
          <cell r="C662" t="str">
            <v>Direct</v>
          </cell>
          <cell r="D662" t="str">
            <v>IPC</v>
          </cell>
        </row>
        <row r="663">
          <cell r="B663" t="str">
            <v>16657</v>
          </cell>
          <cell r="C663" t="str">
            <v>Direct</v>
          </cell>
          <cell r="D663" t="str">
            <v>UEC</v>
          </cell>
        </row>
        <row r="664">
          <cell r="B664" t="str">
            <v>16684</v>
          </cell>
          <cell r="C664" t="str">
            <v>Direct</v>
          </cell>
          <cell r="D664" t="str">
            <v>GEN</v>
          </cell>
        </row>
        <row r="665">
          <cell r="B665" t="str">
            <v>16690</v>
          </cell>
          <cell r="C665" t="str">
            <v>Direct</v>
          </cell>
          <cell r="D665" t="str">
            <v>UEC</v>
          </cell>
        </row>
        <row r="666">
          <cell r="B666" t="str">
            <v>16699</v>
          </cell>
          <cell r="C666" t="str">
            <v>Direct</v>
          </cell>
          <cell r="D666" t="str">
            <v>ARG</v>
          </cell>
        </row>
        <row r="667">
          <cell r="B667" t="str">
            <v>16724</v>
          </cell>
          <cell r="C667" t="str">
            <v>Direct</v>
          </cell>
          <cell r="D667" t="str">
            <v>GEN</v>
          </cell>
        </row>
        <row r="668">
          <cell r="B668" t="str">
            <v>16725</v>
          </cell>
          <cell r="C668" t="str">
            <v>Direct</v>
          </cell>
          <cell r="D668" t="str">
            <v>GEN</v>
          </cell>
        </row>
        <row r="669">
          <cell r="B669" t="str">
            <v>16733</v>
          </cell>
          <cell r="C669" t="str">
            <v>Direct</v>
          </cell>
          <cell r="D669" t="str">
            <v>GEN</v>
          </cell>
        </row>
        <row r="670">
          <cell r="B670" t="str">
            <v>16736</v>
          </cell>
          <cell r="C670" t="str">
            <v>Direct</v>
          </cell>
          <cell r="D670" t="str">
            <v>GEN</v>
          </cell>
        </row>
        <row r="671">
          <cell r="B671" t="str">
            <v>16744</v>
          </cell>
          <cell r="C671" t="str">
            <v>Direct</v>
          </cell>
          <cell r="D671" t="str">
            <v>UEC</v>
          </cell>
        </row>
        <row r="672">
          <cell r="B672" t="str">
            <v>16749</v>
          </cell>
          <cell r="C672" t="str">
            <v>Direct</v>
          </cell>
          <cell r="D672" t="str">
            <v>GEN</v>
          </cell>
        </row>
        <row r="673">
          <cell r="B673" t="str">
            <v>16757</v>
          </cell>
          <cell r="C673" t="str">
            <v>Direct</v>
          </cell>
          <cell r="D673" t="str">
            <v>UEC</v>
          </cell>
        </row>
        <row r="674">
          <cell r="B674" t="str">
            <v>16759</v>
          </cell>
          <cell r="C674" t="str">
            <v>Direct</v>
          </cell>
          <cell r="D674" t="str">
            <v>CIP</v>
          </cell>
        </row>
        <row r="675">
          <cell r="B675" t="str">
            <v>16761</v>
          </cell>
          <cell r="C675" t="str">
            <v>Direct</v>
          </cell>
          <cell r="D675" t="str">
            <v>ARG</v>
          </cell>
        </row>
        <row r="676">
          <cell r="B676" t="str">
            <v>16763</v>
          </cell>
          <cell r="C676" t="str">
            <v>Direct</v>
          </cell>
          <cell r="D676" t="str">
            <v>GEN</v>
          </cell>
        </row>
        <row r="677">
          <cell r="B677" t="str">
            <v>16775</v>
          </cell>
          <cell r="C677" t="str">
            <v>Direct</v>
          </cell>
          <cell r="D677" t="str">
            <v>UEC</v>
          </cell>
        </row>
        <row r="678">
          <cell r="B678" t="str">
            <v>16788</v>
          </cell>
          <cell r="C678" t="str">
            <v>Direct</v>
          </cell>
          <cell r="D678" t="str">
            <v>GEN</v>
          </cell>
        </row>
        <row r="679">
          <cell r="B679" t="str">
            <v>16789</v>
          </cell>
          <cell r="C679" t="str">
            <v>Direct</v>
          </cell>
          <cell r="D679" t="str">
            <v>UEC</v>
          </cell>
        </row>
        <row r="680">
          <cell r="B680" t="str">
            <v>16797</v>
          </cell>
          <cell r="C680" t="str">
            <v>Direct</v>
          </cell>
          <cell r="D680" t="str">
            <v>UEC</v>
          </cell>
        </row>
        <row r="681">
          <cell r="B681" t="str">
            <v>16802</v>
          </cell>
          <cell r="C681" t="str">
            <v>Direct</v>
          </cell>
          <cell r="D681" t="str">
            <v>IPC</v>
          </cell>
        </row>
        <row r="682">
          <cell r="B682" t="str">
            <v>16822</v>
          </cell>
          <cell r="C682" t="str">
            <v>Direct</v>
          </cell>
          <cell r="D682" t="str">
            <v>UEC</v>
          </cell>
        </row>
        <row r="683">
          <cell r="B683" t="str">
            <v>16828</v>
          </cell>
          <cell r="C683" t="str">
            <v>Direct</v>
          </cell>
          <cell r="D683" t="str">
            <v>IPC</v>
          </cell>
        </row>
        <row r="684">
          <cell r="B684" t="str">
            <v>16831</v>
          </cell>
          <cell r="C684" t="str">
            <v>Direct</v>
          </cell>
          <cell r="D684" t="str">
            <v>IPC</v>
          </cell>
        </row>
        <row r="685">
          <cell r="B685" t="str">
            <v>16832</v>
          </cell>
          <cell r="C685" t="str">
            <v>Direct</v>
          </cell>
          <cell r="D685" t="str">
            <v>UEC</v>
          </cell>
        </row>
        <row r="686">
          <cell r="B686" t="str">
            <v>16835</v>
          </cell>
          <cell r="C686" t="str">
            <v>Direct</v>
          </cell>
          <cell r="D686" t="str">
            <v>GEN</v>
          </cell>
        </row>
        <row r="687">
          <cell r="B687" t="str">
            <v>16840</v>
          </cell>
          <cell r="C687" t="str">
            <v>Direct</v>
          </cell>
          <cell r="D687" t="str">
            <v>UEC</v>
          </cell>
        </row>
        <row r="688">
          <cell r="B688" t="str">
            <v>16841</v>
          </cell>
          <cell r="C688" t="str">
            <v>Direct</v>
          </cell>
          <cell r="D688" t="str">
            <v>UEC</v>
          </cell>
        </row>
        <row r="689">
          <cell r="B689" t="str">
            <v>16843</v>
          </cell>
          <cell r="C689" t="str">
            <v>Direct</v>
          </cell>
          <cell r="D689" t="str">
            <v>UEC</v>
          </cell>
        </row>
        <row r="690">
          <cell r="B690" t="str">
            <v>16845</v>
          </cell>
          <cell r="C690" t="str">
            <v>Direct</v>
          </cell>
          <cell r="D690" t="str">
            <v>GEN</v>
          </cell>
        </row>
        <row r="691">
          <cell r="B691" t="str">
            <v>16846</v>
          </cell>
          <cell r="C691" t="str">
            <v>Direct</v>
          </cell>
          <cell r="D691" t="str">
            <v>UEC</v>
          </cell>
        </row>
        <row r="692">
          <cell r="B692" t="str">
            <v>16847</v>
          </cell>
          <cell r="C692" t="str">
            <v>Direct</v>
          </cell>
          <cell r="D692" t="str">
            <v>GEN</v>
          </cell>
        </row>
        <row r="693">
          <cell r="B693" t="str">
            <v>16848</v>
          </cell>
          <cell r="C693" t="str">
            <v>Direct</v>
          </cell>
          <cell r="D693" t="str">
            <v>CIL</v>
          </cell>
        </row>
        <row r="694">
          <cell r="B694" t="str">
            <v>16852</v>
          </cell>
          <cell r="C694" t="str">
            <v>Direct</v>
          </cell>
          <cell r="D694" t="str">
            <v>CIL</v>
          </cell>
        </row>
        <row r="695">
          <cell r="B695" t="str">
            <v>16862</v>
          </cell>
          <cell r="C695" t="str">
            <v>Direct</v>
          </cell>
          <cell r="D695" t="str">
            <v>UEC</v>
          </cell>
        </row>
        <row r="696">
          <cell r="B696" t="str">
            <v>16863</v>
          </cell>
          <cell r="C696" t="str">
            <v>Direct</v>
          </cell>
          <cell r="D696" t="str">
            <v>UEC</v>
          </cell>
        </row>
        <row r="697">
          <cell r="B697" t="str">
            <v>16864</v>
          </cell>
          <cell r="C697" t="str">
            <v>Direct</v>
          </cell>
          <cell r="D697" t="str">
            <v>UEC</v>
          </cell>
        </row>
        <row r="698">
          <cell r="B698" t="str">
            <v>16866</v>
          </cell>
          <cell r="C698" t="str">
            <v>Direct</v>
          </cell>
          <cell r="D698" t="str">
            <v>UEC</v>
          </cell>
        </row>
        <row r="699">
          <cell r="B699" t="str">
            <v>16922</v>
          </cell>
          <cell r="C699" t="str">
            <v>Direct</v>
          </cell>
          <cell r="D699" t="str">
            <v>CIP</v>
          </cell>
        </row>
        <row r="700">
          <cell r="B700" t="str">
            <v>16934</v>
          </cell>
          <cell r="C700" t="str">
            <v>Direct</v>
          </cell>
          <cell r="D700" t="str">
            <v>IPC</v>
          </cell>
        </row>
        <row r="701">
          <cell r="B701" t="str">
            <v>16937</v>
          </cell>
          <cell r="C701" t="str">
            <v>Direct</v>
          </cell>
          <cell r="D701" t="str">
            <v>IPC</v>
          </cell>
        </row>
        <row r="702">
          <cell r="B702" t="str">
            <v>16938</v>
          </cell>
          <cell r="C702" t="str">
            <v>Direct</v>
          </cell>
          <cell r="D702" t="str">
            <v>IPC</v>
          </cell>
        </row>
        <row r="703">
          <cell r="B703" t="str">
            <v>16939</v>
          </cell>
          <cell r="C703" t="str">
            <v>Direct</v>
          </cell>
          <cell r="D703" t="str">
            <v>IPC</v>
          </cell>
        </row>
        <row r="704">
          <cell r="B704" t="str">
            <v>16940</v>
          </cell>
          <cell r="C704" t="str">
            <v>Direct</v>
          </cell>
          <cell r="D704" t="str">
            <v>UEC</v>
          </cell>
        </row>
        <row r="705">
          <cell r="B705" t="str">
            <v>16944</v>
          </cell>
          <cell r="C705" t="str">
            <v>Direct</v>
          </cell>
          <cell r="D705" t="str">
            <v>UEC</v>
          </cell>
        </row>
        <row r="706">
          <cell r="B706" t="str">
            <v>16952</v>
          </cell>
          <cell r="C706" t="str">
            <v>Direct</v>
          </cell>
          <cell r="D706" t="str">
            <v>UEC</v>
          </cell>
        </row>
        <row r="707">
          <cell r="B707" t="str">
            <v>16953</v>
          </cell>
          <cell r="C707" t="str">
            <v>Direct</v>
          </cell>
          <cell r="D707" t="str">
            <v>CIL</v>
          </cell>
        </row>
        <row r="708">
          <cell r="B708" t="str">
            <v>16956</v>
          </cell>
          <cell r="C708" t="str">
            <v>Direct</v>
          </cell>
          <cell r="D708" t="str">
            <v>IPC</v>
          </cell>
        </row>
        <row r="709">
          <cell r="B709" t="str">
            <v>16957</v>
          </cell>
          <cell r="C709" t="str">
            <v>Direct</v>
          </cell>
          <cell r="D709" t="str">
            <v>IPC</v>
          </cell>
        </row>
        <row r="710">
          <cell r="B710" t="str">
            <v>16959</v>
          </cell>
          <cell r="C710" t="str">
            <v>Direct</v>
          </cell>
          <cell r="D710" t="str">
            <v>IPC</v>
          </cell>
        </row>
        <row r="711">
          <cell r="B711" t="str">
            <v>16977</v>
          </cell>
          <cell r="C711" t="str">
            <v>Direct</v>
          </cell>
          <cell r="D711" t="str">
            <v>UEC</v>
          </cell>
        </row>
        <row r="712">
          <cell r="B712" t="str">
            <v>16983</v>
          </cell>
          <cell r="C712" t="str">
            <v>Direct</v>
          </cell>
          <cell r="D712" t="str">
            <v>CIL</v>
          </cell>
        </row>
        <row r="713">
          <cell r="B713" t="str">
            <v>16984</v>
          </cell>
          <cell r="C713" t="str">
            <v>Direct</v>
          </cell>
          <cell r="D713" t="str">
            <v>CIL</v>
          </cell>
        </row>
        <row r="714">
          <cell r="B714" t="str">
            <v>16996</v>
          </cell>
          <cell r="C714" t="str">
            <v>Direct</v>
          </cell>
          <cell r="D714" t="str">
            <v>CIL</v>
          </cell>
        </row>
        <row r="715">
          <cell r="B715" t="str">
            <v>17007</v>
          </cell>
          <cell r="C715" t="str">
            <v>Direct</v>
          </cell>
          <cell r="D715" t="str">
            <v>UEC</v>
          </cell>
        </row>
        <row r="716">
          <cell r="B716" t="str">
            <v>17017</v>
          </cell>
          <cell r="C716" t="str">
            <v>Direct</v>
          </cell>
          <cell r="D716" t="str">
            <v>UEC</v>
          </cell>
        </row>
        <row r="717">
          <cell r="B717" t="str">
            <v>17020</v>
          </cell>
          <cell r="C717" t="str">
            <v>Direct</v>
          </cell>
          <cell r="D717" t="str">
            <v>UEC</v>
          </cell>
        </row>
        <row r="718">
          <cell r="B718" t="str">
            <v>17022</v>
          </cell>
          <cell r="C718" t="str">
            <v>Direct</v>
          </cell>
          <cell r="D718" t="str">
            <v>GEN</v>
          </cell>
        </row>
        <row r="719">
          <cell r="B719" t="str">
            <v>17027</v>
          </cell>
          <cell r="C719" t="str">
            <v>Direct</v>
          </cell>
          <cell r="D719" t="str">
            <v>UEC</v>
          </cell>
        </row>
        <row r="720">
          <cell r="B720" t="str">
            <v>17030</v>
          </cell>
          <cell r="C720" t="str">
            <v>Direct</v>
          </cell>
          <cell r="D720" t="str">
            <v>IPC</v>
          </cell>
        </row>
        <row r="721">
          <cell r="B721" t="str">
            <v>17032</v>
          </cell>
          <cell r="C721" t="str">
            <v>Direct</v>
          </cell>
          <cell r="D721" t="str">
            <v>IPC</v>
          </cell>
        </row>
        <row r="722">
          <cell r="B722" t="str">
            <v>17038</v>
          </cell>
          <cell r="C722" t="str">
            <v>Direct</v>
          </cell>
          <cell r="D722" t="str">
            <v>UEC</v>
          </cell>
        </row>
        <row r="723">
          <cell r="B723" t="str">
            <v>17042</v>
          </cell>
          <cell r="C723" t="str">
            <v>Direct</v>
          </cell>
          <cell r="D723" t="str">
            <v>IPC</v>
          </cell>
        </row>
        <row r="724">
          <cell r="B724" t="str">
            <v>17044</v>
          </cell>
          <cell r="C724" t="str">
            <v>Direct</v>
          </cell>
          <cell r="D724" t="str">
            <v>IPC</v>
          </cell>
        </row>
        <row r="725">
          <cell r="B725" t="str">
            <v>17045</v>
          </cell>
          <cell r="C725" t="str">
            <v>Direct</v>
          </cell>
          <cell r="D725" t="str">
            <v>IPC</v>
          </cell>
        </row>
        <row r="726">
          <cell r="B726" t="str">
            <v>17049</v>
          </cell>
          <cell r="C726" t="str">
            <v>Direct</v>
          </cell>
          <cell r="D726" t="str">
            <v>CIL</v>
          </cell>
        </row>
        <row r="727">
          <cell r="B727" t="str">
            <v>17055</v>
          </cell>
          <cell r="C727" t="str">
            <v>Direct</v>
          </cell>
          <cell r="D727" t="str">
            <v>IPC</v>
          </cell>
        </row>
        <row r="728">
          <cell r="B728" t="str">
            <v>17059</v>
          </cell>
          <cell r="C728" t="str">
            <v>Direct</v>
          </cell>
          <cell r="D728" t="str">
            <v>CIL</v>
          </cell>
        </row>
        <row r="729">
          <cell r="B729" t="str">
            <v>17060</v>
          </cell>
          <cell r="C729" t="str">
            <v>Direct</v>
          </cell>
          <cell r="D729" t="str">
            <v>CIL</v>
          </cell>
        </row>
        <row r="730">
          <cell r="B730" t="str">
            <v>17221</v>
          </cell>
          <cell r="C730" t="str">
            <v>Direct</v>
          </cell>
          <cell r="D730" t="str">
            <v>IPC</v>
          </cell>
        </row>
        <row r="731">
          <cell r="B731" t="str">
            <v>17226</v>
          </cell>
          <cell r="C731" t="str">
            <v>Direct</v>
          </cell>
          <cell r="D731" t="str">
            <v>IPC</v>
          </cell>
        </row>
        <row r="732">
          <cell r="B732" t="str">
            <v>17232</v>
          </cell>
          <cell r="C732" t="str">
            <v>Direct</v>
          </cell>
          <cell r="D732" t="str">
            <v>IPC</v>
          </cell>
        </row>
        <row r="733">
          <cell r="B733" t="str">
            <v>17233</v>
          </cell>
          <cell r="C733" t="str">
            <v>Direct</v>
          </cell>
          <cell r="D733" t="str">
            <v>IPC</v>
          </cell>
        </row>
        <row r="734">
          <cell r="B734" t="str">
            <v>17287</v>
          </cell>
          <cell r="C734" t="str">
            <v>Direct</v>
          </cell>
          <cell r="D734" t="str">
            <v>IPC</v>
          </cell>
        </row>
        <row r="735">
          <cell r="B735" t="str">
            <v>17309</v>
          </cell>
          <cell r="C735" t="str">
            <v>Direct</v>
          </cell>
          <cell r="D735" t="str">
            <v>IPC</v>
          </cell>
        </row>
        <row r="736">
          <cell r="B736" t="str">
            <v>17310</v>
          </cell>
          <cell r="C736" t="str">
            <v>Direct</v>
          </cell>
          <cell r="D736" t="str">
            <v>IPC</v>
          </cell>
        </row>
        <row r="737">
          <cell r="B737" t="str">
            <v>17311</v>
          </cell>
          <cell r="C737" t="str">
            <v>Direct</v>
          </cell>
          <cell r="D737" t="str">
            <v>IPC</v>
          </cell>
        </row>
        <row r="738">
          <cell r="B738" t="str">
            <v>17328</v>
          </cell>
          <cell r="C738" t="str">
            <v>Direct</v>
          </cell>
          <cell r="D738" t="str">
            <v>IPC</v>
          </cell>
        </row>
        <row r="739">
          <cell r="B739" t="str">
            <v>17409</v>
          </cell>
          <cell r="C739" t="str">
            <v>Direct</v>
          </cell>
          <cell r="D739" t="str">
            <v>IPC</v>
          </cell>
        </row>
        <row r="740">
          <cell r="B740" t="str">
            <v>17415</v>
          </cell>
          <cell r="C740" t="str">
            <v>Direct</v>
          </cell>
          <cell r="D740" t="str">
            <v>IPC</v>
          </cell>
        </row>
        <row r="741">
          <cell r="B741" t="str">
            <v>17521</v>
          </cell>
          <cell r="C741" t="str">
            <v>Direct</v>
          </cell>
          <cell r="D741" t="str">
            <v>IPC</v>
          </cell>
        </row>
        <row r="742">
          <cell r="B742" t="str">
            <v>17532</v>
          </cell>
          <cell r="C742" t="str">
            <v>Direct</v>
          </cell>
          <cell r="D742" t="str">
            <v>UEC</v>
          </cell>
        </row>
        <row r="743">
          <cell r="B743" t="str">
            <v>17561</v>
          </cell>
          <cell r="C743" t="str">
            <v>Direct</v>
          </cell>
          <cell r="D743" t="str">
            <v>IPC</v>
          </cell>
        </row>
        <row r="744">
          <cell r="B744" t="str">
            <v>17565</v>
          </cell>
          <cell r="C744" t="str">
            <v>Direct</v>
          </cell>
          <cell r="D744" t="str">
            <v>IPC</v>
          </cell>
        </row>
        <row r="745">
          <cell r="B745" t="str">
            <v>17840</v>
          </cell>
          <cell r="C745" t="str">
            <v>Direct</v>
          </cell>
          <cell r="D745" t="str">
            <v>UEC</v>
          </cell>
        </row>
        <row r="746">
          <cell r="B746" t="str">
            <v>17947</v>
          </cell>
          <cell r="C746" t="str">
            <v>Direct</v>
          </cell>
          <cell r="D746" t="str">
            <v>UEC</v>
          </cell>
        </row>
        <row r="747">
          <cell r="B747" t="str">
            <v>18062</v>
          </cell>
          <cell r="C747" t="str">
            <v>Direct</v>
          </cell>
          <cell r="D747" t="str">
            <v>UEC</v>
          </cell>
        </row>
        <row r="748">
          <cell r="B748" t="str">
            <v>18063</v>
          </cell>
          <cell r="C748" t="str">
            <v>Direct</v>
          </cell>
          <cell r="D748" t="str">
            <v>CIP</v>
          </cell>
        </row>
        <row r="749">
          <cell r="B749" t="str">
            <v>18166</v>
          </cell>
          <cell r="C749" t="str">
            <v>Direct</v>
          </cell>
          <cell r="D749" t="str">
            <v>IPC</v>
          </cell>
        </row>
        <row r="750">
          <cell r="B750" t="str">
            <v>18261</v>
          </cell>
          <cell r="C750" t="str">
            <v>Direct</v>
          </cell>
          <cell r="D750" t="str">
            <v>IPC</v>
          </cell>
        </row>
        <row r="751">
          <cell r="B751" t="str">
            <v>18314</v>
          </cell>
          <cell r="C751" t="str">
            <v>Direct</v>
          </cell>
          <cell r="D751" t="str">
            <v>IPC</v>
          </cell>
        </row>
        <row r="752">
          <cell r="B752" t="str">
            <v>18315</v>
          </cell>
          <cell r="C752" t="str">
            <v>Direct</v>
          </cell>
          <cell r="D752" t="str">
            <v>IPC</v>
          </cell>
        </row>
        <row r="753">
          <cell r="B753" t="str">
            <v>18317</v>
          </cell>
          <cell r="C753" t="str">
            <v>Direct</v>
          </cell>
          <cell r="D753" t="str">
            <v>IPC</v>
          </cell>
        </row>
        <row r="754">
          <cell r="B754" t="str">
            <v>18385</v>
          </cell>
          <cell r="C754" t="str">
            <v>Direct</v>
          </cell>
          <cell r="D754" t="str">
            <v>UEC</v>
          </cell>
        </row>
        <row r="755">
          <cell r="B755" t="str">
            <v>18441</v>
          </cell>
          <cell r="C755" t="str">
            <v>Direct</v>
          </cell>
          <cell r="D755" t="str">
            <v>UEC</v>
          </cell>
        </row>
        <row r="756">
          <cell r="B756" t="str">
            <v>18447</v>
          </cell>
          <cell r="C756" t="str">
            <v>Direct</v>
          </cell>
          <cell r="D756" t="str">
            <v>IPC</v>
          </cell>
        </row>
        <row r="757">
          <cell r="B757" t="str">
            <v>18450</v>
          </cell>
          <cell r="C757" t="str">
            <v>Direct</v>
          </cell>
          <cell r="D757" t="str">
            <v>IPC</v>
          </cell>
        </row>
        <row r="758">
          <cell r="B758" t="str">
            <v>18458</v>
          </cell>
          <cell r="C758" t="str">
            <v>Direct</v>
          </cell>
          <cell r="D758" t="str">
            <v>IPC</v>
          </cell>
        </row>
        <row r="759">
          <cell r="B759" t="str">
            <v>18461</v>
          </cell>
          <cell r="C759" t="str">
            <v>Direct</v>
          </cell>
          <cell r="D759" t="str">
            <v>IPC</v>
          </cell>
        </row>
        <row r="760">
          <cell r="B760" t="str">
            <v>18462</v>
          </cell>
          <cell r="C760" t="str">
            <v>Direct</v>
          </cell>
          <cell r="D760" t="str">
            <v>IPC</v>
          </cell>
        </row>
        <row r="761">
          <cell r="B761" t="str">
            <v>18501</v>
          </cell>
          <cell r="C761" t="str">
            <v>Direct</v>
          </cell>
          <cell r="D761" t="str">
            <v>IPC</v>
          </cell>
        </row>
        <row r="762">
          <cell r="B762" t="str">
            <v>18502</v>
          </cell>
          <cell r="C762" t="str">
            <v>Direct</v>
          </cell>
          <cell r="D762" t="str">
            <v>IPC</v>
          </cell>
        </row>
        <row r="763">
          <cell r="B763" t="str">
            <v>18503</v>
          </cell>
          <cell r="C763" t="str">
            <v>Direct</v>
          </cell>
          <cell r="D763" t="str">
            <v>IPC</v>
          </cell>
        </row>
        <row r="764">
          <cell r="B764" t="str">
            <v>18629</v>
          </cell>
          <cell r="C764" t="str">
            <v>Direct</v>
          </cell>
          <cell r="D764" t="str">
            <v>IPC</v>
          </cell>
        </row>
        <row r="765">
          <cell r="B765" t="str">
            <v>18634</v>
          </cell>
          <cell r="C765" t="str">
            <v>Direct</v>
          </cell>
          <cell r="D765" t="str">
            <v>IPC</v>
          </cell>
        </row>
        <row r="766">
          <cell r="B766" t="str">
            <v>18650</v>
          </cell>
          <cell r="C766" t="str">
            <v>Direct</v>
          </cell>
          <cell r="D766" t="str">
            <v>IPC</v>
          </cell>
        </row>
        <row r="767">
          <cell r="B767" t="str">
            <v>18679</v>
          </cell>
          <cell r="C767" t="str">
            <v>Direct</v>
          </cell>
          <cell r="D767" t="str">
            <v>IPC</v>
          </cell>
        </row>
        <row r="768">
          <cell r="B768" t="str">
            <v>18684</v>
          </cell>
          <cell r="C768" t="str">
            <v>Direct</v>
          </cell>
          <cell r="D768" t="str">
            <v>IPC</v>
          </cell>
        </row>
        <row r="769">
          <cell r="B769" t="str">
            <v>18688</v>
          </cell>
          <cell r="C769" t="str">
            <v>Direct</v>
          </cell>
          <cell r="D769" t="str">
            <v>IPC</v>
          </cell>
        </row>
        <row r="770">
          <cell r="B770" t="str">
            <v>18692</v>
          </cell>
          <cell r="C770" t="str">
            <v>Direct</v>
          </cell>
          <cell r="D770" t="str">
            <v>IPC</v>
          </cell>
        </row>
        <row r="771">
          <cell r="B771" t="str">
            <v>18698</v>
          </cell>
          <cell r="C771" t="str">
            <v>Direct</v>
          </cell>
          <cell r="D771" t="str">
            <v>IPC</v>
          </cell>
        </row>
        <row r="772">
          <cell r="B772" t="str">
            <v>18708</v>
          </cell>
          <cell r="C772" t="str">
            <v>Direct</v>
          </cell>
          <cell r="D772" t="str">
            <v>IPC</v>
          </cell>
        </row>
        <row r="773">
          <cell r="B773" t="str">
            <v>18710</v>
          </cell>
          <cell r="C773" t="str">
            <v>Direct</v>
          </cell>
          <cell r="D773" t="str">
            <v>IPC</v>
          </cell>
        </row>
        <row r="774">
          <cell r="B774" t="str">
            <v>18732</v>
          </cell>
          <cell r="C774" t="str">
            <v>Direct</v>
          </cell>
          <cell r="D774" t="str">
            <v>IPC</v>
          </cell>
        </row>
        <row r="775">
          <cell r="B775" t="str">
            <v>18734</v>
          </cell>
          <cell r="C775" t="str">
            <v>Direct</v>
          </cell>
          <cell r="D775" t="str">
            <v>IPC</v>
          </cell>
        </row>
        <row r="776">
          <cell r="B776" t="str">
            <v>18736</v>
          </cell>
          <cell r="C776" t="str">
            <v>Direct</v>
          </cell>
          <cell r="D776" t="str">
            <v>IPC</v>
          </cell>
        </row>
        <row r="777">
          <cell r="B777" t="str">
            <v>18737</v>
          </cell>
          <cell r="C777" t="str">
            <v>Direct</v>
          </cell>
          <cell r="D777" t="str">
            <v>IPC</v>
          </cell>
        </row>
        <row r="778">
          <cell r="B778" t="str">
            <v>18738</v>
          </cell>
          <cell r="C778" t="str">
            <v>Direct</v>
          </cell>
          <cell r="D778" t="str">
            <v>IPC</v>
          </cell>
        </row>
        <row r="779">
          <cell r="B779" t="str">
            <v>18740</v>
          </cell>
          <cell r="C779" t="str">
            <v>Direct</v>
          </cell>
          <cell r="D779" t="str">
            <v>IPC</v>
          </cell>
        </row>
        <row r="780">
          <cell r="B780" t="str">
            <v>18741</v>
          </cell>
          <cell r="C780" t="str">
            <v>Direct</v>
          </cell>
          <cell r="D780" t="str">
            <v>IPC</v>
          </cell>
        </row>
        <row r="781">
          <cell r="B781" t="str">
            <v>18742</v>
          </cell>
          <cell r="C781" t="str">
            <v>Direct</v>
          </cell>
          <cell r="D781" t="str">
            <v>IPC</v>
          </cell>
        </row>
        <row r="782">
          <cell r="B782" t="str">
            <v>18758</v>
          </cell>
          <cell r="C782" t="str">
            <v>Direct</v>
          </cell>
          <cell r="D782" t="str">
            <v>IPC</v>
          </cell>
        </row>
        <row r="783">
          <cell r="B783" t="str">
            <v>18946</v>
          </cell>
          <cell r="C783" t="str">
            <v>Direct</v>
          </cell>
          <cell r="D783" t="str">
            <v>CIP</v>
          </cell>
        </row>
        <row r="784">
          <cell r="B784" t="str">
            <v>18947</v>
          </cell>
          <cell r="C784" t="str">
            <v>Direct</v>
          </cell>
          <cell r="D784" t="str">
            <v>IPC</v>
          </cell>
        </row>
        <row r="785">
          <cell r="B785" t="str">
            <v>19085</v>
          </cell>
          <cell r="C785" t="str">
            <v>Direct</v>
          </cell>
          <cell r="D785" t="str">
            <v>IPC</v>
          </cell>
        </row>
        <row r="786">
          <cell r="B786" t="str">
            <v>19089</v>
          </cell>
          <cell r="C786" t="str">
            <v>Direct</v>
          </cell>
          <cell r="D786" t="str">
            <v>UEC</v>
          </cell>
        </row>
        <row r="787">
          <cell r="B787" t="str">
            <v>19091</v>
          </cell>
          <cell r="C787" t="str">
            <v>Direct</v>
          </cell>
          <cell r="D787" t="str">
            <v>UEC</v>
          </cell>
        </row>
        <row r="788">
          <cell r="B788" t="str">
            <v>19092</v>
          </cell>
          <cell r="C788" t="str">
            <v>Direct</v>
          </cell>
          <cell r="D788" t="str">
            <v>UEC</v>
          </cell>
        </row>
        <row r="789">
          <cell r="B789" t="str">
            <v>19093</v>
          </cell>
          <cell r="C789" t="str">
            <v>Direct</v>
          </cell>
          <cell r="D789" t="str">
            <v>UEC</v>
          </cell>
        </row>
        <row r="790">
          <cell r="B790" t="str">
            <v>19097</v>
          </cell>
          <cell r="C790" t="str">
            <v>Direct</v>
          </cell>
          <cell r="D790" t="str">
            <v>CIL</v>
          </cell>
        </row>
        <row r="791">
          <cell r="B791" t="str">
            <v>19098</v>
          </cell>
          <cell r="C791" t="str">
            <v>Direct</v>
          </cell>
          <cell r="D791" t="str">
            <v>GEN</v>
          </cell>
        </row>
        <row r="792">
          <cell r="B792" t="str">
            <v>19099</v>
          </cell>
          <cell r="C792" t="str">
            <v>Direct</v>
          </cell>
          <cell r="D792" t="str">
            <v>IPC</v>
          </cell>
        </row>
        <row r="793">
          <cell r="B793" t="str">
            <v>19104</v>
          </cell>
          <cell r="C793" t="str">
            <v>Direct</v>
          </cell>
          <cell r="D793" t="str">
            <v>IPC</v>
          </cell>
        </row>
        <row r="794">
          <cell r="B794" t="str">
            <v>19106</v>
          </cell>
          <cell r="C794" t="str">
            <v>Direct</v>
          </cell>
          <cell r="D794" t="str">
            <v>IPC</v>
          </cell>
        </row>
        <row r="795">
          <cell r="B795" t="str">
            <v>19115</v>
          </cell>
          <cell r="C795" t="str">
            <v>Direct</v>
          </cell>
          <cell r="D795" t="str">
            <v>IPC</v>
          </cell>
        </row>
        <row r="796">
          <cell r="B796" t="str">
            <v>19116</v>
          </cell>
          <cell r="C796" t="str">
            <v>Direct</v>
          </cell>
          <cell r="D796" t="str">
            <v>IPC</v>
          </cell>
        </row>
        <row r="797">
          <cell r="B797" t="str">
            <v>19118</v>
          </cell>
          <cell r="C797" t="str">
            <v>Direct</v>
          </cell>
          <cell r="D797" t="str">
            <v>IPC</v>
          </cell>
        </row>
        <row r="798">
          <cell r="B798" t="str">
            <v>19126</v>
          </cell>
          <cell r="C798" t="str">
            <v>Direct</v>
          </cell>
          <cell r="D798" t="str">
            <v>IPC</v>
          </cell>
        </row>
        <row r="799">
          <cell r="B799" t="str">
            <v>19127</v>
          </cell>
          <cell r="C799" t="str">
            <v>Direct</v>
          </cell>
          <cell r="D799" t="str">
            <v>IPC</v>
          </cell>
        </row>
        <row r="800">
          <cell r="B800" t="str">
            <v>19130</v>
          </cell>
          <cell r="C800" t="str">
            <v>Direct</v>
          </cell>
          <cell r="D800" t="str">
            <v>CIP</v>
          </cell>
        </row>
        <row r="801">
          <cell r="B801" t="str">
            <v>19137</v>
          </cell>
          <cell r="C801" t="str">
            <v>Direct</v>
          </cell>
          <cell r="D801" t="str">
            <v>IPC</v>
          </cell>
        </row>
        <row r="802">
          <cell r="B802" t="str">
            <v>19156</v>
          </cell>
          <cell r="C802" t="str">
            <v>Direct</v>
          </cell>
          <cell r="D802" t="str">
            <v>UEC</v>
          </cell>
        </row>
        <row r="803">
          <cell r="B803" t="str">
            <v>19157</v>
          </cell>
          <cell r="C803" t="str">
            <v>Direct</v>
          </cell>
          <cell r="D803" t="str">
            <v>AMC</v>
          </cell>
        </row>
        <row r="804">
          <cell r="B804" t="str">
            <v>19205</v>
          </cell>
          <cell r="C804" t="str">
            <v>Direct</v>
          </cell>
          <cell r="D804" t="str">
            <v>UEC</v>
          </cell>
        </row>
        <row r="805">
          <cell r="B805" t="str">
            <v>19208</v>
          </cell>
          <cell r="C805" t="str">
            <v>Direct</v>
          </cell>
          <cell r="D805" t="str">
            <v>UEC</v>
          </cell>
        </row>
        <row r="806">
          <cell r="B806" t="str">
            <v>19214</v>
          </cell>
          <cell r="C806" t="str">
            <v>Direct</v>
          </cell>
          <cell r="D806" t="str">
            <v>IPC</v>
          </cell>
        </row>
        <row r="807">
          <cell r="B807" t="str">
            <v>19215</v>
          </cell>
          <cell r="C807" t="str">
            <v>Direct</v>
          </cell>
          <cell r="D807" t="str">
            <v>IPC</v>
          </cell>
        </row>
        <row r="808">
          <cell r="B808" t="str">
            <v>19216</v>
          </cell>
          <cell r="C808" t="str">
            <v>Direct</v>
          </cell>
          <cell r="D808" t="str">
            <v>IPC</v>
          </cell>
        </row>
        <row r="809">
          <cell r="B809" t="str">
            <v>19217</v>
          </cell>
          <cell r="C809" t="str">
            <v>Direct</v>
          </cell>
          <cell r="D809" t="str">
            <v>IPC</v>
          </cell>
        </row>
        <row r="810">
          <cell r="B810" t="str">
            <v>19218</v>
          </cell>
          <cell r="C810" t="str">
            <v>Direct</v>
          </cell>
          <cell r="D810" t="str">
            <v>IPC</v>
          </cell>
        </row>
        <row r="811">
          <cell r="B811" t="str">
            <v>19229</v>
          </cell>
          <cell r="C811" t="str">
            <v>Direct</v>
          </cell>
          <cell r="D811" t="str">
            <v>UEC</v>
          </cell>
        </row>
        <row r="812">
          <cell r="B812" t="str">
            <v>19234</v>
          </cell>
          <cell r="C812" t="str">
            <v>Direct</v>
          </cell>
          <cell r="D812" t="str">
            <v>IPC</v>
          </cell>
        </row>
        <row r="813">
          <cell r="B813" t="str">
            <v>19236</v>
          </cell>
          <cell r="C813" t="str">
            <v>Direct</v>
          </cell>
          <cell r="D813" t="str">
            <v>UEC</v>
          </cell>
        </row>
        <row r="814">
          <cell r="B814" t="str">
            <v>19238</v>
          </cell>
          <cell r="C814" t="str">
            <v>Direct</v>
          </cell>
          <cell r="D814" t="str">
            <v>UEC</v>
          </cell>
        </row>
        <row r="815">
          <cell r="B815" t="str">
            <v>19249</v>
          </cell>
          <cell r="C815" t="str">
            <v>Direct</v>
          </cell>
          <cell r="D815" t="str">
            <v>CIP</v>
          </cell>
        </row>
        <row r="816">
          <cell r="B816" t="str">
            <v>19254</v>
          </cell>
          <cell r="C816" t="str">
            <v>Direct</v>
          </cell>
          <cell r="D816" t="str">
            <v>GEN</v>
          </cell>
        </row>
        <row r="817">
          <cell r="B817" t="str">
            <v>19267</v>
          </cell>
          <cell r="C817" t="str">
            <v>Direct</v>
          </cell>
          <cell r="D817" t="str">
            <v>IPC</v>
          </cell>
        </row>
        <row r="818">
          <cell r="B818" t="str">
            <v>19272</v>
          </cell>
          <cell r="C818" t="str">
            <v>Direct</v>
          </cell>
          <cell r="D818" t="str">
            <v>CIP</v>
          </cell>
        </row>
        <row r="819">
          <cell r="B819" t="str">
            <v>19275</v>
          </cell>
          <cell r="C819" t="str">
            <v>Direct</v>
          </cell>
          <cell r="D819" t="str">
            <v>GEN</v>
          </cell>
        </row>
        <row r="820">
          <cell r="B820" t="str">
            <v>19294</v>
          </cell>
          <cell r="C820" t="str">
            <v>Direct</v>
          </cell>
          <cell r="D820" t="str">
            <v>UEC</v>
          </cell>
        </row>
        <row r="821">
          <cell r="B821" t="str">
            <v>19300</v>
          </cell>
          <cell r="C821" t="str">
            <v>Direct</v>
          </cell>
          <cell r="D821" t="str">
            <v>IPC</v>
          </cell>
        </row>
        <row r="822">
          <cell r="B822" t="str">
            <v>19310</v>
          </cell>
          <cell r="C822" t="str">
            <v>Direct</v>
          </cell>
          <cell r="D822" t="str">
            <v>GEN</v>
          </cell>
        </row>
        <row r="823">
          <cell r="B823" t="str">
            <v>19314</v>
          </cell>
          <cell r="C823" t="str">
            <v>Direct</v>
          </cell>
          <cell r="D823" t="str">
            <v>CIP</v>
          </cell>
        </row>
        <row r="824">
          <cell r="B824" t="str">
            <v>19315</v>
          </cell>
          <cell r="C824" t="str">
            <v>Direct</v>
          </cell>
          <cell r="D824" t="str">
            <v>CIP</v>
          </cell>
        </row>
        <row r="825">
          <cell r="B825" t="str">
            <v>19321</v>
          </cell>
          <cell r="C825" t="str">
            <v>Direct</v>
          </cell>
          <cell r="D825" t="str">
            <v>ARG</v>
          </cell>
        </row>
        <row r="826">
          <cell r="B826" t="str">
            <v>19341</v>
          </cell>
          <cell r="C826" t="str">
            <v>Direct</v>
          </cell>
          <cell r="D826" t="str">
            <v>GEN</v>
          </cell>
        </row>
        <row r="827">
          <cell r="B827" t="str">
            <v>19343</v>
          </cell>
          <cell r="C827" t="str">
            <v>Direct</v>
          </cell>
          <cell r="D827" t="str">
            <v>CIL</v>
          </cell>
        </row>
        <row r="828">
          <cell r="B828" t="str">
            <v>19350</v>
          </cell>
          <cell r="C828" t="str">
            <v>Direct</v>
          </cell>
          <cell r="D828" t="str">
            <v>IPC</v>
          </cell>
        </row>
        <row r="829">
          <cell r="B829" t="str">
            <v>19354</v>
          </cell>
          <cell r="C829" t="str">
            <v>Direct</v>
          </cell>
          <cell r="D829" t="str">
            <v>CIP</v>
          </cell>
        </row>
        <row r="830">
          <cell r="B830" t="str">
            <v>19355</v>
          </cell>
          <cell r="C830" t="str">
            <v>Direct</v>
          </cell>
          <cell r="D830" t="str">
            <v>UEC</v>
          </cell>
        </row>
        <row r="831">
          <cell r="B831" t="str">
            <v>19363</v>
          </cell>
          <cell r="C831" t="str">
            <v>Direct</v>
          </cell>
          <cell r="D831" t="str">
            <v>UEC</v>
          </cell>
        </row>
        <row r="832">
          <cell r="B832" t="str">
            <v>19364</v>
          </cell>
          <cell r="C832" t="str">
            <v>Direct</v>
          </cell>
          <cell r="D832" t="str">
            <v>UEC</v>
          </cell>
        </row>
        <row r="833">
          <cell r="B833" t="str">
            <v>19372</v>
          </cell>
          <cell r="C833" t="str">
            <v>Direct</v>
          </cell>
          <cell r="D833" t="str">
            <v>UEC</v>
          </cell>
        </row>
        <row r="834">
          <cell r="B834" t="str">
            <v>19390</v>
          </cell>
          <cell r="C834" t="str">
            <v>Direct</v>
          </cell>
          <cell r="D834" t="str">
            <v>UEC</v>
          </cell>
        </row>
        <row r="835">
          <cell r="B835" t="str">
            <v>19393</v>
          </cell>
          <cell r="C835" t="str">
            <v>Direct</v>
          </cell>
          <cell r="D835" t="str">
            <v>UEC</v>
          </cell>
        </row>
        <row r="836">
          <cell r="B836" t="str">
            <v>19394</v>
          </cell>
          <cell r="C836" t="str">
            <v>Direct</v>
          </cell>
          <cell r="D836" t="str">
            <v>UEC</v>
          </cell>
        </row>
        <row r="837">
          <cell r="B837" t="str">
            <v>19395</v>
          </cell>
          <cell r="C837" t="str">
            <v>Direct</v>
          </cell>
          <cell r="D837" t="str">
            <v>UEC</v>
          </cell>
        </row>
        <row r="838">
          <cell r="B838" t="str">
            <v>19396</v>
          </cell>
          <cell r="C838" t="str">
            <v>Direct</v>
          </cell>
          <cell r="D838" t="str">
            <v>UEC</v>
          </cell>
        </row>
        <row r="839">
          <cell r="B839" t="str">
            <v>19397</v>
          </cell>
          <cell r="C839" t="str">
            <v>Direct</v>
          </cell>
          <cell r="D839" t="str">
            <v>UEC</v>
          </cell>
        </row>
        <row r="840">
          <cell r="B840" t="str">
            <v>19399</v>
          </cell>
          <cell r="C840" t="str">
            <v>Direct</v>
          </cell>
          <cell r="D840" t="str">
            <v>UEC</v>
          </cell>
        </row>
        <row r="841">
          <cell r="B841" t="str">
            <v>19403</v>
          </cell>
          <cell r="C841" t="str">
            <v>Direct</v>
          </cell>
          <cell r="D841" t="str">
            <v>CIP</v>
          </cell>
        </row>
        <row r="842">
          <cell r="B842" t="str">
            <v>19405</v>
          </cell>
          <cell r="C842" t="str">
            <v>Direct</v>
          </cell>
          <cell r="D842" t="str">
            <v>GEN</v>
          </cell>
        </row>
        <row r="843">
          <cell r="B843" t="str">
            <v>19408</v>
          </cell>
          <cell r="C843" t="str">
            <v>Direct</v>
          </cell>
          <cell r="D843" t="str">
            <v>UEC</v>
          </cell>
        </row>
        <row r="844">
          <cell r="B844" t="str">
            <v>19438</v>
          </cell>
          <cell r="C844" t="str">
            <v>Direct</v>
          </cell>
          <cell r="D844" t="str">
            <v>UEC</v>
          </cell>
        </row>
        <row r="845">
          <cell r="B845" t="str">
            <v>19439</v>
          </cell>
          <cell r="C845" t="str">
            <v>Direct</v>
          </cell>
          <cell r="D845" t="str">
            <v>UEC</v>
          </cell>
        </row>
        <row r="846">
          <cell r="B846" t="str">
            <v>19454</v>
          </cell>
          <cell r="C846" t="str">
            <v>Direct</v>
          </cell>
          <cell r="D846" t="str">
            <v>UEC</v>
          </cell>
        </row>
        <row r="847">
          <cell r="B847" t="str">
            <v>19455</v>
          </cell>
          <cell r="C847" t="str">
            <v>Direct</v>
          </cell>
          <cell r="D847" t="str">
            <v>CIP</v>
          </cell>
        </row>
        <row r="848">
          <cell r="B848" t="str">
            <v>19456</v>
          </cell>
          <cell r="C848" t="str">
            <v>Direct</v>
          </cell>
          <cell r="D848" t="str">
            <v>UEC</v>
          </cell>
        </row>
        <row r="849">
          <cell r="B849" t="str">
            <v>19457</v>
          </cell>
          <cell r="C849" t="str">
            <v>Direct</v>
          </cell>
          <cell r="D849" t="str">
            <v>UEC</v>
          </cell>
        </row>
        <row r="850">
          <cell r="B850" t="str">
            <v>19458</v>
          </cell>
          <cell r="C850" t="str">
            <v>Direct</v>
          </cell>
          <cell r="D850" t="str">
            <v>CIL</v>
          </cell>
        </row>
        <row r="851">
          <cell r="B851" t="str">
            <v>19459</v>
          </cell>
          <cell r="C851" t="str">
            <v>Direct</v>
          </cell>
          <cell r="D851" t="str">
            <v>GEN</v>
          </cell>
        </row>
        <row r="852">
          <cell r="B852" t="str">
            <v>19481</v>
          </cell>
          <cell r="C852" t="str">
            <v>Direct</v>
          </cell>
          <cell r="D852" t="str">
            <v>UEC</v>
          </cell>
        </row>
        <row r="853">
          <cell r="B853" t="str">
            <v>19485</v>
          </cell>
          <cell r="C853" t="str">
            <v>Direct</v>
          </cell>
          <cell r="D853" t="str">
            <v>UEC</v>
          </cell>
        </row>
        <row r="854">
          <cell r="B854" t="str">
            <v>19511</v>
          </cell>
          <cell r="C854" t="str">
            <v>Direct</v>
          </cell>
          <cell r="D854" t="str">
            <v>IPC</v>
          </cell>
        </row>
        <row r="855">
          <cell r="B855" t="str">
            <v>19514</v>
          </cell>
          <cell r="C855" t="str">
            <v>Direct</v>
          </cell>
          <cell r="D855" t="str">
            <v>IPC</v>
          </cell>
        </row>
        <row r="856">
          <cell r="B856" t="str">
            <v>19520</v>
          </cell>
          <cell r="C856" t="str">
            <v>Direct</v>
          </cell>
          <cell r="D856" t="str">
            <v>IPC</v>
          </cell>
        </row>
        <row r="857">
          <cell r="B857" t="str">
            <v>19553</v>
          </cell>
          <cell r="C857" t="str">
            <v>Direct</v>
          </cell>
          <cell r="D857" t="str">
            <v>IPC</v>
          </cell>
        </row>
        <row r="858">
          <cell r="B858" t="str">
            <v>19586</v>
          </cell>
          <cell r="C858" t="str">
            <v>Direct</v>
          </cell>
          <cell r="D858" t="str">
            <v>IPC</v>
          </cell>
        </row>
        <row r="859">
          <cell r="B859" t="str">
            <v>19587</v>
          </cell>
          <cell r="C859" t="str">
            <v>Direct</v>
          </cell>
          <cell r="D859" t="str">
            <v>CIP</v>
          </cell>
        </row>
        <row r="860">
          <cell r="B860" t="str">
            <v>19588</v>
          </cell>
          <cell r="C860" t="str">
            <v>Direct</v>
          </cell>
          <cell r="D860" t="str">
            <v>UEC</v>
          </cell>
        </row>
        <row r="861">
          <cell r="B861" t="str">
            <v>19593</v>
          </cell>
          <cell r="C861" t="str">
            <v>Direct</v>
          </cell>
          <cell r="D861" t="str">
            <v>CIL</v>
          </cell>
        </row>
        <row r="862">
          <cell r="B862" t="str">
            <v>19599</v>
          </cell>
          <cell r="C862" t="str">
            <v>Direct</v>
          </cell>
          <cell r="D862" t="str">
            <v>UEC</v>
          </cell>
        </row>
        <row r="863">
          <cell r="B863" t="str">
            <v>19600</v>
          </cell>
          <cell r="C863" t="str">
            <v>Direct</v>
          </cell>
          <cell r="D863" t="str">
            <v>GEN</v>
          </cell>
        </row>
        <row r="864">
          <cell r="B864" t="str">
            <v>19618</v>
          </cell>
          <cell r="C864" t="str">
            <v>Direct</v>
          </cell>
          <cell r="D864" t="str">
            <v>UEC</v>
          </cell>
        </row>
        <row r="865">
          <cell r="B865" t="str">
            <v>19623</v>
          </cell>
          <cell r="C865" t="str">
            <v>Direct</v>
          </cell>
          <cell r="D865" t="str">
            <v>UEC</v>
          </cell>
        </row>
        <row r="866">
          <cell r="B866" t="str">
            <v>19626</v>
          </cell>
          <cell r="C866" t="str">
            <v>Direct</v>
          </cell>
          <cell r="D866" t="str">
            <v>IPC</v>
          </cell>
        </row>
        <row r="867">
          <cell r="B867" t="str">
            <v>19631</v>
          </cell>
          <cell r="C867" t="str">
            <v>Direct</v>
          </cell>
          <cell r="D867" t="str">
            <v>UEC</v>
          </cell>
        </row>
        <row r="868">
          <cell r="B868" t="str">
            <v>19639</v>
          </cell>
          <cell r="C868" t="str">
            <v>Direct</v>
          </cell>
          <cell r="D868" t="str">
            <v>UEC</v>
          </cell>
        </row>
        <row r="869">
          <cell r="B869" t="str">
            <v>19645</v>
          </cell>
          <cell r="C869" t="str">
            <v>Direct</v>
          </cell>
          <cell r="D869" t="str">
            <v>UEC</v>
          </cell>
        </row>
        <row r="870">
          <cell r="B870" t="str">
            <v>19646</v>
          </cell>
          <cell r="C870" t="str">
            <v>Direct</v>
          </cell>
          <cell r="D870" t="str">
            <v>UEC</v>
          </cell>
        </row>
        <row r="871">
          <cell r="B871" t="str">
            <v>19649</v>
          </cell>
          <cell r="C871" t="str">
            <v>Direct</v>
          </cell>
          <cell r="D871" t="str">
            <v>UEC</v>
          </cell>
        </row>
        <row r="872">
          <cell r="B872" t="str">
            <v>19650</v>
          </cell>
          <cell r="C872" t="str">
            <v>Direct</v>
          </cell>
          <cell r="D872" t="str">
            <v>UEC</v>
          </cell>
        </row>
        <row r="873">
          <cell r="B873" t="str">
            <v>19682</v>
          </cell>
          <cell r="C873" t="str">
            <v>Direct</v>
          </cell>
          <cell r="D873" t="str">
            <v>UEC</v>
          </cell>
        </row>
        <row r="874">
          <cell r="B874" t="str">
            <v>19700</v>
          </cell>
          <cell r="C874" t="str">
            <v>Direct</v>
          </cell>
          <cell r="D874" t="str">
            <v>UEC</v>
          </cell>
        </row>
        <row r="875">
          <cell r="B875" t="str">
            <v>19727</v>
          </cell>
          <cell r="C875" t="str">
            <v>Direct</v>
          </cell>
          <cell r="D875" t="str">
            <v>UEC</v>
          </cell>
        </row>
        <row r="876">
          <cell r="B876" t="str">
            <v>19743</v>
          </cell>
          <cell r="C876" t="str">
            <v>Direct</v>
          </cell>
          <cell r="D876" t="str">
            <v>CIP</v>
          </cell>
        </row>
        <row r="877">
          <cell r="B877" t="str">
            <v>19761</v>
          </cell>
          <cell r="C877" t="str">
            <v>Direct</v>
          </cell>
          <cell r="D877" t="str">
            <v>CIP</v>
          </cell>
        </row>
        <row r="878">
          <cell r="B878" t="str">
            <v>19773</v>
          </cell>
          <cell r="C878" t="str">
            <v>Direct</v>
          </cell>
          <cell r="D878" t="str">
            <v>UEC</v>
          </cell>
        </row>
        <row r="879">
          <cell r="B879" t="str">
            <v>19780</v>
          </cell>
          <cell r="C879" t="str">
            <v>Direct</v>
          </cell>
          <cell r="D879" t="str">
            <v>IPC</v>
          </cell>
        </row>
        <row r="880">
          <cell r="B880" t="str">
            <v>19867</v>
          </cell>
          <cell r="C880" t="str">
            <v>Direct</v>
          </cell>
          <cell r="D880" t="str">
            <v>IPC</v>
          </cell>
        </row>
        <row r="881">
          <cell r="B881" t="str">
            <v>19877</v>
          </cell>
          <cell r="C881" t="str">
            <v>Direct</v>
          </cell>
          <cell r="D881" t="str">
            <v>IPC</v>
          </cell>
        </row>
        <row r="882">
          <cell r="B882" t="str">
            <v>19878</v>
          </cell>
          <cell r="C882" t="str">
            <v>Direct</v>
          </cell>
          <cell r="D882" t="str">
            <v>IPC</v>
          </cell>
        </row>
        <row r="883">
          <cell r="B883" t="str">
            <v>19884</v>
          </cell>
          <cell r="C883" t="str">
            <v>Direct</v>
          </cell>
          <cell r="D883" t="str">
            <v>IPC</v>
          </cell>
        </row>
        <row r="884">
          <cell r="B884" t="str">
            <v>19902</v>
          </cell>
          <cell r="C884" t="str">
            <v>Direct</v>
          </cell>
          <cell r="D884" t="str">
            <v>IPC</v>
          </cell>
        </row>
        <row r="885">
          <cell r="B885" t="str">
            <v>19918</v>
          </cell>
          <cell r="C885" t="str">
            <v>Direct</v>
          </cell>
          <cell r="D885" t="str">
            <v>IPC</v>
          </cell>
        </row>
        <row r="886">
          <cell r="B886" t="str">
            <v>19921</v>
          </cell>
          <cell r="C886" t="str">
            <v>Direct</v>
          </cell>
          <cell r="D886" t="str">
            <v>IPC</v>
          </cell>
        </row>
        <row r="887">
          <cell r="B887" t="str">
            <v>19923</v>
          </cell>
          <cell r="C887" t="str">
            <v>Direct</v>
          </cell>
          <cell r="D887" t="str">
            <v>IPC</v>
          </cell>
        </row>
        <row r="888">
          <cell r="B888" t="str">
            <v>19924</v>
          </cell>
          <cell r="C888" t="str">
            <v>Direct</v>
          </cell>
          <cell r="D888" t="str">
            <v>IPC</v>
          </cell>
        </row>
        <row r="889">
          <cell r="B889" t="str">
            <v>19932</v>
          </cell>
          <cell r="C889" t="str">
            <v>Direct</v>
          </cell>
          <cell r="D889" t="str">
            <v>IPC</v>
          </cell>
        </row>
        <row r="890">
          <cell r="B890" t="str">
            <v>19934</v>
          </cell>
          <cell r="C890" t="str">
            <v>Direct</v>
          </cell>
          <cell r="D890" t="str">
            <v>IPC</v>
          </cell>
        </row>
        <row r="891">
          <cell r="B891" t="str">
            <v>19938</v>
          </cell>
          <cell r="C891" t="str">
            <v>Direct</v>
          </cell>
          <cell r="D891" t="str">
            <v>IPC</v>
          </cell>
        </row>
        <row r="892">
          <cell r="B892" t="str">
            <v>19939</v>
          </cell>
          <cell r="C892" t="str">
            <v>Direct</v>
          </cell>
          <cell r="D892" t="str">
            <v>IPC</v>
          </cell>
        </row>
        <row r="893">
          <cell r="B893" t="str">
            <v>19941</v>
          </cell>
          <cell r="C893" t="str">
            <v>Direct</v>
          </cell>
          <cell r="D893" t="str">
            <v>IPC</v>
          </cell>
        </row>
        <row r="894">
          <cell r="B894" t="str">
            <v>20007</v>
          </cell>
          <cell r="C894" t="str">
            <v>Direct</v>
          </cell>
          <cell r="D894" t="str">
            <v>IPC</v>
          </cell>
        </row>
        <row r="895">
          <cell r="B895" t="str">
            <v>20008</v>
          </cell>
          <cell r="C895" t="str">
            <v>Direct</v>
          </cell>
          <cell r="D895" t="str">
            <v>IPC</v>
          </cell>
        </row>
        <row r="896">
          <cell r="B896" t="str">
            <v>20009</v>
          </cell>
          <cell r="C896" t="str">
            <v>Direct</v>
          </cell>
          <cell r="D896" t="str">
            <v>IPC</v>
          </cell>
        </row>
        <row r="897">
          <cell r="B897" t="str">
            <v>20017</v>
          </cell>
          <cell r="C897" t="str">
            <v>Direct</v>
          </cell>
          <cell r="D897" t="str">
            <v>UEC</v>
          </cell>
        </row>
        <row r="898">
          <cell r="B898" t="str">
            <v>20021</v>
          </cell>
          <cell r="C898" t="str">
            <v>Direct</v>
          </cell>
          <cell r="D898" t="str">
            <v>IPC</v>
          </cell>
        </row>
        <row r="899">
          <cell r="B899" t="str">
            <v>20023</v>
          </cell>
          <cell r="C899" t="str">
            <v>Direct</v>
          </cell>
          <cell r="D899" t="str">
            <v>IPC</v>
          </cell>
        </row>
        <row r="900">
          <cell r="B900" t="str">
            <v>20031</v>
          </cell>
          <cell r="C900" t="str">
            <v>Direct</v>
          </cell>
          <cell r="D900" t="str">
            <v>GEN</v>
          </cell>
        </row>
        <row r="901">
          <cell r="B901" t="str">
            <v>20048</v>
          </cell>
          <cell r="C901" t="str">
            <v>Direct</v>
          </cell>
          <cell r="D901" t="str">
            <v>IPC</v>
          </cell>
        </row>
        <row r="902">
          <cell r="B902" t="str">
            <v>20051</v>
          </cell>
          <cell r="C902" t="str">
            <v>Direct</v>
          </cell>
          <cell r="D902" t="str">
            <v>IPC</v>
          </cell>
        </row>
        <row r="903">
          <cell r="B903" t="str">
            <v>20057</v>
          </cell>
          <cell r="C903" t="str">
            <v>Direct</v>
          </cell>
          <cell r="D903" t="str">
            <v>UEC</v>
          </cell>
        </row>
        <row r="904">
          <cell r="B904" t="str">
            <v>20059</v>
          </cell>
          <cell r="C904" t="str">
            <v>Direct</v>
          </cell>
          <cell r="D904" t="str">
            <v>UEC</v>
          </cell>
        </row>
        <row r="905">
          <cell r="B905" t="str">
            <v>20060</v>
          </cell>
          <cell r="C905" t="str">
            <v>Direct</v>
          </cell>
          <cell r="D905" t="str">
            <v>UEC</v>
          </cell>
        </row>
        <row r="906">
          <cell r="B906" t="str">
            <v>20061</v>
          </cell>
          <cell r="C906" t="str">
            <v>Direct</v>
          </cell>
          <cell r="D906" t="str">
            <v>UEC</v>
          </cell>
        </row>
        <row r="907">
          <cell r="B907" t="str">
            <v>20065</v>
          </cell>
          <cell r="C907" t="str">
            <v>Direct</v>
          </cell>
          <cell r="D907" t="str">
            <v>IPC</v>
          </cell>
        </row>
        <row r="908">
          <cell r="B908" t="str">
            <v>20080</v>
          </cell>
          <cell r="C908" t="str">
            <v>Direct</v>
          </cell>
          <cell r="D908" t="str">
            <v>UEC</v>
          </cell>
        </row>
        <row r="909">
          <cell r="B909" t="str">
            <v>20087</v>
          </cell>
          <cell r="C909" t="str">
            <v>Direct</v>
          </cell>
          <cell r="D909" t="str">
            <v>CIP</v>
          </cell>
        </row>
        <row r="910">
          <cell r="B910" t="str">
            <v>20091</v>
          </cell>
          <cell r="C910" t="str">
            <v>Direct</v>
          </cell>
          <cell r="D910" t="str">
            <v>ARG</v>
          </cell>
        </row>
        <row r="911">
          <cell r="B911" t="str">
            <v>20092</v>
          </cell>
          <cell r="C911" t="str">
            <v>Direct</v>
          </cell>
          <cell r="D911" t="str">
            <v>ARG</v>
          </cell>
        </row>
        <row r="912">
          <cell r="B912" t="str">
            <v>20095</v>
          </cell>
          <cell r="C912" t="str">
            <v>Direct</v>
          </cell>
          <cell r="D912" t="str">
            <v>ADC</v>
          </cell>
        </row>
        <row r="913">
          <cell r="B913" t="str">
            <v>20111</v>
          </cell>
          <cell r="C913" t="str">
            <v>Direct</v>
          </cell>
          <cell r="D913" t="str">
            <v>UEC</v>
          </cell>
        </row>
        <row r="914">
          <cell r="B914" t="str">
            <v>20116</v>
          </cell>
          <cell r="C914" t="str">
            <v>Direct</v>
          </cell>
          <cell r="D914" t="str">
            <v>CIP</v>
          </cell>
        </row>
        <row r="915">
          <cell r="B915" t="str">
            <v>20117</v>
          </cell>
          <cell r="C915" t="str">
            <v>Direct</v>
          </cell>
          <cell r="D915" t="str">
            <v>GEN</v>
          </cell>
        </row>
        <row r="916">
          <cell r="B916" t="str">
            <v>20118</v>
          </cell>
          <cell r="C916" t="str">
            <v>Direct</v>
          </cell>
          <cell r="D916" t="str">
            <v>GEN</v>
          </cell>
        </row>
        <row r="917">
          <cell r="B917" t="str">
            <v>20131</v>
          </cell>
          <cell r="C917" t="str">
            <v>Direct</v>
          </cell>
          <cell r="D917" t="str">
            <v>CIL</v>
          </cell>
        </row>
        <row r="918">
          <cell r="B918" t="str">
            <v>20132</v>
          </cell>
          <cell r="C918" t="str">
            <v>Direct</v>
          </cell>
          <cell r="D918" t="str">
            <v>CIL</v>
          </cell>
        </row>
        <row r="919">
          <cell r="B919" t="str">
            <v>20166</v>
          </cell>
          <cell r="C919" t="str">
            <v>Direct</v>
          </cell>
          <cell r="D919" t="str">
            <v>ARG</v>
          </cell>
        </row>
        <row r="920">
          <cell r="B920" t="str">
            <v>20175</v>
          </cell>
          <cell r="C920" t="str">
            <v>Direct</v>
          </cell>
          <cell r="D920" t="str">
            <v>UEC</v>
          </cell>
        </row>
        <row r="921">
          <cell r="B921" t="str">
            <v>20176</v>
          </cell>
          <cell r="C921" t="str">
            <v>Direct</v>
          </cell>
          <cell r="D921" t="str">
            <v>UEC</v>
          </cell>
        </row>
        <row r="922">
          <cell r="B922" t="str">
            <v>20187</v>
          </cell>
          <cell r="C922" t="str">
            <v>Direct</v>
          </cell>
          <cell r="D922" t="str">
            <v>UEC</v>
          </cell>
        </row>
        <row r="923">
          <cell r="B923" t="str">
            <v>20213</v>
          </cell>
          <cell r="C923" t="str">
            <v>Direct</v>
          </cell>
          <cell r="D923" t="str">
            <v>GEN</v>
          </cell>
        </row>
        <row r="924">
          <cell r="B924" t="str">
            <v>20223</v>
          </cell>
          <cell r="C924" t="str">
            <v>Direct</v>
          </cell>
          <cell r="D924" t="str">
            <v>UEC</v>
          </cell>
        </row>
        <row r="925">
          <cell r="B925" t="str">
            <v>20234</v>
          </cell>
          <cell r="C925" t="str">
            <v>Direct</v>
          </cell>
          <cell r="D925" t="str">
            <v>GEN</v>
          </cell>
        </row>
        <row r="926">
          <cell r="B926" t="str">
            <v>20235</v>
          </cell>
          <cell r="C926" t="str">
            <v>Direct</v>
          </cell>
          <cell r="D926" t="str">
            <v>GEN</v>
          </cell>
        </row>
        <row r="927">
          <cell r="B927" t="str">
            <v>20258</v>
          </cell>
          <cell r="C927" t="str">
            <v>Direct</v>
          </cell>
          <cell r="D927" t="str">
            <v>ARG</v>
          </cell>
        </row>
        <row r="928">
          <cell r="B928" t="str">
            <v>20274</v>
          </cell>
          <cell r="C928" t="str">
            <v>Direct</v>
          </cell>
          <cell r="D928" t="str">
            <v>IPC</v>
          </cell>
        </row>
        <row r="929">
          <cell r="B929" t="str">
            <v>20326</v>
          </cell>
          <cell r="C929" t="str">
            <v>Direct</v>
          </cell>
          <cell r="D929" t="str">
            <v>GEN</v>
          </cell>
        </row>
        <row r="930">
          <cell r="B930" t="str">
            <v>20352</v>
          </cell>
          <cell r="C930" t="str">
            <v>Direct</v>
          </cell>
          <cell r="D930" t="str">
            <v>CIP</v>
          </cell>
        </row>
        <row r="931">
          <cell r="B931" t="str">
            <v>20357</v>
          </cell>
          <cell r="C931" t="str">
            <v>Direct</v>
          </cell>
          <cell r="D931" t="str">
            <v>UEC</v>
          </cell>
        </row>
        <row r="932">
          <cell r="B932" t="str">
            <v>20360</v>
          </cell>
          <cell r="C932" t="str">
            <v>Direct</v>
          </cell>
          <cell r="D932" t="str">
            <v>UEC</v>
          </cell>
        </row>
        <row r="933">
          <cell r="B933" t="str">
            <v>20385</v>
          </cell>
          <cell r="C933" t="str">
            <v>Direct</v>
          </cell>
          <cell r="D933" t="str">
            <v>UEC</v>
          </cell>
        </row>
        <row r="934">
          <cell r="B934" t="str">
            <v>20393</v>
          </cell>
          <cell r="C934" t="str">
            <v>Direct</v>
          </cell>
          <cell r="D934" t="str">
            <v>GEN</v>
          </cell>
        </row>
        <row r="935">
          <cell r="B935" t="str">
            <v>20416</v>
          </cell>
          <cell r="C935" t="str">
            <v>Direct</v>
          </cell>
          <cell r="D935" t="str">
            <v>UEC</v>
          </cell>
        </row>
        <row r="936">
          <cell r="B936" t="str">
            <v>20419</v>
          </cell>
          <cell r="C936" t="str">
            <v>Direct</v>
          </cell>
          <cell r="D936" t="str">
            <v>CIL</v>
          </cell>
        </row>
        <row r="937">
          <cell r="B937" t="str">
            <v>20468</v>
          </cell>
          <cell r="C937" t="str">
            <v>Direct</v>
          </cell>
          <cell r="D937" t="str">
            <v>UEC</v>
          </cell>
        </row>
        <row r="938">
          <cell r="B938" t="str">
            <v>20471</v>
          </cell>
          <cell r="C938" t="str">
            <v>Direct</v>
          </cell>
          <cell r="D938" t="str">
            <v>UEC</v>
          </cell>
        </row>
        <row r="939">
          <cell r="B939" t="str">
            <v>20580</v>
          </cell>
          <cell r="C939" t="str">
            <v>Direct</v>
          </cell>
          <cell r="D939" t="str">
            <v>GEN</v>
          </cell>
        </row>
        <row r="940">
          <cell r="B940" t="str">
            <v>20769</v>
          </cell>
          <cell r="C940" t="str">
            <v>Direct</v>
          </cell>
          <cell r="D940" t="str">
            <v>CIP</v>
          </cell>
        </row>
        <row r="941">
          <cell r="B941" t="str">
            <v>20848</v>
          </cell>
          <cell r="C941" t="str">
            <v>Direct</v>
          </cell>
          <cell r="D941" t="str">
            <v>CIL</v>
          </cell>
        </row>
        <row r="942">
          <cell r="B942" t="str">
            <v>20898</v>
          </cell>
          <cell r="C942" t="str">
            <v>Direct</v>
          </cell>
          <cell r="D942" t="str">
            <v>IPC</v>
          </cell>
        </row>
        <row r="943">
          <cell r="B943" t="str">
            <v>20906</v>
          </cell>
          <cell r="C943" t="str">
            <v>Direct</v>
          </cell>
          <cell r="D943" t="str">
            <v>UEC</v>
          </cell>
        </row>
        <row r="944">
          <cell r="B944" t="str">
            <v>20939</v>
          </cell>
          <cell r="C944" t="str">
            <v>Direct</v>
          </cell>
          <cell r="D944" t="str">
            <v>IPC</v>
          </cell>
        </row>
        <row r="945">
          <cell r="B945" t="str">
            <v>20946</v>
          </cell>
          <cell r="C945" t="str">
            <v>Direct</v>
          </cell>
          <cell r="D945" t="str">
            <v>CIP</v>
          </cell>
        </row>
        <row r="946">
          <cell r="B946" t="str">
            <v>20963</v>
          </cell>
          <cell r="C946" t="str">
            <v>Direct</v>
          </cell>
          <cell r="D946" t="str">
            <v>UEC</v>
          </cell>
        </row>
        <row r="947">
          <cell r="B947" t="str">
            <v>20989</v>
          </cell>
          <cell r="C947" t="str">
            <v>Direct</v>
          </cell>
          <cell r="D947" t="str">
            <v>IPC</v>
          </cell>
        </row>
        <row r="948">
          <cell r="B948" t="str">
            <v>20995</v>
          </cell>
          <cell r="C948" t="str">
            <v>Direct</v>
          </cell>
          <cell r="D948" t="str">
            <v>CIP</v>
          </cell>
        </row>
        <row r="949">
          <cell r="B949" t="str">
            <v>21001</v>
          </cell>
          <cell r="C949" t="str">
            <v>Direct</v>
          </cell>
          <cell r="D949" t="str">
            <v>UEC</v>
          </cell>
        </row>
        <row r="950">
          <cell r="B950" t="str">
            <v>21034</v>
          </cell>
          <cell r="C950" t="str">
            <v>Direct</v>
          </cell>
          <cell r="D950" t="str">
            <v>CIP</v>
          </cell>
        </row>
        <row r="951">
          <cell r="B951" t="str">
            <v>21046</v>
          </cell>
          <cell r="C951" t="str">
            <v>Direct</v>
          </cell>
          <cell r="D951" t="str">
            <v>IPC</v>
          </cell>
        </row>
        <row r="952">
          <cell r="B952" t="str">
            <v>21058</v>
          </cell>
          <cell r="C952" t="str">
            <v>Direct</v>
          </cell>
          <cell r="D952" t="str">
            <v>IPC</v>
          </cell>
        </row>
        <row r="953">
          <cell r="B953" t="str">
            <v>21086</v>
          </cell>
          <cell r="C953" t="str">
            <v>Direct</v>
          </cell>
          <cell r="D953" t="str">
            <v>IPC</v>
          </cell>
        </row>
        <row r="954">
          <cell r="B954" t="str">
            <v>21114</v>
          </cell>
          <cell r="C954" t="str">
            <v>Direct</v>
          </cell>
          <cell r="D954" t="str">
            <v>CIL</v>
          </cell>
        </row>
        <row r="955">
          <cell r="B955" t="str">
            <v>21129</v>
          </cell>
          <cell r="C955" t="str">
            <v>Direct</v>
          </cell>
          <cell r="D955" t="str">
            <v>ARG</v>
          </cell>
        </row>
        <row r="956">
          <cell r="B956" t="str">
            <v>21248</v>
          </cell>
          <cell r="C956" t="str">
            <v>Direct</v>
          </cell>
          <cell r="D956" t="str">
            <v>IPC</v>
          </cell>
        </row>
        <row r="957">
          <cell r="B957" t="str">
            <v>21265</v>
          </cell>
          <cell r="C957" t="str">
            <v>Direct</v>
          </cell>
          <cell r="D957" t="str">
            <v>UEC</v>
          </cell>
        </row>
        <row r="958">
          <cell r="B958" t="str">
            <v>21293</v>
          </cell>
          <cell r="C958" t="str">
            <v>Direct</v>
          </cell>
          <cell r="D958" t="str">
            <v>UEC</v>
          </cell>
        </row>
        <row r="959">
          <cell r="B959" t="str">
            <v>21296</v>
          </cell>
          <cell r="C959" t="str">
            <v>Direct</v>
          </cell>
          <cell r="D959" t="str">
            <v>IPC</v>
          </cell>
        </row>
        <row r="960">
          <cell r="B960" t="str">
            <v>21308</v>
          </cell>
          <cell r="C960" t="str">
            <v>Direct</v>
          </cell>
          <cell r="D960" t="str">
            <v>CIP</v>
          </cell>
        </row>
        <row r="961">
          <cell r="B961" t="str">
            <v>21327</v>
          </cell>
          <cell r="C961" t="str">
            <v>Direct</v>
          </cell>
          <cell r="D961" t="str">
            <v>UEC</v>
          </cell>
        </row>
        <row r="962">
          <cell r="B962" t="str">
            <v>21346</v>
          </cell>
          <cell r="C962" t="str">
            <v>Direct</v>
          </cell>
          <cell r="D962" t="str">
            <v>CIP</v>
          </cell>
        </row>
        <row r="963">
          <cell r="B963" t="str">
            <v>A0001</v>
          </cell>
          <cell r="C963" t="str">
            <v>Allocated Direct</v>
          </cell>
          <cell r="D963" t="str">
            <v>017A</v>
          </cell>
        </row>
        <row r="964">
          <cell r="B964" t="str">
            <v>A0002</v>
          </cell>
          <cell r="C964" t="str">
            <v>Allocated Direct</v>
          </cell>
          <cell r="D964" t="str">
            <v>017B</v>
          </cell>
        </row>
        <row r="965">
          <cell r="B965" t="str">
            <v>A0004</v>
          </cell>
          <cell r="C965" t="str">
            <v>Indirect Functional</v>
          </cell>
          <cell r="D965" t="str">
            <v>Indirect</v>
          </cell>
        </row>
        <row r="966">
          <cell r="B966" t="str">
            <v>A0005</v>
          </cell>
          <cell r="C966" t="str">
            <v>Direct</v>
          </cell>
          <cell r="D966" t="str">
            <v>UEC</v>
          </cell>
        </row>
        <row r="967">
          <cell r="B967" t="str">
            <v>A0006</v>
          </cell>
          <cell r="C967" t="str">
            <v>Direct</v>
          </cell>
          <cell r="D967" t="str">
            <v>CIP</v>
          </cell>
        </row>
        <row r="968">
          <cell r="B968" t="str">
            <v>A0007</v>
          </cell>
          <cell r="C968" t="str">
            <v>Direct</v>
          </cell>
          <cell r="D968" t="str">
            <v>ADC</v>
          </cell>
        </row>
        <row r="969">
          <cell r="B969" t="str">
            <v>A0008</v>
          </cell>
          <cell r="C969" t="str">
            <v>Direct</v>
          </cell>
          <cell r="D969" t="str">
            <v>UDC</v>
          </cell>
        </row>
        <row r="970">
          <cell r="B970" t="str">
            <v>A0009</v>
          </cell>
          <cell r="C970" t="str">
            <v>Direct</v>
          </cell>
          <cell r="D970" t="str">
            <v>AMC</v>
          </cell>
        </row>
        <row r="971">
          <cell r="B971" t="str">
            <v>A0021</v>
          </cell>
          <cell r="C971" t="str">
            <v>Allocated Direct</v>
          </cell>
          <cell r="D971" t="str">
            <v>007A</v>
          </cell>
        </row>
        <row r="972">
          <cell r="B972" t="str">
            <v>A0022</v>
          </cell>
          <cell r="C972" t="str">
            <v>Allocated Direct</v>
          </cell>
          <cell r="D972" t="str">
            <v>004A</v>
          </cell>
        </row>
        <row r="973">
          <cell r="B973" t="str">
            <v>A0051</v>
          </cell>
          <cell r="C973" t="str">
            <v>Allocated Direct</v>
          </cell>
          <cell r="D973" t="str">
            <v>007A</v>
          </cell>
        </row>
        <row r="974">
          <cell r="B974" t="str">
            <v>A0075</v>
          </cell>
          <cell r="C974" t="str">
            <v>Allocated Direct</v>
          </cell>
          <cell r="D974" t="str">
            <v>017C</v>
          </cell>
        </row>
        <row r="975">
          <cell r="B975" t="str">
            <v>A0077</v>
          </cell>
          <cell r="C975" t="str">
            <v>Direct</v>
          </cell>
          <cell r="D975" t="str">
            <v>CIP</v>
          </cell>
        </row>
        <row r="976">
          <cell r="B976" t="str">
            <v>A0078</v>
          </cell>
          <cell r="C976" t="str">
            <v>Direct</v>
          </cell>
          <cell r="D976" t="str">
            <v>UEC</v>
          </cell>
        </row>
        <row r="977">
          <cell r="B977" t="str">
            <v>A0079</v>
          </cell>
          <cell r="C977" t="str">
            <v>Allocated Direct</v>
          </cell>
          <cell r="D977" t="str">
            <v>008C</v>
          </cell>
        </row>
        <row r="978">
          <cell r="B978" t="str">
            <v>A0080</v>
          </cell>
          <cell r="C978" t="str">
            <v>Direct</v>
          </cell>
          <cell r="D978" t="str">
            <v>CIP</v>
          </cell>
        </row>
        <row r="979">
          <cell r="B979" t="str">
            <v>A0081</v>
          </cell>
          <cell r="C979" t="str">
            <v>Direct</v>
          </cell>
          <cell r="D979" t="str">
            <v>UEC</v>
          </cell>
        </row>
        <row r="980">
          <cell r="B980" t="str">
            <v>A0083</v>
          </cell>
          <cell r="C980" t="str">
            <v>Allocated Direct</v>
          </cell>
          <cell r="D980" t="str">
            <v>017C</v>
          </cell>
        </row>
        <row r="981">
          <cell r="B981" t="str">
            <v>A0084</v>
          </cell>
          <cell r="C981" t="str">
            <v>Allocated Direct</v>
          </cell>
          <cell r="D981" t="str">
            <v>018A</v>
          </cell>
        </row>
        <row r="982">
          <cell r="B982" t="str">
            <v>A0102</v>
          </cell>
          <cell r="C982" t="str">
            <v>Direct</v>
          </cell>
          <cell r="D982" t="str">
            <v>UEC</v>
          </cell>
        </row>
        <row r="983">
          <cell r="B983" t="str">
            <v>A0103</v>
          </cell>
          <cell r="C983" t="str">
            <v>Allocated Direct</v>
          </cell>
          <cell r="D983" t="str">
            <v>002L</v>
          </cell>
        </row>
        <row r="984">
          <cell r="B984" t="str">
            <v>A0104</v>
          </cell>
          <cell r="C984" t="str">
            <v>Direct</v>
          </cell>
          <cell r="D984" t="str">
            <v>UEC</v>
          </cell>
        </row>
        <row r="985">
          <cell r="B985" t="str">
            <v>A0109</v>
          </cell>
          <cell r="C985" t="str">
            <v>Direct</v>
          </cell>
          <cell r="D985" t="str">
            <v>GEN</v>
          </cell>
        </row>
        <row r="986">
          <cell r="B986" t="str">
            <v>A0110</v>
          </cell>
          <cell r="C986" t="str">
            <v>Allocated Direct</v>
          </cell>
          <cell r="D986" t="str">
            <v>012D</v>
          </cell>
        </row>
        <row r="987">
          <cell r="B987" t="str">
            <v>A0112</v>
          </cell>
          <cell r="C987" t="str">
            <v>Direct</v>
          </cell>
          <cell r="D987" t="str">
            <v>UEC</v>
          </cell>
        </row>
        <row r="988">
          <cell r="B988" t="str">
            <v>A0113</v>
          </cell>
          <cell r="C988" t="str">
            <v>Direct</v>
          </cell>
          <cell r="D988" t="str">
            <v>UEC</v>
          </cell>
        </row>
        <row r="989">
          <cell r="B989" t="str">
            <v>A0115</v>
          </cell>
          <cell r="C989" t="str">
            <v>Direct</v>
          </cell>
          <cell r="D989" t="str">
            <v>UEC</v>
          </cell>
        </row>
        <row r="990">
          <cell r="B990" t="str">
            <v>A0124</v>
          </cell>
          <cell r="C990" t="str">
            <v>Direct</v>
          </cell>
          <cell r="D990" t="str">
            <v>UEC</v>
          </cell>
        </row>
        <row r="991">
          <cell r="B991" t="str">
            <v>A0125</v>
          </cell>
          <cell r="C991" t="str">
            <v>Indirect Functional</v>
          </cell>
          <cell r="D991" t="str">
            <v>Indirect</v>
          </cell>
        </row>
        <row r="992">
          <cell r="B992" t="str">
            <v>A0126</v>
          </cell>
          <cell r="C992" t="str">
            <v>Direct</v>
          </cell>
          <cell r="D992" t="str">
            <v>UEC</v>
          </cell>
        </row>
        <row r="993">
          <cell r="B993" t="str">
            <v>A0127</v>
          </cell>
          <cell r="C993" t="str">
            <v>Allocated Direct</v>
          </cell>
          <cell r="D993" t="str">
            <v>018A</v>
          </cell>
        </row>
        <row r="994">
          <cell r="B994" t="str">
            <v>A0128</v>
          </cell>
          <cell r="C994" t="str">
            <v>Allocated Direct</v>
          </cell>
          <cell r="D994" t="str">
            <v>001A</v>
          </cell>
        </row>
        <row r="995">
          <cell r="B995" t="str">
            <v>A0129</v>
          </cell>
          <cell r="C995" t="str">
            <v>Direct</v>
          </cell>
          <cell r="D995" t="str">
            <v>UEC</v>
          </cell>
        </row>
        <row r="996">
          <cell r="B996" t="str">
            <v>A0131</v>
          </cell>
          <cell r="C996" t="str">
            <v>Direct</v>
          </cell>
          <cell r="D996" t="str">
            <v>UEC</v>
          </cell>
        </row>
        <row r="997">
          <cell r="B997" t="str">
            <v>A0132</v>
          </cell>
          <cell r="C997" t="str">
            <v>Allocated Direct</v>
          </cell>
          <cell r="D997" t="str">
            <v>018A</v>
          </cell>
        </row>
        <row r="998">
          <cell r="B998" t="str">
            <v>A0134</v>
          </cell>
          <cell r="C998" t="str">
            <v>Allocated Direct</v>
          </cell>
          <cell r="D998" t="str">
            <v>003A</v>
          </cell>
        </row>
        <row r="999">
          <cell r="B999" t="str">
            <v>A0138</v>
          </cell>
          <cell r="C999" t="str">
            <v>Direct</v>
          </cell>
          <cell r="D999" t="str">
            <v>UEC</v>
          </cell>
        </row>
        <row r="1000">
          <cell r="B1000" t="str">
            <v>A0139</v>
          </cell>
          <cell r="C1000" t="str">
            <v>Direct</v>
          </cell>
          <cell r="D1000" t="str">
            <v>CIP</v>
          </cell>
        </row>
        <row r="1001">
          <cell r="B1001" t="str">
            <v>A0140</v>
          </cell>
          <cell r="C1001" t="str">
            <v>Allocated Direct</v>
          </cell>
          <cell r="D1001" t="str">
            <v>003A</v>
          </cell>
        </row>
        <row r="1002">
          <cell r="B1002" t="str">
            <v>A0141</v>
          </cell>
          <cell r="C1002" t="str">
            <v>Direct</v>
          </cell>
          <cell r="D1002" t="str">
            <v>AMC</v>
          </cell>
        </row>
        <row r="1003">
          <cell r="B1003" t="str">
            <v>A0142</v>
          </cell>
          <cell r="C1003" t="str">
            <v>Indirect Functional</v>
          </cell>
          <cell r="D1003" t="str">
            <v>Indirect</v>
          </cell>
        </row>
        <row r="1004">
          <cell r="B1004" t="str">
            <v>A0144</v>
          </cell>
          <cell r="C1004" t="str">
            <v>Direct</v>
          </cell>
          <cell r="D1004" t="str">
            <v>CIP</v>
          </cell>
        </row>
        <row r="1005">
          <cell r="B1005" t="str">
            <v>A0146</v>
          </cell>
          <cell r="C1005" t="str">
            <v>Allocated Direct</v>
          </cell>
          <cell r="D1005" t="str">
            <v>002L</v>
          </cell>
        </row>
        <row r="1006">
          <cell r="B1006" t="str">
            <v>A0149</v>
          </cell>
          <cell r="C1006" t="str">
            <v>Indirect Functional</v>
          </cell>
          <cell r="D1006" t="str">
            <v>Indirect</v>
          </cell>
        </row>
        <row r="1007">
          <cell r="B1007" t="str">
            <v>A0151</v>
          </cell>
          <cell r="C1007" t="str">
            <v>Indirect Functional</v>
          </cell>
          <cell r="D1007" t="str">
            <v>Indirect</v>
          </cell>
        </row>
        <row r="1008">
          <cell r="B1008" t="str">
            <v>A0152</v>
          </cell>
          <cell r="C1008" t="str">
            <v>Direct</v>
          </cell>
          <cell r="D1008" t="str">
            <v>UEC</v>
          </cell>
        </row>
        <row r="1009">
          <cell r="B1009" t="str">
            <v>A0153</v>
          </cell>
          <cell r="C1009" t="str">
            <v>Direct</v>
          </cell>
          <cell r="D1009" t="str">
            <v>UEC</v>
          </cell>
        </row>
        <row r="1010">
          <cell r="B1010" t="str">
            <v>A0154</v>
          </cell>
          <cell r="C1010" t="str">
            <v>Direct</v>
          </cell>
          <cell r="D1010" t="str">
            <v>UEC</v>
          </cell>
        </row>
        <row r="1011">
          <cell r="B1011" t="str">
            <v>A0155</v>
          </cell>
          <cell r="C1011" t="str">
            <v>Direct</v>
          </cell>
          <cell r="D1011" t="str">
            <v>CIP</v>
          </cell>
        </row>
        <row r="1012">
          <cell r="B1012" t="str">
            <v>A0156</v>
          </cell>
          <cell r="C1012" t="str">
            <v>Direct</v>
          </cell>
          <cell r="D1012" t="str">
            <v>UEC</v>
          </cell>
        </row>
        <row r="1013">
          <cell r="B1013" t="str">
            <v>A0157</v>
          </cell>
          <cell r="C1013" t="str">
            <v>Direct</v>
          </cell>
          <cell r="D1013" t="str">
            <v>CIP</v>
          </cell>
        </row>
        <row r="1014">
          <cell r="B1014" t="str">
            <v>A0158</v>
          </cell>
          <cell r="C1014" t="str">
            <v>Allocated Direct</v>
          </cell>
          <cell r="D1014" t="str">
            <v>004A</v>
          </cell>
        </row>
        <row r="1015">
          <cell r="B1015" t="str">
            <v>A0160</v>
          </cell>
          <cell r="C1015" t="str">
            <v>Direct</v>
          </cell>
          <cell r="D1015" t="str">
            <v>UEC</v>
          </cell>
        </row>
        <row r="1016">
          <cell r="B1016" t="str">
            <v>A0161</v>
          </cell>
          <cell r="C1016" t="str">
            <v>Allocated Direct</v>
          </cell>
          <cell r="D1016" t="str">
            <v>004A</v>
          </cell>
        </row>
        <row r="1017">
          <cell r="B1017" t="str">
            <v>A0162</v>
          </cell>
          <cell r="C1017" t="str">
            <v>Allocated Direct</v>
          </cell>
          <cell r="D1017" t="str">
            <v>004B</v>
          </cell>
        </row>
        <row r="1018">
          <cell r="B1018" t="str">
            <v>A0163</v>
          </cell>
          <cell r="C1018" t="str">
            <v>Indirect Functional</v>
          </cell>
          <cell r="D1018" t="str">
            <v>002L</v>
          </cell>
        </row>
        <row r="1019">
          <cell r="B1019" t="str">
            <v>A0166</v>
          </cell>
          <cell r="C1019" t="str">
            <v>Indirect Functional</v>
          </cell>
          <cell r="D1019" t="str">
            <v>004A</v>
          </cell>
        </row>
        <row r="1020">
          <cell r="B1020" t="str">
            <v>A0168</v>
          </cell>
          <cell r="C1020" t="str">
            <v>Allocated Direct</v>
          </cell>
          <cell r="D1020" t="str">
            <v>010B</v>
          </cell>
        </row>
        <row r="1021">
          <cell r="B1021" t="str">
            <v>A0169</v>
          </cell>
          <cell r="C1021" t="str">
            <v>Allocated Direct</v>
          </cell>
          <cell r="D1021" t="str">
            <v>011A</v>
          </cell>
        </row>
        <row r="1022">
          <cell r="B1022" t="str">
            <v>A0175</v>
          </cell>
          <cell r="C1022" t="str">
            <v>Allocated Direct</v>
          </cell>
          <cell r="D1022" t="str">
            <v>002K</v>
          </cell>
        </row>
        <row r="1023">
          <cell r="B1023" t="str">
            <v>A0176</v>
          </cell>
          <cell r="C1023" t="str">
            <v>Direct</v>
          </cell>
          <cell r="D1023" t="str">
            <v>UEC</v>
          </cell>
        </row>
        <row r="1024">
          <cell r="B1024" t="str">
            <v>A0177</v>
          </cell>
          <cell r="C1024" t="str">
            <v>Allocated Direct</v>
          </cell>
          <cell r="D1024" t="str">
            <v>004A</v>
          </cell>
        </row>
        <row r="1025">
          <cell r="B1025" t="str">
            <v>A0178</v>
          </cell>
          <cell r="C1025" t="str">
            <v>Direct</v>
          </cell>
          <cell r="D1025" t="str">
            <v>UEC</v>
          </cell>
        </row>
        <row r="1026">
          <cell r="B1026" t="str">
            <v>A0179</v>
          </cell>
          <cell r="C1026" t="str">
            <v>Direct</v>
          </cell>
          <cell r="D1026" t="str">
            <v>CIP</v>
          </cell>
        </row>
        <row r="1027">
          <cell r="B1027" t="str">
            <v>A0180</v>
          </cell>
          <cell r="C1027" t="str">
            <v>Allocated Direct</v>
          </cell>
          <cell r="D1027" t="str">
            <v>004P</v>
          </cell>
        </row>
        <row r="1028">
          <cell r="B1028" t="str">
            <v>A0181</v>
          </cell>
          <cell r="C1028" t="str">
            <v>Direct</v>
          </cell>
          <cell r="D1028" t="str">
            <v>CIP</v>
          </cell>
        </row>
        <row r="1029">
          <cell r="B1029" t="str">
            <v>A0182</v>
          </cell>
          <cell r="C1029" t="str">
            <v>Direct</v>
          </cell>
          <cell r="D1029" t="str">
            <v>UEC</v>
          </cell>
        </row>
        <row r="1030">
          <cell r="B1030" t="str">
            <v>A0183</v>
          </cell>
          <cell r="C1030" t="str">
            <v>Direct</v>
          </cell>
          <cell r="D1030" t="str">
            <v>CIP</v>
          </cell>
        </row>
        <row r="1031">
          <cell r="B1031" t="str">
            <v>A0184</v>
          </cell>
          <cell r="C1031" t="str">
            <v>Direct</v>
          </cell>
          <cell r="D1031" t="str">
            <v>ADC</v>
          </cell>
        </row>
        <row r="1032">
          <cell r="B1032" t="str">
            <v>A0185</v>
          </cell>
          <cell r="C1032" t="str">
            <v>Direct</v>
          </cell>
          <cell r="D1032" t="str">
            <v>UEC</v>
          </cell>
        </row>
        <row r="1033">
          <cell r="B1033" t="str">
            <v>A0189</v>
          </cell>
          <cell r="C1033" t="str">
            <v>Allocated Direct</v>
          </cell>
          <cell r="D1033" t="str">
            <v>003B</v>
          </cell>
        </row>
        <row r="1034">
          <cell r="B1034" t="str">
            <v>A0192</v>
          </cell>
          <cell r="C1034" t="str">
            <v>Indirect Functional</v>
          </cell>
          <cell r="D1034" t="str">
            <v>Indirect</v>
          </cell>
        </row>
        <row r="1035">
          <cell r="B1035" t="str">
            <v>A0193</v>
          </cell>
          <cell r="C1035" t="str">
            <v>Indirect Functional</v>
          </cell>
          <cell r="D1035" t="str">
            <v>Indirect</v>
          </cell>
        </row>
        <row r="1036">
          <cell r="B1036" t="str">
            <v>A0194</v>
          </cell>
          <cell r="C1036" t="str">
            <v>Direct</v>
          </cell>
          <cell r="D1036" t="str">
            <v>CIP</v>
          </cell>
        </row>
        <row r="1037">
          <cell r="B1037" t="str">
            <v>A0195</v>
          </cell>
          <cell r="C1037" t="str">
            <v>Direct</v>
          </cell>
          <cell r="D1037" t="str">
            <v>UEC</v>
          </cell>
        </row>
        <row r="1038">
          <cell r="B1038" t="str">
            <v>A0196</v>
          </cell>
          <cell r="C1038" t="str">
            <v>Direct</v>
          </cell>
          <cell r="D1038" t="str">
            <v>UEC</v>
          </cell>
        </row>
        <row r="1039">
          <cell r="B1039" t="str">
            <v>A0197</v>
          </cell>
          <cell r="C1039" t="str">
            <v>Direct</v>
          </cell>
          <cell r="D1039" t="str">
            <v>CIP</v>
          </cell>
        </row>
        <row r="1040">
          <cell r="B1040" t="str">
            <v>A0199</v>
          </cell>
          <cell r="C1040" t="str">
            <v>Allocated Direct</v>
          </cell>
          <cell r="D1040" t="str">
            <v>002L</v>
          </cell>
        </row>
        <row r="1041">
          <cell r="B1041" t="str">
            <v>A0200</v>
          </cell>
          <cell r="C1041" t="str">
            <v>Direct</v>
          </cell>
          <cell r="D1041" t="str">
            <v>UEC</v>
          </cell>
        </row>
        <row r="1042">
          <cell r="B1042" t="str">
            <v>A0202</v>
          </cell>
          <cell r="C1042" t="str">
            <v>Direct</v>
          </cell>
          <cell r="D1042" t="str">
            <v>CIP</v>
          </cell>
        </row>
        <row r="1043">
          <cell r="B1043" t="str">
            <v>A0203</v>
          </cell>
          <cell r="C1043" t="str">
            <v>Allocated Direct</v>
          </cell>
          <cell r="D1043" t="str">
            <v>002K</v>
          </cell>
        </row>
        <row r="1044">
          <cell r="B1044" t="str">
            <v>A0208</v>
          </cell>
          <cell r="C1044" t="str">
            <v>Allocated Direct</v>
          </cell>
          <cell r="D1044" t="str">
            <v>012A</v>
          </cell>
        </row>
        <row r="1045">
          <cell r="B1045" t="str">
            <v>A0209</v>
          </cell>
          <cell r="C1045" t="str">
            <v>Direct</v>
          </cell>
          <cell r="D1045" t="str">
            <v>UEC</v>
          </cell>
        </row>
        <row r="1046">
          <cell r="B1046" t="str">
            <v>A0210</v>
          </cell>
          <cell r="C1046" t="str">
            <v>Direct</v>
          </cell>
          <cell r="D1046" t="str">
            <v>CIP</v>
          </cell>
        </row>
        <row r="1047">
          <cell r="B1047" t="str">
            <v>A0212</v>
          </cell>
          <cell r="C1047" t="str">
            <v>Direct</v>
          </cell>
          <cell r="D1047" t="str">
            <v>UEC</v>
          </cell>
        </row>
        <row r="1048">
          <cell r="B1048" t="str">
            <v>A0214</v>
          </cell>
          <cell r="C1048" t="str">
            <v>Direct</v>
          </cell>
          <cell r="D1048" t="str">
            <v>CIP</v>
          </cell>
        </row>
        <row r="1049">
          <cell r="B1049" t="str">
            <v>A0215</v>
          </cell>
          <cell r="C1049" t="str">
            <v>Indirect Functional</v>
          </cell>
          <cell r="D1049" t="str">
            <v>Indirect</v>
          </cell>
        </row>
        <row r="1050">
          <cell r="B1050" t="str">
            <v>A0217</v>
          </cell>
          <cell r="C1050" t="str">
            <v>Direct</v>
          </cell>
          <cell r="D1050" t="str">
            <v>UEC</v>
          </cell>
        </row>
        <row r="1051">
          <cell r="B1051" t="str">
            <v>A0220</v>
          </cell>
          <cell r="C1051" t="str">
            <v>Direct</v>
          </cell>
          <cell r="D1051" t="str">
            <v>UEC</v>
          </cell>
        </row>
        <row r="1052">
          <cell r="B1052" t="str">
            <v>A0222</v>
          </cell>
          <cell r="C1052" t="str">
            <v>Allocated Direct</v>
          </cell>
          <cell r="D1052" t="str">
            <v>017A</v>
          </cell>
        </row>
        <row r="1053">
          <cell r="B1053" t="str">
            <v>A0223</v>
          </cell>
          <cell r="C1053" t="str">
            <v>Allocated Direct</v>
          </cell>
          <cell r="D1053" t="str">
            <v>002L</v>
          </cell>
        </row>
        <row r="1054">
          <cell r="B1054" t="str">
            <v>A0224</v>
          </cell>
          <cell r="C1054" t="str">
            <v>Allocated Direct</v>
          </cell>
          <cell r="D1054" t="str">
            <v>004A</v>
          </cell>
        </row>
        <row r="1055">
          <cell r="B1055" t="str">
            <v>A0228</v>
          </cell>
          <cell r="C1055" t="str">
            <v>Allocated Direct</v>
          </cell>
          <cell r="D1055" t="str">
            <v>011A</v>
          </cell>
        </row>
        <row r="1056">
          <cell r="B1056" t="str">
            <v>A0230</v>
          </cell>
          <cell r="C1056" t="str">
            <v>Direct</v>
          </cell>
          <cell r="D1056" t="str">
            <v>UEC</v>
          </cell>
        </row>
        <row r="1057">
          <cell r="B1057" t="str">
            <v>A0231</v>
          </cell>
          <cell r="C1057" t="str">
            <v>Direct</v>
          </cell>
          <cell r="D1057" t="str">
            <v>CIP</v>
          </cell>
        </row>
        <row r="1058">
          <cell r="B1058" t="str">
            <v>A0234</v>
          </cell>
          <cell r="C1058" t="str">
            <v>Allocated Direct</v>
          </cell>
          <cell r="D1058" t="str">
            <v>001A</v>
          </cell>
        </row>
        <row r="1059">
          <cell r="B1059" t="str">
            <v>A0235</v>
          </cell>
          <cell r="C1059" t="str">
            <v>Allocated Direct</v>
          </cell>
          <cell r="D1059" t="str">
            <v>004A</v>
          </cell>
        </row>
        <row r="1060">
          <cell r="B1060" t="str">
            <v>A0236</v>
          </cell>
          <cell r="C1060" t="str">
            <v>Direct</v>
          </cell>
          <cell r="D1060" t="str">
            <v>CIP</v>
          </cell>
        </row>
        <row r="1061">
          <cell r="B1061" t="str">
            <v>A0237</v>
          </cell>
          <cell r="C1061" t="str">
            <v>Indirect Functional</v>
          </cell>
          <cell r="D1061" t="str">
            <v>Indirect</v>
          </cell>
        </row>
        <row r="1062">
          <cell r="B1062" t="str">
            <v>A0238</v>
          </cell>
          <cell r="C1062" t="str">
            <v>Direct</v>
          </cell>
          <cell r="D1062" t="str">
            <v>UEC</v>
          </cell>
        </row>
        <row r="1063">
          <cell r="B1063" t="str">
            <v>A0239</v>
          </cell>
          <cell r="C1063" t="str">
            <v>Direct</v>
          </cell>
          <cell r="D1063" t="str">
            <v>CIP</v>
          </cell>
        </row>
        <row r="1064">
          <cell r="B1064" t="str">
            <v>A0240</v>
          </cell>
          <cell r="C1064" t="str">
            <v>Direct</v>
          </cell>
          <cell r="D1064" t="str">
            <v>UEC</v>
          </cell>
        </row>
        <row r="1065">
          <cell r="B1065" t="str">
            <v>A0241</v>
          </cell>
          <cell r="C1065" t="str">
            <v>Allocated Direct</v>
          </cell>
          <cell r="D1065" t="str">
            <v>002L</v>
          </cell>
        </row>
        <row r="1066">
          <cell r="B1066" t="str">
            <v>A0243</v>
          </cell>
          <cell r="C1066" t="str">
            <v>Indirect Functional</v>
          </cell>
          <cell r="D1066" t="str">
            <v>Indirect</v>
          </cell>
        </row>
        <row r="1067">
          <cell r="B1067" t="str">
            <v>A0245</v>
          </cell>
          <cell r="C1067" t="str">
            <v>Direct</v>
          </cell>
          <cell r="D1067" t="str">
            <v>CIP</v>
          </cell>
        </row>
        <row r="1068">
          <cell r="B1068" t="str">
            <v>A0247</v>
          </cell>
          <cell r="C1068" t="str">
            <v>Allocated Direct</v>
          </cell>
          <cell r="D1068" t="str">
            <v>004F</v>
          </cell>
        </row>
        <row r="1069">
          <cell r="B1069" t="str">
            <v>A0248</v>
          </cell>
          <cell r="C1069" t="str">
            <v>Allocated Direct</v>
          </cell>
          <cell r="D1069" t="str">
            <v>002K</v>
          </cell>
        </row>
        <row r="1070">
          <cell r="B1070" t="str">
            <v>A0249</v>
          </cell>
          <cell r="C1070" t="str">
            <v>Allocated Direct</v>
          </cell>
          <cell r="D1070" t="str">
            <v>002L</v>
          </cell>
        </row>
        <row r="1071">
          <cell r="B1071" t="str">
            <v>A0250</v>
          </cell>
          <cell r="C1071" t="str">
            <v>Allocated Direct</v>
          </cell>
          <cell r="D1071" t="str">
            <v>001A</v>
          </cell>
        </row>
        <row r="1072">
          <cell r="B1072" t="str">
            <v>A0251</v>
          </cell>
          <cell r="C1072" t="str">
            <v>Direct</v>
          </cell>
          <cell r="D1072" t="str">
            <v>CIP</v>
          </cell>
        </row>
        <row r="1073">
          <cell r="B1073" t="str">
            <v>A0252</v>
          </cell>
          <cell r="C1073" t="str">
            <v>Allocated Direct</v>
          </cell>
          <cell r="D1073" t="str">
            <v>004C</v>
          </cell>
        </row>
        <row r="1074">
          <cell r="B1074" t="str">
            <v>A0253</v>
          </cell>
          <cell r="C1074" t="str">
            <v>Allocated Direct</v>
          </cell>
          <cell r="D1074" t="str">
            <v>004A</v>
          </cell>
        </row>
        <row r="1075">
          <cell r="B1075" t="str">
            <v>A0254</v>
          </cell>
          <cell r="C1075" t="str">
            <v>Indirect Functional</v>
          </cell>
          <cell r="D1075" t="str">
            <v>Indirect</v>
          </cell>
        </row>
        <row r="1076">
          <cell r="B1076" t="str">
            <v>A0255</v>
          </cell>
          <cell r="C1076" t="str">
            <v>Indirect Functional</v>
          </cell>
          <cell r="D1076" t="str">
            <v>Indirect</v>
          </cell>
        </row>
        <row r="1077">
          <cell r="B1077" t="str">
            <v>A0256</v>
          </cell>
          <cell r="C1077" t="str">
            <v>Allocated Direct</v>
          </cell>
          <cell r="D1077" t="str">
            <v>004A</v>
          </cell>
        </row>
        <row r="1078">
          <cell r="B1078" t="str">
            <v>A0259</v>
          </cell>
          <cell r="C1078" t="str">
            <v>Indirect Corporate</v>
          </cell>
          <cell r="D1078" t="str">
            <v>Indirect</v>
          </cell>
        </row>
        <row r="1079">
          <cell r="B1079" t="str">
            <v>A0262</v>
          </cell>
          <cell r="C1079" t="str">
            <v>Allocated Direct</v>
          </cell>
          <cell r="D1079" t="str">
            <v>007A</v>
          </cell>
        </row>
        <row r="1080">
          <cell r="B1080" t="str">
            <v>A0266</v>
          </cell>
          <cell r="C1080" t="str">
            <v>Direct</v>
          </cell>
          <cell r="D1080" t="str">
            <v>UEC</v>
          </cell>
        </row>
        <row r="1081">
          <cell r="B1081" t="str">
            <v>A0273</v>
          </cell>
          <cell r="C1081" t="str">
            <v>Direct</v>
          </cell>
          <cell r="D1081" t="str">
            <v>UEC</v>
          </cell>
        </row>
        <row r="1082">
          <cell r="B1082" t="str">
            <v>A0274</v>
          </cell>
          <cell r="C1082" t="str">
            <v>Direct</v>
          </cell>
          <cell r="D1082" t="str">
            <v>CIP</v>
          </cell>
        </row>
        <row r="1083">
          <cell r="B1083" t="str">
            <v>A0275</v>
          </cell>
          <cell r="C1083" t="str">
            <v>Direct</v>
          </cell>
          <cell r="D1083" t="str">
            <v>AMC</v>
          </cell>
        </row>
        <row r="1084">
          <cell r="B1084" t="str">
            <v>A0279</v>
          </cell>
          <cell r="C1084" t="str">
            <v>Direct</v>
          </cell>
          <cell r="D1084" t="str">
            <v>UEC</v>
          </cell>
        </row>
        <row r="1085">
          <cell r="B1085" t="str">
            <v>A0280</v>
          </cell>
          <cell r="C1085" t="str">
            <v>Direct</v>
          </cell>
          <cell r="D1085" t="str">
            <v>CIP</v>
          </cell>
        </row>
        <row r="1086">
          <cell r="B1086" t="str">
            <v>A0281</v>
          </cell>
          <cell r="C1086" t="str">
            <v>Direct</v>
          </cell>
          <cell r="D1086" t="str">
            <v>UEC</v>
          </cell>
        </row>
        <row r="1087">
          <cell r="B1087" t="str">
            <v>A0282</v>
          </cell>
          <cell r="C1087" t="str">
            <v>Direct</v>
          </cell>
          <cell r="D1087" t="str">
            <v>CIP</v>
          </cell>
        </row>
        <row r="1088">
          <cell r="B1088" t="str">
            <v>A0283</v>
          </cell>
          <cell r="C1088" t="str">
            <v>Direct</v>
          </cell>
          <cell r="D1088" t="str">
            <v>UEC</v>
          </cell>
        </row>
        <row r="1089">
          <cell r="B1089" t="str">
            <v>A0284</v>
          </cell>
          <cell r="C1089" t="str">
            <v>Direct</v>
          </cell>
          <cell r="D1089" t="str">
            <v>CIP</v>
          </cell>
        </row>
        <row r="1090">
          <cell r="B1090" t="str">
            <v>A0285</v>
          </cell>
          <cell r="C1090" t="str">
            <v>Allocated Direct</v>
          </cell>
          <cell r="D1090" t="str">
            <v>008C</v>
          </cell>
        </row>
        <row r="1091">
          <cell r="B1091" t="str">
            <v>A0286</v>
          </cell>
          <cell r="C1091" t="str">
            <v>Allocated Direct</v>
          </cell>
          <cell r="D1091" t="str">
            <v>008C</v>
          </cell>
        </row>
        <row r="1092">
          <cell r="B1092" t="str">
            <v>A0287</v>
          </cell>
          <cell r="C1092" t="str">
            <v>Allocated Direct</v>
          </cell>
          <cell r="D1092" t="str">
            <v>008C</v>
          </cell>
        </row>
        <row r="1093">
          <cell r="B1093" t="str">
            <v>A0288</v>
          </cell>
          <cell r="C1093" t="str">
            <v>Allocated Direct</v>
          </cell>
          <cell r="D1093" t="str">
            <v>001A</v>
          </cell>
        </row>
        <row r="1094">
          <cell r="B1094" t="str">
            <v>A0290</v>
          </cell>
          <cell r="C1094" t="str">
            <v>Direct</v>
          </cell>
          <cell r="D1094" t="str">
            <v>UEC</v>
          </cell>
        </row>
        <row r="1095">
          <cell r="B1095" t="str">
            <v>A0291</v>
          </cell>
          <cell r="C1095" t="str">
            <v>Direct</v>
          </cell>
          <cell r="D1095" t="str">
            <v>UEC</v>
          </cell>
        </row>
        <row r="1096">
          <cell r="B1096" t="str">
            <v>A0292</v>
          </cell>
          <cell r="C1096" t="str">
            <v>Allocated Direct</v>
          </cell>
          <cell r="D1096" t="str">
            <v>002P</v>
          </cell>
        </row>
        <row r="1097">
          <cell r="B1097" t="str">
            <v>A0293</v>
          </cell>
          <cell r="C1097" t="str">
            <v>Allocated Direct</v>
          </cell>
          <cell r="D1097" t="str">
            <v>012A</v>
          </cell>
        </row>
        <row r="1098">
          <cell r="B1098" t="str">
            <v>A0294</v>
          </cell>
          <cell r="C1098" t="str">
            <v>Direct</v>
          </cell>
          <cell r="D1098" t="str">
            <v>CIP</v>
          </cell>
        </row>
        <row r="1099">
          <cell r="B1099" t="str">
            <v>A0296</v>
          </cell>
          <cell r="C1099" t="str">
            <v>Direct</v>
          </cell>
          <cell r="D1099" t="str">
            <v>CIP</v>
          </cell>
        </row>
        <row r="1100">
          <cell r="B1100" t="str">
            <v>A0299</v>
          </cell>
          <cell r="C1100" t="str">
            <v>Allocated Direct</v>
          </cell>
          <cell r="D1100" t="str">
            <v>002P</v>
          </cell>
        </row>
        <row r="1101">
          <cell r="B1101" t="str">
            <v>A0300</v>
          </cell>
          <cell r="C1101" t="str">
            <v>Direct</v>
          </cell>
          <cell r="D1101" t="str">
            <v>UEC</v>
          </cell>
        </row>
        <row r="1102">
          <cell r="B1102" t="str">
            <v>A0302</v>
          </cell>
          <cell r="C1102" t="str">
            <v>Direct</v>
          </cell>
          <cell r="D1102" t="str">
            <v>CIP</v>
          </cell>
        </row>
        <row r="1103">
          <cell r="B1103" t="str">
            <v>A0305</v>
          </cell>
          <cell r="C1103" t="str">
            <v>Direct</v>
          </cell>
          <cell r="D1103" t="str">
            <v>UEC</v>
          </cell>
        </row>
        <row r="1104">
          <cell r="B1104" t="str">
            <v>A0306</v>
          </cell>
          <cell r="C1104" t="str">
            <v>Direct</v>
          </cell>
          <cell r="D1104" t="str">
            <v>CIP</v>
          </cell>
        </row>
        <row r="1105">
          <cell r="B1105" t="str">
            <v>A0307</v>
          </cell>
          <cell r="C1105" t="str">
            <v>Allocated Direct</v>
          </cell>
          <cell r="D1105" t="str">
            <v>002A</v>
          </cell>
        </row>
        <row r="1106">
          <cell r="B1106" t="str">
            <v>A0308</v>
          </cell>
          <cell r="C1106" t="str">
            <v>Direct</v>
          </cell>
          <cell r="D1106" t="str">
            <v>UEC</v>
          </cell>
        </row>
        <row r="1107">
          <cell r="B1107" t="str">
            <v>A0309</v>
          </cell>
          <cell r="C1107" t="str">
            <v>Direct</v>
          </cell>
          <cell r="D1107" t="str">
            <v>CIP</v>
          </cell>
        </row>
        <row r="1108">
          <cell r="B1108" t="str">
            <v>A0310</v>
          </cell>
          <cell r="C1108" t="str">
            <v>Allocated Direct</v>
          </cell>
          <cell r="D1108" t="str">
            <v>002K</v>
          </cell>
        </row>
        <row r="1109">
          <cell r="B1109" t="str">
            <v>A0312</v>
          </cell>
          <cell r="C1109" t="str">
            <v>Direct</v>
          </cell>
          <cell r="D1109" t="str">
            <v>UEC</v>
          </cell>
        </row>
        <row r="1110">
          <cell r="B1110" t="str">
            <v>A0314</v>
          </cell>
          <cell r="C1110" t="str">
            <v>Direct</v>
          </cell>
          <cell r="D1110" t="str">
            <v>CIP</v>
          </cell>
        </row>
        <row r="1111">
          <cell r="B1111" t="str">
            <v>A0315</v>
          </cell>
          <cell r="C1111" t="str">
            <v>Allocated Direct</v>
          </cell>
          <cell r="D1111" t="str">
            <v>002L</v>
          </cell>
        </row>
        <row r="1112">
          <cell r="B1112" t="str">
            <v>A0318</v>
          </cell>
          <cell r="C1112" t="str">
            <v>Direct</v>
          </cell>
          <cell r="D1112" t="str">
            <v>UEC</v>
          </cell>
        </row>
        <row r="1113">
          <cell r="B1113" t="str">
            <v>A0319</v>
          </cell>
          <cell r="C1113" t="str">
            <v>Allocated Direct</v>
          </cell>
          <cell r="D1113" t="str">
            <v>017B</v>
          </cell>
        </row>
        <row r="1114">
          <cell r="B1114" t="str">
            <v>A0320</v>
          </cell>
          <cell r="C1114" t="str">
            <v>Direct</v>
          </cell>
          <cell r="D1114" t="str">
            <v>CIP</v>
          </cell>
        </row>
        <row r="1115">
          <cell r="B1115" t="str">
            <v>A0321</v>
          </cell>
          <cell r="C1115" t="str">
            <v>Allocated Direct</v>
          </cell>
          <cell r="D1115" t="str">
            <v>016A</v>
          </cell>
        </row>
        <row r="1116">
          <cell r="B1116" t="str">
            <v>A0322</v>
          </cell>
          <cell r="C1116" t="str">
            <v>Indirect Functional</v>
          </cell>
          <cell r="D1116" t="str">
            <v>Indirect</v>
          </cell>
        </row>
        <row r="1117">
          <cell r="B1117" t="str">
            <v>A0323</v>
          </cell>
          <cell r="C1117" t="str">
            <v>Direct</v>
          </cell>
          <cell r="D1117" t="str">
            <v>UEC</v>
          </cell>
        </row>
        <row r="1118">
          <cell r="B1118" t="str">
            <v>A0324</v>
          </cell>
          <cell r="C1118" t="str">
            <v>Direct</v>
          </cell>
          <cell r="D1118" t="str">
            <v>CIP</v>
          </cell>
        </row>
        <row r="1119">
          <cell r="B1119" t="str">
            <v>A0325</v>
          </cell>
          <cell r="C1119" t="str">
            <v>Allocated Direct</v>
          </cell>
          <cell r="D1119" t="str">
            <v>016A</v>
          </cell>
        </row>
        <row r="1120">
          <cell r="B1120" t="str">
            <v>A0326</v>
          </cell>
          <cell r="C1120" t="str">
            <v>Indirect Functional</v>
          </cell>
          <cell r="D1120" t="str">
            <v>Indirect</v>
          </cell>
        </row>
        <row r="1121">
          <cell r="B1121" t="str">
            <v>A0337</v>
          </cell>
          <cell r="C1121" t="str">
            <v>Allocated Direct</v>
          </cell>
          <cell r="D1121" t="str">
            <v>011A</v>
          </cell>
        </row>
        <row r="1122">
          <cell r="B1122" t="str">
            <v>A0340</v>
          </cell>
          <cell r="C1122" t="str">
            <v>Allocated Direct</v>
          </cell>
          <cell r="D1122" t="str">
            <v>001A</v>
          </cell>
        </row>
        <row r="1123">
          <cell r="B1123" t="str">
            <v>A0342</v>
          </cell>
          <cell r="C1123" t="str">
            <v>Allocated Direct</v>
          </cell>
          <cell r="D1123" t="str">
            <v>001A</v>
          </cell>
        </row>
        <row r="1124">
          <cell r="B1124" t="str">
            <v>A0343</v>
          </cell>
          <cell r="C1124" t="str">
            <v>Allocated Direct</v>
          </cell>
          <cell r="D1124" t="str">
            <v>002L</v>
          </cell>
        </row>
        <row r="1125">
          <cell r="B1125" t="str">
            <v>A0345</v>
          </cell>
          <cell r="C1125" t="str">
            <v>Allocated Direct</v>
          </cell>
          <cell r="D1125" t="str">
            <v>002L</v>
          </cell>
        </row>
        <row r="1126">
          <cell r="B1126" t="str">
            <v>A0346</v>
          </cell>
          <cell r="C1126" t="str">
            <v>Direct</v>
          </cell>
          <cell r="D1126" t="str">
            <v>UEC</v>
          </cell>
        </row>
        <row r="1127">
          <cell r="B1127" t="str">
            <v>A0348</v>
          </cell>
          <cell r="C1127" t="str">
            <v>Allocated Direct</v>
          </cell>
          <cell r="D1127" t="str">
            <v>004A</v>
          </cell>
        </row>
        <row r="1128">
          <cell r="B1128" t="str">
            <v>A0349</v>
          </cell>
          <cell r="C1128" t="str">
            <v>Allocated Direct</v>
          </cell>
          <cell r="D1128" t="str">
            <v>004A</v>
          </cell>
        </row>
        <row r="1129">
          <cell r="B1129" t="str">
            <v>A0350</v>
          </cell>
          <cell r="C1129" t="str">
            <v>Indirect Corporate</v>
          </cell>
          <cell r="D1129" t="str">
            <v>Indirect</v>
          </cell>
        </row>
        <row r="1130">
          <cell r="B1130" t="str">
            <v>A0351</v>
          </cell>
          <cell r="C1130" t="str">
            <v>Indirect Functional</v>
          </cell>
          <cell r="D1130" t="str">
            <v>Indirect</v>
          </cell>
        </row>
        <row r="1131">
          <cell r="B1131" t="str">
            <v>A0352</v>
          </cell>
          <cell r="C1131" t="str">
            <v>Direct</v>
          </cell>
          <cell r="D1131" t="str">
            <v>UEC</v>
          </cell>
        </row>
        <row r="1132">
          <cell r="B1132" t="str">
            <v>A0353</v>
          </cell>
          <cell r="C1132" t="str">
            <v>Allocated Direct</v>
          </cell>
          <cell r="D1132" t="str">
            <v>002A</v>
          </cell>
        </row>
        <row r="1133">
          <cell r="B1133" t="str">
            <v>A0354</v>
          </cell>
          <cell r="C1133" t="str">
            <v>Direct</v>
          </cell>
          <cell r="D1133" t="str">
            <v>CIP</v>
          </cell>
        </row>
        <row r="1134">
          <cell r="B1134" t="str">
            <v>A0355</v>
          </cell>
          <cell r="C1134" t="str">
            <v>Allocated Direct</v>
          </cell>
          <cell r="D1134" t="str">
            <v>002K</v>
          </cell>
        </row>
        <row r="1135">
          <cell r="B1135" t="str">
            <v>A0359</v>
          </cell>
          <cell r="C1135" t="str">
            <v>Allocated Direct</v>
          </cell>
          <cell r="D1135" t="str">
            <v>007A</v>
          </cell>
        </row>
        <row r="1136">
          <cell r="B1136" t="str">
            <v>A0361</v>
          </cell>
          <cell r="C1136" t="str">
            <v>Allocated Direct</v>
          </cell>
          <cell r="D1136" t="str">
            <v>002K</v>
          </cell>
        </row>
        <row r="1137">
          <cell r="B1137" t="str">
            <v>A0366</v>
          </cell>
          <cell r="C1137" t="str">
            <v>Allocated Direct</v>
          </cell>
          <cell r="D1137" t="str">
            <v>011A</v>
          </cell>
        </row>
        <row r="1138">
          <cell r="B1138" t="str">
            <v>A0367</v>
          </cell>
          <cell r="C1138" t="str">
            <v>Direct</v>
          </cell>
          <cell r="D1138" t="str">
            <v>UEC</v>
          </cell>
        </row>
        <row r="1139">
          <cell r="B1139" t="str">
            <v>A0368</v>
          </cell>
          <cell r="C1139" t="str">
            <v>Direct</v>
          </cell>
          <cell r="D1139" t="str">
            <v>GEN</v>
          </cell>
        </row>
        <row r="1140">
          <cell r="B1140" t="str">
            <v>A0370</v>
          </cell>
          <cell r="C1140" t="str">
            <v>Direct</v>
          </cell>
          <cell r="D1140" t="str">
            <v>CIP</v>
          </cell>
        </row>
        <row r="1141">
          <cell r="B1141" t="str">
            <v>A0371</v>
          </cell>
          <cell r="C1141" t="str">
            <v>Indirect Functional</v>
          </cell>
          <cell r="D1141" t="str">
            <v>Indirect</v>
          </cell>
        </row>
        <row r="1142">
          <cell r="B1142" t="str">
            <v>A0372</v>
          </cell>
          <cell r="C1142" t="str">
            <v>Allocated Direct</v>
          </cell>
          <cell r="D1142" t="str">
            <v>010A</v>
          </cell>
        </row>
        <row r="1143">
          <cell r="B1143" t="str">
            <v>A0373</v>
          </cell>
          <cell r="C1143" t="str">
            <v>Direct</v>
          </cell>
          <cell r="D1143" t="str">
            <v>CIP</v>
          </cell>
        </row>
        <row r="1144">
          <cell r="B1144" t="str">
            <v>A0374</v>
          </cell>
          <cell r="C1144" t="str">
            <v>Direct</v>
          </cell>
          <cell r="D1144" t="str">
            <v>UEC</v>
          </cell>
        </row>
        <row r="1145">
          <cell r="B1145" t="str">
            <v>A0378</v>
          </cell>
          <cell r="C1145" t="str">
            <v>Allocated Direct</v>
          </cell>
          <cell r="D1145" t="str">
            <v>002K</v>
          </cell>
        </row>
        <row r="1146">
          <cell r="B1146" t="str">
            <v>A0379</v>
          </cell>
          <cell r="C1146" t="str">
            <v>Indirect Functional</v>
          </cell>
          <cell r="D1146" t="str">
            <v>Indirect</v>
          </cell>
        </row>
        <row r="1147">
          <cell r="B1147" t="str">
            <v>A0382</v>
          </cell>
          <cell r="C1147" t="str">
            <v>Allocated Direct</v>
          </cell>
          <cell r="D1147" t="str">
            <v>004A</v>
          </cell>
        </row>
        <row r="1148">
          <cell r="B1148" t="str">
            <v>A0383</v>
          </cell>
          <cell r="C1148" t="str">
            <v>Allocated Direct</v>
          </cell>
          <cell r="D1148" t="str">
            <v>004A</v>
          </cell>
        </row>
        <row r="1149">
          <cell r="B1149" t="str">
            <v>A0384</v>
          </cell>
          <cell r="C1149" t="str">
            <v>Direct</v>
          </cell>
          <cell r="D1149" t="str">
            <v>CIP</v>
          </cell>
        </row>
        <row r="1150">
          <cell r="B1150" t="str">
            <v>A0386</v>
          </cell>
          <cell r="C1150" t="str">
            <v>Direct</v>
          </cell>
          <cell r="D1150" t="str">
            <v>UEC</v>
          </cell>
        </row>
        <row r="1151">
          <cell r="B1151" t="str">
            <v>A0387</v>
          </cell>
          <cell r="C1151" t="str">
            <v>Direct</v>
          </cell>
          <cell r="D1151" t="str">
            <v>UEC</v>
          </cell>
        </row>
        <row r="1152">
          <cell r="B1152" t="str">
            <v>A0389</v>
          </cell>
          <cell r="C1152" t="str">
            <v>Direct</v>
          </cell>
          <cell r="D1152" t="str">
            <v>ADC</v>
          </cell>
        </row>
        <row r="1153">
          <cell r="B1153" t="str">
            <v>A0390</v>
          </cell>
          <cell r="C1153" t="str">
            <v>Direct</v>
          </cell>
          <cell r="D1153" t="str">
            <v>ADC</v>
          </cell>
        </row>
        <row r="1154">
          <cell r="B1154" t="str">
            <v>A0391</v>
          </cell>
          <cell r="C1154" t="str">
            <v>Allocated Direct</v>
          </cell>
          <cell r="D1154" t="str">
            <v>001A</v>
          </cell>
        </row>
        <row r="1155">
          <cell r="B1155" t="str">
            <v>A0392</v>
          </cell>
          <cell r="C1155" t="str">
            <v>Allocated Direct</v>
          </cell>
          <cell r="D1155" t="str">
            <v>003A</v>
          </cell>
        </row>
        <row r="1156">
          <cell r="B1156" t="str">
            <v>A0393</v>
          </cell>
          <cell r="C1156" t="str">
            <v>Allocated Direct</v>
          </cell>
          <cell r="D1156" t="str">
            <v>001A</v>
          </cell>
        </row>
        <row r="1157">
          <cell r="B1157" t="str">
            <v>A0394</v>
          </cell>
          <cell r="C1157" t="str">
            <v>Direct</v>
          </cell>
          <cell r="D1157" t="str">
            <v>AMC</v>
          </cell>
        </row>
        <row r="1158">
          <cell r="B1158" t="str">
            <v>A0397</v>
          </cell>
          <cell r="C1158" t="str">
            <v>Direct</v>
          </cell>
          <cell r="D1158" t="str">
            <v>UEC</v>
          </cell>
        </row>
        <row r="1159">
          <cell r="B1159" t="str">
            <v>A0398</v>
          </cell>
          <cell r="C1159" t="str">
            <v>Direct</v>
          </cell>
          <cell r="D1159" t="str">
            <v>CIP</v>
          </cell>
        </row>
        <row r="1160">
          <cell r="B1160" t="str">
            <v>A0399</v>
          </cell>
          <cell r="C1160" t="str">
            <v>Indirect Corporate</v>
          </cell>
          <cell r="D1160" t="str">
            <v>Indirect</v>
          </cell>
        </row>
        <row r="1161">
          <cell r="B1161" t="str">
            <v>A0400</v>
          </cell>
          <cell r="C1161" t="str">
            <v>Direct</v>
          </cell>
          <cell r="D1161" t="str">
            <v>UEC</v>
          </cell>
        </row>
        <row r="1162">
          <cell r="B1162" t="str">
            <v>A0401</v>
          </cell>
          <cell r="C1162" t="str">
            <v>Indirect Functional</v>
          </cell>
          <cell r="D1162" t="str">
            <v>Indirect</v>
          </cell>
        </row>
        <row r="1163">
          <cell r="B1163" t="str">
            <v>A0402</v>
          </cell>
          <cell r="C1163" t="str">
            <v>Allocated Direct</v>
          </cell>
          <cell r="D1163" t="str">
            <v>002L</v>
          </cell>
        </row>
        <row r="1164">
          <cell r="B1164" t="str">
            <v>A0403</v>
          </cell>
          <cell r="C1164" t="str">
            <v>Allocated Direct</v>
          </cell>
          <cell r="D1164" t="str">
            <v>004A</v>
          </cell>
        </row>
        <row r="1165">
          <cell r="B1165" t="str">
            <v>A0406</v>
          </cell>
          <cell r="C1165" t="str">
            <v>Indirect Functional</v>
          </cell>
          <cell r="D1165" t="str">
            <v>Indirect</v>
          </cell>
        </row>
        <row r="1166">
          <cell r="B1166" t="str">
            <v>A0407</v>
          </cell>
          <cell r="C1166" t="str">
            <v>Direct</v>
          </cell>
          <cell r="D1166" t="str">
            <v>CIP</v>
          </cell>
        </row>
        <row r="1167">
          <cell r="B1167" t="str">
            <v>A0416</v>
          </cell>
          <cell r="C1167" t="str">
            <v>Allocated Direct</v>
          </cell>
          <cell r="D1167" t="str">
            <v>004A</v>
          </cell>
        </row>
        <row r="1168">
          <cell r="B1168" t="str">
            <v>A0417</v>
          </cell>
          <cell r="C1168" t="str">
            <v>Direct</v>
          </cell>
          <cell r="D1168" t="str">
            <v>AFS</v>
          </cell>
        </row>
        <row r="1169">
          <cell r="B1169" t="str">
            <v>A0419</v>
          </cell>
          <cell r="C1169" t="str">
            <v>Indirect Functional</v>
          </cell>
          <cell r="D1169" t="str">
            <v>Indirect</v>
          </cell>
        </row>
        <row r="1170">
          <cell r="B1170" t="str">
            <v>A0421</v>
          </cell>
          <cell r="C1170" t="str">
            <v>Direct</v>
          </cell>
          <cell r="D1170" t="str">
            <v>UEC</v>
          </cell>
        </row>
        <row r="1171">
          <cell r="B1171" t="str">
            <v>A0423</v>
          </cell>
          <cell r="C1171" t="str">
            <v>Direct</v>
          </cell>
          <cell r="D1171" t="str">
            <v>CIP</v>
          </cell>
        </row>
        <row r="1172">
          <cell r="B1172" t="str">
            <v>A0424</v>
          </cell>
          <cell r="C1172" t="str">
            <v>Direct</v>
          </cell>
          <cell r="D1172" t="str">
            <v>CIP</v>
          </cell>
        </row>
        <row r="1173">
          <cell r="B1173" t="str">
            <v>A0425</v>
          </cell>
          <cell r="C1173" t="str">
            <v>Indirect Functional</v>
          </cell>
          <cell r="D1173" t="str">
            <v>Indirect</v>
          </cell>
        </row>
        <row r="1174">
          <cell r="B1174" t="str">
            <v>A0427</v>
          </cell>
          <cell r="C1174" t="str">
            <v>Direct</v>
          </cell>
          <cell r="D1174" t="str">
            <v>UEC</v>
          </cell>
        </row>
        <row r="1175">
          <cell r="B1175" t="str">
            <v>A0428</v>
          </cell>
          <cell r="C1175" t="str">
            <v>Allocated Direct</v>
          </cell>
          <cell r="D1175" t="str">
            <v>004A</v>
          </cell>
        </row>
        <row r="1176">
          <cell r="B1176" t="str">
            <v>A0429</v>
          </cell>
          <cell r="C1176" t="str">
            <v>Direct</v>
          </cell>
          <cell r="D1176" t="str">
            <v>UEC</v>
          </cell>
        </row>
        <row r="1177">
          <cell r="B1177" t="str">
            <v>A0430</v>
          </cell>
          <cell r="C1177" t="str">
            <v>Allocated Direct</v>
          </cell>
          <cell r="D1177" t="str">
            <v>012B</v>
          </cell>
        </row>
        <row r="1178">
          <cell r="B1178" t="str">
            <v>A0431</v>
          </cell>
          <cell r="C1178" t="str">
            <v>Direct</v>
          </cell>
          <cell r="D1178" t="str">
            <v>UEC</v>
          </cell>
        </row>
        <row r="1179">
          <cell r="B1179" t="str">
            <v>A0432</v>
          </cell>
          <cell r="C1179" t="str">
            <v>Direct</v>
          </cell>
          <cell r="D1179" t="str">
            <v>GEN</v>
          </cell>
        </row>
        <row r="1180">
          <cell r="B1180" t="str">
            <v>A0433</v>
          </cell>
          <cell r="C1180" t="str">
            <v>Allocated Direct</v>
          </cell>
          <cell r="D1180" t="str">
            <v>012D</v>
          </cell>
        </row>
        <row r="1181">
          <cell r="B1181" t="str">
            <v>A0436</v>
          </cell>
          <cell r="C1181" t="str">
            <v>Allocated Direct</v>
          </cell>
          <cell r="D1181" t="str">
            <v>012D</v>
          </cell>
        </row>
        <row r="1182">
          <cell r="B1182" t="str">
            <v>A0439</v>
          </cell>
          <cell r="C1182" t="str">
            <v>Allocated Direct</v>
          </cell>
          <cell r="D1182" t="str">
            <v>010A</v>
          </cell>
        </row>
        <row r="1183">
          <cell r="B1183" t="str">
            <v>A0442</v>
          </cell>
          <cell r="C1183" t="str">
            <v>Allocated Direct</v>
          </cell>
          <cell r="D1183" t="str">
            <v>010A</v>
          </cell>
        </row>
        <row r="1184">
          <cell r="B1184" t="str">
            <v>A0448</v>
          </cell>
          <cell r="C1184" t="str">
            <v>Indirect Functional</v>
          </cell>
          <cell r="D1184" t="str">
            <v>Indirect</v>
          </cell>
        </row>
        <row r="1185">
          <cell r="B1185" t="str">
            <v>A0449</v>
          </cell>
          <cell r="C1185" t="str">
            <v>Direct</v>
          </cell>
          <cell r="D1185" t="str">
            <v>CIP</v>
          </cell>
        </row>
        <row r="1186">
          <cell r="B1186" t="str">
            <v>A0452</v>
          </cell>
          <cell r="C1186" t="str">
            <v>Direct</v>
          </cell>
          <cell r="D1186" t="str">
            <v>AFS</v>
          </cell>
        </row>
        <row r="1187">
          <cell r="B1187" t="str">
            <v>A0456</v>
          </cell>
          <cell r="C1187" t="str">
            <v>Allocated Direct</v>
          </cell>
          <cell r="D1187" t="str">
            <v>007A</v>
          </cell>
        </row>
        <row r="1188">
          <cell r="B1188" t="str">
            <v>A0459</v>
          </cell>
          <cell r="C1188" t="str">
            <v>Direct</v>
          </cell>
          <cell r="D1188" t="str">
            <v>UEC</v>
          </cell>
        </row>
        <row r="1189">
          <cell r="B1189" t="str">
            <v>A0463</v>
          </cell>
          <cell r="C1189" t="str">
            <v>Direct</v>
          </cell>
          <cell r="D1189" t="str">
            <v>UEC</v>
          </cell>
        </row>
        <row r="1190">
          <cell r="B1190" t="str">
            <v>A0467</v>
          </cell>
          <cell r="C1190" t="str">
            <v>Allocated Direct</v>
          </cell>
          <cell r="D1190" t="str">
            <v>007A</v>
          </cell>
        </row>
        <row r="1191">
          <cell r="B1191" t="str">
            <v>A0468</v>
          </cell>
          <cell r="C1191" t="str">
            <v>Indirect Functional</v>
          </cell>
          <cell r="D1191" t="str">
            <v>Indirect</v>
          </cell>
        </row>
        <row r="1192">
          <cell r="B1192" t="str">
            <v>A0471</v>
          </cell>
          <cell r="C1192" t="str">
            <v>Indirect Functional</v>
          </cell>
          <cell r="D1192" t="str">
            <v>Indirect</v>
          </cell>
        </row>
        <row r="1193">
          <cell r="B1193" t="str">
            <v>A0481</v>
          </cell>
          <cell r="C1193" t="str">
            <v>Direct</v>
          </cell>
          <cell r="D1193" t="str">
            <v>UEC</v>
          </cell>
        </row>
        <row r="1194">
          <cell r="B1194" t="str">
            <v>A0482</v>
          </cell>
          <cell r="C1194" t="str">
            <v>Allocated Direct</v>
          </cell>
          <cell r="D1194" t="str">
            <v>007A</v>
          </cell>
        </row>
        <row r="1195">
          <cell r="B1195" t="str">
            <v>A0483</v>
          </cell>
          <cell r="C1195" t="str">
            <v>Allocated Direct</v>
          </cell>
          <cell r="D1195" t="str">
            <v>004A</v>
          </cell>
        </row>
        <row r="1196">
          <cell r="B1196" t="str">
            <v>A0496</v>
          </cell>
          <cell r="C1196" t="str">
            <v>Indirect Functional</v>
          </cell>
          <cell r="D1196" t="str">
            <v>Indirect</v>
          </cell>
        </row>
        <row r="1197">
          <cell r="B1197" t="str">
            <v>A0499</v>
          </cell>
          <cell r="C1197" t="str">
            <v>Direct</v>
          </cell>
          <cell r="D1197" t="str">
            <v>UEC</v>
          </cell>
        </row>
        <row r="1198">
          <cell r="B1198" t="str">
            <v>A0502</v>
          </cell>
          <cell r="C1198" t="str">
            <v>Direct</v>
          </cell>
          <cell r="D1198" t="str">
            <v>CIP</v>
          </cell>
        </row>
        <row r="1199">
          <cell r="B1199" t="str">
            <v>A0503</v>
          </cell>
          <cell r="C1199" t="str">
            <v>Direct</v>
          </cell>
          <cell r="D1199" t="str">
            <v>UEC</v>
          </cell>
        </row>
        <row r="1200">
          <cell r="B1200" t="str">
            <v>A0504</v>
          </cell>
          <cell r="C1200" t="str">
            <v>Allocated Direct</v>
          </cell>
          <cell r="D1200" t="str">
            <v>002K</v>
          </cell>
        </row>
        <row r="1201">
          <cell r="B1201" t="str">
            <v>A0505</v>
          </cell>
          <cell r="C1201" t="str">
            <v>Direct</v>
          </cell>
          <cell r="D1201" t="str">
            <v>GEN</v>
          </cell>
        </row>
        <row r="1202">
          <cell r="B1202" t="str">
            <v>A0506</v>
          </cell>
          <cell r="C1202" t="str">
            <v>Direct</v>
          </cell>
          <cell r="D1202" t="str">
            <v>UEC</v>
          </cell>
        </row>
        <row r="1203">
          <cell r="B1203" t="str">
            <v>A0507</v>
          </cell>
          <cell r="C1203" t="str">
            <v>Direct</v>
          </cell>
          <cell r="D1203" t="str">
            <v>CIP</v>
          </cell>
        </row>
        <row r="1204">
          <cell r="B1204" t="str">
            <v>A0508</v>
          </cell>
          <cell r="C1204" t="str">
            <v>Direct</v>
          </cell>
          <cell r="D1204" t="str">
            <v>UEC</v>
          </cell>
        </row>
        <row r="1205">
          <cell r="B1205" t="str">
            <v>A0509</v>
          </cell>
          <cell r="C1205" t="str">
            <v>Allocated Direct</v>
          </cell>
          <cell r="D1205" t="str">
            <v>002L</v>
          </cell>
        </row>
        <row r="1206">
          <cell r="B1206" t="str">
            <v>A0511</v>
          </cell>
          <cell r="C1206" t="str">
            <v>Direct</v>
          </cell>
          <cell r="D1206" t="str">
            <v>CIP</v>
          </cell>
        </row>
        <row r="1207">
          <cell r="B1207" t="str">
            <v>A0513</v>
          </cell>
          <cell r="C1207" t="str">
            <v>Direct</v>
          </cell>
          <cell r="D1207" t="str">
            <v>ADC</v>
          </cell>
        </row>
        <row r="1208">
          <cell r="B1208" t="str">
            <v>A0515</v>
          </cell>
          <cell r="C1208" t="str">
            <v>Allocated Direct</v>
          </cell>
          <cell r="D1208" t="str">
            <v>010A</v>
          </cell>
        </row>
        <row r="1209">
          <cell r="B1209" t="str">
            <v>A0517</v>
          </cell>
          <cell r="C1209" t="str">
            <v>Direct</v>
          </cell>
          <cell r="D1209" t="str">
            <v>UEC</v>
          </cell>
        </row>
        <row r="1210">
          <cell r="B1210" t="str">
            <v>A0519</v>
          </cell>
          <cell r="C1210" t="str">
            <v>Allocated Direct</v>
          </cell>
          <cell r="D1210" t="str">
            <v>010A</v>
          </cell>
        </row>
        <row r="1211">
          <cell r="B1211" t="str">
            <v>A0520</v>
          </cell>
          <cell r="C1211" t="str">
            <v>Allocated Direct</v>
          </cell>
          <cell r="D1211" t="str">
            <v>010A</v>
          </cell>
        </row>
        <row r="1212">
          <cell r="B1212" t="str">
            <v>A0521</v>
          </cell>
          <cell r="C1212" t="str">
            <v>Direct</v>
          </cell>
          <cell r="D1212" t="str">
            <v>UEC</v>
          </cell>
        </row>
        <row r="1213">
          <cell r="B1213" t="str">
            <v>A0523</v>
          </cell>
          <cell r="C1213" t="str">
            <v>Allocated Direct</v>
          </cell>
          <cell r="D1213" t="str">
            <v>010A</v>
          </cell>
        </row>
        <row r="1214">
          <cell r="B1214" t="str">
            <v>A0524</v>
          </cell>
          <cell r="C1214" t="str">
            <v>Direct</v>
          </cell>
          <cell r="D1214" t="str">
            <v>UEC</v>
          </cell>
        </row>
        <row r="1215">
          <cell r="B1215" t="str">
            <v>A0525</v>
          </cell>
          <cell r="C1215" t="str">
            <v>Direct</v>
          </cell>
          <cell r="D1215" t="str">
            <v>CIP</v>
          </cell>
        </row>
        <row r="1216">
          <cell r="B1216" t="str">
            <v>A0526</v>
          </cell>
          <cell r="C1216" t="str">
            <v>Allocated Direct</v>
          </cell>
          <cell r="D1216" t="str">
            <v>010A</v>
          </cell>
        </row>
        <row r="1217">
          <cell r="B1217" t="str">
            <v>A0527</v>
          </cell>
          <cell r="C1217" t="str">
            <v>Allocated Direct</v>
          </cell>
          <cell r="D1217" t="str">
            <v>010A</v>
          </cell>
        </row>
        <row r="1218">
          <cell r="B1218" t="str">
            <v>A0528</v>
          </cell>
          <cell r="C1218" t="str">
            <v>Allocated Direct</v>
          </cell>
          <cell r="D1218" t="str">
            <v>010A</v>
          </cell>
        </row>
        <row r="1219">
          <cell r="B1219" t="str">
            <v>A0530</v>
          </cell>
          <cell r="C1219" t="str">
            <v>Allocated Direct</v>
          </cell>
          <cell r="D1219" t="str">
            <v>010A</v>
          </cell>
        </row>
        <row r="1220">
          <cell r="B1220" t="str">
            <v>A0531</v>
          </cell>
          <cell r="C1220" t="str">
            <v>Allocated Direct</v>
          </cell>
          <cell r="D1220" t="str">
            <v>004A</v>
          </cell>
        </row>
        <row r="1221">
          <cell r="B1221" t="str">
            <v>A0532</v>
          </cell>
          <cell r="C1221" t="str">
            <v>Direct</v>
          </cell>
          <cell r="D1221" t="str">
            <v>UEC</v>
          </cell>
        </row>
        <row r="1222">
          <cell r="B1222" t="str">
            <v>A0533</v>
          </cell>
          <cell r="C1222" t="str">
            <v>Direct</v>
          </cell>
          <cell r="D1222" t="str">
            <v>CIP</v>
          </cell>
        </row>
        <row r="1223">
          <cell r="B1223" t="str">
            <v>A0535</v>
          </cell>
          <cell r="C1223" t="str">
            <v>Direct</v>
          </cell>
          <cell r="D1223" t="str">
            <v>AMC</v>
          </cell>
        </row>
        <row r="1224">
          <cell r="B1224" t="str">
            <v>A0536</v>
          </cell>
          <cell r="C1224" t="str">
            <v>Indirect Corporate</v>
          </cell>
          <cell r="D1224" t="str">
            <v>Indirect</v>
          </cell>
        </row>
        <row r="1225">
          <cell r="B1225" t="str">
            <v>A0543</v>
          </cell>
          <cell r="C1225" t="str">
            <v>Allocated Direct</v>
          </cell>
          <cell r="D1225" t="str">
            <v>018D</v>
          </cell>
        </row>
        <row r="1226">
          <cell r="B1226" t="str">
            <v>A0544</v>
          </cell>
          <cell r="C1226" t="str">
            <v>Direct</v>
          </cell>
          <cell r="D1226" t="str">
            <v>CIP</v>
          </cell>
        </row>
        <row r="1227">
          <cell r="B1227" t="str">
            <v>A0545</v>
          </cell>
          <cell r="C1227" t="str">
            <v>Direct</v>
          </cell>
          <cell r="D1227" t="str">
            <v>UEC</v>
          </cell>
        </row>
        <row r="1228">
          <cell r="B1228" t="str">
            <v>A0547</v>
          </cell>
          <cell r="C1228" t="str">
            <v>Allocated Direct</v>
          </cell>
          <cell r="D1228" t="str">
            <v>003A</v>
          </cell>
        </row>
        <row r="1229">
          <cell r="B1229" t="str">
            <v>A0548</v>
          </cell>
          <cell r="C1229" t="str">
            <v>Indirect Functional</v>
          </cell>
          <cell r="D1229" t="str">
            <v>Indirect</v>
          </cell>
        </row>
        <row r="1230">
          <cell r="B1230" t="str">
            <v>A0551</v>
          </cell>
          <cell r="C1230" t="str">
            <v>Direct</v>
          </cell>
          <cell r="D1230" t="str">
            <v>UEC</v>
          </cell>
        </row>
        <row r="1231">
          <cell r="B1231" t="str">
            <v>A0552</v>
          </cell>
          <cell r="C1231" t="str">
            <v>Direct</v>
          </cell>
          <cell r="D1231" t="str">
            <v>CIP</v>
          </cell>
        </row>
        <row r="1232">
          <cell r="B1232" t="str">
            <v>A0556</v>
          </cell>
          <cell r="C1232" t="str">
            <v>Direct</v>
          </cell>
          <cell r="D1232" t="str">
            <v>UEC</v>
          </cell>
        </row>
        <row r="1233">
          <cell r="B1233" t="str">
            <v>A0558</v>
          </cell>
          <cell r="C1233" t="str">
            <v>Allocated Direct</v>
          </cell>
          <cell r="D1233" t="str">
            <v>004A</v>
          </cell>
        </row>
        <row r="1234">
          <cell r="B1234" t="str">
            <v>A0559</v>
          </cell>
          <cell r="C1234" t="str">
            <v>Indirect Functional</v>
          </cell>
          <cell r="D1234" t="str">
            <v>Indirect</v>
          </cell>
        </row>
        <row r="1235">
          <cell r="B1235" t="str">
            <v>A0560</v>
          </cell>
          <cell r="C1235" t="str">
            <v>Direct</v>
          </cell>
          <cell r="D1235" t="str">
            <v>ADC</v>
          </cell>
        </row>
        <row r="1236">
          <cell r="B1236" t="str">
            <v>A0561</v>
          </cell>
          <cell r="C1236" t="str">
            <v>Direct</v>
          </cell>
          <cell r="D1236" t="str">
            <v>AMC</v>
          </cell>
        </row>
        <row r="1237">
          <cell r="B1237" t="str">
            <v>A0567</v>
          </cell>
          <cell r="C1237" t="str">
            <v>Indirect Corporate</v>
          </cell>
          <cell r="D1237" t="str">
            <v>Indirect</v>
          </cell>
        </row>
        <row r="1238">
          <cell r="B1238" t="str">
            <v>A0570</v>
          </cell>
          <cell r="C1238" t="str">
            <v>Direct</v>
          </cell>
          <cell r="D1238" t="str">
            <v>UEC</v>
          </cell>
        </row>
        <row r="1239">
          <cell r="B1239" t="str">
            <v>A0571</v>
          </cell>
          <cell r="C1239" t="str">
            <v>Direct</v>
          </cell>
          <cell r="D1239" t="str">
            <v>CIP</v>
          </cell>
        </row>
        <row r="1240">
          <cell r="B1240" t="str">
            <v>A0573</v>
          </cell>
          <cell r="C1240" t="str">
            <v>Direct</v>
          </cell>
          <cell r="D1240" t="str">
            <v>UEC</v>
          </cell>
        </row>
        <row r="1241">
          <cell r="B1241" t="str">
            <v>A0574</v>
          </cell>
          <cell r="C1241" t="str">
            <v>Direct</v>
          </cell>
          <cell r="D1241" t="str">
            <v>CIP</v>
          </cell>
        </row>
        <row r="1242">
          <cell r="B1242" t="str">
            <v>A0580</v>
          </cell>
          <cell r="C1242" t="str">
            <v>Direct</v>
          </cell>
          <cell r="D1242" t="str">
            <v>CIP</v>
          </cell>
        </row>
        <row r="1243">
          <cell r="B1243" t="str">
            <v>A0593</v>
          </cell>
          <cell r="C1243" t="str">
            <v>Allocated Direct</v>
          </cell>
          <cell r="D1243" t="str">
            <v>018D</v>
          </cell>
        </row>
        <row r="1244">
          <cell r="B1244" t="str">
            <v>A0594</v>
          </cell>
          <cell r="C1244" t="str">
            <v>Allocated Direct</v>
          </cell>
          <cell r="D1244" t="str">
            <v>018D</v>
          </cell>
        </row>
        <row r="1245">
          <cell r="B1245" t="str">
            <v>A0596</v>
          </cell>
          <cell r="C1245" t="str">
            <v>Indirect Functional</v>
          </cell>
          <cell r="D1245" t="str">
            <v>Indirect</v>
          </cell>
        </row>
        <row r="1246">
          <cell r="B1246" t="str">
            <v>A0600</v>
          </cell>
          <cell r="C1246" t="str">
            <v>Indirect Functional</v>
          </cell>
          <cell r="D1246" t="str">
            <v>Indirect</v>
          </cell>
        </row>
        <row r="1247">
          <cell r="B1247" t="str">
            <v>A0613</v>
          </cell>
          <cell r="C1247" t="str">
            <v>Direct</v>
          </cell>
          <cell r="D1247" t="str">
            <v>UEC</v>
          </cell>
        </row>
        <row r="1248">
          <cell r="B1248" t="str">
            <v>A0622</v>
          </cell>
          <cell r="C1248" t="str">
            <v>Indirect Functional</v>
          </cell>
          <cell r="D1248" t="str">
            <v>Indirect</v>
          </cell>
        </row>
        <row r="1249">
          <cell r="B1249" t="str">
            <v>A0623</v>
          </cell>
          <cell r="C1249" t="str">
            <v>Indirect Functional</v>
          </cell>
          <cell r="D1249" t="str">
            <v>Indirect</v>
          </cell>
        </row>
        <row r="1250">
          <cell r="B1250" t="str">
            <v>A0624</v>
          </cell>
          <cell r="C1250" t="str">
            <v>Indirect Functional</v>
          </cell>
          <cell r="D1250" t="str">
            <v>Indirect</v>
          </cell>
        </row>
        <row r="1251">
          <cell r="B1251" t="str">
            <v>A0625</v>
          </cell>
          <cell r="C1251" t="str">
            <v>Allocated Direct</v>
          </cell>
          <cell r="D1251" t="str">
            <v>016A</v>
          </cell>
        </row>
        <row r="1252">
          <cell r="B1252" t="str">
            <v>A0629</v>
          </cell>
          <cell r="C1252" t="str">
            <v>Indirect Functional</v>
          </cell>
          <cell r="D1252" t="str">
            <v>Indirect</v>
          </cell>
        </row>
        <row r="1253">
          <cell r="B1253" t="str">
            <v>A0631</v>
          </cell>
          <cell r="C1253" t="str">
            <v>Indirect Functional</v>
          </cell>
          <cell r="D1253" t="str">
            <v>Indirect</v>
          </cell>
        </row>
        <row r="1254">
          <cell r="B1254" t="str">
            <v>A0647</v>
          </cell>
          <cell r="C1254" t="str">
            <v>Direct</v>
          </cell>
          <cell r="D1254" t="str">
            <v>CIP</v>
          </cell>
        </row>
        <row r="1255">
          <cell r="B1255" t="str">
            <v>A0648</v>
          </cell>
          <cell r="C1255" t="str">
            <v>Direct</v>
          </cell>
          <cell r="D1255" t="str">
            <v>UEC</v>
          </cell>
        </row>
        <row r="1256">
          <cell r="B1256" t="str">
            <v>A0654</v>
          </cell>
          <cell r="C1256" t="str">
            <v>Direct</v>
          </cell>
          <cell r="D1256" t="str">
            <v>UEC</v>
          </cell>
        </row>
        <row r="1257">
          <cell r="B1257" t="str">
            <v>A0657</v>
          </cell>
          <cell r="C1257" t="str">
            <v>Direct</v>
          </cell>
          <cell r="D1257" t="str">
            <v>CIP</v>
          </cell>
        </row>
        <row r="1258">
          <cell r="B1258" t="str">
            <v>A0669</v>
          </cell>
          <cell r="C1258" t="str">
            <v>Direct</v>
          </cell>
          <cell r="D1258" t="str">
            <v>UEC</v>
          </cell>
        </row>
        <row r="1259">
          <cell r="B1259" t="str">
            <v>A0671</v>
          </cell>
          <cell r="C1259" t="str">
            <v>Direct</v>
          </cell>
          <cell r="D1259" t="str">
            <v>CIP</v>
          </cell>
        </row>
        <row r="1260">
          <cell r="B1260" t="str">
            <v>A0676</v>
          </cell>
          <cell r="C1260" t="str">
            <v>Direct</v>
          </cell>
          <cell r="D1260" t="str">
            <v>UEC</v>
          </cell>
        </row>
        <row r="1261">
          <cell r="B1261" t="str">
            <v>A0677</v>
          </cell>
          <cell r="C1261" t="str">
            <v>Direct</v>
          </cell>
          <cell r="D1261" t="str">
            <v>CIP</v>
          </cell>
        </row>
        <row r="1262">
          <cell r="B1262" t="str">
            <v>A0678</v>
          </cell>
          <cell r="C1262" t="str">
            <v>Allocated Direct</v>
          </cell>
          <cell r="D1262" t="str">
            <v>002L</v>
          </cell>
        </row>
        <row r="1263">
          <cell r="B1263" t="str">
            <v>A0696</v>
          </cell>
          <cell r="C1263" t="str">
            <v>Direct</v>
          </cell>
          <cell r="D1263" t="str">
            <v>UEC</v>
          </cell>
        </row>
        <row r="1264">
          <cell r="B1264" t="str">
            <v>A0697</v>
          </cell>
          <cell r="C1264" t="str">
            <v>Direct</v>
          </cell>
          <cell r="D1264" t="str">
            <v>CIP</v>
          </cell>
        </row>
        <row r="1265">
          <cell r="B1265" t="str">
            <v>A0698</v>
          </cell>
          <cell r="C1265" t="str">
            <v>Allocated Direct</v>
          </cell>
          <cell r="D1265" t="str">
            <v>002I</v>
          </cell>
        </row>
        <row r="1266">
          <cell r="B1266" t="str">
            <v>A0699</v>
          </cell>
          <cell r="C1266" t="str">
            <v>Allocated Direct</v>
          </cell>
          <cell r="D1266" t="str">
            <v>017C</v>
          </cell>
        </row>
        <row r="1267">
          <cell r="B1267" t="str">
            <v>A0700</v>
          </cell>
          <cell r="C1267" t="str">
            <v>Direct</v>
          </cell>
          <cell r="D1267" t="str">
            <v>ADC</v>
          </cell>
        </row>
        <row r="1268">
          <cell r="B1268" t="str">
            <v>A0701</v>
          </cell>
          <cell r="C1268" t="str">
            <v>Direct</v>
          </cell>
          <cell r="D1268" t="str">
            <v>UEC</v>
          </cell>
        </row>
        <row r="1269">
          <cell r="B1269" t="str">
            <v>A0702</v>
          </cell>
          <cell r="C1269" t="str">
            <v>Direct</v>
          </cell>
          <cell r="D1269" t="str">
            <v>CIP</v>
          </cell>
        </row>
        <row r="1270">
          <cell r="B1270" t="str">
            <v>A0703</v>
          </cell>
          <cell r="C1270" t="str">
            <v>Direct</v>
          </cell>
          <cell r="D1270" t="str">
            <v>UDC</v>
          </cell>
        </row>
        <row r="1271">
          <cell r="B1271" t="str">
            <v>A0705</v>
          </cell>
          <cell r="C1271" t="str">
            <v>Allocated Direct</v>
          </cell>
          <cell r="D1271" t="str">
            <v>007A</v>
          </cell>
        </row>
        <row r="1272">
          <cell r="B1272" t="str">
            <v>A0706</v>
          </cell>
          <cell r="C1272" t="str">
            <v>Direct</v>
          </cell>
          <cell r="D1272" t="str">
            <v>UEC</v>
          </cell>
        </row>
        <row r="1273">
          <cell r="B1273" t="str">
            <v>A0710</v>
          </cell>
          <cell r="C1273" t="str">
            <v>Allocated Direct</v>
          </cell>
          <cell r="D1273" t="str">
            <v>004A</v>
          </cell>
        </row>
        <row r="1274">
          <cell r="B1274" t="str">
            <v>A0715</v>
          </cell>
          <cell r="C1274" t="str">
            <v>Direct</v>
          </cell>
          <cell r="D1274" t="str">
            <v>UEC</v>
          </cell>
        </row>
        <row r="1275">
          <cell r="B1275" t="str">
            <v>A0722</v>
          </cell>
          <cell r="C1275" t="str">
            <v>Allocated Direct</v>
          </cell>
          <cell r="D1275" t="str">
            <v>002P</v>
          </cell>
        </row>
        <row r="1276">
          <cell r="B1276" t="str">
            <v>A0726</v>
          </cell>
          <cell r="C1276" t="str">
            <v>Allocated Direct</v>
          </cell>
          <cell r="D1276" t="str">
            <v>011B</v>
          </cell>
        </row>
        <row r="1277">
          <cell r="B1277" t="str">
            <v>A0730</v>
          </cell>
          <cell r="C1277" t="str">
            <v>Direct</v>
          </cell>
          <cell r="D1277" t="str">
            <v>UEC</v>
          </cell>
        </row>
        <row r="1278">
          <cell r="B1278" t="str">
            <v>A0733</v>
          </cell>
          <cell r="C1278" t="str">
            <v>Indirect Functional</v>
          </cell>
          <cell r="D1278" t="str">
            <v>Indirect</v>
          </cell>
        </row>
        <row r="1279">
          <cell r="B1279" t="str">
            <v>A0740</v>
          </cell>
          <cell r="C1279" t="str">
            <v>Direct</v>
          </cell>
          <cell r="D1279" t="str">
            <v>AMC</v>
          </cell>
        </row>
        <row r="1280">
          <cell r="B1280" t="str">
            <v>A0741</v>
          </cell>
          <cell r="C1280" t="str">
            <v>Direct</v>
          </cell>
          <cell r="D1280" t="str">
            <v>UEC</v>
          </cell>
        </row>
        <row r="1281">
          <cell r="B1281" t="str">
            <v>A0742</v>
          </cell>
          <cell r="C1281" t="str">
            <v>Indirect Functional</v>
          </cell>
          <cell r="D1281" t="str">
            <v>Indirect</v>
          </cell>
        </row>
        <row r="1282">
          <cell r="B1282" t="str">
            <v>A0744</v>
          </cell>
          <cell r="C1282" t="str">
            <v>Allocated Direct</v>
          </cell>
          <cell r="D1282" t="str">
            <v>004A</v>
          </cell>
        </row>
        <row r="1283">
          <cell r="B1283" t="str">
            <v>A0745</v>
          </cell>
          <cell r="C1283" t="str">
            <v>Direct</v>
          </cell>
          <cell r="D1283" t="str">
            <v>GEN</v>
          </cell>
        </row>
        <row r="1284">
          <cell r="B1284" t="str">
            <v>A0750</v>
          </cell>
          <cell r="C1284" t="str">
            <v>Allocated Direct</v>
          </cell>
          <cell r="D1284" t="str">
            <v>002L</v>
          </cell>
        </row>
        <row r="1285">
          <cell r="B1285" t="str">
            <v>A0752</v>
          </cell>
          <cell r="C1285" t="str">
            <v>Direct</v>
          </cell>
          <cell r="D1285" t="str">
            <v>CIP</v>
          </cell>
        </row>
        <row r="1286">
          <cell r="B1286" t="str">
            <v>A0753</v>
          </cell>
          <cell r="C1286" t="str">
            <v>Direct</v>
          </cell>
          <cell r="D1286" t="str">
            <v>UEC</v>
          </cell>
        </row>
        <row r="1287">
          <cell r="B1287" t="str">
            <v>A0754</v>
          </cell>
          <cell r="C1287" t="str">
            <v>Allocated Direct</v>
          </cell>
          <cell r="D1287" t="str">
            <v>001A</v>
          </cell>
        </row>
        <row r="1288">
          <cell r="B1288" t="str">
            <v>A0755</v>
          </cell>
          <cell r="C1288" t="str">
            <v>Direct</v>
          </cell>
          <cell r="D1288" t="str">
            <v>UEC</v>
          </cell>
        </row>
        <row r="1289">
          <cell r="B1289" t="str">
            <v>A0756</v>
          </cell>
          <cell r="C1289" t="str">
            <v>Direct</v>
          </cell>
          <cell r="D1289" t="str">
            <v>UEC</v>
          </cell>
        </row>
        <row r="1290">
          <cell r="B1290" t="str">
            <v>A0763</v>
          </cell>
          <cell r="C1290" t="str">
            <v>Direct</v>
          </cell>
          <cell r="D1290" t="str">
            <v>CIP</v>
          </cell>
        </row>
        <row r="1291">
          <cell r="B1291" t="str">
            <v>A0764</v>
          </cell>
          <cell r="C1291" t="str">
            <v>Allocated Direct</v>
          </cell>
          <cell r="D1291" t="str">
            <v>002K</v>
          </cell>
        </row>
        <row r="1292">
          <cell r="B1292" t="str">
            <v>A0769</v>
          </cell>
          <cell r="C1292" t="str">
            <v>Allocated Direct</v>
          </cell>
          <cell r="D1292" t="str">
            <v>002L</v>
          </cell>
        </row>
        <row r="1293">
          <cell r="B1293" t="str">
            <v>A0772</v>
          </cell>
          <cell r="C1293" t="str">
            <v>Allocated Direct</v>
          </cell>
          <cell r="D1293" t="str">
            <v>002A</v>
          </cell>
        </row>
        <row r="1294">
          <cell r="B1294" t="str">
            <v>A0776</v>
          </cell>
          <cell r="C1294" t="str">
            <v>Direct</v>
          </cell>
          <cell r="D1294" t="str">
            <v>UEC</v>
          </cell>
        </row>
        <row r="1295">
          <cell r="B1295" t="str">
            <v>A0777</v>
          </cell>
          <cell r="C1295" t="str">
            <v>Direct</v>
          </cell>
          <cell r="D1295" t="str">
            <v>CIP</v>
          </cell>
        </row>
        <row r="1296">
          <cell r="B1296" t="str">
            <v>A0778</v>
          </cell>
          <cell r="C1296" t="str">
            <v>Allocated Direct</v>
          </cell>
          <cell r="D1296" t="str">
            <v>004P</v>
          </cell>
        </row>
        <row r="1297">
          <cell r="B1297" t="str">
            <v>A0782</v>
          </cell>
          <cell r="C1297" t="str">
            <v>Direct</v>
          </cell>
          <cell r="D1297" t="str">
            <v>UEC</v>
          </cell>
        </row>
        <row r="1298">
          <cell r="B1298" t="str">
            <v>A0788</v>
          </cell>
          <cell r="C1298" t="str">
            <v>Direct</v>
          </cell>
          <cell r="D1298" t="str">
            <v>UEC</v>
          </cell>
        </row>
        <row r="1299">
          <cell r="B1299" t="str">
            <v>A0790</v>
          </cell>
          <cell r="C1299" t="str">
            <v>Direct</v>
          </cell>
          <cell r="D1299" t="str">
            <v>ADC</v>
          </cell>
        </row>
        <row r="1300">
          <cell r="B1300" t="str">
            <v>A0791</v>
          </cell>
          <cell r="C1300" t="str">
            <v>Allocated Direct</v>
          </cell>
          <cell r="D1300" t="str">
            <v>001A</v>
          </cell>
        </row>
        <row r="1301">
          <cell r="B1301" t="str">
            <v>A0792</v>
          </cell>
          <cell r="C1301" t="str">
            <v>Allocated Direct</v>
          </cell>
          <cell r="D1301" t="str">
            <v>017A</v>
          </cell>
        </row>
        <row r="1302">
          <cell r="B1302" t="str">
            <v>A0794</v>
          </cell>
          <cell r="C1302" t="str">
            <v>Direct</v>
          </cell>
          <cell r="D1302" t="str">
            <v>UEC</v>
          </cell>
        </row>
        <row r="1303">
          <cell r="B1303" t="str">
            <v>A0803</v>
          </cell>
          <cell r="C1303" t="str">
            <v>Indirect Corporate</v>
          </cell>
          <cell r="D1303" t="str">
            <v>Indirect</v>
          </cell>
        </row>
        <row r="1304">
          <cell r="B1304" t="str">
            <v>A0805</v>
          </cell>
          <cell r="C1304" t="str">
            <v>Allocated Direct</v>
          </cell>
          <cell r="D1304" t="str">
            <v>004O</v>
          </cell>
        </row>
        <row r="1305">
          <cell r="B1305" t="str">
            <v>A0807</v>
          </cell>
          <cell r="C1305" t="str">
            <v>Allocated Direct</v>
          </cell>
          <cell r="D1305" t="str">
            <v>001A</v>
          </cell>
        </row>
        <row r="1306">
          <cell r="B1306" t="str">
            <v>A0815</v>
          </cell>
          <cell r="C1306" t="str">
            <v>Allocated Direct</v>
          </cell>
          <cell r="D1306" t="str">
            <v>002L</v>
          </cell>
        </row>
        <row r="1307">
          <cell r="B1307" t="str">
            <v>A0816</v>
          </cell>
          <cell r="C1307" t="str">
            <v>Direct</v>
          </cell>
          <cell r="D1307" t="str">
            <v>UEC</v>
          </cell>
        </row>
        <row r="1308">
          <cell r="B1308" t="str">
            <v>A0817</v>
          </cell>
          <cell r="C1308" t="str">
            <v>Allocated Direct</v>
          </cell>
          <cell r="D1308" t="str">
            <v>UEC</v>
          </cell>
        </row>
        <row r="1309">
          <cell r="B1309" t="str">
            <v>A0819</v>
          </cell>
          <cell r="C1309" t="str">
            <v>Indirect Corporate</v>
          </cell>
          <cell r="D1309" t="str">
            <v>Indirect</v>
          </cell>
        </row>
        <row r="1310">
          <cell r="B1310" t="str">
            <v>A0820</v>
          </cell>
          <cell r="C1310" t="str">
            <v>Direct</v>
          </cell>
          <cell r="D1310" t="str">
            <v>CIP</v>
          </cell>
        </row>
        <row r="1311">
          <cell r="B1311" t="str">
            <v>A0825</v>
          </cell>
          <cell r="C1311" t="str">
            <v>Allocated Direct</v>
          </cell>
          <cell r="D1311" t="str">
            <v>004A</v>
          </cell>
        </row>
        <row r="1312">
          <cell r="B1312" t="str">
            <v>A0833</v>
          </cell>
          <cell r="C1312" t="str">
            <v>Direct</v>
          </cell>
          <cell r="D1312" t="str">
            <v>CIP</v>
          </cell>
        </row>
        <row r="1313">
          <cell r="B1313" t="str">
            <v>A0835</v>
          </cell>
          <cell r="C1313" t="str">
            <v>Direct</v>
          </cell>
          <cell r="D1313" t="str">
            <v>UEC</v>
          </cell>
        </row>
        <row r="1314">
          <cell r="B1314" t="str">
            <v>A0837</v>
          </cell>
          <cell r="C1314" t="str">
            <v>Allocated Direct</v>
          </cell>
          <cell r="D1314" t="str">
            <v>001D</v>
          </cell>
        </row>
        <row r="1315">
          <cell r="B1315" t="str">
            <v>A0838</v>
          </cell>
          <cell r="C1315" t="str">
            <v>Allocated Direct</v>
          </cell>
          <cell r="D1315" t="str">
            <v>002D</v>
          </cell>
        </row>
        <row r="1316">
          <cell r="B1316" t="str">
            <v>A0839</v>
          </cell>
          <cell r="C1316" t="str">
            <v>Direct</v>
          </cell>
          <cell r="D1316" t="str">
            <v>UEC</v>
          </cell>
        </row>
        <row r="1317">
          <cell r="B1317" t="str">
            <v>A0841</v>
          </cell>
          <cell r="C1317" t="str">
            <v>Direct</v>
          </cell>
          <cell r="D1317" t="str">
            <v>CIP</v>
          </cell>
        </row>
        <row r="1318">
          <cell r="B1318" t="str">
            <v>A0850</v>
          </cell>
          <cell r="C1318" t="str">
            <v>Indirect Functional</v>
          </cell>
          <cell r="D1318" t="str">
            <v>Indirect</v>
          </cell>
        </row>
        <row r="1319">
          <cell r="B1319" t="str">
            <v>A0852</v>
          </cell>
          <cell r="C1319" t="str">
            <v>Allocated Direct</v>
          </cell>
          <cell r="D1319" t="str">
            <v>004A</v>
          </cell>
        </row>
        <row r="1320">
          <cell r="B1320" t="str">
            <v>A0861</v>
          </cell>
          <cell r="C1320" t="str">
            <v>Direct</v>
          </cell>
          <cell r="D1320" t="str">
            <v>UEC</v>
          </cell>
        </row>
        <row r="1321">
          <cell r="B1321" t="str">
            <v>A0862</v>
          </cell>
          <cell r="C1321" t="str">
            <v>Direct</v>
          </cell>
          <cell r="D1321" t="str">
            <v>CIP</v>
          </cell>
        </row>
        <row r="1322">
          <cell r="B1322" t="str">
            <v>A0865</v>
          </cell>
          <cell r="C1322" t="str">
            <v>Direct</v>
          </cell>
          <cell r="D1322" t="str">
            <v>UEC</v>
          </cell>
        </row>
        <row r="1323">
          <cell r="B1323" t="str">
            <v>A0866</v>
          </cell>
          <cell r="C1323" t="str">
            <v>Indirect Corporate</v>
          </cell>
          <cell r="D1323" t="str">
            <v>Indirect</v>
          </cell>
        </row>
        <row r="1324">
          <cell r="B1324" t="str">
            <v>A0869</v>
          </cell>
          <cell r="C1324" t="str">
            <v>Allocated Direct</v>
          </cell>
          <cell r="D1324" t="str">
            <v>004A</v>
          </cell>
        </row>
        <row r="1325">
          <cell r="B1325" t="str">
            <v>A0878</v>
          </cell>
          <cell r="C1325" t="str">
            <v>Allocated Direct</v>
          </cell>
          <cell r="D1325" t="str">
            <v>004B</v>
          </cell>
        </row>
        <row r="1326">
          <cell r="B1326" t="str">
            <v>A0880</v>
          </cell>
          <cell r="C1326" t="str">
            <v>Allocated Direct</v>
          </cell>
          <cell r="D1326" t="str">
            <v>010A</v>
          </cell>
        </row>
        <row r="1327">
          <cell r="B1327" t="str">
            <v>A0882</v>
          </cell>
          <cell r="C1327" t="str">
            <v>Direct</v>
          </cell>
          <cell r="D1327" t="str">
            <v>AMC</v>
          </cell>
        </row>
        <row r="1328">
          <cell r="B1328" t="str">
            <v>A0894</v>
          </cell>
          <cell r="C1328" t="str">
            <v>Indirect Corporate</v>
          </cell>
          <cell r="D1328" t="str">
            <v>Indirect</v>
          </cell>
        </row>
        <row r="1329">
          <cell r="B1329" t="str">
            <v>A0896</v>
          </cell>
          <cell r="C1329" t="str">
            <v>Direct</v>
          </cell>
          <cell r="D1329" t="str">
            <v>UEC</v>
          </cell>
        </row>
        <row r="1330">
          <cell r="B1330" t="str">
            <v>A0897</v>
          </cell>
          <cell r="C1330" t="str">
            <v>Direct</v>
          </cell>
          <cell r="D1330" t="str">
            <v>CIP</v>
          </cell>
        </row>
        <row r="1331">
          <cell r="B1331" t="str">
            <v>A0898</v>
          </cell>
          <cell r="C1331" t="str">
            <v>Allocated Direct</v>
          </cell>
          <cell r="D1331" t="str">
            <v>001A</v>
          </cell>
        </row>
        <row r="1332">
          <cell r="B1332" t="str">
            <v>A0904</v>
          </cell>
          <cell r="C1332" t="str">
            <v>Direct</v>
          </cell>
          <cell r="D1332" t="str">
            <v>AFS</v>
          </cell>
        </row>
        <row r="1333">
          <cell r="B1333" t="str">
            <v>A0926</v>
          </cell>
          <cell r="C1333" t="str">
            <v>Allocated Direct</v>
          </cell>
          <cell r="D1333" t="str">
            <v>010A</v>
          </cell>
        </row>
        <row r="1334">
          <cell r="B1334" t="str">
            <v>A0950</v>
          </cell>
          <cell r="C1334" t="str">
            <v>Direct</v>
          </cell>
          <cell r="D1334" t="str">
            <v>IHC</v>
          </cell>
        </row>
        <row r="1335">
          <cell r="B1335" t="str">
            <v>A0953</v>
          </cell>
          <cell r="C1335" t="str">
            <v>Allocated Direct</v>
          </cell>
          <cell r="D1335" t="str">
            <v>002F</v>
          </cell>
        </row>
        <row r="1336">
          <cell r="B1336" t="str">
            <v>A0954</v>
          </cell>
          <cell r="C1336" t="str">
            <v>Allocated Direct</v>
          </cell>
          <cell r="D1336" t="str">
            <v>017B</v>
          </cell>
        </row>
        <row r="1337">
          <cell r="B1337" t="str">
            <v>A0955</v>
          </cell>
          <cell r="C1337" t="str">
            <v>Allocated Direct</v>
          </cell>
          <cell r="D1337" t="str">
            <v>008C</v>
          </cell>
        </row>
        <row r="1338">
          <cell r="B1338" t="str">
            <v>A0957</v>
          </cell>
          <cell r="C1338" t="str">
            <v>Allocated Direct</v>
          </cell>
          <cell r="D1338" t="str">
            <v>007A</v>
          </cell>
        </row>
        <row r="1339">
          <cell r="B1339" t="str">
            <v>A0958</v>
          </cell>
          <cell r="C1339" t="str">
            <v>Allocated Direct</v>
          </cell>
          <cell r="D1339" t="str">
            <v>017A</v>
          </cell>
        </row>
        <row r="1340">
          <cell r="B1340" t="str">
            <v>A0959</v>
          </cell>
          <cell r="C1340" t="str">
            <v>Allocated Direct</v>
          </cell>
          <cell r="D1340" t="str">
            <v>001A</v>
          </cell>
        </row>
        <row r="1341">
          <cell r="B1341" t="str">
            <v>A0960</v>
          </cell>
          <cell r="C1341" t="str">
            <v>Allocated Direct</v>
          </cell>
          <cell r="D1341" t="str">
            <v>017C</v>
          </cell>
        </row>
        <row r="1342">
          <cell r="B1342" t="str">
            <v>A0961</v>
          </cell>
          <cell r="C1342" t="str">
            <v>Allocated Direct</v>
          </cell>
          <cell r="D1342" t="str">
            <v>007A</v>
          </cell>
        </row>
        <row r="1343">
          <cell r="B1343" t="str">
            <v>A0962</v>
          </cell>
          <cell r="C1343" t="str">
            <v>Allocated Direct</v>
          </cell>
          <cell r="D1343" t="str">
            <v>008C</v>
          </cell>
        </row>
        <row r="1344">
          <cell r="B1344" t="str">
            <v>A0963</v>
          </cell>
          <cell r="C1344" t="str">
            <v>Allocated Direct</v>
          </cell>
          <cell r="D1344" t="str">
            <v>015A</v>
          </cell>
        </row>
        <row r="1345">
          <cell r="B1345" t="str">
            <v>A0964</v>
          </cell>
          <cell r="C1345" t="str">
            <v>Allocated Direct</v>
          </cell>
          <cell r="D1345" t="str">
            <v>017C</v>
          </cell>
        </row>
        <row r="1346">
          <cell r="B1346" t="str">
            <v>A0966</v>
          </cell>
          <cell r="C1346" t="str">
            <v>Allocated Direct</v>
          </cell>
          <cell r="D1346" t="str">
            <v>011A</v>
          </cell>
        </row>
        <row r="1347">
          <cell r="B1347" t="str">
            <v>A0967</v>
          </cell>
          <cell r="C1347" t="str">
            <v>Allocated Direct</v>
          </cell>
          <cell r="D1347" t="str">
            <v>004A</v>
          </cell>
        </row>
        <row r="1348">
          <cell r="B1348" t="str">
            <v>A0968</v>
          </cell>
          <cell r="C1348" t="str">
            <v>Allocated Direct</v>
          </cell>
          <cell r="D1348" t="str">
            <v>002L</v>
          </cell>
        </row>
        <row r="1349">
          <cell r="B1349" t="str">
            <v>A0974</v>
          </cell>
          <cell r="C1349" t="str">
            <v>Indirect Functional</v>
          </cell>
          <cell r="D1349" t="str">
            <v>Indirect</v>
          </cell>
        </row>
        <row r="1350">
          <cell r="B1350" t="str">
            <v>A0980</v>
          </cell>
          <cell r="C1350" t="str">
            <v>Allocated Direct</v>
          </cell>
          <cell r="D1350" t="str">
            <v>001A</v>
          </cell>
        </row>
        <row r="1351">
          <cell r="B1351" t="str">
            <v>A0983</v>
          </cell>
          <cell r="C1351" t="str">
            <v>Allocated Direct</v>
          </cell>
          <cell r="D1351" t="str">
            <v>002L</v>
          </cell>
        </row>
        <row r="1352">
          <cell r="B1352" t="str">
            <v>A0985</v>
          </cell>
          <cell r="C1352" t="str">
            <v>Allocated Direct</v>
          </cell>
          <cell r="D1352" t="str">
            <v>007A</v>
          </cell>
        </row>
        <row r="1353">
          <cell r="B1353" t="str">
            <v>A0987</v>
          </cell>
          <cell r="C1353" t="str">
            <v>Allocated Direct</v>
          </cell>
          <cell r="D1353" t="str">
            <v>004A</v>
          </cell>
        </row>
        <row r="1354">
          <cell r="B1354" t="str">
            <v>A0988</v>
          </cell>
          <cell r="C1354" t="str">
            <v>Allocated Direct</v>
          </cell>
          <cell r="D1354" t="str">
            <v>018A</v>
          </cell>
        </row>
        <row r="1355">
          <cell r="B1355" t="str">
            <v>A0992</v>
          </cell>
          <cell r="C1355" t="str">
            <v>Allocated Direct</v>
          </cell>
          <cell r="D1355" t="str">
            <v>004A</v>
          </cell>
        </row>
        <row r="1356">
          <cell r="B1356" t="str">
            <v>A0993</v>
          </cell>
          <cell r="C1356" t="str">
            <v>Allocated Direct</v>
          </cell>
          <cell r="D1356" t="str">
            <v>004A</v>
          </cell>
        </row>
        <row r="1357">
          <cell r="B1357" t="str">
            <v>A0994</v>
          </cell>
          <cell r="C1357" t="str">
            <v>Allocated Direct</v>
          </cell>
          <cell r="D1357" t="str">
            <v>004A</v>
          </cell>
        </row>
        <row r="1358">
          <cell r="B1358" t="str">
            <v>A0999</v>
          </cell>
          <cell r="C1358" t="str">
            <v>Allocated Direct</v>
          </cell>
          <cell r="D1358" t="str">
            <v>004B</v>
          </cell>
        </row>
        <row r="1359">
          <cell r="B1359" t="str">
            <v>A1000</v>
          </cell>
          <cell r="C1359" t="str">
            <v>Allocated Direct</v>
          </cell>
          <cell r="D1359" t="str">
            <v>002L</v>
          </cell>
        </row>
        <row r="1360">
          <cell r="B1360" t="str">
            <v>A1002</v>
          </cell>
          <cell r="C1360" t="str">
            <v>Allocated Direct</v>
          </cell>
          <cell r="D1360" t="str">
            <v>002L</v>
          </cell>
        </row>
        <row r="1361">
          <cell r="B1361" t="str">
            <v>A1005</v>
          </cell>
          <cell r="C1361" t="str">
            <v>Direct</v>
          </cell>
          <cell r="D1361" t="str">
            <v>UEC</v>
          </cell>
        </row>
        <row r="1362">
          <cell r="B1362" t="str">
            <v>A1006</v>
          </cell>
          <cell r="C1362" t="str">
            <v>Direct</v>
          </cell>
          <cell r="D1362" t="str">
            <v>CIP</v>
          </cell>
        </row>
        <row r="1363">
          <cell r="B1363" t="str">
            <v>A1008</v>
          </cell>
          <cell r="C1363" t="str">
            <v>Allocated Direct</v>
          </cell>
          <cell r="D1363" t="str">
            <v>002K</v>
          </cell>
        </row>
        <row r="1364">
          <cell r="B1364" t="str">
            <v>A1009</v>
          </cell>
          <cell r="C1364" t="str">
            <v>Allocated Direct</v>
          </cell>
          <cell r="D1364" t="str">
            <v>002L</v>
          </cell>
        </row>
        <row r="1365">
          <cell r="B1365" t="str">
            <v>A1013</v>
          </cell>
          <cell r="C1365" t="str">
            <v>Allocated Direct</v>
          </cell>
          <cell r="D1365" t="str">
            <v>002M</v>
          </cell>
        </row>
        <row r="1366">
          <cell r="B1366" t="str">
            <v>A1014</v>
          </cell>
          <cell r="C1366" t="str">
            <v>Allocated Direct</v>
          </cell>
          <cell r="D1366" t="str">
            <v>002L</v>
          </cell>
        </row>
        <row r="1367">
          <cell r="B1367" t="str">
            <v>A1015</v>
          </cell>
          <cell r="C1367" t="str">
            <v>Allocated Direct</v>
          </cell>
          <cell r="D1367" t="str">
            <v>002F</v>
          </cell>
        </row>
        <row r="1368">
          <cell r="B1368" t="str">
            <v>A1017</v>
          </cell>
          <cell r="C1368" t="str">
            <v>Allocated Direct</v>
          </cell>
          <cell r="D1368" t="str">
            <v>002K</v>
          </cell>
        </row>
        <row r="1369">
          <cell r="B1369" t="str">
            <v>A1019</v>
          </cell>
          <cell r="C1369" t="str">
            <v>Allocated Direct</v>
          </cell>
          <cell r="D1369" t="str">
            <v>001A</v>
          </cell>
        </row>
        <row r="1370">
          <cell r="B1370" t="str">
            <v>A1023</v>
          </cell>
          <cell r="C1370" t="str">
            <v>Allocated Direct</v>
          </cell>
          <cell r="D1370" t="str">
            <v>001A</v>
          </cell>
        </row>
        <row r="1371">
          <cell r="B1371" t="str">
            <v>A1024</v>
          </cell>
          <cell r="C1371" t="str">
            <v>Allocated Direct</v>
          </cell>
          <cell r="D1371" t="str">
            <v>017B</v>
          </cell>
        </row>
        <row r="1372">
          <cell r="B1372" t="str">
            <v>A1025</v>
          </cell>
          <cell r="C1372" t="str">
            <v>Allocated Direct</v>
          </cell>
          <cell r="D1372" t="str">
            <v>018A</v>
          </cell>
        </row>
        <row r="1373">
          <cell r="B1373" t="str">
            <v>A1026</v>
          </cell>
          <cell r="C1373" t="str">
            <v>Direct</v>
          </cell>
          <cell r="D1373" t="str">
            <v>CIP</v>
          </cell>
        </row>
        <row r="1374">
          <cell r="B1374" t="str">
            <v>A1029</v>
          </cell>
          <cell r="C1374" t="str">
            <v>Allocated Direct</v>
          </cell>
          <cell r="D1374" t="str">
            <v>001A</v>
          </cell>
        </row>
        <row r="1375">
          <cell r="B1375" t="str">
            <v>A1030</v>
          </cell>
          <cell r="C1375" t="str">
            <v>Direct</v>
          </cell>
          <cell r="D1375" t="str">
            <v>CIP</v>
          </cell>
        </row>
        <row r="1376">
          <cell r="B1376" t="str">
            <v>A1031</v>
          </cell>
          <cell r="C1376" t="str">
            <v>Direct</v>
          </cell>
          <cell r="D1376" t="str">
            <v>UEC</v>
          </cell>
        </row>
        <row r="1377">
          <cell r="B1377" t="str">
            <v>A1032</v>
          </cell>
          <cell r="C1377" t="str">
            <v>Direct</v>
          </cell>
          <cell r="D1377" t="str">
            <v>GEN</v>
          </cell>
        </row>
        <row r="1378">
          <cell r="B1378" t="str">
            <v>A1033</v>
          </cell>
          <cell r="C1378" t="str">
            <v>Direct</v>
          </cell>
          <cell r="D1378" t="str">
            <v>UEC</v>
          </cell>
        </row>
        <row r="1379">
          <cell r="B1379" t="str">
            <v>A1034</v>
          </cell>
          <cell r="C1379" t="str">
            <v>Direct</v>
          </cell>
          <cell r="D1379" t="str">
            <v>CIP</v>
          </cell>
        </row>
        <row r="1380">
          <cell r="B1380" t="str">
            <v>A1035</v>
          </cell>
          <cell r="C1380" t="str">
            <v>Direct</v>
          </cell>
          <cell r="D1380" t="str">
            <v>UEC</v>
          </cell>
        </row>
        <row r="1381">
          <cell r="B1381" t="str">
            <v>A1036</v>
          </cell>
          <cell r="C1381" t="str">
            <v>Allocated Direct</v>
          </cell>
          <cell r="D1381" t="str">
            <v>001A</v>
          </cell>
        </row>
        <row r="1382">
          <cell r="B1382" t="str">
            <v>A1039</v>
          </cell>
          <cell r="C1382" t="str">
            <v>Allocated Direct</v>
          </cell>
          <cell r="D1382" t="str">
            <v>001A</v>
          </cell>
        </row>
        <row r="1383">
          <cell r="B1383" t="str">
            <v>A1040</v>
          </cell>
          <cell r="C1383" t="str">
            <v>Direct</v>
          </cell>
          <cell r="D1383" t="str">
            <v>CIP</v>
          </cell>
        </row>
        <row r="1384">
          <cell r="B1384" t="str">
            <v>A1041</v>
          </cell>
          <cell r="C1384" t="str">
            <v>Direct</v>
          </cell>
          <cell r="D1384" t="str">
            <v>UEC</v>
          </cell>
        </row>
        <row r="1385">
          <cell r="B1385" t="str">
            <v>A1042</v>
          </cell>
          <cell r="C1385" t="str">
            <v>Direct</v>
          </cell>
          <cell r="D1385" t="str">
            <v>CIP</v>
          </cell>
        </row>
        <row r="1386">
          <cell r="B1386" t="str">
            <v>A1043</v>
          </cell>
          <cell r="C1386" t="str">
            <v>Direct</v>
          </cell>
          <cell r="D1386" t="str">
            <v>UEC</v>
          </cell>
        </row>
        <row r="1387">
          <cell r="B1387" t="str">
            <v>A1044</v>
          </cell>
          <cell r="C1387" t="str">
            <v>Direct</v>
          </cell>
          <cell r="D1387" t="str">
            <v>UEC</v>
          </cell>
        </row>
        <row r="1388">
          <cell r="B1388" t="str">
            <v>A1045</v>
          </cell>
          <cell r="C1388" t="str">
            <v>Allocated Direct</v>
          </cell>
          <cell r="D1388" t="str">
            <v>012D</v>
          </cell>
        </row>
        <row r="1389">
          <cell r="B1389" t="str">
            <v>A1046</v>
          </cell>
          <cell r="C1389" t="str">
            <v>Allocated Direct</v>
          </cell>
          <cell r="D1389" t="str">
            <v>003A</v>
          </cell>
        </row>
        <row r="1390">
          <cell r="B1390" t="str">
            <v>A1047</v>
          </cell>
          <cell r="C1390" t="str">
            <v>Indirect Functional</v>
          </cell>
          <cell r="D1390" t="str">
            <v>Indirect</v>
          </cell>
        </row>
        <row r="1391">
          <cell r="B1391" t="str">
            <v>A1048</v>
          </cell>
          <cell r="C1391" t="str">
            <v>Allocated Direct</v>
          </cell>
          <cell r="D1391" t="str">
            <v>001A</v>
          </cell>
        </row>
        <row r="1392">
          <cell r="B1392" t="str">
            <v>A1049</v>
          </cell>
          <cell r="C1392" t="str">
            <v>Allocated Direct</v>
          </cell>
          <cell r="D1392" t="str">
            <v>001A</v>
          </cell>
        </row>
        <row r="1393">
          <cell r="B1393" t="str">
            <v>A1051</v>
          </cell>
          <cell r="C1393" t="str">
            <v>Direct</v>
          </cell>
          <cell r="D1393" t="str">
            <v>UEC</v>
          </cell>
        </row>
        <row r="1394">
          <cell r="B1394" t="str">
            <v>A1052</v>
          </cell>
          <cell r="C1394" t="str">
            <v>Allocated Direct</v>
          </cell>
          <cell r="D1394" t="str">
            <v>001A</v>
          </cell>
        </row>
        <row r="1395">
          <cell r="B1395" t="str">
            <v>A1054</v>
          </cell>
          <cell r="C1395" t="str">
            <v>Direct</v>
          </cell>
          <cell r="D1395" t="str">
            <v>IHC</v>
          </cell>
        </row>
        <row r="1396">
          <cell r="B1396" t="str">
            <v>A1055</v>
          </cell>
          <cell r="C1396" t="str">
            <v>Indirect Functional</v>
          </cell>
          <cell r="D1396" t="str">
            <v>Indirect</v>
          </cell>
        </row>
        <row r="1397">
          <cell r="B1397" t="str">
            <v>A1056</v>
          </cell>
          <cell r="C1397" t="str">
            <v>Indirect Functional</v>
          </cell>
          <cell r="D1397" t="str">
            <v>Indirect</v>
          </cell>
        </row>
        <row r="1398">
          <cell r="B1398" t="str">
            <v>A1057</v>
          </cell>
          <cell r="C1398" t="str">
            <v>Indirect Functional</v>
          </cell>
          <cell r="D1398" t="str">
            <v>Indirect</v>
          </cell>
        </row>
        <row r="1399">
          <cell r="B1399" t="str">
            <v>A1059</v>
          </cell>
          <cell r="C1399" t="str">
            <v>Indirect Functional</v>
          </cell>
          <cell r="D1399" t="str">
            <v>Indirect</v>
          </cell>
        </row>
        <row r="1400">
          <cell r="B1400" t="str">
            <v>A1063</v>
          </cell>
          <cell r="C1400" t="str">
            <v>Allocated Direct</v>
          </cell>
          <cell r="D1400" t="str">
            <v>002L</v>
          </cell>
        </row>
        <row r="1401">
          <cell r="B1401" t="str">
            <v>A1064</v>
          </cell>
          <cell r="C1401" t="str">
            <v>Direct</v>
          </cell>
          <cell r="D1401" t="str">
            <v>UEC</v>
          </cell>
        </row>
        <row r="1402">
          <cell r="B1402" t="str">
            <v>A1065</v>
          </cell>
          <cell r="C1402" t="str">
            <v>Direct</v>
          </cell>
          <cell r="D1402" t="str">
            <v>CIP</v>
          </cell>
        </row>
        <row r="1403">
          <cell r="B1403" t="str">
            <v>A1066</v>
          </cell>
          <cell r="C1403" t="str">
            <v>Allocated Direct</v>
          </cell>
          <cell r="D1403" t="str">
            <v>017A</v>
          </cell>
        </row>
        <row r="1404">
          <cell r="B1404" t="str">
            <v>A1067</v>
          </cell>
          <cell r="C1404" t="str">
            <v>Allocated Direct</v>
          </cell>
          <cell r="D1404" t="str">
            <v>011C</v>
          </cell>
        </row>
        <row r="1405">
          <cell r="B1405" t="str">
            <v>A1068</v>
          </cell>
          <cell r="C1405" t="str">
            <v>Allocated Direct</v>
          </cell>
          <cell r="D1405" t="str">
            <v>004A</v>
          </cell>
        </row>
        <row r="1406">
          <cell r="B1406" t="str">
            <v>A1069</v>
          </cell>
          <cell r="C1406" t="str">
            <v>Allocated Direct</v>
          </cell>
          <cell r="D1406" t="str">
            <v>002L</v>
          </cell>
        </row>
        <row r="1407">
          <cell r="B1407" t="str">
            <v>A1078</v>
          </cell>
          <cell r="C1407" t="str">
            <v>Allocated Direct</v>
          </cell>
          <cell r="D1407" t="str">
            <v>002O</v>
          </cell>
        </row>
        <row r="1408">
          <cell r="B1408" t="str">
            <v>A1080</v>
          </cell>
          <cell r="C1408" t="str">
            <v>Direct</v>
          </cell>
          <cell r="D1408" t="str">
            <v>AED</v>
          </cell>
        </row>
        <row r="1409">
          <cell r="B1409" t="str">
            <v>A1081</v>
          </cell>
          <cell r="C1409" t="str">
            <v>Direct</v>
          </cell>
          <cell r="D1409" t="str">
            <v>UEC</v>
          </cell>
        </row>
        <row r="1410">
          <cell r="B1410" t="str">
            <v>A1084</v>
          </cell>
          <cell r="C1410" t="str">
            <v>Direct</v>
          </cell>
          <cell r="D1410" t="str">
            <v>GEN</v>
          </cell>
        </row>
        <row r="1411">
          <cell r="B1411" t="str">
            <v>A1085</v>
          </cell>
          <cell r="C1411" t="str">
            <v>Allocated Direct</v>
          </cell>
          <cell r="D1411" t="str">
            <v>011A</v>
          </cell>
        </row>
        <row r="1412">
          <cell r="B1412" t="str">
            <v>A1086</v>
          </cell>
          <cell r="C1412" t="str">
            <v>Direct</v>
          </cell>
          <cell r="D1412" t="str">
            <v>UEC</v>
          </cell>
        </row>
        <row r="1413">
          <cell r="B1413" t="str">
            <v>A1087</v>
          </cell>
          <cell r="C1413" t="str">
            <v>Direct</v>
          </cell>
          <cell r="D1413" t="str">
            <v>UEC</v>
          </cell>
        </row>
        <row r="1414">
          <cell r="B1414" t="str">
            <v>A1088</v>
          </cell>
          <cell r="C1414" t="str">
            <v>Direct</v>
          </cell>
          <cell r="D1414" t="str">
            <v>CIP</v>
          </cell>
        </row>
        <row r="1415">
          <cell r="B1415" t="str">
            <v>A1089</v>
          </cell>
          <cell r="C1415" t="str">
            <v>Allocated Direct</v>
          </cell>
          <cell r="D1415" t="str">
            <v>002L</v>
          </cell>
        </row>
        <row r="1416">
          <cell r="B1416" t="str">
            <v>A1100</v>
          </cell>
          <cell r="C1416" t="str">
            <v>Direct</v>
          </cell>
          <cell r="D1416" t="str">
            <v>UEC</v>
          </cell>
        </row>
        <row r="1417">
          <cell r="B1417" t="str">
            <v>A1107</v>
          </cell>
          <cell r="C1417" t="str">
            <v>Direct</v>
          </cell>
          <cell r="D1417" t="str">
            <v>AED</v>
          </cell>
        </row>
        <row r="1418">
          <cell r="B1418" t="str">
            <v>A1112</v>
          </cell>
          <cell r="C1418" t="str">
            <v>Allocated Direct</v>
          </cell>
          <cell r="D1418" t="str">
            <v>011A</v>
          </cell>
        </row>
        <row r="1419">
          <cell r="B1419" t="str">
            <v>A1113</v>
          </cell>
          <cell r="C1419" t="str">
            <v>Allocated Direct</v>
          </cell>
          <cell r="D1419" t="str">
            <v>003A</v>
          </cell>
        </row>
        <row r="1420">
          <cell r="B1420" t="str">
            <v>A1114</v>
          </cell>
          <cell r="C1420" t="str">
            <v>Allocated Direct</v>
          </cell>
          <cell r="D1420" t="str">
            <v>003A</v>
          </cell>
        </row>
        <row r="1421">
          <cell r="B1421" t="str">
            <v>A1116</v>
          </cell>
          <cell r="C1421" t="str">
            <v>Direct</v>
          </cell>
          <cell r="D1421" t="str">
            <v>UEC</v>
          </cell>
        </row>
        <row r="1422">
          <cell r="B1422" t="str">
            <v>A1119</v>
          </cell>
          <cell r="C1422" t="str">
            <v>Direct</v>
          </cell>
          <cell r="D1422" t="str">
            <v>CIP</v>
          </cell>
        </row>
        <row r="1423">
          <cell r="B1423" t="str">
            <v>A1120</v>
          </cell>
          <cell r="C1423" t="str">
            <v>Direct</v>
          </cell>
          <cell r="D1423" t="str">
            <v>UEC</v>
          </cell>
        </row>
        <row r="1424">
          <cell r="B1424" t="str">
            <v>A1121</v>
          </cell>
          <cell r="C1424" t="str">
            <v>Direct</v>
          </cell>
          <cell r="D1424" t="str">
            <v>GEN</v>
          </cell>
        </row>
        <row r="1425">
          <cell r="B1425" t="str">
            <v>A1122</v>
          </cell>
          <cell r="C1425" t="str">
            <v>Direct</v>
          </cell>
          <cell r="D1425" t="str">
            <v>UEC</v>
          </cell>
        </row>
        <row r="1426">
          <cell r="B1426" t="str">
            <v>A1123</v>
          </cell>
          <cell r="C1426" t="str">
            <v>Direct</v>
          </cell>
          <cell r="D1426" t="str">
            <v>UEC</v>
          </cell>
        </row>
        <row r="1427">
          <cell r="B1427" t="str">
            <v>A1124</v>
          </cell>
          <cell r="C1427" t="str">
            <v>Direct</v>
          </cell>
          <cell r="D1427" t="str">
            <v>CIP</v>
          </cell>
        </row>
        <row r="1428">
          <cell r="B1428" t="str">
            <v>A1129</v>
          </cell>
          <cell r="C1428" t="str">
            <v>Direct</v>
          </cell>
          <cell r="D1428" t="str">
            <v>IPC</v>
          </cell>
        </row>
        <row r="1429">
          <cell r="B1429" t="str">
            <v>A1138</v>
          </cell>
          <cell r="C1429" t="str">
            <v>Direct</v>
          </cell>
          <cell r="D1429" t="str">
            <v>ADC</v>
          </cell>
        </row>
        <row r="1430">
          <cell r="B1430" t="str">
            <v>A1147</v>
          </cell>
          <cell r="C1430" t="str">
            <v>Direct</v>
          </cell>
          <cell r="D1430" t="str">
            <v>AED</v>
          </cell>
        </row>
        <row r="1431">
          <cell r="B1431" t="str">
            <v>A1155</v>
          </cell>
          <cell r="C1431" t="str">
            <v>Direct</v>
          </cell>
          <cell r="D1431" t="str">
            <v>GEN</v>
          </cell>
        </row>
        <row r="1432">
          <cell r="B1432" t="str">
            <v>A1163</v>
          </cell>
          <cell r="C1432" t="str">
            <v>Direct</v>
          </cell>
          <cell r="D1432" t="str">
            <v>GMC</v>
          </cell>
        </row>
        <row r="1433">
          <cell r="B1433" t="str">
            <v>A1175</v>
          </cell>
          <cell r="C1433" t="str">
            <v>Direct</v>
          </cell>
          <cell r="D1433" t="str">
            <v>GEN</v>
          </cell>
        </row>
        <row r="1434">
          <cell r="B1434" t="str">
            <v>A1176</v>
          </cell>
          <cell r="C1434" t="str">
            <v>Direct</v>
          </cell>
          <cell r="D1434" t="str">
            <v>GEN</v>
          </cell>
        </row>
        <row r="1435">
          <cell r="B1435" t="str">
            <v>A1181</v>
          </cell>
          <cell r="C1435" t="str">
            <v>Direct</v>
          </cell>
          <cell r="D1435" t="str">
            <v>GEN</v>
          </cell>
        </row>
        <row r="1436">
          <cell r="B1436" t="str">
            <v>A1182</v>
          </cell>
          <cell r="C1436" t="str">
            <v>Direct</v>
          </cell>
          <cell r="D1436" t="str">
            <v>GEN</v>
          </cell>
        </row>
        <row r="1437">
          <cell r="B1437" t="str">
            <v>A1188</v>
          </cell>
          <cell r="C1437" t="str">
            <v>Direct</v>
          </cell>
          <cell r="D1437" t="str">
            <v>GEN</v>
          </cell>
        </row>
        <row r="1438">
          <cell r="B1438" t="str">
            <v>A1206</v>
          </cell>
          <cell r="C1438" t="str">
            <v>Direct</v>
          </cell>
          <cell r="D1438" t="str">
            <v>GEN</v>
          </cell>
        </row>
        <row r="1439">
          <cell r="B1439" t="str">
            <v>A1207</v>
          </cell>
          <cell r="C1439" t="str">
            <v>Direct</v>
          </cell>
          <cell r="D1439" t="str">
            <v>AED</v>
          </cell>
        </row>
        <row r="1440">
          <cell r="B1440" t="str">
            <v>A1208</v>
          </cell>
          <cell r="C1440" t="str">
            <v>Direct</v>
          </cell>
          <cell r="D1440" t="str">
            <v>GMC</v>
          </cell>
        </row>
        <row r="1441">
          <cell r="B1441" t="str">
            <v>A1214</v>
          </cell>
          <cell r="C1441" t="str">
            <v>Direct</v>
          </cell>
          <cell r="D1441" t="str">
            <v>IHC</v>
          </cell>
        </row>
        <row r="1442">
          <cell r="B1442" t="str">
            <v>A1222</v>
          </cell>
          <cell r="C1442" t="str">
            <v>Direct</v>
          </cell>
          <cell r="D1442" t="str">
            <v>GEN</v>
          </cell>
        </row>
        <row r="1443">
          <cell r="B1443" t="str">
            <v>A1223</v>
          </cell>
          <cell r="C1443" t="str">
            <v>Direct</v>
          </cell>
          <cell r="D1443" t="str">
            <v>GMC</v>
          </cell>
        </row>
        <row r="1444">
          <cell r="B1444" t="str">
            <v>A1224</v>
          </cell>
          <cell r="C1444" t="str">
            <v>Direct</v>
          </cell>
          <cell r="D1444" t="str">
            <v>GEN</v>
          </cell>
        </row>
        <row r="1445">
          <cell r="B1445" t="str">
            <v>A1227</v>
          </cell>
          <cell r="C1445" t="str">
            <v>Direct</v>
          </cell>
          <cell r="D1445" t="str">
            <v>AED</v>
          </cell>
        </row>
        <row r="1446">
          <cell r="B1446" t="str">
            <v>A1231</v>
          </cell>
          <cell r="C1446" t="str">
            <v>Direct</v>
          </cell>
          <cell r="D1446" t="str">
            <v>GEN</v>
          </cell>
        </row>
        <row r="1447">
          <cell r="B1447" t="str">
            <v>A1233</v>
          </cell>
          <cell r="C1447" t="str">
            <v>Direct</v>
          </cell>
          <cell r="D1447" t="str">
            <v>GEN</v>
          </cell>
        </row>
        <row r="1448">
          <cell r="B1448" t="str">
            <v>A1237</v>
          </cell>
          <cell r="C1448" t="str">
            <v>Direct</v>
          </cell>
          <cell r="D1448" t="str">
            <v>GEN</v>
          </cell>
        </row>
        <row r="1449">
          <cell r="B1449" t="str">
            <v>A1239</v>
          </cell>
          <cell r="C1449" t="str">
            <v>Allocated Direct</v>
          </cell>
          <cell r="D1449" t="str">
            <v>004A</v>
          </cell>
        </row>
        <row r="1450">
          <cell r="B1450" t="str">
            <v>A1247</v>
          </cell>
          <cell r="C1450" t="str">
            <v>Allocated Direct</v>
          </cell>
          <cell r="D1450" t="str">
            <v>004A</v>
          </cell>
        </row>
        <row r="1451">
          <cell r="B1451" t="str">
            <v>A1251</v>
          </cell>
          <cell r="C1451" t="str">
            <v>Direct</v>
          </cell>
          <cell r="D1451" t="str">
            <v>CIP</v>
          </cell>
        </row>
        <row r="1452">
          <cell r="B1452" t="str">
            <v>A1252</v>
          </cell>
          <cell r="C1452" t="str">
            <v>Direct</v>
          </cell>
          <cell r="D1452" t="str">
            <v>CIP</v>
          </cell>
        </row>
        <row r="1453">
          <cell r="B1453" t="str">
            <v>A1253</v>
          </cell>
          <cell r="C1453" t="str">
            <v>Direct</v>
          </cell>
          <cell r="D1453" t="str">
            <v>CIP</v>
          </cell>
        </row>
        <row r="1454">
          <cell r="B1454" t="str">
            <v>A1257</v>
          </cell>
          <cell r="C1454" t="str">
            <v>Direct</v>
          </cell>
          <cell r="D1454" t="str">
            <v>GEN</v>
          </cell>
        </row>
        <row r="1455">
          <cell r="B1455" t="str">
            <v>A1258</v>
          </cell>
          <cell r="C1455" t="str">
            <v>Direct</v>
          </cell>
          <cell r="D1455" t="str">
            <v>IHC</v>
          </cell>
        </row>
        <row r="1456">
          <cell r="B1456" t="str">
            <v>A1262</v>
          </cell>
          <cell r="C1456" t="str">
            <v>Direct</v>
          </cell>
          <cell r="D1456" t="str">
            <v>IHC</v>
          </cell>
        </row>
        <row r="1457">
          <cell r="B1457" t="str">
            <v>A1263</v>
          </cell>
          <cell r="C1457" t="str">
            <v>Direct</v>
          </cell>
          <cell r="D1457" t="str">
            <v>CIP</v>
          </cell>
        </row>
        <row r="1458">
          <cell r="B1458" t="str">
            <v>A1269</v>
          </cell>
          <cell r="C1458" t="str">
            <v>Direct</v>
          </cell>
          <cell r="D1458" t="str">
            <v>CIP</v>
          </cell>
        </row>
        <row r="1459">
          <cell r="B1459" t="str">
            <v>A1272</v>
          </cell>
          <cell r="C1459" t="str">
            <v>Direct</v>
          </cell>
          <cell r="D1459" t="str">
            <v>ARG</v>
          </cell>
        </row>
        <row r="1460">
          <cell r="B1460" t="str">
            <v>A1276</v>
          </cell>
          <cell r="C1460" t="str">
            <v>Direct</v>
          </cell>
          <cell r="D1460" t="str">
            <v>GMC</v>
          </cell>
        </row>
        <row r="1461">
          <cell r="B1461" t="str">
            <v>A1278</v>
          </cell>
          <cell r="C1461" t="str">
            <v>Direct</v>
          </cell>
          <cell r="D1461" t="str">
            <v>GEN</v>
          </cell>
        </row>
        <row r="1462">
          <cell r="B1462" t="str">
            <v>A1282</v>
          </cell>
          <cell r="C1462" t="str">
            <v>Direct</v>
          </cell>
          <cell r="D1462" t="str">
            <v>UEC</v>
          </cell>
        </row>
        <row r="1463">
          <cell r="B1463" t="str">
            <v>A1284</v>
          </cell>
          <cell r="C1463" t="str">
            <v>Direct</v>
          </cell>
          <cell r="D1463" t="str">
            <v>GEN</v>
          </cell>
        </row>
        <row r="1464">
          <cell r="B1464" t="str">
            <v>A1297</v>
          </cell>
          <cell r="C1464" t="str">
            <v>Direct</v>
          </cell>
          <cell r="D1464" t="str">
            <v>UEC</v>
          </cell>
        </row>
        <row r="1465">
          <cell r="B1465" t="str">
            <v>A1298</v>
          </cell>
          <cell r="C1465" t="str">
            <v>Direct</v>
          </cell>
          <cell r="D1465" t="str">
            <v>GEN</v>
          </cell>
        </row>
        <row r="1466">
          <cell r="B1466" t="str">
            <v>A1299</v>
          </cell>
          <cell r="C1466" t="str">
            <v>Direct</v>
          </cell>
          <cell r="D1466" t="str">
            <v>GMC</v>
          </cell>
        </row>
        <row r="1467">
          <cell r="B1467" t="str">
            <v>A1316</v>
          </cell>
          <cell r="C1467" t="str">
            <v>Direct</v>
          </cell>
          <cell r="D1467" t="str">
            <v>UEC</v>
          </cell>
        </row>
        <row r="1468">
          <cell r="B1468" t="str">
            <v>A1317</v>
          </cell>
          <cell r="C1468" t="str">
            <v>Direct</v>
          </cell>
          <cell r="D1468" t="str">
            <v>CIP</v>
          </cell>
        </row>
        <row r="1469">
          <cell r="B1469" t="str">
            <v>A2005</v>
          </cell>
          <cell r="C1469" t="str">
            <v>Direct</v>
          </cell>
          <cell r="D1469" t="str">
            <v>CIP</v>
          </cell>
        </row>
        <row r="1470">
          <cell r="B1470" t="str">
            <v>A2006</v>
          </cell>
          <cell r="C1470" t="str">
            <v>Allocated Direct</v>
          </cell>
          <cell r="D1470" t="str">
            <v>004A</v>
          </cell>
        </row>
        <row r="1471">
          <cell r="B1471" t="str">
            <v>A2010</v>
          </cell>
          <cell r="C1471" t="str">
            <v>Allocated Direct</v>
          </cell>
          <cell r="D1471" t="str">
            <v>002L</v>
          </cell>
        </row>
        <row r="1472">
          <cell r="B1472" t="str">
            <v>A2011</v>
          </cell>
          <cell r="C1472" t="str">
            <v>Allocated Direct</v>
          </cell>
          <cell r="D1472" t="str">
            <v>001A</v>
          </cell>
        </row>
        <row r="1473">
          <cell r="B1473" t="str">
            <v>A2019</v>
          </cell>
          <cell r="C1473" t="str">
            <v>Allocated Direct</v>
          </cell>
          <cell r="D1473" t="str">
            <v>011A</v>
          </cell>
        </row>
        <row r="1474">
          <cell r="B1474" t="str">
            <v>A2022</v>
          </cell>
          <cell r="C1474" t="str">
            <v>Direct</v>
          </cell>
          <cell r="D1474" t="str">
            <v>CIP</v>
          </cell>
        </row>
        <row r="1475">
          <cell r="B1475" t="str">
            <v>A2023</v>
          </cell>
          <cell r="C1475" t="str">
            <v>Direct</v>
          </cell>
          <cell r="D1475" t="str">
            <v>UEC</v>
          </cell>
        </row>
        <row r="1476">
          <cell r="B1476" t="str">
            <v>A2024</v>
          </cell>
          <cell r="C1476" t="str">
            <v>Direct</v>
          </cell>
          <cell r="D1476" t="str">
            <v>UEC</v>
          </cell>
        </row>
        <row r="1477">
          <cell r="B1477" t="str">
            <v>A2025</v>
          </cell>
          <cell r="C1477" t="str">
            <v>Direct</v>
          </cell>
          <cell r="D1477" t="str">
            <v>GEN</v>
          </cell>
        </row>
        <row r="1478">
          <cell r="B1478" t="str">
            <v>A2026</v>
          </cell>
          <cell r="C1478" t="str">
            <v>Direct</v>
          </cell>
          <cell r="D1478" t="str">
            <v>UEC</v>
          </cell>
        </row>
        <row r="1479">
          <cell r="B1479" t="str">
            <v>A2027</v>
          </cell>
          <cell r="C1479" t="str">
            <v>Direct</v>
          </cell>
          <cell r="D1479" t="str">
            <v>GEN</v>
          </cell>
        </row>
        <row r="1480">
          <cell r="B1480" t="str">
            <v>A2029</v>
          </cell>
          <cell r="C1480" t="str">
            <v>Allocated Direct</v>
          </cell>
          <cell r="D1480" t="str">
            <v>002L</v>
          </cell>
        </row>
        <row r="1481">
          <cell r="B1481" t="str">
            <v>A2031</v>
          </cell>
          <cell r="C1481" t="str">
            <v>Direct</v>
          </cell>
          <cell r="D1481" t="str">
            <v>GEN</v>
          </cell>
        </row>
        <row r="1482">
          <cell r="B1482" t="str">
            <v>A2032</v>
          </cell>
          <cell r="C1482" t="str">
            <v>Allocated Direct</v>
          </cell>
          <cell r="D1482" t="str">
            <v>002L</v>
          </cell>
        </row>
        <row r="1483">
          <cell r="B1483" t="str">
            <v>A2033</v>
          </cell>
          <cell r="C1483" t="str">
            <v>Allocated Direct</v>
          </cell>
          <cell r="D1483" t="str">
            <v>011B</v>
          </cell>
        </row>
        <row r="1484">
          <cell r="B1484" t="str">
            <v>A2034</v>
          </cell>
          <cell r="C1484" t="str">
            <v>Direct</v>
          </cell>
          <cell r="D1484" t="str">
            <v>UEC</v>
          </cell>
        </row>
        <row r="1485">
          <cell r="B1485" t="str">
            <v>A2035</v>
          </cell>
          <cell r="C1485" t="str">
            <v>Direct</v>
          </cell>
          <cell r="D1485" t="str">
            <v>UEC</v>
          </cell>
        </row>
        <row r="1486">
          <cell r="B1486" t="str">
            <v>A2036</v>
          </cell>
          <cell r="C1486" t="str">
            <v>Direct</v>
          </cell>
          <cell r="D1486" t="str">
            <v>UEC</v>
          </cell>
        </row>
        <row r="1487">
          <cell r="B1487" t="str">
            <v>A2037</v>
          </cell>
          <cell r="C1487" t="str">
            <v>Direct</v>
          </cell>
          <cell r="D1487" t="str">
            <v>UEC</v>
          </cell>
        </row>
        <row r="1488">
          <cell r="B1488" t="str">
            <v>A2038</v>
          </cell>
          <cell r="C1488" t="str">
            <v>Direct</v>
          </cell>
          <cell r="D1488" t="str">
            <v>UEC</v>
          </cell>
        </row>
        <row r="1489">
          <cell r="B1489" t="str">
            <v>A2039</v>
          </cell>
          <cell r="C1489" t="str">
            <v>Direct</v>
          </cell>
          <cell r="D1489" t="str">
            <v>UEC</v>
          </cell>
        </row>
        <row r="1490">
          <cell r="B1490" t="str">
            <v>A2040</v>
          </cell>
          <cell r="C1490" t="str">
            <v>Direct</v>
          </cell>
          <cell r="D1490" t="str">
            <v>UEC</v>
          </cell>
        </row>
        <row r="1491">
          <cell r="B1491" t="str">
            <v>A2041</v>
          </cell>
          <cell r="C1491" t="str">
            <v>Direct</v>
          </cell>
          <cell r="D1491" t="str">
            <v>UEC</v>
          </cell>
        </row>
        <row r="1492">
          <cell r="B1492" t="str">
            <v>A2042</v>
          </cell>
          <cell r="C1492" t="str">
            <v>Direct</v>
          </cell>
          <cell r="D1492" t="str">
            <v>UEC</v>
          </cell>
        </row>
        <row r="1493">
          <cell r="B1493" t="str">
            <v>A2043</v>
          </cell>
          <cell r="C1493" t="str">
            <v>Direct</v>
          </cell>
          <cell r="D1493" t="str">
            <v>UEC</v>
          </cell>
        </row>
        <row r="1494">
          <cell r="B1494" t="str">
            <v>A2044</v>
          </cell>
          <cell r="C1494" t="str">
            <v>Direct</v>
          </cell>
          <cell r="D1494" t="str">
            <v>GEN</v>
          </cell>
        </row>
        <row r="1495">
          <cell r="B1495" t="str">
            <v>A2045</v>
          </cell>
          <cell r="C1495" t="str">
            <v>Direct</v>
          </cell>
          <cell r="D1495" t="str">
            <v>GEN</v>
          </cell>
        </row>
        <row r="1496">
          <cell r="B1496" t="str">
            <v>A2046</v>
          </cell>
          <cell r="C1496" t="str">
            <v>Direct</v>
          </cell>
          <cell r="D1496" t="str">
            <v>GEN</v>
          </cell>
        </row>
        <row r="1497">
          <cell r="B1497" t="str">
            <v>A2047</v>
          </cell>
          <cell r="C1497" t="str">
            <v>Direct</v>
          </cell>
          <cell r="D1497" t="str">
            <v>GEN</v>
          </cell>
        </row>
        <row r="1498">
          <cell r="B1498" t="str">
            <v>A2048</v>
          </cell>
          <cell r="C1498" t="str">
            <v>Direct</v>
          </cell>
          <cell r="D1498" t="str">
            <v>GEN</v>
          </cell>
        </row>
        <row r="1499">
          <cell r="B1499" t="str">
            <v>A2049</v>
          </cell>
          <cell r="C1499" t="str">
            <v>Direct</v>
          </cell>
          <cell r="D1499" t="str">
            <v>GEN</v>
          </cell>
        </row>
        <row r="1500">
          <cell r="B1500" t="str">
            <v>A2050</v>
          </cell>
          <cell r="C1500" t="str">
            <v>Direct</v>
          </cell>
          <cell r="D1500" t="str">
            <v>UEC</v>
          </cell>
        </row>
        <row r="1501">
          <cell r="B1501" t="str">
            <v>A2051</v>
          </cell>
          <cell r="C1501" t="str">
            <v>Direct</v>
          </cell>
          <cell r="D1501" t="str">
            <v>UEC</v>
          </cell>
        </row>
        <row r="1502">
          <cell r="B1502" t="str">
            <v>A2078</v>
          </cell>
          <cell r="C1502" t="str">
            <v>Indirect Functional</v>
          </cell>
          <cell r="D1502" t="str">
            <v>Indirect</v>
          </cell>
        </row>
        <row r="1503">
          <cell r="B1503" t="str">
            <v>A2079</v>
          </cell>
          <cell r="C1503" t="str">
            <v>Allocated Direct</v>
          </cell>
          <cell r="D1503" t="str">
            <v>002A</v>
          </cell>
        </row>
        <row r="1504">
          <cell r="B1504" t="str">
            <v>A2080</v>
          </cell>
          <cell r="C1504" t="str">
            <v>Allocated Direct</v>
          </cell>
          <cell r="D1504" t="str">
            <v>004A</v>
          </cell>
        </row>
        <row r="1505">
          <cell r="B1505" t="str">
            <v>A2084</v>
          </cell>
          <cell r="C1505" t="str">
            <v>Allocated Direct</v>
          </cell>
          <cell r="D1505" t="str">
            <v>018D</v>
          </cell>
        </row>
        <row r="1506">
          <cell r="B1506" t="str">
            <v>A2092</v>
          </cell>
          <cell r="C1506" t="str">
            <v>Allocated Direct</v>
          </cell>
          <cell r="D1506" t="str">
            <v>001A</v>
          </cell>
        </row>
        <row r="1507">
          <cell r="B1507" t="str">
            <v>A2096</v>
          </cell>
          <cell r="C1507" t="str">
            <v>Direct</v>
          </cell>
          <cell r="D1507" t="str">
            <v>AFS</v>
          </cell>
        </row>
        <row r="1508">
          <cell r="B1508" t="str">
            <v>A2104</v>
          </cell>
          <cell r="C1508" t="str">
            <v>Allocated Direct</v>
          </cell>
          <cell r="D1508" t="str">
            <v>004A</v>
          </cell>
        </row>
        <row r="1509">
          <cell r="B1509" t="str">
            <v>A2105</v>
          </cell>
          <cell r="C1509" t="str">
            <v>Direct</v>
          </cell>
          <cell r="D1509" t="str">
            <v>UEC</v>
          </cell>
        </row>
        <row r="1510">
          <cell r="B1510" t="str">
            <v>A2106</v>
          </cell>
          <cell r="C1510" t="str">
            <v>Allocated Direct</v>
          </cell>
          <cell r="D1510" t="str">
            <v>017C</v>
          </cell>
        </row>
        <row r="1511">
          <cell r="B1511" t="str">
            <v>A2107</v>
          </cell>
          <cell r="C1511" t="str">
            <v>Allocated Direct</v>
          </cell>
          <cell r="D1511" t="str">
            <v>001G</v>
          </cell>
        </row>
        <row r="1512">
          <cell r="B1512" t="str">
            <v>A2109</v>
          </cell>
          <cell r="C1512" t="str">
            <v>Direct</v>
          </cell>
          <cell r="D1512" t="str">
            <v>UEC</v>
          </cell>
        </row>
        <row r="1513">
          <cell r="B1513" t="str">
            <v>A2111</v>
          </cell>
          <cell r="C1513" t="str">
            <v>Allocated Direct</v>
          </cell>
          <cell r="D1513" t="str">
            <v>002L</v>
          </cell>
        </row>
        <row r="1514">
          <cell r="B1514" t="str">
            <v>A2112</v>
          </cell>
          <cell r="C1514" t="str">
            <v>Allocated Direct</v>
          </cell>
          <cell r="D1514" t="str">
            <v>004C</v>
          </cell>
        </row>
        <row r="1515">
          <cell r="B1515" t="str">
            <v>A2115</v>
          </cell>
          <cell r="C1515" t="str">
            <v>Direct</v>
          </cell>
          <cell r="D1515" t="str">
            <v>AFS</v>
          </cell>
        </row>
        <row r="1516">
          <cell r="B1516" t="str">
            <v>A2116</v>
          </cell>
          <cell r="C1516" t="str">
            <v>Allocated Direct</v>
          </cell>
          <cell r="D1516" t="str">
            <v>007A</v>
          </cell>
        </row>
        <row r="1517">
          <cell r="B1517" t="str">
            <v>A2122</v>
          </cell>
          <cell r="C1517" t="str">
            <v>Indirect Functional</v>
          </cell>
          <cell r="D1517" t="str">
            <v>Indirect</v>
          </cell>
        </row>
        <row r="1518">
          <cell r="B1518" t="str">
            <v>A2126</v>
          </cell>
          <cell r="C1518" t="str">
            <v>Allocated Direct</v>
          </cell>
          <cell r="D1518" t="str">
            <v>001G</v>
          </cell>
        </row>
        <row r="1519">
          <cell r="B1519" t="str">
            <v>A2127</v>
          </cell>
          <cell r="C1519" t="str">
            <v>Direct</v>
          </cell>
          <cell r="D1519" t="str">
            <v>UEC</v>
          </cell>
        </row>
        <row r="1520">
          <cell r="B1520" t="str">
            <v>A2128</v>
          </cell>
          <cell r="C1520" t="str">
            <v>Direct</v>
          </cell>
          <cell r="D1520" t="str">
            <v>UEC</v>
          </cell>
        </row>
        <row r="1521">
          <cell r="B1521" t="str">
            <v>A2132</v>
          </cell>
          <cell r="C1521" t="str">
            <v>Direct</v>
          </cell>
          <cell r="D1521" t="str">
            <v>AFS</v>
          </cell>
        </row>
        <row r="1522">
          <cell r="B1522" t="str">
            <v>A2133</v>
          </cell>
          <cell r="C1522" t="str">
            <v>Direct</v>
          </cell>
          <cell r="D1522" t="str">
            <v>GEN</v>
          </cell>
        </row>
        <row r="1523">
          <cell r="B1523" t="str">
            <v>A2135</v>
          </cell>
          <cell r="C1523" t="str">
            <v>Allocated Direct</v>
          </cell>
          <cell r="D1523" t="str">
            <v>001G</v>
          </cell>
        </row>
        <row r="1524">
          <cell r="B1524" t="str">
            <v>A2136</v>
          </cell>
          <cell r="C1524" t="str">
            <v>Direct</v>
          </cell>
          <cell r="D1524" t="str">
            <v>UEC</v>
          </cell>
        </row>
        <row r="1525">
          <cell r="B1525" t="str">
            <v>A2139</v>
          </cell>
          <cell r="C1525" t="str">
            <v>Allocated Direct</v>
          </cell>
          <cell r="D1525" t="str">
            <v>001A</v>
          </cell>
        </row>
        <row r="1526">
          <cell r="B1526" t="str">
            <v>A2140</v>
          </cell>
          <cell r="C1526" t="str">
            <v>Allocated Direct</v>
          </cell>
          <cell r="D1526" t="str">
            <v>004A</v>
          </cell>
        </row>
        <row r="1527">
          <cell r="B1527" t="str">
            <v>A2142</v>
          </cell>
          <cell r="C1527" t="str">
            <v>Direct</v>
          </cell>
          <cell r="D1527" t="str">
            <v>GEN</v>
          </cell>
        </row>
        <row r="1528">
          <cell r="B1528" t="str">
            <v>A2148</v>
          </cell>
          <cell r="C1528" t="str">
            <v>Allocated Direct</v>
          </cell>
          <cell r="D1528" t="str">
            <v>007A</v>
          </cell>
        </row>
        <row r="1529">
          <cell r="B1529" t="str">
            <v>A2149</v>
          </cell>
          <cell r="C1529" t="str">
            <v>Direct</v>
          </cell>
          <cell r="D1529" t="str">
            <v>GMC</v>
          </cell>
        </row>
        <row r="1530">
          <cell r="B1530" t="str">
            <v>A2150</v>
          </cell>
          <cell r="C1530" t="str">
            <v>Direct</v>
          </cell>
          <cell r="D1530" t="str">
            <v>GEN</v>
          </cell>
        </row>
        <row r="1531">
          <cell r="B1531" t="str">
            <v>A2151</v>
          </cell>
          <cell r="C1531" t="str">
            <v>Direct</v>
          </cell>
          <cell r="D1531" t="str">
            <v>UEC</v>
          </cell>
        </row>
        <row r="1532">
          <cell r="B1532" t="str">
            <v>A2152</v>
          </cell>
          <cell r="C1532" t="str">
            <v>Allocated Direct</v>
          </cell>
          <cell r="D1532" t="str">
            <v>002K</v>
          </cell>
        </row>
        <row r="1533">
          <cell r="B1533" t="str">
            <v>A2154</v>
          </cell>
          <cell r="C1533" t="str">
            <v>Direct</v>
          </cell>
          <cell r="D1533" t="str">
            <v>GEN</v>
          </cell>
        </row>
        <row r="1534">
          <cell r="B1534" t="str">
            <v>A2155</v>
          </cell>
          <cell r="C1534" t="str">
            <v>Direct</v>
          </cell>
          <cell r="D1534" t="str">
            <v>UEC</v>
          </cell>
        </row>
        <row r="1535">
          <cell r="B1535" t="str">
            <v>A2158</v>
          </cell>
          <cell r="C1535" t="str">
            <v>Allocated Direct</v>
          </cell>
          <cell r="D1535" t="str">
            <v>001A</v>
          </cell>
        </row>
        <row r="1536">
          <cell r="B1536" t="str">
            <v>A2161</v>
          </cell>
          <cell r="C1536" t="str">
            <v>Direct</v>
          </cell>
          <cell r="D1536" t="str">
            <v>UEC</v>
          </cell>
        </row>
        <row r="1537">
          <cell r="B1537" t="str">
            <v>A2162</v>
          </cell>
          <cell r="C1537" t="str">
            <v>Direct</v>
          </cell>
          <cell r="D1537" t="str">
            <v>CIP</v>
          </cell>
        </row>
        <row r="1538">
          <cell r="B1538" t="str">
            <v>A2163</v>
          </cell>
          <cell r="C1538" t="str">
            <v>Allocated Direct</v>
          </cell>
          <cell r="D1538" t="str">
            <v>002K</v>
          </cell>
        </row>
        <row r="1539">
          <cell r="B1539" t="str">
            <v>A2164</v>
          </cell>
          <cell r="C1539" t="str">
            <v>Direct</v>
          </cell>
          <cell r="D1539" t="str">
            <v>UEC</v>
          </cell>
        </row>
        <row r="1540">
          <cell r="B1540" t="str">
            <v>A2165</v>
          </cell>
          <cell r="C1540" t="str">
            <v>Direct</v>
          </cell>
          <cell r="D1540" t="str">
            <v>CIP</v>
          </cell>
        </row>
        <row r="1541">
          <cell r="B1541" t="str">
            <v>A2166</v>
          </cell>
          <cell r="C1541" t="str">
            <v>Allocated Direct</v>
          </cell>
          <cell r="D1541" t="str">
            <v>002K</v>
          </cell>
        </row>
        <row r="1542">
          <cell r="B1542" t="str">
            <v>A2167</v>
          </cell>
          <cell r="C1542" t="str">
            <v>Indirect Functional</v>
          </cell>
          <cell r="D1542" t="str">
            <v>Indirect</v>
          </cell>
        </row>
        <row r="1543">
          <cell r="B1543" t="str">
            <v>A2168</v>
          </cell>
          <cell r="C1543" t="str">
            <v>Allocated Direct</v>
          </cell>
          <cell r="D1543" t="str">
            <v>017B</v>
          </cell>
        </row>
        <row r="1544">
          <cell r="B1544" t="str">
            <v>A2179</v>
          </cell>
          <cell r="C1544" t="str">
            <v>Allocated Direct</v>
          </cell>
          <cell r="D1544" t="str">
            <v>002K</v>
          </cell>
        </row>
        <row r="1545">
          <cell r="B1545" t="str">
            <v>A2184</v>
          </cell>
          <cell r="C1545" t="str">
            <v>Allocated Direct</v>
          </cell>
          <cell r="D1545" t="str">
            <v>004A</v>
          </cell>
        </row>
        <row r="1546">
          <cell r="B1546" t="str">
            <v>A2186</v>
          </cell>
          <cell r="C1546" t="str">
            <v>Allocated Direct</v>
          </cell>
          <cell r="D1546" t="str">
            <v>004A</v>
          </cell>
        </row>
        <row r="1547">
          <cell r="B1547" t="str">
            <v>A2187</v>
          </cell>
          <cell r="C1547" t="str">
            <v>Allocated Direct</v>
          </cell>
          <cell r="D1547" t="str">
            <v>004A</v>
          </cell>
        </row>
        <row r="1548">
          <cell r="B1548" t="str">
            <v>A2188</v>
          </cell>
          <cell r="C1548" t="str">
            <v>Allocated Direct</v>
          </cell>
          <cell r="D1548" t="str">
            <v>004A</v>
          </cell>
        </row>
        <row r="1549">
          <cell r="B1549" t="str">
            <v>A2190</v>
          </cell>
          <cell r="C1549" t="str">
            <v>Allocated Direct</v>
          </cell>
          <cell r="D1549" t="str">
            <v>004A</v>
          </cell>
        </row>
        <row r="1550">
          <cell r="B1550" t="str">
            <v>A2191</v>
          </cell>
          <cell r="C1550" t="str">
            <v>Allocated Direct</v>
          </cell>
          <cell r="D1550" t="str">
            <v>004A</v>
          </cell>
        </row>
        <row r="1551">
          <cell r="B1551" t="str">
            <v>A2192</v>
          </cell>
          <cell r="C1551" t="str">
            <v>Allocated Direct</v>
          </cell>
          <cell r="D1551" t="str">
            <v>004A</v>
          </cell>
        </row>
        <row r="1552">
          <cell r="B1552" t="str">
            <v>A2201</v>
          </cell>
          <cell r="C1552" t="str">
            <v>Direct</v>
          </cell>
          <cell r="D1552" t="str">
            <v>UEC</v>
          </cell>
        </row>
        <row r="1553">
          <cell r="B1553" t="str">
            <v>A2202</v>
          </cell>
          <cell r="C1553" t="str">
            <v>Direct</v>
          </cell>
          <cell r="D1553" t="str">
            <v>CIP</v>
          </cell>
        </row>
        <row r="1554">
          <cell r="B1554" t="str">
            <v>A2203</v>
          </cell>
          <cell r="C1554" t="str">
            <v>Direct</v>
          </cell>
          <cell r="D1554" t="str">
            <v>UEC</v>
          </cell>
        </row>
        <row r="1555">
          <cell r="B1555" t="str">
            <v>A2206</v>
          </cell>
          <cell r="C1555" t="str">
            <v>Direct</v>
          </cell>
          <cell r="D1555" t="str">
            <v>GEN</v>
          </cell>
        </row>
        <row r="1556">
          <cell r="B1556" t="str">
            <v>A2209</v>
          </cell>
          <cell r="C1556" t="str">
            <v>Indirect Functional</v>
          </cell>
          <cell r="D1556" t="str">
            <v>Indirect</v>
          </cell>
        </row>
        <row r="1557">
          <cell r="B1557" t="str">
            <v>A2223</v>
          </cell>
          <cell r="C1557" t="str">
            <v>Direct</v>
          </cell>
          <cell r="D1557" t="str">
            <v>ADC</v>
          </cell>
        </row>
        <row r="1558">
          <cell r="B1558" t="str">
            <v>A2224</v>
          </cell>
          <cell r="C1558" t="str">
            <v>Allocated Direct</v>
          </cell>
          <cell r="D1558" t="str">
            <v>001A</v>
          </cell>
        </row>
        <row r="1559">
          <cell r="B1559" t="str">
            <v>A2227</v>
          </cell>
          <cell r="C1559" t="str">
            <v>Direct</v>
          </cell>
          <cell r="D1559" t="str">
            <v>AMC</v>
          </cell>
        </row>
        <row r="1560">
          <cell r="B1560" t="str">
            <v>A2257</v>
          </cell>
          <cell r="C1560" t="str">
            <v>Allocated Direct</v>
          </cell>
          <cell r="D1560" t="str">
            <v>004A</v>
          </cell>
        </row>
        <row r="1561">
          <cell r="B1561" t="str">
            <v>A2264</v>
          </cell>
          <cell r="C1561" t="str">
            <v>Direct</v>
          </cell>
          <cell r="D1561" t="str">
            <v>UEC</v>
          </cell>
        </row>
        <row r="1562">
          <cell r="B1562" t="str">
            <v>A2265</v>
          </cell>
          <cell r="C1562" t="str">
            <v>Allocated Direct</v>
          </cell>
          <cell r="D1562" t="str">
            <v>002L</v>
          </cell>
        </row>
        <row r="1563">
          <cell r="B1563" t="str">
            <v>A2266</v>
          </cell>
          <cell r="C1563" t="str">
            <v>Direct</v>
          </cell>
          <cell r="D1563" t="str">
            <v>GEN</v>
          </cell>
        </row>
        <row r="1564">
          <cell r="B1564" t="str">
            <v>A2268</v>
          </cell>
          <cell r="C1564" t="str">
            <v>Direct</v>
          </cell>
          <cell r="D1564" t="str">
            <v>GMC</v>
          </cell>
        </row>
        <row r="1565">
          <cell r="B1565" t="str">
            <v>A2269</v>
          </cell>
          <cell r="C1565" t="str">
            <v>Direct</v>
          </cell>
          <cell r="D1565" t="str">
            <v>AFS</v>
          </cell>
        </row>
        <row r="1566">
          <cell r="B1566" t="str">
            <v>A2275</v>
          </cell>
          <cell r="C1566" t="str">
            <v>Allocated Direct</v>
          </cell>
          <cell r="D1566" t="str">
            <v>002A</v>
          </cell>
        </row>
        <row r="1567">
          <cell r="B1567" t="str">
            <v>A2276</v>
          </cell>
          <cell r="C1567" t="str">
            <v>Allocated Direct</v>
          </cell>
          <cell r="D1567" t="str">
            <v>001A</v>
          </cell>
        </row>
        <row r="1568">
          <cell r="B1568" t="str">
            <v>A2278</v>
          </cell>
          <cell r="C1568" t="str">
            <v>Direct</v>
          </cell>
          <cell r="D1568" t="str">
            <v>AFS</v>
          </cell>
        </row>
        <row r="1569">
          <cell r="B1569" t="str">
            <v>A2280</v>
          </cell>
          <cell r="C1569" t="str">
            <v>Direct</v>
          </cell>
          <cell r="D1569" t="str">
            <v>AMC</v>
          </cell>
        </row>
        <row r="1570">
          <cell r="B1570" t="str">
            <v>A2284</v>
          </cell>
          <cell r="C1570" t="str">
            <v>Direct</v>
          </cell>
          <cell r="D1570" t="str">
            <v>GEN</v>
          </cell>
        </row>
        <row r="1571">
          <cell r="B1571" t="str">
            <v>A2285</v>
          </cell>
          <cell r="C1571" t="str">
            <v>Direct</v>
          </cell>
          <cell r="D1571" t="str">
            <v>GEN</v>
          </cell>
        </row>
        <row r="1572">
          <cell r="B1572" t="str">
            <v>A2286</v>
          </cell>
          <cell r="C1572" t="str">
            <v>Direct</v>
          </cell>
          <cell r="D1572" t="str">
            <v>AFS</v>
          </cell>
        </row>
        <row r="1573">
          <cell r="B1573" t="str">
            <v>A2287</v>
          </cell>
          <cell r="C1573" t="str">
            <v>Direct</v>
          </cell>
          <cell r="D1573" t="str">
            <v>GMC</v>
          </cell>
        </row>
        <row r="1574">
          <cell r="B1574" t="str">
            <v>A2288</v>
          </cell>
          <cell r="C1574" t="str">
            <v>Direct</v>
          </cell>
          <cell r="D1574" t="str">
            <v>GEN</v>
          </cell>
        </row>
        <row r="1575">
          <cell r="B1575" t="str">
            <v>A2295</v>
          </cell>
          <cell r="C1575" t="str">
            <v>Direct</v>
          </cell>
          <cell r="D1575" t="str">
            <v>AFS</v>
          </cell>
        </row>
        <row r="1576">
          <cell r="B1576" t="str">
            <v>A2296</v>
          </cell>
          <cell r="C1576" t="str">
            <v>Allocated Direct</v>
          </cell>
          <cell r="D1576" t="str">
            <v>002L</v>
          </cell>
        </row>
        <row r="1577">
          <cell r="B1577" t="str">
            <v>A2298</v>
          </cell>
          <cell r="C1577" t="str">
            <v>Direct</v>
          </cell>
          <cell r="D1577" t="str">
            <v>AFS</v>
          </cell>
        </row>
        <row r="1578">
          <cell r="B1578" t="str">
            <v>A2299</v>
          </cell>
          <cell r="C1578" t="str">
            <v>Direct</v>
          </cell>
          <cell r="D1578" t="str">
            <v>AMC</v>
          </cell>
        </row>
        <row r="1579">
          <cell r="B1579" t="str">
            <v>A2302</v>
          </cell>
          <cell r="C1579" t="str">
            <v>Indirect Corporate</v>
          </cell>
          <cell r="D1579" t="str">
            <v>Indirect</v>
          </cell>
        </row>
        <row r="1580">
          <cell r="B1580" t="str">
            <v>A2305</v>
          </cell>
          <cell r="C1580" t="str">
            <v>Direct</v>
          </cell>
          <cell r="D1580" t="str">
            <v>GEN</v>
          </cell>
        </row>
        <row r="1581">
          <cell r="B1581" t="str">
            <v>A2306</v>
          </cell>
          <cell r="C1581" t="str">
            <v>Direct</v>
          </cell>
          <cell r="D1581" t="str">
            <v>UEC</v>
          </cell>
        </row>
        <row r="1582">
          <cell r="B1582" t="str">
            <v>A2307</v>
          </cell>
          <cell r="C1582" t="str">
            <v>Allocated Direct</v>
          </cell>
          <cell r="D1582" t="str">
            <v>002L</v>
          </cell>
        </row>
        <row r="1583">
          <cell r="B1583" t="str">
            <v>A2309</v>
          </cell>
          <cell r="C1583" t="str">
            <v>Allocated Direct</v>
          </cell>
          <cell r="D1583" t="str">
            <v>004A</v>
          </cell>
        </row>
        <row r="1584">
          <cell r="B1584" t="str">
            <v>A2310</v>
          </cell>
          <cell r="C1584" t="str">
            <v>Direct</v>
          </cell>
          <cell r="D1584" t="str">
            <v>ADC</v>
          </cell>
        </row>
        <row r="1585">
          <cell r="B1585" t="str">
            <v>A2312</v>
          </cell>
          <cell r="C1585" t="str">
            <v>Allocated Direct</v>
          </cell>
          <cell r="D1585" t="str">
            <v>010A</v>
          </cell>
        </row>
        <row r="1586">
          <cell r="B1586" t="str">
            <v>A2316</v>
          </cell>
          <cell r="C1586" t="str">
            <v>Direct</v>
          </cell>
          <cell r="D1586" t="str">
            <v>IHC</v>
          </cell>
        </row>
        <row r="1587">
          <cell r="B1587" t="str">
            <v>A2317</v>
          </cell>
          <cell r="C1587" t="str">
            <v>Direct</v>
          </cell>
          <cell r="D1587" t="str">
            <v>011B</v>
          </cell>
        </row>
        <row r="1588">
          <cell r="B1588" t="str">
            <v>A2321</v>
          </cell>
          <cell r="C1588" t="str">
            <v>Indirect Functional</v>
          </cell>
          <cell r="D1588" t="str">
            <v>Indirect</v>
          </cell>
        </row>
        <row r="1589">
          <cell r="B1589" t="str">
            <v>A2323</v>
          </cell>
          <cell r="C1589" t="str">
            <v>Direct</v>
          </cell>
          <cell r="D1589" t="str">
            <v>IHC</v>
          </cell>
        </row>
        <row r="1590">
          <cell r="B1590" t="str">
            <v>A2324</v>
          </cell>
          <cell r="C1590" t="str">
            <v>Direct</v>
          </cell>
          <cell r="D1590" t="str">
            <v>GMC</v>
          </cell>
        </row>
        <row r="1591">
          <cell r="B1591" t="str">
            <v>A2326</v>
          </cell>
          <cell r="C1591" t="str">
            <v>Direct</v>
          </cell>
          <cell r="D1591" t="str">
            <v>AFS</v>
          </cell>
        </row>
        <row r="1592">
          <cell r="B1592" t="str">
            <v>A2327</v>
          </cell>
          <cell r="C1592" t="str">
            <v>Direct</v>
          </cell>
          <cell r="D1592" t="str">
            <v>GEN</v>
          </cell>
        </row>
        <row r="1593">
          <cell r="B1593" t="str">
            <v>A2330</v>
          </cell>
          <cell r="C1593" t="str">
            <v>Allocated Direct</v>
          </cell>
          <cell r="D1593" t="str">
            <v>015A</v>
          </cell>
        </row>
        <row r="1594">
          <cell r="B1594" t="str">
            <v>A2331</v>
          </cell>
          <cell r="C1594" t="str">
            <v>Direct</v>
          </cell>
          <cell r="D1594" t="str">
            <v>UEC</v>
          </cell>
        </row>
        <row r="1595">
          <cell r="B1595" t="str">
            <v>A2332</v>
          </cell>
          <cell r="C1595" t="str">
            <v>Direct</v>
          </cell>
          <cell r="D1595" t="str">
            <v>UEC</v>
          </cell>
        </row>
        <row r="1596">
          <cell r="B1596" t="str">
            <v>A2337</v>
          </cell>
          <cell r="C1596" t="str">
            <v>Allocated Direct</v>
          </cell>
          <cell r="D1596" t="str">
            <v>002M</v>
          </cell>
        </row>
        <row r="1597">
          <cell r="B1597" t="str">
            <v>A2338</v>
          </cell>
          <cell r="C1597" t="str">
            <v>Allocated Direct</v>
          </cell>
          <cell r="D1597" t="str">
            <v>002M</v>
          </cell>
        </row>
        <row r="1598">
          <cell r="B1598" t="str">
            <v>A2339</v>
          </cell>
          <cell r="C1598" t="str">
            <v>Allocated Direct</v>
          </cell>
          <cell r="D1598" t="str">
            <v>011A</v>
          </cell>
        </row>
        <row r="1599">
          <cell r="B1599" t="str">
            <v>A2340</v>
          </cell>
          <cell r="C1599" t="str">
            <v>Allocated Direct</v>
          </cell>
          <cell r="D1599" t="str">
            <v>010A</v>
          </cell>
        </row>
        <row r="1600">
          <cell r="B1600" t="str">
            <v>A2341</v>
          </cell>
          <cell r="C1600" t="str">
            <v>Allocated Direct</v>
          </cell>
          <cell r="D1600" t="str">
            <v>002D</v>
          </cell>
        </row>
        <row r="1601">
          <cell r="B1601" t="str">
            <v>A2345</v>
          </cell>
          <cell r="C1601" t="str">
            <v>Direct</v>
          </cell>
          <cell r="D1601" t="str">
            <v>CIL</v>
          </cell>
        </row>
        <row r="1602">
          <cell r="B1602" t="str">
            <v>A2347</v>
          </cell>
          <cell r="C1602" t="str">
            <v>Indirect Functional</v>
          </cell>
          <cell r="D1602" t="str">
            <v>Indirect</v>
          </cell>
        </row>
        <row r="1603">
          <cell r="B1603" t="str">
            <v>A2348</v>
          </cell>
          <cell r="C1603" t="str">
            <v>Direct</v>
          </cell>
          <cell r="D1603" t="str">
            <v>GMC</v>
          </cell>
        </row>
        <row r="1604">
          <cell r="B1604" t="str">
            <v>A2349</v>
          </cell>
          <cell r="C1604" t="str">
            <v>Direct</v>
          </cell>
          <cell r="D1604" t="str">
            <v>UEC</v>
          </cell>
        </row>
        <row r="1605">
          <cell r="B1605" t="str">
            <v>A2350</v>
          </cell>
          <cell r="C1605" t="str">
            <v>Allocated Direct</v>
          </cell>
          <cell r="D1605" t="str">
            <v>001G</v>
          </cell>
        </row>
        <row r="1606">
          <cell r="B1606" t="str">
            <v>A2351</v>
          </cell>
          <cell r="C1606" t="str">
            <v>Direct</v>
          </cell>
          <cell r="D1606" t="str">
            <v>CIL</v>
          </cell>
        </row>
        <row r="1607">
          <cell r="B1607" t="str">
            <v>A2353</v>
          </cell>
          <cell r="C1607" t="str">
            <v>Direct</v>
          </cell>
          <cell r="D1607" t="str">
            <v>CIL</v>
          </cell>
        </row>
        <row r="1608">
          <cell r="B1608" t="str">
            <v>A2354</v>
          </cell>
          <cell r="C1608" t="str">
            <v>Direct</v>
          </cell>
          <cell r="D1608" t="str">
            <v>CIL</v>
          </cell>
        </row>
        <row r="1609">
          <cell r="B1609" t="str">
            <v>A2355</v>
          </cell>
          <cell r="C1609" t="str">
            <v>Direct</v>
          </cell>
          <cell r="D1609" t="str">
            <v>ARG</v>
          </cell>
        </row>
        <row r="1610">
          <cell r="B1610" t="str">
            <v>A2356</v>
          </cell>
          <cell r="C1610" t="str">
            <v>Direct</v>
          </cell>
          <cell r="D1610" t="str">
            <v>ARG</v>
          </cell>
        </row>
        <row r="1611">
          <cell r="B1611" t="str">
            <v>A2357</v>
          </cell>
          <cell r="C1611" t="str">
            <v>Direct</v>
          </cell>
          <cell r="D1611" t="str">
            <v>CIL</v>
          </cell>
        </row>
        <row r="1612">
          <cell r="B1612" t="str">
            <v>A2358</v>
          </cell>
          <cell r="C1612" t="str">
            <v>Direct</v>
          </cell>
          <cell r="D1612" t="str">
            <v>CIL</v>
          </cell>
        </row>
        <row r="1613">
          <cell r="B1613" t="str">
            <v>A2359</v>
          </cell>
          <cell r="C1613" t="str">
            <v>Direct</v>
          </cell>
          <cell r="D1613" t="str">
            <v>CIL</v>
          </cell>
        </row>
        <row r="1614">
          <cell r="B1614" t="str">
            <v>A2366</v>
          </cell>
          <cell r="C1614" t="str">
            <v>Allocated Direct</v>
          </cell>
          <cell r="D1614" t="str">
            <v>002I</v>
          </cell>
        </row>
        <row r="1615">
          <cell r="B1615" t="str">
            <v>A2368</v>
          </cell>
          <cell r="C1615" t="str">
            <v>Direct</v>
          </cell>
          <cell r="D1615" t="str">
            <v>CIL</v>
          </cell>
        </row>
        <row r="1616">
          <cell r="B1616" t="str">
            <v>A2369</v>
          </cell>
          <cell r="C1616" t="str">
            <v>Direct</v>
          </cell>
          <cell r="D1616" t="str">
            <v>CIL</v>
          </cell>
        </row>
        <row r="1617">
          <cell r="B1617" t="str">
            <v>A2372</v>
          </cell>
          <cell r="C1617" t="str">
            <v>Direct</v>
          </cell>
          <cell r="D1617" t="str">
            <v>CIL</v>
          </cell>
        </row>
        <row r="1618">
          <cell r="B1618" t="str">
            <v>A2373</v>
          </cell>
          <cell r="C1618" t="str">
            <v>Direct</v>
          </cell>
          <cell r="D1618" t="str">
            <v>UEC</v>
          </cell>
        </row>
        <row r="1619">
          <cell r="B1619" t="str">
            <v>A2374</v>
          </cell>
          <cell r="C1619" t="str">
            <v>Direct</v>
          </cell>
          <cell r="D1619" t="str">
            <v>CIL</v>
          </cell>
        </row>
        <row r="1620">
          <cell r="B1620" t="str">
            <v>A2378</v>
          </cell>
          <cell r="C1620" t="str">
            <v>Direct</v>
          </cell>
          <cell r="D1620" t="str">
            <v>CIL</v>
          </cell>
        </row>
        <row r="1621">
          <cell r="B1621" t="str">
            <v>A2383</v>
          </cell>
          <cell r="C1621" t="str">
            <v>Direct</v>
          </cell>
          <cell r="D1621" t="str">
            <v>CIL</v>
          </cell>
        </row>
        <row r="1622">
          <cell r="B1622" t="str">
            <v>A2389</v>
          </cell>
          <cell r="C1622" t="str">
            <v>Direct</v>
          </cell>
          <cell r="D1622" t="str">
            <v>CIL</v>
          </cell>
        </row>
        <row r="1623">
          <cell r="B1623" t="str">
            <v>A2392</v>
          </cell>
          <cell r="C1623" t="str">
            <v>Direct</v>
          </cell>
          <cell r="D1623" t="str">
            <v>UEC</v>
          </cell>
        </row>
        <row r="1624">
          <cell r="B1624" t="str">
            <v>A2393</v>
          </cell>
          <cell r="C1624" t="str">
            <v>Direct</v>
          </cell>
          <cell r="D1624" t="str">
            <v>CIP</v>
          </cell>
        </row>
        <row r="1625">
          <cell r="B1625" t="str">
            <v>A2394</v>
          </cell>
          <cell r="C1625" t="str">
            <v>Allocated Direct</v>
          </cell>
          <cell r="D1625" t="str">
            <v>002L</v>
          </cell>
        </row>
        <row r="1626">
          <cell r="B1626" t="str">
            <v>A2395</v>
          </cell>
          <cell r="C1626" t="str">
            <v>Direct</v>
          </cell>
          <cell r="D1626" t="str">
            <v>CIP</v>
          </cell>
        </row>
        <row r="1627">
          <cell r="B1627" t="str">
            <v>A2396</v>
          </cell>
          <cell r="C1627" t="str">
            <v>Direct</v>
          </cell>
          <cell r="D1627" t="str">
            <v>CIP</v>
          </cell>
        </row>
        <row r="1628">
          <cell r="B1628" t="str">
            <v>A2398</v>
          </cell>
          <cell r="C1628" t="str">
            <v>Direct</v>
          </cell>
          <cell r="D1628" t="str">
            <v>CIL</v>
          </cell>
        </row>
        <row r="1629">
          <cell r="B1629" t="str">
            <v>A2399</v>
          </cell>
          <cell r="C1629" t="str">
            <v>Allocated Direct</v>
          </cell>
          <cell r="D1629" t="str">
            <v>004A</v>
          </cell>
        </row>
        <row r="1630">
          <cell r="B1630" t="str">
            <v>A2400</v>
          </cell>
          <cell r="C1630" t="str">
            <v>Allocated Direct</v>
          </cell>
          <cell r="D1630" t="str">
            <v>004A</v>
          </cell>
        </row>
        <row r="1631">
          <cell r="B1631" t="str">
            <v>A2401</v>
          </cell>
          <cell r="C1631" t="str">
            <v>Direct</v>
          </cell>
          <cell r="D1631" t="str">
            <v>CIL</v>
          </cell>
        </row>
        <row r="1632">
          <cell r="B1632" t="str">
            <v>A2403</v>
          </cell>
          <cell r="C1632" t="str">
            <v>Direct</v>
          </cell>
          <cell r="D1632" t="str">
            <v>CIP</v>
          </cell>
        </row>
        <row r="1633">
          <cell r="B1633" t="str">
            <v>A2404</v>
          </cell>
          <cell r="C1633" t="str">
            <v>Direct</v>
          </cell>
          <cell r="D1633" t="str">
            <v>CIP</v>
          </cell>
        </row>
        <row r="1634">
          <cell r="B1634" t="str">
            <v>A2405</v>
          </cell>
          <cell r="C1634" t="str">
            <v>Allocated Direct</v>
          </cell>
          <cell r="D1634" t="str">
            <v>002I</v>
          </cell>
        </row>
        <row r="1635">
          <cell r="B1635" t="str">
            <v>A2409</v>
          </cell>
          <cell r="C1635" t="str">
            <v>Direct</v>
          </cell>
          <cell r="D1635" t="str">
            <v>CIL</v>
          </cell>
        </row>
        <row r="1636">
          <cell r="B1636" t="str">
            <v>A2411</v>
          </cell>
          <cell r="C1636" t="str">
            <v>Direct</v>
          </cell>
          <cell r="D1636" t="str">
            <v>CIL</v>
          </cell>
        </row>
        <row r="1637">
          <cell r="B1637" t="str">
            <v>A2412</v>
          </cell>
          <cell r="C1637" t="str">
            <v>Direct</v>
          </cell>
          <cell r="D1637" t="str">
            <v>CIL</v>
          </cell>
        </row>
        <row r="1638">
          <cell r="B1638" t="str">
            <v>A2413</v>
          </cell>
          <cell r="C1638" t="str">
            <v>Direct</v>
          </cell>
          <cell r="D1638" t="str">
            <v>MV1</v>
          </cell>
        </row>
        <row r="1639">
          <cell r="B1639" t="str">
            <v>A2414</v>
          </cell>
          <cell r="C1639" t="str">
            <v>Direct</v>
          </cell>
          <cell r="D1639" t="str">
            <v>MV1</v>
          </cell>
        </row>
        <row r="1640">
          <cell r="B1640" t="str">
            <v>A2416</v>
          </cell>
          <cell r="C1640" t="str">
            <v>Direct</v>
          </cell>
          <cell r="D1640" t="str">
            <v>AMC</v>
          </cell>
        </row>
        <row r="1641">
          <cell r="B1641" t="str">
            <v>A2417</v>
          </cell>
          <cell r="C1641" t="str">
            <v>Direct</v>
          </cell>
          <cell r="D1641" t="str">
            <v>CIL</v>
          </cell>
        </row>
        <row r="1642">
          <cell r="B1642" t="str">
            <v>A2418</v>
          </cell>
          <cell r="C1642" t="str">
            <v>Direct</v>
          </cell>
          <cell r="D1642" t="str">
            <v>CIL</v>
          </cell>
        </row>
        <row r="1643">
          <cell r="B1643" t="str">
            <v>A2419</v>
          </cell>
          <cell r="C1643" t="str">
            <v>Direct</v>
          </cell>
          <cell r="D1643" t="str">
            <v>CIL</v>
          </cell>
        </row>
        <row r="1644">
          <cell r="B1644" t="str">
            <v>A2420</v>
          </cell>
          <cell r="C1644" t="str">
            <v>Direct</v>
          </cell>
          <cell r="D1644" t="str">
            <v>CIL</v>
          </cell>
        </row>
        <row r="1645">
          <cell r="B1645" t="str">
            <v>A2421</v>
          </cell>
          <cell r="C1645" t="str">
            <v>Direct</v>
          </cell>
          <cell r="D1645" t="str">
            <v>CIL</v>
          </cell>
        </row>
        <row r="1646">
          <cell r="B1646" t="str">
            <v>A2422</v>
          </cell>
          <cell r="C1646" t="str">
            <v>Direct</v>
          </cell>
          <cell r="D1646" t="str">
            <v>CIL</v>
          </cell>
        </row>
        <row r="1647">
          <cell r="B1647" t="str">
            <v>A2426</v>
          </cell>
          <cell r="C1647" t="str">
            <v>Allocated Direct</v>
          </cell>
          <cell r="D1647" t="str">
            <v>002D</v>
          </cell>
        </row>
        <row r="1648">
          <cell r="B1648" t="str">
            <v>A2427</v>
          </cell>
          <cell r="C1648" t="str">
            <v>Direct</v>
          </cell>
          <cell r="D1648" t="str">
            <v>UEC</v>
          </cell>
        </row>
        <row r="1649">
          <cell r="B1649" t="str">
            <v>A2430</v>
          </cell>
          <cell r="C1649" t="str">
            <v>Direct</v>
          </cell>
          <cell r="D1649" t="str">
            <v>CIL</v>
          </cell>
        </row>
        <row r="1650">
          <cell r="B1650" t="str">
            <v>A2431</v>
          </cell>
          <cell r="C1650" t="str">
            <v>Direct</v>
          </cell>
          <cell r="D1650" t="str">
            <v>CIL</v>
          </cell>
        </row>
        <row r="1651">
          <cell r="B1651" t="str">
            <v>A2432</v>
          </cell>
          <cell r="C1651" t="str">
            <v>Direct</v>
          </cell>
          <cell r="D1651" t="str">
            <v>CIL</v>
          </cell>
        </row>
        <row r="1652">
          <cell r="B1652" t="str">
            <v>A2433</v>
          </cell>
          <cell r="C1652" t="str">
            <v>Direct</v>
          </cell>
          <cell r="D1652" t="str">
            <v>CIL</v>
          </cell>
        </row>
        <row r="1653">
          <cell r="B1653" t="str">
            <v>A2434</v>
          </cell>
          <cell r="C1653" t="str">
            <v>Direct</v>
          </cell>
          <cell r="D1653" t="str">
            <v>CIL</v>
          </cell>
        </row>
        <row r="1654">
          <cell r="B1654" t="str">
            <v>A2436</v>
          </cell>
          <cell r="C1654" t="str">
            <v>Direct</v>
          </cell>
          <cell r="D1654" t="str">
            <v>CIL</v>
          </cell>
        </row>
        <row r="1655">
          <cell r="B1655" t="str">
            <v>A2437</v>
          </cell>
          <cell r="C1655" t="str">
            <v>Direct</v>
          </cell>
          <cell r="D1655" t="str">
            <v>CIL</v>
          </cell>
        </row>
        <row r="1656">
          <cell r="B1656" t="str">
            <v>A2440</v>
          </cell>
          <cell r="C1656" t="str">
            <v>Direct</v>
          </cell>
          <cell r="D1656" t="str">
            <v>CIL</v>
          </cell>
        </row>
        <row r="1657">
          <cell r="B1657" t="str">
            <v>A2443</v>
          </cell>
          <cell r="C1657" t="str">
            <v>Direct</v>
          </cell>
          <cell r="D1657" t="str">
            <v>CIL</v>
          </cell>
        </row>
        <row r="1658">
          <cell r="B1658" t="str">
            <v>A2444</v>
          </cell>
          <cell r="C1658" t="str">
            <v>Direct</v>
          </cell>
          <cell r="D1658" t="str">
            <v>CIP</v>
          </cell>
        </row>
        <row r="1659">
          <cell r="B1659" t="str">
            <v>A2445</v>
          </cell>
          <cell r="C1659" t="str">
            <v>Direct</v>
          </cell>
          <cell r="D1659" t="str">
            <v>CIL</v>
          </cell>
        </row>
        <row r="1660">
          <cell r="B1660" t="str">
            <v>A2447</v>
          </cell>
          <cell r="C1660" t="str">
            <v>Direct</v>
          </cell>
          <cell r="D1660" t="str">
            <v>CIL</v>
          </cell>
        </row>
        <row r="1661">
          <cell r="B1661" t="str">
            <v>A2448</v>
          </cell>
          <cell r="C1661" t="str">
            <v>Direct</v>
          </cell>
          <cell r="D1661" t="str">
            <v>CIL</v>
          </cell>
        </row>
        <row r="1662">
          <cell r="B1662" t="str">
            <v>A2449</v>
          </cell>
          <cell r="C1662" t="str">
            <v>Direct</v>
          </cell>
          <cell r="D1662" t="str">
            <v>CIL</v>
          </cell>
        </row>
        <row r="1663">
          <cell r="B1663" t="str">
            <v>A2450</v>
          </cell>
          <cell r="C1663" t="str">
            <v>Direct</v>
          </cell>
          <cell r="D1663" t="str">
            <v>CIL</v>
          </cell>
        </row>
        <row r="1664">
          <cell r="B1664" t="str">
            <v>A2456</v>
          </cell>
          <cell r="C1664" t="str">
            <v>Direct</v>
          </cell>
          <cell r="D1664" t="str">
            <v>CIL</v>
          </cell>
        </row>
        <row r="1665">
          <cell r="B1665" t="str">
            <v>A2459</v>
          </cell>
          <cell r="C1665" t="str">
            <v>Direct</v>
          </cell>
          <cell r="D1665" t="str">
            <v>CIL</v>
          </cell>
        </row>
        <row r="1666">
          <cell r="B1666" t="str">
            <v>A2460</v>
          </cell>
          <cell r="C1666" t="str">
            <v>Direct</v>
          </cell>
          <cell r="D1666" t="str">
            <v>CIL</v>
          </cell>
        </row>
        <row r="1667">
          <cell r="B1667" t="str">
            <v>A2462</v>
          </cell>
          <cell r="C1667" t="str">
            <v>Direct</v>
          </cell>
          <cell r="D1667" t="str">
            <v>CIL</v>
          </cell>
        </row>
        <row r="1668">
          <cell r="B1668" t="str">
            <v>A2465</v>
          </cell>
          <cell r="C1668" t="str">
            <v>Direct</v>
          </cell>
          <cell r="D1668" t="str">
            <v>CIL</v>
          </cell>
        </row>
        <row r="1669">
          <cell r="B1669" t="str">
            <v>A2468</v>
          </cell>
          <cell r="C1669" t="str">
            <v>Allocated Direct</v>
          </cell>
          <cell r="D1669" t="str">
            <v>004A</v>
          </cell>
        </row>
        <row r="1670">
          <cell r="B1670" t="str">
            <v>A2470</v>
          </cell>
          <cell r="C1670" t="str">
            <v>Allocated Direct</v>
          </cell>
          <cell r="D1670" t="str">
            <v>004A</v>
          </cell>
        </row>
        <row r="1671">
          <cell r="B1671" t="str">
            <v>A2477</v>
          </cell>
          <cell r="C1671" t="str">
            <v>Direct</v>
          </cell>
          <cell r="D1671" t="str">
            <v>UEC</v>
          </cell>
        </row>
        <row r="1672">
          <cell r="B1672" t="str">
            <v>A2478</v>
          </cell>
          <cell r="C1672" t="str">
            <v>Direct</v>
          </cell>
          <cell r="D1672" t="str">
            <v>CIP</v>
          </cell>
        </row>
        <row r="1673">
          <cell r="B1673" t="str">
            <v>A2479</v>
          </cell>
          <cell r="C1673" t="str">
            <v>Direct</v>
          </cell>
          <cell r="D1673" t="str">
            <v>CIL</v>
          </cell>
        </row>
        <row r="1674">
          <cell r="B1674" t="str">
            <v>A2481</v>
          </cell>
          <cell r="C1674" t="str">
            <v>Direct</v>
          </cell>
          <cell r="D1674" t="str">
            <v>CIL</v>
          </cell>
        </row>
        <row r="1675">
          <cell r="B1675" t="str">
            <v>A2482</v>
          </cell>
          <cell r="C1675" t="str">
            <v>Direct</v>
          </cell>
          <cell r="D1675" t="str">
            <v>CIL</v>
          </cell>
        </row>
        <row r="1676">
          <cell r="B1676" t="str">
            <v>A2483</v>
          </cell>
          <cell r="C1676" t="str">
            <v>Direct</v>
          </cell>
          <cell r="D1676" t="str">
            <v>CIL</v>
          </cell>
        </row>
        <row r="1677">
          <cell r="B1677" t="str">
            <v>A2484</v>
          </cell>
          <cell r="C1677" t="str">
            <v>Direct</v>
          </cell>
          <cell r="D1677" t="str">
            <v>CIL</v>
          </cell>
        </row>
        <row r="1678">
          <cell r="B1678" t="str">
            <v>A2485</v>
          </cell>
          <cell r="C1678" t="str">
            <v>Direct</v>
          </cell>
          <cell r="D1678" t="str">
            <v>CIL</v>
          </cell>
        </row>
        <row r="1679">
          <cell r="B1679" t="str">
            <v>A2486</v>
          </cell>
          <cell r="C1679" t="str">
            <v>Direct</v>
          </cell>
          <cell r="D1679" t="str">
            <v>CIL</v>
          </cell>
        </row>
        <row r="1680">
          <cell r="B1680" t="str">
            <v>A2487</v>
          </cell>
          <cell r="C1680" t="str">
            <v>Allocated Direct</v>
          </cell>
          <cell r="D1680" t="str">
            <v>004A</v>
          </cell>
        </row>
        <row r="1681">
          <cell r="B1681" t="str">
            <v>A2488</v>
          </cell>
          <cell r="C1681" t="str">
            <v>Direct</v>
          </cell>
          <cell r="D1681" t="str">
            <v>CIL</v>
          </cell>
        </row>
        <row r="1682">
          <cell r="B1682" t="str">
            <v>A2489</v>
          </cell>
          <cell r="C1682" t="str">
            <v>Direct</v>
          </cell>
          <cell r="D1682" t="str">
            <v>CCP</v>
          </cell>
        </row>
        <row r="1683">
          <cell r="B1683" t="str">
            <v>A2490</v>
          </cell>
          <cell r="C1683" t="str">
            <v>Direct</v>
          </cell>
          <cell r="D1683" t="str">
            <v>CIL</v>
          </cell>
        </row>
        <row r="1684">
          <cell r="B1684" t="str">
            <v>A2494</v>
          </cell>
          <cell r="C1684" t="str">
            <v>Direct</v>
          </cell>
          <cell r="D1684" t="str">
            <v>CIL</v>
          </cell>
        </row>
        <row r="1685">
          <cell r="B1685" t="str">
            <v>A2495</v>
          </cell>
          <cell r="C1685" t="str">
            <v>Allocated Direct</v>
          </cell>
          <cell r="D1685" t="str">
            <v>002M</v>
          </cell>
        </row>
        <row r="1686">
          <cell r="B1686" t="str">
            <v>A2504</v>
          </cell>
          <cell r="C1686" t="str">
            <v>Allocated Direct</v>
          </cell>
          <cell r="D1686" t="str">
            <v>004A</v>
          </cell>
        </row>
        <row r="1687">
          <cell r="B1687" t="str">
            <v>A2505</v>
          </cell>
          <cell r="C1687" t="str">
            <v>Allocated Direct</v>
          </cell>
          <cell r="D1687" t="str">
            <v>004A</v>
          </cell>
        </row>
        <row r="1688">
          <cell r="B1688" t="str">
            <v>A2509</v>
          </cell>
          <cell r="C1688" t="str">
            <v>Direct</v>
          </cell>
          <cell r="D1688" t="str">
            <v>MV1</v>
          </cell>
        </row>
        <row r="1689">
          <cell r="B1689" t="str">
            <v>A2510</v>
          </cell>
          <cell r="C1689" t="str">
            <v>Allocated Direct</v>
          </cell>
          <cell r="D1689" t="str">
            <v>012B</v>
          </cell>
        </row>
        <row r="1690">
          <cell r="B1690" t="str">
            <v>A2511</v>
          </cell>
          <cell r="C1690" t="str">
            <v>Direct</v>
          </cell>
          <cell r="D1690" t="str">
            <v>CCP</v>
          </cell>
        </row>
        <row r="1691">
          <cell r="B1691" t="str">
            <v>A2514</v>
          </cell>
          <cell r="C1691" t="str">
            <v>Direct</v>
          </cell>
          <cell r="D1691" t="str">
            <v>GEN</v>
          </cell>
        </row>
        <row r="1692">
          <cell r="B1692" t="str">
            <v>A2515</v>
          </cell>
          <cell r="C1692" t="str">
            <v>Direct</v>
          </cell>
          <cell r="D1692" t="str">
            <v>ARG</v>
          </cell>
        </row>
        <row r="1693">
          <cell r="B1693" t="str">
            <v>A2516</v>
          </cell>
          <cell r="C1693" t="str">
            <v>Direct</v>
          </cell>
          <cell r="D1693" t="str">
            <v>ARG</v>
          </cell>
        </row>
        <row r="1694">
          <cell r="B1694" t="str">
            <v>A2517</v>
          </cell>
          <cell r="C1694" t="str">
            <v>Direct</v>
          </cell>
          <cell r="D1694" t="str">
            <v>UEC</v>
          </cell>
        </row>
        <row r="1695">
          <cell r="B1695" t="str">
            <v>A2518</v>
          </cell>
          <cell r="C1695" t="str">
            <v>Direct</v>
          </cell>
          <cell r="D1695" t="str">
            <v>ARG</v>
          </cell>
        </row>
        <row r="1696">
          <cell r="B1696" t="str">
            <v>A2519</v>
          </cell>
          <cell r="C1696" t="str">
            <v>Direct</v>
          </cell>
          <cell r="D1696" t="str">
            <v>ARG</v>
          </cell>
        </row>
        <row r="1697">
          <cell r="B1697" t="str">
            <v>A2522</v>
          </cell>
          <cell r="C1697" t="str">
            <v>Allocated Direct</v>
          </cell>
          <cell r="D1697" t="str">
            <v>011B</v>
          </cell>
        </row>
        <row r="1698">
          <cell r="B1698" t="str">
            <v>A2523</v>
          </cell>
          <cell r="C1698" t="str">
            <v>Direct</v>
          </cell>
          <cell r="D1698" t="str">
            <v>ARG</v>
          </cell>
        </row>
        <row r="1699">
          <cell r="B1699" t="str">
            <v>A2532</v>
          </cell>
          <cell r="C1699" t="str">
            <v>Direct</v>
          </cell>
          <cell r="D1699" t="str">
            <v>ARG</v>
          </cell>
        </row>
        <row r="1700">
          <cell r="B1700" t="str">
            <v>A2533</v>
          </cell>
          <cell r="C1700" t="str">
            <v>Direct</v>
          </cell>
          <cell r="D1700" t="str">
            <v>ARG</v>
          </cell>
        </row>
        <row r="1701">
          <cell r="B1701" t="str">
            <v>A2534</v>
          </cell>
          <cell r="C1701" t="str">
            <v>Direct</v>
          </cell>
          <cell r="D1701" t="str">
            <v>ARG</v>
          </cell>
        </row>
        <row r="1702">
          <cell r="B1702" t="str">
            <v>A2535</v>
          </cell>
          <cell r="C1702" t="str">
            <v>Direct</v>
          </cell>
          <cell r="D1702" t="str">
            <v>ARG</v>
          </cell>
        </row>
        <row r="1703">
          <cell r="B1703" t="str">
            <v>A2537</v>
          </cell>
          <cell r="C1703" t="str">
            <v>Direct</v>
          </cell>
          <cell r="D1703" t="str">
            <v>UEC</v>
          </cell>
        </row>
        <row r="1704">
          <cell r="B1704" t="str">
            <v>A2539</v>
          </cell>
          <cell r="C1704" t="str">
            <v>Direct</v>
          </cell>
          <cell r="D1704" t="str">
            <v>CCP</v>
          </cell>
        </row>
        <row r="1705">
          <cell r="B1705" t="str">
            <v>A2540</v>
          </cell>
          <cell r="C1705" t="str">
            <v>Direct</v>
          </cell>
          <cell r="D1705" t="str">
            <v>UEC</v>
          </cell>
        </row>
        <row r="1706">
          <cell r="B1706" t="str">
            <v>A2543</v>
          </cell>
          <cell r="C1706" t="str">
            <v>Direct</v>
          </cell>
          <cell r="D1706" t="str">
            <v>ARG</v>
          </cell>
        </row>
        <row r="1707">
          <cell r="B1707" t="str">
            <v>A2544</v>
          </cell>
          <cell r="C1707" t="str">
            <v>Direct</v>
          </cell>
          <cell r="D1707" t="str">
            <v>CCP</v>
          </cell>
        </row>
        <row r="1708">
          <cell r="B1708" t="str">
            <v>A2545</v>
          </cell>
          <cell r="C1708" t="str">
            <v>Allocated Direct</v>
          </cell>
          <cell r="D1708" t="str">
            <v>017C</v>
          </cell>
        </row>
        <row r="1709">
          <cell r="B1709" t="str">
            <v>A2546</v>
          </cell>
          <cell r="C1709" t="str">
            <v>Allocated Direct</v>
          </cell>
          <cell r="D1709" t="str">
            <v>002O</v>
          </cell>
        </row>
        <row r="1710">
          <cell r="B1710" t="str">
            <v>A2548</v>
          </cell>
          <cell r="C1710" t="str">
            <v>Allocated Direct</v>
          </cell>
          <cell r="D1710" t="str">
            <v>004A</v>
          </cell>
        </row>
        <row r="1711">
          <cell r="B1711" t="str">
            <v>A2549</v>
          </cell>
          <cell r="C1711" t="str">
            <v>Allocated Direct</v>
          </cell>
          <cell r="D1711" t="str">
            <v>002M</v>
          </cell>
        </row>
        <row r="1712">
          <cell r="B1712" t="str">
            <v>A2552</v>
          </cell>
          <cell r="C1712" t="str">
            <v>Allocated Direct</v>
          </cell>
          <cell r="D1712" t="str">
            <v>001A</v>
          </cell>
        </row>
        <row r="1713">
          <cell r="B1713" t="str">
            <v>A2553</v>
          </cell>
          <cell r="C1713" t="str">
            <v>Allocated Direct</v>
          </cell>
          <cell r="D1713" t="str">
            <v>001A</v>
          </cell>
        </row>
        <row r="1714">
          <cell r="B1714" t="str">
            <v>A2554</v>
          </cell>
          <cell r="C1714" t="str">
            <v>Allocated Direct</v>
          </cell>
          <cell r="D1714" t="str">
            <v>010A</v>
          </cell>
        </row>
        <row r="1715">
          <cell r="B1715" t="str">
            <v>A2555</v>
          </cell>
          <cell r="C1715" t="str">
            <v>Allocated Direct</v>
          </cell>
          <cell r="D1715" t="str">
            <v>018D</v>
          </cell>
        </row>
        <row r="1716">
          <cell r="B1716" t="str">
            <v>A2556</v>
          </cell>
          <cell r="C1716" t="str">
            <v>Direct</v>
          </cell>
          <cell r="D1716" t="str">
            <v>UEC</v>
          </cell>
        </row>
        <row r="1717">
          <cell r="B1717" t="str">
            <v>A2557</v>
          </cell>
          <cell r="C1717" t="str">
            <v>Direct</v>
          </cell>
          <cell r="D1717" t="str">
            <v>CIP</v>
          </cell>
        </row>
        <row r="1718">
          <cell r="B1718" t="str">
            <v>A2558</v>
          </cell>
          <cell r="C1718" t="str">
            <v>Direct</v>
          </cell>
          <cell r="D1718" t="str">
            <v>CIL</v>
          </cell>
        </row>
        <row r="1719">
          <cell r="B1719" t="str">
            <v>A2560</v>
          </cell>
          <cell r="C1719" t="str">
            <v>Direct</v>
          </cell>
          <cell r="D1719" t="str">
            <v>GEN</v>
          </cell>
        </row>
        <row r="1720">
          <cell r="B1720" t="str">
            <v>A2564</v>
          </cell>
          <cell r="C1720" t="str">
            <v>Allocated Direct</v>
          </cell>
          <cell r="D1720" t="str">
            <v>011A</v>
          </cell>
        </row>
        <row r="1721">
          <cell r="B1721" t="str">
            <v>A2566</v>
          </cell>
          <cell r="C1721" t="str">
            <v>Allocated Direct</v>
          </cell>
          <cell r="D1721" t="str">
            <v>018A</v>
          </cell>
        </row>
        <row r="1722">
          <cell r="B1722" t="str">
            <v>A2567</v>
          </cell>
          <cell r="C1722" t="str">
            <v>Direct</v>
          </cell>
          <cell r="D1722" t="str">
            <v>002M</v>
          </cell>
        </row>
        <row r="1723">
          <cell r="B1723" t="str">
            <v>A2569</v>
          </cell>
          <cell r="C1723" t="str">
            <v>Allocated Direct</v>
          </cell>
          <cell r="D1723" t="str">
            <v>002L</v>
          </cell>
        </row>
        <row r="1724">
          <cell r="B1724" t="str">
            <v>A2570</v>
          </cell>
          <cell r="C1724" t="str">
            <v>Allocated Direct</v>
          </cell>
          <cell r="D1724" t="str">
            <v>002L</v>
          </cell>
        </row>
        <row r="1725">
          <cell r="B1725" t="str">
            <v>A2571</v>
          </cell>
          <cell r="C1725" t="str">
            <v>Direct</v>
          </cell>
          <cell r="D1725" t="str">
            <v>UEC</v>
          </cell>
        </row>
        <row r="1726">
          <cell r="B1726" t="str">
            <v>A2572</v>
          </cell>
          <cell r="C1726" t="str">
            <v>Direct</v>
          </cell>
          <cell r="D1726" t="str">
            <v>UEC</v>
          </cell>
        </row>
        <row r="1727">
          <cell r="B1727" t="str">
            <v>A2573</v>
          </cell>
          <cell r="C1727" t="str">
            <v>Allocated Direct</v>
          </cell>
          <cell r="D1727" t="str">
            <v>002K</v>
          </cell>
        </row>
        <row r="1728">
          <cell r="B1728" t="str">
            <v>A2577</v>
          </cell>
          <cell r="C1728" t="str">
            <v>Allocated Direct</v>
          </cell>
          <cell r="D1728" t="str">
            <v>002L</v>
          </cell>
        </row>
        <row r="1729">
          <cell r="B1729" t="str">
            <v>A2578</v>
          </cell>
          <cell r="C1729" t="str">
            <v>Direct</v>
          </cell>
          <cell r="D1729" t="str">
            <v>IPC</v>
          </cell>
        </row>
        <row r="1730">
          <cell r="B1730" t="str">
            <v>A2583</v>
          </cell>
          <cell r="C1730" t="str">
            <v>Direct</v>
          </cell>
          <cell r="D1730" t="str">
            <v>GEN</v>
          </cell>
        </row>
        <row r="1731">
          <cell r="B1731" t="str">
            <v>A2585</v>
          </cell>
          <cell r="C1731" t="str">
            <v>Direct</v>
          </cell>
          <cell r="D1731" t="str">
            <v>GMC</v>
          </cell>
        </row>
        <row r="1732">
          <cell r="B1732" t="str">
            <v>A2586</v>
          </cell>
          <cell r="C1732" t="str">
            <v>Direct</v>
          </cell>
          <cell r="D1732" t="str">
            <v>ARG</v>
          </cell>
        </row>
        <row r="1733">
          <cell r="B1733" t="str">
            <v>A2587</v>
          </cell>
          <cell r="C1733" t="str">
            <v>Allocated Direct</v>
          </cell>
          <cell r="D1733" t="str">
            <v>010A</v>
          </cell>
        </row>
        <row r="1734">
          <cell r="B1734" t="str">
            <v>A2588</v>
          </cell>
          <cell r="C1734" t="str">
            <v>Direct</v>
          </cell>
          <cell r="D1734" t="str">
            <v>CCP</v>
          </cell>
        </row>
        <row r="1735">
          <cell r="B1735" t="str">
            <v>A2590</v>
          </cell>
          <cell r="C1735" t="str">
            <v>Direct</v>
          </cell>
          <cell r="D1735" t="str">
            <v>IPC</v>
          </cell>
        </row>
        <row r="1736">
          <cell r="B1736" t="str">
            <v>A2591</v>
          </cell>
          <cell r="C1736" t="str">
            <v>Direct</v>
          </cell>
          <cell r="D1736" t="str">
            <v>IPC</v>
          </cell>
        </row>
        <row r="1737">
          <cell r="B1737" t="str">
            <v>A2593</v>
          </cell>
          <cell r="C1737" t="str">
            <v>Direct</v>
          </cell>
          <cell r="D1737" t="str">
            <v>IPC</v>
          </cell>
        </row>
        <row r="1738">
          <cell r="B1738" t="str">
            <v>A2594</v>
          </cell>
          <cell r="C1738" t="str">
            <v>Direct</v>
          </cell>
          <cell r="D1738" t="str">
            <v>IPC</v>
          </cell>
        </row>
        <row r="1739">
          <cell r="B1739" t="str">
            <v>A2596</v>
          </cell>
          <cell r="C1739" t="str">
            <v>Direct</v>
          </cell>
          <cell r="D1739" t="str">
            <v>IPC</v>
          </cell>
        </row>
        <row r="1740">
          <cell r="B1740" t="str">
            <v>A2597</v>
          </cell>
          <cell r="C1740" t="str">
            <v>Direct</v>
          </cell>
          <cell r="D1740" t="str">
            <v>IPC</v>
          </cell>
        </row>
        <row r="1741">
          <cell r="B1741" t="str">
            <v>A2599</v>
          </cell>
          <cell r="C1741" t="str">
            <v>Direct</v>
          </cell>
          <cell r="D1741" t="str">
            <v>IPC</v>
          </cell>
        </row>
        <row r="1742">
          <cell r="B1742" t="str">
            <v>A2600</v>
          </cell>
          <cell r="C1742" t="str">
            <v>Direct</v>
          </cell>
          <cell r="D1742" t="str">
            <v>IPC</v>
          </cell>
        </row>
        <row r="1743">
          <cell r="B1743" t="str">
            <v>A2602</v>
          </cell>
          <cell r="C1743" t="str">
            <v>Direct</v>
          </cell>
          <cell r="D1743" t="str">
            <v>IPC</v>
          </cell>
        </row>
        <row r="1744">
          <cell r="B1744" t="str">
            <v>A2603</v>
          </cell>
          <cell r="C1744" t="str">
            <v>Direct</v>
          </cell>
          <cell r="D1744" t="str">
            <v>IPC</v>
          </cell>
        </row>
        <row r="1745">
          <cell r="B1745" t="str">
            <v>A2604</v>
          </cell>
          <cell r="C1745" t="str">
            <v>Direct</v>
          </cell>
          <cell r="D1745" t="str">
            <v>IPC</v>
          </cell>
        </row>
        <row r="1746">
          <cell r="B1746" t="str">
            <v>A2605</v>
          </cell>
          <cell r="C1746" t="str">
            <v>Direct</v>
          </cell>
          <cell r="D1746" t="str">
            <v>IPC</v>
          </cell>
        </row>
        <row r="1747">
          <cell r="B1747" t="str">
            <v>A2606</v>
          </cell>
          <cell r="C1747" t="str">
            <v>Direct</v>
          </cell>
          <cell r="D1747" t="str">
            <v>IPC</v>
          </cell>
        </row>
        <row r="1748">
          <cell r="B1748" t="str">
            <v>A2607</v>
          </cell>
          <cell r="C1748" t="str">
            <v>Direct</v>
          </cell>
          <cell r="D1748" t="str">
            <v>IPC</v>
          </cell>
        </row>
        <row r="1749">
          <cell r="B1749" t="str">
            <v>A2609</v>
          </cell>
          <cell r="C1749" t="str">
            <v>Direct</v>
          </cell>
          <cell r="D1749" t="str">
            <v>IPC</v>
          </cell>
        </row>
        <row r="1750">
          <cell r="B1750" t="str">
            <v>A2610</v>
          </cell>
          <cell r="C1750" t="str">
            <v>Direct</v>
          </cell>
          <cell r="D1750" t="str">
            <v>IPC</v>
          </cell>
        </row>
        <row r="1751">
          <cell r="B1751" t="str">
            <v>A2611</v>
          </cell>
          <cell r="C1751" t="str">
            <v>Direct</v>
          </cell>
          <cell r="D1751" t="str">
            <v>IPC</v>
          </cell>
        </row>
        <row r="1752">
          <cell r="B1752" t="str">
            <v>A2612</v>
          </cell>
          <cell r="C1752" t="str">
            <v>Direct</v>
          </cell>
          <cell r="D1752" t="str">
            <v>IPC</v>
          </cell>
        </row>
        <row r="1753">
          <cell r="B1753" t="str">
            <v>A2613</v>
          </cell>
          <cell r="C1753" t="str">
            <v>Direct</v>
          </cell>
          <cell r="D1753" t="str">
            <v>IPC</v>
          </cell>
        </row>
        <row r="1754">
          <cell r="B1754" t="str">
            <v>A2614</v>
          </cell>
          <cell r="C1754" t="str">
            <v>Direct</v>
          </cell>
          <cell r="D1754" t="str">
            <v>IPC</v>
          </cell>
        </row>
        <row r="1755">
          <cell r="B1755" t="str">
            <v>A2615</v>
          </cell>
          <cell r="C1755" t="str">
            <v>Direct</v>
          </cell>
          <cell r="D1755" t="str">
            <v>IPC</v>
          </cell>
        </row>
        <row r="1756">
          <cell r="B1756" t="str">
            <v>A2617</v>
          </cell>
          <cell r="C1756" t="str">
            <v>Direct</v>
          </cell>
          <cell r="D1756" t="str">
            <v>IPC</v>
          </cell>
        </row>
        <row r="1757">
          <cell r="B1757" t="str">
            <v>A2620</v>
          </cell>
          <cell r="C1757" t="str">
            <v>Direct</v>
          </cell>
          <cell r="D1757" t="str">
            <v>ARG</v>
          </cell>
        </row>
        <row r="1758">
          <cell r="B1758" t="str">
            <v>A2621</v>
          </cell>
          <cell r="C1758" t="str">
            <v>Direct</v>
          </cell>
          <cell r="D1758" t="str">
            <v>IPC</v>
          </cell>
        </row>
        <row r="1759">
          <cell r="B1759" t="str">
            <v>A2622</v>
          </cell>
          <cell r="C1759" t="str">
            <v>Direct</v>
          </cell>
          <cell r="D1759" t="str">
            <v>IPC</v>
          </cell>
        </row>
        <row r="1760">
          <cell r="B1760" t="str">
            <v>A2623</v>
          </cell>
          <cell r="C1760" t="str">
            <v>Direct</v>
          </cell>
          <cell r="D1760" t="str">
            <v>IPC</v>
          </cell>
        </row>
        <row r="1761">
          <cell r="B1761" t="str">
            <v>A2627</v>
          </cell>
          <cell r="C1761" t="str">
            <v>Direct</v>
          </cell>
          <cell r="D1761" t="str">
            <v>IPC</v>
          </cell>
        </row>
        <row r="1762">
          <cell r="B1762" t="str">
            <v>A2628</v>
          </cell>
          <cell r="C1762" t="str">
            <v>Direct</v>
          </cell>
          <cell r="D1762" t="str">
            <v>IPC</v>
          </cell>
        </row>
        <row r="1763">
          <cell r="B1763" t="str">
            <v>A2631</v>
          </cell>
          <cell r="C1763" t="str">
            <v>Direct</v>
          </cell>
          <cell r="D1763" t="str">
            <v>IPC</v>
          </cell>
        </row>
        <row r="1764">
          <cell r="B1764" t="str">
            <v>A2632</v>
          </cell>
          <cell r="C1764" t="str">
            <v>Direct</v>
          </cell>
          <cell r="D1764" t="str">
            <v>IPC</v>
          </cell>
        </row>
        <row r="1765">
          <cell r="B1765" t="str">
            <v>A2633</v>
          </cell>
          <cell r="C1765" t="str">
            <v>Direct</v>
          </cell>
          <cell r="D1765" t="str">
            <v>IPC</v>
          </cell>
        </row>
        <row r="1766">
          <cell r="B1766" t="str">
            <v>A2634</v>
          </cell>
          <cell r="C1766" t="str">
            <v>Direct</v>
          </cell>
          <cell r="D1766" t="str">
            <v>CIP</v>
          </cell>
        </row>
        <row r="1767">
          <cell r="B1767" t="str">
            <v>A2635</v>
          </cell>
          <cell r="C1767" t="str">
            <v>Direct</v>
          </cell>
          <cell r="D1767" t="str">
            <v>CIL</v>
          </cell>
        </row>
        <row r="1768">
          <cell r="B1768" t="str">
            <v>A2636</v>
          </cell>
          <cell r="C1768" t="str">
            <v>Allocated Direct</v>
          </cell>
          <cell r="D1768" t="str">
            <v>002O</v>
          </cell>
        </row>
        <row r="1769">
          <cell r="B1769" t="str">
            <v>A2637</v>
          </cell>
          <cell r="C1769" t="str">
            <v>Direct</v>
          </cell>
          <cell r="D1769" t="str">
            <v>IPC</v>
          </cell>
        </row>
        <row r="1770">
          <cell r="B1770" t="str">
            <v>A2638</v>
          </cell>
          <cell r="C1770" t="str">
            <v>Direct</v>
          </cell>
          <cell r="D1770" t="str">
            <v>IPC</v>
          </cell>
        </row>
        <row r="1771">
          <cell r="B1771" t="str">
            <v>A2649</v>
          </cell>
          <cell r="C1771" t="str">
            <v>Direct</v>
          </cell>
          <cell r="D1771" t="str">
            <v>IPC</v>
          </cell>
        </row>
        <row r="1772">
          <cell r="B1772" t="str">
            <v>A2650</v>
          </cell>
          <cell r="C1772" t="str">
            <v>Allocated Direct</v>
          </cell>
          <cell r="D1772" t="str">
            <v>001A</v>
          </cell>
        </row>
        <row r="1773">
          <cell r="B1773" t="str">
            <v>A2652</v>
          </cell>
          <cell r="C1773" t="str">
            <v>Direct</v>
          </cell>
          <cell r="D1773" t="str">
            <v>CIL</v>
          </cell>
        </row>
        <row r="1774">
          <cell r="B1774" t="str">
            <v>A2653</v>
          </cell>
          <cell r="C1774" t="str">
            <v>Direct</v>
          </cell>
          <cell r="D1774" t="str">
            <v>CIL</v>
          </cell>
        </row>
        <row r="1775">
          <cell r="B1775" t="str">
            <v>A2654</v>
          </cell>
          <cell r="C1775" t="str">
            <v>Direct</v>
          </cell>
          <cell r="D1775" t="str">
            <v>CIP</v>
          </cell>
        </row>
        <row r="1776">
          <cell r="B1776" t="str">
            <v>A2655</v>
          </cell>
          <cell r="C1776" t="str">
            <v>Allocated Direct</v>
          </cell>
          <cell r="D1776" t="str">
            <v>002M</v>
          </cell>
        </row>
        <row r="1777">
          <cell r="B1777" t="str">
            <v>A2660</v>
          </cell>
          <cell r="C1777" t="str">
            <v>Allocated Direct</v>
          </cell>
          <cell r="D1777" t="str">
            <v>008A</v>
          </cell>
        </row>
        <row r="1778">
          <cell r="B1778" t="str">
            <v>A2661</v>
          </cell>
          <cell r="C1778" t="str">
            <v>Allocated Direct</v>
          </cell>
          <cell r="D1778" t="str">
            <v>007A</v>
          </cell>
        </row>
        <row r="1779">
          <cell r="B1779" t="str">
            <v>A2662</v>
          </cell>
          <cell r="C1779" t="str">
            <v>Allocated Direct</v>
          </cell>
          <cell r="D1779" t="str">
            <v>001A</v>
          </cell>
        </row>
        <row r="1780">
          <cell r="B1780" t="str">
            <v>A2663</v>
          </cell>
          <cell r="C1780" t="str">
            <v>Direct</v>
          </cell>
          <cell r="D1780" t="str">
            <v>UEC</v>
          </cell>
        </row>
        <row r="1781">
          <cell r="B1781" t="str">
            <v>A2664</v>
          </cell>
          <cell r="C1781" t="str">
            <v>Allocated Direct</v>
          </cell>
          <cell r="D1781" t="str">
            <v>002M</v>
          </cell>
        </row>
        <row r="1782">
          <cell r="B1782" t="str">
            <v>A2665</v>
          </cell>
          <cell r="C1782" t="str">
            <v>Allocated Direct</v>
          </cell>
          <cell r="D1782" t="str">
            <v>002M</v>
          </cell>
        </row>
        <row r="1783">
          <cell r="B1783" t="str">
            <v>A2666</v>
          </cell>
          <cell r="C1783" t="str">
            <v>Allocated Direct</v>
          </cell>
          <cell r="D1783" t="str">
            <v>012B</v>
          </cell>
        </row>
        <row r="1784">
          <cell r="B1784" t="str">
            <v>A2667</v>
          </cell>
          <cell r="C1784" t="str">
            <v>Direct</v>
          </cell>
          <cell r="D1784" t="str">
            <v>IPC</v>
          </cell>
        </row>
        <row r="1785">
          <cell r="B1785" t="str">
            <v>A2668</v>
          </cell>
          <cell r="C1785" t="str">
            <v>Direct</v>
          </cell>
          <cell r="D1785" t="str">
            <v>UEC</v>
          </cell>
        </row>
        <row r="1786">
          <cell r="B1786" t="str">
            <v>A2669</v>
          </cell>
          <cell r="C1786" t="str">
            <v>Allocated Direct</v>
          </cell>
          <cell r="D1786" t="str">
            <v>017A</v>
          </cell>
        </row>
        <row r="1787">
          <cell r="B1787" t="str">
            <v>A2670</v>
          </cell>
          <cell r="C1787" t="str">
            <v>Direct</v>
          </cell>
          <cell r="D1787" t="str">
            <v>IPC</v>
          </cell>
        </row>
        <row r="1788">
          <cell r="B1788" t="str">
            <v>A2672</v>
          </cell>
          <cell r="C1788" t="str">
            <v>Direct</v>
          </cell>
          <cell r="D1788" t="str">
            <v>IPC</v>
          </cell>
        </row>
        <row r="1789">
          <cell r="B1789" t="str">
            <v>A2679</v>
          </cell>
          <cell r="C1789" t="str">
            <v>Direct</v>
          </cell>
          <cell r="D1789" t="str">
            <v>IPC</v>
          </cell>
        </row>
        <row r="1790">
          <cell r="B1790" t="str">
            <v>A2680</v>
          </cell>
          <cell r="C1790" t="str">
            <v>Allocated Direct</v>
          </cell>
          <cell r="D1790" t="str">
            <v>002L</v>
          </cell>
        </row>
        <row r="1791">
          <cell r="B1791" t="str">
            <v>A2682</v>
          </cell>
          <cell r="C1791" t="str">
            <v>Allocated Direct</v>
          </cell>
          <cell r="D1791" t="str">
            <v>004A</v>
          </cell>
        </row>
        <row r="1792">
          <cell r="B1792" t="str">
            <v>A2683</v>
          </cell>
          <cell r="C1792" t="str">
            <v>Direct</v>
          </cell>
          <cell r="D1792" t="str">
            <v>GMC</v>
          </cell>
        </row>
        <row r="1793">
          <cell r="B1793" t="str">
            <v>A2686</v>
          </cell>
          <cell r="C1793" t="str">
            <v>Direct</v>
          </cell>
          <cell r="D1793" t="str">
            <v>CIP</v>
          </cell>
        </row>
        <row r="1794">
          <cell r="B1794" t="str">
            <v>A2694</v>
          </cell>
          <cell r="C1794" t="str">
            <v>Allocated Direct</v>
          </cell>
          <cell r="D1794" t="str">
            <v>008C</v>
          </cell>
        </row>
        <row r="1795">
          <cell r="B1795" t="str">
            <v>A2695</v>
          </cell>
          <cell r="C1795" t="str">
            <v>Allocated Direct</v>
          </cell>
          <cell r="D1795" t="str">
            <v>011A</v>
          </cell>
        </row>
        <row r="1796">
          <cell r="B1796" t="str">
            <v>A2696</v>
          </cell>
          <cell r="C1796" t="str">
            <v>Direct</v>
          </cell>
          <cell r="D1796" t="str">
            <v>IPC</v>
          </cell>
        </row>
        <row r="1797">
          <cell r="B1797" t="str">
            <v>A2700</v>
          </cell>
          <cell r="C1797" t="str">
            <v>Allocated Direct</v>
          </cell>
          <cell r="D1797" t="str">
            <v>011A</v>
          </cell>
        </row>
        <row r="1798">
          <cell r="B1798" t="str">
            <v>A2701</v>
          </cell>
          <cell r="C1798" t="str">
            <v>Allocated Direct</v>
          </cell>
          <cell r="D1798" t="str">
            <v>011A</v>
          </cell>
        </row>
        <row r="1799">
          <cell r="B1799" t="str">
            <v>A2702</v>
          </cell>
          <cell r="C1799" t="str">
            <v>Allocated Direct</v>
          </cell>
          <cell r="D1799" t="str">
            <v>011A</v>
          </cell>
        </row>
        <row r="1800">
          <cell r="B1800" t="str">
            <v>A2703</v>
          </cell>
          <cell r="C1800" t="str">
            <v>Direct</v>
          </cell>
          <cell r="D1800" t="str">
            <v>MV1</v>
          </cell>
        </row>
        <row r="1801">
          <cell r="B1801" t="str">
            <v>A2705</v>
          </cell>
          <cell r="C1801" t="str">
            <v>Direct</v>
          </cell>
          <cell r="D1801" t="str">
            <v>ARG</v>
          </cell>
        </row>
        <row r="1802">
          <cell r="B1802" t="str">
            <v>A2706</v>
          </cell>
          <cell r="C1802" t="str">
            <v>Direct</v>
          </cell>
          <cell r="D1802" t="str">
            <v>ARG</v>
          </cell>
        </row>
        <row r="1803">
          <cell r="B1803" t="str">
            <v>A2707</v>
          </cell>
          <cell r="C1803" t="str">
            <v>Allocated Direct</v>
          </cell>
          <cell r="D1803" t="str">
            <v>012B</v>
          </cell>
        </row>
        <row r="1804">
          <cell r="B1804" t="str">
            <v>A2708</v>
          </cell>
          <cell r="C1804" t="str">
            <v>Allocated Direct</v>
          </cell>
          <cell r="D1804" t="str">
            <v>012B</v>
          </cell>
        </row>
        <row r="1805">
          <cell r="B1805" t="str">
            <v>A2709</v>
          </cell>
          <cell r="C1805" t="str">
            <v>Allocated Direct</v>
          </cell>
          <cell r="D1805" t="str">
            <v>012B</v>
          </cell>
        </row>
        <row r="1806">
          <cell r="B1806" t="str">
            <v>A2710</v>
          </cell>
          <cell r="C1806" t="str">
            <v>Allocated Direct</v>
          </cell>
          <cell r="D1806" t="str">
            <v>012B</v>
          </cell>
        </row>
        <row r="1807">
          <cell r="B1807" t="str">
            <v>A2711</v>
          </cell>
          <cell r="C1807" t="str">
            <v>Direct</v>
          </cell>
          <cell r="D1807" t="str">
            <v>CCP</v>
          </cell>
        </row>
        <row r="1808">
          <cell r="B1808" t="str">
            <v>A2712</v>
          </cell>
          <cell r="C1808" t="str">
            <v>Direct</v>
          </cell>
          <cell r="D1808" t="str">
            <v>CIL</v>
          </cell>
        </row>
        <row r="1809">
          <cell r="B1809" t="str">
            <v>A2713</v>
          </cell>
          <cell r="C1809" t="str">
            <v>Direct</v>
          </cell>
          <cell r="D1809" t="str">
            <v>CIP</v>
          </cell>
        </row>
        <row r="1810">
          <cell r="B1810" t="str">
            <v>A2714</v>
          </cell>
          <cell r="C1810" t="str">
            <v>Direct</v>
          </cell>
          <cell r="D1810" t="str">
            <v>IPC</v>
          </cell>
        </row>
        <row r="1811">
          <cell r="B1811" t="str">
            <v>A2715</v>
          </cell>
          <cell r="C1811" t="str">
            <v>Direct</v>
          </cell>
          <cell r="D1811" t="str">
            <v>IPC</v>
          </cell>
        </row>
        <row r="1812">
          <cell r="B1812" t="str">
            <v>A2716</v>
          </cell>
          <cell r="C1812" t="str">
            <v>Allocated Direct</v>
          </cell>
          <cell r="D1812" t="str">
            <v>002M</v>
          </cell>
        </row>
        <row r="1813">
          <cell r="B1813" t="str">
            <v>A2717</v>
          </cell>
          <cell r="C1813" t="str">
            <v>Direct</v>
          </cell>
          <cell r="D1813" t="str">
            <v>IPC</v>
          </cell>
        </row>
        <row r="1814">
          <cell r="B1814" t="str">
            <v>A2718</v>
          </cell>
          <cell r="C1814" t="str">
            <v>Allocated Direct</v>
          </cell>
          <cell r="D1814" t="str">
            <v>002M</v>
          </cell>
        </row>
        <row r="1815">
          <cell r="B1815" t="str">
            <v>A2719</v>
          </cell>
          <cell r="C1815" t="str">
            <v>Direct</v>
          </cell>
          <cell r="D1815" t="str">
            <v>IPC</v>
          </cell>
        </row>
        <row r="1816">
          <cell r="B1816" t="str">
            <v>A2720</v>
          </cell>
          <cell r="C1816" t="str">
            <v>Direct</v>
          </cell>
          <cell r="D1816" t="str">
            <v>CIP</v>
          </cell>
        </row>
        <row r="1817">
          <cell r="B1817" t="str">
            <v>A2721</v>
          </cell>
          <cell r="C1817" t="str">
            <v>Allocated Direct</v>
          </cell>
          <cell r="D1817" t="str">
            <v>001A</v>
          </cell>
        </row>
        <row r="1818">
          <cell r="B1818" t="str">
            <v>A2722</v>
          </cell>
          <cell r="C1818" t="str">
            <v>Direct</v>
          </cell>
          <cell r="D1818" t="str">
            <v>CIL</v>
          </cell>
        </row>
        <row r="1819">
          <cell r="B1819" t="str">
            <v>A2723</v>
          </cell>
          <cell r="C1819" t="str">
            <v>Direct</v>
          </cell>
          <cell r="D1819" t="str">
            <v>IPC</v>
          </cell>
        </row>
        <row r="1820">
          <cell r="B1820" t="str">
            <v>A2728</v>
          </cell>
          <cell r="C1820" t="str">
            <v>Direct</v>
          </cell>
          <cell r="D1820" t="str">
            <v>UEC</v>
          </cell>
        </row>
        <row r="1821">
          <cell r="B1821" t="str">
            <v>A2729</v>
          </cell>
          <cell r="C1821" t="str">
            <v>Direct</v>
          </cell>
          <cell r="D1821" t="str">
            <v>GEN</v>
          </cell>
        </row>
        <row r="1822">
          <cell r="B1822" t="str">
            <v>A2730</v>
          </cell>
          <cell r="C1822" t="str">
            <v>Direct</v>
          </cell>
          <cell r="D1822" t="str">
            <v>ARG</v>
          </cell>
        </row>
        <row r="1823">
          <cell r="B1823" t="str">
            <v>A2731</v>
          </cell>
          <cell r="C1823" t="str">
            <v>Direct</v>
          </cell>
          <cell r="D1823" t="str">
            <v>CIL</v>
          </cell>
        </row>
        <row r="1824">
          <cell r="B1824" t="str">
            <v>A2732</v>
          </cell>
          <cell r="C1824" t="str">
            <v>Direct</v>
          </cell>
          <cell r="D1824" t="str">
            <v>MV1</v>
          </cell>
        </row>
        <row r="1825">
          <cell r="B1825" t="str">
            <v>A2733</v>
          </cell>
          <cell r="C1825" t="str">
            <v>Allocated Direct</v>
          </cell>
          <cell r="D1825" t="str">
            <v>002L</v>
          </cell>
        </row>
        <row r="1826">
          <cell r="B1826" t="str">
            <v>A2734</v>
          </cell>
          <cell r="C1826" t="str">
            <v>Allocated Direct</v>
          </cell>
          <cell r="D1826" t="str">
            <v>004A</v>
          </cell>
        </row>
        <row r="1827">
          <cell r="B1827" t="str">
            <v>A2735</v>
          </cell>
          <cell r="C1827" t="str">
            <v>Allocated Direct</v>
          </cell>
          <cell r="D1827" t="str">
            <v>010A</v>
          </cell>
        </row>
        <row r="1828">
          <cell r="B1828" t="str">
            <v>A2736</v>
          </cell>
          <cell r="C1828" t="str">
            <v>Direct</v>
          </cell>
          <cell r="D1828" t="str">
            <v>UEC</v>
          </cell>
        </row>
        <row r="1829">
          <cell r="B1829" t="str">
            <v>A2737</v>
          </cell>
          <cell r="C1829" t="str">
            <v>Direct</v>
          </cell>
          <cell r="D1829" t="str">
            <v>UEC</v>
          </cell>
        </row>
        <row r="1830">
          <cell r="B1830" t="str">
            <v>A2738</v>
          </cell>
          <cell r="C1830" t="str">
            <v>Direct</v>
          </cell>
          <cell r="D1830" t="str">
            <v>UEC</v>
          </cell>
        </row>
        <row r="1831">
          <cell r="B1831" t="str">
            <v>A2740</v>
          </cell>
          <cell r="C1831" t="str">
            <v>Allocated Direct</v>
          </cell>
          <cell r="D1831" t="str">
            <v>017B</v>
          </cell>
        </row>
        <row r="1832">
          <cell r="B1832" t="str">
            <v>A2741</v>
          </cell>
          <cell r="C1832" t="str">
            <v>Allocated Direct</v>
          </cell>
          <cell r="D1832" t="str">
            <v>011B</v>
          </cell>
        </row>
        <row r="1833">
          <cell r="B1833" t="str">
            <v>A2742</v>
          </cell>
          <cell r="C1833" t="str">
            <v>Allocated Direct</v>
          </cell>
          <cell r="D1833" t="str">
            <v>004A</v>
          </cell>
        </row>
        <row r="1834">
          <cell r="B1834" t="str">
            <v>A2743</v>
          </cell>
          <cell r="C1834" t="str">
            <v>Allocated Direct</v>
          </cell>
          <cell r="D1834" t="str">
            <v>002M</v>
          </cell>
        </row>
        <row r="1835">
          <cell r="B1835" t="str">
            <v>A2744</v>
          </cell>
          <cell r="C1835" t="str">
            <v>Allocated Direct</v>
          </cell>
          <cell r="D1835" t="str">
            <v>002L</v>
          </cell>
        </row>
        <row r="1836">
          <cell r="B1836" t="str">
            <v>A2745</v>
          </cell>
          <cell r="C1836" t="str">
            <v>Allocated Direct</v>
          </cell>
          <cell r="D1836" t="str">
            <v>010A</v>
          </cell>
        </row>
        <row r="1837">
          <cell r="B1837" t="str">
            <v>A2746</v>
          </cell>
          <cell r="C1837" t="str">
            <v>Allocated Direct</v>
          </cell>
          <cell r="D1837" t="str">
            <v>018A</v>
          </cell>
        </row>
        <row r="1838">
          <cell r="B1838" t="str">
            <v>A2747</v>
          </cell>
          <cell r="C1838" t="str">
            <v>Direct</v>
          </cell>
          <cell r="D1838" t="str">
            <v>GEN</v>
          </cell>
        </row>
        <row r="1839">
          <cell r="B1839" t="str">
            <v>A2750</v>
          </cell>
          <cell r="C1839" t="str">
            <v>Direct</v>
          </cell>
          <cell r="D1839" t="str">
            <v>GEN</v>
          </cell>
        </row>
        <row r="1840">
          <cell r="B1840" t="str">
            <v>A2751</v>
          </cell>
          <cell r="C1840" t="str">
            <v>Direct</v>
          </cell>
          <cell r="D1840" t="str">
            <v>GEN</v>
          </cell>
        </row>
        <row r="1841">
          <cell r="B1841" t="str">
            <v>A2752</v>
          </cell>
          <cell r="C1841" t="str">
            <v>Direct</v>
          </cell>
          <cell r="D1841" t="str">
            <v>GEN</v>
          </cell>
        </row>
        <row r="1842">
          <cell r="B1842" t="str">
            <v>A2753</v>
          </cell>
          <cell r="C1842" t="str">
            <v>Direct</v>
          </cell>
          <cell r="D1842" t="str">
            <v>GEN</v>
          </cell>
        </row>
        <row r="1843">
          <cell r="B1843" t="str">
            <v>A2757</v>
          </cell>
          <cell r="C1843" t="str">
            <v>Direct</v>
          </cell>
          <cell r="D1843" t="str">
            <v>GEN</v>
          </cell>
        </row>
        <row r="1844">
          <cell r="B1844" t="str">
            <v>A2758</v>
          </cell>
          <cell r="C1844" t="str">
            <v>Direct</v>
          </cell>
          <cell r="D1844" t="str">
            <v>GEN</v>
          </cell>
        </row>
        <row r="1845">
          <cell r="B1845" t="str">
            <v>A2759</v>
          </cell>
          <cell r="C1845" t="str">
            <v>Direct</v>
          </cell>
          <cell r="D1845" t="str">
            <v>GEN</v>
          </cell>
        </row>
        <row r="1846">
          <cell r="B1846" t="str">
            <v>A2760</v>
          </cell>
          <cell r="C1846" t="str">
            <v>Direct</v>
          </cell>
          <cell r="D1846" t="str">
            <v>GEN</v>
          </cell>
        </row>
        <row r="1847">
          <cell r="B1847" t="str">
            <v>A2761</v>
          </cell>
          <cell r="C1847" t="str">
            <v>Direct</v>
          </cell>
          <cell r="D1847" t="str">
            <v>GEN</v>
          </cell>
        </row>
        <row r="1848">
          <cell r="B1848" t="str">
            <v>A2762</v>
          </cell>
          <cell r="C1848" t="str">
            <v>Direct</v>
          </cell>
          <cell r="D1848" t="str">
            <v>GEN</v>
          </cell>
        </row>
        <row r="1849">
          <cell r="B1849" t="str">
            <v>A2763</v>
          </cell>
          <cell r="C1849" t="str">
            <v>Direct</v>
          </cell>
          <cell r="D1849" t="str">
            <v>GEN</v>
          </cell>
        </row>
        <row r="1850">
          <cell r="B1850" t="str">
            <v>A2764</v>
          </cell>
          <cell r="C1850" t="str">
            <v>Direct</v>
          </cell>
          <cell r="D1850" t="str">
            <v>GEN</v>
          </cell>
        </row>
        <row r="1851">
          <cell r="B1851" t="str">
            <v>A2765</v>
          </cell>
          <cell r="C1851" t="str">
            <v>Direct</v>
          </cell>
          <cell r="D1851" t="str">
            <v>GEN</v>
          </cell>
        </row>
        <row r="1852">
          <cell r="B1852" t="str">
            <v>A2766</v>
          </cell>
          <cell r="C1852" t="str">
            <v>Direct</v>
          </cell>
          <cell r="D1852" t="str">
            <v>GEN</v>
          </cell>
        </row>
        <row r="1853">
          <cell r="B1853" t="str">
            <v>A2767</v>
          </cell>
          <cell r="C1853" t="str">
            <v>Direct</v>
          </cell>
          <cell r="D1853" t="str">
            <v>GEN</v>
          </cell>
        </row>
        <row r="1854">
          <cell r="B1854" t="str">
            <v>A2768</v>
          </cell>
          <cell r="C1854" t="str">
            <v>Direct</v>
          </cell>
          <cell r="D1854" t="str">
            <v>GEN</v>
          </cell>
        </row>
        <row r="1855">
          <cell r="B1855" t="str">
            <v>A2769</v>
          </cell>
          <cell r="C1855" t="str">
            <v>Direct</v>
          </cell>
          <cell r="D1855" t="str">
            <v>ARG</v>
          </cell>
        </row>
        <row r="1856">
          <cell r="B1856" t="str">
            <v>A2770</v>
          </cell>
          <cell r="C1856" t="str">
            <v>Direct</v>
          </cell>
          <cell r="D1856" t="str">
            <v>ARG</v>
          </cell>
        </row>
        <row r="1857">
          <cell r="B1857" t="str">
            <v>A2771</v>
          </cell>
          <cell r="C1857" t="str">
            <v>Direct</v>
          </cell>
          <cell r="D1857" t="str">
            <v>ARG</v>
          </cell>
        </row>
        <row r="1858">
          <cell r="B1858" t="str">
            <v>A2772</v>
          </cell>
          <cell r="C1858" t="str">
            <v>Direct</v>
          </cell>
          <cell r="D1858" t="str">
            <v>ARG</v>
          </cell>
        </row>
        <row r="1859">
          <cell r="B1859" t="str">
            <v>A2773</v>
          </cell>
          <cell r="C1859" t="str">
            <v>Direct</v>
          </cell>
          <cell r="D1859" t="str">
            <v>ARG</v>
          </cell>
        </row>
        <row r="1860">
          <cell r="B1860" t="str">
            <v>A2774</v>
          </cell>
          <cell r="C1860" t="str">
            <v>Direct</v>
          </cell>
          <cell r="D1860" t="str">
            <v>ARG</v>
          </cell>
        </row>
        <row r="1861">
          <cell r="B1861" t="str">
            <v>A2775</v>
          </cell>
          <cell r="C1861" t="str">
            <v>Direct</v>
          </cell>
          <cell r="D1861" t="str">
            <v>ARG</v>
          </cell>
        </row>
        <row r="1862">
          <cell r="B1862" t="str">
            <v>A2776</v>
          </cell>
          <cell r="C1862" t="str">
            <v>Direct</v>
          </cell>
          <cell r="D1862" t="str">
            <v>ARG</v>
          </cell>
        </row>
        <row r="1863">
          <cell r="B1863" t="str">
            <v>A2777</v>
          </cell>
          <cell r="C1863" t="str">
            <v>Direct</v>
          </cell>
          <cell r="D1863" t="str">
            <v>GEN</v>
          </cell>
        </row>
        <row r="1864">
          <cell r="B1864" t="str">
            <v>A2779</v>
          </cell>
          <cell r="C1864" t="str">
            <v>Direct</v>
          </cell>
          <cell r="D1864" t="str">
            <v>GEN</v>
          </cell>
        </row>
        <row r="1865">
          <cell r="B1865" t="str">
            <v>A2780</v>
          </cell>
          <cell r="C1865" t="str">
            <v>Direct</v>
          </cell>
          <cell r="D1865" t="str">
            <v>UEC</v>
          </cell>
        </row>
        <row r="1866">
          <cell r="B1866" t="str">
            <v>A2781</v>
          </cell>
          <cell r="C1866" t="str">
            <v>Direct</v>
          </cell>
          <cell r="D1866" t="str">
            <v>UEC</v>
          </cell>
        </row>
        <row r="1867">
          <cell r="B1867" t="str">
            <v>A2783</v>
          </cell>
          <cell r="C1867" t="str">
            <v>Direct</v>
          </cell>
          <cell r="D1867" t="str">
            <v>UEC</v>
          </cell>
        </row>
        <row r="1868">
          <cell r="B1868" t="str">
            <v>A2784</v>
          </cell>
          <cell r="C1868" t="str">
            <v>Direct</v>
          </cell>
          <cell r="D1868" t="str">
            <v>UEC</v>
          </cell>
        </row>
        <row r="1869">
          <cell r="B1869" t="str">
            <v>A2785</v>
          </cell>
          <cell r="C1869" t="str">
            <v>Direct</v>
          </cell>
          <cell r="D1869" t="str">
            <v>UEC</v>
          </cell>
        </row>
        <row r="1870">
          <cell r="B1870" t="str">
            <v>A2786</v>
          </cell>
          <cell r="C1870" t="str">
            <v>Direct</v>
          </cell>
          <cell r="D1870" t="str">
            <v>UEC</v>
          </cell>
        </row>
        <row r="1871">
          <cell r="B1871" t="str">
            <v>A2787</v>
          </cell>
          <cell r="C1871" t="str">
            <v>Direct</v>
          </cell>
          <cell r="D1871" t="str">
            <v>UEC</v>
          </cell>
        </row>
        <row r="1872">
          <cell r="B1872" t="str">
            <v>A2788</v>
          </cell>
          <cell r="C1872" t="str">
            <v>Direct</v>
          </cell>
          <cell r="D1872" t="str">
            <v>UEC</v>
          </cell>
        </row>
        <row r="1873">
          <cell r="B1873" t="str">
            <v>A2789</v>
          </cell>
          <cell r="C1873" t="str">
            <v>Direct</v>
          </cell>
          <cell r="D1873" t="str">
            <v>UEC</v>
          </cell>
        </row>
        <row r="1874">
          <cell r="B1874" t="str">
            <v>A2790</v>
          </cell>
          <cell r="C1874" t="str">
            <v>Direct</v>
          </cell>
          <cell r="D1874" t="str">
            <v>UEC</v>
          </cell>
        </row>
        <row r="1875">
          <cell r="B1875" t="str">
            <v>A2791</v>
          </cell>
          <cell r="C1875" t="str">
            <v>Direct</v>
          </cell>
          <cell r="D1875" t="str">
            <v>UEC</v>
          </cell>
        </row>
        <row r="1876">
          <cell r="B1876" t="str">
            <v>A2792</v>
          </cell>
          <cell r="C1876" t="str">
            <v>Direct</v>
          </cell>
          <cell r="D1876" t="str">
            <v>UEC</v>
          </cell>
        </row>
        <row r="1877">
          <cell r="B1877" t="str">
            <v>A2793</v>
          </cell>
          <cell r="C1877" t="str">
            <v>Direct</v>
          </cell>
          <cell r="D1877" t="str">
            <v>UEC</v>
          </cell>
        </row>
        <row r="1878">
          <cell r="B1878" t="str">
            <v>A2794</v>
          </cell>
          <cell r="C1878" t="str">
            <v>Direct</v>
          </cell>
          <cell r="D1878" t="str">
            <v>UEC</v>
          </cell>
        </row>
        <row r="1879">
          <cell r="B1879" t="str">
            <v>A2795</v>
          </cell>
          <cell r="C1879" t="str">
            <v>Direct</v>
          </cell>
          <cell r="D1879" t="str">
            <v>UEC</v>
          </cell>
        </row>
        <row r="1880">
          <cell r="B1880" t="str">
            <v>A2797</v>
          </cell>
          <cell r="C1880" t="str">
            <v>Direct</v>
          </cell>
          <cell r="D1880" t="str">
            <v>UEC</v>
          </cell>
        </row>
        <row r="1881">
          <cell r="B1881" t="str">
            <v>A2798</v>
          </cell>
          <cell r="C1881" t="str">
            <v>Direct</v>
          </cell>
          <cell r="D1881" t="str">
            <v>GEN</v>
          </cell>
        </row>
        <row r="1882">
          <cell r="B1882" t="str">
            <v>A2799</v>
          </cell>
          <cell r="C1882" t="str">
            <v>Direct</v>
          </cell>
          <cell r="D1882" t="str">
            <v>ARG</v>
          </cell>
        </row>
        <row r="1883">
          <cell r="B1883" t="str">
            <v>A2800</v>
          </cell>
          <cell r="C1883" t="str">
            <v>Direct</v>
          </cell>
          <cell r="D1883" t="str">
            <v>UEC</v>
          </cell>
        </row>
        <row r="1884">
          <cell r="B1884" t="str">
            <v>A2801</v>
          </cell>
          <cell r="C1884" t="str">
            <v>Direct</v>
          </cell>
          <cell r="D1884" t="str">
            <v>GEN</v>
          </cell>
        </row>
        <row r="1885">
          <cell r="B1885" t="str">
            <v>A2802</v>
          </cell>
          <cell r="C1885" t="str">
            <v>Direct</v>
          </cell>
          <cell r="D1885" t="str">
            <v>ARG</v>
          </cell>
        </row>
        <row r="1886">
          <cell r="B1886" t="str">
            <v>A2803</v>
          </cell>
          <cell r="C1886" t="str">
            <v>Direct</v>
          </cell>
          <cell r="D1886" t="str">
            <v>UEC</v>
          </cell>
        </row>
        <row r="1887">
          <cell r="B1887" t="str">
            <v>A2804</v>
          </cell>
          <cell r="C1887" t="str">
            <v>Direct</v>
          </cell>
          <cell r="D1887" t="str">
            <v>GEN</v>
          </cell>
        </row>
        <row r="1888">
          <cell r="B1888" t="str">
            <v>A2805</v>
          </cell>
          <cell r="C1888" t="str">
            <v>Direct</v>
          </cell>
          <cell r="D1888" t="str">
            <v>ARG</v>
          </cell>
        </row>
        <row r="1889">
          <cell r="B1889" t="str">
            <v>A2806</v>
          </cell>
          <cell r="C1889" t="str">
            <v>Allocated Direct</v>
          </cell>
          <cell r="D1889" t="str">
            <v>011D</v>
          </cell>
        </row>
        <row r="1890">
          <cell r="B1890" t="str">
            <v>A2807</v>
          </cell>
          <cell r="C1890" t="str">
            <v>Direct</v>
          </cell>
          <cell r="D1890" t="str">
            <v>UEC</v>
          </cell>
        </row>
        <row r="1891">
          <cell r="B1891" t="str">
            <v>A2808</v>
          </cell>
          <cell r="C1891" t="str">
            <v>Allocated Direct</v>
          </cell>
          <cell r="D1891" t="str">
            <v>011A</v>
          </cell>
        </row>
        <row r="1892">
          <cell r="B1892" t="str">
            <v>A2811</v>
          </cell>
          <cell r="C1892" t="str">
            <v>Direct</v>
          </cell>
          <cell r="D1892" t="str">
            <v>GEN</v>
          </cell>
        </row>
        <row r="1893">
          <cell r="B1893" t="str">
            <v>A2812</v>
          </cell>
          <cell r="C1893" t="str">
            <v>Direct</v>
          </cell>
          <cell r="D1893" t="str">
            <v>GEN</v>
          </cell>
        </row>
        <row r="1894">
          <cell r="B1894" t="str">
            <v>A2813</v>
          </cell>
          <cell r="C1894" t="str">
            <v>Direct</v>
          </cell>
          <cell r="D1894" t="str">
            <v>GEN</v>
          </cell>
        </row>
        <row r="1895">
          <cell r="B1895" t="str">
            <v>A2814</v>
          </cell>
          <cell r="C1895" t="str">
            <v>Direct</v>
          </cell>
          <cell r="D1895" t="str">
            <v>GEN</v>
          </cell>
        </row>
        <row r="1896">
          <cell r="B1896" t="str">
            <v>A2815</v>
          </cell>
          <cell r="C1896" t="str">
            <v>Direct</v>
          </cell>
          <cell r="D1896" t="str">
            <v>ARG</v>
          </cell>
        </row>
        <row r="1897">
          <cell r="B1897" t="str">
            <v>A2816</v>
          </cell>
          <cell r="C1897" t="str">
            <v>Direct</v>
          </cell>
          <cell r="D1897" t="str">
            <v>ARG</v>
          </cell>
        </row>
        <row r="1898">
          <cell r="B1898" t="str">
            <v>A2817</v>
          </cell>
          <cell r="C1898" t="str">
            <v>Direct</v>
          </cell>
          <cell r="D1898" t="str">
            <v>GEN</v>
          </cell>
        </row>
        <row r="1899">
          <cell r="B1899" t="str">
            <v>A2818</v>
          </cell>
          <cell r="C1899" t="str">
            <v>Direct</v>
          </cell>
          <cell r="D1899" t="str">
            <v>UEC</v>
          </cell>
        </row>
        <row r="1900">
          <cell r="B1900" t="str">
            <v>A2819</v>
          </cell>
          <cell r="C1900" t="str">
            <v>Direct</v>
          </cell>
          <cell r="D1900" t="str">
            <v>UEC</v>
          </cell>
        </row>
        <row r="1901">
          <cell r="B1901" t="str">
            <v>A2820</v>
          </cell>
          <cell r="C1901" t="str">
            <v>Direct</v>
          </cell>
          <cell r="D1901" t="str">
            <v>UEC</v>
          </cell>
        </row>
        <row r="1902">
          <cell r="B1902" t="str">
            <v>A2821</v>
          </cell>
          <cell r="C1902" t="str">
            <v>Direct</v>
          </cell>
          <cell r="D1902" t="str">
            <v>UEC</v>
          </cell>
        </row>
        <row r="1903">
          <cell r="B1903" t="str">
            <v>A2822</v>
          </cell>
          <cell r="C1903" t="str">
            <v>Allocated Direct</v>
          </cell>
          <cell r="D1903" t="str">
            <v>017A</v>
          </cell>
        </row>
        <row r="1904">
          <cell r="B1904" t="str">
            <v>A2823</v>
          </cell>
          <cell r="C1904" t="str">
            <v>Allocated Direct</v>
          </cell>
          <cell r="D1904" t="str">
            <v>002M</v>
          </cell>
        </row>
        <row r="1905">
          <cell r="B1905" t="str">
            <v>A2824</v>
          </cell>
          <cell r="C1905" t="str">
            <v>Allocated Direct</v>
          </cell>
          <cell r="D1905" t="str">
            <v>011D</v>
          </cell>
        </row>
        <row r="1906">
          <cell r="B1906" t="str">
            <v>A2826</v>
          </cell>
          <cell r="C1906" t="str">
            <v>Allocated Direct</v>
          </cell>
          <cell r="D1906" t="str">
            <v>002M</v>
          </cell>
        </row>
        <row r="1907">
          <cell r="B1907" t="str">
            <v>A2827</v>
          </cell>
          <cell r="C1907" t="str">
            <v>Direct</v>
          </cell>
          <cell r="D1907" t="str">
            <v>UEC</v>
          </cell>
        </row>
        <row r="1908">
          <cell r="B1908" t="str">
            <v>A2828</v>
          </cell>
          <cell r="C1908" t="str">
            <v>Direct</v>
          </cell>
          <cell r="D1908" t="str">
            <v>UEC</v>
          </cell>
        </row>
        <row r="1909">
          <cell r="B1909" t="str">
            <v>A2829</v>
          </cell>
          <cell r="C1909" t="str">
            <v>Direct</v>
          </cell>
          <cell r="D1909" t="str">
            <v>UEC</v>
          </cell>
        </row>
        <row r="1910">
          <cell r="B1910" t="str">
            <v>A2830</v>
          </cell>
          <cell r="C1910" t="str">
            <v>Direct</v>
          </cell>
          <cell r="D1910" t="str">
            <v>ARG</v>
          </cell>
        </row>
        <row r="1911">
          <cell r="B1911" t="str">
            <v>A2831</v>
          </cell>
          <cell r="C1911" t="str">
            <v>Direct</v>
          </cell>
          <cell r="D1911" t="str">
            <v>UEC</v>
          </cell>
        </row>
        <row r="1912">
          <cell r="B1912" t="str">
            <v>A2832</v>
          </cell>
          <cell r="C1912" t="str">
            <v>Direct</v>
          </cell>
          <cell r="D1912" t="str">
            <v>IPC</v>
          </cell>
        </row>
        <row r="1913">
          <cell r="B1913" t="str">
            <v>A2833</v>
          </cell>
          <cell r="C1913" t="str">
            <v>Direct</v>
          </cell>
          <cell r="D1913" t="str">
            <v>CIP</v>
          </cell>
        </row>
        <row r="1914">
          <cell r="B1914" t="str">
            <v>A2834</v>
          </cell>
          <cell r="C1914" t="str">
            <v>Direct</v>
          </cell>
          <cell r="D1914" t="str">
            <v>CIL</v>
          </cell>
        </row>
        <row r="1915">
          <cell r="B1915" t="str">
            <v>A2835</v>
          </cell>
          <cell r="C1915" t="str">
            <v>Direct</v>
          </cell>
          <cell r="D1915" t="str">
            <v>ARG</v>
          </cell>
        </row>
        <row r="1916">
          <cell r="B1916" t="str">
            <v>A2836</v>
          </cell>
          <cell r="C1916" t="str">
            <v>Allocated Direct</v>
          </cell>
          <cell r="D1916" t="str">
            <v>012B</v>
          </cell>
        </row>
        <row r="1917">
          <cell r="B1917" t="str">
            <v>A2837</v>
          </cell>
          <cell r="C1917" t="str">
            <v>Allocated Direct</v>
          </cell>
          <cell r="D1917" t="str">
            <v>011B</v>
          </cell>
        </row>
        <row r="1918">
          <cell r="B1918" t="str">
            <v>A2838</v>
          </cell>
          <cell r="C1918" t="str">
            <v>Direct</v>
          </cell>
          <cell r="D1918" t="str">
            <v>UEC</v>
          </cell>
        </row>
        <row r="1919">
          <cell r="B1919" t="str">
            <v>A2839</v>
          </cell>
          <cell r="C1919" t="str">
            <v>Allocated Direct</v>
          </cell>
          <cell r="D1919" t="str">
            <v>002L</v>
          </cell>
        </row>
        <row r="1920">
          <cell r="B1920" t="str">
            <v>A2840</v>
          </cell>
          <cell r="C1920" t="str">
            <v>Direct</v>
          </cell>
          <cell r="D1920" t="str">
            <v>GEN</v>
          </cell>
        </row>
        <row r="1921">
          <cell r="B1921" t="str">
            <v>A2841</v>
          </cell>
          <cell r="C1921" t="str">
            <v>Direct</v>
          </cell>
          <cell r="D1921" t="str">
            <v>GEN</v>
          </cell>
        </row>
        <row r="1922">
          <cell r="B1922" t="str">
            <v>A2842</v>
          </cell>
          <cell r="C1922" t="str">
            <v>Direct</v>
          </cell>
          <cell r="D1922" t="str">
            <v>GEN</v>
          </cell>
        </row>
        <row r="1923">
          <cell r="B1923" t="str">
            <v>A2843</v>
          </cell>
          <cell r="C1923" t="str">
            <v>Direct</v>
          </cell>
          <cell r="D1923" t="str">
            <v>GEN</v>
          </cell>
        </row>
        <row r="1924">
          <cell r="B1924" t="str">
            <v>A2845</v>
          </cell>
          <cell r="C1924" t="str">
            <v>Direct</v>
          </cell>
          <cell r="D1924" t="str">
            <v>UEC</v>
          </cell>
        </row>
        <row r="1925">
          <cell r="B1925" t="str">
            <v>A2846</v>
          </cell>
          <cell r="C1925" t="str">
            <v>Direct</v>
          </cell>
          <cell r="D1925" t="str">
            <v>UEC</v>
          </cell>
        </row>
        <row r="1926">
          <cell r="B1926" t="str">
            <v>A2847</v>
          </cell>
          <cell r="C1926" t="str">
            <v>Direct</v>
          </cell>
          <cell r="D1926" t="str">
            <v>UEC</v>
          </cell>
        </row>
        <row r="1927">
          <cell r="B1927" t="str">
            <v>A2848</v>
          </cell>
          <cell r="C1927" t="str">
            <v>Direct</v>
          </cell>
          <cell r="D1927" t="str">
            <v>UEC</v>
          </cell>
        </row>
        <row r="1928">
          <cell r="B1928" t="str">
            <v>A2849</v>
          </cell>
          <cell r="C1928" t="str">
            <v>Direct</v>
          </cell>
          <cell r="D1928" t="str">
            <v>ARG</v>
          </cell>
        </row>
        <row r="1929">
          <cell r="B1929" t="str">
            <v>A2850</v>
          </cell>
          <cell r="C1929" t="str">
            <v>Direct</v>
          </cell>
          <cell r="D1929" t="str">
            <v>ARG</v>
          </cell>
        </row>
        <row r="1930">
          <cell r="B1930" t="str">
            <v>A2851</v>
          </cell>
          <cell r="C1930" t="str">
            <v>Direct</v>
          </cell>
          <cell r="D1930" t="str">
            <v>GMC</v>
          </cell>
        </row>
        <row r="1931">
          <cell r="B1931" t="str">
            <v>A2852</v>
          </cell>
          <cell r="C1931" t="str">
            <v>Direct</v>
          </cell>
          <cell r="D1931" t="str">
            <v>UEC</v>
          </cell>
        </row>
        <row r="1932">
          <cell r="B1932" t="str">
            <v>A2853</v>
          </cell>
          <cell r="C1932" t="str">
            <v>Direct</v>
          </cell>
          <cell r="D1932" t="str">
            <v>UEC</v>
          </cell>
        </row>
        <row r="1933">
          <cell r="B1933" t="str">
            <v>A2854</v>
          </cell>
          <cell r="C1933" t="str">
            <v>Direct</v>
          </cell>
          <cell r="D1933" t="str">
            <v>UEC</v>
          </cell>
        </row>
        <row r="1934">
          <cell r="B1934" t="str">
            <v>A2855</v>
          </cell>
          <cell r="C1934" t="str">
            <v>Direct</v>
          </cell>
          <cell r="D1934" t="str">
            <v>UEC</v>
          </cell>
        </row>
        <row r="1935">
          <cell r="B1935" t="str">
            <v>A2856</v>
          </cell>
          <cell r="C1935" t="str">
            <v>Allocated Direct</v>
          </cell>
          <cell r="D1935" t="str">
            <v>002L</v>
          </cell>
        </row>
        <row r="1936">
          <cell r="B1936" t="str">
            <v>A2857</v>
          </cell>
          <cell r="C1936" t="str">
            <v>Allocated Direct</v>
          </cell>
          <cell r="D1936" t="str">
            <v>011B</v>
          </cell>
        </row>
        <row r="1937">
          <cell r="B1937" t="str">
            <v>A2858</v>
          </cell>
          <cell r="C1937" t="str">
            <v>Allocated Direct</v>
          </cell>
          <cell r="D1937" t="str">
            <v>002M</v>
          </cell>
        </row>
        <row r="1938">
          <cell r="B1938" t="str">
            <v>A2859</v>
          </cell>
          <cell r="C1938" t="str">
            <v>Allocated Direct</v>
          </cell>
          <cell r="D1938" t="str">
            <v>011B</v>
          </cell>
        </row>
        <row r="1939">
          <cell r="B1939" t="str">
            <v>A2860</v>
          </cell>
          <cell r="C1939" t="str">
            <v>Direct</v>
          </cell>
          <cell r="D1939" t="str">
            <v>UEC</v>
          </cell>
        </row>
        <row r="1940">
          <cell r="B1940" t="str">
            <v>A2861</v>
          </cell>
          <cell r="C1940" t="str">
            <v>Allocated Direct</v>
          </cell>
          <cell r="D1940" t="str">
            <v>011B</v>
          </cell>
        </row>
        <row r="1941">
          <cell r="B1941" t="str">
            <v>A2862</v>
          </cell>
          <cell r="C1941" t="str">
            <v>Direct</v>
          </cell>
          <cell r="D1941" t="str">
            <v>UEC</v>
          </cell>
        </row>
        <row r="1942">
          <cell r="B1942" t="str">
            <v>A2863</v>
          </cell>
          <cell r="C1942" t="str">
            <v>Allocated Direct</v>
          </cell>
          <cell r="D1942" t="str">
            <v>002M</v>
          </cell>
        </row>
        <row r="1943">
          <cell r="B1943" t="str">
            <v>A2864</v>
          </cell>
          <cell r="C1943" t="str">
            <v>Direct</v>
          </cell>
          <cell r="D1943" t="str">
            <v>UEC</v>
          </cell>
        </row>
        <row r="1944">
          <cell r="B1944" t="str">
            <v>A2865</v>
          </cell>
          <cell r="C1944" t="str">
            <v>Allocated Direct</v>
          </cell>
          <cell r="D1944" t="str">
            <v>011B</v>
          </cell>
        </row>
        <row r="1945">
          <cell r="B1945" t="str">
            <v>A2866</v>
          </cell>
          <cell r="C1945" t="str">
            <v>Allocated Direct</v>
          </cell>
          <cell r="D1945" t="str">
            <v>002L</v>
          </cell>
        </row>
        <row r="1946">
          <cell r="B1946" t="str">
            <v>A2867</v>
          </cell>
          <cell r="C1946" t="str">
            <v>Direct</v>
          </cell>
          <cell r="D1946" t="str">
            <v>UEC</v>
          </cell>
        </row>
        <row r="1947">
          <cell r="B1947" t="str">
            <v>A2868</v>
          </cell>
          <cell r="C1947" t="str">
            <v>Allocated Direct</v>
          </cell>
          <cell r="D1947" t="str">
            <v>GEN</v>
          </cell>
        </row>
        <row r="1948">
          <cell r="B1948" t="str">
            <v>A2869</v>
          </cell>
          <cell r="C1948" t="str">
            <v>Allocated Direct</v>
          </cell>
          <cell r="D1948" t="str">
            <v>002M</v>
          </cell>
        </row>
        <row r="1949">
          <cell r="B1949" t="str">
            <v>A2870</v>
          </cell>
          <cell r="C1949" t="str">
            <v>Allocated Direct</v>
          </cell>
          <cell r="D1949" t="str">
            <v>017B</v>
          </cell>
        </row>
        <row r="1950">
          <cell r="B1950" t="str">
            <v>A2873</v>
          </cell>
          <cell r="C1950" t="str">
            <v>Indirect Functional</v>
          </cell>
          <cell r="D1950" t="str">
            <v>UEC</v>
          </cell>
        </row>
        <row r="1951">
          <cell r="B1951" t="str">
            <v>A2874</v>
          </cell>
          <cell r="C1951" t="str">
            <v>Allocated Direct</v>
          </cell>
          <cell r="D1951" t="str">
            <v>002D</v>
          </cell>
        </row>
        <row r="1952">
          <cell r="B1952" t="str">
            <v>A2875</v>
          </cell>
          <cell r="C1952" t="str">
            <v>Direct</v>
          </cell>
          <cell r="D1952" t="str">
            <v>UEC</v>
          </cell>
        </row>
        <row r="1953">
          <cell r="B1953" t="str">
            <v>A2880</v>
          </cell>
          <cell r="C1953" t="str">
            <v>Allocated Direct</v>
          </cell>
          <cell r="D1953" t="str">
            <v>002O</v>
          </cell>
        </row>
        <row r="1954">
          <cell r="B1954" t="str">
            <v>A2881</v>
          </cell>
          <cell r="C1954" t="str">
            <v>Direct</v>
          </cell>
          <cell r="D1954" t="str">
            <v>UEC</v>
          </cell>
        </row>
        <row r="1955">
          <cell r="B1955" t="str">
            <v>A2882</v>
          </cell>
          <cell r="C1955" t="str">
            <v>Allocated Direct</v>
          </cell>
          <cell r="D1955" t="str">
            <v>002L</v>
          </cell>
        </row>
        <row r="1956">
          <cell r="B1956" t="str">
            <v>A2883</v>
          </cell>
          <cell r="C1956" t="str">
            <v>Allocated Direct</v>
          </cell>
          <cell r="D1956" t="str">
            <v>004A</v>
          </cell>
        </row>
        <row r="1957">
          <cell r="B1957" t="str">
            <v>A2885</v>
          </cell>
          <cell r="C1957" t="str">
            <v>Direct</v>
          </cell>
          <cell r="D1957" t="str">
            <v>UEC</v>
          </cell>
        </row>
        <row r="1958">
          <cell r="B1958" t="str">
            <v>A2886</v>
          </cell>
          <cell r="C1958" t="str">
            <v>Direct</v>
          </cell>
          <cell r="D1958" t="str">
            <v>UEC</v>
          </cell>
        </row>
        <row r="1959">
          <cell r="B1959" t="str">
            <v>A2887</v>
          </cell>
          <cell r="C1959" t="str">
            <v>Direct</v>
          </cell>
          <cell r="D1959" t="str">
            <v>UEC</v>
          </cell>
        </row>
        <row r="1960">
          <cell r="B1960" t="str">
            <v>A2888</v>
          </cell>
          <cell r="C1960" t="str">
            <v>Direct</v>
          </cell>
          <cell r="D1960" t="str">
            <v>GMC</v>
          </cell>
        </row>
        <row r="1961">
          <cell r="B1961" t="str">
            <v>A2889</v>
          </cell>
          <cell r="C1961" t="str">
            <v>Direct</v>
          </cell>
          <cell r="D1961" t="str">
            <v>GEN</v>
          </cell>
        </row>
        <row r="1962">
          <cell r="B1962" t="str">
            <v>A2893</v>
          </cell>
          <cell r="C1962" t="str">
            <v>Direct</v>
          </cell>
          <cell r="D1962" t="str">
            <v>ARG</v>
          </cell>
        </row>
        <row r="1963">
          <cell r="B1963" t="str">
            <v>A2894</v>
          </cell>
          <cell r="C1963" t="str">
            <v>Direct</v>
          </cell>
          <cell r="D1963" t="str">
            <v>UEC</v>
          </cell>
        </row>
        <row r="1964">
          <cell r="B1964" t="str">
            <v>A2903</v>
          </cell>
          <cell r="C1964" t="str">
            <v>Direct</v>
          </cell>
          <cell r="D1964" t="str">
            <v>UEC</v>
          </cell>
        </row>
        <row r="1965">
          <cell r="B1965" t="str">
            <v>A2904</v>
          </cell>
          <cell r="C1965" t="str">
            <v>Direct</v>
          </cell>
          <cell r="D1965" t="str">
            <v>UEC</v>
          </cell>
        </row>
        <row r="1966">
          <cell r="B1966" t="str">
            <v>A2905</v>
          </cell>
          <cell r="C1966" t="str">
            <v>Direct</v>
          </cell>
          <cell r="D1966" t="str">
            <v>UEC</v>
          </cell>
        </row>
        <row r="1967">
          <cell r="B1967" t="str">
            <v>A2906</v>
          </cell>
          <cell r="C1967" t="str">
            <v>Direct</v>
          </cell>
          <cell r="D1967" t="str">
            <v>UEC</v>
          </cell>
        </row>
        <row r="1968">
          <cell r="B1968" t="str">
            <v>A2907</v>
          </cell>
          <cell r="C1968" t="str">
            <v>Direct</v>
          </cell>
          <cell r="D1968" t="str">
            <v>UEC</v>
          </cell>
        </row>
        <row r="1969">
          <cell r="B1969" t="str">
            <v>A2908</v>
          </cell>
          <cell r="C1969" t="str">
            <v>Direct</v>
          </cell>
          <cell r="D1969" t="str">
            <v>UEC</v>
          </cell>
        </row>
        <row r="1970">
          <cell r="B1970" t="str">
            <v>A2909</v>
          </cell>
          <cell r="C1970" t="str">
            <v>Allocated Direct</v>
          </cell>
          <cell r="D1970" t="str">
            <v>001A</v>
          </cell>
        </row>
        <row r="1971">
          <cell r="B1971" t="str">
            <v>A2910</v>
          </cell>
          <cell r="C1971" t="str">
            <v>Allocated Direct</v>
          </cell>
          <cell r="D1971" t="str">
            <v>002M</v>
          </cell>
        </row>
        <row r="1972">
          <cell r="B1972" t="str">
            <v>A2911</v>
          </cell>
          <cell r="C1972" t="str">
            <v>Allocated Direct</v>
          </cell>
          <cell r="D1972" t="str">
            <v>011A</v>
          </cell>
        </row>
        <row r="1973">
          <cell r="B1973" t="str">
            <v>A2914</v>
          </cell>
          <cell r="C1973" t="str">
            <v>Allocated Direct</v>
          </cell>
          <cell r="D1973" t="str">
            <v>011D</v>
          </cell>
        </row>
        <row r="1974">
          <cell r="B1974" t="str">
            <v>A2915</v>
          </cell>
          <cell r="C1974" t="str">
            <v>Allocated Direct</v>
          </cell>
          <cell r="D1974" t="str">
            <v>011B</v>
          </cell>
        </row>
        <row r="1975">
          <cell r="B1975" t="str">
            <v>A2916</v>
          </cell>
          <cell r="C1975" t="str">
            <v>Allocated Direct</v>
          </cell>
          <cell r="D1975" t="str">
            <v>011B</v>
          </cell>
        </row>
        <row r="1976">
          <cell r="B1976" t="str">
            <v>A2920</v>
          </cell>
          <cell r="C1976" t="str">
            <v>Direct</v>
          </cell>
          <cell r="D1976" t="str">
            <v>UEC</v>
          </cell>
        </row>
        <row r="1977">
          <cell r="B1977" t="str">
            <v>A2922</v>
          </cell>
          <cell r="C1977" t="str">
            <v>Direct</v>
          </cell>
          <cell r="D1977" t="str">
            <v>UEC</v>
          </cell>
        </row>
        <row r="1978">
          <cell r="B1978" t="str">
            <v>A2927</v>
          </cell>
          <cell r="C1978" t="str">
            <v>Allocated Direct</v>
          </cell>
          <cell r="D1978" t="str">
            <v>008C</v>
          </cell>
        </row>
        <row r="1979">
          <cell r="B1979" t="str">
            <v>A2929</v>
          </cell>
          <cell r="C1979" t="str">
            <v>Allocated Direct</v>
          </cell>
          <cell r="D1979" t="str">
            <v>001A</v>
          </cell>
        </row>
        <row r="1980">
          <cell r="B1980" t="str">
            <v>A2930</v>
          </cell>
          <cell r="C1980" t="str">
            <v>Direct</v>
          </cell>
          <cell r="D1980" t="str">
            <v>GEN</v>
          </cell>
        </row>
        <row r="1981">
          <cell r="B1981" t="str">
            <v>A2934</v>
          </cell>
          <cell r="C1981" t="str">
            <v>Direct</v>
          </cell>
          <cell r="D1981" t="str">
            <v>GEN</v>
          </cell>
        </row>
        <row r="1982">
          <cell r="B1982" t="str">
            <v>A2936</v>
          </cell>
          <cell r="C1982" t="str">
            <v>Direct</v>
          </cell>
          <cell r="D1982" t="str">
            <v>ARG</v>
          </cell>
        </row>
        <row r="1983">
          <cell r="B1983" t="str">
            <v>A2939</v>
          </cell>
          <cell r="C1983" t="str">
            <v>Direct</v>
          </cell>
          <cell r="D1983" t="str">
            <v>UEC</v>
          </cell>
        </row>
        <row r="1984">
          <cell r="B1984" t="str">
            <v>A2941</v>
          </cell>
          <cell r="C1984" t="str">
            <v>Direct</v>
          </cell>
          <cell r="D1984" t="str">
            <v>UEC</v>
          </cell>
        </row>
        <row r="1985">
          <cell r="B1985" t="str">
            <v>A2947</v>
          </cell>
          <cell r="C1985" t="str">
            <v>Allocated Direct</v>
          </cell>
          <cell r="D1985" t="str">
            <v>GEN</v>
          </cell>
        </row>
        <row r="1986">
          <cell r="B1986" t="str">
            <v>A2957</v>
          </cell>
          <cell r="C1986" t="str">
            <v>Direct</v>
          </cell>
          <cell r="D1986" t="str">
            <v>011B</v>
          </cell>
        </row>
        <row r="1987">
          <cell r="B1987" t="str">
            <v>A2959</v>
          </cell>
          <cell r="C1987" t="str">
            <v>Allocated Direct</v>
          </cell>
          <cell r="D1987" t="str">
            <v>011B</v>
          </cell>
        </row>
        <row r="1988">
          <cell r="B1988" t="str">
            <v>A2960</v>
          </cell>
          <cell r="C1988" t="str">
            <v>Direct</v>
          </cell>
          <cell r="D1988" t="str">
            <v>UEC</v>
          </cell>
        </row>
        <row r="1989">
          <cell r="B1989" t="str">
            <v>A2961</v>
          </cell>
          <cell r="C1989" t="str">
            <v>Direct</v>
          </cell>
          <cell r="D1989" t="str">
            <v>UEC</v>
          </cell>
        </row>
        <row r="1990">
          <cell r="B1990" t="str">
            <v>A2962</v>
          </cell>
          <cell r="C1990" t="str">
            <v>Direct</v>
          </cell>
          <cell r="D1990" t="str">
            <v>UEC</v>
          </cell>
        </row>
        <row r="1991">
          <cell r="B1991" t="str">
            <v>A2963</v>
          </cell>
          <cell r="C1991" t="str">
            <v>Allocated Direct</v>
          </cell>
          <cell r="D1991" t="str">
            <v>010A</v>
          </cell>
        </row>
        <row r="1992">
          <cell r="B1992" t="str">
            <v>A2964</v>
          </cell>
          <cell r="C1992" t="str">
            <v>Allocated Direct</v>
          </cell>
          <cell r="D1992" t="str">
            <v>002O</v>
          </cell>
        </row>
        <row r="1993">
          <cell r="B1993" t="str">
            <v>A2972</v>
          </cell>
          <cell r="C1993" t="str">
            <v>Allocated Direct</v>
          </cell>
          <cell r="D1993" t="str">
            <v>010A</v>
          </cell>
        </row>
        <row r="1994">
          <cell r="B1994" t="str">
            <v>ARG03</v>
          </cell>
          <cell r="C1994" t="str">
            <v>Direct</v>
          </cell>
          <cell r="D1994" t="str">
            <v>ARG</v>
          </cell>
        </row>
        <row r="1995">
          <cell r="B1995" t="str">
            <v>AXA11</v>
          </cell>
          <cell r="C1995" t="str">
            <v>Indirect Corporate</v>
          </cell>
          <cell r="D1995" t="str">
            <v>Indirect</v>
          </cell>
        </row>
        <row r="1996">
          <cell r="B1996" t="str">
            <v>AXA1F</v>
          </cell>
          <cell r="C1996" t="str">
            <v>Direct</v>
          </cell>
          <cell r="D1996" t="str">
            <v>AFS</v>
          </cell>
        </row>
        <row r="1997">
          <cell r="B1997" t="str">
            <v>AXA1G</v>
          </cell>
          <cell r="C1997" t="str">
            <v>Direct</v>
          </cell>
          <cell r="D1997" t="str">
            <v>GMC</v>
          </cell>
        </row>
        <row r="1998">
          <cell r="B1998" t="str">
            <v>AXA21</v>
          </cell>
          <cell r="C1998" t="str">
            <v>Direct</v>
          </cell>
          <cell r="D1998" t="str">
            <v>UEC</v>
          </cell>
        </row>
        <row r="1999">
          <cell r="B1999" t="str">
            <v>AXA41</v>
          </cell>
          <cell r="C1999" t="str">
            <v>Direct</v>
          </cell>
          <cell r="D1999" t="str">
            <v>CIP</v>
          </cell>
        </row>
        <row r="2000">
          <cell r="B2000" t="str">
            <v>AXACL</v>
          </cell>
          <cell r="C2000" t="str">
            <v>Direct</v>
          </cell>
          <cell r="D2000" t="str">
            <v>CIL</v>
          </cell>
        </row>
        <row r="2001">
          <cell r="B2001" t="str">
            <v>AXAIP</v>
          </cell>
          <cell r="C2001" t="str">
            <v>Direct</v>
          </cell>
          <cell r="D2001" t="str">
            <v>IPC</v>
          </cell>
        </row>
        <row r="2002">
          <cell r="B2002" t="str">
            <v>AXARG</v>
          </cell>
          <cell r="C2002" t="str">
            <v>Direct</v>
          </cell>
          <cell r="D2002" t="str">
            <v>ARG</v>
          </cell>
        </row>
        <row r="2003">
          <cell r="B2003" t="str">
            <v>AXB10</v>
          </cell>
          <cell r="C2003" t="str">
            <v>Direct</v>
          </cell>
          <cell r="D2003" t="str">
            <v>AMC</v>
          </cell>
        </row>
        <row r="2004">
          <cell r="B2004" t="str">
            <v>AXB11</v>
          </cell>
          <cell r="C2004" t="str">
            <v>Indirect Corporate</v>
          </cell>
          <cell r="D2004" t="str">
            <v>Indirect</v>
          </cell>
        </row>
        <row r="2005">
          <cell r="B2005" t="str">
            <v>AXB13</v>
          </cell>
          <cell r="C2005" t="str">
            <v>Direct</v>
          </cell>
          <cell r="D2005" t="str">
            <v>CIC</v>
          </cell>
        </row>
        <row r="2006">
          <cell r="B2006" t="str">
            <v>AXB14</v>
          </cell>
          <cell r="C2006" t="str">
            <v>Direct</v>
          </cell>
          <cell r="D2006" t="str">
            <v>UDC</v>
          </cell>
        </row>
        <row r="2007">
          <cell r="B2007" t="str">
            <v>AXB1G</v>
          </cell>
          <cell r="C2007" t="str">
            <v>Direct</v>
          </cell>
          <cell r="D2007" t="str">
            <v>GMC</v>
          </cell>
        </row>
        <row r="2008">
          <cell r="B2008" t="str">
            <v>AXB1H</v>
          </cell>
          <cell r="C2008" t="str">
            <v>Direct</v>
          </cell>
          <cell r="D2008" t="str">
            <v>IHC</v>
          </cell>
        </row>
        <row r="2009">
          <cell r="B2009" t="str">
            <v>AXB21</v>
          </cell>
          <cell r="C2009" t="str">
            <v>Direct</v>
          </cell>
          <cell r="D2009" t="str">
            <v>UEC</v>
          </cell>
        </row>
        <row r="2010">
          <cell r="B2010" t="str">
            <v>AXB90</v>
          </cell>
          <cell r="C2010" t="str">
            <v>Direct</v>
          </cell>
          <cell r="D2010" t="str">
            <v>GEN</v>
          </cell>
        </row>
        <row r="2011">
          <cell r="B2011" t="str">
            <v>C0025</v>
          </cell>
          <cell r="C2011" t="str">
            <v>Direct</v>
          </cell>
          <cell r="D2011" t="str">
            <v>CIP</v>
          </cell>
        </row>
        <row r="2012">
          <cell r="B2012" t="str">
            <v>C0030</v>
          </cell>
          <cell r="C2012" t="str">
            <v>Direct</v>
          </cell>
          <cell r="D2012" t="str">
            <v>CIP</v>
          </cell>
        </row>
        <row r="2013">
          <cell r="B2013" t="str">
            <v>C0091</v>
          </cell>
          <cell r="C2013" t="str">
            <v>Direct</v>
          </cell>
          <cell r="D2013" t="str">
            <v>CIP</v>
          </cell>
        </row>
        <row r="2014">
          <cell r="B2014" t="str">
            <v>C0101</v>
          </cell>
          <cell r="C2014" t="str">
            <v>Direct</v>
          </cell>
          <cell r="D2014" t="str">
            <v>CIP</v>
          </cell>
        </row>
        <row r="2015">
          <cell r="B2015" t="str">
            <v>C0102</v>
          </cell>
          <cell r="C2015" t="str">
            <v>Direct</v>
          </cell>
          <cell r="D2015" t="str">
            <v>CIP</v>
          </cell>
        </row>
        <row r="2016">
          <cell r="B2016" t="str">
            <v>C0103</v>
          </cell>
          <cell r="C2016" t="str">
            <v>Direct</v>
          </cell>
          <cell r="D2016" t="str">
            <v>CIP</v>
          </cell>
        </row>
        <row r="2017">
          <cell r="B2017" t="str">
            <v>C0111</v>
          </cell>
          <cell r="C2017" t="str">
            <v>Direct</v>
          </cell>
          <cell r="D2017" t="str">
            <v>CIP</v>
          </cell>
        </row>
        <row r="2018">
          <cell r="B2018" t="str">
            <v>C0113</v>
          </cell>
          <cell r="C2018" t="str">
            <v>Direct</v>
          </cell>
          <cell r="D2018" t="str">
            <v>CIP</v>
          </cell>
        </row>
        <row r="2019">
          <cell r="B2019" t="str">
            <v>C0114</v>
          </cell>
          <cell r="C2019" t="str">
            <v>Direct</v>
          </cell>
          <cell r="D2019" t="str">
            <v>CIP</v>
          </cell>
        </row>
        <row r="2020">
          <cell r="B2020" t="str">
            <v>C0223</v>
          </cell>
          <cell r="C2020" t="str">
            <v>Direct</v>
          </cell>
          <cell r="D2020" t="str">
            <v>CIP</v>
          </cell>
        </row>
        <row r="2021">
          <cell r="B2021" t="str">
            <v>C0224</v>
          </cell>
          <cell r="C2021" t="str">
            <v>Direct</v>
          </cell>
          <cell r="D2021" t="str">
            <v>CIP</v>
          </cell>
        </row>
        <row r="2022">
          <cell r="B2022" t="str">
            <v>C0226</v>
          </cell>
          <cell r="C2022" t="str">
            <v>Direct</v>
          </cell>
          <cell r="D2022" t="str">
            <v>CIP</v>
          </cell>
        </row>
        <row r="2023">
          <cell r="B2023" t="str">
            <v>C0227</v>
          </cell>
          <cell r="C2023" t="str">
            <v>Direct</v>
          </cell>
          <cell r="D2023" t="str">
            <v>CIP</v>
          </cell>
        </row>
        <row r="2024">
          <cell r="B2024" t="str">
            <v>C0228</v>
          </cell>
          <cell r="C2024" t="str">
            <v>Direct</v>
          </cell>
          <cell r="D2024" t="str">
            <v>CIP</v>
          </cell>
        </row>
        <row r="2025">
          <cell r="B2025" t="str">
            <v>C0230</v>
          </cell>
          <cell r="C2025" t="str">
            <v>Direct</v>
          </cell>
          <cell r="D2025" t="str">
            <v>CIP</v>
          </cell>
        </row>
        <row r="2026">
          <cell r="B2026" t="str">
            <v>C0231</v>
          </cell>
          <cell r="C2026" t="str">
            <v>Direct</v>
          </cell>
          <cell r="D2026" t="str">
            <v>CIP</v>
          </cell>
        </row>
        <row r="2027">
          <cell r="B2027" t="str">
            <v>C0290</v>
          </cell>
          <cell r="C2027" t="str">
            <v>Direct</v>
          </cell>
          <cell r="D2027" t="str">
            <v>CIP</v>
          </cell>
        </row>
        <row r="2028">
          <cell r="B2028" t="str">
            <v>C0291</v>
          </cell>
          <cell r="C2028" t="str">
            <v>Direct</v>
          </cell>
          <cell r="D2028" t="str">
            <v>CIP</v>
          </cell>
        </row>
        <row r="2029">
          <cell r="B2029" t="str">
            <v>C0292</v>
          </cell>
          <cell r="C2029" t="str">
            <v>Direct</v>
          </cell>
          <cell r="D2029" t="str">
            <v>CIP</v>
          </cell>
        </row>
        <row r="2030">
          <cell r="B2030" t="str">
            <v>C0293</v>
          </cell>
          <cell r="C2030" t="str">
            <v>Direct</v>
          </cell>
          <cell r="D2030" t="str">
            <v>CIP</v>
          </cell>
        </row>
        <row r="2031">
          <cell r="B2031" t="str">
            <v>C0294</v>
          </cell>
          <cell r="C2031" t="str">
            <v>Direct</v>
          </cell>
          <cell r="D2031" t="str">
            <v>CIP</v>
          </cell>
        </row>
        <row r="2032">
          <cell r="B2032" t="str">
            <v>C0930</v>
          </cell>
          <cell r="C2032" t="str">
            <v>Direct</v>
          </cell>
          <cell r="D2032" t="str">
            <v>GEN</v>
          </cell>
        </row>
        <row r="2033">
          <cell r="B2033" t="str">
            <v>C0940</v>
          </cell>
          <cell r="C2033" t="str">
            <v>Direct</v>
          </cell>
          <cell r="D2033" t="str">
            <v>GEN</v>
          </cell>
        </row>
        <row r="2034">
          <cell r="B2034" t="str">
            <v>C0995</v>
          </cell>
          <cell r="C2034" t="str">
            <v>Direct</v>
          </cell>
          <cell r="D2034" t="str">
            <v>CIP</v>
          </cell>
        </row>
        <row r="2035">
          <cell r="B2035" t="str">
            <v>C0996</v>
          </cell>
          <cell r="C2035" t="str">
            <v>Direct</v>
          </cell>
          <cell r="D2035" t="str">
            <v>CIP</v>
          </cell>
        </row>
        <row r="2036">
          <cell r="B2036" t="str">
            <v>C1190</v>
          </cell>
          <cell r="C2036" t="str">
            <v>Direct</v>
          </cell>
          <cell r="D2036" t="str">
            <v>CIL</v>
          </cell>
        </row>
        <row r="2037">
          <cell r="B2037" t="str">
            <v>C1191</v>
          </cell>
          <cell r="C2037" t="str">
            <v>Direct</v>
          </cell>
          <cell r="D2037" t="str">
            <v>CIL</v>
          </cell>
        </row>
        <row r="2038">
          <cell r="B2038" t="str">
            <v>C1192</v>
          </cell>
          <cell r="C2038" t="str">
            <v>Direct</v>
          </cell>
          <cell r="D2038" t="str">
            <v>CIL</v>
          </cell>
        </row>
        <row r="2039">
          <cell r="B2039" t="str">
            <v>C1194</v>
          </cell>
          <cell r="C2039" t="str">
            <v>Direct</v>
          </cell>
          <cell r="D2039" t="str">
            <v>CIL</v>
          </cell>
        </row>
        <row r="2040">
          <cell r="B2040" t="str">
            <v>C1195</v>
          </cell>
          <cell r="C2040" t="str">
            <v>Direct</v>
          </cell>
          <cell r="D2040" t="str">
            <v>CIL</v>
          </cell>
        </row>
        <row r="2041">
          <cell r="B2041" t="str">
            <v>C1196</v>
          </cell>
          <cell r="C2041" t="str">
            <v>Direct</v>
          </cell>
          <cell r="D2041" t="str">
            <v>CIL</v>
          </cell>
        </row>
        <row r="2042">
          <cell r="B2042" t="str">
            <v>C1197</v>
          </cell>
          <cell r="C2042" t="str">
            <v>Direct</v>
          </cell>
          <cell r="D2042" t="str">
            <v>CIL</v>
          </cell>
        </row>
        <row r="2043">
          <cell r="B2043" t="str">
            <v>C1198</v>
          </cell>
          <cell r="C2043" t="str">
            <v>Direct</v>
          </cell>
          <cell r="D2043" t="str">
            <v>CIL</v>
          </cell>
        </row>
        <row r="2044">
          <cell r="B2044" t="str">
            <v>C1201</v>
          </cell>
          <cell r="C2044" t="str">
            <v>Direct</v>
          </cell>
          <cell r="D2044" t="str">
            <v>CIL</v>
          </cell>
        </row>
        <row r="2045">
          <cell r="B2045" t="str">
            <v>C1209</v>
          </cell>
          <cell r="C2045" t="str">
            <v>Direct</v>
          </cell>
          <cell r="D2045" t="str">
            <v>CIL</v>
          </cell>
        </row>
        <row r="2046">
          <cell r="B2046" t="str">
            <v>C1220</v>
          </cell>
          <cell r="C2046" t="str">
            <v>Direct</v>
          </cell>
          <cell r="D2046" t="str">
            <v>CIL</v>
          </cell>
        </row>
        <row r="2047">
          <cell r="B2047" t="str">
            <v>C1227</v>
          </cell>
          <cell r="C2047" t="str">
            <v>Direct</v>
          </cell>
          <cell r="D2047" t="str">
            <v>CIL</v>
          </cell>
        </row>
        <row r="2048">
          <cell r="B2048" t="str">
            <v>C1228</v>
          </cell>
          <cell r="C2048" t="str">
            <v>Direct</v>
          </cell>
          <cell r="D2048" t="str">
            <v>CIL</v>
          </cell>
        </row>
        <row r="2049">
          <cell r="B2049" t="str">
            <v>C1235</v>
          </cell>
          <cell r="C2049" t="str">
            <v>Direct</v>
          </cell>
          <cell r="D2049" t="str">
            <v>CIL</v>
          </cell>
        </row>
        <row r="2050">
          <cell r="B2050" t="str">
            <v>C1250</v>
          </cell>
          <cell r="C2050" t="str">
            <v>Direct</v>
          </cell>
          <cell r="D2050" t="str">
            <v>CIL</v>
          </cell>
        </row>
        <row r="2051">
          <cell r="B2051" t="str">
            <v>C1280</v>
          </cell>
          <cell r="C2051" t="str">
            <v>Direct</v>
          </cell>
          <cell r="D2051" t="str">
            <v>CIL</v>
          </cell>
        </row>
        <row r="2052">
          <cell r="B2052" t="str">
            <v>C1310</v>
          </cell>
          <cell r="C2052" t="str">
            <v>Direct</v>
          </cell>
          <cell r="D2052" t="str">
            <v>CIL</v>
          </cell>
        </row>
        <row r="2053">
          <cell r="B2053" t="str">
            <v>C1350</v>
          </cell>
          <cell r="C2053" t="str">
            <v>Direct</v>
          </cell>
          <cell r="D2053" t="str">
            <v>GEN</v>
          </cell>
        </row>
        <row r="2054">
          <cell r="B2054" t="str">
            <v>C2119</v>
          </cell>
          <cell r="C2054" t="str">
            <v>Direct</v>
          </cell>
          <cell r="D2054" t="str">
            <v>CIL</v>
          </cell>
        </row>
        <row r="2055">
          <cell r="B2055" t="str">
            <v>C2224</v>
          </cell>
          <cell r="C2055" t="str">
            <v>Direct</v>
          </cell>
          <cell r="D2055" t="str">
            <v>CIL</v>
          </cell>
        </row>
        <row r="2056">
          <cell r="B2056" t="str">
            <v>C2226</v>
          </cell>
          <cell r="C2056" t="str">
            <v>Direct</v>
          </cell>
          <cell r="D2056" t="str">
            <v>CIL</v>
          </cell>
        </row>
        <row r="2057">
          <cell r="B2057" t="str">
            <v>C2227</v>
          </cell>
          <cell r="C2057" t="str">
            <v>Direct</v>
          </cell>
          <cell r="D2057" t="str">
            <v>CIL</v>
          </cell>
        </row>
        <row r="2058">
          <cell r="B2058" t="str">
            <v>C2231</v>
          </cell>
          <cell r="C2058" t="str">
            <v>Direct</v>
          </cell>
          <cell r="D2058" t="str">
            <v>CIL</v>
          </cell>
        </row>
        <row r="2059">
          <cell r="B2059" t="str">
            <v>C2236</v>
          </cell>
          <cell r="C2059" t="str">
            <v>Direct</v>
          </cell>
          <cell r="D2059" t="str">
            <v>CIL</v>
          </cell>
        </row>
        <row r="2060">
          <cell r="B2060" t="str">
            <v>C3162</v>
          </cell>
          <cell r="C2060" t="str">
            <v>Direct</v>
          </cell>
          <cell r="D2060" t="str">
            <v>IPC</v>
          </cell>
        </row>
        <row r="2061">
          <cell r="B2061" t="str">
            <v>C3170</v>
          </cell>
          <cell r="C2061" t="str">
            <v>Direct</v>
          </cell>
          <cell r="D2061" t="str">
            <v>IPC</v>
          </cell>
        </row>
        <row r="2062">
          <cell r="B2062" t="str">
            <v>C3190</v>
          </cell>
          <cell r="C2062" t="str">
            <v>Direct</v>
          </cell>
          <cell r="D2062" t="str">
            <v>IPC</v>
          </cell>
        </row>
        <row r="2063">
          <cell r="B2063" t="str">
            <v>C3191</v>
          </cell>
          <cell r="C2063" t="str">
            <v>Direct</v>
          </cell>
          <cell r="D2063" t="str">
            <v>IPC</v>
          </cell>
        </row>
        <row r="2064">
          <cell r="B2064" t="str">
            <v>C3192</v>
          </cell>
          <cell r="C2064" t="str">
            <v>Direct</v>
          </cell>
          <cell r="D2064" t="str">
            <v>IPC</v>
          </cell>
        </row>
        <row r="2065">
          <cell r="B2065" t="str">
            <v>C3193</v>
          </cell>
          <cell r="C2065" t="str">
            <v>Direct</v>
          </cell>
          <cell r="D2065" t="str">
            <v>IPC</v>
          </cell>
        </row>
        <row r="2066">
          <cell r="B2066" t="str">
            <v>C3201</v>
          </cell>
          <cell r="C2066" t="str">
            <v>Direct</v>
          </cell>
          <cell r="D2066" t="str">
            <v>IPC</v>
          </cell>
        </row>
        <row r="2067">
          <cell r="B2067" t="str">
            <v>C3202</v>
          </cell>
          <cell r="C2067" t="str">
            <v>Direct</v>
          </cell>
          <cell r="D2067" t="str">
            <v>IPC</v>
          </cell>
        </row>
        <row r="2068">
          <cell r="B2068" t="str">
            <v>C3215</v>
          </cell>
          <cell r="C2068" t="str">
            <v>Direct</v>
          </cell>
          <cell r="D2068" t="str">
            <v>IPC</v>
          </cell>
        </row>
        <row r="2069">
          <cell r="B2069" t="str">
            <v>C3216</v>
          </cell>
          <cell r="C2069" t="str">
            <v>Direct</v>
          </cell>
          <cell r="D2069" t="str">
            <v>IPC</v>
          </cell>
        </row>
        <row r="2070">
          <cell r="B2070" t="str">
            <v>C3217</v>
          </cell>
          <cell r="C2070" t="str">
            <v>Direct</v>
          </cell>
          <cell r="D2070" t="str">
            <v>IPC</v>
          </cell>
        </row>
        <row r="2071">
          <cell r="B2071" t="str">
            <v>C3218</v>
          </cell>
          <cell r="C2071" t="str">
            <v>Direct</v>
          </cell>
          <cell r="D2071" t="str">
            <v>IPC</v>
          </cell>
        </row>
        <row r="2072">
          <cell r="B2072" t="str">
            <v>C3219</v>
          </cell>
          <cell r="C2072" t="str">
            <v>Direct</v>
          </cell>
          <cell r="D2072" t="str">
            <v>IPC</v>
          </cell>
        </row>
        <row r="2073">
          <cell r="B2073" t="str">
            <v>C3220</v>
          </cell>
          <cell r="C2073" t="str">
            <v>Direct</v>
          </cell>
          <cell r="D2073" t="str">
            <v>IPC</v>
          </cell>
        </row>
        <row r="2074">
          <cell r="B2074" t="str">
            <v>C3221</v>
          </cell>
          <cell r="C2074" t="str">
            <v>Direct</v>
          </cell>
          <cell r="D2074" t="str">
            <v>IPC</v>
          </cell>
        </row>
        <row r="2075">
          <cell r="B2075" t="str">
            <v>C3222</v>
          </cell>
          <cell r="C2075" t="str">
            <v>Direct</v>
          </cell>
          <cell r="D2075" t="str">
            <v>IPC</v>
          </cell>
        </row>
        <row r="2076">
          <cell r="B2076" t="str">
            <v>C3223</v>
          </cell>
          <cell r="C2076" t="str">
            <v>Direct</v>
          </cell>
          <cell r="D2076" t="str">
            <v>IPC</v>
          </cell>
        </row>
        <row r="2077">
          <cell r="B2077" t="str">
            <v>C3224</v>
          </cell>
          <cell r="C2077" t="str">
            <v>Direct</v>
          </cell>
          <cell r="D2077" t="str">
            <v>IPC</v>
          </cell>
        </row>
        <row r="2078">
          <cell r="B2078" t="str">
            <v>C3226</v>
          </cell>
          <cell r="C2078" t="str">
            <v>Direct</v>
          </cell>
          <cell r="D2078" t="str">
            <v>IPC</v>
          </cell>
        </row>
        <row r="2079">
          <cell r="B2079" t="str">
            <v>C3227</v>
          </cell>
          <cell r="C2079" t="str">
            <v>Direct</v>
          </cell>
          <cell r="D2079" t="str">
            <v>IPC</v>
          </cell>
        </row>
        <row r="2080">
          <cell r="B2080" t="str">
            <v>C3228</v>
          </cell>
          <cell r="C2080" t="str">
            <v>Direct</v>
          </cell>
          <cell r="D2080" t="str">
            <v>IPC</v>
          </cell>
        </row>
        <row r="2081">
          <cell r="B2081" t="str">
            <v>C3231</v>
          </cell>
          <cell r="C2081" t="str">
            <v>Direct</v>
          </cell>
          <cell r="D2081" t="str">
            <v>IPC</v>
          </cell>
        </row>
        <row r="2082">
          <cell r="B2082" t="str">
            <v>C3232</v>
          </cell>
          <cell r="C2082" t="str">
            <v>Direct</v>
          </cell>
          <cell r="D2082" t="str">
            <v>IPC</v>
          </cell>
        </row>
        <row r="2083">
          <cell r="B2083" t="str">
            <v>C3233</v>
          </cell>
          <cell r="C2083" t="str">
            <v>Direct</v>
          </cell>
          <cell r="D2083" t="str">
            <v>IPC</v>
          </cell>
        </row>
        <row r="2084">
          <cell r="B2084" t="str">
            <v>C3242</v>
          </cell>
          <cell r="C2084" t="str">
            <v>Direct</v>
          </cell>
          <cell r="D2084" t="str">
            <v>IPC</v>
          </cell>
        </row>
        <row r="2085">
          <cell r="B2085" t="str">
            <v>C3293</v>
          </cell>
          <cell r="C2085" t="str">
            <v>Direct</v>
          </cell>
          <cell r="D2085" t="str">
            <v>CIP</v>
          </cell>
        </row>
        <row r="2086">
          <cell r="B2086" t="str">
            <v>C3295</v>
          </cell>
          <cell r="C2086" t="str">
            <v>Direct</v>
          </cell>
          <cell r="D2086" t="str">
            <v>CIP</v>
          </cell>
        </row>
        <row r="2087">
          <cell r="B2087" t="str">
            <v>C3296</v>
          </cell>
          <cell r="C2087" t="str">
            <v>Direct</v>
          </cell>
          <cell r="D2087" t="str">
            <v>CIP</v>
          </cell>
        </row>
        <row r="2088">
          <cell r="B2088" t="str">
            <v>CIL01</v>
          </cell>
          <cell r="C2088" t="str">
            <v>Direct</v>
          </cell>
          <cell r="D2088" t="str">
            <v>CIL</v>
          </cell>
        </row>
        <row r="2089">
          <cell r="B2089" t="str">
            <v>CIP01</v>
          </cell>
          <cell r="C2089" t="str">
            <v>Direct</v>
          </cell>
          <cell r="D2089" t="str">
            <v>CIP</v>
          </cell>
        </row>
        <row r="2090">
          <cell r="B2090" t="str">
            <v>D9999</v>
          </cell>
          <cell r="C2090" t="str">
            <v>Direct</v>
          </cell>
          <cell r="D2090" t="str">
            <v>UEC</v>
          </cell>
        </row>
        <row r="2091">
          <cell r="B2091" t="str">
            <v>GEN03</v>
          </cell>
          <cell r="C2091" t="str">
            <v>Direct</v>
          </cell>
          <cell r="D2091" t="str">
            <v>GEN</v>
          </cell>
        </row>
        <row r="2092">
          <cell r="B2092" t="str">
            <v>IPC01</v>
          </cell>
          <cell r="C2092" t="str">
            <v>Direct</v>
          </cell>
          <cell r="D2092" t="str">
            <v>IPC</v>
          </cell>
        </row>
        <row r="2093">
          <cell r="B2093" t="str">
            <v>P0034</v>
          </cell>
          <cell r="C2093" t="str">
            <v>Direct</v>
          </cell>
          <cell r="D2093" t="str">
            <v>011B</v>
          </cell>
        </row>
        <row r="2094">
          <cell r="B2094" t="str">
            <v>P0118</v>
          </cell>
          <cell r="C2094" t="str">
            <v>Direct</v>
          </cell>
          <cell r="D2094" t="str">
            <v>UEC</v>
          </cell>
        </row>
        <row r="2095">
          <cell r="B2095" t="str">
            <v>P0119</v>
          </cell>
          <cell r="C2095" t="str">
            <v>Direct</v>
          </cell>
          <cell r="D2095" t="str">
            <v>UEC</v>
          </cell>
        </row>
        <row r="2096">
          <cell r="B2096" t="str">
            <v>P0120</v>
          </cell>
          <cell r="C2096" t="str">
            <v>Direct</v>
          </cell>
          <cell r="D2096" t="str">
            <v>UEC</v>
          </cell>
        </row>
        <row r="2097">
          <cell r="B2097" t="str">
            <v>P0121</v>
          </cell>
          <cell r="C2097" t="str">
            <v>Direct</v>
          </cell>
          <cell r="D2097" t="str">
            <v>UEC</v>
          </cell>
        </row>
        <row r="2098">
          <cell r="B2098" t="str">
            <v>P0130</v>
          </cell>
          <cell r="C2098" t="str">
            <v>Direct</v>
          </cell>
          <cell r="D2098" t="str">
            <v>GEN</v>
          </cell>
        </row>
        <row r="2099">
          <cell r="B2099" t="str">
            <v>P0213</v>
          </cell>
          <cell r="C2099" t="str">
            <v>Direct</v>
          </cell>
          <cell r="D2099" t="str">
            <v>UEC</v>
          </cell>
        </row>
        <row r="2100">
          <cell r="B2100" t="str">
            <v>P0214</v>
          </cell>
          <cell r="C2100" t="str">
            <v>Direct</v>
          </cell>
          <cell r="D2100" t="str">
            <v>UEC</v>
          </cell>
        </row>
        <row r="2101">
          <cell r="B2101" t="str">
            <v>P0228</v>
          </cell>
          <cell r="C2101" t="str">
            <v>Direct</v>
          </cell>
          <cell r="D2101" t="str">
            <v>UEC</v>
          </cell>
        </row>
        <row r="2102">
          <cell r="B2102" t="str">
            <v>P0229</v>
          </cell>
          <cell r="C2102" t="str">
            <v>Direct</v>
          </cell>
          <cell r="D2102" t="str">
            <v>UEC</v>
          </cell>
        </row>
        <row r="2103">
          <cell r="B2103" t="str">
            <v>P0230</v>
          </cell>
          <cell r="C2103" t="str">
            <v>Direct</v>
          </cell>
          <cell r="D2103" t="str">
            <v>UEC</v>
          </cell>
        </row>
        <row r="2104">
          <cell r="B2104" t="str">
            <v>P0231</v>
          </cell>
          <cell r="C2104" t="str">
            <v>Direct</v>
          </cell>
          <cell r="D2104" t="str">
            <v>UEC</v>
          </cell>
        </row>
        <row r="2105">
          <cell r="B2105" t="str">
            <v>P0239</v>
          </cell>
          <cell r="C2105" t="str">
            <v>Direct</v>
          </cell>
          <cell r="D2105" t="str">
            <v>GEN</v>
          </cell>
        </row>
        <row r="2106">
          <cell r="B2106" t="str">
            <v>P0240</v>
          </cell>
          <cell r="C2106" t="str">
            <v>Direct</v>
          </cell>
          <cell r="D2106" t="str">
            <v>ARG</v>
          </cell>
        </row>
        <row r="2107">
          <cell r="B2107" t="str">
            <v>P0241</v>
          </cell>
          <cell r="C2107" t="str">
            <v>Direct</v>
          </cell>
          <cell r="D2107" t="str">
            <v>011B</v>
          </cell>
        </row>
        <row r="2108">
          <cell r="B2108" t="str">
            <v>P0385</v>
          </cell>
          <cell r="C2108" t="str">
            <v>Direct</v>
          </cell>
          <cell r="D2108" t="str">
            <v>UEC</v>
          </cell>
        </row>
        <row r="2109">
          <cell r="B2109" t="str">
            <v>UEC01</v>
          </cell>
          <cell r="C2109" t="str">
            <v>Direct</v>
          </cell>
          <cell r="D2109" t="str">
            <v>UEC</v>
          </cell>
        </row>
        <row r="2110">
          <cell r="B2110" t="str">
            <v>UEC03</v>
          </cell>
          <cell r="C2110" t="str">
            <v>Direct</v>
          </cell>
          <cell r="D2110" t="str">
            <v>UEC</v>
          </cell>
        </row>
        <row r="2111">
          <cell r="B2111" t="str">
            <v>W0344</v>
          </cell>
          <cell r="C2111" t="str">
            <v>Direct</v>
          </cell>
          <cell r="D2111" t="str">
            <v>ARG</v>
          </cell>
        </row>
        <row r="2112">
          <cell r="B2112" t="str">
            <v>W0352</v>
          </cell>
          <cell r="C2112" t="str">
            <v>N/A</v>
          </cell>
          <cell r="D2112" t="str">
            <v>GEN</v>
          </cell>
        </row>
        <row r="2113">
          <cell r="B2113" t="str">
            <v>W0362</v>
          </cell>
          <cell r="C2113" t="str">
            <v>Direct</v>
          </cell>
          <cell r="D2113" t="str">
            <v>GEN</v>
          </cell>
        </row>
        <row r="2114">
          <cell r="B2114" t="str">
            <v>W0363</v>
          </cell>
          <cell r="C2114" t="str">
            <v>Direct</v>
          </cell>
          <cell r="D2114" t="str">
            <v>GEN</v>
          </cell>
        </row>
        <row r="2115">
          <cell r="B2115" t="str">
            <v>W0364</v>
          </cell>
          <cell r="C2115" t="str">
            <v>Direct</v>
          </cell>
          <cell r="D2115" t="str">
            <v>GEN</v>
          </cell>
        </row>
        <row r="2116">
          <cell r="B2116" t="str">
            <v>W0366</v>
          </cell>
          <cell r="C2116" t="str">
            <v>Direct</v>
          </cell>
          <cell r="D2116" t="str">
            <v>GEN</v>
          </cell>
        </row>
        <row r="2117">
          <cell r="B2117" t="str">
            <v>W0368</v>
          </cell>
          <cell r="C2117" t="str">
            <v>Direct</v>
          </cell>
          <cell r="D2117" t="str">
            <v>ARG</v>
          </cell>
        </row>
        <row r="2118">
          <cell r="B2118" t="str">
            <v>W0482</v>
          </cell>
          <cell r="C2118" t="str">
            <v>Direct</v>
          </cell>
          <cell r="D2118" t="str">
            <v>UEC</v>
          </cell>
        </row>
        <row r="2119">
          <cell r="B2119" t="str">
            <v>W0539</v>
          </cell>
          <cell r="C2119" t="str">
            <v>Direct</v>
          </cell>
          <cell r="D2119" t="str">
            <v>UEC</v>
          </cell>
        </row>
        <row r="2120">
          <cell r="B2120" t="str">
            <v>W0807</v>
          </cell>
          <cell r="C2120" t="str">
            <v>Direct</v>
          </cell>
          <cell r="D2120" t="str">
            <v>011B</v>
          </cell>
        </row>
        <row r="2121">
          <cell r="B2121" t="str">
            <v>X9998</v>
          </cell>
          <cell r="C2121" t="str">
            <v>Direct</v>
          </cell>
          <cell r="D2121" t="str">
            <v>CIP</v>
          </cell>
        </row>
        <row r="2122">
          <cell r="B2122" t="str">
            <v>X9999</v>
          </cell>
          <cell r="C2122" t="str">
            <v>Direct</v>
          </cell>
          <cell r="D2122" t="str">
            <v>UEC</v>
          </cell>
        </row>
      </sheetData>
      <sheetData sheetId="14"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2008 Budget Option Model"/>
      <sheetName val="2008 Budget Option Model +$2shr"/>
      <sheetName val="2008 Budget Option Model (-$2)"/>
      <sheetName val="2008 Budget Option Model + 15%"/>
      <sheetName val="2008 Budget Option Model (-)15%"/>
      <sheetName val="FRMB MORT BOND 8% 4-01-02"/>
    </sheetNames>
    <sheetDataSet>
      <sheetData sheetId="0">
        <row r="14">
          <cell r="B14">
            <v>15.44</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t"/>
      <sheetName val="Nov"/>
      <sheetName val="Summary"/>
      <sheetName val="Sep - not used"/>
    </sheetNames>
    <sheetDataSet>
      <sheetData sheetId="0" refreshError="1"/>
      <sheetData sheetId="1" refreshError="1"/>
      <sheetData sheetId="2" refreshError="1"/>
      <sheetData sheetId="3"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Print"/>
      <sheetName val="Sch A-1"/>
      <sheetName val="Sch A-2"/>
      <sheetName val="Sch A-2.1"/>
      <sheetName val="Sch A-3"/>
      <sheetName val="Sch A-4"/>
      <sheetName val="Sch A-5 RB"/>
      <sheetName val="Sch A-5 Exp"/>
      <sheetName val="WPA - 5a"/>
      <sheetName val="WPA - 5b"/>
      <sheetName val="Sch B-1"/>
      <sheetName val="WPB-1"/>
      <sheetName val="Sch B-2"/>
      <sheetName val="Sch B-2.1"/>
      <sheetName val="Sch B-2.2"/>
      <sheetName val="Sch B-2.3"/>
      <sheetName val="Sch B-2.4"/>
      <sheetName val="Sch B-3"/>
      <sheetName val="Sch B-4"/>
      <sheetName val="Sch B-5"/>
      <sheetName val="WPB-5"/>
      <sheetName val="Sch B-5.1"/>
      <sheetName val="Sch B-6"/>
      <sheetName val="Sch B-7.2a"/>
      <sheetName val="Sch B-7.2b"/>
      <sheetName val="EXH-1"/>
      <sheetName val="Sch B-8"/>
      <sheetName val="Sch B-8.1"/>
      <sheetName val="WPB-8.1a"/>
      <sheetName val="WPB-8.1b"/>
      <sheetName val="Sch B-9"/>
      <sheetName val="WPB-9a"/>
      <sheetName val="WPB-9b"/>
      <sheetName val="Sch B-9.1"/>
      <sheetName val="Sch B-9.1old"/>
      <sheetName val="Sch B-13"/>
      <sheetName val="WPB-13a"/>
      <sheetName val="WPB-13b"/>
      <sheetName val="WPB-13c"/>
      <sheetName val="Sch B-14"/>
      <sheetName val="WPB - 14"/>
      <sheetName val="Sch C-1"/>
      <sheetName val="Sch C-2"/>
      <sheetName val="Sch C-2.1"/>
      <sheetName val="WPC-2.1"/>
      <sheetName val="Sch C-2.2"/>
      <sheetName val="Sch C-2.3"/>
      <sheetName val="WPC-2.3a"/>
      <sheetName val="WPC-2.3b"/>
      <sheetName val="Sch C-2.4"/>
      <sheetName val="WPC-2.4"/>
      <sheetName val="C-2.5"/>
      <sheetName val="WPC - 2.5a"/>
      <sheetName val="WPC - 2.5b"/>
      <sheetName val="Sch C-2.6"/>
      <sheetName val="WPC-2.6"/>
      <sheetName val="Sch C-2.7"/>
      <sheetName val="Sch C-2.8"/>
      <sheetName val="Sch C-2.9"/>
      <sheetName val="Sch C-2.10"/>
      <sheetName val="Sch C-2.11"/>
      <sheetName val="Sch C-2.12"/>
      <sheetName val="Sch C-2.13"/>
      <sheetName val="WPC-2.13"/>
      <sheetName val="C - 2.14"/>
      <sheetName val="WPC - 2.14a"/>
      <sheetName val="WPC - 2.14b"/>
      <sheetName val="Sch C-2.15"/>
      <sheetName val="WPC-2.15a"/>
      <sheetName val="WPC-2.15b"/>
      <sheetName val="Sch C-2.16"/>
      <sheetName val="Sch C-2.17"/>
      <sheetName val="Sch C-2.18"/>
      <sheetName val="WPC-2.18a"/>
      <sheetName val="WPC-2.18b"/>
      <sheetName val="Sch C-2.19"/>
      <sheetName val="WPC-2.19"/>
      <sheetName val="Sch C-2.20"/>
      <sheetName val="Sch C-3"/>
      <sheetName val="Sch C-4"/>
      <sheetName val="WPC-4"/>
      <sheetName val="Sch C-5"/>
      <sheetName val="Sch C-5b"/>
      <sheetName val="Sch C-5.1"/>
      <sheetName val="Sch C-5.2"/>
      <sheetName val="Sch C-5.3"/>
      <sheetName val="Sch C-5.4"/>
      <sheetName val="WPC-5.4"/>
      <sheetName val="Sch C-6"/>
      <sheetName val="Sch C-6.1"/>
      <sheetName val="Sch C-6.2"/>
      <sheetName val="Sch C-7"/>
      <sheetName val="Sch C-8"/>
      <sheetName val="WPC-8"/>
      <sheetName val="Sch C-9"/>
      <sheetName val="Sch C-10"/>
      <sheetName val="WPC-10"/>
      <sheetName val="Sch C-10.1"/>
      <sheetName val="Sch C-11.1"/>
      <sheetName val="WPC-11.1"/>
      <sheetName val="Sch C-11.2a"/>
      <sheetName val="Sch C-11.2b"/>
      <sheetName val="Sch C-11.2c"/>
      <sheetName val="Sch C-11.2d"/>
      <sheetName val="Sch C-11.2e"/>
      <sheetName val="Sch C-11.2f"/>
      <sheetName val="Sch C-11.2g"/>
      <sheetName val="Sch C-11.2h"/>
      <sheetName val="Sch C-11.3"/>
      <sheetName val="WPC-11.3a"/>
      <sheetName val="WPC-11.3b"/>
      <sheetName val="WPC-11.3c"/>
      <sheetName val="WPC-11.3d"/>
      <sheetName val="Sch C-12"/>
      <sheetName val="WPC-12a"/>
      <sheetName val="WPC-12b"/>
      <sheetName val="Sch C-13a"/>
      <sheetName val="Sch C-13b"/>
      <sheetName val="Sch C-14"/>
      <sheetName val="WPC-14"/>
      <sheetName val="Sch C-16"/>
      <sheetName val="Sch C-17a"/>
      <sheetName val="Sch C-17b"/>
      <sheetName val="Sch C-17c"/>
      <sheetName val="Sch C-17d"/>
      <sheetName val="Sch C-18"/>
      <sheetName val="WPC-18a"/>
      <sheetName val="WPC-18b"/>
      <sheetName val="WPC-18c"/>
      <sheetName val="Sch C-19"/>
      <sheetName val="Sch C-21"/>
      <sheetName val="Sch C-22"/>
      <sheetName val="Sch C-23"/>
      <sheetName val="WPC-23"/>
      <sheetName val="Sch C-25"/>
      <sheetName val="Sch C-26"/>
      <sheetName val="Sch C-31"/>
      <sheetName val="Sch B-5.2 Merged or Acq Prop"/>
      <sheetName val="Sch B-5.3 Leased Prop"/>
      <sheetName val="Sch B-10 Def Charges"/>
      <sheetName val="Sch B-11 PHFFU"/>
      <sheetName val="Sch B-12 Analysis of PHFFU"/>
      <sheetName val="Sch C-5.5 ITC &amp; Job Dev. Cr"/>
      <sheetName val="WPC-6.1 2004"/>
      <sheetName val="WPC-6.1 2003"/>
      <sheetName val="WPC-6.2"/>
      <sheetName val="WPC-8 old"/>
      <sheetName val="WPC-9"/>
      <sheetName val="Sch 11.4 Recon Est Ovrhd"/>
      <sheetName val="Sch C-15 Major Maint Proj"/>
      <sheetName val="Sch C-24 Legal Exp &amp; Res"/>
      <sheetName val="WPC-25"/>
      <sheetName val="Sch C-27 Fuel Adj Rev &amp; Exp"/>
      <sheetName val="Sch C-28 Fuel Transp Exp"/>
      <sheetName val="Sch C-33 Billing Exper"/>
      <sheetName val="Comm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ow r="2">
          <cell r="B2" t="str">
            <v>AmerenIP</v>
          </cell>
        </row>
        <row r="15">
          <cell r="C15">
            <v>7.2999999999999995E-2</v>
          </cell>
        </row>
        <row r="16">
          <cell r="C16">
            <v>0.35</v>
          </cell>
        </row>
      </sheetData>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ysis"/>
      <sheetName val="Pivot-AllChargesByTarget"/>
      <sheetName val="AMS-AllChargesByTarget"/>
      <sheetName val="AMS-A&amp;GChargesByTarget"/>
      <sheetName val="AMS-A&amp;G ChargesByTarget-IL SRs"/>
      <sheetName val="IL A&amp;G Gas-Elec Split"/>
      <sheetName val="Pivot-IL A&amp;G Gas-Elec"/>
      <sheetName val="AMS IL Target by Gas-Elec"/>
      <sheetName val="All Target-PivotByMajMin"/>
      <sheetName val="AMS Charges by RT-All"/>
      <sheetName val="Pivot-CILCO"/>
      <sheetName val="IL-PivotByMajMin"/>
      <sheetName val="AMS All Charges to IL"/>
      <sheetName val="CILCO"/>
      <sheetName val="CIPS"/>
      <sheetName val="IPC"/>
      <sheetName val="Pivot-IL A&amp;G"/>
      <sheetName val="AMS A&amp;G Charges to IL"/>
      <sheetName val="Pivot-CILCO A&amp;G"/>
      <sheetName val="CILCO-A&amp;G"/>
      <sheetName val="CIPS-A&amp;G"/>
      <sheetName val="IPC-A&amp;G"/>
      <sheetName val="IL-All SR Pivot"/>
      <sheetName val="IL-A&amp;G SR Pivot"/>
      <sheetName val="Projects 2006"/>
      <sheetName val="RMC-Descrip"/>
      <sheetName val="Resource Types"/>
      <sheetName val="RMC By Func"/>
      <sheetName val="Functions-IndirectAlloc"/>
      <sheetName val="2005-SR-AllocFactors"/>
      <sheetName val="AllocFactors"/>
      <sheetName val="UnknownProj#"/>
      <sheetName val="IndirectAllocFa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5">
          <cell r="J5">
            <v>15277</v>
          </cell>
          <cell r="K5" t="str">
            <v>IL</v>
          </cell>
        </row>
        <row r="6">
          <cell r="J6" t="str">
            <v>0K937</v>
          </cell>
          <cell r="K6" t="str">
            <v>IL</v>
          </cell>
        </row>
        <row r="7">
          <cell r="J7" t="str">
            <v>A0001</v>
          </cell>
          <cell r="K7" t="str">
            <v>IL</v>
          </cell>
        </row>
        <row r="8">
          <cell r="J8" t="str">
            <v>A0002</v>
          </cell>
          <cell r="K8" t="str">
            <v>IL</v>
          </cell>
        </row>
        <row r="9">
          <cell r="J9" t="str">
            <v>A0004</v>
          </cell>
          <cell r="K9" t="str">
            <v>IL</v>
          </cell>
        </row>
        <row r="10">
          <cell r="J10" t="str">
            <v>A0006</v>
          </cell>
          <cell r="K10" t="str">
            <v>IL</v>
          </cell>
        </row>
        <row r="11">
          <cell r="J11" t="str">
            <v>A0021</v>
          </cell>
          <cell r="K11" t="str">
            <v>IL</v>
          </cell>
        </row>
        <row r="12">
          <cell r="J12" t="str">
            <v>A0022</v>
          </cell>
          <cell r="K12" t="str">
            <v>IL</v>
          </cell>
        </row>
        <row r="13">
          <cell r="J13" t="str">
            <v>A0051</v>
          </cell>
          <cell r="K13" t="str">
            <v>IL</v>
          </cell>
        </row>
        <row r="14">
          <cell r="J14" t="str">
            <v>A0075</v>
          </cell>
          <cell r="K14" t="str">
            <v>IL</v>
          </cell>
        </row>
        <row r="15">
          <cell r="J15" t="str">
            <v>A0079</v>
          </cell>
          <cell r="K15" t="str">
            <v>IL</v>
          </cell>
        </row>
        <row r="16">
          <cell r="J16" t="str">
            <v>A0080</v>
          </cell>
          <cell r="K16" t="str">
            <v>IL</v>
          </cell>
        </row>
        <row r="17">
          <cell r="J17" t="str">
            <v>A0083</v>
          </cell>
          <cell r="K17" t="str">
            <v>IL</v>
          </cell>
        </row>
        <row r="18">
          <cell r="J18" t="str">
            <v>A0084</v>
          </cell>
          <cell r="K18" t="str">
            <v>IL</v>
          </cell>
        </row>
        <row r="19">
          <cell r="J19" t="str">
            <v>A0110</v>
          </cell>
          <cell r="K19" t="str">
            <v>IL</v>
          </cell>
        </row>
        <row r="20">
          <cell r="J20" t="str">
            <v>A0125</v>
          </cell>
          <cell r="K20" t="str">
            <v>IL</v>
          </cell>
        </row>
        <row r="21">
          <cell r="J21" t="str">
            <v>A0127</v>
          </cell>
          <cell r="K21" t="str">
            <v>IL</v>
          </cell>
        </row>
        <row r="22">
          <cell r="J22" t="str">
            <v>A0128</v>
          </cell>
          <cell r="K22" t="str">
            <v>IL</v>
          </cell>
        </row>
        <row r="23">
          <cell r="J23" t="str">
            <v>A0132</v>
          </cell>
          <cell r="K23" t="str">
            <v>IL</v>
          </cell>
        </row>
        <row r="24">
          <cell r="J24" t="str">
            <v>A0134</v>
          </cell>
          <cell r="K24" t="str">
            <v>IL</v>
          </cell>
        </row>
        <row r="25">
          <cell r="J25" t="str">
            <v>A0140</v>
          </cell>
          <cell r="K25" t="str">
            <v>IL</v>
          </cell>
        </row>
        <row r="26">
          <cell r="J26" t="str">
            <v>A0142</v>
          </cell>
          <cell r="K26" t="str">
            <v>IL</v>
          </cell>
        </row>
        <row r="27">
          <cell r="J27" t="str">
            <v>A0144</v>
          </cell>
          <cell r="K27" t="str">
            <v>IL</v>
          </cell>
        </row>
        <row r="28">
          <cell r="J28" t="str">
            <v>A0146</v>
          </cell>
          <cell r="K28" t="str">
            <v>IL</v>
          </cell>
        </row>
        <row r="29">
          <cell r="J29" t="str">
            <v>A0151</v>
          </cell>
          <cell r="K29" t="str">
            <v>IL</v>
          </cell>
        </row>
        <row r="30">
          <cell r="J30" t="str">
            <v>A0155</v>
          </cell>
          <cell r="K30" t="str">
            <v>IL</v>
          </cell>
        </row>
        <row r="31">
          <cell r="J31" t="str">
            <v>A0157</v>
          </cell>
          <cell r="K31" t="str">
            <v>IL</v>
          </cell>
        </row>
        <row r="32">
          <cell r="J32" t="str">
            <v>A0158</v>
          </cell>
          <cell r="K32" t="str">
            <v>IL</v>
          </cell>
        </row>
        <row r="33">
          <cell r="J33" t="str">
            <v>A0161</v>
          </cell>
          <cell r="K33" t="str">
            <v>IL</v>
          </cell>
        </row>
        <row r="34">
          <cell r="J34" t="str">
            <v>A0162</v>
          </cell>
          <cell r="K34" t="str">
            <v>IL</v>
          </cell>
        </row>
        <row r="35">
          <cell r="J35" t="str">
            <v>A0163</v>
          </cell>
          <cell r="K35" t="str">
            <v>IL</v>
          </cell>
        </row>
        <row r="36">
          <cell r="J36" t="str">
            <v>A0166</v>
          </cell>
          <cell r="K36" t="str">
            <v>IL</v>
          </cell>
        </row>
        <row r="37">
          <cell r="J37" t="str">
            <v>A0168</v>
          </cell>
          <cell r="K37" t="str">
            <v>IL</v>
          </cell>
        </row>
        <row r="38">
          <cell r="J38" t="str">
            <v>A0169</v>
          </cell>
          <cell r="K38" t="str">
            <v>IL</v>
          </cell>
        </row>
        <row r="39">
          <cell r="J39" t="str">
            <v>A0177</v>
          </cell>
          <cell r="K39" t="str">
            <v>IL</v>
          </cell>
        </row>
        <row r="40">
          <cell r="J40" t="str">
            <v>A0181</v>
          </cell>
          <cell r="K40" t="str">
            <v>IL</v>
          </cell>
        </row>
        <row r="41">
          <cell r="J41" t="str">
            <v>A0183</v>
          </cell>
          <cell r="K41" t="str">
            <v>IL</v>
          </cell>
        </row>
        <row r="42">
          <cell r="J42" t="str">
            <v>A0189</v>
          </cell>
          <cell r="K42" t="str">
            <v>IL</v>
          </cell>
        </row>
        <row r="43">
          <cell r="J43" t="str">
            <v>A0192</v>
          </cell>
          <cell r="K43" t="str">
            <v>IL</v>
          </cell>
        </row>
        <row r="44">
          <cell r="J44" t="str">
            <v>A0193</v>
          </cell>
          <cell r="K44" t="str">
            <v>IL</v>
          </cell>
        </row>
        <row r="45">
          <cell r="J45" t="str">
            <v>A0194</v>
          </cell>
          <cell r="K45" t="str">
            <v>IL</v>
          </cell>
        </row>
        <row r="46">
          <cell r="J46" t="str">
            <v>A0197</v>
          </cell>
          <cell r="K46" t="str">
            <v>IL</v>
          </cell>
        </row>
        <row r="47">
          <cell r="J47" t="str">
            <v>A0199</v>
          </cell>
          <cell r="K47" t="str">
            <v>IL</v>
          </cell>
        </row>
        <row r="48">
          <cell r="J48" t="str">
            <v>A0208</v>
          </cell>
          <cell r="K48" t="str">
            <v>IL</v>
          </cell>
        </row>
        <row r="49">
          <cell r="J49" t="str">
            <v>A0210</v>
          </cell>
          <cell r="K49" t="str">
            <v>IL</v>
          </cell>
        </row>
        <row r="50">
          <cell r="J50" t="str">
            <v>A0215</v>
          </cell>
          <cell r="K50" t="str">
            <v>IL</v>
          </cell>
        </row>
        <row r="51">
          <cell r="J51" t="str">
            <v>A0222</v>
          </cell>
          <cell r="K51" t="str">
            <v>IL</v>
          </cell>
        </row>
        <row r="52">
          <cell r="J52" t="str">
            <v>A0223</v>
          </cell>
          <cell r="K52" t="str">
            <v>IL</v>
          </cell>
        </row>
        <row r="53">
          <cell r="J53" t="str">
            <v>A0224</v>
          </cell>
          <cell r="K53" t="str">
            <v>IL</v>
          </cell>
        </row>
        <row r="54">
          <cell r="J54" t="str">
            <v>A0228</v>
          </cell>
          <cell r="K54" t="str">
            <v>IL</v>
          </cell>
        </row>
        <row r="55">
          <cell r="J55" t="str">
            <v>A0231</v>
          </cell>
          <cell r="K55" t="str">
            <v>IL</v>
          </cell>
        </row>
        <row r="56">
          <cell r="J56" t="str">
            <v>A0234</v>
          </cell>
          <cell r="K56" t="str">
            <v>IL</v>
          </cell>
        </row>
        <row r="57">
          <cell r="J57" t="str">
            <v>A0235</v>
          </cell>
          <cell r="K57" t="str">
            <v>IL</v>
          </cell>
        </row>
        <row r="58">
          <cell r="J58" t="str">
            <v>A0237</v>
          </cell>
          <cell r="K58" t="str">
            <v>IL</v>
          </cell>
        </row>
        <row r="59">
          <cell r="J59" t="str">
            <v>A0239</v>
          </cell>
          <cell r="K59" t="str">
            <v>IL</v>
          </cell>
        </row>
        <row r="60">
          <cell r="J60" t="str">
            <v>A0243</v>
          </cell>
          <cell r="K60" t="str">
            <v>IL</v>
          </cell>
        </row>
        <row r="61">
          <cell r="J61" t="str">
            <v>A0250</v>
          </cell>
          <cell r="K61" t="str">
            <v>IL</v>
          </cell>
        </row>
        <row r="62">
          <cell r="J62" t="str">
            <v>A0251</v>
          </cell>
          <cell r="K62" t="str">
            <v>IL</v>
          </cell>
        </row>
        <row r="63">
          <cell r="J63" t="str">
            <v>A0252</v>
          </cell>
          <cell r="K63" t="str">
            <v>IL</v>
          </cell>
        </row>
        <row r="64">
          <cell r="J64" t="str">
            <v>A0253</v>
          </cell>
          <cell r="K64" t="str">
            <v>IL</v>
          </cell>
        </row>
        <row r="65">
          <cell r="J65" t="str">
            <v>A0254</v>
          </cell>
          <cell r="K65" t="str">
            <v>IL</v>
          </cell>
        </row>
        <row r="66">
          <cell r="J66" t="str">
            <v>A0255</v>
          </cell>
          <cell r="K66" t="str">
            <v>IL</v>
          </cell>
        </row>
        <row r="67">
          <cell r="J67" t="str">
            <v>A0256</v>
          </cell>
          <cell r="K67" t="str">
            <v>IL</v>
          </cell>
        </row>
        <row r="68">
          <cell r="J68" t="str">
            <v>A0259</v>
          </cell>
          <cell r="K68" t="str">
            <v>IL</v>
          </cell>
        </row>
        <row r="69">
          <cell r="J69" t="str">
            <v>A0262</v>
          </cell>
          <cell r="K69" t="str">
            <v>IL</v>
          </cell>
        </row>
        <row r="70">
          <cell r="J70" t="str">
            <v>A0274</v>
          </cell>
          <cell r="K70" t="str">
            <v>IL</v>
          </cell>
        </row>
        <row r="71">
          <cell r="J71" t="str">
            <v>A0280</v>
          </cell>
          <cell r="K71" t="str">
            <v>IL</v>
          </cell>
        </row>
        <row r="72">
          <cell r="J72" t="str">
            <v>A0282</v>
          </cell>
          <cell r="K72" t="str">
            <v>IL</v>
          </cell>
        </row>
        <row r="73">
          <cell r="J73" t="str">
            <v>A0284</v>
          </cell>
          <cell r="K73" t="str">
            <v>IL</v>
          </cell>
        </row>
        <row r="74">
          <cell r="J74" t="str">
            <v>A0285</v>
          </cell>
          <cell r="K74" t="str">
            <v>IL</v>
          </cell>
        </row>
        <row r="75">
          <cell r="J75" t="str">
            <v>A0286</v>
          </cell>
          <cell r="K75" t="str">
            <v>IL</v>
          </cell>
        </row>
        <row r="76">
          <cell r="J76" t="str">
            <v>A0287</v>
          </cell>
          <cell r="K76" t="str">
            <v>IL</v>
          </cell>
        </row>
        <row r="77">
          <cell r="J77" t="str">
            <v>A0288</v>
          </cell>
          <cell r="K77" t="str">
            <v>IL</v>
          </cell>
        </row>
        <row r="78">
          <cell r="J78" t="str">
            <v>A0292</v>
          </cell>
          <cell r="K78" t="str">
            <v>IL</v>
          </cell>
        </row>
        <row r="79">
          <cell r="J79" t="str">
            <v>A0293</v>
          </cell>
          <cell r="K79" t="str">
            <v>IL</v>
          </cell>
        </row>
        <row r="80">
          <cell r="J80" t="str">
            <v>A0296</v>
          </cell>
          <cell r="K80" t="str">
            <v>IL</v>
          </cell>
        </row>
        <row r="81">
          <cell r="J81" t="str">
            <v>A0299</v>
          </cell>
          <cell r="K81" t="str">
            <v>IL</v>
          </cell>
        </row>
        <row r="82">
          <cell r="J82" t="str">
            <v>A0315</v>
          </cell>
          <cell r="K82" t="str">
            <v>IL</v>
          </cell>
        </row>
        <row r="83">
          <cell r="J83" t="str">
            <v>A0319</v>
          </cell>
          <cell r="K83" t="str">
            <v>IL</v>
          </cell>
        </row>
        <row r="84">
          <cell r="J84" t="str">
            <v>A0326</v>
          </cell>
          <cell r="K84" t="str">
            <v>IL</v>
          </cell>
        </row>
        <row r="85">
          <cell r="J85" t="str">
            <v>A0337</v>
          </cell>
          <cell r="K85" t="str">
            <v>IL</v>
          </cell>
        </row>
        <row r="86">
          <cell r="J86" t="str">
            <v>A0340</v>
          </cell>
          <cell r="K86" t="str">
            <v>IL</v>
          </cell>
        </row>
        <row r="87">
          <cell r="J87" t="str">
            <v>A0342</v>
          </cell>
          <cell r="K87" t="str">
            <v>IL</v>
          </cell>
        </row>
        <row r="88">
          <cell r="J88" t="str">
            <v>A0343</v>
          </cell>
          <cell r="K88" t="str">
            <v>IL</v>
          </cell>
        </row>
        <row r="89">
          <cell r="J89" t="str">
            <v>A0345</v>
          </cell>
          <cell r="K89" t="str">
            <v>IL</v>
          </cell>
        </row>
        <row r="90">
          <cell r="J90" t="str">
            <v>A0348</v>
          </cell>
          <cell r="K90" t="str">
            <v>IL</v>
          </cell>
        </row>
        <row r="91">
          <cell r="J91" t="str">
            <v>A0349</v>
          </cell>
          <cell r="K91" t="str">
            <v>IL</v>
          </cell>
        </row>
        <row r="92">
          <cell r="J92" t="str">
            <v>A0350</v>
          </cell>
          <cell r="K92" t="str">
            <v>IL</v>
          </cell>
        </row>
        <row r="93">
          <cell r="J93" t="str">
            <v>A0351</v>
          </cell>
          <cell r="K93" t="str">
            <v>IL</v>
          </cell>
        </row>
        <row r="94">
          <cell r="J94" t="str">
            <v>A0359</v>
          </cell>
          <cell r="K94" t="str">
            <v>IL</v>
          </cell>
        </row>
        <row r="95">
          <cell r="J95" t="str">
            <v>A0366</v>
          </cell>
          <cell r="K95" t="str">
            <v>IL</v>
          </cell>
        </row>
        <row r="96">
          <cell r="J96" t="str">
            <v>A0370</v>
          </cell>
          <cell r="K96" t="str">
            <v>IL</v>
          </cell>
        </row>
        <row r="97">
          <cell r="J97" t="str">
            <v>A0371</v>
          </cell>
          <cell r="K97" t="str">
            <v>IL</v>
          </cell>
        </row>
        <row r="98">
          <cell r="J98" t="str">
            <v>A0372</v>
          </cell>
          <cell r="K98" t="str">
            <v>IL</v>
          </cell>
        </row>
        <row r="99">
          <cell r="J99" t="str">
            <v>A0373</v>
          </cell>
          <cell r="K99" t="str">
            <v>IL</v>
          </cell>
        </row>
        <row r="100">
          <cell r="J100" t="str">
            <v>A0378</v>
          </cell>
          <cell r="K100" t="str">
            <v>IL</v>
          </cell>
        </row>
        <row r="101">
          <cell r="J101" t="str">
            <v>A0379</v>
          </cell>
          <cell r="K101" t="str">
            <v>IL</v>
          </cell>
        </row>
        <row r="102">
          <cell r="J102" t="str">
            <v>A0382</v>
          </cell>
          <cell r="K102" t="str">
            <v>IL</v>
          </cell>
        </row>
        <row r="103">
          <cell r="J103" t="str">
            <v>A0383</v>
          </cell>
          <cell r="K103" t="str">
            <v>IL</v>
          </cell>
        </row>
        <row r="104">
          <cell r="J104" t="str">
            <v>A0384</v>
          </cell>
          <cell r="K104" t="str">
            <v>IL</v>
          </cell>
        </row>
        <row r="105">
          <cell r="J105" t="str">
            <v>A0391</v>
          </cell>
          <cell r="K105" t="str">
            <v>IL</v>
          </cell>
        </row>
        <row r="106">
          <cell r="J106" t="str">
            <v>A0392</v>
          </cell>
          <cell r="K106" t="str">
            <v>IL</v>
          </cell>
        </row>
        <row r="107">
          <cell r="J107" t="str">
            <v>A0393</v>
          </cell>
          <cell r="K107" t="str">
            <v>IL</v>
          </cell>
        </row>
        <row r="108">
          <cell r="J108" t="str">
            <v>A0398</v>
          </cell>
          <cell r="K108" t="str">
            <v>IL</v>
          </cell>
        </row>
        <row r="109">
          <cell r="J109" t="str">
            <v>A0399</v>
          </cell>
          <cell r="K109" t="str">
            <v>IL</v>
          </cell>
        </row>
        <row r="110">
          <cell r="J110" t="str">
            <v>A0401</v>
          </cell>
          <cell r="K110" t="str">
            <v>IL</v>
          </cell>
        </row>
        <row r="111">
          <cell r="J111" t="str">
            <v>A0402</v>
          </cell>
          <cell r="K111" t="str">
            <v>IL</v>
          </cell>
        </row>
        <row r="112">
          <cell r="J112" t="str">
            <v>A0403</v>
          </cell>
          <cell r="K112" t="str">
            <v>IL</v>
          </cell>
        </row>
        <row r="113">
          <cell r="J113" t="str">
            <v>A0406</v>
          </cell>
          <cell r="K113" t="str">
            <v>IL</v>
          </cell>
        </row>
        <row r="114">
          <cell r="J114" t="str">
            <v>A0416</v>
          </cell>
          <cell r="K114" t="str">
            <v>IL</v>
          </cell>
        </row>
        <row r="115">
          <cell r="J115" t="str">
            <v>A0423</v>
          </cell>
          <cell r="K115" t="str">
            <v>IL</v>
          </cell>
        </row>
        <row r="116">
          <cell r="J116" t="str">
            <v>A0424</v>
          </cell>
          <cell r="K116" t="str">
            <v>IL</v>
          </cell>
        </row>
        <row r="117">
          <cell r="J117" t="str">
            <v>A0425</v>
          </cell>
          <cell r="K117" t="str">
            <v>IL</v>
          </cell>
        </row>
        <row r="118">
          <cell r="J118" t="str">
            <v>A0428</v>
          </cell>
          <cell r="K118" t="str">
            <v>IL</v>
          </cell>
        </row>
        <row r="119">
          <cell r="J119" t="str">
            <v>A0433</v>
          </cell>
          <cell r="K119" t="str">
            <v>IL</v>
          </cell>
        </row>
        <row r="120">
          <cell r="J120" t="str">
            <v>A0436</v>
          </cell>
          <cell r="K120" t="str">
            <v>IL</v>
          </cell>
        </row>
        <row r="121">
          <cell r="J121" t="str">
            <v>A0439</v>
          </cell>
          <cell r="K121" t="str">
            <v>IL</v>
          </cell>
        </row>
        <row r="122">
          <cell r="J122" t="str">
            <v>A0442</v>
          </cell>
          <cell r="K122" t="str">
            <v>IL</v>
          </cell>
        </row>
        <row r="123">
          <cell r="J123" t="str">
            <v>A0449</v>
          </cell>
          <cell r="K123" t="str">
            <v>IL</v>
          </cell>
        </row>
        <row r="124">
          <cell r="J124" t="str">
            <v>A0456</v>
          </cell>
          <cell r="K124" t="str">
            <v>IL</v>
          </cell>
        </row>
        <row r="125">
          <cell r="J125" t="str">
            <v>A0467</v>
          </cell>
          <cell r="K125" t="str">
            <v>IL</v>
          </cell>
        </row>
        <row r="126">
          <cell r="J126" t="str">
            <v>A0468</v>
          </cell>
          <cell r="K126" t="str">
            <v>IL</v>
          </cell>
        </row>
        <row r="127">
          <cell r="J127" t="str">
            <v>A0471</v>
          </cell>
          <cell r="K127" t="str">
            <v>IL</v>
          </cell>
        </row>
        <row r="128">
          <cell r="J128" t="str">
            <v>A0482</v>
          </cell>
          <cell r="K128" t="str">
            <v>IL</v>
          </cell>
        </row>
        <row r="129">
          <cell r="J129" t="str">
            <v>A0483</v>
          </cell>
          <cell r="K129" t="str">
            <v>IL</v>
          </cell>
        </row>
        <row r="130">
          <cell r="J130" t="str">
            <v>A0496</v>
          </cell>
          <cell r="K130" t="str">
            <v>IL</v>
          </cell>
        </row>
        <row r="131">
          <cell r="J131" t="str">
            <v>A0507</v>
          </cell>
          <cell r="K131" t="str">
            <v>IL</v>
          </cell>
        </row>
        <row r="132">
          <cell r="J132" t="str">
            <v>A0509</v>
          </cell>
          <cell r="K132" t="str">
            <v>IL</v>
          </cell>
        </row>
        <row r="133">
          <cell r="J133" t="str">
            <v>A0511</v>
          </cell>
          <cell r="K133" t="str">
            <v>IL</v>
          </cell>
        </row>
        <row r="134">
          <cell r="J134" t="str">
            <v>A0515</v>
          </cell>
          <cell r="K134" t="str">
            <v>IL</v>
          </cell>
        </row>
        <row r="135">
          <cell r="J135" t="str">
            <v>A0519</v>
          </cell>
          <cell r="K135" t="str">
            <v>IL</v>
          </cell>
        </row>
        <row r="136">
          <cell r="J136" t="str">
            <v>A0520</v>
          </cell>
          <cell r="K136" t="str">
            <v>IL</v>
          </cell>
        </row>
        <row r="137">
          <cell r="J137" t="str">
            <v>A0523</v>
          </cell>
          <cell r="K137" t="str">
            <v>IL</v>
          </cell>
        </row>
        <row r="138">
          <cell r="J138" t="str">
            <v>A0526</v>
          </cell>
          <cell r="K138" t="str">
            <v>IL</v>
          </cell>
        </row>
        <row r="139">
          <cell r="J139" t="str">
            <v>A0527</v>
          </cell>
          <cell r="K139" t="str">
            <v>IL</v>
          </cell>
        </row>
        <row r="140">
          <cell r="J140" t="str">
            <v>A0528</v>
          </cell>
          <cell r="K140" t="str">
            <v>IL</v>
          </cell>
        </row>
        <row r="141">
          <cell r="J141" t="str">
            <v>A0530</v>
          </cell>
          <cell r="K141" t="str">
            <v>IL</v>
          </cell>
        </row>
        <row r="142">
          <cell r="J142" t="str">
            <v>A0531</v>
          </cell>
          <cell r="K142" t="str">
            <v>IL</v>
          </cell>
        </row>
        <row r="143">
          <cell r="J143" t="str">
            <v>A0533</v>
          </cell>
          <cell r="K143" t="str">
            <v>IL</v>
          </cell>
        </row>
        <row r="144">
          <cell r="J144" t="str">
            <v>A0536</v>
          </cell>
          <cell r="K144" t="str">
            <v>IL</v>
          </cell>
        </row>
        <row r="145">
          <cell r="J145" t="str">
            <v>A0548</v>
          </cell>
          <cell r="K145" t="str">
            <v>IL</v>
          </cell>
        </row>
        <row r="146">
          <cell r="J146" t="str">
            <v>A0558</v>
          </cell>
          <cell r="K146" t="str">
            <v>IL</v>
          </cell>
        </row>
        <row r="147">
          <cell r="J147" t="str">
            <v>A0559</v>
          </cell>
          <cell r="K147" t="str">
            <v>IL</v>
          </cell>
        </row>
        <row r="148">
          <cell r="J148" t="str">
            <v>A0567</v>
          </cell>
          <cell r="K148" t="str">
            <v>IL</v>
          </cell>
        </row>
        <row r="149">
          <cell r="J149" t="str">
            <v>A0574</v>
          </cell>
          <cell r="K149" t="str">
            <v>IL</v>
          </cell>
        </row>
        <row r="150">
          <cell r="J150" t="str">
            <v>A0596</v>
          </cell>
          <cell r="K150" t="str">
            <v>IL</v>
          </cell>
        </row>
        <row r="151">
          <cell r="J151" t="str">
            <v>A0600</v>
          </cell>
          <cell r="K151" t="str">
            <v>IL</v>
          </cell>
        </row>
        <row r="152">
          <cell r="J152" t="str">
            <v>A0622</v>
          </cell>
          <cell r="K152" t="str">
            <v>IL</v>
          </cell>
        </row>
        <row r="153">
          <cell r="J153" t="str">
            <v>A0623</v>
          </cell>
          <cell r="K153" t="str">
            <v>IL</v>
          </cell>
        </row>
        <row r="154">
          <cell r="J154" t="str">
            <v>A0624</v>
          </cell>
          <cell r="K154" t="str">
            <v>IL</v>
          </cell>
        </row>
        <row r="155">
          <cell r="J155" t="str">
            <v>A0625</v>
          </cell>
          <cell r="K155" t="str">
            <v>IL</v>
          </cell>
        </row>
        <row r="156">
          <cell r="J156" t="str">
            <v>A0677</v>
          </cell>
          <cell r="K156" t="str">
            <v>IL</v>
          </cell>
        </row>
        <row r="157">
          <cell r="J157" t="str">
            <v>A0678</v>
          </cell>
          <cell r="K157" t="str">
            <v>IL</v>
          </cell>
        </row>
        <row r="158">
          <cell r="J158" t="str">
            <v>A0697</v>
          </cell>
          <cell r="K158" t="str">
            <v>IL</v>
          </cell>
        </row>
        <row r="159">
          <cell r="J159" t="str">
            <v>A0698</v>
          </cell>
          <cell r="K159" t="str">
            <v>IL</v>
          </cell>
        </row>
        <row r="160">
          <cell r="J160" t="str">
            <v>A0699</v>
          </cell>
          <cell r="K160" t="str">
            <v>IL</v>
          </cell>
        </row>
        <row r="161">
          <cell r="J161" t="str">
            <v>A0705</v>
          </cell>
          <cell r="K161" t="str">
            <v>IL</v>
          </cell>
        </row>
        <row r="162">
          <cell r="J162" t="str">
            <v>A0710</v>
          </cell>
          <cell r="K162" t="str">
            <v>IL</v>
          </cell>
        </row>
        <row r="163">
          <cell r="J163" t="str">
            <v>A0722</v>
          </cell>
          <cell r="K163" t="str">
            <v>IL</v>
          </cell>
        </row>
        <row r="164">
          <cell r="J164" t="str">
            <v>A0733</v>
          </cell>
          <cell r="K164" t="str">
            <v>IL</v>
          </cell>
        </row>
        <row r="165">
          <cell r="J165" t="str">
            <v>A0742</v>
          </cell>
          <cell r="K165" t="str">
            <v>IL</v>
          </cell>
        </row>
        <row r="166">
          <cell r="J166" t="str">
            <v>A0744</v>
          </cell>
          <cell r="K166" t="str">
            <v>IL</v>
          </cell>
        </row>
        <row r="167">
          <cell r="J167" t="str">
            <v>A0750</v>
          </cell>
          <cell r="K167" t="str">
            <v>IL</v>
          </cell>
        </row>
        <row r="168">
          <cell r="J168" t="str">
            <v>A0754</v>
          </cell>
          <cell r="K168" t="str">
            <v>IL</v>
          </cell>
        </row>
        <row r="169">
          <cell r="J169" t="str">
            <v>A0792</v>
          </cell>
          <cell r="K169" t="str">
            <v>IL</v>
          </cell>
        </row>
        <row r="170">
          <cell r="J170" t="str">
            <v>A0803</v>
          </cell>
          <cell r="K170" t="str">
            <v>IL</v>
          </cell>
        </row>
        <row r="171">
          <cell r="J171" t="str">
            <v>A0805</v>
          </cell>
          <cell r="K171" t="str">
            <v>IL</v>
          </cell>
        </row>
        <row r="172">
          <cell r="J172" t="str">
            <v>A0815</v>
          </cell>
          <cell r="K172" t="str">
            <v>IL</v>
          </cell>
        </row>
        <row r="173">
          <cell r="J173" t="str">
            <v>A0819</v>
          </cell>
          <cell r="K173" t="str">
            <v>IL</v>
          </cell>
        </row>
        <row r="174">
          <cell r="J174" t="str">
            <v>A0820</v>
          </cell>
          <cell r="K174" t="str">
            <v>IL</v>
          </cell>
        </row>
        <row r="175">
          <cell r="J175" t="str">
            <v>A0825</v>
          </cell>
          <cell r="K175" t="str">
            <v>IL</v>
          </cell>
        </row>
        <row r="176">
          <cell r="J176" t="str">
            <v>A0837</v>
          </cell>
          <cell r="K176" t="str">
            <v>IL</v>
          </cell>
        </row>
        <row r="177">
          <cell r="J177" t="str">
            <v>A0838</v>
          </cell>
          <cell r="K177" t="str">
            <v>IL</v>
          </cell>
        </row>
        <row r="178">
          <cell r="J178" t="str">
            <v>A0841</v>
          </cell>
          <cell r="K178" t="str">
            <v>IL</v>
          </cell>
        </row>
        <row r="179">
          <cell r="J179" t="str">
            <v>A0850</v>
          </cell>
          <cell r="K179" t="str">
            <v>IL</v>
          </cell>
        </row>
        <row r="180">
          <cell r="J180" t="str">
            <v>A0852</v>
          </cell>
          <cell r="K180" t="str">
            <v>IL</v>
          </cell>
        </row>
        <row r="181">
          <cell r="J181" t="str">
            <v>A0862</v>
          </cell>
          <cell r="K181" t="str">
            <v>IL</v>
          </cell>
        </row>
        <row r="182">
          <cell r="J182" t="str">
            <v>A0866</v>
          </cell>
          <cell r="K182" t="str">
            <v>IL</v>
          </cell>
        </row>
        <row r="183">
          <cell r="J183" t="str">
            <v>A0869</v>
          </cell>
          <cell r="K183" t="str">
            <v>IL</v>
          </cell>
        </row>
        <row r="184">
          <cell r="J184" t="str">
            <v>A0878</v>
          </cell>
          <cell r="K184" t="str">
            <v>IL</v>
          </cell>
        </row>
        <row r="185">
          <cell r="J185" t="str">
            <v>A0880</v>
          </cell>
          <cell r="K185" t="str">
            <v>IL</v>
          </cell>
        </row>
        <row r="186">
          <cell r="J186" t="str">
            <v>A0894</v>
          </cell>
          <cell r="K186" t="str">
            <v>IL</v>
          </cell>
        </row>
        <row r="187">
          <cell r="J187" t="str">
            <v>A0897</v>
          </cell>
          <cell r="K187" t="str">
            <v>IL</v>
          </cell>
        </row>
        <row r="188">
          <cell r="J188" t="str">
            <v>A0898</v>
          </cell>
          <cell r="K188" t="str">
            <v>IL</v>
          </cell>
        </row>
        <row r="189">
          <cell r="J189" t="str">
            <v>A0926</v>
          </cell>
          <cell r="K189" t="str">
            <v>IL</v>
          </cell>
        </row>
        <row r="190">
          <cell r="J190" t="str">
            <v>A0953</v>
          </cell>
          <cell r="K190" t="str">
            <v>IL</v>
          </cell>
        </row>
        <row r="191">
          <cell r="J191" t="str">
            <v>A0954</v>
          </cell>
          <cell r="K191" t="str">
            <v>IL</v>
          </cell>
        </row>
        <row r="192">
          <cell r="J192" t="str">
            <v>A0955</v>
          </cell>
          <cell r="K192" t="str">
            <v>IL</v>
          </cell>
        </row>
        <row r="193">
          <cell r="J193" t="str">
            <v>A0957</v>
          </cell>
          <cell r="K193" t="str">
            <v>IL</v>
          </cell>
        </row>
        <row r="194">
          <cell r="J194" t="str">
            <v>A0958</v>
          </cell>
          <cell r="K194" t="str">
            <v>IL</v>
          </cell>
        </row>
        <row r="195">
          <cell r="J195" t="str">
            <v>A0959</v>
          </cell>
          <cell r="K195" t="str">
            <v>IL</v>
          </cell>
        </row>
        <row r="196">
          <cell r="J196" t="str">
            <v>A0961</v>
          </cell>
          <cell r="K196" t="str">
            <v>IL</v>
          </cell>
        </row>
        <row r="197">
          <cell r="J197" t="str">
            <v>A0962</v>
          </cell>
          <cell r="K197" t="str">
            <v>IL</v>
          </cell>
        </row>
        <row r="198">
          <cell r="J198" t="str">
            <v>A0963</v>
          </cell>
          <cell r="K198" t="str">
            <v>IL</v>
          </cell>
        </row>
        <row r="199">
          <cell r="J199" t="str">
            <v>A0966</v>
          </cell>
          <cell r="K199" t="str">
            <v>IL</v>
          </cell>
        </row>
        <row r="200">
          <cell r="J200" t="str">
            <v>A0967</v>
          </cell>
          <cell r="K200" t="str">
            <v>IL</v>
          </cell>
        </row>
        <row r="201">
          <cell r="J201" t="str">
            <v>A0968</v>
          </cell>
          <cell r="K201" t="str">
            <v>IL</v>
          </cell>
        </row>
        <row r="202">
          <cell r="J202" t="str">
            <v>A0974</v>
          </cell>
          <cell r="K202" t="str">
            <v>IL</v>
          </cell>
        </row>
        <row r="203">
          <cell r="J203" t="str">
            <v>A0983</v>
          </cell>
          <cell r="K203" t="str">
            <v>IL</v>
          </cell>
        </row>
        <row r="204">
          <cell r="J204" t="str">
            <v>A0985</v>
          </cell>
          <cell r="K204" t="str">
            <v>IL</v>
          </cell>
        </row>
        <row r="205">
          <cell r="J205" t="str">
            <v>A0987</v>
          </cell>
          <cell r="K205" t="str">
            <v>IL</v>
          </cell>
        </row>
        <row r="206">
          <cell r="J206" t="str">
            <v>A0988</v>
          </cell>
          <cell r="K206" t="str">
            <v>IL</v>
          </cell>
        </row>
        <row r="207">
          <cell r="J207" t="str">
            <v>A0992</v>
          </cell>
          <cell r="K207" t="str">
            <v>IL</v>
          </cell>
        </row>
        <row r="208">
          <cell r="J208" t="str">
            <v>A0993</v>
          </cell>
          <cell r="K208" t="str">
            <v>IL</v>
          </cell>
        </row>
        <row r="209">
          <cell r="J209" t="str">
            <v>A0994</v>
          </cell>
          <cell r="K209" t="str">
            <v>IL</v>
          </cell>
        </row>
        <row r="210">
          <cell r="J210" t="str">
            <v>A0999</v>
          </cell>
          <cell r="K210" t="str">
            <v>IL</v>
          </cell>
        </row>
        <row r="211">
          <cell r="J211" t="str">
            <v>A1000</v>
          </cell>
          <cell r="K211" t="str">
            <v>IL</v>
          </cell>
        </row>
        <row r="212">
          <cell r="J212" t="str">
            <v>A1002</v>
          </cell>
          <cell r="K212" t="str">
            <v>IL</v>
          </cell>
        </row>
        <row r="213">
          <cell r="J213" t="str">
            <v>A1008</v>
          </cell>
          <cell r="K213" t="str">
            <v>IL</v>
          </cell>
        </row>
        <row r="214">
          <cell r="J214" t="str">
            <v>A1009</v>
          </cell>
          <cell r="K214" t="str">
            <v>IL</v>
          </cell>
        </row>
        <row r="215">
          <cell r="J215" t="str">
            <v>A1013</v>
          </cell>
          <cell r="K215" t="str">
            <v>IL</v>
          </cell>
        </row>
        <row r="216">
          <cell r="J216" t="str">
            <v>A1014</v>
          </cell>
          <cell r="K216" t="str">
            <v>IL</v>
          </cell>
        </row>
        <row r="217">
          <cell r="J217" t="str">
            <v>A1015</v>
          </cell>
          <cell r="K217" t="str">
            <v>IL</v>
          </cell>
        </row>
        <row r="218">
          <cell r="J218" t="str">
            <v>A1017</v>
          </cell>
          <cell r="K218" t="str">
            <v>IL</v>
          </cell>
        </row>
        <row r="219">
          <cell r="J219" t="str">
            <v>A1019</v>
          </cell>
          <cell r="K219" t="str">
            <v>IL</v>
          </cell>
        </row>
        <row r="220">
          <cell r="J220" t="str">
            <v>A1023</v>
          </cell>
          <cell r="K220" t="str">
            <v>IL</v>
          </cell>
        </row>
        <row r="221">
          <cell r="J221" t="str">
            <v>A1024</v>
          </cell>
          <cell r="K221" t="str">
            <v>IL</v>
          </cell>
        </row>
        <row r="222">
          <cell r="J222" t="str">
            <v>A1025</v>
          </cell>
          <cell r="K222" t="str">
            <v>IL</v>
          </cell>
        </row>
        <row r="223">
          <cell r="J223" t="str">
            <v>A1048</v>
          </cell>
          <cell r="K223" t="str">
            <v>IL</v>
          </cell>
        </row>
        <row r="224">
          <cell r="J224" t="str">
            <v>A1049</v>
          </cell>
          <cell r="K224" t="str">
            <v>IL</v>
          </cell>
        </row>
        <row r="225">
          <cell r="J225" t="str">
            <v>A1052</v>
          </cell>
          <cell r="K225" t="str">
            <v>IL</v>
          </cell>
        </row>
        <row r="226">
          <cell r="J226" t="str">
            <v>A1055</v>
          </cell>
          <cell r="K226" t="str">
            <v>IL</v>
          </cell>
        </row>
        <row r="227">
          <cell r="J227" t="str">
            <v>A1056</v>
          </cell>
          <cell r="K227" t="str">
            <v>IL</v>
          </cell>
        </row>
        <row r="228">
          <cell r="J228" t="str">
            <v>A1057</v>
          </cell>
          <cell r="K228" t="str">
            <v>IL</v>
          </cell>
        </row>
        <row r="229">
          <cell r="J229" t="str">
            <v>A1059</v>
          </cell>
          <cell r="K229" t="str">
            <v>IL</v>
          </cell>
        </row>
        <row r="230">
          <cell r="J230" t="str">
            <v>A1063</v>
          </cell>
          <cell r="K230" t="str">
            <v>IL</v>
          </cell>
        </row>
        <row r="231">
          <cell r="J231" t="str">
            <v>A1066</v>
          </cell>
          <cell r="K231" t="str">
            <v>IL</v>
          </cell>
        </row>
        <row r="232">
          <cell r="J232" t="str">
            <v>A1068</v>
          </cell>
          <cell r="K232" t="str">
            <v>IL</v>
          </cell>
        </row>
        <row r="233">
          <cell r="J233" t="str">
            <v>A1069</v>
          </cell>
          <cell r="K233" t="str">
            <v>IL</v>
          </cell>
        </row>
        <row r="234">
          <cell r="J234" t="str">
            <v>A1078</v>
          </cell>
          <cell r="K234" t="str">
            <v>IL</v>
          </cell>
        </row>
        <row r="235">
          <cell r="J235" t="str">
            <v>A1251</v>
          </cell>
          <cell r="K235" t="str">
            <v>IL</v>
          </cell>
        </row>
        <row r="236">
          <cell r="J236" t="str">
            <v>A1252</v>
          </cell>
          <cell r="K236" t="str">
            <v>IL</v>
          </cell>
        </row>
        <row r="237">
          <cell r="J237" t="str">
            <v>A1253</v>
          </cell>
          <cell r="K237" t="str">
            <v>IL</v>
          </cell>
        </row>
        <row r="238">
          <cell r="J238" t="str">
            <v>A1263</v>
          </cell>
          <cell r="K238" t="str">
            <v>IL</v>
          </cell>
        </row>
        <row r="239">
          <cell r="J239" t="str">
            <v>A2006</v>
          </cell>
          <cell r="K239" t="str">
            <v>IL</v>
          </cell>
        </row>
        <row r="240">
          <cell r="J240" t="str">
            <v>A2010</v>
          </cell>
          <cell r="K240" t="str">
            <v>IL</v>
          </cell>
        </row>
        <row r="241">
          <cell r="J241" t="str">
            <v>A2011</v>
          </cell>
          <cell r="K241" t="str">
            <v>IL</v>
          </cell>
        </row>
        <row r="242">
          <cell r="J242" t="str">
            <v>A2019</v>
          </cell>
          <cell r="K242" t="str">
            <v>IL</v>
          </cell>
        </row>
        <row r="243">
          <cell r="J243" t="str">
            <v>A2022</v>
          </cell>
          <cell r="K243" t="str">
            <v>IL</v>
          </cell>
        </row>
        <row r="244">
          <cell r="J244" t="str">
            <v>A2029</v>
          </cell>
          <cell r="K244" t="str">
            <v>IL</v>
          </cell>
        </row>
        <row r="245">
          <cell r="J245" t="str">
            <v>A2032</v>
          </cell>
          <cell r="K245" t="str">
            <v>IL</v>
          </cell>
        </row>
        <row r="246">
          <cell r="J246" t="str">
            <v>A2078</v>
          </cell>
          <cell r="K246" t="str">
            <v>IL</v>
          </cell>
        </row>
        <row r="247">
          <cell r="J247" t="str">
            <v>A2079</v>
          </cell>
          <cell r="K247" t="str">
            <v>IL</v>
          </cell>
        </row>
        <row r="248">
          <cell r="J248" t="str">
            <v>A2092</v>
          </cell>
          <cell r="K248" t="str">
            <v>IL</v>
          </cell>
        </row>
        <row r="249">
          <cell r="J249" t="str">
            <v>A2104</v>
          </cell>
          <cell r="K249" t="str">
            <v>IL</v>
          </cell>
        </row>
        <row r="250">
          <cell r="J250" t="str">
            <v>A2107</v>
          </cell>
          <cell r="K250" t="str">
            <v>IL</v>
          </cell>
        </row>
        <row r="251">
          <cell r="J251" t="str">
            <v>A2111</v>
          </cell>
          <cell r="K251" t="str">
            <v>IL</v>
          </cell>
        </row>
        <row r="252">
          <cell r="J252" t="str">
            <v>A2112</v>
          </cell>
          <cell r="K252" t="str">
            <v>IL</v>
          </cell>
        </row>
        <row r="253">
          <cell r="J253" t="str">
            <v>A2116</v>
          </cell>
          <cell r="K253" t="str">
            <v>IL</v>
          </cell>
        </row>
        <row r="254">
          <cell r="J254" t="str">
            <v>A2122</v>
          </cell>
          <cell r="K254" t="str">
            <v>IL</v>
          </cell>
        </row>
        <row r="255">
          <cell r="J255" t="str">
            <v>A2126</v>
          </cell>
          <cell r="K255" t="str">
            <v>IL</v>
          </cell>
        </row>
        <row r="256">
          <cell r="J256" t="str">
            <v>A2135</v>
          </cell>
          <cell r="K256" t="str">
            <v>IL</v>
          </cell>
        </row>
        <row r="257">
          <cell r="J257" t="str">
            <v>A2139</v>
          </cell>
          <cell r="K257" t="str">
            <v>IL</v>
          </cell>
        </row>
        <row r="258">
          <cell r="J258" t="str">
            <v>A2148</v>
          </cell>
          <cell r="K258" t="str">
            <v>IL</v>
          </cell>
        </row>
        <row r="259">
          <cell r="J259" t="str">
            <v>A2152</v>
          </cell>
          <cell r="K259" t="str">
            <v>IL</v>
          </cell>
        </row>
        <row r="260">
          <cell r="J260" t="str">
            <v>A2158</v>
          </cell>
          <cell r="K260" t="str">
            <v>IL</v>
          </cell>
        </row>
        <row r="261">
          <cell r="J261" t="str">
            <v>A2168</v>
          </cell>
          <cell r="K261" t="str">
            <v>IL</v>
          </cell>
        </row>
        <row r="262">
          <cell r="J262" t="str">
            <v>A2179</v>
          </cell>
          <cell r="K262" t="str">
            <v>IL</v>
          </cell>
        </row>
        <row r="263">
          <cell r="J263" t="str">
            <v>A2184</v>
          </cell>
          <cell r="K263" t="str">
            <v>IL</v>
          </cell>
        </row>
        <row r="264">
          <cell r="J264" t="str">
            <v>A2202</v>
          </cell>
          <cell r="K264" t="str">
            <v>IL</v>
          </cell>
        </row>
        <row r="265">
          <cell r="J265" t="str">
            <v>A2209</v>
          </cell>
          <cell r="K265" t="str">
            <v>IL</v>
          </cell>
        </row>
        <row r="266">
          <cell r="J266" t="str">
            <v>A2224</v>
          </cell>
          <cell r="K266" t="str">
            <v>IL</v>
          </cell>
        </row>
        <row r="267">
          <cell r="J267" t="str">
            <v>A2257</v>
          </cell>
          <cell r="K267" t="str">
            <v>IL</v>
          </cell>
        </row>
        <row r="268">
          <cell r="J268" t="str">
            <v>A2265</v>
          </cell>
          <cell r="K268" t="str">
            <v>IL</v>
          </cell>
        </row>
        <row r="269">
          <cell r="J269" t="str">
            <v>A2275</v>
          </cell>
          <cell r="K269" t="str">
            <v>IL</v>
          </cell>
        </row>
        <row r="270">
          <cell r="J270" t="str">
            <v>A2276</v>
          </cell>
          <cell r="K270" t="str">
            <v>IL</v>
          </cell>
        </row>
        <row r="271">
          <cell r="J271" t="str">
            <v>A2296</v>
          </cell>
          <cell r="K271" t="str">
            <v>IL</v>
          </cell>
        </row>
        <row r="272">
          <cell r="J272" t="str">
            <v>A2302</v>
          </cell>
          <cell r="K272" t="str">
            <v>IL</v>
          </cell>
        </row>
        <row r="273">
          <cell r="J273" t="str">
            <v>A2307</v>
          </cell>
          <cell r="K273" t="str">
            <v>IL</v>
          </cell>
        </row>
        <row r="274">
          <cell r="J274" t="str">
            <v>A2309</v>
          </cell>
          <cell r="K274" t="str">
            <v>IL</v>
          </cell>
        </row>
        <row r="275">
          <cell r="J275" t="str">
            <v>A2312</v>
          </cell>
          <cell r="K275" t="str">
            <v>IL</v>
          </cell>
        </row>
        <row r="276">
          <cell r="J276" t="str">
            <v>A2321</v>
          </cell>
          <cell r="K276" t="str">
            <v>IL</v>
          </cell>
        </row>
        <row r="277">
          <cell r="J277" t="str">
            <v>A2330</v>
          </cell>
          <cell r="K277" t="str">
            <v>IL</v>
          </cell>
        </row>
        <row r="278">
          <cell r="J278" t="str">
            <v>A2337</v>
          </cell>
          <cell r="K278" t="str">
            <v>IL</v>
          </cell>
        </row>
        <row r="279">
          <cell r="J279" t="str">
            <v>A2338</v>
          </cell>
          <cell r="K279" t="str">
            <v>IL</v>
          </cell>
        </row>
        <row r="280">
          <cell r="J280" t="str">
            <v>A2339</v>
          </cell>
          <cell r="K280" t="str">
            <v>IL</v>
          </cell>
        </row>
        <row r="281">
          <cell r="J281" t="str">
            <v>A2340</v>
          </cell>
          <cell r="K281" t="str">
            <v>IL</v>
          </cell>
        </row>
        <row r="282">
          <cell r="J282" t="str">
            <v>A2341</v>
          </cell>
          <cell r="K282" t="str">
            <v>IL</v>
          </cell>
        </row>
        <row r="283">
          <cell r="J283" t="str">
            <v>A2345</v>
          </cell>
          <cell r="K283" t="str">
            <v>IL</v>
          </cell>
        </row>
        <row r="284">
          <cell r="J284" t="str">
            <v>A2347</v>
          </cell>
          <cell r="K284" t="str">
            <v>IL</v>
          </cell>
        </row>
        <row r="285">
          <cell r="J285" t="str">
            <v>A2350</v>
          </cell>
          <cell r="K285" t="str">
            <v>IL</v>
          </cell>
        </row>
        <row r="286">
          <cell r="J286" t="str">
            <v>A2351</v>
          </cell>
          <cell r="K286" t="str">
            <v>IL</v>
          </cell>
        </row>
        <row r="287">
          <cell r="J287" t="str">
            <v>A2353</v>
          </cell>
          <cell r="K287" t="str">
            <v>IL</v>
          </cell>
        </row>
        <row r="288">
          <cell r="J288" t="str">
            <v>A2354</v>
          </cell>
          <cell r="K288" t="str">
            <v>IL</v>
          </cell>
        </row>
        <row r="289">
          <cell r="J289" t="str">
            <v>A2357</v>
          </cell>
          <cell r="K289" t="str">
            <v>IL</v>
          </cell>
        </row>
        <row r="290">
          <cell r="J290" t="str">
            <v>A2358</v>
          </cell>
          <cell r="K290" t="str">
            <v>IL</v>
          </cell>
        </row>
        <row r="291">
          <cell r="J291" t="str">
            <v>A2359</v>
          </cell>
          <cell r="K291" t="str">
            <v>IL</v>
          </cell>
        </row>
        <row r="292">
          <cell r="J292" t="str">
            <v>A2366</v>
          </cell>
          <cell r="K292" t="str">
            <v>IL</v>
          </cell>
        </row>
        <row r="293">
          <cell r="J293" t="str">
            <v>A2369</v>
          </cell>
          <cell r="K293" t="str">
            <v>IL</v>
          </cell>
        </row>
        <row r="294">
          <cell r="J294" t="str">
            <v>A2378</v>
          </cell>
          <cell r="K294" t="str">
            <v>IL</v>
          </cell>
        </row>
        <row r="295">
          <cell r="J295" t="str">
            <v>A2383</v>
          </cell>
          <cell r="K295" t="str">
            <v>IL</v>
          </cell>
        </row>
        <row r="296">
          <cell r="J296" t="str">
            <v>A2389</v>
          </cell>
          <cell r="K296" t="str">
            <v>IL</v>
          </cell>
        </row>
        <row r="297">
          <cell r="J297" t="str">
            <v>A2398</v>
          </cell>
          <cell r="K297" t="str">
            <v>IL</v>
          </cell>
        </row>
        <row r="298">
          <cell r="J298" t="str">
            <v>A2399</v>
          </cell>
          <cell r="K298" t="str">
            <v>IL</v>
          </cell>
        </row>
        <row r="299">
          <cell r="J299" t="str">
            <v>A2400</v>
          </cell>
          <cell r="K299" t="str">
            <v>IL</v>
          </cell>
        </row>
        <row r="300">
          <cell r="J300" t="str">
            <v>A2401</v>
          </cell>
          <cell r="K300" t="str">
            <v>IL</v>
          </cell>
        </row>
        <row r="301">
          <cell r="J301" t="str">
            <v>A2412</v>
          </cell>
          <cell r="K301" t="str">
            <v>IL</v>
          </cell>
        </row>
        <row r="302">
          <cell r="J302" t="str">
            <v>A2417</v>
          </cell>
          <cell r="K302" t="str">
            <v>IL</v>
          </cell>
        </row>
        <row r="303">
          <cell r="J303" t="str">
            <v>A2418</v>
          </cell>
          <cell r="K303" t="str">
            <v>IL</v>
          </cell>
        </row>
        <row r="304">
          <cell r="J304" t="str">
            <v>A2419</v>
          </cell>
          <cell r="K304" t="str">
            <v>IL</v>
          </cell>
        </row>
        <row r="305">
          <cell r="J305" t="str">
            <v>A2420</v>
          </cell>
          <cell r="K305" t="str">
            <v>IL</v>
          </cell>
        </row>
        <row r="306">
          <cell r="J306" t="str">
            <v>A2421</v>
          </cell>
          <cell r="K306" t="str">
            <v>IL</v>
          </cell>
        </row>
        <row r="307">
          <cell r="J307" t="str">
            <v>A2422</v>
          </cell>
          <cell r="K307" t="str">
            <v>IL</v>
          </cell>
        </row>
        <row r="308">
          <cell r="J308" t="str">
            <v>A2426</v>
          </cell>
          <cell r="K308" t="str">
            <v>IL</v>
          </cell>
        </row>
        <row r="309">
          <cell r="J309" t="str">
            <v>A2478</v>
          </cell>
          <cell r="K309" t="str">
            <v>IL</v>
          </cell>
        </row>
        <row r="310">
          <cell r="J310" t="str">
            <v>A2479</v>
          </cell>
          <cell r="K310" t="str">
            <v>IL</v>
          </cell>
        </row>
        <row r="311">
          <cell r="J311" t="str">
            <v>A2481</v>
          </cell>
          <cell r="K311" t="str">
            <v>IL</v>
          </cell>
        </row>
        <row r="312">
          <cell r="J312" t="str">
            <v>A2483</v>
          </cell>
          <cell r="K312" t="str">
            <v>IL</v>
          </cell>
        </row>
        <row r="313">
          <cell r="J313" t="str">
            <v>A2484</v>
          </cell>
          <cell r="K313" t="str">
            <v>IL</v>
          </cell>
        </row>
        <row r="314">
          <cell r="J314" t="str">
            <v>A2485</v>
          </cell>
          <cell r="K314" t="str">
            <v>IL</v>
          </cell>
        </row>
        <row r="315">
          <cell r="J315" t="str">
            <v>A2488</v>
          </cell>
          <cell r="K315" t="str">
            <v>IL</v>
          </cell>
        </row>
        <row r="316">
          <cell r="J316" t="str">
            <v>A2490</v>
          </cell>
          <cell r="K316" t="str">
            <v>IL</v>
          </cell>
        </row>
        <row r="317">
          <cell r="J317" t="str">
            <v>A2504</v>
          </cell>
          <cell r="K317" t="str">
            <v>IL</v>
          </cell>
        </row>
        <row r="318">
          <cell r="J318" t="str">
            <v>A2505</v>
          </cell>
          <cell r="K318" t="str">
            <v>IL</v>
          </cell>
        </row>
        <row r="319">
          <cell r="J319" t="str">
            <v>A2510</v>
          </cell>
          <cell r="K319" t="str">
            <v>IL</v>
          </cell>
        </row>
        <row r="320">
          <cell r="J320" t="str">
            <v>A2533</v>
          </cell>
          <cell r="K320" t="str">
            <v>IL</v>
          </cell>
        </row>
        <row r="321">
          <cell r="J321" t="str">
            <v>A2545</v>
          </cell>
          <cell r="K321" t="str">
            <v>IL</v>
          </cell>
        </row>
        <row r="322">
          <cell r="J322" t="str">
            <v>A2546</v>
          </cell>
          <cell r="K322" t="str">
            <v>IL</v>
          </cell>
        </row>
        <row r="323">
          <cell r="J323" t="str">
            <v>A2548</v>
          </cell>
          <cell r="K323" t="str">
            <v>IL</v>
          </cell>
        </row>
        <row r="324">
          <cell r="J324" t="str">
            <v>A2549</v>
          </cell>
          <cell r="K324" t="str">
            <v>IL</v>
          </cell>
        </row>
        <row r="325">
          <cell r="J325" t="str">
            <v>A2552</v>
          </cell>
          <cell r="K325" t="str">
            <v>IL</v>
          </cell>
        </row>
        <row r="326">
          <cell r="J326" t="str">
            <v>A2553</v>
          </cell>
          <cell r="K326" t="str">
            <v>IL</v>
          </cell>
        </row>
        <row r="327">
          <cell r="J327" t="str">
            <v>A2554</v>
          </cell>
          <cell r="K327" t="str">
            <v>IL</v>
          </cell>
        </row>
        <row r="328">
          <cell r="J328" t="str">
            <v>A2555</v>
          </cell>
          <cell r="K328" t="str">
            <v>IL</v>
          </cell>
        </row>
        <row r="329">
          <cell r="J329" t="str">
            <v>A2564</v>
          </cell>
          <cell r="K329" t="str">
            <v>IL</v>
          </cell>
        </row>
        <row r="330">
          <cell r="J330" t="str">
            <v>A2566</v>
          </cell>
          <cell r="K330" t="str">
            <v>IL</v>
          </cell>
        </row>
        <row r="331">
          <cell r="J331" t="str">
            <v>A2567</v>
          </cell>
          <cell r="K331" t="str">
            <v>IL</v>
          </cell>
        </row>
        <row r="332">
          <cell r="J332" t="str">
            <v>A2569</v>
          </cell>
          <cell r="K332" t="str">
            <v>IL</v>
          </cell>
        </row>
        <row r="333">
          <cell r="J333" t="str">
            <v>A2570</v>
          </cell>
          <cell r="K333" t="str">
            <v>IL</v>
          </cell>
        </row>
        <row r="334">
          <cell r="J334" t="str">
            <v>A2573</v>
          </cell>
          <cell r="K334" t="str">
            <v>IL</v>
          </cell>
        </row>
        <row r="335">
          <cell r="J335" t="str">
            <v>A2577</v>
          </cell>
          <cell r="K335" t="str">
            <v>IL</v>
          </cell>
        </row>
        <row r="336">
          <cell r="J336" t="str">
            <v>A2578</v>
          </cell>
          <cell r="K336" t="str">
            <v>IL</v>
          </cell>
        </row>
        <row r="337">
          <cell r="J337" t="str">
            <v>A2587</v>
          </cell>
          <cell r="K337" t="str">
            <v>IL</v>
          </cell>
        </row>
        <row r="338">
          <cell r="J338" t="str">
            <v>A2593</v>
          </cell>
          <cell r="K338" t="str">
            <v>IL</v>
          </cell>
        </row>
        <row r="339">
          <cell r="J339" t="str">
            <v>A2594</v>
          </cell>
          <cell r="K339" t="str">
            <v>IL</v>
          </cell>
        </row>
        <row r="340">
          <cell r="J340" t="str">
            <v>A2596</v>
          </cell>
          <cell r="K340" t="str">
            <v>IL</v>
          </cell>
        </row>
        <row r="341">
          <cell r="J341" t="str">
            <v>A2597</v>
          </cell>
          <cell r="K341" t="str">
            <v>IL</v>
          </cell>
        </row>
        <row r="342">
          <cell r="J342" t="str">
            <v>A2599</v>
          </cell>
          <cell r="K342" t="str">
            <v>IL</v>
          </cell>
        </row>
        <row r="343">
          <cell r="J343" t="str">
            <v>A2602</v>
          </cell>
          <cell r="K343" t="str">
            <v>IL</v>
          </cell>
        </row>
        <row r="344">
          <cell r="J344" t="str">
            <v>A2603</v>
          </cell>
          <cell r="K344" t="str">
            <v>IL</v>
          </cell>
        </row>
        <row r="345">
          <cell r="J345" t="str">
            <v>A2605</v>
          </cell>
          <cell r="K345" t="str">
            <v>IL</v>
          </cell>
        </row>
        <row r="346">
          <cell r="J346" t="str">
            <v>A2606</v>
          </cell>
          <cell r="K346" t="str">
            <v>IL</v>
          </cell>
        </row>
        <row r="347">
          <cell r="J347" t="str">
            <v>A2617</v>
          </cell>
          <cell r="K347" t="str">
            <v>IL</v>
          </cell>
        </row>
        <row r="348">
          <cell r="J348" t="str">
            <v>A2621</v>
          </cell>
          <cell r="K348" t="str">
            <v>IL</v>
          </cell>
        </row>
        <row r="349">
          <cell r="J349" t="str">
            <v>A2622</v>
          </cell>
          <cell r="K349" t="str">
            <v>IL</v>
          </cell>
        </row>
        <row r="350">
          <cell r="J350" t="str">
            <v>A2627</v>
          </cell>
          <cell r="K350" t="str">
            <v>IL</v>
          </cell>
        </row>
        <row r="351">
          <cell r="J351" t="str">
            <v>A2628</v>
          </cell>
          <cell r="K351" t="str">
            <v>IL</v>
          </cell>
        </row>
        <row r="352">
          <cell r="J352" t="str">
            <v>A2631</v>
          </cell>
          <cell r="K352" t="str">
            <v>IL</v>
          </cell>
        </row>
        <row r="353">
          <cell r="J353" t="str">
            <v>A2633</v>
          </cell>
          <cell r="K353" t="str">
            <v>IL</v>
          </cell>
        </row>
        <row r="354">
          <cell r="J354" t="str">
            <v>A2636</v>
          </cell>
          <cell r="K354" t="str">
            <v>IL</v>
          </cell>
        </row>
        <row r="355">
          <cell r="J355" t="str">
            <v>A2638</v>
          </cell>
          <cell r="K355" t="str">
            <v>IL</v>
          </cell>
        </row>
        <row r="356">
          <cell r="J356" t="str">
            <v>A2649</v>
          </cell>
          <cell r="K356" t="str">
            <v>IL</v>
          </cell>
        </row>
        <row r="357">
          <cell r="J357" t="str">
            <v>A2650</v>
          </cell>
          <cell r="K357" t="str">
            <v>IL</v>
          </cell>
        </row>
        <row r="358">
          <cell r="J358" t="str">
            <v>A2655</v>
          </cell>
          <cell r="K358" t="str">
            <v>IL</v>
          </cell>
        </row>
        <row r="359">
          <cell r="J359" t="str">
            <v>A2660</v>
          </cell>
          <cell r="K359" t="str">
            <v>IL</v>
          </cell>
        </row>
        <row r="360">
          <cell r="J360" t="str">
            <v>A2661</v>
          </cell>
          <cell r="K360" t="str">
            <v>IL</v>
          </cell>
        </row>
        <row r="361">
          <cell r="J361" t="str">
            <v>A2662</v>
          </cell>
          <cell r="K361" t="str">
            <v>IL</v>
          </cell>
        </row>
        <row r="362">
          <cell r="J362" t="str">
            <v>A2664</v>
          </cell>
          <cell r="K362" t="str">
            <v>IL</v>
          </cell>
        </row>
        <row r="363">
          <cell r="J363" t="str">
            <v>A2665</v>
          </cell>
          <cell r="K363" t="str">
            <v>IL</v>
          </cell>
        </row>
        <row r="364">
          <cell r="J364" t="str">
            <v>A2666</v>
          </cell>
          <cell r="K364" t="str">
            <v>IL</v>
          </cell>
        </row>
        <row r="365">
          <cell r="J365" t="str">
            <v>A2669</v>
          </cell>
          <cell r="K365" t="str">
            <v>IL</v>
          </cell>
        </row>
        <row r="366">
          <cell r="J366" t="str">
            <v>A2679</v>
          </cell>
          <cell r="K366" t="str">
            <v>IL</v>
          </cell>
        </row>
        <row r="367">
          <cell r="J367" t="str">
            <v>A2680</v>
          </cell>
          <cell r="K367" t="str">
            <v>IL</v>
          </cell>
        </row>
        <row r="368">
          <cell r="J368" t="str">
            <v>A2686</v>
          </cell>
          <cell r="K368" t="str">
            <v>IL</v>
          </cell>
        </row>
        <row r="369">
          <cell r="J369" t="str">
            <v>A2694</v>
          </cell>
          <cell r="K369" t="str">
            <v>IL</v>
          </cell>
        </row>
        <row r="370">
          <cell r="J370" t="str">
            <v>A2700</v>
          </cell>
          <cell r="K370" t="str">
            <v>IL</v>
          </cell>
        </row>
        <row r="371">
          <cell r="J371" t="str">
            <v>A2702</v>
          </cell>
          <cell r="K371" t="str">
            <v>IL</v>
          </cell>
        </row>
        <row r="372">
          <cell r="J372" t="str">
            <v>A2707</v>
          </cell>
          <cell r="K372" t="str">
            <v>IL</v>
          </cell>
        </row>
        <row r="373">
          <cell r="J373" t="str">
            <v>A2708</v>
          </cell>
          <cell r="K373" t="str">
            <v>IL</v>
          </cell>
        </row>
        <row r="374">
          <cell r="J374" t="str">
            <v>A2709</v>
          </cell>
          <cell r="K374" t="str">
            <v>IL</v>
          </cell>
        </row>
        <row r="375">
          <cell r="J375" t="str">
            <v>A2710</v>
          </cell>
          <cell r="K375" t="str">
            <v>IL</v>
          </cell>
        </row>
        <row r="376">
          <cell r="J376" t="str">
            <v>A2719</v>
          </cell>
          <cell r="K376" t="str">
            <v>IL</v>
          </cell>
        </row>
        <row r="377">
          <cell r="J377" t="str">
            <v>A2721</v>
          </cell>
          <cell r="K377" t="str">
            <v>IL</v>
          </cell>
        </row>
        <row r="378">
          <cell r="J378" t="str">
            <v>A2723</v>
          </cell>
          <cell r="K378" t="str">
            <v>IL</v>
          </cell>
        </row>
        <row r="379">
          <cell r="J379" t="str">
            <v>A2733</v>
          </cell>
          <cell r="K379" t="str">
            <v>IL</v>
          </cell>
        </row>
        <row r="380">
          <cell r="J380" t="str">
            <v>A2734</v>
          </cell>
          <cell r="K380" t="str">
            <v>IL</v>
          </cell>
        </row>
        <row r="381">
          <cell r="J381" t="str">
            <v>A2735</v>
          </cell>
          <cell r="K381" t="str">
            <v>IL</v>
          </cell>
        </row>
        <row r="382">
          <cell r="J382" t="str">
            <v>A2740</v>
          </cell>
          <cell r="K382" t="str">
            <v>IL</v>
          </cell>
        </row>
        <row r="383">
          <cell r="J383" t="str">
            <v>A2742</v>
          </cell>
          <cell r="K383" t="str">
            <v>IL</v>
          </cell>
        </row>
        <row r="384">
          <cell r="J384" t="str">
            <v>A2744</v>
          </cell>
          <cell r="K384" t="str">
            <v>IL</v>
          </cell>
        </row>
        <row r="385">
          <cell r="J385" t="str">
            <v>A2745</v>
          </cell>
          <cell r="K385" t="str">
            <v>IL</v>
          </cell>
        </row>
        <row r="386">
          <cell r="J386" t="str">
            <v>A2746</v>
          </cell>
          <cell r="K386" t="str">
            <v>IL</v>
          </cell>
        </row>
        <row r="387">
          <cell r="J387" t="str">
            <v>A2808</v>
          </cell>
          <cell r="K387" t="str">
            <v>IL</v>
          </cell>
        </row>
        <row r="388">
          <cell r="J388" t="str">
            <v>A2823</v>
          </cell>
          <cell r="K388" t="str">
            <v>IL</v>
          </cell>
        </row>
        <row r="389">
          <cell r="J389" t="str">
            <v>A2826</v>
          </cell>
          <cell r="K389" t="str">
            <v>IL</v>
          </cell>
        </row>
        <row r="390">
          <cell r="J390" t="str">
            <v>A2832</v>
          </cell>
          <cell r="K390" t="str">
            <v>IL</v>
          </cell>
        </row>
        <row r="391">
          <cell r="J391" t="str">
            <v>A2833</v>
          </cell>
          <cell r="K391" t="str">
            <v>IL</v>
          </cell>
        </row>
        <row r="392">
          <cell r="J392" t="str">
            <v>A2834</v>
          </cell>
          <cell r="K392" t="str">
            <v>IL</v>
          </cell>
        </row>
        <row r="393">
          <cell r="J393" t="str">
            <v>A2836</v>
          </cell>
          <cell r="K393" t="str">
            <v>IL</v>
          </cell>
        </row>
        <row r="394">
          <cell r="J394" t="str">
            <v>A2839</v>
          </cell>
          <cell r="K394" t="str">
            <v>IL</v>
          </cell>
        </row>
        <row r="395">
          <cell r="J395" t="str">
            <v>A2856</v>
          </cell>
          <cell r="K395" t="str">
            <v>IL</v>
          </cell>
        </row>
        <row r="396">
          <cell r="J396" t="str">
            <v>A2858</v>
          </cell>
          <cell r="K396" t="str">
            <v>IL</v>
          </cell>
        </row>
        <row r="397">
          <cell r="J397" t="str">
            <v>A2863</v>
          </cell>
          <cell r="K397" t="str">
            <v>IL</v>
          </cell>
        </row>
        <row r="398">
          <cell r="J398" t="str">
            <v>A2866</v>
          </cell>
          <cell r="K398" t="str">
            <v>IL</v>
          </cell>
        </row>
        <row r="399">
          <cell r="J399" t="str">
            <v>A2869</v>
          </cell>
          <cell r="K399" t="str">
            <v>IL</v>
          </cell>
        </row>
        <row r="400">
          <cell r="J400" t="str">
            <v>A2870</v>
          </cell>
          <cell r="K400" t="str">
            <v>IL</v>
          </cell>
        </row>
        <row r="401">
          <cell r="J401" t="str">
            <v>A2874</v>
          </cell>
          <cell r="K401" t="str">
            <v>IL</v>
          </cell>
        </row>
        <row r="402">
          <cell r="J402" t="str">
            <v>A2880</v>
          </cell>
          <cell r="K402" t="str">
            <v>IL</v>
          </cell>
        </row>
        <row r="403">
          <cell r="J403" t="str">
            <v>A2882</v>
          </cell>
          <cell r="K403" t="str">
            <v>IL</v>
          </cell>
        </row>
        <row r="404">
          <cell r="J404" t="str">
            <v>A2883</v>
          </cell>
          <cell r="K404" t="str">
            <v>IL</v>
          </cell>
        </row>
        <row r="405">
          <cell r="J405" t="str">
            <v>A2909</v>
          </cell>
          <cell r="K405" t="str">
            <v>IL</v>
          </cell>
        </row>
        <row r="406">
          <cell r="J406" t="str">
            <v>A2910</v>
          </cell>
          <cell r="K406" t="str">
            <v>IL</v>
          </cell>
        </row>
        <row r="407">
          <cell r="J407" t="str">
            <v>A2911</v>
          </cell>
          <cell r="K407" t="str">
            <v>IL</v>
          </cell>
        </row>
        <row r="408">
          <cell r="J408" t="str">
            <v>A2927</v>
          </cell>
          <cell r="K408" t="str">
            <v>IL</v>
          </cell>
        </row>
        <row r="409">
          <cell r="J409" t="str">
            <v>A2929</v>
          </cell>
          <cell r="K409" t="str">
            <v>IL</v>
          </cell>
        </row>
        <row r="410">
          <cell r="J410" t="str">
            <v>A2972</v>
          </cell>
          <cell r="K410" t="str">
            <v>IL</v>
          </cell>
        </row>
        <row r="411">
          <cell r="J411" t="str">
            <v>AXA11</v>
          </cell>
          <cell r="K411" t="str">
            <v>IL</v>
          </cell>
        </row>
        <row r="412">
          <cell r="J412" t="str">
            <v>AXA41</v>
          </cell>
          <cell r="K412" t="str">
            <v>IL</v>
          </cell>
        </row>
        <row r="413">
          <cell r="J413" t="str">
            <v>AXACL</v>
          </cell>
          <cell r="K413" t="str">
            <v>IL</v>
          </cell>
        </row>
        <row r="414">
          <cell r="J414" t="str">
            <v>AXAIP</v>
          </cell>
          <cell r="K414" t="str">
            <v>IL</v>
          </cell>
        </row>
        <row r="415">
          <cell r="J415" t="str">
            <v>AXB11</v>
          </cell>
          <cell r="K415" t="str">
            <v>IL</v>
          </cell>
        </row>
      </sheetData>
      <sheetData sheetId="24">
        <row r="1">
          <cell r="A1" t="str">
            <v>work_order_number</v>
          </cell>
          <cell r="B1" t="str">
            <v>Project description</v>
          </cell>
          <cell r="C1" t="str">
            <v>RMC descriptions</v>
          </cell>
        </row>
        <row r="2">
          <cell r="A2" t="str">
            <v>02963</v>
          </cell>
          <cell r="B2" t="str">
            <v>BIG RIVER-ROCKWOOD 138 KV TRANS LN.</v>
          </cell>
          <cell r="C2" t="str">
            <v>09E-ELECTRICAL ENGINEERING</v>
          </cell>
        </row>
        <row r="3">
          <cell r="A3" t="str">
            <v>02990</v>
          </cell>
          <cell r="B3" t="str">
            <v>SPECIAL PROJECTS PURCHASE LAND ALTA</v>
          </cell>
          <cell r="C3" t="str">
            <v>616-SUB MTCE &amp; CONST-IL WEST</v>
          </cell>
        </row>
        <row r="4">
          <cell r="A4" t="str">
            <v>03246</v>
          </cell>
          <cell r="B4" t="str">
            <v>SPECIAL PROJECTS EXTEND 6991 TO SID</v>
          </cell>
          <cell r="C4" t="str">
            <v>616-SUB MTCE &amp; CONST-IL WEST</v>
          </cell>
        </row>
        <row r="5">
          <cell r="A5" t="str">
            <v>03993</v>
          </cell>
          <cell r="B5" t="str">
            <v>PURCH LAND FOR RAIL LOOP-EDE</v>
          </cell>
          <cell r="C5" t="str">
            <v>62A-EDWARDS PLANT GENERAL</v>
          </cell>
        </row>
        <row r="6">
          <cell r="A6" t="str">
            <v>03994</v>
          </cell>
          <cell r="B6" t="str">
            <v>IVR REPLACEMENTS</v>
          </cell>
          <cell r="C6" t="str">
            <v>065-NEO - TELEPHONE SERVICES</v>
          </cell>
        </row>
        <row r="7">
          <cell r="A7" t="str">
            <v>08051</v>
          </cell>
          <cell r="B7" t="str">
            <v>TS U1 TURB RUNNER REPL-UPGR</v>
          </cell>
          <cell r="C7" t="str">
            <v>09M-GENERATION PROJECT ENGINEERING</v>
          </cell>
        </row>
        <row r="8">
          <cell r="A8" t="str">
            <v>09432</v>
          </cell>
          <cell r="B8" t="str">
            <v>OSA - LICENSE RENEWAL COSTS</v>
          </cell>
          <cell r="C8" t="str">
            <v>44A-OSAGE PLANT GENERAL &amp; BUD</v>
          </cell>
        </row>
        <row r="9">
          <cell r="A9" t="str">
            <v>09941</v>
          </cell>
          <cell r="B9" t="str">
            <v>NEWTON PLANT-COAL HANDLING UPGRADES</v>
          </cell>
          <cell r="C9" t="str">
            <v>09M-GENERATION PROJECT ENGINEERING</v>
          </cell>
        </row>
        <row r="10">
          <cell r="A10" t="str">
            <v>0A001</v>
          </cell>
          <cell r="B10" t="str">
            <v>CSD METRO ST LOUIS-T&amp;D LINES</v>
          </cell>
          <cell r="C10" t="str">
            <v>066-MO OPS ADMIN</v>
          </cell>
        </row>
        <row r="11">
          <cell r="A11" t="str">
            <v>0A005</v>
          </cell>
          <cell r="B11" t="str">
            <v>CSD-METRO ST LOUIS - TRANS &amp; DIST L</v>
          </cell>
          <cell r="C11" t="str">
            <v>066-MO OPS ADMIN</v>
          </cell>
        </row>
        <row r="12">
          <cell r="A12" t="str">
            <v>0A006</v>
          </cell>
          <cell r="B12" t="str">
            <v>CSD-METRO ST LOUIS - RELOCATIONS GO</v>
          </cell>
          <cell r="C12" t="str">
            <v>066-MO OPS ADMIN</v>
          </cell>
        </row>
        <row r="13">
          <cell r="A13" t="str">
            <v>0A009</v>
          </cell>
          <cell r="B13" t="str">
            <v>CSD-METRO ST. LOUIS - DIST SUBS &amp; L</v>
          </cell>
          <cell r="C13" t="str">
            <v>066-MO OPS ADMIN</v>
          </cell>
        </row>
        <row r="14">
          <cell r="A14" t="str">
            <v>0A010</v>
          </cell>
          <cell r="B14" t="str">
            <v>DISTRIBUTION SERVICES - OTHER GENER</v>
          </cell>
          <cell r="C14" t="str">
            <v>066-MO OPS ADMIN</v>
          </cell>
        </row>
        <row r="15">
          <cell r="A15" t="str">
            <v>0A011</v>
          </cell>
          <cell r="B15" t="str">
            <v>STANDING WO -GAS TRANS &amp; DIST LINE</v>
          </cell>
          <cell r="C15" t="str">
            <v>066-MO OPS ADMIN</v>
          </cell>
        </row>
        <row r="16">
          <cell r="A16" t="str">
            <v>0A012</v>
          </cell>
          <cell r="B16" t="str">
            <v>STANDING WO -RELOCATIONS GOVT PROJ</v>
          </cell>
          <cell r="C16" t="str">
            <v>066-MO OPS ADMIN</v>
          </cell>
        </row>
        <row r="17">
          <cell r="A17" t="str">
            <v>0A013</v>
          </cell>
          <cell r="B17" t="str">
            <v>DISTRIBUTION SERVICES - OFFICE FURN</v>
          </cell>
          <cell r="C17" t="str">
            <v>066-MO OPS ADMIN</v>
          </cell>
        </row>
        <row r="18">
          <cell r="A18" t="str">
            <v>0A014</v>
          </cell>
          <cell r="B18" t="str">
            <v>DISTRIBUTION SERVICES - OTHER GENER</v>
          </cell>
          <cell r="C18" t="str">
            <v>066-MO OPS ADMIN</v>
          </cell>
        </row>
        <row r="19">
          <cell r="A19" t="str">
            <v>0A018</v>
          </cell>
          <cell r="B19" t="str">
            <v>METROPOLITAN FUNCTION REPLACE DEFEC</v>
          </cell>
          <cell r="C19" t="str">
            <v>066-MO OPS ADMIN</v>
          </cell>
        </row>
        <row r="20">
          <cell r="A20" t="str">
            <v>0A032</v>
          </cell>
          <cell r="B20" t="str">
            <v>GC&amp;MS STANDING WO PC'S &amp; RELATED EQ</v>
          </cell>
          <cell r="C20" t="str">
            <v>40A-GENERATION CONST MGMT SVCS</v>
          </cell>
        </row>
        <row r="21">
          <cell r="A21" t="str">
            <v>0A037</v>
          </cell>
          <cell r="B21" t="str">
            <v>MISC. CAPITAL EXPENDITURES &lt; $50,00</v>
          </cell>
          <cell r="C21" t="str">
            <v>065-NEO - TELEPHONE SERVICES</v>
          </cell>
        </row>
        <row r="22">
          <cell r="A22" t="str">
            <v>0A039</v>
          </cell>
          <cell r="B22" t="str">
            <v>STANDING WO-POWER PLANTS-E70-MERAME</v>
          </cell>
          <cell r="C22" t="str">
            <v>79A-MERAMEC PLANT GENERAL &amp; BUD</v>
          </cell>
        </row>
        <row r="23">
          <cell r="A23" t="str">
            <v>0A043</v>
          </cell>
          <cell r="B23" t="str">
            <v>STANDING WORK ORDER-POWER PLANTS-E7</v>
          </cell>
          <cell r="C23" t="str">
            <v>85C-SIOUX PLANT MAINTENANCE</v>
          </cell>
        </row>
        <row r="24">
          <cell r="A24" t="str">
            <v>0A044</v>
          </cell>
          <cell r="B24" t="str">
            <v>GC&amp;MS STANDING WORK ORDER</v>
          </cell>
          <cell r="C24" t="str">
            <v>40A-GENERATION CONST MGMT SVCS</v>
          </cell>
        </row>
        <row r="25">
          <cell r="A25" t="str">
            <v>0A045</v>
          </cell>
          <cell r="B25" t="str">
            <v>STANDING WO-POWER PLANTS-E70-OSAGE</v>
          </cell>
          <cell r="C25" t="str">
            <v>44A-OSAGE PLANT GENERAL &amp; BUD</v>
          </cell>
        </row>
        <row r="26">
          <cell r="A26" t="str">
            <v>0A046</v>
          </cell>
          <cell r="B26" t="str">
            <v>TS - STANDING WO</v>
          </cell>
          <cell r="C26" t="str">
            <v>46A-TAUM SAUK PLANT GENERAL &amp; BUD</v>
          </cell>
        </row>
        <row r="27">
          <cell r="A27" t="str">
            <v>0A047</v>
          </cell>
          <cell r="B27" t="str">
            <v>STANDING WO-POWER PLANTS-E70-KEOKUK</v>
          </cell>
          <cell r="C27" t="str">
            <v>84A-KEOKUK PLANT GENERAL &amp; BUD</v>
          </cell>
        </row>
        <row r="28">
          <cell r="A28" t="str">
            <v>0A048</v>
          </cell>
          <cell r="B28" t="str">
            <v>LBD-STANDING WO - POWER PLANTS</v>
          </cell>
          <cell r="C28" t="str">
            <v>83A-LABADIE PLANT GENERAL &amp; BUD</v>
          </cell>
        </row>
        <row r="29">
          <cell r="A29" t="str">
            <v>0A049</v>
          </cell>
          <cell r="B29" t="str">
            <v>STANDING WORK ORDER - 2004</v>
          </cell>
          <cell r="C29" t="str">
            <v>78A-RUSH ISLAND PLANT GENERAL &amp; BUD</v>
          </cell>
        </row>
        <row r="30">
          <cell r="A30" t="str">
            <v>0A072</v>
          </cell>
          <cell r="B30" t="str">
            <v>CRITICAL MOTORS, UEC POWER PLANTS</v>
          </cell>
          <cell r="C30" t="str">
            <v>09M-GENERATION PROJECT ENGINEERING</v>
          </cell>
        </row>
        <row r="31">
          <cell r="A31" t="str">
            <v>0A076</v>
          </cell>
          <cell r="B31" t="str">
            <v>SWO  - UEC RETIREMENTS</v>
          </cell>
          <cell r="C31" t="str">
            <v>061-REAL ESTATE</v>
          </cell>
        </row>
        <row r="32">
          <cell r="A32" t="str">
            <v>0A090</v>
          </cell>
          <cell r="B32" t="str">
            <v>SEVERE THUNDERSTORM/HIGH WINDS - 06</v>
          </cell>
          <cell r="C32" t="str">
            <v>066-MO OPS ADMIN</v>
          </cell>
        </row>
        <row r="33">
          <cell r="A33" t="str">
            <v>0A091</v>
          </cell>
          <cell r="B33" t="str">
            <v>METRO-SEVERE THUNDERSTORMS/HIGH WIN</v>
          </cell>
          <cell r="C33" t="str">
            <v>066-MO OPS ADMIN</v>
          </cell>
        </row>
        <row r="34">
          <cell r="A34" t="str">
            <v>0A092</v>
          </cell>
          <cell r="B34" t="str">
            <v>ST.LOUIS-SEVERE THUNDERSTORMS/HIGH</v>
          </cell>
          <cell r="C34" t="str">
            <v>066-MO OPS ADMIN</v>
          </cell>
        </row>
        <row r="35">
          <cell r="A35" t="str">
            <v>0A093</v>
          </cell>
          <cell r="B35" t="str">
            <v>ST.L,CTY/CNTY HGH WNDS/THNDRSTRM LT</v>
          </cell>
          <cell r="C35" t="str">
            <v>066-MO OPS ADMIN</v>
          </cell>
        </row>
        <row r="36">
          <cell r="A36" t="str">
            <v>0A094</v>
          </cell>
          <cell r="B36" t="str">
            <v>ST L.CTY/CO-SEVERE WINDS/THUNDERSTO</v>
          </cell>
          <cell r="C36" t="str">
            <v>066-MO OPS ADMIN</v>
          </cell>
        </row>
        <row r="37">
          <cell r="A37" t="str">
            <v>0A095</v>
          </cell>
          <cell r="B37" t="str">
            <v>ST. LOUIS CITY/COUNTY-HIGH WINDS 03</v>
          </cell>
          <cell r="C37" t="str">
            <v>066-MO OPS ADMIN</v>
          </cell>
        </row>
        <row r="38">
          <cell r="A38" t="str">
            <v>0A096</v>
          </cell>
          <cell r="B38" t="str">
            <v>MISC GAS CAPITAL EXPENDITURES 100,0</v>
          </cell>
          <cell r="C38" t="str">
            <v>065-NEO - TELEPHONE SERVICES</v>
          </cell>
        </row>
        <row r="39">
          <cell r="A39" t="str">
            <v>0A100</v>
          </cell>
          <cell r="B39" t="str">
            <v>DISTRIBUTION SERVICES - OFFICE FURN</v>
          </cell>
          <cell r="C39" t="str">
            <v>066-MO OPS ADMIN</v>
          </cell>
        </row>
        <row r="40">
          <cell r="A40" t="str">
            <v>0A101</v>
          </cell>
          <cell r="B40" t="str">
            <v>DISTRIBUTION SERVICES-RELIABILITY -</v>
          </cell>
          <cell r="C40" t="str">
            <v>066-MO OPS ADMIN</v>
          </cell>
        </row>
        <row r="41">
          <cell r="A41" t="str">
            <v>0A107</v>
          </cell>
          <cell r="B41" t="str">
            <v>CRITICAL MOTORS, AEG POWER PLANTS</v>
          </cell>
          <cell r="C41" t="str">
            <v>09M-GENERATION PROJECT ENGINEERING</v>
          </cell>
        </row>
        <row r="42">
          <cell r="A42" t="str">
            <v>0A113</v>
          </cell>
          <cell r="B42" t="str">
            <v>COMBUSTION TURBINE CAPITAL ITEMS</v>
          </cell>
          <cell r="C42" t="str">
            <v>40A-GENERATION CONST MGMT SVCS</v>
          </cell>
        </row>
        <row r="43">
          <cell r="A43" t="str">
            <v>0A121</v>
          </cell>
          <cell r="B43" t="str">
            <v>RELIABILITY OH CONTROLLED 34KV SWIT</v>
          </cell>
          <cell r="C43" t="str">
            <v>066-MO OPS ADMIN</v>
          </cell>
        </row>
        <row r="44">
          <cell r="A44" t="str">
            <v>0A125</v>
          </cell>
          <cell r="B44" t="str">
            <v>METROPOLITAN RELIABILITY LIGHTNING</v>
          </cell>
          <cell r="C44" t="str">
            <v>066-MO OPS ADMIN</v>
          </cell>
        </row>
        <row r="45">
          <cell r="A45" t="str">
            <v>0A126</v>
          </cell>
          <cell r="B45" t="str">
            <v>STANDING WO - RELIAB-UNUSED TAPS</v>
          </cell>
          <cell r="C45" t="str">
            <v>066-MO OPS ADMIN</v>
          </cell>
        </row>
        <row r="46">
          <cell r="A46" t="str">
            <v>0A127</v>
          </cell>
          <cell r="B46" t="str">
            <v>SWO -UEC SUB ROOF-DRIVEWAY REPL-E63</v>
          </cell>
          <cell r="C46" t="str">
            <v>03M-SUB MTCE &amp; CONST-ENG &amp; ADMIN</v>
          </cell>
        </row>
        <row r="47">
          <cell r="A47" t="str">
            <v>0A128</v>
          </cell>
          <cell r="B47" t="str">
            <v>(DND)METRO RELIABILITY INFRARED PRO</v>
          </cell>
          <cell r="C47" t="str">
            <v>066-MO OPS ADMIN</v>
          </cell>
        </row>
        <row r="48">
          <cell r="A48" t="str">
            <v>0A166</v>
          </cell>
          <cell r="B48" t="str">
            <v>CIPS Metro-East Light. Arrestors</v>
          </cell>
          <cell r="C48" t="str">
            <v>231-IL OPS ADMIN DIV IV V VI VII</v>
          </cell>
        </row>
        <row r="49">
          <cell r="A49" t="str">
            <v>0A190</v>
          </cell>
          <cell r="B49" t="str">
            <v>THUNDERSTORMS-EAST ST. LOUIS 7/5/04</v>
          </cell>
          <cell r="C49" t="str">
            <v>015-ILLINOIS DISTRICT-E. ST. LOUIS</v>
          </cell>
        </row>
        <row r="50">
          <cell r="A50" t="str">
            <v>0A191</v>
          </cell>
          <cell r="B50" t="str">
            <v>EAST ST LOUIS STORM</v>
          </cell>
          <cell r="C50" t="str">
            <v>015-ILLINOIS DISTRICT-E. ST. LOUIS</v>
          </cell>
        </row>
        <row r="51">
          <cell r="A51" t="str">
            <v>0A192</v>
          </cell>
          <cell r="B51" t="str">
            <v>EAST ST LOUIS STORM</v>
          </cell>
          <cell r="C51" t="str">
            <v>015-ILLINOIS DISTRICT-E. ST. LOUIS</v>
          </cell>
        </row>
        <row r="52">
          <cell r="A52" t="str">
            <v>0A193</v>
          </cell>
          <cell r="B52" t="str">
            <v>EAST ST LOUIS STORM</v>
          </cell>
          <cell r="C52" t="str">
            <v>015-ILLINOIS DISTRICT-E. ST. LOUIS</v>
          </cell>
        </row>
        <row r="53">
          <cell r="A53" t="str">
            <v>0A194</v>
          </cell>
          <cell r="B53" t="str">
            <v>EAST ST LOUIS THUNDERSTORMS 6/10/03</v>
          </cell>
          <cell r="C53" t="str">
            <v>015-ILLINOIS DISTRICT-E. ST. LOUIS</v>
          </cell>
        </row>
        <row r="54">
          <cell r="A54" t="str">
            <v>0A195</v>
          </cell>
          <cell r="B54" t="str">
            <v>EAST ST LOUIS STORM</v>
          </cell>
          <cell r="C54" t="str">
            <v>015-ILLINOIS DISTRICT-E. ST. LOUIS</v>
          </cell>
        </row>
        <row r="55">
          <cell r="A55" t="str">
            <v>0A197</v>
          </cell>
          <cell r="B55" t="str">
            <v>DISTRIBUTION SERVICES - NEW BUSINES</v>
          </cell>
          <cell r="C55" t="str">
            <v>066-MO OPS ADMIN</v>
          </cell>
        </row>
        <row r="56">
          <cell r="A56" t="str">
            <v>0A198</v>
          </cell>
          <cell r="B56" t="str">
            <v>DISTRIBUTION SERVICES - REP UNPROTE</v>
          </cell>
          <cell r="C56" t="str">
            <v>066-MO OPS ADMIN</v>
          </cell>
        </row>
        <row r="57">
          <cell r="A57" t="str">
            <v>0A202</v>
          </cell>
          <cell r="B57" t="str">
            <v>ED ILLINOIS - NEW BUSINESS</v>
          </cell>
          <cell r="C57" t="str">
            <v>014-ALTON DISTRICT</v>
          </cell>
        </row>
        <row r="58">
          <cell r="A58" t="str">
            <v>0A203</v>
          </cell>
          <cell r="B58" t="str">
            <v>BIG RIVER ZINC CORP</v>
          </cell>
          <cell r="C58" t="str">
            <v>014-ALTON DISTRICT</v>
          </cell>
        </row>
        <row r="59">
          <cell r="A59" t="str">
            <v>0A204</v>
          </cell>
          <cell r="B59" t="str">
            <v>ED ILLINOIS - GOVERNMENT RELOCATION</v>
          </cell>
          <cell r="C59" t="str">
            <v>014-ALTON DISTRICT</v>
          </cell>
        </row>
        <row r="60">
          <cell r="A60" t="str">
            <v>0A205</v>
          </cell>
          <cell r="B60" t="str">
            <v>ED ILLINOIS - OFFICE FURNITURE &amp; EQ</v>
          </cell>
          <cell r="C60" t="str">
            <v>014-ALTON DISTRICT</v>
          </cell>
        </row>
        <row r="61">
          <cell r="A61" t="str">
            <v>0A206</v>
          </cell>
          <cell r="B61" t="str">
            <v>ED ILLINOIS - OTHER GENERAL PLANT</v>
          </cell>
          <cell r="C61" t="str">
            <v>014-ALTON DISTRICT</v>
          </cell>
        </row>
        <row r="62">
          <cell r="A62" t="str">
            <v>0A207</v>
          </cell>
          <cell r="B62" t="str">
            <v>ED ILLINOIS - NEW BUSINESS</v>
          </cell>
          <cell r="C62" t="str">
            <v>014-ALTON DISTRICT</v>
          </cell>
        </row>
        <row r="63">
          <cell r="A63" t="str">
            <v>0A208</v>
          </cell>
          <cell r="B63" t="str">
            <v>ED ILLINOIS - GAS DISTR &amp; TRANS LIN</v>
          </cell>
          <cell r="C63" t="str">
            <v>3MS-DIVISION V SUPPORT STAFF</v>
          </cell>
        </row>
        <row r="64">
          <cell r="A64" t="str">
            <v>0A209</v>
          </cell>
          <cell r="B64" t="str">
            <v>ED ILLINOIS - GOVERNMENT RELOCATION</v>
          </cell>
          <cell r="C64" t="str">
            <v>014-ALTON DISTRICT</v>
          </cell>
        </row>
        <row r="65">
          <cell r="A65" t="str">
            <v>0A210</v>
          </cell>
          <cell r="B65" t="str">
            <v>ED ILLINOIS - OFFICE FURNITURE &amp; EQ</v>
          </cell>
          <cell r="C65" t="str">
            <v>014-ALTON DISTRICT</v>
          </cell>
        </row>
        <row r="66">
          <cell r="A66" t="str">
            <v>0A211</v>
          </cell>
          <cell r="B66" t="str">
            <v>ED ILLINOIS - OTHER GENERAL PLANT</v>
          </cell>
          <cell r="C66" t="str">
            <v>014-ALTON DISTRICT</v>
          </cell>
        </row>
        <row r="67">
          <cell r="A67" t="str">
            <v>0A214</v>
          </cell>
          <cell r="B67" t="str">
            <v>DIST SVCS-CI REPLAC MPSC</v>
          </cell>
          <cell r="C67" t="str">
            <v>066-MO OPS ADMIN</v>
          </cell>
        </row>
        <row r="68">
          <cell r="A68" t="str">
            <v>0A215</v>
          </cell>
          <cell r="B68" t="str">
            <v>DISTRIBUTION SERVICES - CI REPL MPS</v>
          </cell>
          <cell r="C68" t="str">
            <v>066-MO OPS ADMIN</v>
          </cell>
        </row>
        <row r="69">
          <cell r="A69" t="str">
            <v>0A224</v>
          </cell>
          <cell r="B69" t="str">
            <v>DIST SVCS-T&amp;D LINES   MEDIUM PRIORI</v>
          </cell>
          <cell r="C69" t="str">
            <v>066-MO OPS ADMIN</v>
          </cell>
        </row>
        <row r="70">
          <cell r="A70" t="str">
            <v>0A225</v>
          </cell>
          <cell r="B70" t="str">
            <v>OTH UNIDENT DIST SVCS-T&amp;D LINES</v>
          </cell>
          <cell r="C70" t="str">
            <v>066-MO OPS ADMIN</v>
          </cell>
        </row>
        <row r="71">
          <cell r="A71" t="str">
            <v>0A226</v>
          </cell>
          <cell r="B71" t="str">
            <v>DIST SVCS-T&amp;D LINES   EMERGENCY WOR</v>
          </cell>
          <cell r="C71" t="str">
            <v>066-MO OPS ADMIN</v>
          </cell>
        </row>
        <row r="72">
          <cell r="A72" t="str">
            <v>0A227</v>
          </cell>
          <cell r="B72" t="str">
            <v>DIST SVCS-T&amp;D LINES   CUST REQUESTE</v>
          </cell>
          <cell r="C72" t="str">
            <v>066-MO OPS ADMIN</v>
          </cell>
        </row>
        <row r="73">
          <cell r="A73" t="str">
            <v>0A228</v>
          </cell>
          <cell r="B73" t="str">
            <v>DIST SVCS-T&amp;D LINES  MEDIUM PRIORIT</v>
          </cell>
          <cell r="C73" t="str">
            <v>066-MO OPS ADMIN</v>
          </cell>
        </row>
        <row r="74">
          <cell r="A74" t="str">
            <v>0A229</v>
          </cell>
          <cell r="B74" t="str">
            <v>OTH UNIDENT DIST SVCS-T&amp;D LINES</v>
          </cell>
          <cell r="C74" t="str">
            <v>066-MO OPS ADMIN</v>
          </cell>
        </row>
        <row r="75">
          <cell r="A75" t="str">
            <v>0A230</v>
          </cell>
          <cell r="B75" t="str">
            <v>UEC MISC E46 LESS THAN 10K SYSMAINT</v>
          </cell>
          <cell r="C75" t="str">
            <v>066-MO OPS ADMIN</v>
          </cell>
        </row>
        <row r="76">
          <cell r="A76" t="str">
            <v>0A231</v>
          </cell>
          <cell r="B76" t="str">
            <v xml:space="preserve">DIST SVCS-T&amp;D LINES  CUST REQ WORK </v>
          </cell>
          <cell r="C76" t="str">
            <v>066-MO OPS ADMIN</v>
          </cell>
        </row>
        <row r="77">
          <cell r="A77" t="str">
            <v>0A232</v>
          </cell>
          <cell r="B77" t="str">
            <v>GAS SUPT G40 MAINS HIGH PR UEC</v>
          </cell>
          <cell r="C77" t="str">
            <v>0G3-GAS TECH SERVICES - UEC</v>
          </cell>
        </row>
        <row r="78">
          <cell r="A78" t="str">
            <v>0A233</v>
          </cell>
          <cell r="B78" t="str">
            <v>UEC MISC G40 LESS THAN 10K SYSMAINT</v>
          </cell>
          <cell r="C78" t="str">
            <v>066-MO OPS ADMIN</v>
          </cell>
        </row>
        <row r="79">
          <cell r="A79" t="str">
            <v>0A235</v>
          </cell>
          <cell r="B79" t="str">
            <v>GS G40 MAINS LESS THAN 10000 UEC</v>
          </cell>
          <cell r="C79" t="str">
            <v>0G3-GAS TECH SERVICES - UEC</v>
          </cell>
        </row>
        <row r="80">
          <cell r="A80" t="str">
            <v>0A248</v>
          </cell>
          <cell r="B80" t="str">
            <v>RELIABILITY-AUTOMATION DISTRIBUTION</v>
          </cell>
          <cell r="C80" t="str">
            <v>066-MO OPS ADMIN</v>
          </cell>
        </row>
        <row r="81">
          <cell r="A81" t="str">
            <v>0A290</v>
          </cell>
          <cell r="B81" t="str">
            <v>ALTON STORM</v>
          </cell>
          <cell r="C81" t="str">
            <v>014-ALTON DISTRICT</v>
          </cell>
        </row>
        <row r="82">
          <cell r="A82" t="str">
            <v>0A291</v>
          </cell>
          <cell r="B82" t="str">
            <v>ALTON - THUNDERSTORMS 5/8/03</v>
          </cell>
          <cell r="C82" t="str">
            <v>014-ALTON DISTRICT</v>
          </cell>
        </row>
        <row r="83">
          <cell r="A83" t="str">
            <v>0A292</v>
          </cell>
          <cell r="B83" t="str">
            <v>ALTON STORM</v>
          </cell>
          <cell r="C83" t="str">
            <v>014-ALTON DISTRICT</v>
          </cell>
        </row>
        <row r="84">
          <cell r="A84" t="str">
            <v>0A293</v>
          </cell>
          <cell r="B84" t="str">
            <v>ALTON STORM</v>
          </cell>
          <cell r="C84" t="str">
            <v>014-ALTON DISTRICT</v>
          </cell>
        </row>
        <row r="85">
          <cell r="A85" t="str">
            <v>0A294</v>
          </cell>
          <cell r="B85" t="str">
            <v>HIGH WINDS, SNOW COVERED TREES-ALTO</v>
          </cell>
          <cell r="C85" t="str">
            <v>066-MO OPS ADMIN</v>
          </cell>
        </row>
        <row r="86">
          <cell r="A86" t="str">
            <v>0A295</v>
          </cell>
          <cell r="B86" t="str">
            <v>ALTON STORM</v>
          </cell>
          <cell r="C86" t="str">
            <v>014-ALTON DISTRICT</v>
          </cell>
        </row>
        <row r="87">
          <cell r="A87" t="str">
            <v>0A390</v>
          </cell>
          <cell r="B87" t="str">
            <v>FRANKLIN-SEVERE THUNDERSTORMS/HIGH</v>
          </cell>
          <cell r="C87" t="str">
            <v>068-FRANKLIN DISTRICT</v>
          </cell>
        </row>
        <row r="88">
          <cell r="A88" t="str">
            <v>0A391</v>
          </cell>
          <cell r="B88" t="str">
            <v>FRANKLIN-HIGH WINDS/THUNDERSTORMS 0</v>
          </cell>
          <cell r="C88" t="str">
            <v>068-FRANKLIN DISTRICT</v>
          </cell>
        </row>
        <row r="89">
          <cell r="A89" t="str">
            <v>0A392</v>
          </cell>
          <cell r="B89" t="str">
            <v>FRANKLIN - TORNADO/THURNDERSTORMS/H</v>
          </cell>
          <cell r="C89" t="str">
            <v>068-FRANKLIN DISTRICT</v>
          </cell>
        </row>
        <row r="90">
          <cell r="A90" t="str">
            <v>0A393</v>
          </cell>
          <cell r="B90" t="str">
            <v>FRANKLIN - MAJOR STORM</v>
          </cell>
          <cell r="C90" t="str">
            <v>068-FRANKLIN DISTRICT</v>
          </cell>
        </row>
        <row r="91">
          <cell r="A91" t="str">
            <v>0A394</v>
          </cell>
          <cell r="B91" t="str">
            <v>FRANKLIN - SEVERE THUNDERSTORMS 06/</v>
          </cell>
          <cell r="C91" t="str">
            <v>068-FRANKLIN DISTRICT</v>
          </cell>
        </row>
        <row r="92">
          <cell r="A92" t="str">
            <v>0A395</v>
          </cell>
          <cell r="B92" t="str">
            <v>FRANKLIN - MAJOR STORM</v>
          </cell>
          <cell r="C92" t="str">
            <v>068-FRANKLIN DISTRICT</v>
          </cell>
        </row>
        <row r="93">
          <cell r="A93" t="str">
            <v>0A396</v>
          </cell>
          <cell r="B93" t="str">
            <v>FRANKLIN - MAJOR STORM</v>
          </cell>
          <cell r="C93" t="str">
            <v>068-FRANKLIN DISTRICT</v>
          </cell>
        </row>
        <row r="94">
          <cell r="A94" t="str">
            <v>0A397</v>
          </cell>
          <cell r="B94" t="str">
            <v>FRANKLIN - MAJOR STORM</v>
          </cell>
          <cell r="C94" t="str">
            <v>068-FRANKLIN DISTRICT</v>
          </cell>
        </row>
        <row r="95">
          <cell r="A95" t="str">
            <v>0A398</v>
          </cell>
          <cell r="B95" t="str">
            <v>SEVERS THUNDERSTORMS/LIGHTNING/HIGH</v>
          </cell>
          <cell r="C95" t="str">
            <v>068-FRANKLIN DISTRICT</v>
          </cell>
        </row>
        <row r="96">
          <cell r="A96" t="str">
            <v>0A399</v>
          </cell>
          <cell r="B96" t="str">
            <v>SEVERE THUNDERSTORMS/HIGH WINDS 08/</v>
          </cell>
          <cell r="C96" t="str">
            <v>068-FRANKLIN DISTRICT</v>
          </cell>
        </row>
        <row r="97">
          <cell r="A97" t="str">
            <v>0A401</v>
          </cell>
          <cell r="B97" t="str">
            <v>SWO - UE TRANS</v>
          </cell>
          <cell r="C97" t="str">
            <v>037-TRANSMISSION</v>
          </cell>
        </row>
        <row r="98">
          <cell r="A98" t="str">
            <v>0A490</v>
          </cell>
          <cell r="B98" t="str">
            <v>TRANSMISSION - SEVERE THUNDERSTORMS</v>
          </cell>
          <cell r="C98" t="str">
            <v>037-TRANSMISSION</v>
          </cell>
        </row>
        <row r="99">
          <cell r="A99" t="str">
            <v>0A491</v>
          </cell>
          <cell r="B99" t="str">
            <v xml:space="preserve">STRONG THUNDERSTORM/TORNADO3/11/06 </v>
          </cell>
          <cell r="C99" t="str">
            <v>037-TRANSMISSION</v>
          </cell>
        </row>
        <row r="100">
          <cell r="A100" t="str">
            <v>0A492</v>
          </cell>
          <cell r="B100" t="str">
            <v>TRANSMISSION - MISSOURI MAJOR STORM</v>
          </cell>
          <cell r="C100" t="str">
            <v>037-TRANSMISSION</v>
          </cell>
        </row>
        <row r="101">
          <cell r="A101" t="str">
            <v>0A493</v>
          </cell>
          <cell r="B101" t="str">
            <v>TRANSMISSION - MISSOURI MAJOR STORM</v>
          </cell>
          <cell r="C101" t="str">
            <v>037-TRANSMISSION</v>
          </cell>
        </row>
        <row r="102">
          <cell r="A102" t="str">
            <v>0A494</v>
          </cell>
          <cell r="B102" t="str">
            <v>TRANSMISSION - MISSOURI MAJOR STORM</v>
          </cell>
          <cell r="C102" t="str">
            <v>037-TRANSMISSION</v>
          </cell>
        </row>
        <row r="103">
          <cell r="A103" t="str">
            <v>0A495</v>
          </cell>
          <cell r="B103" t="str">
            <v>TRANSMISSION - MISSOURI MAJOR STORM</v>
          </cell>
          <cell r="C103" t="str">
            <v>037-TRANSMISSION</v>
          </cell>
        </row>
        <row r="104">
          <cell r="A104" t="str">
            <v>0A496</v>
          </cell>
          <cell r="B104" t="str">
            <v>TRANSMISSION - MISSOURI MAJOR STORM</v>
          </cell>
          <cell r="C104" t="str">
            <v>037-TRANSMISSION</v>
          </cell>
        </row>
        <row r="105">
          <cell r="A105" t="str">
            <v>0A497</v>
          </cell>
          <cell r="B105" t="str">
            <v>TRANSMISSION - MISSOURI MAJOR STORM</v>
          </cell>
          <cell r="C105" t="str">
            <v>037-TRANSMISSION</v>
          </cell>
        </row>
        <row r="106">
          <cell r="A106" t="str">
            <v>0A498</v>
          </cell>
          <cell r="B106" t="str">
            <v>TRANSMISSION-STORM/TORNADO, 05/06/2</v>
          </cell>
          <cell r="C106" t="str">
            <v>037-TRANSMISSION</v>
          </cell>
        </row>
        <row r="107">
          <cell r="A107" t="str">
            <v>0A499</v>
          </cell>
          <cell r="B107" t="str">
            <v>THUNDERSTORMS - TRANSMISSION 8/26/0</v>
          </cell>
          <cell r="C107" t="str">
            <v>037-TRANSMISSION</v>
          </cell>
        </row>
        <row r="108">
          <cell r="A108" t="str">
            <v>0A590</v>
          </cell>
          <cell r="B108" t="str">
            <v>ST CHARLES STORM</v>
          </cell>
          <cell r="C108" t="str">
            <v>069-ST CHARLES DISTRICT</v>
          </cell>
        </row>
        <row r="109">
          <cell r="A109" t="str">
            <v>0A591</v>
          </cell>
          <cell r="B109" t="str">
            <v>ST CHARLES-SEVERE THUNDERSTORMS 10/</v>
          </cell>
          <cell r="C109" t="str">
            <v>069-ST CHARLES DISTRICT</v>
          </cell>
        </row>
        <row r="110">
          <cell r="A110" t="str">
            <v>0A592</v>
          </cell>
          <cell r="B110" t="str">
            <v>ST CHARLES STORM</v>
          </cell>
          <cell r="C110" t="str">
            <v>069-ST CHARLES DISTRICT</v>
          </cell>
        </row>
        <row r="111">
          <cell r="A111" t="str">
            <v>0A593</v>
          </cell>
          <cell r="B111" t="str">
            <v>ST CHARLES-THUNDERSTORMS/WINDS 05/0</v>
          </cell>
          <cell r="C111" t="str">
            <v>069-ST CHARLES DISTRICT</v>
          </cell>
        </row>
        <row r="112">
          <cell r="A112" t="str">
            <v>0A594</v>
          </cell>
          <cell r="B112" t="str">
            <v>ST. CHARLES - SEVERE THUNDERSTORMS</v>
          </cell>
          <cell r="C112" t="str">
            <v>069-ST CHARLES DISTRICT</v>
          </cell>
        </row>
        <row r="113">
          <cell r="A113" t="str">
            <v>0A595</v>
          </cell>
          <cell r="B113" t="str">
            <v>ST CHARLES STORM</v>
          </cell>
          <cell r="C113" t="str">
            <v>069-ST CHARLES DISTRICT</v>
          </cell>
        </row>
        <row r="114">
          <cell r="A114" t="str">
            <v>0A596</v>
          </cell>
          <cell r="B114" t="str">
            <v>ST CHARLES STORM</v>
          </cell>
          <cell r="C114" t="str">
            <v>069-ST CHARLES DISTRICT</v>
          </cell>
        </row>
        <row r="115">
          <cell r="A115" t="str">
            <v>0A597</v>
          </cell>
          <cell r="B115" t="str">
            <v>ST CHARLES STORM</v>
          </cell>
          <cell r="C115" t="str">
            <v>069-ST CHARLES DISTRICT</v>
          </cell>
        </row>
        <row r="116">
          <cell r="A116" t="str">
            <v>0A598</v>
          </cell>
          <cell r="B116" t="str">
            <v>ST CHARLES STORM</v>
          </cell>
          <cell r="C116" t="str">
            <v>069-ST CHARLES DISTRICT</v>
          </cell>
        </row>
        <row r="117">
          <cell r="A117" t="str">
            <v>0A599</v>
          </cell>
          <cell r="B117" t="str">
            <v>ST CHARLES STORM</v>
          </cell>
          <cell r="C117" t="str">
            <v>069-ST CHARLES DISTRICT</v>
          </cell>
        </row>
        <row r="118">
          <cell r="A118" t="str">
            <v>0A690</v>
          </cell>
          <cell r="B118" t="str">
            <v>JEFFERSON-SEVERE WINDS/THUNDERSTORM</v>
          </cell>
          <cell r="C118" t="str">
            <v>070-JEFFERSON</v>
          </cell>
        </row>
        <row r="119">
          <cell r="A119" t="str">
            <v>0A691</v>
          </cell>
          <cell r="B119" t="str">
            <v>JEFFERSON STORM</v>
          </cell>
          <cell r="C119" t="str">
            <v>070-JEFFERSON</v>
          </cell>
        </row>
        <row r="120">
          <cell r="A120" t="str">
            <v>0A692</v>
          </cell>
          <cell r="B120" t="str">
            <v>JEFFERSON-THUNDERSTORMS/WINDS 05/06</v>
          </cell>
          <cell r="C120" t="str">
            <v>070-JEFFERSON</v>
          </cell>
        </row>
        <row r="121">
          <cell r="A121" t="str">
            <v>0A693</v>
          </cell>
          <cell r="B121" t="str">
            <v>JEFFERSON STORM</v>
          </cell>
          <cell r="C121" t="str">
            <v>070-JEFFERSON</v>
          </cell>
        </row>
        <row r="122">
          <cell r="A122" t="str">
            <v>0A694</v>
          </cell>
          <cell r="B122" t="str">
            <v>THUNDERSTORMS-POTENTIAL TORNADO,05/</v>
          </cell>
          <cell r="C122" t="str">
            <v>070-JEFFERSON</v>
          </cell>
        </row>
        <row r="123">
          <cell r="A123" t="str">
            <v>0A695</v>
          </cell>
          <cell r="B123" t="str">
            <v>JEFFERSON DISTRICT - THUNDERSTORMS</v>
          </cell>
          <cell r="C123" t="str">
            <v>070-JEFFERSON</v>
          </cell>
        </row>
        <row r="124">
          <cell r="A124" t="str">
            <v>0A696</v>
          </cell>
          <cell r="B124" t="str">
            <v>JEFFERSON STORM</v>
          </cell>
          <cell r="C124" t="str">
            <v>070-JEFFERSON</v>
          </cell>
        </row>
        <row r="125">
          <cell r="A125" t="str">
            <v>0A697</v>
          </cell>
          <cell r="B125" t="str">
            <v>JEFFERSON-SEVERE THUNDERSTORMS/HGH</v>
          </cell>
          <cell r="C125" t="str">
            <v>070-JEFFERSON</v>
          </cell>
        </row>
        <row r="126">
          <cell r="A126" t="str">
            <v>0A698</v>
          </cell>
          <cell r="B126" t="str">
            <v>JEFFERSON-THUNDERSTORMS/LIGHTENING</v>
          </cell>
          <cell r="C126" t="str">
            <v>070-JEFFERSON</v>
          </cell>
        </row>
        <row r="127">
          <cell r="A127" t="str">
            <v>0A699</v>
          </cell>
          <cell r="B127" t="str">
            <v>JEFFRSN-HGH WNDS/THUNDERSTORM,LIGHT</v>
          </cell>
          <cell r="C127" t="str">
            <v>070-JEFFERSON</v>
          </cell>
        </row>
        <row r="128">
          <cell r="A128" t="str">
            <v>0A790</v>
          </cell>
          <cell r="B128" t="str">
            <v>LAKESIDE - MAJOR STORM</v>
          </cell>
          <cell r="C128" t="str">
            <v>063-LAKESIDE DISTRICT</v>
          </cell>
        </row>
        <row r="129">
          <cell r="A129" t="str">
            <v>0A791</v>
          </cell>
          <cell r="B129" t="str">
            <v>LAKESIDE - MAJOR STORM</v>
          </cell>
          <cell r="C129" t="str">
            <v>063-LAKESIDE DISTRICT</v>
          </cell>
        </row>
        <row r="130">
          <cell r="A130" t="str">
            <v>0A792</v>
          </cell>
          <cell r="B130" t="str">
            <v>LAKESIDE-HIGH WINDS/LIGHTENING 5/6/</v>
          </cell>
          <cell r="C130" t="str">
            <v>063-LAKESIDE DISTRICT</v>
          </cell>
        </row>
        <row r="131">
          <cell r="A131" t="str">
            <v>0A793</v>
          </cell>
          <cell r="B131" t="str">
            <v>THUNDERSTORMS/LIGHTNING/HIGH WINDS</v>
          </cell>
          <cell r="C131" t="str">
            <v>063-LAKESIDE DISTRICT</v>
          </cell>
        </row>
        <row r="132">
          <cell r="A132" t="str">
            <v>0A794</v>
          </cell>
          <cell r="B132" t="str">
            <v>LAKESIDE (UE) - LIGHTNING STORM 08/</v>
          </cell>
          <cell r="C132" t="str">
            <v>063-LAKESIDE DISTRICT</v>
          </cell>
        </row>
        <row r="133">
          <cell r="A133" t="str">
            <v>0A795</v>
          </cell>
          <cell r="B133" t="str">
            <v>LAKESIDE (UE) - MAJOR SNOW STORM 03</v>
          </cell>
          <cell r="C133" t="str">
            <v>063-LAKESIDE DISTRICT</v>
          </cell>
        </row>
        <row r="134">
          <cell r="A134" t="str">
            <v>0A796</v>
          </cell>
          <cell r="B134" t="str">
            <v>LAKESIDE - MAJOR STORM</v>
          </cell>
          <cell r="C134" t="str">
            <v>063-LAKESIDE DISTRICT</v>
          </cell>
        </row>
        <row r="135">
          <cell r="A135" t="str">
            <v>0A797</v>
          </cell>
          <cell r="B135" t="str">
            <v>LAKESIDE - MAJOR STORM</v>
          </cell>
          <cell r="C135" t="str">
            <v>063-LAKESIDE DISTRICT</v>
          </cell>
        </row>
        <row r="136">
          <cell r="A136" t="str">
            <v>0A798</v>
          </cell>
          <cell r="B136" t="str">
            <v>SEVERE THUNDERSTORMS/HVY RAIN/HIGH</v>
          </cell>
          <cell r="C136" t="str">
            <v>063-LAKESIDE DISTRICT</v>
          </cell>
        </row>
        <row r="137">
          <cell r="A137" t="str">
            <v>0A799</v>
          </cell>
          <cell r="B137" t="str">
            <v>LAKESIDE - MAJOR STORM</v>
          </cell>
          <cell r="C137" t="str">
            <v>063-LAKESIDE DISTRICT</v>
          </cell>
        </row>
        <row r="138">
          <cell r="A138" t="str">
            <v>0A890</v>
          </cell>
          <cell r="B138" t="str">
            <v>ST FRANCOIS - MAJOR STORM</v>
          </cell>
          <cell r="C138" t="str">
            <v>071-ST. FRANCOIS</v>
          </cell>
        </row>
        <row r="139">
          <cell r="A139" t="str">
            <v>0A891</v>
          </cell>
          <cell r="B139" t="str">
            <v>ST FRANCOIS - MAJOR STORM</v>
          </cell>
          <cell r="C139" t="str">
            <v>071-ST. FRANCOIS</v>
          </cell>
        </row>
        <row r="140">
          <cell r="A140" t="str">
            <v>0A892</v>
          </cell>
          <cell r="B140" t="str">
            <v>ST FRANCOIS-HIGH WINDS/LIGHTENING 1</v>
          </cell>
          <cell r="C140" t="str">
            <v>071-ST. FRANCOIS</v>
          </cell>
        </row>
        <row r="141">
          <cell r="A141" t="str">
            <v>0A893</v>
          </cell>
          <cell r="B141" t="str">
            <v>ST FRANCOIS - MAJOR STORM</v>
          </cell>
          <cell r="C141" t="str">
            <v>071-ST. FRANCOIS</v>
          </cell>
        </row>
        <row r="142">
          <cell r="A142" t="str">
            <v>0A894</v>
          </cell>
          <cell r="B142" t="str">
            <v>ST FRANCOIS - HIGH WINDS/THUNDERSTO</v>
          </cell>
          <cell r="C142" t="str">
            <v>071-ST. FRANCOIS</v>
          </cell>
        </row>
        <row r="143">
          <cell r="A143" t="str">
            <v>0A895</v>
          </cell>
          <cell r="B143" t="str">
            <v>ST FRANCOIS-EXTREME COLD WEATHER</v>
          </cell>
          <cell r="C143" t="str">
            <v>071-ST. FRANCOIS</v>
          </cell>
        </row>
        <row r="144">
          <cell r="A144" t="str">
            <v>0A896</v>
          </cell>
          <cell r="B144" t="str">
            <v>ST FRANCOIS-SEVERE THUNDERSTORMS 5/</v>
          </cell>
          <cell r="C144" t="str">
            <v>071-ST. FRANCOIS</v>
          </cell>
        </row>
        <row r="145">
          <cell r="A145" t="str">
            <v>0A897</v>
          </cell>
          <cell r="B145" t="str">
            <v>ST FRANCOIS - MAJOR STORM</v>
          </cell>
          <cell r="C145" t="str">
            <v>071-ST. FRANCOIS</v>
          </cell>
        </row>
        <row r="146">
          <cell r="A146" t="str">
            <v>0A898</v>
          </cell>
          <cell r="B146" t="str">
            <v>THUNDERSTORMS-ST FRANCOIS/IRONTON 1</v>
          </cell>
          <cell r="C146" t="str">
            <v>071-ST. FRANCOIS</v>
          </cell>
        </row>
        <row r="147">
          <cell r="A147" t="str">
            <v>0A899</v>
          </cell>
          <cell r="B147" t="str">
            <v>ST FRANCOIS-HIGH WNDS/LTNG TNDRSTRM</v>
          </cell>
          <cell r="C147" t="str">
            <v>071-ST. FRANCOIS</v>
          </cell>
        </row>
        <row r="148">
          <cell r="A148" t="str">
            <v>0A990</v>
          </cell>
          <cell r="B148" t="str">
            <v>ST LOUIS CITY/COUNTY STORM</v>
          </cell>
          <cell r="C148" t="str">
            <v>066-MO OPS ADMIN</v>
          </cell>
        </row>
        <row r="149">
          <cell r="A149" t="str">
            <v>0A991</v>
          </cell>
          <cell r="B149" t="str">
            <v>ST. LOUIS-HIGH WINDS/THUNDERSTORMS</v>
          </cell>
          <cell r="C149" t="str">
            <v>066-MO OPS ADMIN</v>
          </cell>
        </row>
        <row r="150">
          <cell r="A150" t="str">
            <v>0A992</v>
          </cell>
          <cell r="B150" t="str">
            <v>ST LOUIS CITY/COUNTY STORM</v>
          </cell>
          <cell r="C150" t="str">
            <v>066-MO OPS ADMIN</v>
          </cell>
        </row>
        <row r="151">
          <cell r="A151" t="str">
            <v>0A993</v>
          </cell>
          <cell r="B151" t="str">
            <v>METRO - THUNDERSTORM/HIGH WINDS 5/1</v>
          </cell>
          <cell r="C151" t="str">
            <v>066-MO OPS ADMIN</v>
          </cell>
        </row>
        <row r="152">
          <cell r="A152" t="str">
            <v>0A994</v>
          </cell>
          <cell r="B152" t="str">
            <v>METRO ST LOUIS CITY/COUNTY THUNDERS</v>
          </cell>
          <cell r="C152" t="str">
            <v>066-MO OPS ADMIN</v>
          </cell>
        </row>
        <row r="153">
          <cell r="A153" t="str">
            <v>0A995</v>
          </cell>
          <cell r="B153" t="str">
            <v>THUNDERSTORMS-ST. LOUIS CITY/COUNTY</v>
          </cell>
          <cell r="C153" t="str">
            <v>066-MO OPS ADMIN</v>
          </cell>
        </row>
        <row r="154">
          <cell r="A154" t="str">
            <v>0A996</v>
          </cell>
          <cell r="B154" t="str">
            <v>ST. LOUIS CITY/COUNTY STORM</v>
          </cell>
          <cell r="C154" t="str">
            <v>066-MO OPS ADMIN</v>
          </cell>
        </row>
        <row r="155">
          <cell r="A155" t="str">
            <v>0A997</v>
          </cell>
          <cell r="B155" t="str">
            <v>ST LOUIS CITY/COUNTY STORM</v>
          </cell>
          <cell r="C155" t="str">
            <v>066-MO OPS ADMIN</v>
          </cell>
        </row>
        <row r="156">
          <cell r="A156" t="str">
            <v>0A998</v>
          </cell>
          <cell r="B156" t="str">
            <v>ST. LOUIS CITY/CO.- STORM</v>
          </cell>
          <cell r="C156" t="str">
            <v>066-MO OPS ADMIN</v>
          </cell>
        </row>
        <row r="157">
          <cell r="A157" t="str">
            <v>0A999</v>
          </cell>
          <cell r="B157" t="str">
            <v>MAJOR THUNDERSTORMS METRO ST. LOUIS</v>
          </cell>
          <cell r="C157" t="str">
            <v>066-MO OPS ADMIN</v>
          </cell>
        </row>
        <row r="158">
          <cell r="A158" t="str">
            <v>0B192</v>
          </cell>
          <cell r="B158" t="str">
            <v>LITTLE DIXIE-MAJOR ICE STORM-01/30/</v>
          </cell>
          <cell r="C158" t="str">
            <v>4MX-LITTLE DIXIE SUPPORT STAFF</v>
          </cell>
        </row>
        <row r="159">
          <cell r="A159" t="str">
            <v>0B292</v>
          </cell>
          <cell r="B159" t="str">
            <v>GREEN HILLS - TORNADO</v>
          </cell>
          <cell r="C159" t="str">
            <v>7KS-GREEN HILLS DIST SUPPORT</v>
          </cell>
        </row>
        <row r="160">
          <cell r="A160" t="str">
            <v>0B394</v>
          </cell>
          <cell r="B160" t="str">
            <v>HIGH WINDS/LIGHTNING 5/6/03</v>
          </cell>
          <cell r="C160" t="str">
            <v>5JS-CAPITAL DIST SUPPORT</v>
          </cell>
        </row>
        <row r="161">
          <cell r="A161" t="str">
            <v>0B395</v>
          </cell>
          <cell r="B161" t="str">
            <v>THUNDERSTORMS/LIGHTNING/HIGH WINDS</v>
          </cell>
          <cell r="C161" t="str">
            <v>5JS-CAPITAL DIST SUPPORT</v>
          </cell>
        </row>
        <row r="162">
          <cell r="A162" t="str">
            <v>0B590</v>
          </cell>
          <cell r="B162" t="str">
            <v xml:space="preserve">THUNDERSTORM&amp;HIGH WINDS SEMO3/9/06 </v>
          </cell>
          <cell r="C162" t="str">
            <v>0CS-SEMO SUPPORT STAFF</v>
          </cell>
        </row>
        <row r="163">
          <cell r="A163" t="str">
            <v>0B591</v>
          </cell>
          <cell r="B163" t="str">
            <v>STRONG THUNDERSTORMS/TORNADO3/11/06</v>
          </cell>
          <cell r="C163" t="str">
            <v>066-MO OPS ADMIN</v>
          </cell>
        </row>
        <row r="164">
          <cell r="A164" t="str">
            <v>0B592</v>
          </cell>
          <cell r="B164" t="str">
            <v>THUNDERSTORMS/HIGH WINDS 4/2/06</v>
          </cell>
          <cell r="C164" t="str">
            <v>0CS-SEMO SUPPORT STAFF</v>
          </cell>
        </row>
        <row r="165">
          <cell r="A165" t="str">
            <v>0B593</v>
          </cell>
          <cell r="B165" t="str">
            <v>MISSOURI UEC - HIGH WINDS 4/29/06</v>
          </cell>
          <cell r="C165" t="str">
            <v>0CS-SEMO SUPPORT STAFF</v>
          </cell>
        </row>
        <row r="166">
          <cell r="A166" t="str">
            <v>0B594</v>
          </cell>
          <cell r="B166" t="str">
            <v>MISSOURI UEC - THUNDERSTORM</v>
          </cell>
          <cell r="C166" t="str">
            <v>066-MO OPS ADMIN</v>
          </cell>
        </row>
        <row r="167">
          <cell r="A167" t="str">
            <v>0B595</v>
          </cell>
          <cell r="B167" t="str">
            <v>MISSOURI UEC STORMS</v>
          </cell>
          <cell r="C167" t="str">
            <v>066-MO OPS ADMIN</v>
          </cell>
        </row>
        <row r="168">
          <cell r="A168" t="str">
            <v>0B596</v>
          </cell>
          <cell r="B168" t="str">
            <v>MISSOURI UEC STORM</v>
          </cell>
          <cell r="C168" t="str">
            <v>066-MO OPS ADMIN</v>
          </cell>
        </row>
        <row r="169">
          <cell r="A169" t="str">
            <v>0B597</v>
          </cell>
          <cell r="B169" t="str">
            <v>MISSOURI UEC STORMS</v>
          </cell>
          <cell r="C169" t="str">
            <v>066-MO OPS ADMIN</v>
          </cell>
        </row>
        <row r="170">
          <cell r="A170" t="str">
            <v>0B598</v>
          </cell>
          <cell r="B170" t="str">
            <v>STORM UEC DISTRIBUTION</v>
          </cell>
          <cell r="C170" t="str">
            <v>066-MO OPS ADMIN</v>
          </cell>
        </row>
        <row r="171">
          <cell r="A171" t="str">
            <v>0B599</v>
          </cell>
          <cell r="B171" t="str">
            <v>MISSOURI MAJOR STORM</v>
          </cell>
          <cell r="C171" t="str">
            <v>066-MO OPS ADMIN</v>
          </cell>
        </row>
        <row r="172">
          <cell r="A172" t="str">
            <v>0K005</v>
          </cell>
          <cell r="B172" t="str">
            <v>EMPRV SALE TO AIR PRODUCTS CO.</v>
          </cell>
          <cell r="C172" t="str">
            <v>202-DEV - OPERATIONS</v>
          </cell>
        </row>
        <row r="173">
          <cell r="A173" t="str">
            <v>0K009</v>
          </cell>
          <cell r="B173" t="str">
            <v>SAUGET AREA CLEANUP</v>
          </cell>
          <cell r="C173" t="str">
            <v>49C-ESH - WATER</v>
          </cell>
        </row>
        <row r="174">
          <cell r="A174" t="str">
            <v>0K026</v>
          </cell>
          <cell r="B174" t="str">
            <v>COMPRESSED AIR SERVICES</v>
          </cell>
          <cell r="C174" t="str">
            <v>020-ED PRODUCTS &amp; SERVICES</v>
          </cell>
        </row>
        <row r="175">
          <cell r="A175" t="str">
            <v>0K028</v>
          </cell>
          <cell r="B175" t="str">
            <v>LAKE OZARK SHORELN MGMT</v>
          </cell>
          <cell r="C175" t="str">
            <v>061-REAL ESTATE</v>
          </cell>
        </row>
        <row r="176">
          <cell r="A176" t="str">
            <v>0K055</v>
          </cell>
          <cell r="B176" t="str">
            <v>POWER RELIABILITY</v>
          </cell>
          <cell r="C176" t="str">
            <v>020-ED PRODUCTS &amp; SERVICES</v>
          </cell>
        </row>
        <row r="177">
          <cell r="A177" t="str">
            <v>0K056</v>
          </cell>
          <cell r="B177" t="str">
            <v>ABACUS</v>
          </cell>
          <cell r="C177" t="str">
            <v>020-ED PRODUCTS &amp; SERVICES</v>
          </cell>
        </row>
        <row r="178">
          <cell r="A178" t="str">
            <v>0K060</v>
          </cell>
          <cell r="B178" t="str">
            <v>NUCLEAR STARTUP COSTS FOR ERC</v>
          </cell>
          <cell r="C178" t="str">
            <v>80V-NUCL - STARS</v>
          </cell>
        </row>
        <row r="179">
          <cell r="A179" t="str">
            <v>0K063</v>
          </cell>
          <cell r="B179" t="str">
            <v>ENERGY SERVICES</v>
          </cell>
          <cell r="C179" t="str">
            <v>020-ED PRODUCTS &amp; SERVICES</v>
          </cell>
        </row>
        <row r="180">
          <cell r="A180" t="str">
            <v>0K091</v>
          </cell>
          <cell r="B180" t="str">
            <v>UEC-MO ELECTRIC CUST RETAIL MGMT</v>
          </cell>
          <cell r="C180" t="str">
            <v>03W-CUSTOMER SERVICE-AMS</v>
          </cell>
        </row>
        <row r="181">
          <cell r="A181" t="str">
            <v>0K092</v>
          </cell>
          <cell r="B181" t="str">
            <v>TAYLORVILLE II LITIGATION (BRANNAN)</v>
          </cell>
          <cell r="C181" t="str">
            <v>024-LEGAL</v>
          </cell>
        </row>
        <row r="182">
          <cell r="A182" t="str">
            <v>0K116</v>
          </cell>
          <cell r="B182" t="str">
            <v>POSTCARD NOTIFICATION PER ICC</v>
          </cell>
          <cell r="C182" t="str">
            <v>02F-VEGETATION MGT-IL</v>
          </cell>
        </row>
        <row r="183">
          <cell r="A183" t="str">
            <v>0K140</v>
          </cell>
          <cell r="B183" t="str">
            <v>CONTRACT AERIAL PATROL - CIPS</v>
          </cell>
          <cell r="C183" t="str">
            <v>03C-TRANSMISSION-CIPS</v>
          </cell>
        </row>
        <row r="184">
          <cell r="A184" t="str">
            <v>0K143</v>
          </cell>
          <cell r="B184" t="str">
            <v>AERIAL INSP. OF TRANS LINES - UE</v>
          </cell>
          <cell r="C184" t="str">
            <v>037-TRANSMISSION</v>
          </cell>
        </row>
        <row r="185">
          <cell r="A185" t="str">
            <v>0K151</v>
          </cell>
          <cell r="B185" t="str">
            <v>UTILITY TAX SERVICE</v>
          </cell>
          <cell r="C185" t="str">
            <v>020-ED PRODUCTS &amp; SERVICES</v>
          </cell>
        </row>
        <row r="186">
          <cell r="A186" t="str">
            <v>0K152</v>
          </cell>
          <cell r="B186" t="str">
            <v>CUSTOMER ENERGY EXCHANGE</v>
          </cell>
          <cell r="C186" t="str">
            <v>020-ED PRODUCTS &amp; SERVICES</v>
          </cell>
        </row>
        <row r="187">
          <cell r="A187" t="str">
            <v>0K185</v>
          </cell>
          <cell r="B187" t="str">
            <v>NEW ZEALAND REFINING</v>
          </cell>
          <cell r="C187" t="str">
            <v>202-DEV - OPERATIONS</v>
          </cell>
        </row>
        <row r="188">
          <cell r="A188" t="str">
            <v>0K186</v>
          </cell>
          <cell r="B188" t="str">
            <v>POWER LINE COMMUNICATIONS</v>
          </cell>
          <cell r="C188" t="str">
            <v>020-ED PRODUCTS &amp; SERVICES</v>
          </cell>
        </row>
        <row r="189">
          <cell r="A189" t="str">
            <v>0K188</v>
          </cell>
          <cell r="B189" t="str">
            <v>CIP BUILDING MAINTENANCE</v>
          </cell>
          <cell r="C189" t="str">
            <v>07N-BUILDING SERVICES-IL</v>
          </cell>
        </row>
        <row r="190">
          <cell r="A190" t="str">
            <v>0K190</v>
          </cell>
          <cell r="B190" t="str">
            <v>ENPORION ON-GOING OPERATIONS</v>
          </cell>
          <cell r="C190" t="str">
            <v>060-SCP - PLANNING</v>
          </cell>
        </row>
        <row r="191">
          <cell r="A191" t="str">
            <v>0K207</v>
          </cell>
          <cell r="B191" t="str">
            <v>HIGH VOLTAGE MAINTENANCE FOR ERC</v>
          </cell>
          <cell r="C191" t="str">
            <v>020-ED PRODUCTS &amp; SERVICES</v>
          </cell>
        </row>
        <row r="192">
          <cell r="A192" t="str">
            <v>0K213</v>
          </cell>
          <cell r="B192" t="str">
            <v>WHITE &amp; BREWER LANDFILL</v>
          </cell>
          <cell r="C192" t="str">
            <v>024-LEGAL</v>
          </cell>
        </row>
        <row r="193">
          <cell r="A193" t="str">
            <v>0K214</v>
          </cell>
          <cell r="B193" t="str">
            <v>RELAY SYS PROT-FARMINGTON GEN.PROT.</v>
          </cell>
          <cell r="C193" t="str">
            <v>09E-ELECTRICAL ENGINEERING</v>
          </cell>
        </row>
        <row r="194">
          <cell r="A194" t="str">
            <v>0K215</v>
          </cell>
          <cell r="B194" t="str">
            <v>GALLATIN PROJECTDUE DILIGENCE COSTS</v>
          </cell>
          <cell r="C194" t="str">
            <v>087-FOSSIL FUELS</v>
          </cell>
        </row>
        <row r="195">
          <cell r="A195" t="str">
            <v>0K216</v>
          </cell>
          <cell r="B195" t="str">
            <v>CENTURY PRODUCTS DUE DILIGENCE COST</v>
          </cell>
          <cell r="C195" t="str">
            <v>087-FOSSIL FUELS</v>
          </cell>
        </row>
        <row r="196">
          <cell r="A196" t="str">
            <v>0K225</v>
          </cell>
          <cell r="B196" t="str">
            <v>JOINT VENTURE DUE DILIGENCE COSTS</v>
          </cell>
          <cell r="C196" t="str">
            <v>087-FOSSIL FUELS</v>
          </cell>
        </row>
        <row r="197">
          <cell r="A197" t="str">
            <v>0K236</v>
          </cell>
          <cell r="B197" t="str">
            <v>ON-LINE ENERGY AUDIT</v>
          </cell>
          <cell r="C197" t="str">
            <v>020-ED PRODUCTS &amp; SERVICES</v>
          </cell>
        </row>
        <row r="198">
          <cell r="A198" t="str">
            <v>0K237</v>
          </cell>
          <cell r="B198" t="str">
            <v>DC RECY POND REMED PRE-ENG &amp; H2O TR</v>
          </cell>
          <cell r="C198" t="str">
            <v>61A-DUCK CREEK PLANT GENERAL</v>
          </cell>
        </row>
        <row r="199">
          <cell r="A199" t="str">
            <v>0K238</v>
          </cell>
          <cell r="B199" t="str">
            <v>DC ENGRING &amp; PERMITTING-NPDES MODS</v>
          </cell>
          <cell r="C199" t="str">
            <v>61A-DUCK CREEK PLANT GENERAL</v>
          </cell>
        </row>
        <row r="200">
          <cell r="A200" t="str">
            <v>0K239</v>
          </cell>
          <cell r="B200" t="str">
            <v>COST TO COVER DC POND #2 (CLOSURE)</v>
          </cell>
          <cell r="C200" t="str">
            <v>61A-DUCK CREEK PLANT GENERAL</v>
          </cell>
        </row>
        <row r="201">
          <cell r="A201" t="str">
            <v>0K240</v>
          </cell>
          <cell r="B201" t="str">
            <v>DUCK CREEK POND #1 CLOSURE</v>
          </cell>
          <cell r="C201" t="str">
            <v>61A-DUCK CREEK PLANT GENERAL</v>
          </cell>
        </row>
        <row r="202">
          <cell r="A202" t="str">
            <v>0K243</v>
          </cell>
          <cell r="B202" t="str">
            <v>ERC NATURAL GAS EQUIP MAINTENANCE</v>
          </cell>
          <cell r="C202" t="str">
            <v>0G2-GAS TECH SERVICES - AMS</v>
          </cell>
        </row>
        <row r="203">
          <cell r="A203" t="str">
            <v>0K300</v>
          </cell>
          <cell r="B203" t="str">
            <v>REFRIGERATOR RECYCLING AND BOUNTY P</v>
          </cell>
          <cell r="C203" t="str">
            <v>020-ED PRODUCTS &amp; SERVICES</v>
          </cell>
        </row>
        <row r="204">
          <cell r="A204" t="str">
            <v>0K301</v>
          </cell>
          <cell r="B204" t="str">
            <v>CHANGE A LIGHT PROGRAM</v>
          </cell>
          <cell r="C204" t="str">
            <v>020-ED PRODUCTS &amp; SERVICES</v>
          </cell>
        </row>
        <row r="205">
          <cell r="A205" t="str">
            <v>0K302</v>
          </cell>
          <cell r="B205" t="str">
            <v>COMMERCIAL FACILITY ENERGY AUDIT PR</v>
          </cell>
          <cell r="C205" t="str">
            <v>020-ED PRODUCTS &amp; SERVICES</v>
          </cell>
        </row>
        <row r="206">
          <cell r="A206" t="str">
            <v>0K303</v>
          </cell>
          <cell r="B206" t="str">
            <v>SCHOOLS GOING SOLAR PROGRAM</v>
          </cell>
          <cell r="C206" t="str">
            <v>020-ED PRODUCTS &amp; SERVICES</v>
          </cell>
        </row>
        <row r="207">
          <cell r="A207" t="str">
            <v>0K306</v>
          </cell>
          <cell r="B207" t="str">
            <v>DC-ASH PONDS 1&amp;2 CLOSURE-ENG&amp;PERMIT</v>
          </cell>
          <cell r="C207" t="str">
            <v>61A-DUCK CREEK PLANT GENERAL</v>
          </cell>
        </row>
        <row r="208">
          <cell r="A208" t="str">
            <v>0K307</v>
          </cell>
          <cell r="B208" t="str">
            <v>DC RECYCLE POND REMED &amp; CLOSURE</v>
          </cell>
          <cell r="C208" t="str">
            <v>61A-DUCK CREEK PLANT GENERAL</v>
          </cell>
        </row>
        <row r="209">
          <cell r="A209" t="str">
            <v>0K308</v>
          </cell>
          <cell r="B209" t="str">
            <v>LN.1354- TAZ.-EAST.-RAISE POLE-IDOT</v>
          </cell>
          <cell r="C209" t="str">
            <v>09E-ELECTRICAL ENGINEERING</v>
          </cell>
        </row>
        <row r="210">
          <cell r="A210" t="str">
            <v>0K309</v>
          </cell>
          <cell r="B210" t="str">
            <v>GKN SUB SITE DEVELOPMENT</v>
          </cell>
          <cell r="C210" t="str">
            <v>09E-ELECTRICAL ENGINEERING</v>
          </cell>
        </row>
        <row r="211">
          <cell r="A211" t="str">
            <v>0K311</v>
          </cell>
          <cell r="B211" t="str">
            <v>PAY AS YOU SAVE</v>
          </cell>
          <cell r="C211" t="str">
            <v>020-ED PRODUCTS &amp; SERVICES</v>
          </cell>
        </row>
        <row r="212">
          <cell r="A212" t="str">
            <v>0K334</v>
          </cell>
          <cell r="B212" t="str">
            <v>RENEWABLE ENERGY RESEARCH AND DEVEL</v>
          </cell>
          <cell r="C212" t="str">
            <v>087-FOSSIL FUELS</v>
          </cell>
        </row>
        <row r="213">
          <cell r="A213" t="str">
            <v>0K345</v>
          </cell>
          <cell r="B213" t="str">
            <v>PAR-A-DICE TRANSM.LINE RELOC.STUDY</v>
          </cell>
          <cell r="C213" t="str">
            <v>09E-ELECTRICAL ENGINEERING</v>
          </cell>
        </row>
        <row r="214">
          <cell r="A214" t="str">
            <v>0K348</v>
          </cell>
          <cell r="B214" t="str">
            <v>PROJECT THERMOSTATS</v>
          </cell>
          <cell r="C214" t="str">
            <v>020-ED PRODUCTS &amp; SERVICES</v>
          </cell>
        </row>
        <row r="215">
          <cell r="A215" t="str">
            <v>0K349</v>
          </cell>
          <cell r="B215" t="str">
            <v>PROJECT LOW COST MEASURES</v>
          </cell>
          <cell r="C215" t="str">
            <v>020-ED PRODUCTS &amp; SERVICES</v>
          </cell>
        </row>
        <row r="216">
          <cell r="A216" t="str">
            <v>0K350</v>
          </cell>
          <cell r="B216" t="str">
            <v>PROJECT RESIDENTIAL FURNACES</v>
          </cell>
          <cell r="C216" t="str">
            <v>020-ED PRODUCTS &amp; SERVICES</v>
          </cell>
        </row>
        <row r="217">
          <cell r="A217" t="str">
            <v>0K351</v>
          </cell>
          <cell r="B217" t="str">
            <v>COMMERCIAL UTILIZATION EQUIPMENT</v>
          </cell>
          <cell r="C217" t="str">
            <v>020-ED PRODUCTS &amp; SERVICES</v>
          </cell>
        </row>
        <row r="218">
          <cell r="A218" t="str">
            <v>0K375</v>
          </cell>
          <cell r="B218" t="str">
            <v>LIGHTING &amp; AUDITS FOR ERC</v>
          </cell>
          <cell r="C218" t="str">
            <v>020-ED PRODUCTS &amp; SERVICES</v>
          </cell>
        </row>
        <row r="219">
          <cell r="A219" t="str">
            <v>0K376</v>
          </cell>
          <cell r="B219" t="str">
            <v>DIAGNOSIS FOR ERC</v>
          </cell>
          <cell r="C219" t="str">
            <v>020-ED PRODUCTS &amp; SERVICES</v>
          </cell>
        </row>
        <row r="220">
          <cell r="A220" t="str">
            <v>0K389</v>
          </cell>
          <cell r="B220" t="str">
            <v>NSR REQUEST AEG</v>
          </cell>
          <cell r="C220" t="str">
            <v>49A-ESH - AIR</v>
          </cell>
        </row>
        <row r="221">
          <cell r="A221" t="str">
            <v>0K390</v>
          </cell>
          <cell r="B221" t="str">
            <v>NSR REQUEST ARG</v>
          </cell>
          <cell r="C221" t="str">
            <v>49A-ESH - AIR</v>
          </cell>
        </row>
        <row r="222">
          <cell r="A222" t="str">
            <v>0K391</v>
          </cell>
          <cell r="B222" t="str">
            <v>BLDG OPER CERTIFICATION PROGRAM</v>
          </cell>
          <cell r="C222" t="str">
            <v>020-ED PRODUCTS &amp; SERVICES</v>
          </cell>
        </row>
        <row r="223">
          <cell r="A223" t="str">
            <v>0K394</v>
          </cell>
          <cell r="B223" t="str">
            <v>POTENTIAL NEW PRODUCTS AND SERVICES</v>
          </cell>
          <cell r="C223" t="str">
            <v>020-ED PRODUCTS &amp; SERVICES</v>
          </cell>
        </row>
        <row r="224">
          <cell r="A224" t="str">
            <v>0K396</v>
          </cell>
          <cell r="B224" t="str">
            <v>PIPELINE INTEGRITY - CIPS</v>
          </cell>
          <cell r="C224" t="str">
            <v>232-GDSS ADMIN</v>
          </cell>
        </row>
        <row r="225">
          <cell r="A225" t="str">
            <v>0K397</v>
          </cell>
          <cell r="B225" t="str">
            <v>PIPELINE INTEGRITY - UEC</v>
          </cell>
          <cell r="C225" t="str">
            <v>232-GDSS ADMIN</v>
          </cell>
        </row>
        <row r="226">
          <cell r="A226" t="str">
            <v>0K398</v>
          </cell>
          <cell r="B226" t="str">
            <v>PIPELINE INTEGRITY - CIL</v>
          </cell>
          <cell r="C226" t="str">
            <v>232-GDSS ADMIN</v>
          </cell>
        </row>
        <row r="227">
          <cell r="A227" t="str">
            <v>0K399</v>
          </cell>
          <cell r="B227" t="str">
            <v>PIPELINE INTEGRITY - IPC</v>
          </cell>
          <cell r="C227" t="str">
            <v>232-GDSS ADMIN</v>
          </cell>
        </row>
        <row r="228">
          <cell r="A228" t="str">
            <v>0K405</v>
          </cell>
          <cell r="B228" t="str">
            <v>MAINTENANCE OF POLES AND FIXTURES</v>
          </cell>
          <cell r="C228" t="str">
            <v>91H-TRANSMISSION - IPC</v>
          </cell>
        </row>
        <row r="229">
          <cell r="A229" t="str">
            <v>0K460</v>
          </cell>
          <cell r="B229" t="str">
            <v>Metrolink - Litigation Expenses</v>
          </cell>
          <cell r="C229" t="str">
            <v>09E-ELECTRICAL ENGINEERING</v>
          </cell>
        </row>
        <row r="230">
          <cell r="A230" t="str">
            <v>0K463</v>
          </cell>
          <cell r="B230" t="str">
            <v>RESIDENTIAL MARKET ASSESSMENT</v>
          </cell>
          <cell r="C230" t="str">
            <v>020-ED PRODUCTS &amp; SERVICES</v>
          </cell>
        </row>
        <row r="231">
          <cell r="A231" t="str">
            <v>0K465</v>
          </cell>
          <cell r="B231" t="str">
            <v>Costs Associated with Vernon</v>
          </cell>
          <cell r="C231" t="str">
            <v>91A-IL OPS ADMIN</v>
          </cell>
        </row>
        <row r="232">
          <cell r="A232" t="str">
            <v>0K466</v>
          </cell>
          <cell r="B232" t="str">
            <v>2006 AMERENUE ELEC/GAS RATE CASE</v>
          </cell>
          <cell r="C232" t="str">
            <v>024-LEGAL</v>
          </cell>
        </row>
        <row r="233">
          <cell r="A233" t="str">
            <v>0K471</v>
          </cell>
          <cell r="B233" t="str">
            <v>CTG ACQUISITION INTEGRATION</v>
          </cell>
          <cell r="C233" t="str">
            <v>012-CORPORATE PLANNING</v>
          </cell>
        </row>
        <row r="234">
          <cell r="A234" t="str">
            <v>0K472</v>
          </cell>
          <cell r="B234" t="str">
            <v>AMR Implementation IPC</v>
          </cell>
          <cell r="C234" t="str">
            <v>91A-IL OPS ADMIN</v>
          </cell>
        </row>
        <row r="235">
          <cell r="A235" t="str">
            <v>0K473</v>
          </cell>
          <cell r="B235" t="str">
            <v>AMR Implementation CIL</v>
          </cell>
          <cell r="C235" t="str">
            <v>91A-IL OPS ADMIN</v>
          </cell>
        </row>
        <row r="236">
          <cell r="A236" t="str">
            <v>0K474</v>
          </cell>
          <cell r="B236" t="str">
            <v>AMR Implementation CIP</v>
          </cell>
          <cell r="C236" t="str">
            <v>91A-IL OPS ADMIN</v>
          </cell>
        </row>
        <row r="237">
          <cell r="A237" t="str">
            <v>0K475</v>
          </cell>
          <cell r="B237" t="str">
            <v>LEED Incentive Grant and Training</v>
          </cell>
          <cell r="C237" t="str">
            <v>020-ED PRODUCTS &amp; SERVICES</v>
          </cell>
        </row>
        <row r="238">
          <cell r="A238" t="str">
            <v>0K476</v>
          </cell>
          <cell r="B238" t="str">
            <v>Champaign Mattis-Rpl Cap Bank Cans</v>
          </cell>
          <cell r="C238" t="str">
            <v>03D-SUB MTCE &amp; CONST-IL EAST</v>
          </cell>
        </row>
        <row r="239">
          <cell r="A239" t="str">
            <v>0K480</v>
          </cell>
          <cell r="B239" t="str">
            <v>L1556A - Relocate stub pole</v>
          </cell>
          <cell r="C239" t="str">
            <v>91H-TRANSMISSION - IPC</v>
          </cell>
        </row>
        <row r="240">
          <cell r="A240" t="str">
            <v>0K481</v>
          </cell>
          <cell r="B240" t="str">
            <v>St. Louis GOB Air Chase</v>
          </cell>
          <cell r="C240" t="str">
            <v>072-BUILDING SERVICES-MO</v>
          </cell>
        </row>
        <row r="241">
          <cell r="A241" t="str">
            <v>0K487</v>
          </cell>
          <cell r="B241" t="str">
            <v>24 INCH PIG REMOVAL</v>
          </cell>
          <cell r="C241" t="str">
            <v>0G4-GAS TECH SERVICES - CIL</v>
          </cell>
        </row>
        <row r="242">
          <cell r="A242" t="str">
            <v>0K494</v>
          </cell>
          <cell r="B242" t="str">
            <v>Lutesville Study-Est. for MISO-PJM</v>
          </cell>
          <cell r="C242" t="str">
            <v>09E-ELECTRICAL ENGINEERING</v>
          </cell>
        </row>
        <row r="243">
          <cell r="A243" t="str">
            <v>0K495</v>
          </cell>
          <cell r="B243" t="str">
            <v>Rising-Xfmr Rating Study - MISO</v>
          </cell>
          <cell r="C243" t="str">
            <v>09E-ELECTRICAL ENGINEERING</v>
          </cell>
        </row>
        <row r="244">
          <cell r="A244" t="str">
            <v>0K496</v>
          </cell>
          <cell r="B244" t="str">
            <v>MISO - IP04 and IP08 Facility Study</v>
          </cell>
          <cell r="C244" t="str">
            <v>09E-ELECTRICAL ENGINEERING</v>
          </cell>
        </row>
        <row r="245">
          <cell r="A245" t="str">
            <v>0K497</v>
          </cell>
          <cell r="B245" t="str">
            <v>MISO - IP03 Facility Study</v>
          </cell>
          <cell r="C245" t="str">
            <v>09E-ELECTRICAL ENGINEERING</v>
          </cell>
        </row>
        <row r="246">
          <cell r="A246" t="str">
            <v>0K498</v>
          </cell>
          <cell r="B246" t="str">
            <v>MISO - G515 Facility Study</v>
          </cell>
          <cell r="C246" t="str">
            <v>09E-ELECTRICAL ENGINEERING</v>
          </cell>
        </row>
        <row r="247">
          <cell r="A247" t="str">
            <v>0K499</v>
          </cell>
          <cell r="B247" t="str">
            <v>CUSTOMER TRAINING FOR ERC</v>
          </cell>
          <cell r="C247" t="str">
            <v>025-ED-CUSTOMER TRAINING</v>
          </cell>
        </row>
        <row r="248">
          <cell r="A248" t="str">
            <v>0K931</v>
          </cell>
          <cell r="B248" t="str">
            <v>SIOUX - PET COKE BLENDING STUDY</v>
          </cell>
          <cell r="C248" t="str">
            <v>09M-GENERATION PROJECT ENGINEERING</v>
          </cell>
        </row>
        <row r="249">
          <cell r="A249" t="str">
            <v>0K932</v>
          </cell>
          <cell r="B249" t="str">
            <v>S ALBION 345-138KV XFMR STUDY</v>
          </cell>
          <cell r="C249" t="str">
            <v>09E-ELECTRICAL ENGINEERING</v>
          </cell>
        </row>
        <row r="250">
          <cell r="A250" t="str">
            <v>0K934</v>
          </cell>
          <cell r="B250" t="str">
            <v>HUTSONVILLE REPOWERING STUDY</v>
          </cell>
          <cell r="C250" t="str">
            <v>09M-GENERATION PROJECT ENGINEERING</v>
          </cell>
        </row>
        <row r="251">
          <cell r="A251" t="str">
            <v>0K936</v>
          </cell>
          <cell r="B251" t="str">
            <v>VENICE REPOWERING STUDY</v>
          </cell>
          <cell r="C251" t="str">
            <v>09M-GENERATION PROJECT ENGINEERING</v>
          </cell>
        </row>
        <row r="252">
          <cell r="A252" t="str">
            <v>0K937</v>
          </cell>
          <cell r="B252" t="str">
            <v>ACCOUNT RELATIONSHIP MANAGEMENT</v>
          </cell>
          <cell r="C252" t="str">
            <v>03W-CUSTOMER SERVICE-AMS</v>
          </cell>
        </row>
        <row r="253">
          <cell r="A253" t="str">
            <v>0M234</v>
          </cell>
          <cell r="B253" t="str">
            <v>STARS</v>
          </cell>
          <cell r="C253" t="str">
            <v>80V-NUCL - STARS</v>
          </cell>
        </row>
        <row r="254">
          <cell r="A254" t="str">
            <v>0M414</v>
          </cell>
          <cell r="B254" t="str">
            <v>REFUEL MECHANICAL O&amp;M AND LABOR</v>
          </cell>
          <cell r="C254" t="str">
            <v>8LB-NUCL - MAINTENANCE MECHANICAL</v>
          </cell>
        </row>
        <row r="255">
          <cell r="A255" t="str">
            <v>0M453</v>
          </cell>
          <cell r="B255" t="str">
            <v>REFUEL ELECTRICAL O&amp;M AND LABOR</v>
          </cell>
          <cell r="C255" t="str">
            <v>8LA-NUCL - MAINTENANCE ELECTRICAL</v>
          </cell>
        </row>
        <row r="256">
          <cell r="A256" t="str">
            <v>0M463</v>
          </cell>
          <cell r="B256" t="str">
            <v>MAIN TURBINE-REFUEL OUTAGE</v>
          </cell>
          <cell r="C256" t="str">
            <v>88A-NUCL - ENG SYS - BOP</v>
          </cell>
        </row>
        <row r="257">
          <cell r="A257" t="str">
            <v>0P011</v>
          </cell>
          <cell r="B257" t="str">
            <v>OPERATIONS &amp; MAINTENANCE EXP.-TRAIN</v>
          </cell>
          <cell r="C257" t="str">
            <v>40E-GENERATION TRAIN &amp; DEV SRVCS</v>
          </cell>
        </row>
        <row r="258">
          <cell r="A258" t="str">
            <v>0P012</v>
          </cell>
          <cell r="B258" t="str">
            <v>GCMS TRVL ALLWNCE, MILEAGE EXP, UEC</v>
          </cell>
          <cell r="C258" t="str">
            <v>40A-GENERATION CONST MGMT SVCS</v>
          </cell>
        </row>
        <row r="259">
          <cell r="A259" t="str">
            <v>0P015</v>
          </cell>
          <cell r="B259" t="str">
            <v>PPM-LABOR EXP TRB MTC HDQTRS-UEC</v>
          </cell>
          <cell r="C259" t="str">
            <v>40A-GENERATION CONST MGMT SVCS</v>
          </cell>
        </row>
        <row r="260">
          <cell r="A260" t="str">
            <v>0P135</v>
          </cell>
          <cell r="B260" t="str">
            <v>VEN-CHIMNEY INSPECTIONS</v>
          </cell>
          <cell r="C260" t="str">
            <v>340-REGULATED CTG COMMON EXP</v>
          </cell>
        </row>
        <row r="261">
          <cell r="A261" t="str">
            <v>0P142</v>
          </cell>
          <cell r="B261" t="str">
            <v>LBD-REPAIR UNIT 3&amp;4 STACK</v>
          </cell>
          <cell r="C261" t="str">
            <v>83A-LABADIE PLANT GENERAL &amp; BUD</v>
          </cell>
        </row>
        <row r="262">
          <cell r="A262" t="str">
            <v>0P175</v>
          </cell>
          <cell r="B262" t="str">
            <v>LBD-REPAIR UNIT 1 STACK</v>
          </cell>
          <cell r="C262" t="str">
            <v>83A-LABADIE PLANT GENERAL &amp; BUD</v>
          </cell>
        </row>
        <row r="263">
          <cell r="A263" t="str">
            <v>0P194</v>
          </cell>
          <cell r="B263" t="str">
            <v>LBD-LABADIE-RECEIVING SUPPORT BEAMS</v>
          </cell>
          <cell r="C263" t="str">
            <v>83A-LABADIE PLANT GENERAL &amp; BUD</v>
          </cell>
        </row>
        <row r="264">
          <cell r="A264" t="str">
            <v>0P237</v>
          </cell>
          <cell r="B264" t="str">
            <v>MER-UNIT 3 STACK REPAIR</v>
          </cell>
          <cell r="C264" t="str">
            <v>79A-MERAMEC PLANT GENERAL &amp; BUD</v>
          </cell>
        </row>
        <row r="265">
          <cell r="A265" t="str">
            <v>0P238</v>
          </cell>
          <cell r="B265" t="str">
            <v>SIOUX-CYCLONE FRONT OVERHAULS, UNIT</v>
          </cell>
          <cell r="C265" t="str">
            <v>09M-GENERATION PROJECT ENGINEERING</v>
          </cell>
        </row>
        <row r="266">
          <cell r="A266" t="str">
            <v>0P261</v>
          </cell>
          <cell r="B266" t="str">
            <v>TAUM SAUK - SPHERICAL VALVE REPAIRS</v>
          </cell>
          <cell r="C266" t="str">
            <v>46A-TAUM SAUK PLANT GENERAL &amp; BUD</v>
          </cell>
        </row>
        <row r="267">
          <cell r="A267" t="str">
            <v>0P267</v>
          </cell>
          <cell r="B267" t="str">
            <v>SX-UNIT 2 STACK REPAIRS</v>
          </cell>
          <cell r="C267" t="str">
            <v>85A-SIOUX PLANT GENERAL &amp; BUD</v>
          </cell>
        </row>
        <row r="268">
          <cell r="A268" t="str">
            <v>0P269</v>
          </cell>
          <cell r="B268" t="str">
            <v>MER-UNIT 1&amp;2 STACK REPAIRS</v>
          </cell>
          <cell r="C268" t="str">
            <v>09M-GENERATION PROJECT ENGINEERING</v>
          </cell>
        </row>
        <row r="269">
          <cell r="A269" t="str">
            <v>0P272</v>
          </cell>
          <cell r="B269" t="str">
            <v>LBD-UNIT 2 STACK REPAIR</v>
          </cell>
          <cell r="C269" t="str">
            <v>09M-GENERATION PROJECT ENGINEERING</v>
          </cell>
        </row>
        <row r="270">
          <cell r="A270" t="str">
            <v>0P274</v>
          </cell>
          <cell r="B270" t="str">
            <v>SX-UNIT 1 STACK REPAIRS</v>
          </cell>
          <cell r="C270" t="str">
            <v>09M-GENERATION PROJECT ENGINEERING</v>
          </cell>
        </row>
        <row r="271">
          <cell r="A271" t="str">
            <v>0P277</v>
          </cell>
          <cell r="B271" t="str">
            <v>TAUM SAUK - SCADA MAINTENANCE</v>
          </cell>
          <cell r="C271" t="str">
            <v>46A-TAUM SAUK PLANT GENERAL &amp; BUD</v>
          </cell>
        </row>
        <row r="272">
          <cell r="A272" t="str">
            <v>0P286</v>
          </cell>
          <cell r="B272" t="str">
            <v>KEO - FUTURE DEVELOPMENT PIERS</v>
          </cell>
          <cell r="C272" t="str">
            <v>84A-KEOKUK PLANT GENERAL &amp; BUD</v>
          </cell>
        </row>
        <row r="273">
          <cell r="A273" t="str">
            <v>0P287</v>
          </cell>
          <cell r="B273" t="str">
            <v>OSAGE - 5 YEAR INSPECTION</v>
          </cell>
          <cell r="C273" t="str">
            <v>44A-OSAGE PLANT GENERAL &amp; BUD</v>
          </cell>
        </row>
        <row r="274">
          <cell r="A274" t="str">
            <v>0P295</v>
          </cell>
          <cell r="B274" t="str">
            <v>MER U1&amp;2 FLOOR DRAIN IMPROVEMENTS</v>
          </cell>
          <cell r="C274" t="str">
            <v>09M-GENERATION PROJECT ENGINEERING</v>
          </cell>
        </row>
        <row r="275">
          <cell r="A275" t="str">
            <v>0P300</v>
          </cell>
          <cell r="B275" t="str">
            <v>SX-REINSULATION OF BOILER</v>
          </cell>
          <cell r="C275" t="str">
            <v>85A-SIOUX PLANT GENERAL &amp; BUD</v>
          </cell>
        </row>
        <row r="276">
          <cell r="A276" t="str">
            <v>0P309</v>
          </cell>
          <cell r="B276" t="str">
            <v>RI-ROUTINE STACK MAINTENANCE</v>
          </cell>
          <cell r="C276" t="str">
            <v>09M-GENERATION PROJECT ENGINEERING</v>
          </cell>
        </row>
        <row r="277">
          <cell r="A277" t="str">
            <v>0P409</v>
          </cell>
          <cell r="B277" t="str">
            <v>SIOUX UNIT 1 RETUBE COLD SECT AIR H</v>
          </cell>
          <cell r="C277" t="str">
            <v>85A-SIOUX PLANT GENERAL &amp; BUD</v>
          </cell>
        </row>
        <row r="278">
          <cell r="A278" t="str">
            <v>0P410</v>
          </cell>
          <cell r="B278" t="str">
            <v>GC&amp;MS INDUSTRY MEMBERSHIPS</v>
          </cell>
          <cell r="C278" t="str">
            <v>40A-GENERATION CONST MGMT SVCS</v>
          </cell>
        </row>
        <row r="279">
          <cell r="A279" t="str">
            <v>0P415</v>
          </cell>
          <cell r="B279" t="str">
            <v>LBD - LABADIE FIRE RESTORATION PNTG</v>
          </cell>
          <cell r="C279" t="str">
            <v>83A-LABADIE PLANT GENERAL &amp; BUD</v>
          </cell>
        </row>
        <row r="280">
          <cell r="A280" t="str">
            <v>0P432</v>
          </cell>
          <cell r="B280" t="str">
            <v>MER-UNIT 4 STACK REPAIRS</v>
          </cell>
          <cell r="C280" t="str">
            <v>09M-GENERATION PROJECT ENGINEERING</v>
          </cell>
        </row>
        <row r="281">
          <cell r="A281" t="str">
            <v>0P435</v>
          </cell>
          <cell r="B281" t="str">
            <v>MER-UNIT 1 ACM REMOVAL &amp; REPAIR</v>
          </cell>
          <cell r="C281" t="str">
            <v>79A-MERAMEC PLANT GENERAL &amp; BUD</v>
          </cell>
        </row>
        <row r="282">
          <cell r="A282" t="str">
            <v>0P436</v>
          </cell>
          <cell r="B282" t="str">
            <v>MER-DEMAND &amp; WATT HOUR METER REPLAC</v>
          </cell>
          <cell r="C282" t="str">
            <v>79A-MERAMEC PLANT GENERAL &amp; BUD</v>
          </cell>
        </row>
        <row r="283">
          <cell r="A283" t="str">
            <v>0P437</v>
          </cell>
          <cell r="B283" t="str">
            <v>MER-UNIT 2 ACM REMOVAL &amp; REPAIR</v>
          </cell>
          <cell r="C283" t="str">
            <v>79A-MERAMEC PLANT GENERAL &amp; BUD</v>
          </cell>
        </row>
        <row r="284">
          <cell r="A284" t="str">
            <v>0P438</v>
          </cell>
          <cell r="B284" t="str">
            <v>MER-UNIT 3 ACM REVOVAL &amp; REPAIR</v>
          </cell>
          <cell r="C284" t="str">
            <v>79A-MERAMEC PLANT GENERAL &amp; BUD</v>
          </cell>
        </row>
        <row r="285">
          <cell r="A285" t="str">
            <v>0P451</v>
          </cell>
          <cell r="B285" t="str">
            <v>SX-OVERHAUL 1A,2B CIRCULATOR PUMPS</v>
          </cell>
          <cell r="C285" t="str">
            <v>85A-SIOUX PLANT GENERAL &amp; BUD</v>
          </cell>
        </row>
        <row r="286">
          <cell r="A286" t="str">
            <v>0P454</v>
          </cell>
          <cell r="B286" t="str">
            <v>SX-REPL. WATT HOUR &amp; PRINTING DEMAN</v>
          </cell>
          <cell r="C286" t="str">
            <v>85A-SIOUX PLANT GENERAL &amp; BUD</v>
          </cell>
        </row>
        <row r="287">
          <cell r="A287" t="str">
            <v>0P516</v>
          </cell>
          <cell r="B287" t="str">
            <v>MERAMEC - ASPHALT PLANT ENT. RD</v>
          </cell>
          <cell r="C287" t="str">
            <v>09M-GENERATION PROJECT ENGINEERING</v>
          </cell>
        </row>
        <row r="288">
          <cell r="A288" t="str">
            <v>0P519</v>
          </cell>
          <cell r="B288" t="str">
            <v>KEO-REPAIR DOWNSTREAM PIERS</v>
          </cell>
          <cell r="C288" t="str">
            <v>09M-GENERATION PROJECT ENGINEERING</v>
          </cell>
        </row>
        <row r="289">
          <cell r="A289" t="str">
            <v>0P526</v>
          </cell>
          <cell r="B289" t="str">
            <v>GC&amp;MS EMPLOYEE RECOGNITION</v>
          </cell>
          <cell r="C289" t="str">
            <v>40A-GENERATION CONST MGMT SVCS</v>
          </cell>
        </row>
        <row r="290">
          <cell r="A290" t="str">
            <v>0P527</v>
          </cell>
          <cell r="B290" t="str">
            <v>GC&amp;MS SAFETY EXPENSES</v>
          </cell>
          <cell r="C290" t="str">
            <v>40A-GENERATION CONST MGMT SVCS</v>
          </cell>
        </row>
        <row r="291">
          <cell r="A291" t="str">
            <v>0P568</v>
          </cell>
          <cell r="B291" t="str">
            <v>MER-UNIT 3 PRECIPITATOR MTC</v>
          </cell>
          <cell r="C291" t="str">
            <v>79A-MERAMEC PLANT GENERAL &amp; BUD</v>
          </cell>
        </row>
        <row r="292">
          <cell r="A292" t="str">
            <v>0P578</v>
          </cell>
          <cell r="B292" t="str">
            <v>SX U2 AIR HEATER HOT SIDE TUBESHEET</v>
          </cell>
          <cell r="C292" t="str">
            <v>09M-GENERATION PROJECT ENGINEERING</v>
          </cell>
        </row>
        <row r="293">
          <cell r="A293" t="str">
            <v>0P579</v>
          </cell>
          <cell r="B293" t="str">
            <v>OSAGE - SCADA CONSULTANTS</v>
          </cell>
          <cell r="C293" t="str">
            <v>44A-OSAGE PLANT GENERAL &amp; BUD</v>
          </cell>
        </row>
        <row r="294">
          <cell r="A294" t="str">
            <v>0P581</v>
          </cell>
          <cell r="B294" t="str">
            <v>OPERATOR - NEW EMPLOYEE TRAINING</v>
          </cell>
          <cell r="C294" t="str">
            <v>40E-GENERATION TRAIN &amp; DEV SRVCS</v>
          </cell>
        </row>
        <row r="295">
          <cell r="A295" t="str">
            <v>0P582</v>
          </cell>
          <cell r="B295" t="str">
            <v>ELECTRICAL - I&amp;C TRAINING</v>
          </cell>
          <cell r="C295" t="str">
            <v>40E-GENERATION TRAIN &amp; DEV SRVCS</v>
          </cell>
        </row>
        <row r="296">
          <cell r="A296" t="str">
            <v>0P583</v>
          </cell>
          <cell r="B296" t="str">
            <v>MAINTENANCE TRAINING</v>
          </cell>
          <cell r="C296" t="str">
            <v>40E-GENERATION TRAIN &amp; DEV SRVCS</v>
          </cell>
        </row>
        <row r="297">
          <cell r="A297" t="str">
            <v>0P600</v>
          </cell>
          <cell r="B297" t="str">
            <v>RUSH ISLAND UNIT 1 OUTAGE CONTRACT</v>
          </cell>
          <cell r="C297" t="str">
            <v>78A-RUSH ISLAND PLANT GENERAL &amp; BUD</v>
          </cell>
        </row>
        <row r="298">
          <cell r="A298" t="str">
            <v>0P602</v>
          </cell>
          <cell r="B298" t="str">
            <v>LBD-U1 MBO CONTRACT MTC</v>
          </cell>
          <cell r="C298" t="str">
            <v>83A-LABADIE PLANT GENERAL &amp; BUD</v>
          </cell>
        </row>
        <row r="299">
          <cell r="A299" t="str">
            <v>0P603</v>
          </cell>
          <cell r="B299" t="str">
            <v>LBD-U2 MBO CONTRACT MTC</v>
          </cell>
          <cell r="C299" t="str">
            <v>83A-LABADIE PLANT GENERAL &amp; BUD</v>
          </cell>
        </row>
        <row r="300">
          <cell r="A300" t="str">
            <v>0P605</v>
          </cell>
          <cell r="B300" t="str">
            <v>LBD-U4 MBO CONTRACT MTC</v>
          </cell>
          <cell r="C300" t="str">
            <v>83A-LABADIE PLANT GENERAL &amp; BUD</v>
          </cell>
        </row>
        <row r="301">
          <cell r="A301" t="str">
            <v>0P606</v>
          </cell>
          <cell r="B301" t="str">
            <v>SIOUX UNIT 1 OUTAGE CONTRACT MTCE.</v>
          </cell>
          <cell r="C301" t="str">
            <v>85A-SIOUX PLANT GENERAL &amp; BUD</v>
          </cell>
        </row>
        <row r="302">
          <cell r="A302" t="str">
            <v>0P607</v>
          </cell>
          <cell r="B302" t="str">
            <v>SIOUX UNIT 2 OUTAGE CONTRACT MTCE.</v>
          </cell>
          <cell r="C302" t="str">
            <v>85A-SIOUX PLANT GENERAL &amp; BUD</v>
          </cell>
        </row>
        <row r="303">
          <cell r="A303" t="str">
            <v>0P609</v>
          </cell>
          <cell r="B303" t="str">
            <v>MER-UNIT 3 OUTAGE CONTRACT MTCE</v>
          </cell>
          <cell r="C303" t="str">
            <v>79A-MERAMEC PLANT GENERAL &amp; BUD</v>
          </cell>
        </row>
        <row r="304">
          <cell r="A304" t="str">
            <v>0P610</v>
          </cell>
          <cell r="B304" t="str">
            <v>MER-UNIT 4 OUTAGE CONTRACT MTCE</v>
          </cell>
          <cell r="C304" t="str">
            <v>79A-MERAMEC PLANT GENERAL &amp; BUD</v>
          </cell>
        </row>
        <row r="305">
          <cell r="A305" t="str">
            <v>0P661</v>
          </cell>
          <cell r="B305" t="str">
            <v>SIOUX UNIT 1 &amp; 2 GR AND GT DUCTWORK</v>
          </cell>
          <cell r="C305" t="str">
            <v>09M-GENERATION PROJECT ENGINEERING</v>
          </cell>
        </row>
        <row r="306">
          <cell r="A306" t="str">
            <v>0P666</v>
          </cell>
          <cell r="B306" t="str">
            <v>TS STEEL LINER TUNNEL REPAIRS</v>
          </cell>
          <cell r="C306" t="str">
            <v>09M-GENERATION PROJECT ENGINEERING</v>
          </cell>
        </row>
        <row r="307">
          <cell r="A307" t="str">
            <v>0P672</v>
          </cell>
          <cell r="B307" t="str">
            <v>UNIT OVERHAUL - SIOUX BOILER 2</v>
          </cell>
          <cell r="C307" t="str">
            <v>85A-SIOUX PLANT GENERAL &amp; BUD</v>
          </cell>
        </row>
        <row r="308">
          <cell r="A308" t="str">
            <v>0P725</v>
          </cell>
          <cell r="B308" t="str">
            <v>RI SILO FILL DUST SEALS REPL</v>
          </cell>
          <cell r="C308" t="str">
            <v>09M-GENERATION PROJECT ENGINEERING</v>
          </cell>
        </row>
        <row r="309">
          <cell r="A309" t="str">
            <v>0P739</v>
          </cell>
          <cell r="B309" t="str">
            <v>CTG - EXP FOR MO SITES NOT PENO, HB</v>
          </cell>
          <cell r="C309" t="str">
            <v>340-REGULATED CTG COMMON EXP</v>
          </cell>
        </row>
        <row r="310">
          <cell r="A310" t="str">
            <v>0P740</v>
          </cell>
          <cell r="B310" t="str">
            <v>MER-MISC. ACM REMOVAL AND REPAIR</v>
          </cell>
          <cell r="C310" t="str">
            <v>79A-MERAMEC PLANT GENERAL &amp; BUD</v>
          </cell>
        </row>
        <row r="311">
          <cell r="A311" t="str">
            <v>0P749</v>
          </cell>
          <cell r="B311" t="str">
            <v>OSA - DISSOLVED OXY IMPROVEMENT</v>
          </cell>
          <cell r="C311" t="str">
            <v>44A-OSAGE PLANT GENERAL &amp; BUD</v>
          </cell>
        </row>
        <row r="312">
          <cell r="A312" t="str">
            <v>0P774</v>
          </cell>
          <cell r="B312" t="str">
            <v>CTG - MISC EXPENSES FOR  PENO CREEK</v>
          </cell>
          <cell r="C312" t="str">
            <v>340-REGULATED CTG COMMON EXP</v>
          </cell>
        </row>
        <row r="313">
          <cell r="A313" t="str">
            <v>0P781</v>
          </cell>
          <cell r="B313" t="str">
            <v>MERAMEC 4A &amp; B GSU OVERHAUL</v>
          </cell>
          <cell r="C313" t="str">
            <v>09M-GENERATION PROJECT ENGINEERING</v>
          </cell>
        </row>
        <row r="314">
          <cell r="A314" t="str">
            <v>0P789</v>
          </cell>
          <cell r="B314" t="str">
            <v>MER-UNIT 3 BOILER CONDITION ASSESSM</v>
          </cell>
          <cell r="C314" t="str">
            <v>79A-MERAMEC PLANT GENERAL &amp; BUD</v>
          </cell>
        </row>
        <row r="315">
          <cell r="A315" t="str">
            <v>0P794</v>
          </cell>
          <cell r="B315" t="str">
            <v>GC&amp;MS CONFERENCES, SEMINARS, AND TR</v>
          </cell>
          <cell r="C315" t="str">
            <v>40A-GENERATION CONST MGMT SVCS</v>
          </cell>
        </row>
        <row r="316">
          <cell r="A316" t="str">
            <v>0P839</v>
          </cell>
          <cell r="B316" t="str">
            <v>GC &amp; MS BOILER TUBE FAILURE REDUCTI</v>
          </cell>
          <cell r="C316" t="str">
            <v>40A-GENERATION CONST MGMT SVCS</v>
          </cell>
        </row>
        <row r="317">
          <cell r="A317" t="str">
            <v>0P841</v>
          </cell>
          <cell r="B317" t="str">
            <v>GC&amp;MS TRB-GEN RELIABILITY</v>
          </cell>
          <cell r="C317" t="str">
            <v>40A-GENERATION CONST MGMT SVCS</v>
          </cell>
        </row>
        <row r="318">
          <cell r="A318" t="str">
            <v>0P870</v>
          </cell>
          <cell r="B318" t="str">
            <v>KEOKUK - ALIGNMENT/MOVEMENT SURVEY</v>
          </cell>
          <cell r="C318" t="str">
            <v>84A-KEOKUK PLANT GENERAL &amp; BUD</v>
          </cell>
        </row>
        <row r="319">
          <cell r="A319" t="str">
            <v>0P871</v>
          </cell>
          <cell r="B319" t="str">
            <v>SX U1 CYCLONE FRONT OBSTRUCT. RELOC</v>
          </cell>
          <cell r="C319" t="str">
            <v>09M-GENERATION PROJECT ENGINEERING</v>
          </cell>
        </row>
        <row r="320">
          <cell r="A320" t="str">
            <v>0P873</v>
          </cell>
          <cell r="B320" t="str">
            <v>SX-PRECIP PLATE/WIRE REPLACEMENTS</v>
          </cell>
          <cell r="C320" t="str">
            <v>85A-SIOUX PLANT GENERAL &amp; BUD</v>
          </cell>
        </row>
        <row r="321">
          <cell r="A321" t="str">
            <v>0P879</v>
          </cell>
          <cell r="B321" t="str">
            <v>E &amp; C DRAFTING FOR POWER PLANTS--LA</v>
          </cell>
          <cell r="C321" t="str">
            <v>09M-GENERATION PROJECT ENGINEERING</v>
          </cell>
        </row>
        <row r="322">
          <cell r="A322" t="str">
            <v>0P881</v>
          </cell>
          <cell r="B322" t="str">
            <v>MER-E &amp; C DRAFTING FOR POWER PLANTS</v>
          </cell>
          <cell r="C322" t="str">
            <v>09M-GENERATION PROJECT ENGINEERING</v>
          </cell>
        </row>
        <row r="323">
          <cell r="A323" t="str">
            <v>0P882</v>
          </cell>
          <cell r="B323" t="str">
            <v>E &amp; C DRAFTING FOR POWER PLANTS--SI</v>
          </cell>
          <cell r="C323" t="str">
            <v>09M-GENERATION PROJECT ENGINEERING</v>
          </cell>
        </row>
        <row r="324">
          <cell r="A324" t="str">
            <v>0P883</v>
          </cell>
          <cell r="B324" t="str">
            <v>E &amp; C DRAFTING FOR POWER PLANTS--RU</v>
          </cell>
          <cell r="C324" t="str">
            <v>09M-GENERATION PROJECT ENGINEERING</v>
          </cell>
        </row>
        <row r="325">
          <cell r="A325" t="str">
            <v>0P885</v>
          </cell>
          <cell r="B325" t="str">
            <v>KEO GENERATOR RELAY PROTECTION UPGR</v>
          </cell>
          <cell r="C325" t="str">
            <v>09M-GENERATION PROJECT ENGINEERING</v>
          </cell>
        </row>
        <row r="326">
          <cell r="A326" t="str">
            <v>0P887</v>
          </cell>
          <cell r="B326" t="str">
            <v>TS - OUTAGE CONTRACT WORK</v>
          </cell>
          <cell r="C326" t="str">
            <v>09M-GENERATION PROJECT ENGINEERING</v>
          </cell>
        </row>
        <row r="327">
          <cell r="A327" t="str">
            <v>0P945</v>
          </cell>
          <cell r="B327" t="str">
            <v>GTSS PLANT EMERGENCY MANNING CONTIN</v>
          </cell>
          <cell r="C327" t="str">
            <v>40E-GENERATION TRAIN &amp; DEV SRVCS</v>
          </cell>
        </row>
        <row r="328">
          <cell r="A328" t="str">
            <v>0P975</v>
          </cell>
          <cell r="B328" t="str">
            <v>KEOKUK-SPILLWAY SILL REPAIRS</v>
          </cell>
          <cell r="C328" t="str">
            <v>09M-GENERATION PROJECT ENGINEERING</v>
          </cell>
        </row>
        <row r="329">
          <cell r="A329" t="str">
            <v>0P977</v>
          </cell>
          <cell r="B329" t="str">
            <v>KEOKUK - SOFTWARE AND TECH SERVICES</v>
          </cell>
          <cell r="C329" t="str">
            <v>84A-KEOKUK PLANT GENERAL &amp; BUD</v>
          </cell>
        </row>
        <row r="330">
          <cell r="A330" t="str">
            <v>0PL1B</v>
          </cell>
          <cell r="B330" t="str">
            <v>LBD-U1 MBO MTC COST</v>
          </cell>
          <cell r="C330" t="str">
            <v>83A-LABADIE PLANT GENERAL &amp; BUD</v>
          </cell>
        </row>
        <row r="331">
          <cell r="A331" t="str">
            <v>0PL1T</v>
          </cell>
          <cell r="B331" t="str">
            <v>LBD-U1 TRB GEN OVHL</v>
          </cell>
          <cell r="C331" t="str">
            <v>40D-GENERATION MAINT ENG</v>
          </cell>
        </row>
        <row r="332">
          <cell r="A332" t="str">
            <v>0PL2B</v>
          </cell>
          <cell r="B332" t="str">
            <v>LBD-U2 MBO MTC COST</v>
          </cell>
          <cell r="C332" t="str">
            <v>83A-LABADIE PLANT GENERAL &amp; BUD</v>
          </cell>
        </row>
        <row r="333">
          <cell r="A333" t="str">
            <v>0PL2T</v>
          </cell>
          <cell r="B333" t="str">
            <v>LBD-U2 TRB GEN OVHL</v>
          </cell>
          <cell r="C333" t="str">
            <v>40D-GENERATION MAINT ENG</v>
          </cell>
        </row>
        <row r="334">
          <cell r="A334" t="str">
            <v>0PL3B</v>
          </cell>
          <cell r="B334" t="str">
            <v>LBD-U3 MBO MTC COST</v>
          </cell>
          <cell r="C334" t="str">
            <v>83A-LABADIE PLANT GENERAL &amp; BUD</v>
          </cell>
        </row>
        <row r="335">
          <cell r="A335" t="str">
            <v>0PL3T</v>
          </cell>
          <cell r="B335" t="str">
            <v>LBD-U3 TRB GEN OVHL</v>
          </cell>
          <cell r="C335" t="str">
            <v>40D-GENERATION MAINT ENG</v>
          </cell>
        </row>
        <row r="336">
          <cell r="A336" t="str">
            <v>0PL4B</v>
          </cell>
          <cell r="B336" t="str">
            <v>LBD-U4 MBO MTC COST</v>
          </cell>
          <cell r="C336" t="str">
            <v>83A-LABADIE PLANT GENERAL &amp; BUD</v>
          </cell>
        </row>
        <row r="337">
          <cell r="A337" t="str">
            <v>0PL4T</v>
          </cell>
          <cell r="B337" t="str">
            <v>LBD-U4 TRB GEN OVHL</v>
          </cell>
          <cell r="C337" t="str">
            <v>40D-GENERATION MAINT ENG</v>
          </cell>
        </row>
        <row r="338">
          <cell r="A338" t="str">
            <v>0PM1B</v>
          </cell>
          <cell r="B338" t="str">
            <v>MER-UNIT 1 BOILER OVERHAUL (GCMS)</v>
          </cell>
          <cell r="C338" t="str">
            <v>79A-MERAMEC PLANT GENERAL &amp; BUD</v>
          </cell>
        </row>
        <row r="339">
          <cell r="A339" t="str">
            <v>0PM1T</v>
          </cell>
          <cell r="B339" t="str">
            <v>MER-U1 TRB GEN OVHL</v>
          </cell>
          <cell r="C339" t="str">
            <v>40D-GENERATION MAINT ENG</v>
          </cell>
        </row>
        <row r="340">
          <cell r="A340" t="str">
            <v>0PM2B</v>
          </cell>
          <cell r="B340" t="str">
            <v>MER-UNIT 2 BOILER OVERHAUL (GCMS)</v>
          </cell>
          <cell r="C340" t="str">
            <v>79A-MERAMEC PLANT GENERAL &amp; BUD</v>
          </cell>
        </row>
        <row r="341">
          <cell r="A341" t="str">
            <v>0PM2T</v>
          </cell>
          <cell r="B341" t="str">
            <v>MER-U2 TRB GEN OVHL</v>
          </cell>
          <cell r="C341" t="str">
            <v>40D-GENERATION MAINT ENG</v>
          </cell>
        </row>
        <row r="342">
          <cell r="A342" t="str">
            <v>0PM3B</v>
          </cell>
          <cell r="B342" t="str">
            <v>MER-UNIT 3 BOILER OVERHAUL (GCMS)</v>
          </cell>
          <cell r="C342" t="str">
            <v>79A-MERAMEC PLANT GENERAL &amp; BUD</v>
          </cell>
        </row>
        <row r="343">
          <cell r="A343" t="str">
            <v>0PM3T</v>
          </cell>
          <cell r="B343" t="str">
            <v>MER-U3 TRB GEN OVHL</v>
          </cell>
          <cell r="C343" t="str">
            <v>40D-GENERATION MAINT ENG</v>
          </cell>
        </row>
        <row r="344">
          <cell r="A344" t="str">
            <v>0PM4B</v>
          </cell>
          <cell r="B344" t="str">
            <v>MER-UNIT 4 BOILER OVERHAUL (GCMS)</v>
          </cell>
          <cell r="C344" t="str">
            <v>79A-MERAMEC PLANT GENERAL &amp; BUD</v>
          </cell>
        </row>
        <row r="345">
          <cell r="A345" t="str">
            <v>0PM4T</v>
          </cell>
          <cell r="B345" t="str">
            <v>MER-U4 TRB GEN OVHL</v>
          </cell>
          <cell r="C345" t="str">
            <v>40D-GENERATION MAINT ENG</v>
          </cell>
        </row>
        <row r="346">
          <cell r="A346" t="str">
            <v>0PR1B</v>
          </cell>
          <cell r="B346" t="str">
            <v>RI-UINT OVERHAUL - RUSH ISLAND BOIL</v>
          </cell>
          <cell r="C346" t="str">
            <v>78A-RUSH ISLAND PLANT GENERAL &amp; BUD</v>
          </cell>
        </row>
        <row r="347">
          <cell r="A347" t="str">
            <v>0PR1T</v>
          </cell>
          <cell r="B347" t="str">
            <v>RI-U1 TRB GEN OVHL</v>
          </cell>
          <cell r="C347" t="str">
            <v>40D-GENERATION MAINT ENG</v>
          </cell>
        </row>
        <row r="348">
          <cell r="A348" t="str">
            <v>0PR2B</v>
          </cell>
          <cell r="B348" t="str">
            <v>RI-UNIT OVERHAUL - RUSH ISLAND BOIL</v>
          </cell>
          <cell r="C348" t="str">
            <v>78C-RUSH ISLAND PLANT MAINTENANCE</v>
          </cell>
        </row>
        <row r="349">
          <cell r="A349" t="str">
            <v>0PR2T</v>
          </cell>
          <cell r="B349" t="str">
            <v>RI-U2 TRB GEN OVHL</v>
          </cell>
          <cell r="C349" t="str">
            <v>40D-GENERATION MAINT ENG</v>
          </cell>
        </row>
        <row r="350">
          <cell r="A350" t="str">
            <v>0PS1B</v>
          </cell>
          <cell r="B350" t="str">
            <v>SX-UNIT OVERHAUL - SIOUX BOILER #1</v>
          </cell>
          <cell r="C350" t="str">
            <v>85A-SIOUX PLANT GENERAL &amp; BUD</v>
          </cell>
        </row>
        <row r="351">
          <cell r="A351" t="str">
            <v>0PS1T</v>
          </cell>
          <cell r="B351" t="str">
            <v>SX-U1 TRB GEN OVHL</v>
          </cell>
          <cell r="C351" t="str">
            <v>40D-GENERATION MAINT ENG</v>
          </cell>
        </row>
        <row r="352">
          <cell r="A352" t="str">
            <v>0PS2B</v>
          </cell>
          <cell r="B352" t="str">
            <v>SX-UNIT OVERHAUL - SIOUX BOILER #2</v>
          </cell>
          <cell r="C352" t="str">
            <v>85A-SIOUX PLANT GENERAL &amp; BUD</v>
          </cell>
        </row>
        <row r="353">
          <cell r="A353" t="str">
            <v>0PS2T</v>
          </cell>
          <cell r="B353" t="str">
            <v>SX-U2 TRB GEN OVHL</v>
          </cell>
          <cell r="C353" t="str">
            <v>40D-GENERATION MAINT ENG</v>
          </cell>
        </row>
        <row r="354">
          <cell r="A354" t="str">
            <v>0W665</v>
          </cell>
          <cell r="B354" t="str">
            <v>U-1 LP TURBINE INSPECTION WROTOR BO</v>
          </cell>
          <cell r="C354" t="str">
            <v>NAD-NEWTON - TRAINING &amp; BENEFIT ADM</v>
          </cell>
        </row>
        <row r="355">
          <cell r="A355" t="str">
            <v>0W670</v>
          </cell>
          <cell r="B355" t="str">
            <v>2005 U1 MAJOR OUTAGE BOILER REPAIRS</v>
          </cell>
          <cell r="C355" t="str">
            <v>NAD-NEWTON - TRAINING &amp; BENEFIT ADM</v>
          </cell>
        </row>
        <row r="356">
          <cell r="A356">
            <v>10026</v>
          </cell>
          <cell r="B356" t="str">
            <v>LBD COAL SAMPLING &amp; ECONOM DRY FLY</v>
          </cell>
          <cell r="C356" t="str">
            <v>09M-GENERATION PROJECT ENGINEERING</v>
          </cell>
        </row>
        <row r="357">
          <cell r="A357">
            <v>10054</v>
          </cell>
          <cell r="B357" t="str">
            <v>SIOUX UNIT 1 ECONOMIZER REPLACEMENT</v>
          </cell>
          <cell r="C357" t="str">
            <v>09M-GENERATION PROJECT ENGINEERING</v>
          </cell>
        </row>
        <row r="358">
          <cell r="A358">
            <v>10115</v>
          </cell>
          <cell r="B358" t="str">
            <v>VEN U7&amp;8 BOILERS ADD GAS-FIRED CAPA</v>
          </cell>
          <cell r="C358" t="str">
            <v>09M-GENERATION PROJECT ENGINEERING</v>
          </cell>
        </row>
        <row r="359">
          <cell r="A359">
            <v>10127</v>
          </cell>
          <cell r="B359" t="str">
            <v>COFFEEN UNIT 2 OVERFIRE AIR SYSTEM</v>
          </cell>
          <cell r="C359" t="str">
            <v>09M-GENERATION PROJECT ENGINEERING</v>
          </cell>
        </row>
        <row r="360">
          <cell r="A360">
            <v>10149</v>
          </cell>
          <cell r="B360" t="str">
            <v>FUELING FACILITY IN-PLACE CLOSURE</v>
          </cell>
          <cell r="C360" t="str">
            <v>09M-GENERATION PROJECT ENGINEERING</v>
          </cell>
        </row>
        <row r="361">
          <cell r="A361">
            <v>10174</v>
          </cell>
          <cell r="B361" t="str">
            <v>SALE OF ARMSTRONG INDUSTRIAL PARK</v>
          </cell>
          <cell r="C361" t="str">
            <v>061-REAL ESTATE</v>
          </cell>
        </row>
        <row r="362">
          <cell r="A362">
            <v>10175</v>
          </cell>
          <cell r="B362" t="str">
            <v>SL - ELLISVILLE WHQ</v>
          </cell>
          <cell r="C362" t="str">
            <v>061-REAL ESTATE</v>
          </cell>
        </row>
        <row r="363">
          <cell r="A363">
            <v>10262</v>
          </cell>
          <cell r="B363" t="str">
            <v>MERAMEC 4 TURBINE CONTROLS</v>
          </cell>
          <cell r="C363" t="str">
            <v>09M-GENERATION PROJECT ENGINEERING</v>
          </cell>
        </row>
        <row r="364">
          <cell r="A364">
            <v>10292</v>
          </cell>
          <cell r="B364" t="str">
            <v>KINMUNDY U2 CTG 3/2001 AED</v>
          </cell>
          <cell r="C364" t="str">
            <v>09G-GENERATION PROJECTS - GEN</v>
          </cell>
        </row>
        <row r="365">
          <cell r="A365">
            <v>10316</v>
          </cell>
          <cell r="B365" t="str">
            <v>COFFEEN UNIT 2 SCR RETROFIT</v>
          </cell>
          <cell r="C365" t="str">
            <v>CFG-COFFEEN - GENERAL</v>
          </cell>
        </row>
        <row r="366">
          <cell r="A366">
            <v>10317</v>
          </cell>
          <cell r="B366" t="str">
            <v>COFFEEN UNIT 1 SCR RETROFIT</v>
          </cell>
          <cell r="C366" t="str">
            <v>CFG-COFFEEN - GENERAL</v>
          </cell>
        </row>
        <row r="367">
          <cell r="A367">
            <v>10462</v>
          </cell>
          <cell r="B367" t="str">
            <v>ENHANCED 911 CAPABILITIES CIPS PBX</v>
          </cell>
          <cell r="C367" t="str">
            <v>065-NEO - TELEPHONE SERVICES</v>
          </cell>
        </row>
        <row r="368">
          <cell r="A368">
            <v>10467</v>
          </cell>
          <cell r="B368" t="str">
            <v>SX DIESEL GENERATORS &amp; EMERG BUS</v>
          </cell>
          <cell r="C368" t="str">
            <v>09M-GENERATION PROJECT ENGINEERING</v>
          </cell>
        </row>
        <row r="369">
          <cell r="A369">
            <v>10477</v>
          </cell>
          <cell r="B369" t="str">
            <v>MARION RELOCATE 12 KV FOR PENTECOST</v>
          </cell>
          <cell r="C369" t="str">
            <v>4MS-DIVISION VII SUPPORT STAFF</v>
          </cell>
        </row>
        <row r="370">
          <cell r="A370">
            <v>10524</v>
          </cell>
          <cell r="B370" t="str">
            <v>SX U1 WATER LANCE ADDITIONS</v>
          </cell>
          <cell r="C370" t="str">
            <v>09M-GENERATION PROJECT ENGINEERING</v>
          </cell>
        </row>
        <row r="371">
          <cell r="A371">
            <v>10543</v>
          </cell>
          <cell r="B371" t="str">
            <v>CHURCH MOUNTAIN STUDY</v>
          </cell>
          <cell r="C371" t="str">
            <v>09M-GENERATION PROJECT ENGINEERING</v>
          </cell>
        </row>
        <row r="372">
          <cell r="A372">
            <v>10557</v>
          </cell>
          <cell r="B372" t="str">
            <v>ELGIN UNIT 1 (117MW S-W 501D5A CTG)</v>
          </cell>
          <cell r="C372" t="str">
            <v>09G-GENERATION PROJECTS - GEN</v>
          </cell>
        </row>
        <row r="373">
          <cell r="A373">
            <v>10558</v>
          </cell>
          <cell r="B373" t="str">
            <v>ELGIN UNIT 2 (117MW S-W 501D5A CTG)</v>
          </cell>
          <cell r="C373" t="str">
            <v>09G-GENERATION PROJECTS - GEN</v>
          </cell>
        </row>
        <row r="374">
          <cell r="A374">
            <v>10634</v>
          </cell>
          <cell r="B374" t="str">
            <v>PINCKNEYVILLE CTG U1 44MW GE</v>
          </cell>
          <cell r="C374" t="str">
            <v>09M-GENERATION PROJECT ENGINEERING</v>
          </cell>
        </row>
        <row r="375">
          <cell r="A375">
            <v>10640</v>
          </cell>
          <cell r="B375" t="str">
            <v>PINCKNEYVILLE CTG U4 44MW GE</v>
          </cell>
          <cell r="C375" t="str">
            <v>09M-GENERATION PROJECT ENGINEERING</v>
          </cell>
        </row>
        <row r="376">
          <cell r="A376">
            <v>10645</v>
          </cell>
          <cell r="B376" t="str">
            <v>MERAMEC-DRY ASH HANDLINGU1-U4</v>
          </cell>
          <cell r="C376" t="str">
            <v>09M-GENERATION PROJECT ENGINEERING</v>
          </cell>
        </row>
        <row r="377">
          <cell r="A377">
            <v>10682</v>
          </cell>
          <cell r="B377" t="str">
            <v>RUSH ISLAND UNIT 1 CONTROLS UPGRADE</v>
          </cell>
          <cell r="C377" t="str">
            <v>09M-GENERATION PROJECT ENGINEERING</v>
          </cell>
        </row>
        <row r="378">
          <cell r="A378">
            <v>10694</v>
          </cell>
          <cell r="B378" t="str">
            <v>ELGIN UNIT 4 (117MW S-W 501D5A CTG)</v>
          </cell>
          <cell r="C378" t="str">
            <v>09G-GENERATION PROJECTS - GEN</v>
          </cell>
        </row>
        <row r="379">
          <cell r="A379">
            <v>10695</v>
          </cell>
          <cell r="B379" t="str">
            <v>W501D 7737</v>
          </cell>
          <cell r="C379" t="str">
            <v>09G-GENERATION PROJECTS - GEN</v>
          </cell>
        </row>
        <row r="380">
          <cell r="A380">
            <v>10697</v>
          </cell>
          <cell r="B380" t="str">
            <v>SL - ELSBERRY OFC AND POLE STOR YD</v>
          </cell>
          <cell r="C380" t="str">
            <v>061-REAL ESTATE</v>
          </cell>
        </row>
        <row r="381">
          <cell r="A381">
            <v>10715</v>
          </cell>
          <cell r="B381" t="str">
            <v>KELSO 2ND 345/161KV XFMR ADDITION</v>
          </cell>
          <cell r="C381" t="str">
            <v>09E-ELECTRICAL ENGINEERING</v>
          </cell>
        </row>
        <row r="382">
          <cell r="A382">
            <v>10717</v>
          </cell>
          <cell r="B382" t="str">
            <v>MER CTG 2 44MW WHITEHORN UNIT RELOC</v>
          </cell>
          <cell r="C382" t="str">
            <v>09M-GENERATION PROJECT ENGINEERING</v>
          </cell>
        </row>
        <row r="383">
          <cell r="A383">
            <v>10745</v>
          </cell>
          <cell r="B383" t="str">
            <v>KEO 60-CYCLE CONVERSION&amp;AUTOMATION</v>
          </cell>
          <cell r="C383" t="str">
            <v>09M-GENERATION PROJECT ENGINEERING</v>
          </cell>
        </row>
        <row r="384">
          <cell r="A384">
            <v>10775</v>
          </cell>
          <cell r="B384" t="str">
            <v>MER RAILCAR UNLOADING,BARGE LOADING</v>
          </cell>
          <cell r="C384" t="str">
            <v>09M-GENERATION PROJECT ENGINEERING</v>
          </cell>
        </row>
        <row r="385">
          <cell r="A385">
            <v>10802</v>
          </cell>
          <cell r="B385" t="str">
            <v>MER U1&amp;2 BOILER FURNACE SETTING REP</v>
          </cell>
          <cell r="C385" t="str">
            <v>09M-GENERATION PROJECT ENGINEERING</v>
          </cell>
        </row>
        <row r="386">
          <cell r="A386">
            <v>10803</v>
          </cell>
          <cell r="B386" t="str">
            <v>LABADIE 1 HP/IP TURBINE REPLACEMENT</v>
          </cell>
          <cell r="C386" t="str">
            <v>09M-GENERATION PROJECT ENGINEERING</v>
          </cell>
        </row>
        <row r="387">
          <cell r="A387">
            <v>10811</v>
          </cell>
          <cell r="B387" t="str">
            <v>BARRETT STATION SUBSTATION SITE</v>
          </cell>
          <cell r="C387" t="str">
            <v>09E-ELECTRICAL ENGINEERING</v>
          </cell>
        </row>
        <row r="388">
          <cell r="A388">
            <v>10832</v>
          </cell>
          <cell r="B388" t="str">
            <v>SX 480V AUX BUS 2B, BLR BUS 2B REPL</v>
          </cell>
          <cell r="C388" t="str">
            <v>09M-GENERATION PROJECT ENGINEERING</v>
          </cell>
        </row>
        <row r="389">
          <cell r="A389">
            <v>10847</v>
          </cell>
          <cell r="B389" t="str">
            <v>OSAGE - CAPACITY UPGRADE OF 4 UNITS</v>
          </cell>
          <cell r="C389" t="str">
            <v>09M-GENERATION PROJECT ENGINEERING</v>
          </cell>
        </row>
        <row r="390">
          <cell r="A390">
            <v>10854</v>
          </cell>
          <cell r="B390" t="str">
            <v>RUSH ISLAND UNIT 2 CONTROLS UPGRADE</v>
          </cell>
          <cell r="C390" t="str">
            <v>09M-GENERATION PROJECT ENGINEERING</v>
          </cell>
        </row>
        <row r="391">
          <cell r="A391">
            <v>10870</v>
          </cell>
          <cell r="B391" t="str">
            <v>SALE OF SKUNK RIVER PROPERTY</v>
          </cell>
          <cell r="C391" t="str">
            <v>061-REAL ESTATE</v>
          </cell>
        </row>
        <row r="392">
          <cell r="A392">
            <v>10883</v>
          </cell>
          <cell r="B392" t="str">
            <v>WASHINGTON U. HILLTOP 34/4 CUST.SUB</v>
          </cell>
          <cell r="C392" t="str">
            <v>09E-ELECTRICAL ENGINEERING</v>
          </cell>
        </row>
        <row r="393">
          <cell r="A393">
            <v>10885</v>
          </cell>
          <cell r="B393" t="str">
            <v>SIOUX UNIT 2 ECONOMIZER REPLACEMENT</v>
          </cell>
          <cell r="C393" t="str">
            <v>09M-GENERATION PROJECT ENGINEERING</v>
          </cell>
        </row>
        <row r="394">
          <cell r="A394">
            <v>10887</v>
          </cell>
          <cell r="B394" t="str">
            <v>VENICE UNIT #3 SIMPLE CYCLE CTG</v>
          </cell>
          <cell r="C394" t="str">
            <v>09V-NEW GEN &amp; ENV PROJECTS</v>
          </cell>
        </row>
        <row r="395">
          <cell r="A395">
            <v>10888</v>
          </cell>
          <cell r="B395" t="str">
            <v>VENICE UNIT #4 SIMPLE CYCLE CTG</v>
          </cell>
          <cell r="C395" t="str">
            <v>09V-NEW GEN &amp; ENV PROJECTS</v>
          </cell>
        </row>
        <row r="396">
          <cell r="A396">
            <v>10890</v>
          </cell>
          <cell r="B396" t="str">
            <v>BLANCHETTE - NEW 138/34KV SUB</v>
          </cell>
          <cell r="C396" t="str">
            <v>09E-ELECTRICAL ENGINEERING</v>
          </cell>
        </row>
        <row r="397">
          <cell r="A397">
            <v>10892</v>
          </cell>
          <cell r="B397" t="str">
            <v>NEWTON RAIL SPUR</v>
          </cell>
          <cell r="C397" t="str">
            <v>09M-GENERATION PROJECT ENGINEERING</v>
          </cell>
        </row>
        <row r="398">
          <cell r="A398">
            <v>10895</v>
          </cell>
          <cell r="B398" t="str">
            <v>RUSH ISLAND BARGE UNLOADER</v>
          </cell>
          <cell r="C398" t="str">
            <v>09M-GENERATION PROJECT ENGINEERING</v>
          </cell>
        </row>
        <row r="399">
          <cell r="A399">
            <v>10898</v>
          </cell>
          <cell r="B399" t="str">
            <v>KEO 60-CYCLE CONVERSION&amp;AUTOMATION</v>
          </cell>
          <cell r="C399" t="str">
            <v>09M-GENERATION PROJECT ENGINEERING</v>
          </cell>
        </row>
        <row r="400">
          <cell r="A400">
            <v>10902</v>
          </cell>
          <cell r="B400" t="str">
            <v>MER U3 FLY ASH HANDLING UPGR</v>
          </cell>
          <cell r="C400" t="str">
            <v>09M-GENERATION PROJECT ENGINEERING</v>
          </cell>
        </row>
        <row r="401">
          <cell r="A401">
            <v>10930</v>
          </cell>
          <cell r="B401" t="str">
            <v>SX U1&amp;2 BOILER FIRE PROTECT SYS UPG</v>
          </cell>
          <cell r="C401" t="str">
            <v>09M-GENERATION PROJECT ENGINEERING</v>
          </cell>
        </row>
        <row r="402">
          <cell r="A402">
            <v>10941</v>
          </cell>
          <cell r="B402" t="str">
            <v>NEWTON U1&amp;2 - COMBUSTION OPTIMIZATI</v>
          </cell>
          <cell r="C402" t="str">
            <v>09M-GENERATION PROJECT ENGINEERING</v>
          </cell>
        </row>
        <row r="403">
          <cell r="A403">
            <v>10942</v>
          </cell>
          <cell r="B403" t="str">
            <v>MEREDOSIA U5 - COMBUSTION OPTIMIZAT</v>
          </cell>
          <cell r="C403" t="str">
            <v>09M-GENERATION PROJECT ENGINEERING</v>
          </cell>
        </row>
        <row r="404">
          <cell r="A404">
            <v>10943</v>
          </cell>
          <cell r="B404" t="str">
            <v>MERAMEC U1&amp;2 - COMB OPT</v>
          </cell>
          <cell r="C404" t="str">
            <v>09M-GENERATION PROJECT ENGINEERING</v>
          </cell>
        </row>
        <row r="405">
          <cell r="A405">
            <v>10944</v>
          </cell>
          <cell r="B405" t="str">
            <v>MERAMEC U3 - COMB OPT</v>
          </cell>
          <cell r="C405" t="str">
            <v>09M-GENERATION PROJECT ENGINEERING</v>
          </cell>
        </row>
        <row r="406">
          <cell r="A406">
            <v>10945</v>
          </cell>
          <cell r="B406" t="str">
            <v>RUSH ISLAND U1 - COMB OPT</v>
          </cell>
          <cell r="C406" t="str">
            <v>09M-GENERATION PROJECT ENGINEERING</v>
          </cell>
        </row>
        <row r="407">
          <cell r="A407">
            <v>10946</v>
          </cell>
          <cell r="B407" t="str">
            <v>RUSH ISLAND U2 - COMB OPT</v>
          </cell>
          <cell r="C407" t="str">
            <v>09M-GENERATION PROJECT ENGINEERING</v>
          </cell>
        </row>
        <row r="408">
          <cell r="A408">
            <v>10972</v>
          </cell>
          <cell r="B408" t="str">
            <v>SX U2 TURB CONTROL UPGR</v>
          </cell>
          <cell r="C408" t="str">
            <v>09M-GENERATION PROJECT ENGINEERING</v>
          </cell>
        </row>
        <row r="409">
          <cell r="A409">
            <v>10990</v>
          </cell>
          <cell r="B409" t="str">
            <v>SALE OF MANHATTAN AVE. PROPERTY</v>
          </cell>
          <cell r="C409" t="str">
            <v>061-REAL ESTATE</v>
          </cell>
        </row>
        <row r="410">
          <cell r="A410">
            <v>10992</v>
          </cell>
          <cell r="B410" t="str">
            <v>MIDTOWN SUB RELOC (SOUTHEAST DIST)</v>
          </cell>
          <cell r="C410" t="str">
            <v>09E-ELECTRICAL ENGINEERING</v>
          </cell>
        </row>
        <row r="411">
          <cell r="A411">
            <v>10997</v>
          </cell>
          <cell r="B411" t="str">
            <v>CLARK SUB - TRANSFORMER STUDY</v>
          </cell>
          <cell r="C411" t="str">
            <v>09E-ELECTRICAL ENGINEERING</v>
          </cell>
        </row>
        <row r="412">
          <cell r="A412">
            <v>11007</v>
          </cell>
          <cell r="B412" t="str">
            <v>MEXICO ROAD SUB - SCADA ADDN. (WZ)</v>
          </cell>
          <cell r="C412" t="str">
            <v>09E-ELECTRICAL ENGINEERING</v>
          </cell>
        </row>
        <row r="413">
          <cell r="A413">
            <v>11035</v>
          </cell>
          <cell r="B413" t="str">
            <v>SIOUX - BARGE UNLOADING SYSTEM</v>
          </cell>
          <cell r="C413" t="str">
            <v>09M-GENERATION PROJECT ENGINEERING</v>
          </cell>
        </row>
        <row r="414">
          <cell r="A414">
            <v>11042</v>
          </cell>
          <cell r="B414" t="str">
            <v>DIESEL GEN EXCITOR CONTROLS RPLCMNT</v>
          </cell>
          <cell r="C414" t="str">
            <v>8EE-NUCL - ENG DES - I &amp; C</v>
          </cell>
        </row>
        <row r="415">
          <cell r="A415">
            <v>11057</v>
          </cell>
          <cell r="B415" t="str">
            <v>BABLER AREA - NEW 345/138KV SUBSTAT</v>
          </cell>
          <cell r="C415" t="str">
            <v>09E-ELECTRICAL ENGINEERING</v>
          </cell>
        </row>
        <row r="416">
          <cell r="A416">
            <v>11063</v>
          </cell>
          <cell r="B416" t="str">
            <v>LBD PI DATA ARCHIVE MINING PROJECT</v>
          </cell>
          <cell r="C416" t="str">
            <v>09M-GENERATION PROJECT ENGINEERING</v>
          </cell>
        </row>
        <row r="417">
          <cell r="A417">
            <v>11075</v>
          </cell>
          <cell r="B417" t="str">
            <v>HUTSNVLE ASH &amp; DRAINAGE COLLECT PND</v>
          </cell>
          <cell r="C417" t="str">
            <v>09M-GENERATION PROJECT ENGINEERING</v>
          </cell>
        </row>
        <row r="418">
          <cell r="A418">
            <v>11084</v>
          </cell>
          <cell r="B418" t="str">
            <v>LBD DANCE FLOOR TRUSS SYS,U2 PLATFO</v>
          </cell>
          <cell r="C418" t="str">
            <v>09M-GENERATION PROJECT ENGINEERING</v>
          </cell>
        </row>
        <row r="419">
          <cell r="A419">
            <v>11099</v>
          </cell>
          <cell r="B419" t="str">
            <v>LBD U2 #3 IP FEEDWATER HEATER REPL</v>
          </cell>
          <cell r="C419" t="str">
            <v>09M-GENERATION PROJECT ENGINEERING</v>
          </cell>
        </row>
        <row r="420">
          <cell r="A420">
            <v>11107</v>
          </cell>
          <cell r="B420" t="str">
            <v>KEO U11&amp;13 TURB RUNNER REPL</v>
          </cell>
          <cell r="C420" t="str">
            <v>09M-GENERATION PROJECT ENGINEERING</v>
          </cell>
        </row>
        <row r="421">
          <cell r="A421">
            <v>11108</v>
          </cell>
          <cell r="B421" t="str">
            <v>KEO U10&amp;12 TURB RUNNER REPL</v>
          </cell>
          <cell r="C421" t="str">
            <v>09M-GENERATION PROJECT ENGINEERING</v>
          </cell>
        </row>
        <row r="422">
          <cell r="A422">
            <v>11109</v>
          </cell>
          <cell r="B422" t="str">
            <v>KEO U8&amp;9 TURB RUNNER REPL</v>
          </cell>
          <cell r="C422" t="str">
            <v>09M-GENERATION PROJECT ENGINEERING</v>
          </cell>
        </row>
        <row r="423">
          <cell r="A423">
            <v>11112</v>
          </cell>
          <cell r="B423" t="str">
            <v>RI U1 SUPERHEAT REAR PENDANT REPL</v>
          </cell>
          <cell r="C423" t="str">
            <v>09M-GENERATION PROJECT ENGINEERING</v>
          </cell>
        </row>
        <row r="424">
          <cell r="A424">
            <v>11130</v>
          </cell>
          <cell r="B424" t="str">
            <v>W. MATTOON-NEOGA 138KV</v>
          </cell>
          <cell r="C424" t="str">
            <v>09E-ELECTRICAL ENGINEERING</v>
          </cell>
        </row>
        <row r="425">
          <cell r="A425">
            <v>11131</v>
          </cell>
          <cell r="B425" t="str">
            <v>PINCKNEYVILLE U5 - 39 MW CTG GE 6B</v>
          </cell>
          <cell r="C425" t="str">
            <v>09G-GENERATION PROJECTS - GEN</v>
          </cell>
        </row>
        <row r="426">
          <cell r="A426">
            <v>11146</v>
          </cell>
          <cell r="B426" t="str">
            <v>KEO - PURCHASE CREST GATES</v>
          </cell>
          <cell r="C426" t="str">
            <v>09M-GENERATION PROJECT ENGINEERING</v>
          </cell>
        </row>
        <row r="427">
          <cell r="A427">
            <v>11152</v>
          </cell>
          <cell r="B427" t="str">
            <v>MER U1 BOILER ECONOMIZER REPL</v>
          </cell>
          <cell r="C427" t="str">
            <v>09M-GENERATION PROJECT ENGINEERING</v>
          </cell>
        </row>
        <row r="428">
          <cell r="A428">
            <v>11166</v>
          </cell>
          <cell r="B428" t="str">
            <v>LBD U1 HPBFP TURB CONTROLS UPGR</v>
          </cell>
          <cell r="C428" t="str">
            <v>09M-GENERATION PROJECT ENGINEERING</v>
          </cell>
        </row>
        <row r="429">
          <cell r="A429">
            <v>11179</v>
          </cell>
          <cell r="B429" t="str">
            <v>SALE OF PROPERTY IN HERRIN, IL</v>
          </cell>
          <cell r="C429" t="str">
            <v>061-REAL ESTATE</v>
          </cell>
        </row>
        <row r="430">
          <cell r="A430">
            <v>11180</v>
          </cell>
          <cell r="B430" t="str">
            <v>KEO FENCE DOWNSTREAM SIDE OF DAM</v>
          </cell>
          <cell r="C430" t="str">
            <v>09M-GENERATION PROJECT ENGINEERING</v>
          </cell>
        </row>
        <row r="431">
          <cell r="A431">
            <v>11191</v>
          </cell>
          <cell r="B431" t="str">
            <v>SALE OF PROPERTY IN TAYLORVILLE, IL</v>
          </cell>
          <cell r="C431" t="str">
            <v>061-REAL ESTATE</v>
          </cell>
        </row>
        <row r="432">
          <cell r="A432">
            <v>11192</v>
          </cell>
          <cell r="B432" t="str">
            <v>SALE OF PROPERTY TAYLORVILLE, IL</v>
          </cell>
          <cell r="C432" t="str">
            <v>061-REAL ESTATE</v>
          </cell>
        </row>
        <row r="433">
          <cell r="A433">
            <v>11203</v>
          </cell>
          <cell r="B433" t="str">
            <v>SALE OF PANA STOREROOM</v>
          </cell>
          <cell r="C433" t="str">
            <v>061-REAL ESTATE</v>
          </cell>
        </row>
        <row r="434">
          <cell r="A434">
            <v>11216</v>
          </cell>
          <cell r="B434" t="str">
            <v>RETIRE JEFFERSON DISTRICT POLE YARD</v>
          </cell>
          <cell r="C434" t="str">
            <v>061-REAL ESTATE</v>
          </cell>
        </row>
        <row r="435">
          <cell r="A435">
            <v>11229</v>
          </cell>
          <cell r="B435" t="str">
            <v>RI SERVICE BLDG FIRE PROTECTION</v>
          </cell>
          <cell r="C435" t="str">
            <v>09M-GENERATION PROJECT ENGINEERING</v>
          </cell>
        </row>
        <row r="436">
          <cell r="A436">
            <v>11234</v>
          </cell>
          <cell r="B436" t="str">
            <v>LOW PRESSURE ROTOR ELEMENT RPLCMNT</v>
          </cell>
          <cell r="C436" t="str">
            <v>8EA-NUCL - ENG PROJ - MAJOR MODS</v>
          </cell>
        </row>
        <row r="437">
          <cell r="A437">
            <v>11290</v>
          </cell>
          <cell r="B437" t="str">
            <v>LBD COAL RECEIV CONTROLS UPGR</v>
          </cell>
          <cell r="C437" t="str">
            <v>09M-GENERATION PROJECT ENGINEERING</v>
          </cell>
        </row>
        <row r="438">
          <cell r="A438">
            <v>11291</v>
          </cell>
          <cell r="B438" t="str">
            <v>LBD CEMS DATA ACQUISITION SYST REPL</v>
          </cell>
          <cell r="C438" t="str">
            <v>09M-GENERATION PROJECT ENGINEERING</v>
          </cell>
        </row>
        <row r="439">
          <cell r="A439">
            <v>11304</v>
          </cell>
          <cell r="B439" t="str">
            <v>CARDINAL GLENNON HOSPITAL CUST SUB</v>
          </cell>
          <cell r="C439" t="str">
            <v>056-GERALDINE</v>
          </cell>
        </row>
        <row r="440">
          <cell r="A440">
            <v>11305</v>
          </cell>
          <cell r="B440" t="str">
            <v>SALE OF CONWAY SUB PROPERTY</v>
          </cell>
          <cell r="C440" t="str">
            <v>061-REAL ESTATE</v>
          </cell>
        </row>
        <row r="441">
          <cell r="A441">
            <v>11306</v>
          </cell>
          <cell r="B441" t="str">
            <v>CALLAWAY-FRANKS 345LN -WAS BLAND-FR</v>
          </cell>
          <cell r="C441" t="str">
            <v>09E-ELECTRICAL ENGINEERING</v>
          </cell>
        </row>
        <row r="442">
          <cell r="A442">
            <v>11323</v>
          </cell>
          <cell r="B442" t="str">
            <v>SL - BEARDSTOWN OFFICE AND BLDG</v>
          </cell>
          <cell r="C442" t="str">
            <v>061-REAL ESTATE</v>
          </cell>
        </row>
        <row r="443">
          <cell r="A443">
            <v>11346</v>
          </cell>
          <cell r="B443" t="str">
            <v>BLUFF CITY TAP-AVENA TAP-RAMSEY 138</v>
          </cell>
          <cell r="C443" t="str">
            <v>09E-ELECTRICAL ENGINEERING</v>
          </cell>
        </row>
        <row r="444">
          <cell r="A444">
            <v>11354</v>
          </cell>
          <cell r="B444" t="str">
            <v>HOLNAM SUPPLY</v>
          </cell>
          <cell r="C444" t="str">
            <v>09E-ELECTRICAL ENGINEERING</v>
          </cell>
        </row>
        <row r="445">
          <cell r="A445">
            <v>11363</v>
          </cell>
          <cell r="B445" t="str">
            <v>APACHE FLATS-JEFF. CITY 161KV LINE</v>
          </cell>
          <cell r="C445" t="str">
            <v>09E-ELECTRICAL ENGINEERING</v>
          </cell>
        </row>
        <row r="446">
          <cell r="A446">
            <v>11366</v>
          </cell>
          <cell r="B446" t="str">
            <v>GIBSON CITY CTG OUTLET</v>
          </cell>
          <cell r="C446" t="str">
            <v>09E-ELECTRICAL ENGINEERING</v>
          </cell>
        </row>
        <row r="447">
          <cell r="A447">
            <v>11370</v>
          </cell>
          <cell r="B447" t="str">
            <v>HWY.I-70-RAIS-RELOC.VEN-RIDG4,REIMB</v>
          </cell>
          <cell r="C447" t="str">
            <v>09E-ELECTRICAL ENGINEERING</v>
          </cell>
        </row>
        <row r="448">
          <cell r="A448">
            <v>11378</v>
          </cell>
          <cell r="B448" t="str">
            <v>RUSH-ST. FRANCOIS-2 345 KV LINE</v>
          </cell>
          <cell r="C448" t="str">
            <v>09E-ELECTRICAL ENGINEERING</v>
          </cell>
        </row>
        <row r="449">
          <cell r="A449">
            <v>11408</v>
          </cell>
          <cell r="B449" t="str">
            <v>SONDERN SUBSTATION - SCADA ADDITION</v>
          </cell>
          <cell r="C449" t="str">
            <v>09E-ELECTRICAL ENGINEERING</v>
          </cell>
        </row>
        <row r="450">
          <cell r="A450">
            <v>11409</v>
          </cell>
          <cell r="B450" t="str">
            <v>MCKINLEY STREET SUB - SCADA ADDN</v>
          </cell>
          <cell r="C450" t="str">
            <v>09E-ELECTRICAL ENGINEERING</v>
          </cell>
        </row>
        <row r="451">
          <cell r="A451">
            <v>11415</v>
          </cell>
          <cell r="B451" t="str">
            <v>LBD U2 WATER CANNON ADDITIONS</v>
          </cell>
          <cell r="C451" t="str">
            <v>09M-GENERATION PROJECT ENGINEERING</v>
          </cell>
        </row>
        <row r="452">
          <cell r="A452">
            <v>11421</v>
          </cell>
          <cell r="B452" t="str">
            <v>MERAMEC UNIT 4 COAL MILL UPGRADES</v>
          </cell>
          <cell r="C452" t="str">
            <v>09M-GENERATION PROJECT ENGINEERING</v>
          </cell>
        </row>
        <row r="453">
          <cell r="A453">
            <v>11424</v>
          </cell>
          <cell r="B453" t="str">
            <v>MERAMEC 3 TURBINE CONTROLS</v>
          </cell>
          <cell r="C453" t="str">
            <v>09M-GENERATION PROJECT ENGINEERING</v>
          </cell>
        </row>
        <row r="454">
          <cell r="A454">
            <v>11427</v>
          </cell>
          <cell r="B454" t="str">
            <v>MERAMEC UNIT 3 CONTROLS UPGRADES</v>
          </cell>
          <cell r="C454" t="str">
            <v>09M-GENERATION PROJECT ENGINEERING</v>
          </cell>
        </row>
        <row r="455">
          <cell r="A455">
            <v>11439</v>
          </cell>
          <cell r="B455" t="str">
            <v>VENICE CTG #2</v>
          </cell>
          <cell r="C455" t="str">
            <v>09M-GENERATION PROJECT ENGINEERING</v>
          </cell>
        </row>
        <row r="456">
          <cell r="A456">
            <v>11445</v>
          </cell>
          <cell r="B456" t="str">
            <v>SL - BEARDSTOWN LOC OFF N BLDG</v>
          </cell>
          <cell r="C456" t="str">
            <v>061-REAL ESTATE</v>
          </cell>
        </row>
        <row r="457">
          <cell r="A457">
            <v>11447</v>
          </cell>
          <cell r="B457" t="str">
            <v>MASN-71,SECOND RIVERPORT SUPPLY</v>
          </cell>
          <cell r="C457" t="str">
            <v>027-DORSETT</v>
          </cell>
        </row>
        <row r="458">
          <cell r="A458">
            <v>11456</v>
          </cell>
          <cell r="B458" t="str">
            <v>LBD SERVICE BLDG FIRE PROTECTION</v>
          </cell>
          <cell r="C458" t="str">
            <v>09M-GENERATION PROJECT ENGINEERING</v>
          </cell>
        </row>
        <row r="459">
          <cell r="A459">
            <v>11464</v>
          </cell>
          <cell r="B459" t="str">
            <v>MERAMEC UNIT 3 COAL MILL UPGRADES</v>
          </cell>
          <cell r="C459" t="str">
            <v>09M-GENERATION PROJECT ENGINEERING</v>
          </cell>
        </row>
        <row r="460">
          <cell r="A460">
            <v>11465</v>
          </cell>
          <cell r="B460" t="str">
            <v>LBD U3 ECONOMIZER REPL</v>
          </cell>
          <cell r="C460" t="str">
            <v>09M-GENERATION PROJECT ENGINEERING</v>
          </cell>
        </row>
        <row r="461">
          <cell r="A461">
            <v>11466</v>
          </cell>
          <cell r="B461" t="str">
            <v>LBD U4 BOILER MTCE WORK PLATFORM</v>
          </cell>
          <cell r="C461" t="str">
            <v>09M-GENERATION PROJECT ENGINEERING</v>
          </cell>
        </row>
        <row r="462">
          <cell r="A462">
            <v>11474</v>
          </cell>
          <cell r="B462" t="str">
            <v>LBD U2 PRIMARY AIR DUCT MODS</v>
          </cell>
          <cell r="C462" t="str">
            <v>09M-GENERATION PROJECT ENGINEERING</v>
          </cell>
        </row>
        <row r="463">
          <cell r="A463">
            <v>11488</v>
          </cell>
          <cell r="B463" t="str">
            <v>RETIRE LAND AT THE GOB</v>
          </cell>
          <cell r="C463" t="str">
            <v>061-REAL ESTATE</v>
          </cell>
        </row>
        <row r="464">
          <cell r="A464">
            <v>11491</v>
          </cell>
          <cell r="B464" t="str">
            <v>NATURAL BRIDGE SUB EXCESS PROPERTY</v>
          </cell>
          <cell r="C464" t="str">
            <v>061-REAL ESTATE</v>
          </cell>
        </row>
        <row r="465">
          <cell r="A465">
            <v>11493</v>
          </cell>
          <cell r="B465" t="str">
            <v>SX U2 3RD SECTION SSH &amp; OUTLET HDRS</v>
          </cell>
          <cell r="C465" t="str">
            <v>09M-GENERATION PROJECT ENGINEERING</v>
          </cell>
        </row>
        <row r="466">
          <cell r="A466">
            <v>11500</v>
          </cell>
          <cell r="B466" t="str">
            <v>PSL - FUTURE NASH SUB</v>
          </cell>
          <cell r="C466" t="str">
            <v>061-REAL ESTATE</v>
          </cell>
        </row>
        <row r="467">
          <cell r="A467">
            <v>11504</v>
          </cell>
          <cell r="B467" t="str">
            <v>RUSH ISLAND - NEW ADMIN BLDG</v>
          </cell>
          <cell r="C467" t="str">
            <v>09M-GENERATION PROJECT ENGINEERING</v>
          </cell>
        </row>
        <row r="468">
          <cell r="A468">
            <v>11505</v>
          </cell>
          <cell r="B468" t="str">
            <v>MER U1&amp;2 SECONDARY SUPERHEATER REPL</v>
          </cell>
          <cell r="C468" t="str">
            <v>09M-GENERATION PROJECT ENGINEERING</v>
          </cell>
        </row>
        <row r="469">
          <cell r="A469">
            <v>11506</v>
          </cell>
          <cell r="B469" t="str">
            <v>RI U1 REHEATER REPL</v>
          </cell>
          <cell r="C469" t="str">
            <v>09M-GENERATION PROJECT ENGINEERING</v>
          </cell>
        </row>
        <row r="470">
          <cell r="A470">
            <v>11507</v>
          </cell>
          <cell r="B470" t="str">
            <v>VEN RETENTION POND CONSTRUCTION</v>
          </cell>
          <cell r="C470" t="str">
            <v>09M-GENERATION PROJECT ENGINEERING</v>
          </cell>
        </row>
        <row r="471">
          <cell r="A471">
            <v>11508</v>
          </cell>
          <cell r="B471" t="str">
            <v>MER U4 DEMOLISH ORIGINAL ESP&amp;DUCTS</v>
          </cell>
          <cell r="C471" t="str">
            <v>09M-GENERATION PROJECT ENGINEERING</v>
          </cell>
        </row>
        <row r="472">
          <cell r="A472">
            <v>11515</v>
          </cell>
          <cell r="B472" t="str">
            <v>SIOUX UNIT 1 CYCLONE REPLACEMENT</v>
          </cell>
          <cell r="C472" t="str">
            <v>09M-GENERATION PROJECT ENGINEERING</v>
          </cell>
        </row>
        <row r="473">
          <cell r="A473">
            <v>11517</v>
          </cell>
          <cell r="B473" t="str">
            <v>NEW DELMAR FEEDER</v>
          </cell>
          <cell r="C473" t="str">
            <v>036-UNDERGROUND</v>
          </cell>
        </row>
        <row r="474">
          <cell r="A474">
            <v>11531</v>
          </cell>
          <cell r="B474" t="str">
            <v>SIOUX UNIT 1 OVERFIRE AIR SYSTEM</v>
          </cell>
          <cell r="C474" t="str">
            <v>09M-GENERATION PROJECT ENGINEERING</v>
          </cell>
        </row>
        <row r="475">
          <cell r="A475">
            <v>11560</v>
          </cell>
          <cell r="B475" t="str">
            <v>LBD U1 BOILER REHEATER REPL</v>
          </cell>
          <cell r="C475" t="str">
            <v>09M-GENERATION PROJECT ENGINEERING</v>
          </cell>
        </row>
        <row r="476">
          <cell r="A476">
            <v>11566</v>
          </cell>
          <cell r="B476" t="str">
            <v>RI U1 LOWER SLOPE REPL</v>
          </cell>
          <cell r="C476" t="str">
            <v>09M-GENERATION PROJECT ENGINEERING</v>
          </cell>
        </row>
        <row r="477">
          <cell r="A477">
            <v>11581</v>
          </cell>
          <cell r="B477" t="str">
            <v>KEOKUK U1-U7 GENERATOR PROTECTION</v>
          </cell>
          <cell r="C477" t="str">
            <v>09M-GENERATION PROJECT ENGINEERING</v>
          </cell>
        </row>
        <row r="478">
          <cell r="A478">
            <v>11584</v>
          </cell>
          <cell r="B478" t="str">
            <v>MERAMEC 1 &amp; 2 PERFORMANCE MONITOR</v>
          </cell>
          <cell r="C478" t="str">
            <v>81E-GENERATION PERFORMANCE ENGRNG</v>
          </cell>
        </row>
        <row r="479">
          <cell r="A479">
            <v>11586</v>
          </cell>
          <cell r="B479" t="str">
            <v>MERAMEC U4 PERFORMANCE MONITOR</v>
          </cell>
          <cell r="C479" t="str">
            <v>81E-GENERATION PERFORMANCE ENGRNG</v>
          </cell>
        </row>
        <row r="480">
          <cell r="A480">
            <v>11587</v>
          </cell>
          <cell r="B480" t="str">
            <v>MER CEM DATA ACQUISITION SYST REPL</v>
          </cell>
          <cell r="C480" t="str">
            <v>09M-GENERATION PROJECT ENGINEERING</v>
          </cell>
        </row>
        <row r="481">
          <cell r="A481">
            <v>11593</v>
          </cell>
          <cell r="B481" t="str">
            <v>SIOUX U1 - COMB OPT</v>
          </cell>
          <cell r="C481" t="str">
            <v>81E-GENERATION PERFORMANCE ENGRNG</v>
          </cell>
        </row>
        <row r="482">
          <cell r="A482">
            <v>11594</v>
          </cell>
          <cell r="B482" t="str">
            <v>SIOUX U2 - COMB OPT</v>
          </cell>
          <cell r="C482" t="str">
            <v>81E-GENERATION PERFORMANCE ENGRNG</v>
          </cell>
        </row>
        <row r="483">
          <cell r="A483">
            <v>11599</v>
          </cell>
          <cell r="B483" t="str">
            <v>MER U1&amp;2 STATION BATTERIES REPL</v>
          </cell>
          <cell r="C483" t="str">
            <v>09M-GENERATION PROJECT ENGINEERING</v>
          </cell>
        </row>
        <row r="484">
          <cell r="A484">
            <v>11601</v>
          </cell>
          <cell r="B484" t="str">
            <v>MERAMEC U1&amp;2 - REPLACE TURBINE BUS</v>
          </cell>
          <cell r="C484" t="str">
            <v>09M-GENERATION PROJECT ENGINEERING</v>
          </cell>
        </row>
        <row r="485">
          <cell r="A485">
            <v>11618</v>
          </cell>
          <cell r="B485" t="str">
            <v>SX U2 5A LP FEEDWATER HEATER REPL</v>
          </cell>
          <cell r="C485" t="str">
            <v>09M-GENERATION PROJECT ENGINEERING</v>
          </cell>
        </row>
        <row r="486">
          <cell r="A486">
            <v>11619</v>
          </cell>
          <cell r="B486" t="str">
            <v>MER U1 LOW NOX BURNER RETROFIT</v>
          </cell>
          <cell r="C486" t="str">
            <v>09M-GENERATION PROJECT ENGINEERING</v>
          </cell>
        </row>
        <row r="487">
          <cell r="A487">
            <v>11620</v>
          </cell>
          <cell r="B487" t="str">
            <v>MER U2 LOW NOX BURNER RETROFIT</v>
          </cell>
          <cell r="C487" t="str">
            <v>09M-GENERATION PROJECT ENGINEERING</v>
          </cell>
        </row>
        <row r="488">
          <cell r="A488">
            <v>11644</v>
          </cell>
          <cell r="B488" t="str">
            <v>LBD U1 GSU XFMR REPL</v>
          </cell>
          <cell r="C488" t="str">
            <v>09M-GENERATION PROJECT ENGINEERING</v>
          </cell>
        </row>
        <row r="489">
          <cell r="A489">
            <v>11645</v>
          </cell>
          <cell r="B489" t="str">
            <v>MER U1 COLD END AIR HEATER REPL</v>
          </cell>
          <cell r="C489" t="str">
            <v>09M-GENERATION PROJECT ENGINEERING</v>
          </cell>
        </row>
        <row r="490">
          <cell r="A490">
            <v>11647</v>
          </cell>
          <cell r="B490" t="str">
            <v>RI POTABLE WATER SYSTEM UPGR</v>
          </cell>
          <cell r="C490" t="str">
            <v>09M-GENERATION PROJECT ENGINEERING</v>
          </cell>
        </row>
        <row r="491">
          <cell r="A491">
            <v>11650</v>
          </cell>
          <cell r="B491" t="str">
            <v>RI U1 FURNACE WORK PLATFORM INSTALL</v>
          </cell>
          <cell r="C491" t="str">
            <v>78C-RUSH ISLAND PLANT MAINTENANCE</v>
          </cell>
        </row>
        <row r="492">
          <cell r="A492">
            <v>11665</v>
          </cell>
          <cell r="B492" t="str">
            <v>AUBURN SUBSTATION SUPPLY AND FEEDER</v>
          </cell>
          <cell r="C492" t="str">
            <v>093-WENTZVILLE DISTRICT</v>
          </cell>
        </row>
        <row r="493">
          <cell r="A493">
            <v>11674</v>
          </cell>
          <cell r="B493" t="str">
            <v>MCLY-75 - WENTZVILLE DISTRICT</v>
          </cell>
          <cell r="C493" t="str">
            <v>093-WENTZVILLE DISTRICT</v>
          </cell>
        </row>
        <row r="494">
          <cell r="A494">
            <v>11675</v>
          </cell>
          <cell r="B494" t="str">
            <v>FEEDER 636-54 (COOL SPRINGS) RECOND</v>
          </cell>
          <cell r="C494" t="str">
            <v>093-WENTZVILLE DISTRICT</v>
          </cell>
        </row>
        <row r="495">
          <cell r="A495">
            <v>11685</v>
          </cell>
          <cell r="B495" t="str">
            <v>SALE OF RAILROAD REALTY SERVICES</v>
          </cell>
          <cell r="C495" t="str">
            <v>061-REAL ESTATE</v>
          </cell>
        </row>
        <row r="496">
          <cell r="A496">
            <v>11747</v>
          </cell>
          <cell r="B496" t="str">
            <v>KEO 13.8KV ACB REPL &amp; BUS A,B UPRAT</v>
          </cell>
          <cell r="C496" t="str">
            <v>09M-GENERATION PROJECT ENGINEERING</v>
          </cell>
        </row>
        <row r="497">
          <cell r="A497">
            <v>11751</v>
          </cell>
          <cell r="B497" t="str">
            <v>KEO U6 STATOR REWIND</v>
          </cell>
          <cell r="C497" t="str">
            <v>09M-GENERATION PROJECT ENGINEERING</v>
          </cell>
        </row>
        <row r="498">
          <cell r="A498">
            <v>11753</v>
          </cell>
          <cell r="B498" t="str">
            <v>MER U1&amp;2 GENERATOR BACKUP RELAY PRO</v>
          </cell>
          <cell r="C498" t="str">
            <v>09M-GENERATION PROJECT ENGINEERING</v>
          </cell>
        </row>
        <row r="499">
          <cell r="A499">
            <v>11754</v>
          </cell>
          <cell r="B499" t="str">
            <v>MER U3 GENERATOR BACKUP RELAY PROT</v>
          </cell>
          <cell r="C499" t="str">
            <v>09M-GENERATION PROJECT ENGINEERING</v>
          </cell>
        </row>
        <row r="500">
          <cell r="A500">
            <v>11756</v>
          </cell>
          <cell r="B500" t="str">
            <v>RI U1 ASH HANDLING SYS CONTROLS UPG</v>
          </cell>
          <cell r="C500" t="str">
            <v>09M-GENERATION PROJECT ENGINEERING</v>
          </cell>
        </row>
        <row r="501">
          <cell r="A501">
            <v>11757</v>
          </cell>
          <cell r="B501" t="str">
            <v>RI U2 ASH HANDLING SYS CONTROLS UPG</v>
          </cell>
          <cell r="C501" t="str">
            <v>09M-GENERATION PROJECT ENGINEERING</v>
          </cell>
        </row>
        <row r="502">
          <cell r="A502">
            <v>11758</v>
          </cell>
          <cell r="B502" t="str">
            <v>SX AB&amp;C BASIC DEMINERALIZERS REPL</v>
          </cell>
          <cell r="C502" t="str">
            <v>09M-GENERATION PROJECT ENGINEERING</v>
          </cell>
        </row>
        <row r="503">
          <cell r="A503">
            <v>11760</v>
          </cell>
          <cell r="B503" t="str">
            <v>SX U1 GENERATOR BACKUP RELAY PROT</v>
          </cell>
          <cell r="C503" t="str">
            <v>09M-GENERATION PROJECT ENGINEERING</v>
          </cell>
        </row>
        <row r="504">
          <cell r="A504">
            <v>11761</v>
          </cell>
          <cell r="B504" t="str">
            <v>SX U2 BACKUP RELAY PROTECTION INSTL</v>
          </cell>
          <cell r="C504" t="str">
            <v>09M-GENERATION PROJECT ENGINEERING</v>
          </cell>
        </row>
        <row r="505">
          <cell r="A505">
            <v>11768</v>
          </cell>
          <cell r="B505" t="str">
            <v>SL - BEARDSTOWN LAND N DISPAT OFF</v>
          </cell>
          <cell r="C505" t="str">
            <v>061-REAL ESTATE</v>
          </cell>
        </row>
        <row r="506">
          <cell r="A506">
            <v>11781</v>
          </cell>
          <cell r="B506" t="str">
            <v>PHELPS-REPL XFMR LS BKRS,UPGR 34BUS</v>
          </cell>
          <cell r="C506" t="str">
            <v>09E-ELECTRICAL ENGINEERING</v>
          </cell>
        </row>
        <row r="507">
          <cell r="A507">
            <v>11786</v>
          </cell>
          <cell r="B507" t="str">
            <v>VIADUCT - SECOND 84/MVA TRANSFORMER</v>
          </cell>
          <cell r="C507" t="str">
            <v>09E-ELECTRICAL ENGINEERING</v>
          </cell>
        </row>
        <row r="508">
          <cell r="A508">
            <v>11789</v>
          </cell>
          <cell r="B508" t="str">
            <v>WEDEKIND SUBSTATION 34 KV FEEDER</v>
          </cell>
          <cell r="C508" t="str">
            <v>09E-ELECTRICAL ENGINEERING</v>
          </cell>
        </row>
        <row r="509">
          <cell r="A509">
            <v>11800</v>
          </cell>
          <cell r="B509" t="str">
            <v>TS LOWER RESERVOIR DAM RAISING</v>
          </cell>
          <cell r="C509" t="str">
            <v>09M-GENERATION PROJECT ENGINEERING</v>
          </cell>
        </row>
        <row r="510">
          <cell r="A510">
            <v>11801</v>
          </cell>
          <cell r="B510" t="str">
            <v>TAUM SAUK - UPPER RESERVOIR LEAKAGE</v>
          </cell>
          <cell r="C510" t="str">
            <v>09M-GENERATION PROJECT ENGINEERING</v>
          </cell>
        </row>
        <row r="511">
          <cell r="A511">
            <v>11814</v>
          </cell>
          <cell r="B511" t="str">
            <v>CTG - FAIRGROUNDS CONTROLS UPGRADE</v>
          </cell>
          <cell r="C511" t="str">
            <v>09M-GENERATION PROJECT ENGINEERING</v>
          </cell>
        </row>
        <row r="512">
          <cell r="A512">
            <v>11819</v>
          </cell>
          <cell r="B512" t="str">
            <v>ST.FRANC.-345BRKR &amp; A HALF-RI-SF-2</v>
          </cell>
          <cell r="C512" t="str">
            <v>09E-ELECTRICAL ENGINEERING</v>
          </cell>
        </row>
        <row r="513">
          <cell r="A513">
            <v>11823</v>
          </cell>
          <cell r="B513" t="str">
            <v>CTG - MERAMEC CTG 1 CONTROL UPGRADE</v>
          </cell>
          <cell r="C513" t="str">
            <v>09M-GENERATION PROJECT ENGINEERING</v>
          </cell>
        </row>
        <row r="514">
          <cell r="A514">
            <v>11847</v>
          </cell>
          <cell r="B514" t="str">
            <v>RUSH ISLAND -345KV LN.TERM.-RI-SF-2</v>
          </cell>
          <cell r="C514" t="str">
            <v>09E-ELECTRICAL ENGINEERING</v>
          </cell>
        </row>
        <row r="515">
          <cell r="A515">
            <v>11855</v>
          </cell>
          <cell r="B515" t="str">
            <v>REPLACE U3 WALLBLOWERS</v>
          </cell>
          <cell r="C515" t="str">
            <v>09M-GENERATION PROJECT ENGINEERING</v>
          </cell>
        </row>
        <row r="516">
          <cell r="A516">
            <v>11881</v>
          </cell>
          <cell r="B516" t="str">
            <v>RUSH ISL.-NEW 345KV POSN FOR HOLCIM</v>
          </cell>
          <cell r="C516" t="str">
            <v>09E-ELECTRICAL ENGINEERING</v>
          </cell>
        </row>
        <row r="517">
          <cell r="A517">
            <v>11907</v>
          </cell>
          <cell r="B517" t="str">
            <v>HUNTER-INST.3RD XFMR,138 PCB,34 PCB</v>
          </cell>
          <cell r="C517" t="str">
            <v>09E-ELECTRICAL ENGINEERING</v>
          </cell>
        </row>
        <row r="518">
          <cell r="A518">
            <v>11917</v>
          </cell>
          <cell r="B518" t="str">
            <v>LBD U1 WATER CANNON ADDITIONS</v>
          </cell>
          <cell r="C518" t="str">
            <v>09M-GENERATION PROJECT ENGINEERING</v>
          </cell>
        </row>
        <row r="519">
          <cell r="A519">
            <v>11919</v>
          </cell>
          <cell r="B519" t="str">
            <v>LBD U3 WATER CANNON ADDITIONS</v>
          </cell>
          <cell r="C519" t="str">
            <v>09M-GENERATION PROJECT ENGINEERING</v>
          </cell>
        </row>
        <row r="520">
          <cell r="A520">
            <v>11920</v>
          </cell>
          <cell r="B520" t="str">
            <v>SIOUX-1 AUX BUS 1C REPLACEMENT</v>
          </cell>
          <cell r="C520" t="str">
            <v>09M-GENERATION PROJECT ENGINEERING</v>
          </cell>
        </row>
        <row r="521">
          <cell r="A521">
            <v>11940</v>
          </cell>
          <cell r="B521" t="str">
            <v>SX U1 HP/IP TURB REPL</v>
          </cell>
          <cell r="C521" t="str">
            <v>09M-GENERATION PROJECT ENGINEERING</v>
          </cell>
        </row>
        <row r="522">
          <cell r="A522">
            <v>11941</v>
          </cell>
          <cell r="B522" t="str">
            <v>SX U2 HP/IP TURB REPL</v>
          </cell>
          <cell r="C522" t="str">
            <v>09M-GENERATION PROJECT ENGINEERING</v>
          </cell>
        </row>
        <row r="523">
          <cell r="A523">
            <v>11989</v>
          </cell>
          <cell r="B523" t="str">
            <v>MER U4 #1&amp;2 FEEDWATER HEATERS REPL</v>
          </cell>
          <cell r="C523" t="str">
            <v>09M-GENERATION PROJECT ENGINEERING</v>
          </cell>
        </row>
        <row r="524">
          <cell r="A524">
            <v>11990</v>
          </cell>
          <cell r="B524" t="str">
            <v>WAMS PHASOR MEASUREMENT SYSTEM INST</v>
          </cell>
          <cell r="C524" t="str">
            <v>09E-ELECTRICAL ENGINEERING</v>
          </cell>
        </row>
        <row r="525">
          <cell r="A525">
            <v>11995</v>
          </cell>
          <cell r="B525" t="str">
            <v>LBD U2 #1 HP HEATER REPL</v>
          </cell>
          <cell r="C525" t="str">
            <v>09M-GENERATION PROJECT ENGINEERING</v>
          </cell>
        </row>
        <row r="526">
          <cell r="A526">
            <v>12000</v>
          </cell>
          <cell r="B526" t="str">
            <v>SX 480V PRECIPITATOR BUS 1AA REPL</v>
          </cell>
          <cell r="C526" t="str">
            <v>09M-GENERATION PROJECT ENGINEERING</v>
          </cell>
        </row>
        <row r="527">
          <cell r="A527">
            <v>12001</v>
          </cell>
          <cell r="B527" t="str">
            <v>SX 480V PRECIPITATOR BUS 2AA REPL</v>
          </cell>
          <cell r="C527" t="str">
            <v>09M-GENERATION PROJECT ENGINEERING</v>
          </cell>
        </row>
        <row r="528">
          <cell r="A528">
            <v>12015</v>
          </cell>
          <cell r="B528" t="str">
            <v>RI CONDEN. STORAGE TANK &amp; DEMIN UPG</v>
          </cell>
          <cell r="C528" t="str">
            <v>09M-GENERATION PROJECT ENGINEERING</v>
          </cell>
        </row>
        <row r="529">
          <cell r="A529">
            <v>12016</v>
          </cell>
          <cell r="B529" t="str">
            <v>MER SUMMER VENTILATION IMPROVEMENT</v>
          </cell>
          <cell r="C529" t="str">
            <v>09M-GENERATION PROJECT ENGINEERING</v>
          </cell>
        </row>
        <row r="530">
          <cell r="A530">
            <v>12063</v>
          </cell>
          <cell r="B530" t="str">
            <v>MER U3 STATION BATTERIES REPL</v>
          </cell>
          <cell r="C530" t="str">
            <v>09M-GENERATION PROJECT ENGINEERING</v>
          </cell>
        </row>
        <row r="531">
          <cell r="A531">
            <v>12064</v>
          </cell>
          <cell r="B531" t="str">
            <v>MER U4 STATION BATTERIES REPL</v>
          </cell>
          <cell r="C531" t="str">
            <v>09M-GENERATION PROJECT ENGINEERING</v>
          </cell>
        </row>
        <row r="532">
          <cell r="A532">
            <v>12066</v>
          </cell>
          <cell r="B532" t="str">
            <v>SL - CARUTHERSVILLE OFF BLDG</v>
          </cell>
          <cell r="C532" t="str">
            <v>061-REAL ESTATE</v>
          </cell>
        </row>
        <row r="533">
          <cell r="A533">
            <v>12170</v>
          </cell>
          <cell r="B533" t="str">
            <v>MER SHOP AREA FIRE PROTECTION</v>
          </cell>
          <cell r="C533" t="str">
            <v>09M-GENERATION PROJECT ENGINEERING</v>
          </cell>
        </row>
        <row r="534">
          <cell r="A534">
            <v>12171</v>
          </cell>
          <cell r="B534" t="str">
            <v>ETZEL AVE. SALE</v>
          </cell>
          <cell r="C534" t="str">
            <v>061-REAL ESTATE</v>
          </cell>
        </row>
        <row r="535">
          <cell r="A535">
            <v>12183</v>
          </cell>
          <cell r="B535" t="str">
            <v>MER U3&amp;4 CWP ISO. (DOW) VALVES REPL</v>
          </cell>
          <cell r="C535" t="str">
            <v>09M-GENERATION PROJECT ENGINEERING</v>
          </cell>
        </row>
        <row r="536">
          <cell r="A536">
            <v>12194</v>
          </cell>
          <cell r="B536" t="str">
            <v>MEREDOSIA UNIT 3 GENERATOR REWIND</v>
          </cell>
          <cell r="C536" t="str">
            <v>09M-GENERATION PROJECT ENGINEERING</v>
          </cell>
        </row>
        <row r="537">
          <cell r="A537">
            <v>12208</v>
          </cell>
          <cell r="B537" t="str">
            <v>CIPS MOBILE DATA</v>
          </cell>
          <cell r="C537" t="str">
            <v>065-NEO - TELEPHONE SERVICES</v>
          </cell>
        </row>
        <row r="538">
          <cell r="A538">
            <v>12218</v>
          </cell>
          <cell r="B538" t="str">
            <v>DIGITAL ACCESS CROSSCONNECT</v>
          </cell>
          <cell r="C538" t="str">
            <v>065-NEO - TELEPHONE SERVICES</v>
          </cell>
        </row>
        <row r="539">
          <cell r="A539">
            <v>12224</v>
          </cell>
          <cell r="B539" t="str">
            <v>DUPO FERRY - BUCK KNOB 138KV LINE</v>
          </cell>
          <cell r="C539" t="str">
            <v>09E-ELECTRICAL ENGINEERING</v>
          </cell>
        </row>
        <row r="540">
          <cell r="A540">
            <v>12226</v>
          </cell>
          <cell r="B540" t="str">
            <v>MIDTOWN SUB SALE</v>
          </cell>
          <cell r="C540" t="str">
            <v>061-REAL ESTATE</v>
          </cell>
        </row>
        <row r="541">
          <cell r="A541">
            <v>12250</v>
          </cell>
          <cell r="B541" t="str">
            <v>MER OFFICE AREA FIRE PROTECTION</v>
          </cell>
          <cell r="C541" t="str">
            <v>09M-GENERATION PROJECT ENGINEERING</v>
          </cell>
        </row>
        <row r="542">
          <cell r="A542">
            <v>12275</v>
          </cell>
          <cell r="B542" t="str">
            <v>NPS U2 REPLACE EHC CONTROLS</v>
          </cell>
          <cell r="C542" t="str">
            <v>09M-GENERATION PROJECT ENGINEERING</v>
          </cell>
        </row>
        <row r="543">
          <cell r="A543">
            <v>12298</v>
          </cell>
          <cell r="B543" t="str">
            <v>GCS4 - GAS SCADA</v>
          </cell>
          <cell r="C543" t="str">
            <v>0G1-GAS TECH SERVICES - CIP</v>
          </cell>
        </row>
        <row r="544">
          <cell r="A544">
            <v>12299</v>
          </cell>
          <cell r="B544" t="str">
            <v>EDGAR SUBSTATION-NEW SITE ACQUISITI</v>
          </cell>
          <cell r="C544" t="str">
            <v>09E-ELECTRICAL ENGINEERING</v>
          </cell>
        </row>
        <row r="545">
          <cell r="A545">
            <v>12300</v>
          </cell>
          <cell r="B545" t="str">
            <v>HIGHLAND SUBSTATION-NEW SITE ACQUIS</v>
          </cell>
          <cell r="C545" t="str">
            <v>09E-ELECTRICAL ENGINEERING</v>
          </cell>
        </row>
        <row r="546">
          <cell r="A546">
            <v>12308</v>
          </cell>
          <cell r="B546" t="str">
            <v>ENTERGY(FRANKLIN CO.)345 IN-OUT SUP</v>
          </cell>
          <cell r="C546" t="str">
            <v>09E-ELECTRICAL ENGINEERING</v>
          </cell>
        </row>
        <row r="547">
          <cell r="A547">
            <v>12338</v>
          </cell>
          <cell r="B547" t="str">
            <v>MEREDOSIA UNIT 4 REPOWERING STUDY</v>
          </cell>
          <cell r="C547" t="str">
            <v>09M-GENERATION PROJECT ENGINEERING</v>
          </cell>
        </row>
        <row r="548">
          <cell r="A548">
            <v>12359</v>
          </cell>
          <cell r="B548" t="str">
            <v>SALE OF OWANECO PROPERTY</v>
          </cell>
          <cell r="C548" t="str">
            <v>061-REAL ESTATE</v>
          </cell>
        </row>
        <row r="549">
          <cell r="A549">
            <v>12365</v>
          </cell>
          <cell r="B549" t="str">
            <v>DES PERES SUB SITE SALE</v>
          </cell>
          <cell r="C549" t="str">
            <v>061-REAL ESTATE</v>
          </cell>
        </row>
        <row r="550">
          <cell r="A550">
            <v>12370</v>
          </cell>
          <cell r="B550" t="str">
            <v>MONTGOMERY -ADD 2 POSNS FOR PANDA</v>
          </cell>
          <cell r="C550" t="str">
            <v>09E-ELECTRICAL ENGINEERING</v>
          </cell>
        </row>
        <row r="551">
          <cell r="A551">
            <v>12391</v>
          </cell>
          <cell r="B551" t="str">
            <v>RI U1&amp;2 TURB GENERATOR FIRE PROTECT</v>
          </cell>
          <cell r="C551" t="str">
            <v>09M-GENERATION PROJECT ENGINEERING</v>
          </cell>
        </row>
        <row r="552">
          <cell r="A552">
            <v>12397</v>
          </cell>
          <cell r="B552" t="str">
            <v>MERAMEC 4 ECONOMIZER REPLACEMENT</v>
          </cell>
          <cell r="C552" t="str">
            <v>09M-GENERATION PROJECT ENGINEERING</v>
          </cell>
        </row>
        <row r="553">
          <cell r="A553">
            <v>12428</v>
          </cell>
          <cell r="B553" t="str">
            <v>PROPERTY SALE 235 METRO DRIVE</v>
          </cell>
          <cell r="C553" t="str">
            <v>061-REAL ESTATE</v>
          </cell>
        </row>
        <row r="554">
          <cell r="A554">
            <v>12443</v>
          </cell>
          <cell r="B554" t="str">
            <v>ST. CHARLES -FENCE &amp; GRNDG-CITY LOT</v>
          </cell>
          <cell r="C554" t="str">
            <v>09E-ELECTRICAL ENGINEERING</v>
          </cell>
        </row>
        <row r="555">
          <cell r="A555">
            <v>12444</v>
          </cell>
          <cell r="B555" t="str">
            <v>METROLINK CROSS-CO.TRANSM.LN.RELOC.</v>
          </cell>
          <cell r="C555" t="str">
            <v>09E-ELECTRICAL ENGINEERING</v>
          </cell>
        </row>
        <row r="556">
          <cell r="A556">
            <v>12449</v>
          </cell>
          <cell r="B556" t="str">
            <v>METRO LINK CROSS COUNTY RELOCATION</v>
          </cell>
          <cell r="C556" t="str">
            <v>066-MO OPS ADMIN</v>
          </cell>
        </row>
        <row r="557">
          <cell r="A557">
            <v>12455</v>
          </cell>
          <cell r="B557" t="str">
            <v>WAN INFRASTRUCTURE UPGRADES AMEREN</v>
          </cell>
          <cell r="C557" t="str">
            <v>06H-NEO - ENTERPRISE NETWORKING</v>
          </cell>
        </row>
        <row r="558">
          <cell r="A558">
            <v>12474</v>
          </cell>
          <cell r="B558" t="str">
            <v>MINR-73 SECOND SUPPLY TO EAST PRAIR</v>
          </cell>
          <cell r="C558" t="str">
            <v>0CS-SEMO SUPPORT STAFF</v>
          </cell>
        </row>
        <row r="559">
          <cell r="A559">
            <v>12479</v>
          </cell>
          <cell r="B559" t="str">
            <v>EUC-79 EXTENSION TO CWE HOSPITAL</v>
          </cell>
          <cell r="C559" t="str">
            <v>036-UNDERGROUND</v>
          </cell>
        </row>
        <row r="560">
          <cell r="A560">
            <v>12483</v>
          </cell>
          <cell r="B560" t="str">
            <v>PENO CREEK CTG #1</v>
          </cell>
          <cell r="C560" t="str">
            <v>09M-GENERATION PROJECT ENGINEERING</v>
          </cell>
        </row>
        <row r="561">
          <cell r="A561">
            <v>12484</v>
          </cell>
          <cell r="B561" t="str">
            <v>PENO CREEK CTG #2</v>
          </cell>
          <cell r="C561" t="str">
            <v>09M-GENERATION PROJECT ENGINEERING</v>
          </cell>
        </row>
        <row r="562">
          <cell r="A562">
            <v>12485</v>
          </cell>
          <cell r="B562" t="str">
            <v>PENO CREEK CTG #3</v>
          </cell>
          <cell r="C562" t="str">
            <v>09M-GENERATION PROJECT ENGINEERING</v>
          </cell>
        </row>
        <row r="563">
          <cell r="A563">
            <v>12486</v>
          </cell>
          <cell r="B563" t="str">
            <v>PENO CREEK CTG #4</v>
          </cell>
          <cell r="C563" t="str">
            <v>09M-GENERATION PROJECT ENGINEERING</v>
          </cell>
        </row>
        <row r="564">
          <cell r="A564">
            <v>12491</v>
          </cell>
          <cell r="B564" t="str">
            <v>OSAGE TURBINE REPLACEMENTS PHASE II</v>
          </cell>
          <cell r="C564" t="str">
            <v>09V-NEW GEN &amp; ENV PROJECTS</v>
          </cell>
        </row>
        <row r="565">
          <cell r="A565">
            <v>12522</v>
          </cell>
          <cell r="B565" t="str">
            <v>RI CEMS DATA ACQUISTION REPL</v>
          </cell>
          <cell r="C565" t="str">
            <v>09M-GENERATION PROJECT ENGINEERING</v>
          </cell>
        </row>
        <row r="566">
          <cell r="A566">
            <v>12523</v>
          </cell>
          <cell r="B566" t="str">
            <v>SX CEM DATA ACQUISITION SYSTEM REPL</v>
          </cell>
          <cell r="C566" t="str">
            <v>09M-GENERATION PROJECT ENGINEERING</v>
          </cell>
        </row>
        <row r="567">
          <cell r="A567">
            <v>12524</v>
          </cell>
          <cell r="B567" t="str">
            <v>MER U3 GSU XFMR REPL</v>
          </cell>
          <cell r="C567" t="str">
            <v>09M-GENERATION PROJECT ENGINEERING</v>
          </cell>
        </row>
        <row r="568">
          <cell r="A568">
            <v>12526</v>
          </cell>
          <cell r="B568" t="str">
            <v>PURCHASE OF REAL ESTATE</v>
          </cell>
          <cell r="C568" t="str">
            <v>130-BUSINESS SERVICES - AEG</v>
          </cell>
        </row>
        <row r="569">
          <cell r="A569">
            <v>12528</v>
          </cell>
          <cell r="B569" t="str">
            <v>LBD 3A&amp;B AIR PREHEATER REPL</v>
          </cell>
          <cell r="C569" t="str">
            <v>09M-GENERATION PROJECT ENGINEERING</v>
          </cell>
        </row>
        <row r="570">
          <cell r="A570">
            <v>12546</v>
          </cell>
          <cell r="B570" t="str">
            <v>GRAND TOWER TO ANNA LINE RELOCATION</v>
          </cell>
          <cell r="C570" t="str">
            <v>09E-ELECTRICAL ENGINEERING</v>
          </cell>
        </row>
        <row r="571">
          <cell r="A571">
            <v>12548</v>
          </cell>
          <cell r="B571" t="str">
            <v>VARIOUS 138KV CAP.BANKS-TRANSM.SYS.</v>
          </cell>
          <cell r="C571" t="str">
            <v>09E-ELECTRICAL ENGINEERING</v>
          </cell>
        </row>
        <row r="572">
          <cell r="A572">
            <v>12557</v>
          </cell>
          <cell r="B572" t="str">
            <v>109-6 UPGRADE</v>
          </cell>
          <cell r="C572" t="str">
            <v>036-UNDERGROUND</v>
          </cell>
        </row>
        <row r="573">
          <cell r="A573">
            <v>12562</v>
          </cell>
          <cell r="B573" t="str">
            <v>WASH U. MCKINLEY CUSTOMER SUB 2ND U</v>
          </cell>
          <cell r="C573" t="str">
            <v>056-GERALDINE</v>
          </cell>
        </row>
        <row r="574">
          <cell r="A574">
            <v>12565</v>
          </cell>
          <cell r="B574" t="str">
            <v>ST. LOUIS ZOO CUSTOMER SUBSTATION</v>
          </cell>
          <cell r="C574" t="str">
            <v>09E-ELECTRICAL ENGINEERING</v>
          </cell>
        </row>
        <row r="575">
          <cell r="A575">
            <v>12571</v>
          </cell>
          <cell r="B575" t="str">
            <v>NEWTON SWYD. - REPL. XFMRS #1 &amp; #2</v>
          </cell>
          <cell r="C575" t="str">
            <v>09E-ELECTRICAL ENGINEERING</v>
          </cell>
        </row>
        <row r="576">
          <cell r="A576">
            <v>12582</v>
          </cell>
          <cell r="B576" t="str">
            <v>CAMPBELL-MALINE 138KV LINE RECOND.</v>
          </cell>
          <cell r="C576" t="str">
            <v>09E-ELECTRICAL ENGINEERING</v>
          </cell>
        </row>
        <row r="577">
          <cell r="A577">
            <v>12595</v>
          </cell>
          <cell r="B577" t="str">
            <v>LBD EMERG GENERATOR A SWGR REPL</v>
          </cell>
          <cell r="C577" t="str">
            <v>09M-GENERATION PROJECT ENGINEERING</v>
          </cell>
        </row>
        <row r="578">
          <cell r="A578">
            <v>12596</v>
          </cell>
          <cell r="B578" t="str">
            <v>LBD EMERG GENERATOR B SWGR REPL</v>
          </cell>
          <cell r="C578" t="str">
            <v>09M-GENERATION PROJECT ENGINEERING</v>
          </cell>
        </row>
        <row r="579">
          <cell r="A579">
            <v>12610</v>
          </cell>
          <cell r="B579" t="str">
            <v>SL - CHARLESTON LAND AND BLDG</v>
          </cell>
          <cell r="C579" t="str">
            <v>061-REAL ESTATE</v>
          </cell>
        </row>
        <row r="580">
          <cell r="A580">
            <v>12611</v>
          </cell>
          <cell r="B580" t="str">
            <v>SL - EXCESS PROP CARROLLTON SUB</v>
          </cell>
          <cell r="C580" t="str">
            <v>061-REAL ESTATE</v>
          </cell>
        </row>
        <row r="581">
          <cell r="A581">
            <v>12612</v>
          </cell>
          <cell r="B581" t="str">
            <v>SALE OF EXCESS PROPERTY TAUSSIG SUB</v>
          </cell>
          <cell r="C581" t="str">
            <v>061-REAL ESTATE</v>
          </cell>
        </row>
        <row r="582">
          <cell r="A582">
            <v>12636</v>
          </cell>
          <cell r="B582" t="str">
            <v>STEAM GENERATOR REPLACEMENT</v>
          </cell>
          <cell r="C582" t="str">
            <v>8AA-NUCL - ENG PROJ - PROJECTS</v>
          </cell>
        </row>
        <row r="583">
          <cell r="A583">
            <v>12637</v>
          </cell>
          <cell r="B583" t="str">
            <v>DUPO AREA SUB -NEW 345-138KV SUB</v>
          </cell>
          <cell r="C583" t="str">
            <v>09E-ELECTRICAL ENGINEERING</v>
          </cell>
        </row>
        <row r="584">
          <cell r="A584">
            <v>12643</v>
          </cell>
          <cell r="B584" t="str">
            <v>POTOSI-REBLD W-2-34/12, 22MVA UNITS</v>
          </cell>
          <cell r="C584" t="str">
            <v>09E-ELECTRICAL ENGINEERING</v>
          </cell>
        </row>
        <row r="585">
          <cell r="A585">
            <v>12644</v>
          </cell>
          <cell r="B585" t="str">
            <v>YELLOW ROCK -NEW 34-12KV, 22MVA SUB</v>
          </cell>
          <cell r="C585" t="str">
            <v>09E-ELECTRICAL ENGINEERING</v>
          </cell>
        </row>
        <row r="586">
          <cell r="A586">
            <v>12645</v>
          </cell>
          <cell r="B586" t="str">
            <v>BUTCHER BRANCH-NEW 34-12, 22MVA SUB</v>
          </cell>
          <cell r="C586" t="str">
            <v>09E-ELECTRICAL ENGINEERING</v>
          </cell>
        </row>
        <row r="587">
          <cell r="A587">
            <v>12676</v>
          </cell>
          <cell r="B587" t="str">
            <v>SIDNEY - RANTOUL JCT. 138KV REBUILD</v>
          </cell>
          <cell r="C587" t="str">
            <v>09E-ELECTRICAL ENGINEERING</v>
          </cell>
        </row>
        <row r="588">
          <cell r="A588">
            <v>12680</v>
          </cell>
          <cell r="B588" t="str">
            <v>KANSAS WEST-MURDOCK LINE REBUILD</v>
          </cell>
          <cell r="C588" t="str">
            <v>09E-ELECTRICAL ENGINEERING</v>
          </cell>
        </row>
        <row r="589">
          <cell r="A589">
            <v>12683</v>
          </cell>
          <cell r="B589" t="str">
            <v>MOBERLY - OVERTON 161 KV SAG LIMITS</v>
          </cell>
          <cell r="C589" t="str">
            <v>09E-ELECTRICAL ENGINEERING</v>
          </cell>
        </row>
        <row r="590">
          <cell r="A590">
            <v>12684</v>
          </cell>
          <cell r="B590" t="str">
            <v>ST. FRANCOIS-RIVERM.-3 NEW 138KV LN</v>
          </cell>
          <cell r="C590" t="str">
            <v>09E-ELECTRICAL ENGINEERING</v>
          </cell>
        </row>
        <row r="591">
          <cell r="A591">
            <v>12701</v>
          </cell>
          <cell r="B591" t="str">
            <v>MER U1&amp;2  BOILER MTCE PLATFORMS</v>
          </cell>
          <cell r="C591" t="str">
            <v>09M-GENERATION PROJECT ENGINEERING</v>
          </cell>
        </row>
        <row r="592">
          <cell r="A592">
            <v>12705</v>
          </cell>
          <cell r="B592" t="str">
            <v>MER U1&amp;2 4160V BREAKER REPL</v>
          </cell>
          <cell r="C592" t="str">
            <v>09M-GENERATION PROJECT ENGINEERING</v>
          </cell>
        </row>
        <row r="593">
          <cell r="A593">
            <v>12707</v>
          </cell>
          <cell r="B593" t="str">
            <v>MER U1&amp;2 CONDENSATE COOLERS REPL</v>
          </cell>
          <cell r="C593" t="str">
            <v>09M-GENERATION PROJECT ENGINEERING</v>
          </cell>
        </row>
        <row r="594">
          <cell r="A594">
            <v>12711</v>
          </cell>
          <cell r="B594" t="str">
            <v>LOOSE CREEK-MARIOSA DELTA 345 KV LN</v>
          </cell>
          <cell r="C594" t="str">
            <v>09E-ELECTRICAL ENGINEERING</v>
          </cell>
        </row>
        <row r="595">
          <cell r="A595">
            <v>12712</v>
          </cell>
          <cell r="B595" t="str">
            <v>LABADIE - 4KV SWITCHGEAR ENCLOSURES</v>
          </cell>
          <cell r="C595" t="str">
            <v>09M-GENERATION PROJECT ENGINEERING</v>
          </cell>
        </row>
        <row r="596">
          <cell r="A596">
            <v>12714</v>
          </cell>
          <cell r="B596" t="str">
            <v>CAHOKIA-DUPO 345 KV TRANSMISSION LN</v>
          </cell>
          <cell r="C596" t="str">
            <v>09E-ELECTRICAL ENGINEERING</v>
          </cell>
        </row>
        <row r="597">
          <cell r="A597">
            <v>12720</v>
          </cell>
          <cell r="B597" t="str">
            <v>LABADIE UNIT 4 MCC REPLACEMENT</v>
          </cell>
          <cell r="C597" t="str">
            <v>09M-GENERATION PROJECT ENGINEERING</v>
          </cell>
        </row>
        <row r="598">
          <cell r="A598">
            <v>12729</v>
          </cell>
          <cell r="B598" t="str">
            <v>RI - INTAKE STRUCTURE ENCLOSURE</v>
          </cell>
          <cell r="C598" t="str">
            <v>09M-GENERATION PROJECT ENGINEERING</v>
          </cell>
        </row>
        <row r="599">
          <cell r="A599">
            <v>12732</v>
          </cell>
          <cell r="B599" t="str">
            <v>NEWTON - EFFINGHAM 138KV REBUILD</v>
          </cell>
          <cell r="C599" t="str">
            <v>09E-ELECTRICAL ENGINEERING</v>
          </cell>
        </row>
        <row r="600">
          <cell r="A600">
            <v>12737</v>
          </cell>
          <cell r="B600" t="str">
            <v>CAH-N.COULTERVILLE,REMOVE SAG LIMIT</v>
          </cell>
          <cell r="C600" t="str">
            <v>09E-ELECTRICAL ENGINEERING</v>
          </cell>
        </row>
        <row r="601">
          <cell r="A601">
            <v>12744</v>
          </cell>
          <cell r="B601" t="str">
            <v>CAMPBELL-MALINE 1&amp;2 138KV RECONDUCT</v>
          </cell>
          <cell r="C601" t="str">
            <v>09E-ELECTRICAL ENGINEERING</v>
          </cell>
        </row>
        <row r="602">
          <cell r="A602">
            <v>12749</v>
          </cell>
          <cell r="B602" t="str">
            <v>TAUM SAUK RELICENSING</v>
          </cell>
          <cell r="C602" t="str">
            <v>44A-OSAGE PLANT GENERAL &amp; BUD</v>
          </cell>
        </row>
        <row r="603">
          <cell r="A603">
            <v>12756</v>
          </cell>
          <cell r="B603" t="str">
            <v>CRAB ORCH.-MARION S.138 KV LN REBLD</v>
          </cell>
          <cell r="C603" t="str">
            <v>09E-ELECTRICAL ENGINEERING</v>
          </cell>
        </row>
        <row r="604">
          <cell r="A604">
            <v>12768</v>
          </cell>
          <cell r="B604" t="str">
            <v>RUDDER -REPL.XFMRS &amp; AIR BRK SW'S.</v>
          </cell>
          <cell r="C604" t="str">
            <v>09E-ELECTRICAL ENGINEERING</v>
          </cell>
        </row>
        <row r="605">
          <cell r="A605">
            <v>12771</v>
          </cell>
          <cell r="B605" t="str">
            <v>RI U2 SH SOOTBLOWER ADDITIONS</v>
          </cell>
          <cell r="C605" t="str">
            <v>09M-GENERATION PROJECT ENGINEERING</v>
          </cell>
        </row>
        <row r="606">
          <cell r="A606">
            <v>12773</v>
          </cell>
          <cell r="B606" t="str">
            <v>RI DRY FLYASH COLLECTION SYSTEM</v>
          </cell>
          <cell r="C606" t="str">
            <v>09M-GENERATION PROJECT ENGINEERING</v>
          </cell>
        </row>
        <row r="607">
          <cell r="A607">
            <v>12775</v>
          </cell>
          <cell r="B607" t="str">
            <v>RUSH ISLAND-REPLACE SURGE BIN</v>
          </cell>
          <cell r="C607" t="str">
            <v>09M-GENERATION PROJECT ENGINEERING</v>
          </cell>
        </row>
        <row r="608">
          <cell r="A608">
            <v>12787</v>
          </cell>
          <cell r="B608" t="str">
            <v>VALMEYER-TAP DUPO F.-BUCK KN.-REIMB</v>
          </cell>
          <cell r="C608" t="str">
            <v>09E-ELECTRICAL ENGINEERING</v>
          </cell>
        </row>
        <row r="609">
          <cell r="A609">
            <v>12788</v>
          </cell>
          <cell r="B609" t="str">
            <v>FLETCHER-SWEETWATER 161 LN.REBUILD</v>
          </cell>
          <cell r="C609" t="str">
            <v>09E-ELECTRICAL ENGINEERING</v>
          </cell>
        </row>
        <row r="610">
          <cell r="A610">
            <v>12789</v>
          </cell>
          <cell r="B610" t="str">
            <v>BOYD BRANCH - TAP MERAMEC-ST. FR.-2</v>
          </cell>
          <cell r="C610" t="str">
            <v>09E-ELECTRICAL ENGINEERING</v>
          </cell>
        </row>
        <row r="611">
          <cell r="A611">
            <v>12794</v>
          </cell>
          <cell r="B611" t="str">
            <v>RUSH ISLAND UNIT 2 GENERATOR REWIND</v>
          </cell>
          <cell r="C611" t="str">
            <v>09M-GENERATION PROJECT ENGINEERING</v>
          </cell>
        </row>
        <row r="612">
          <cell r="A612">
            <v>12795</v>
          </cell>
          <cell r="B612" t="str">
            <v>TAUM SAUK DIGITAL CONTROLS</v>
          </cell>
          <cell r="C612" t="str">
            <v>09M-GENERATION PROJECT ENGINEERING</v>
          </cell>
        </row>
        <row r="613">
          <cell r="A613">
            <v>12803</v>
          </cell>
          <cell r="B613" t="str">
            <v>KANSAS-W.-UPGR.138 TERM TO MURDOCK</v>
          </cell>
          <cell r="C613" t="str">
            <v>09E-ELECTRICAL ENGINEERING</v>
          </cell>
        </row>
        <row r="614">
          <cell r="A614">
            <v>12810</v>
          </cell>
          <cell r="B614" t="str">
            <v>LOOSE CREEK-345 RING BUS (CAL-FRKS)</v>
          </cell>
          <cell r="C614" t="str">
            <v>09E-ELECTRICAL ENGINEERING</v>
          </cell>
        </row>
        <row r="615">
          <cell r="A615">
            <v>12813</v>
          </cell>
          <cell r="B615" t="str">
            <v>JOACHIM -SITE ACQ.(WAS BAILEY AREA)</v>
          </cell>
          <cell r="C615" t="str">
            <v>09E-ELECTRICAL ENGINEERING</v>
          </cell>
        </row>
        <row r="616">
          <cell r="A616">
            <v>12814</v>
          </cell>
          <cell r="B616" t="str">
            <v>MER 4A&amp;B ESP DEMO &amp; NEW DUCT INSTAL</v>
          </cell>
          <cell r="C616" t="str">
            <v>09M-GENERATION PROJECT ENGINEERING</v>
          </cell>
        </row>
        <row r="617">
          <cell r="A617">
            <v>12815</v>
          </cell>
          <cell r="B617" t="str">
            <v>PALMYRA-QUINCY 345 KV LINE (IL)</v>
          </cell>
          <cell r="C617" t="str">
            <v>09E-ELECTRICAL ENGINEERING</v>
          </cell>
        </row>
        <row r="618">
          <cell r="A618">
            <v>12816</v>
          </cell>
          <cell r="B618" t="str">
            <v>PIKE SUB- INST 2ND XFMR (161-69KV)</v>
          </cell>
          <cell r="C618" t="str">
            <v>09E-ELECTRICAL ENGINEERING</v>
          </cell>
        </row>
        <row r="619">
          <cell r="A619">
            <v>12819</v>
          </cell>
          <cell r="B619" t="str">
            <v>CAHOK-MER-1&amp;2 REBLD.CAH.-LEMAY TAP</v>
          </cell>
          <cell r="C619" t="str">
            <v>09E-ELECTRICAL ENGINEERING</v>
          </cell>
        </row>
        <row r="620">
          <cell r="A620">
            <v>12822</v>
          </cell>
          <cell r="B620" t="str">
            <v>CALLAW.345 BRKR-REL.MODS-MTGY-CAL-7</v>
          </cell>
          <cell r="C620" t="str">
            <v>09E-ELECTRICAL ENGINEERING</v>
          </cell>
        </row>
        <row r="621">
          <cell r="A621">
            <v>12824</v>
          </cell>
          <cell r="B621" t="str">
            <v>SIOUX - RAIL LOOP EXPANSION &amp; WEST</v>
          </cell>
          <cell r="C621" t="str">
            <v>09M-GENERATION PROJECT ENGINEERING</v>
          </cell>
        </row>
        <row r="622">
          <cell r="A622">
            <v>12826</v>
          </cell>
          <cell r="B622" t="str">
            <v>SX U1 480V BOILER BUS 1C,1D&amp;1E RPL</v>
          </cell>
          <cell r="C622" t="str">
            <v>09M-GENERATION PROJECT ENGINEERING</v>
          </cell>
        </row>
        <row r="623">
          <cell r="A623">
            <v>12839</v>
          </cell>
          <cell r="B623" t="str">
            <v>SIOUX-ROXF-1&amp;2 RECND.-MISS TAP-ROXF</v>
          </cell>
          <cell r="C623" t="str">
            <v>09E-ELECTRICAL ENGINEERING</v>
          </cell>
        </row>
        <row r="624">
          <cell r="A624">
            <v>12848</v>
          </cell>
          <cell r="B624" t="str">
            <v>CAPE RC RELOCATION</v>
          </cell>
          <cell r="C624" t="str">
            <v>033-SUB MTCE &amp; CONST-UEC NORTH</v>
          </cell>
        </row>
        <row r="625">
          <cell r="A625">
            <v>12849</v>
          </cell>
          <cell r="B625" t="str">
            <v>PAGE AND WATSON RC RELOCATIONS</v>
          </cell>
          <cell r="C625" t="str">
            <v>033-SUB MTCE &amp; CONST-UEC NORTH</v>
          </cell>
        </row>
        <row r="626">
          <cell r="A626">
            <v>12851</v>
          </cell>
          <cell r="B626" t="str">
            <v>OSAGE - GENERATOR 7 REWIND</v>
          </cell>
          <cell r="C626" t="str">
            <v>09M-GENERATION PROJECT ENGINEERING</v>
          </cell>
        </row>
        <row r="627">
          <cell r="A627">
            <v>12853</v>
          </cell>
          <cell r="B627" t="str">
            <v>PALMYRA - QUINCY 345 KV LINE (PRELI</v>
          </cell>
          <cell r="C627" t="str">
            <v>09E-ELECTRICAL ENGINEERING</v>
          </cell>
        </row>
        <row r="628">
          <cell r="A628">
            <v>12860</v>
          </cell>
          <cell r="B628" t="str">
            <v>HOWE- 2ND UNIT, 22MVA, W/MOD.HI-LO</v>
          </cell>
          <cell r="C628" t="str">
            <v>09E-ELECTRICAL ENGINEERING</v>
          </cell>
        </row>
        <row r="629">
          <cell r="A629">
            <v>12861</v>
          </cell>
          <cell r="B629" t="str">
            <v>CLAYTON- 34/12 UNIT D, 22MVA,-HI-LO</v>
          </cell>
          <cell r="C629" t="str">
            <v>09E-ELECTRICAL ENGINEERING</v>
          </cell>
        </row>
        <row r="630">
          <cell r="A630">
            <v>12862</v>
          </cell>
          <cell r="B630" t="str">
            <v>CATAWISSA-2ND UNIT, 22.4MVA W-HI-LO</v>
          </cell>
          <cell r="C630" t="str">
            <v>09E-ELECTRICAL ENGINEERING</v>
          </cell>
        </row>
        <row r="631">
          <cell r="A631">
            <v>12864</v>
          </cell>
          <cell r="B631" t="str">
            <v>EUREKA- 2ND UNIT, 14MVA W-MOD.HI-LO</v>
          </cell>
          <cell r="C631" t="str">
            <v>09E-ELECTRICAL ENGINEERING</v>
          </cell>
        </row>
        <row r="632">
          <cell r="A632">
            <v>12865</v>
          </cell>
          <cell r="B632" t="str">
            <v>CALLAWAY PH.2A-NEW BRK.POS.-V71&amp;V75</v>
          </cell>
          <cell r="C632" t="str">
            <v>09E-ELECTRICAL ENGINEERING</v>
          </cell>
        </row>
        <row r="633">
          <cell r="A633">
            <v>12878</v>
          </cell>
          <cell r="B633" t="str">
            <v>SAVOY-69KV BRKRS, ABS'S,BUSWK,SCADA</v>
          </cell>
          <cell r="C633" t="str">
            <v>09E-ELECTRICAL ENGINEERING</v>
          </cell>
        </row>
        <row r="634">
          <cell r="A634">
            <v>12891</v>
          </cell>
          <cell r="B634" t="str">
            <v>MER EMERG GENERATOR REPL</v>
          </cell>
          <cell r="C634" t="str">
            <v>09M-GENERATION PROJECT ENGINEERING</v>
          </cell>
        </row>
        <row r="635">
          <cell r="A635">
            <v>12893</v>
          </cell>
          <cell r="B635" t="str">
            <v>MERAMEC - 1&amp;2 DCS IMPROVEMENTS</v>
          </cell>
          <cell r="C635" t="str">
            <v>09M-GENERATION PROJECT ENGINEERING</v>
          </cell>
        </row>
        <row r="636">
          <cell r="A636">
            <v>12895</v>
          </cell>
          <cell r="B636" t="str">
            <v>SX U2 DCS CONSOLE REPL</v>
          </cell>
          <cell r="C636" t="str">
            <v>09M-GENERATION PROJECT ENGINEERING</v>
          </cell>
        </row>
        <row r="637">
          <cell r="A637">
            <v>12896</v>
          </cell>
          <cell r="B637" t="str">
            <v>SX U1 DCS CONSOLE REPL</v>
          </cell>
          <cell r="C637" t="str">
            <v>09M-GENERATION PROJECT ENGINEERING</v>
          </cell>
        </row>
        <row r="638">
          <cell r="A638">
            <v>12899</v>
          </cell>
          <cell r="B638" t="str">
            <v>CAHOKIA -UPGR. CAH-MERAM 1&amp;2 TERM.</v>
          </cell>
          <cell r="C638" t="str">
            <v>09E-ELECTRICAL ENGINEERING</v>
          </cell>
        </row>
        <row r="639">
          <cell r="A639">
            <v>12900</v>
          </cell>
          <cell r="B639" t="str">
            <v>SX - ADMIN BLDG IMPROVEMENTS</v>
          </cell>
          <cell r="C639" t="str">
            <v>09M-GENERATION PROJECT ENGINEERING</v>
          </cell>
        </row>
        <row r="640">
          <cell r="A640">
            <v>12905</v>
          </cell>
          <cell r="B640" t="str">
            <v>SX U2 ST-2 138KV BREAKER INSTALLATI</v>
          </cell>
          <cell r="C640" t="str">
            <v>09M-GENERATION PROJECT ENGINEERING</v>
          </cell>
        </row>
        <row r="641">
          <cell r="A641">
            <v>12906</v>
          </cell>
          <cell r="B641" t="str">
            <v>CONWAY - ADD 2-138KV BREAKERS</v>
          </cell>
          <cell r="C641" t="str">
            <v>09E-ELECTRICAL ENGINEERING</v>
          </cell>
        </row>
        <row r="642">
          <cell r="A642">
            <v>12907</v>
          </cell>
          <cell r="B642" t="str">
            <v>WARSON - ADD 2-138KV BREAKERS</v>
          </cell>
          <cell r="C642" t="str">
            <v>09E-ELECTRICAL ENGINEERING</v>
          </cell>
        </row>
        <row r="643">
          <cell r="A643">
            <v>12909</v>
          </cell>
          <cell r="B643" t="str">
            <v>KEOKUK GSU XFMR #4 REPLACEMENT</v>
          </cell>
          <cell r="C643" t="str">
            <v>09M-GENERATION PROJECT ENGINEERING</v>
          </cell>
        </row>
        <row r="644">
          <cell r="A644">
            <v>12917</v>
          </cell>
          <cell r="B644" t="str">
            <v>MERAMEC 3 FURNACE REPLACEMENT</v>
          </cell>
          <cell r="C644" t="str">
            <v>09M-GENERATION PROJECT ENGINEERING</v>
          </cell>
        </row>
        <row r="645">
          <cell r="A645">
            <v>12921</v>
          </cell>
          <cell r="B645" t="str">
            <v>JOACHIM (BAILEY AREA) SUPPLY FR.RI</v>
          </cell>
          <cell r="C645" t="str">
            <v>09E-ELECTRICAL ENGINEERING</v>
          </cell>
        </row>
        <row r="646">
          <cell r="A646">
            <v>12932</v>
          </cell>
          <cell r="B646" t="str">
            <v>EATHERTON 138-12KV SUB</v>
          </cell>
          <cell r="C646" t="str">
            <v>053-ELLISVILLE DISTRICT</v>
          </cell>
        </row>
        <row r="647">
          <cell r="A647">
            <v>12933</v>
          </cell>
          <cell r="B647" t="str">
            <v>ST.FRANCOIS- 138 KV SF-RIV-3 TERM.</v>
          </cell>
          <cell r="C647" t="str">
            <v>09E-ELECTRICAL ENGINEERING</v>
          </cell>
        </row>
        <row r="648">
          <cell r="A648">
            <v>12937</v>
          </cell>
          <cell r="B648" t="str">
            <v>APACHE FLATS- NEW 161KV AF-JC TERM</v>
          </cell>
          <cell r="C648" t="str">
            <v>09E-ELECTRICAL ENGINEERING</v>
          </cell>
        </row>
        <row r="649">
          <cell r="A649">
            <v>12942</v>
          </cell>
          <cell r="B649" t="str">
            <v>MOREAU  AREA (JEFF.CITY) 345 - 161</v>
          </cell>
          <cell r="C649" t="str">
            <v>09E-ELECTRICAL ENGINEERING</v>
          </cell>
        </row>
        <row r="650">
          <cell r="A650">
            <v>12947</v>
          </cell>
          <cell r="B650" t="str">
            <v>RI U2 SUPERHEAT REAR PENDANT REPL</v>
          </cell>
          <cell r="C650" t="str">
            <v>09M-GENERATION PROJECT ENGINEERING</v>
          </cell>
        </row>
        <row r="651">
          <cell r="A651">
            <v>12949</v>
          </cell>
          <cell r="B651" t="str">
            <v>SX U1 GR FAN INLET DAMPER REPL</v>
          </cell>
          <cell r="C651" t="str">
            <v>09M-GENERATION PROJECT ENGINEERING</v>
          </cell>
        </row>
        <row r="652">
          <cell r="A652">
            <v>12950</v>
          </cell>
          <cell r="B652" t="str">
            <v>META - 138-25KV SUB AND SITE ACQ.</v>
          </cell>
          <cell r="C652" t="str">
            <v>09E-ELECTRICAL ENGINEERING</v>
          </cell>
        </row>
        <row r="653">
          <cell r="A653">
            <v>12952</v>
          </cell>
          <cell r="B653" t="str">
            <v>CLARK -UPGR. RIV-CLARK-2 POS.-2000A</v>
          </cell>
          <cell r="C653" t="str">
            <v>09E-ELECTRICAL ENGINEERING</v>
          </cell>
        </row>
        <row r="654">
          <cell r="A654">
            <v>12954</v>
          </cell>
          <cell r="B654" t="str">
            <v>RIVERMINES-CAPE POSN., REPL.PCB</v>
          </cell>
          <cell r="C654" t="str">
            <v>09E-ELECTRICAL ENGINEERING</v>
          </cell>
        </row>
        <row r="655">
          <cell r="A655">
            <v>12955</v>
          </cell>
          <cell r="B655" t="str">
            <v>SWEETWATER - UPGRADE 161 KV TERM</v>
          </cell>
          <cell r="C655" t="str">
            <v>09E-ELECTRICAL ENGINEERING</v>
          </cell>
        </row>
        <row r="656">
          <cell r="A656">
            <v>12960</v>
          </cell>
          <cell r="B656" t="str">
            <v>GRAND TOWER - Comb DynamicsTool</v>
          </cell>
          <cell r="C656" t="str">
            <v>354-GRAND TOWER PLANT</v>
          </cell>
        </row>
        <row r="657">
          <cell r="A657">
            <v>12964</v>
          </cell>
          <cell r="B657" t="str">
            <v>PAGE FREQ. CHANGER BLDG. WINTERIZAT</v>
          </cell>
          <cell r="C657" t="str">
            <v>033-SUB MTCE &amp; CONST-UEC NORTH</v>
          </cell>
        </row>
        <row r="658">
          <cell r="A658">
            <v>12973</v>
          </cell>
          <cell r="B658" t="str">
            <v>18TH STREET RELOCATION</v>
          </cell>
          <cell r="C658" t="str">
            <v>072-BUILDING SERVICES-MO</v>
          </cell>
        </row>
        <row r="659">
          <cell r="A659">
            <v>12976</v>
          </cell>
          <cell r="B659" t="str">
            <v>RUSH ISLAND UNIT 1 GENERATOR REWIND</v>
          </cell>
          <cell r="C659" t="str">
            <v>09M-GENERATION PROJECT ENGINEERING</v>
          </cell>
        </row>
        <row r="660">
          <cell r="A660">
            <v>12977</v>
          </cell>
          <cell r="B660" t="str">
            <v>LBD U3 MCC UPGR PHASE 1</v>
          </cell>
          <cell r="C660" t="str">
            <v>09M-GENERATION PROJECT ENGINEERING</v>
          </cell>
        </row>
        <row r="661">
          <cell r="A661">
            <v>12978</v>
          </cell>
          <cell r="B661" t="str">
            <v>LBD U2 MCC REPL PHASE 1</v>
          </cell>
          <cell r="C661" t="str">
            <v>09M-GENERATION PROJECT ENGINEERING</v>
          </cell>
        </row>
        <row r="662">
          <cell r="A662">
            <v>12988</v>
          </cell>
          <cell r="B662" t="str">
            <v>SX CONTROL ROOM HVAC IMPROV</v>
          </cell>
          <cell r="C662" t="str">
            <v>09M-GENERATION PROJECT ENGINEERING</v>
          </cell>
        </row>
        <row r="663">
          <cell r="A663">
            <v>12989</v>
          </cell>
          <cell r="B663" t="str">
            <v>SX COAL CRUSHER HOUSE DUST COLLECT</v>
          </cell>
          <cell r="C663" t="str">
            <v>09M-GENERATION PROJECT ENGINEERING</v>
          </cell>
        </row>
        <row r="664">
          <cell r="A664">
            <v>12990</v>
          </cell>
          <cell r="B664" t="str">
            <v>MERAMEC - NEW DEMINERALIZER</v>
          </cell>
          <cell r="C664" t="str">
            <v>09M-GENERATION PROJECT ENGINEERING</v>
          </cell>
        </row>
        <row r="665">
          <cell r="A665">
            <v>13014</v>
          </cell>
          <cell r="B665" t="str">
            <v>DOSH REPLACE U3 MAIN POWER XFORMER</v>
          </cell>
          <cell r="C665" t="str">
            <v>140-MEREDOSIA</v>
          </cell>
        </row>
        <row r="666">
          <cell r="A666">
            <v>13040</v>
          </cell>
          <cell r="B666" t="str">
            <v>ROXFORD-PAWNEE 345KV LN. - 65MI. SC</v>
          </cell>
          <cell r="C666" t="str">
            <v>09E-ELECTRICAL ENGINEERING</v>
          </cell>
        </row>
        <row r="667">
          <cell r="A667">
            <v>13041</v>
          </cell>
          <cell r="B667" t="str">
            <v>ST. FRANCOIS-FLETCHER 345KV LINE (P</v>
          </cell>
          <cell r="C667" t="str">
            <v>09E-ELECTRICAL ENGINEERING</v>
          </cell>
        </row>
        <row r="668">
          <cell r="A668">
            <v>13076</v>
          </cell>
          <cell r="B668" t="str">
            <v>NPS U2 GENERATOR STATOR REWIND</v>
          </cell>
          <cell r="C668" t="str">
            <v>09M-GENERATION PROJECT ENGINEERING</v>
          </cell>
        </row>
        <row r="669">
          <cell r="A669">
            <v>13079</v>
          </cell>
          <cell r="B669" t="str">
            <v>LBD U4 MCC REPL PHASE 2</v>
          </cell>
          <cell r="C669" t="str">
            <v>09M-GENERATION PROJECT ENGINEERING</v>
          </cell>
        </row>
        <row r="670">
          <cell r="A670">
            <v>13083</v>
          </cell>
          <cell r="B670" t="str">
            <v>LBD U1 MCC REPL PHASE 2</v>
          </cell>
          <cell r="C670" t="str">
            <v>09M-GENERATION PROJECT ENGINEERING</v>
          </cell>
        </row>
        <row r="671">
          <cell r="A671">
            <v>13100</v>
          </cell>
          <cell r="B671" t="str">
            <v>UNDERGROUND CAES OR PUMPED STORAGE</v>
          </cell>
          <cell r="C671" t="str">
            <v>09M-GENERATION PROJECT ENGINEERING</v>
          </cell>
        </row>
        <row r="672">
          <cell r="A672">
            <v>13101</v>
          </cell>
          <cell r="B672" t="str">
            <v>EUCLID SUB SITE</v>
          </cell>
          <cell r="C672" t="str">
            <v>061-REAL ESTATE</v>
          </cell>
        </row>
        <row r="673">
          <cell r="A673">
            <v>13102</v>
          </cell>
          <cell r="B673" t="str">
            <v>PARTIAL SALE OF OVERTON CTG SITE</v>
          </cell>
          <cell r="C673" t="str">
            <v>061-REAL ESTATE</v>
          </cell>
        </row>
        <row r="674">
          <cell r="A674">
            <v>13108</v>
          </cell>
          <cell r="B674" t="str">
            <v>MER COAL CONVEY FIRE PROT&amp;FIBER OPT</v>
          </cell>
          <cell r="C674" t="str">
            <v>09M-GENERATION PROJECT ENGINEERING</v>
          </cell>
        </row>
        <row r="675">
          <cell r="A675">
            <v>13125</v>
          </cell>
          <cell r="B675" t="str">
            <v>LBD &amp; CALLAWAY COOLING WATER INTAKE</v>
          </cell>
          <cell r="C675" t="str">
            <v>09M-GENERATION PROJECT ENGINEERING</v>
          </cell>
        </row>
        <row r="676">
          <cell r="A676">
            <v>13139</v>
          </cell>
          <cell r="B676" t="str">
            <v>EXPENSE ONLY RELATED ILL BUILDING</v>
          </cell>
          <cell r="C676" t="str">
            <v>012-CORPORATE PLANNING</v>
          </cell>
        </row>
        <row r="677">
          <cell r="A677">
            <v>13154</v>
          </cell>
          <cell r="B677" t="str">
            <v>MARION SUB</v>
          </cell>
          <cell r="C677" t="str">
            <v>061-REAL ESTATE</v>
          </cell>
        </row>
        <row r="678">
          <cell r="A678">
            <v>13155</v>
          </cell>
          <cell r="B678" t="str">
            <v>SALE OF PARK HILLS PROPERTY</v>
          </cell>
          <cell r="C678" t="str">
            <v>061-REAL ESTATE</v>
          </cell>
        </row>
        <row r="679">
          <cell r="A679">
            <v>13174</v>
          </cell>
          <cell r="B679" t="str">
            <v>MERAMEC U4 REPL PRECIP PLATES&amp;WIRES</v>
          </cell>
          <cell r="C679" t="str">
            <v>09M-GENERATION PROJECT ENGINEERING</v>
          </cell>
        </row>
        <row r="680">
          <cell r="A680">
            <v>13180</v>
          </cell>
          <cell r="B680" t="str">
            <v>HAYTI WEST - SCADA ADDITION</v>
          </cell>
          <cell r="C680" t="str">
            <v>09E-ELECTRICAL ENGINEERING</v>
          </cell>
        </row>
        <row r="681">
          <cell r="A681">
            <v>13188</v>
          </cell>
          <cell r="B681" t="str">
            <v>VEN AVAILABILITY - EQUIPMENT REPL</v>
          </cell>
          <cell r="C681" t="str">
            <v>09M-GENERATION PROJECT ENGINEERING</v>
          </cell>
        </row>
        <row r="682">
          <cell r="A682">
            <v>13206</v>
          </cell>
          <cell r="B682" t="str">
            <v>MER PLANT PERIMETER SECURITY IMPROV</v>
          </cell>
          <cell r="C682" t="str">
            <v>09M-GENERATION PROJECT ENGINEERING</v>
          </cell>
        </row>
        <row r="683">
          <cell r="A683">
            <v>13207</v>
          </cell>
          <cell r="B683" t="str">
            <v>RI PLANT PERIMETER SECURITY IMPROV</v>
          </cell>
          <cell r="C683" t="str">
            <v>09M-GENERATION PROJECT ENGINEERING</v>
          </cell>
        </row>
        <row r="684">
          <cell r="A684">
            <v>13208</v>
          </cell>
          <cell r="B684" t="str">
            <v>SX PLANT PERIMETER SECURITY IMPROV</v>
          </cell>
          <cell r="C684" t="str">
            <v>09M-GENERATION PROJECT ENGINEERING</v>
          </cell>
        </row>
        <row r="685">
          <cell r="A685">
            <v>13225</v>
          </cell>
          <cell r="B685" t="str">
            <v>STACKER RECLAIMER FOR MERAMEC COAL</v>
          </cell>
          <cell r="C685" t="str">
            <v>087-FOSSIL FUELS</v>
          </cell>
        </row>
        <row r="686">
          <cell r="A686">
            <v>13232</v>
          </cell>
          <cell r="B686" t="str">
            <v>HAVANA TO CANTOM PCS PATH</v>
          </cell>
          <cell r="C686" t="str">
            <v>065-NEO - TELEPHONE SERVICES</v>
          </cell>
        </row>
        <row r="687">
          <cell r="A687">
            <v>13238</v>
          </cell>
          <cell r="B687" t="str">
            <v>SL - WINFIELD SUB SITE</v>
          </cell>
          <cell r="C687" t="str">
            <v>061-REAL ESTATE</v>
          </cell>
        </row>
        <row r="688">
          <cell r="A688">
            <v>13239</v>
          </cell>
          <cell r="B688" t="str">
            <v>SALE OF GUMBO SUBSTATION SITE</v>
          </cell>
          <cell r="C688" t="str">
            <v>061-REAL ESTATE</v>
          </cell>
        </row>
        <row r="689">
          <cell r="A689">
            <v>13241</v>
          </cell>
          <cell r="B689" t="str">
            <v>LBD U1-4 FIRE PROT. BLR.TERM.RM.</v>
          </cell>
          <cell r="C689" t="str">
            <v>09M-GENERATION PROJECT ENGINEERING</v>
          </cell>
        </row>
        <row r="690">
          <cell r="A690">
            <v>13242</v>
          </cell>
          <cell r="B690" t="str">
            <v>MER LIFE SAFETY &amp; CONTROL-TERM.RM</v>
          </cell>
          <cell r="C690" t="str">
            <v>09M-GENERATION PROJECT ENGINEERING</v>
          </cell>
        </row>
        <row r="691">
          <cell r="A691">
            <v>13243</v>
          </cell>
          <cell r="B691" t="str">
            <v>SIOUX SERVICE BLDG FIRE PROTECTION</v>
          </cell>
          <cell r="C691" t="str">
            <v>09M-GENERATION PROJECT ENGINEERING</v>
          </cell>
        </row>
        <row r="692">
          <cell r="A692">
            <v>13249</v>
          </cell>
          <cell r="B692" t="str">
            <v>RIVERMINES - REPLACE WITH NEW SUB</v>
          </cell>
          <cell r="C692" t="str">
            <v>09E-ELECTRICAL ENGINEERING</v>
          </cell>
        </row>
        <row r="693">
          <cell r="A693">
            <v>13251</v>
          </cell>
          <cell r="B693" t="str">
            <v>MEREDOSIA BOILER #5 PRB CONVERSION</v>
          </cell>
          <cell r="C693" t="str">
            <v>09G-GENERATION PROJECTS - GEN</v>
          </cell>
        </row>
        <row r="694">
          <cell r="A694">
            <v>13262</v>
          </cell>
          <cell r="B694" t="str">
            <v>UMSL - CUSTOMER SUBSTATION UPGRADE</v>
          </cell>
          <cell r="C694" t="str">
            <v>09E-ELECTRICAL ENGINEERING</v>
          </cell>
        </row>
        <row r="695">
          <cell r="A695">
            <v>13270</v>
          </cell>
          <cell r="B695" t="str">
            <v>MCCLEARY-34 SUB. - SCADA AND RTU</v>
          </cell>
          <cell r="C695" t="str">
            <v>09E-ELECTRICAL ENGINEERING</v>
          </cell>
        </row>
        <row r="696">
          <cell r="A696">
            <v>13271</v>
          </cell>
          <cell r="B696" t="str">
            <v>RUSSELL SUB - INSTALL NEW XFMR</v>
          </cell>
          <cell r="C696" t="str">
            <v>09E-ELECTRICAL ENGINEERING</v>
          </cell>
        </row>
        <row r="697">
          <cell r="A697">
            <v>13274</v>
          </cell>
          <cell r="B697" t="str">
            <v>AUDUBON SUBSTATION</v>
          </cell>
          <cell r="C697" t="str">
            <v>061-REAL ESTATE</v>
          </cell>
        </row>
        <row r="698">
          <cell r="A698">
            <v>13281</v>
          </cell>
          <cell r="B698" t="str">
            <v>COFFEEN PLANT PROPERTY ADDITION</v>
          </cell>
          <cell r="C698" t="str">
            <v>CFG-COFFEEN - GENERAL</v>
          </cell>
        </row>
        <row r="699">
          <cell r="A699">
            <v>13301</v>
          </cell>
          <cell r="B699" t="str">
            <v>TAUM SAUK TO CHERRYVILLE</v>
          </cell>
          <cell r="C699" t="str">
            <v>065-NEO - TELEPHONE SERVICES</v>
          </cell>
        </row>
        <row r="700">
          <cell r="A700">
            <v>13302</v>
          </cell>
          <cell r="B700" t="str">
            <v>LBD U3 LP TURB RETROFIT REPL</v>
          </cell>
          <cell r="C700" t="str">
            <v>09M-GENERATION PROJECT ENGINEERING</v>
          </cell>
        </row>
        <row r="701">
          <cell r="A701">
            <v>13303</v>
          </cell>
          <cell r="B701" t="str">
            <v>LBD U4 LP TURB RETROFIT REPL</v>
          </cell>
          <cell r="C701" t="str">
            <v>09M-GENERATION PROJECT ENGINEERING</v>
          </cell>
        </row>
        <row r="702">
          <cell r="A702">
            <v>13310</v>
          </cell>
          <cell r="B702" t="str">
            <v>ST LOUIS CO. AR-661/CYPRESS RD</v>
          </cell>
          <cell r="C702" t="str">
            <v>055-BERKELEY</v>
          </cell>
        </row>
        <row r="703">
          <cell r="A703">
            <v>13316</v>
          </cell>
          <cell r="B703" t="str">
            <v>MERAMEC - RECLAIM SYSTEM STUDY</v>
          </cell>
          <cell r="C703" t="str">
            <v>09M-GENERATION PROJECT ENGINEERING</v>
          </cell>
        </row>
        <row r="704">
          <cell r="A704">
            <v>13326</v>
          </cell>
          <cell r="B704" t="str">
            <v>CILCORP ACQUISITION INTEGRATION</v>
          </cell>
          <cell r="C704" t="str">
            <v>012-CORPORATE PLANNING</v>
          </cell>
        </row>
        <row r="705">
          <cell r="A705">
            <v>13328</v>
          </cell>
          <cell r="B705" t="str">
            <v>LBD U1&amp;2 NON-ESSENTIAL LOAD CTR</v>
          </cell>
          <cell r="C705" t="str">
            <v>09M-GENERATION PROJECT ENGINEERING</v>
          </cell>
        </row>
        <row r="706">
          <cell r="A706">
            <v>13329</v>
          </cell>
          <cell r="B706" t="str">
            <v>LBD U3&amp;4 NON-ESSENTIAL LOAD CTR</v>
          </cell>
          <cell r="C706" t="str">
            <v>09M-GENERATION PROJECT ENGINEERING</v>
          </cell>
        </row>
        <row r="707">
          <cell r="A707">
            <v>13336</v>
          </cell>
          <cell r="B707" t="str">
            <v>PAWNEE GAS TRAINING CTR BLDG</v>
          </cell>
          <cell r="C707" t="str">
            <v>0G1-GAS TECH SERVICES - CIP</v>
          </cell>
        </row>
        <row r="708">
          <cell r="A708">
            <v>13337</v>
          </cell>
          <cell r="B708" t="str">
            <v>LEWIS &amp; CLARK TRACT 10&amp; 12</v>
          </cell>
          <cell r="C708" t="str">
            <v>061-REAL ESTATE</v>
          </cell>
        </row>
        <row r="709">
          <cell r="A709">
            <v>13338</v>
          </cell>
          <cell r="B709" t="str">
            <v>SALE OF 1634 ST. THOMAS</v>
          </cell>
          <cell r="C709" t="str">
            <v>061-REAL ESTATE</v>
          </cell>
        </row>
        <row r="710">
          <cell r="A710">
            <v>13339</v>
          </cell>
          <cell r="B710" t="str">
            <v>LEWIS &amp; CLARK - PARTIAL TRACT 11</v>
          </cell>
          <cell r="C710" t="str">
            <v>061-REAL ESTATE</v>
          </cell>
        </row>
        <row r="711">
          <cell r="A711">
            <v>13340</v>
          </cell>
          <cell r="B711" t="str">
            <v>WILDER FARMS</v>
          </cell>
          <cell r="C711" t="str">
            <v>0G1-GAS TECH SERVICES - CIP</v>
          </cell>
        </row>
        <row r="712">
          <cell r="A712">
            <v>13341</v>
          </cell>
          <cell r="B712" t="str">
            <v>LEWIS &amp; CLARK - TRACT 7</v>
          </cell>
          <cell r="C712" t="str">
            <v>061-REAL ESTATE</v>
          </cell>
        </row>
        <row r="713">
          <cell r="A713">
            <v>13353</v>
          </cell>
          <cell r="B713" t="str">
            <v>EFFINGHAM RT 45 INTRCTY MAIN REPL</v>
          </cell>
          <cell r="C713" t="str">
            <v>0G1-GAS TECH SERVICES - CIP</v>
          </cell>
        </row>
        <row r="714">
          <cell r="A714">
            <v>13354</v>
          </cell>
          <cell r="B714" t="str">
            <v>REPLACE THE U1 MILL DECK CRANE</v>
          </cell>
          <cell r="C714" t="str">
            <v>09M-GENERATION PROJECT ENGINEERING</v>
          </cell>
        </row>
        <row r="715">
          <cell r="A715">
            <v>13355</v>
          </cell>
          <cell r="B715" t="str">
            <v>RUSH ISLAND - U2 MILL DECK CRANE</v>
          </cell>
          <cell r="C715" t="str">
            <v>09M-GENERATION PROJECT ENGINEERING</v>
          </cell>
        </row>
        <row r="716">
          <cell r="A716">
            <v>13358</v>
          </cell>
          <cell r="B716" t="str">
            <v>TAUM SAUK - TAILRACE DEBRIS SCREEN</v>
          </cell>
          <cell r="C716" t="str">
            <v>09M-GENERATION PROJECT ENGINEERING</v>
          </cell>
        </row>
        <row r="717">
          <cell r="A717">
            <v>13363</v>
          </cell>
          <cell r="B717" t="str">
            <v>SL - LOTS 52 &amp; 54, MONTROSE, IA</v>
          </cell>
          <cell r="C717" t="str">
            <v>061-REAL ESTATE</v>
          </cell>
        </row>
        <row r="718">
          <cell r="A718">
            <v>13364</v>
          </cell>
          <cell r="B718" t="str">
            <v>SL - PARTS OF BLK 1 &amp; 2, MONTROSE</v>
          </cell>
          <cell r="C718" t="str">
            <v>061-REAL ESTATE</v>
          </cell>
        </row>
        <row r="719">
          <cell r="A719">
            <v>13365</v>
          </cell>
          <cell r="B719" t="str">
            <v>SL - 930 15TH STREET, FT. MADISON</v>
          </cell>
          <cell r="C719" t="str">
            <v>061-REAL ESTATE</v>
          </cell>
        </row>
        <row r="720">
          <cell r="A720">
            <v>13366</v>
          </cell>
          <cell r="B720" t="str">
            <v>SALE OF LOTS 1-4, LEE COUNTY, IA</v>
          </cell>
          <cell r="C720" t="str">
            <v>061-REAL ESTATE</v>
          </cell>
        </row>
        <row r="721">
          <cell r="A721">
            <v>13367</v>
          </cell>
          <cell r="B721" t="str">
            <v>SL - TRACT OF LAND - KEOKUK FLOW</v>
          </cell>
          <cell r="C721" t="str">
            <v>061-REAL ESTATE</v>
          </cell>
        </row>
        <row r="722">
          <cell r="A722">
            <v>13370</v>
          </cell>
          <cell r="B722" t="str">
            <v>MAIL &amp; REMITTANCE FACILITY SINGLTN</v>
          </cell>
          <cell r="C722" t="str">
            <v>072-BUILDING SERVICES-MO</v>
          </cell>
        </row>
        <row r="723">
          <cell r="A723">
            <v>13371</v>
          </cell>
          <cell r="B723" t="str">
            <v>BUSINESS CONTINUITY INFRASTRUCTURE</v>
          </cell>
          <cell r="C723" t="str">
            <v>060-SCP - PLANNING</v>
          </cell>
        </row>
        <row r="724">
          <cell r="A724">
            <v>13372</v>
          </cell>
          <cell r="B724" t="str">
            <v>RI U1 GSU XFMR REPL</v>
          </cell>
          <cell r="C724" t="str">
            <v>09M-GENERATION PROJECT ENGINEERING</v>
          </cell>
        </row>
        <row r="725">
          <cell r="A725">
            <v>13374</v>
          </cell>
          <cell r="B725" t="str">
            <v>RI U2 GSU XFMR REPL</v>
          </cell>
          <cell r="C725" t="str">
            <v>09M-GENERATION PROJECT ENGINEERING</v>
          </cell>
        </row>
        <row r="726">
          <cell r="A726">
            <v>13376</v>
          </cell>
          <cell r="B726" t="str">
            <v>RI U1 GEN EXCITATION REPL</v>
          </cell>
          <cell r="C726" t="str">
            <v>09M-GENERATION PROJECT ENGINEERING</v>
          </cell>
        </row>
        <row r="727">
          <cell r="A727">
            <v>13377</v>
          </cell>
          <cell r="B727" t="str">
            <v>RI U2 COAL HANDLING BUS OB45 REPL</v>
          </cell>
          <cell r="C727" t="str">
            <v>09M-GENERATION PROJECT ENGINEERING</v>
          </cell>
        </row>
        <row r="728">
          <cell r="A728">
            <v>13378</v>
          </cell>
          <cell r="B728" t="str">
            <v>RI U2 INTAKE BUSES OB53&amp;54 REPL</v>
          </cell>
          <cell r="C728" t="str">
            <v>09M-GENERATION PROJECT ENGINEERING</v>
          </cell>
        </row>
        <row r="729">
          <cell r="A729">
            <v>13391</v>
          </cell>
          <cell r="B729" t="str">
            <v>VENICE PLANT RETIREMENT</v>
          </cell>
          <cell r="C729" t="str">
            <v>09V-NEW GEN &amp; ENV PROJECTS</v>
          </cell>
        </row>
        <row r="730">
          <cell r="A730">
            <v>13395</v>
          </cell>
          <cell r="B730" t="str">
            <v>KEOKUK U7 TURBINE REPL &amp; UPGRADES</v>
          </cell>
          <cell r="C730" t="str">
            <v>09V-NEW GEN &amp; ENV PROJECTS</v>
          </cell>
        </row>
        <row r="731">
          <cell r="A731">
            <v>13396</v>
          </cell>
          <cell r="B731" t="str">
            <v>KEOKUK 1 TURBINE UPGRADE</v>
          </cell>
          <cell r="C731" t="str">
            <v>09V-NEW GEN &amp; ENV PROJECTS</v>
          </cell>
        </row>
        <row r="732">
          <cell r="A732">
            <v>13398</v>
          </cell>
          <cell r="B732" t="str">
            <v>KEOKUK 3 TURBINE UPGRADE</v>
          </cell>
          <cell r="C732" t="str">
            <v>09V-NEW GEN &amp; ENV PROJECTS</v>
          </cell>
        </row>
        <row r="733">
          <cell r="A733">
            <v>13403</v>
          </cell>
          <cell r="B733" t="str">
            <v>VENICE CTG 3 &amp; 4 - 138KV BRKR.REPL.</v>
          </cell>
          <cell r="C733" t="str">
            <v>09E-ELECTRICAL ENGINEERING</v>
          </cell>
        </row>
        <row r="734">
          <cell r="A734">
            <v>13404</v>
          </cell>
          <cell r="B734" t="str">
            <v>KEOKUK - PLANT VENTILATION UPGRADES</v>
          </cell>
          <cell r="C734" t="str">
            <v>09V-NEW GEN &amp; ENV PROJECTS</v>
          </cell>
        </row>
        <row r="735">
          <cell r="A735">
            <v>13406</v>
          </cell>
          <cell r="B735" t="str">
            <v>VEN COMBINED CYCLE STUDY - PHASE 1</v>
          </cell>
          <cell r="C735" t="str">
            <v>09M-GENERATION PROJECT ENGINEERING</v>
          </cell>
        </row>
        <row r="736">
          <cell r="A736">
            <v>13407</v>
          </cell>
          <cell r="B736" t="str">
            <v>SALE OF ST. JAMES POLE YARD</v>
          </cell>
          <cell r="C736" t="str">
            <v>061-REAL ESTATE</v>
          </cell>
        </row>
        <row r="737">
          <cell r="A737">
            <v>13410</v>
          </cell>
          <cell r="B737" t="str">
            <v>MER U2 ECONOMIZER SIDEWALLS REPL</v>
          </cell>
          <cell r="C737" t="str">
            <v>09M-GENERATION PROJECT ENGINEERING</v>
          </cell>
        </row>
        <row r="738">
          <cell r="A738">
            <v>13414</v>
          </cell>
          <cell r="B738" t="str">
            <v>MOBERLY-UPGR.MOB-OVERTON 161 TERM.</v>
          </cell>
          <cell r="C738" t="str">
            <v>09E-ELECTRICAL ENGINEERING</v>
          </cell>
        </row>
        <row r="739">
          <cell r="A739">
            <v>13421</v>
          </cell>
          <cell r="B739" t="str">
            <v>MER U4  HP &amp; LP TURBINE RETROFIT</v>
          </cell>
          <cell r="C739" t="str">
            <v>09M-GENERATION PROJECT ENGINEERING</v>
          </cell>
        </row>
        <row r="740">
          <cell r="A740">
            <v>13428</v>
          </cell>
          <cell r="B740" t="str">
            <v>SIOUX U#1 SCR RETROFIT</v>
          </cell>
          <cell r="C740" t="str">
            <v>09V-NEW GEN &amp; ENV PROJECTS</v>
          </cell>
        </row>
        <row r="741">
          <cell r="A741">
            <v>13429</v>
          </cell>
          <cell r="B741" t="str">
            <v>SIOUX U#2 SCR RETROFIT</v>
          </cell>
          <cell r="C741" t="str">
            <v>09V-NEW GEN &amp; ENV PROJECTS</v>
          </cell>
        </row>
        <row r="742">
          <cell r="A742">
            <v>13430</v>
          </cell>
          <cell r="B742" t="str">
            <v>SIOUX U2 ECO PILOT</v>
          </cell>
          <cell r="C742" t="str">
            <v>09V-NEW GEN &amp; ENV PROJECTS</v>
          </cell>
        </row>
        <row r="743">
          <cell r="A743">
            <v>13434</v>
          </cell>
          <cell r="B743" t="str">
            <v>LABADIE PLANT MONORAIL EXTENSION</v>
          </cell>
          <cell r="C743" t="str">
            <v>09M-GENERATION PROJECT ENGINEERING</v>
          </cell>
        </row>
        <row r="744">
          <cell r="A744">
            <v>13448</v>
          </cell>
          <cell r="B744" t="str">
            <v>SALE OF BISCHOFF SUB SITE</v>
          </cell>
          <cell r="C744" t="str">
            <v>061-REAL ESTATE</v>
          </cell>
        </row>
        <row r="745">
          <cell r="A745">
            <v>13477</v>
          </cell>
          <cell r="B745" t="str">
            <v>MALINE - REPLACE POSITION F BRKR</v>
          </cell>
          <cell r="C745" t="str">
            <v>09E-ELECTRICAL ENGINEERING</v>
          </cell>
        </row>
        <row r="746">
          <cell r="A746">
            <v>13479</v>
          </cell>
          <cell r="B746" t="str">
            <v>REPLACE UNSUPPORTED PBX UNITS</v>
          </cell>
          <cell r="C746" t="str">
            <v>065-NEO - TELEPHONE SERVICES</v>
          </cell>
        </row>
        <row r="747">
          <cell r="A747">
            <v>13488</v>
          </cell>
          <cell r="B747" t="str">
            <v>OSAGE - FISH BARRIER</v>
          </cell>
          <cell r="C747" t="str">
            <v>09M-GENERATION PROJECT ENGINEERING</v>
          </cell>
        </row>
        <row r="748">
          <cell r="A748">
            <v>13490</v>
          </cell>
          <cell r="B748" t="str">
            <v>OSG LOCKER ROOM,SHOP BUILDING ADD</v>
          </cell>
          <cell r="C748" t="str">
            <v>09M-GENERATION PROJECT ENGINEERING</v>
          </cell>
        </row>
        <row r="749">
          <cell r="A749">
            <v>13493</v>
          </cell>
          <cell r="B749" t="str">
            <v>SX CONST. ENTRANCE SECURITY IMPROV</v>
          </cell>
          <cell r="C749" t="str">
            <v>09M-GENERATION PROJECT ENGINEERING</v>
          </cell>
        </row>
        <row r="750">
          <cell r="A750">
            <v>13497</v>
          </cell>
          <cell r="B750" t="str">
            <v>SX U1&amp;2 CHAR HOPPER ASH REMOVAL SYS</v>
          </cell>
          <cell r="C750" t="str">
            <v>09M-GENERATION PROJECT ENGINEERING</v>
          </cell>
        </row>
        <row r="751">
          <cell r="A751">
            <v>13502</v>
          </cell>
          <cell r="B751" t="str">
            <v>HOLLAND NW-REL.UPGR.FOR CONSTELLTN.</v>
          </cell>
          <cell r="C751" t="str">
            <v>09E-ELECTRICAL ENGINEERING</v>
          </cell>
        </row>
        <row r="752">
          <cell r="A752">
            <v>13503</v>
          </cell>
          <cell r="B752" t="str">
            <v>PAWNEE W.-REL.UPGR.FOR CONSTELLATN.</v>
          </cell>
          <cell r="C752" t="str">
            <v>09E-ELECTRICAL ENGINEERING</v>
          </cell>
        </row>
        <row r="753">
          <cell r="A753">
            <v>13504</v>
          </cell>
          <cell r="B753" t="str">
            <v>TOLONO - NEW 69-12 KV SUBSTATION</v>
          </cell>
          <cell r="C753" t="str">
            <v>09E-ELECTRICAL ENGINEERING</v>
          </cell>
        </row>
        <row r="754">
          <cell r="A754">
            <v>13508</v>
          </cell>
          <cell r="B754" t="str">
            <v>NORTH ASHLAND SUBSTATION</v>
          </cell>
          <cell r="C754" t="str">
            <v>09E-ELECTRICAL ENGINEERING</v>
          </cell>
        </row>
        <row r="755">
          <cell r="A755">
            <v>13516</v>
          </cell>
          <cell r="B755" t="str">
            <v>SAVOY N TO S 69KV UNDERGROUND</v>
          </cell>
          <cell r="C755" t="str">
            <v>2MS-DIVISION IV SUPPORT STAFF</v>
          </cell>
        </row>
        <row r="756">
          <cell r="A756">
            <v>13522</v>
          </cell>
          <cell r="B756" t="str">
            <v>MER DRY ASH HANDLING IMPROV 2003</v>
          </cell>
          <cell r="C756" t="str">
            <v>09M-GENERATION PROJECT ENGINEERING</v>
          </cell>
        </row>
        <row r="757">
          <cell r="A757">
            <v>13544</v>
          </cell>
          <cell r="B757" t="str">
            <v>RI U2 #2 IP HEATER REPL</v>
          </cell>
          <cell r="C757" t="str">
            <v>09M-GENERATION PROJECT ENGINEERING</v>
          </cell>
        </row>
        <row r="758">
          <cell r="A758">
            <v>13551</v>
          </cell>
          <cell r="B758" t="str">
            <v>MER COAL CONVEYOR 4 TO 5 TRANSFER</v>
          </cell>
          <cell r="C758" t="str">
            <v>09M-GENERATION PROJECT ENGINEERING</v>
          </cell>
        </row>
        <row r="759">
          <cell r="A759">
            <v>13552</v>
          </cell>
          <cell r="B759" t="str">
            <v>MERAMEC U4 - BLR FEGT MEASUREMENT</v>
          </cell>
          <cell r="C759" t="str">
            <v>09M-GENERATION PROJECT ENGINEERING</v>
          </cell>
        </row>
        <row r="760">
          <cell r="A760">
            <v>13553</v>
          </cell>
          <cell r="B760" t="str">
            <v>LBD U4 LOWER SLOPE REPL</v>
          </cell>
          <cell r="C760" t="str">
            <v>09M-GENERATION PROJECT ENGINEERING</v>
          </cell>
        </row>
        <row r="761">
          <cell r="A761">
            <v>13558</v>
          </cell>
          <cell r="B761" t="str">
            <v>RI SILO FILL FLOOR,WASHDOWN,DUSTSEA</v>
          </cell>
          <cell r="C761" t="str">
            <v>09M-GENERATION PROJECT ENGINEERING</v>
          </cell>
        </row>
        <row r="762">
          <cell r="A762">
            <v>13560</v>
          </cell>
          <cell r="B762" t="str">
            <v>SX COAL RCV &amp; RCL TUNNEL HEATERS</v>
          </cell>
          <cell r="C762" t="str">
            <v>09M-GENERATION PROJECT ENGINEERING</v>
          </cell>
        </row>
        <row r="763">
          <cell r="A763">
            <v>13562</v>
          </cell>
          <cell r="B763" t="str">
            <v>SX U2 GR FAN ISOLATION DAMPER REPL</v>
          </cell>
          <cell r="C763" t="str">
            <v>09M-GENERATION PROJECT ENGINEERING</v>
          </cell>
        </row>
        <row r="764">
          <cell r="A764">
            <v>13563</v>
          </cell>
          <cell r="B764" t="str">
            <v>MERAMEC WASH DOWN - BUNKER FILL</v>
          </cell>
          <cell r="C764" t="str">
            <v>09M-GENERATION PROJECT ENGINEERING</v>
          </cell>
        </row>
        <row r="765">
          <cell r="A765">
            <v>13564</v>
          </cell>
          <cell r="B765" t="str">
            <v>MER CONDENSATE TESTING SAMPLE HOUSE</v>
          </cell>
          <cell r="C765" t="str">
            <v>09M-GENERATION PROJECT ENGINEERING</v>
          </cell>
        </row>
        <row r="766">
          <cell r="A766">
            <v>13566</v>
          </cell>
          <cell r="B766" t="str">
            <v>SIOUX UNIT 2 SILO FILL COAL FEEDERS</v>
          </cell>
          <cell r="C766" t="str">
            <v>09M-GENERATION PROJECT ENGINEERING</v>
          </cell>
        </row>
        <row r="767">
          <cell r="A767">
            <v>13568</v>
          </cell>
          <cell r="B767" t="str">
            <v>HWY N 3RD SUPPLY, 161KV TRANSM. LN.</v>
          </cell>
          <cell r="C767" t="str">
            <v>09E-ELECTRICAL ENGINEERING</v>
          </cell>
        </row>
        <row r="768">
          <cell r="A768">
            <v>13573</v>
          </cell>
          <cell r="B768" t="str">
            <v>LBD U2 5A&amp;B FEEDWATER HEATER REPL</v>
          </cell>
          <cell r="C768" t="str">
            <v>09M-GENERATION PROJECT ENGINEERING</v>
          </cell>
        </row>
        <row r="769">
          <cell r="A769">
            <v>13575</v>
          </cell>
          <cell r="B769" t="str">
            <v>RI U2 STATOR AUX COOLING WATER MODS</v>
          </cell>
          <cell r="C769" t="str">
            <v>09M-GENERATION PROJECT ENGINEERING</v>
          </cell>
        </row>
        <row r="770">
          <cell r="A770">
            <v>13576</v>
          </cell>
          <cell r="B770" t="str">
            <v>RI U2 GEN EXCITATION REPL</v>
          </cell>
          <cell r="C770" t="str">
            <v>09M-GENERATION PROJECT ENGINEERING</v>
          </cell>
        </row>
        <row r="771">
          <cell r="A771">
            <v>13584</v>
          </cell>
          <cell r="B771" t="str">
            <v>W1W AIRPORT EXPANSION-LINDBERGH REL</v>
          </cell>
          <cell r="C771" t="str">
            <v>055-BERKELEY</v>
          </cell>
        </row>
        <row r="772">
          <cell r="A772">
            <v>13601</v>
          </cell>
          <cell r="B772" t="str">
            <v>DUTZOW FEEDER 650-051 RECONDUCTOR</v>
          </cell>
          <cell r="C772" t="str">
            <v>093-WENTZVILLE DISTRICT</v>
          </cell>
        </row>
        <row r="773">
          <cell r="A773">
            <v>13606</v>
          </cell>
          <cell r="B773" t="str">
            <v>KEOKUK LIGHTING REPLACEMENT</v>
          </cell>
          <cell r="C773" t="str">
            <v>09M-GENERATION PROJECT ENGINEERING</v>
          </cell>
        </row>
        <row r="774">
          <cell r="A774">
            <v>13607</v>
          </cell>
          <cell r="B774" t="str">
            <v>MERAMEC UNIT 3 LIGHTING REPLACEMENT</v>
          </cell>
          <cell r="C774" t="str">
            <v>09M-GENERATION PROJECT ENGINEERING</v>
          </cell>
        </row>
        <row r="775">
          <cell r="A775">
            <v>13609</v>
          </cell>
          <cell r="B775" t="str">
            <v>MERAMEC COAL RECLAIM EXPANSION</v>
          </cell>
          <cell r="C775" t="str">
            <v>09M-GENERATION PROJECT ENGINEERING</v>
          </cell>
        </row>
        <row r="776">
          <cell r="A776">
            <v>13622</v>
          </cell>
          <cell r="B776" t="str">
            <v>LABADIE UNIT 2 GENERATOR REWIND</v>
          </cell>
          <cell r="C776" t="str">
            <v>09M-GENERATION PROJECT ENGINEERING</v>
          </cell>
        </row>
        <row r="777">
          <cell r="A777">
            <v>13625</v>
          </cell>
          <cell r="B777" t="str">
            <v>LABADIE UNIT 1 GENERATOR REWIND</v>
          </cell>
          <cell r="C777" t="str">
            <v>09M-GENERATION PROJECT ENGINEERING</v>
          </cell>
        </row>
        <row r="778">
          <cell r="A778">
            <v>13629</v>
          </cell>
          <cell r="B778" t="str">
            <v>SX U1 CYCLONE INSTRUMENTATION</v>
          </cell>
          <cell r="C778" t="str">
            <v>09M-GENERATION PROJECT ENGINEERING</v>
          </cell>
        </row>
        <row r="779">
          <cell r="A779">
            <v>13631</v>
          </cell>
          <cell r="B779" t="str">
            <v>MER U2 #4 HEATER REPL</v>
          </cell>
          <cell r="C779" t="str">
            <v>09M-GENERATION PROJECT ENGINEERING</v>
          </cell>
        </row>
        <row r="780">
          <cell r="A780">
            <v>13634</v>
          </cell>
          <cell r="B780" t="str">
            <v>MERAMEC #4 LP HEATER REPLACEMENT</v>
          </cell>
          <cell r="C780" t="str">
            <v>09M-GENERATION PROJECT ENGINEERING</v>
          </cell>
        </row>
        <row r="781">
          <cell r="A781">
            <v>13636</v>
          </cell>
          <cell r="B781" t="str">
            <v>SIOUX GSU TRANSFORMER REPLACEMENT</v>
          </cell>
          <cell r="C781" t="str">
            <v>09M-GENERATION PROJECT ENGINEERING</v>
          </cell>
        </row>
        <row r="782">
          <cell r="A782">
            <v>13638</v>
          </cell>
          <cell r="B782" t="str">
            <v>RI WATER TREATMENT CONTROLS REPL</v>
          </cell>
          <cell r="C782" t="str">
            <v>09M-GENERATION PROJECT ENGINEERING</v>
          </cell>
        </row>
        <row r="783">
          <cell r="A783">
            <v>13641</v>
          </cell>
          <cell r="B783" t="str">
            <v>MER U2 LIGHTING REPL 2004</v>
          </cell>
          <cell r="C783" t="str">
            <v>09M-GENERATION PROJECT ENGINEERING</v>
          </cell>
        </row>
        <row r="784">
          <cell r="A784">
            <v>13642</v>
          </cell>
          <cell r="B784" t="str">
            <v>MER U2 LIGHTING REPL 2004</v>
          </cell>
          <cell r="C784" t="str">
            <v>09M-GENERATION PROJECT ENGINEERING</v>
          </cell>
        </row>
        <row r="785">
          <cell r="A785">
            <v>13646</v>
          </cell>
          <cell r="B785" t="str">
            <v>SIOUX UNIT 2 HP GENERATOR REWIND</v>
          </cell>
          <cell r="C785" t="str">
            <v>09M-GENERATION PROJECT ENGINEERING</v>
          </cell>
        </row>
        <row r="786">
          <cell r="A786">
            <v>13649</v>
          </cell>
          <cell r="B786" t="str">
            <v>RI LOAD FLOW STUDY FOR MOTOR START</v>
          </cell>
          <cell r="C786" t="str">
            <v>09M-GENERATION PROJECT ENGINEERING</v>
          </cell>
        </row>
        <row r="787">
          <cell r="A787">
            <v>13650</v>
          </cell>
          <cell r="B787" t="str">
            <v>RI U2 #1HP HEATER REPL</v>
          </cell>
          <cell r="C787" t="str">
            <v>09M-GENERATION PROJECT ENGINEERING</v>
          </cell>
        </row>
        <row r="788">
          <cell r="A788">
            <v>13653</v>
          </cell>
          <cell r="B788" t="str">
            <v>MERAMEC UNIT 3 GENERATOR REWIND</v>
          </cell>
          <cell r="C788" t="str">
            <v>09M-GENERATION PROJECT ENGINEERING</v>
          </cell>
        </row>
        <row r="789">
          <cell r="A789">
            <v>13656</v>
          </cell>
          <cell r="B789" t="str">
            <v>CITY OF WEBSTER GROVES OH-UG CONVER</v>
          </cell>
          <cell r="C789" t="str">
            <v>052-MACKENZIE</v>
          </cell>
        </row>
        <row r="790">
          <cell r="A790">
            <v>13658</v>
          </cell>
          <cell r="B790" t="str">
            <v>MER U1&amp;2 VACUUM PUMP INSTALLATION</v>
          </cell>
          <cell r="C790" t="str">
            <v>09M-GENERATION PROJECT ENGINEERING</v>
          </cell>
        </row>
        <row r="791">
          <cell r="A791">
            <v>13668</v>
          </cell>
          <cell r="B791" t="str">
            <v>KEOKUK MAIN UNIT 1 GENERATOR REWIND</v>
          </cell>
          <cell r="C791" t="str">
            <v>09M-GENERATION PROJECT ENGINEERING</v>
          </cell>
        </row>
        <row r="792">
          <cell r="A792">
            <v>13676</v>
          </cell>
          <cell r="B792" t="str">
            <v>TS OIL VAPOR COLLECTION SYSTEM</v>
          </cell>
          <cell r="C792" t="str">
            <v>09M-GENERATION PROJECT ENGINEERING</v>
          </cell>
        </row>
        <row r="793">
          <cell r="A793">
            <v>13682</v>
          </cell>
          <cell r="B793" t="str">
            <v>MODOT HWY 179 &amp; RTE B HWY RELOCATIO</v>
          </cell>
          <cell r="C793" t="str">
            <v>5JS-CAPITAL DIST SUPPORT</v>
          </cell>
        </row>
        <row r="794">
          <cell r="A794">
            <v>13700</v>
          </cell>
          <cell r="B794" t="str">
            <v>MER U1 WALL BLOWER REPL</v>
          </cell>
          <cell r="C794" t="str">
            <v>09M-GENERATION PROJECT ENGINEERING</v>
          </cell>
        </row>
        <row r="795">
          <cell r="A795">
            <v>13711</v>
          </cell>
          <cell r="B795" t="str">
            <v>SIOUX - REPLACE 2B GR FAN ROTOR</v>
          </cell>
          <cell r="C795" t="str">
            <v>09M-GENERATION PROJECT ENGINEERING</v>
          </cell>
        </row>
        <row r="796">
          <cell r="A796">
            <v>13712</v>
          </cell>
          <cell r="B796" t="str">
            <v>CALIF.-BARNETT 161-INCR. CLEARANCES</v>
          </cell>
          <cell r="C796" t="str">
            <v>09E-ELECTRICAL ENGINEERING</v>
          </cell>
        </row>
        <row r="797">
          <cell r="A797">
            <v>13714</v>
          </cell>
          <cell r="B797" t="str">
            <v>MAS-MER-1&amp;2 138-TAP FOR BARRETT ST.</v>
          </cell>
          <cell r="C797" t="str">
            <v>09E-ELECTRICAL ENGINEERING</v>
          </cell>
        </row>
        <row r="798">
          <cell r="A798">
            <v>13722</v>
          </cell>
          <cell r="B798" t="str">
            <v>Saddle Creek Bulk Sub 138kV Supply</v>
          </cell>
          <cell r="C798" t="str">
            <v>09E-ELECTRICAL ENGINEERING</v>
          </cell>
        </row>
        <row r="799">
          <cell r="A799">
            <v>13730</v>
          </cell>
          <cell r="B799" t="str">
            <v>FOUNTAIN LAKES 138 KV SUPPLY LINES</v>
          </cell>
          <cell r="C799" t="str">
            <v>09E-ELECTRICAL ENGINEERING</v>
          </cell>
        </row>
        <row r="800">
          <cell r="A800">
            <v>13732</v>
          </cell>
          <cell r="B800" t="str">
            <v>GOOSE PD.-TAP PALMYRA-VIELE/ALLIANT</v>
          </cell>
          <cell r="C800" t="str">
            <v>09E-ELECTRICAL ENGINEERING</v>
          </cell>
        </row>
        <row r="801">
          <cell r="A801">
            <v>13745</v>
          </cell>
          <cell r="B801" t="str">
            <v>RI U1 ECONOMIZER REPL</v>
          </cell>
          <cell r="C801" t="str">
            <v>09M-GENERATION PROJECT ENGINEERING</v>
          </cell>
        </row>
        <row r="802">
          <cell r="A802">
            <v>13764</v>
          </cell>
          <cell r="B802" t="str">
            <v>MER U1&amp;2 ECONOMIZER SOOTBLOWER ADDI</v>
          </cell>
          <cell r="C802" t="str">
            <v>09M-GENERATION PROJECT ENGINEERING</v>
          </cell>
        </row>
        <row r="803">
          <cell r="A803">
            <v>13767</v>
          </cell>
          <cell r="B803" t="str">
            <v>REWIND STATOR UNIT 2 GENERATOR</v>
          </cell>
          <cell r="C803" t="str">
            <v>CFG-COFFEEN - GENERAL</v>
          </cell>
        </row>
        <row r="804">
          <cell r="A804">
            <v>13769</v>
          </cell>
          <cell r="B804" t="str">
            <v>OSAGE GSU REPLACEMENTS</v>
          </cell>
          <cell r="C804" t="str">
            <v>09M-GENERATION PROJECT ENGINEERING</v>
          </cell>
        </row>
        <row r="805">
          <cell r="A805">
            <v>13771</v>
          </cell>
          <cell r="B805" t="str">
            <v>ENON SUB 345 KV TAP FOR AECI -REIMB</v>
          </cell>
          <cell r="C805" t="str">
            <v>09E-ELECTRICAL ENGINEERING</v>
          </cell>
        </row>
        <row r="806">
          <cell r="A806">
            <v>13772</v>
          </cell>
          <cell r="B806" t="str">
            <v>MER U4 AIR PREHEATER REBASKETING</v>
          </cell>
          <cell r="C806" t="str">
            <v>09M-GENERATION PROJECT ENGINEERING</v>
          </cell>
        </row>
        <row r="807">
          <cell r="A807">
            <v>13774</v>
          </cell>
          <cell r="B807" t="str">
            <v>MER U1,2&amp;4 AIR INLEAKAGE METERS</v>
          </cell>
          <cell r="C807" t="str">
            <v>09M-GENERATION PROJECT ENGINEERING</v>
          </cell>
        </row>
        <row r="808">
          <cell r="A808">
            <v>13775</v>
          </cell>
          <cell r="B808" t="str">
            <v>RI U2 RHEAT,ECON &amp; LWR SLP REPL</v>
          </cell>
          <cell r="C808" t="str">
            <v>09M-GENERATION PROJECT ENGINEERING</v>
          </cell>
        </row>
        <row r="809">
          <cell r="A809">
            <v>13778</v>
          </cell>
          <cell r="B809" t="str">
            <v>PIKE-PALM.161 -TAP FOR HANNIBAL W.</v>
          </cell>
          <cell r="C809" t="str">
            <v>09E-ELECTRICAL ENGINEERING</v>
          </cell>
        </row>
        <row r="810">
          <cell r="A810">
            <v>13780</v>
          </cell>
          <cell r="B810" t="str">
            <v>BELLEAU 345KV IN-OUT SUPPLY-SX-MTGY</v>
          </cell>
          <cell r="C810" t="str">
            <v>09E-ELECTRICAL ENGINEERING</v>
          </cell>
        </row>
        <row r="811">
          <cell r="A811">
            <v>13781</v>
          </cell>
          <cell r="B811" t="str">
            <v>SYSTEM SPARE 161/69KV TRANSFORMER</v>
          </cell>
          <cell r="C811" t="str">
            <v>09E-ELECTRICAL ENGINEERING</v>
          </cell>
        </row>
        <row r="812">
          <cell r="A812">
            <v>13795</v>
          </cell>
          <cell r="B812" t="str">
            <v>RIVERM.-REBLD,INCL.NEW SF-RIV TERM</v>
          </cell>
          <cell r="C812" t="str">
            <v>09E-ELECTRICAL ENGINEERING</v>
          </cell>
        </row>
        <row r="813">
          <cell r="A813">
            <v>13807</v>
          </cell>
          <cell r="B813" t="str">
            <v>LBD U2 - #2 IP HEATER REPL</v>
          </cell>
          <cell r="C813" t="str">
            <v>09M-GENERATION PROJECT ENGINEERING</v>
          </cell>
        </row>
        <row r="814">
          <cell r="A814">
            <v>13809</v>
          </cell>
          <cell r="B814" t="str">
            <v>GUTHRIE - ADD 2 BRKRS, SW, &amp; REL.</v>
          </cell>
          <cell r="C814" t="str">
            <v>09E-ELECTRICAL ENGINEERING</v>
          </cell>
        </row>
        <row r="815">
          <cell r="A815">
            <v>13830</v>
          </cell>
          <cell r="B815" t="str">
            <v>LEFARTH - MOD. HI-SIDE XFER CTRL</v>
          </cell>
          <cell r="C815" t="str">
            <v>09E-ELECTRICAL ENGINEERING</v>
          </cell>
        </row>
        <row r="816">
          <cell r="A816">
            <v>13833</v>
          </cell>
          <cell r="B816" t="str">
            <v>JEFF.CITY-ELM ST.-RAISE XFMR, ETC.</v>
          </cell>
          <cell r="C816" t="str">
            <v>09E-ELECTRICAL ENGINEERING</v>
          </cell>
        </row>
        <row r="817">
          <cell r="A817">
            <v>13834</v>
          </cell>
          <cell r="B817" t="str">
            <v>MCKINLEY ST. - UNIT D REPLACEMENT</v>
          </cell>
          <cell r="C817" t="str">
            <v>09E-ELECTRICAL ENGINEERING</v>
          </cell>
        </row>
        <row r="818">
          <cell r="A818">
            <v>13837</v>
          </cell>
          <cell r="B818" t="str">
            <v>SIOUX - FIRE WATER SUPPLY</v>
          </cell>
          <cell r="C818" t="str">
            <v>09M-GENERATION PROJECT ENGINEERING</v>
          </cell>
        </row>
        <row r="819">
          <cell r="A819">
            <v>13838</v>
          </cell>
          <cell r="B819" t="str">
            <v>SIOUX POTABLE WATER SYSTEMUPGRADE</v>
          </cell>
          <cell r="C819" t="str">
            <v>09M-GENERATION PROJECT ENGINEERING</v>
          </cell>
        </row>
        <row r="820">
          <cell r="A820">
            <v>13839</v>
          </cell>
          <cell r="B820" t="str">
            <v>SX WATER TREATMENT SYSTEM STUDY</v>
          </cell>
          <cell r="C820" t="str">
            <v>09M-GENERATION PROJECT ENGINEERING</v>
          </cell>
        </row>
        <row r="821">
          <cell r="A821">
            <v>13843</v>
          </cell>
          <cell r="B821" t="str">
            <v>MER TURB GENERATOR FIRE PROTECTION</v>
          </cell>
          <cell r="C821" t="str">
            <v>09M-GENERATION PROJECT ENGINEERING</v>
          </cell>
        </row>
        <row r="822">
          <cell r="A822">
            <v>13846</v>
          </cell>
          <cell r="B822" t="str">
            <v>MER WATER TREATMENT SYSTEM STUDY</v>
          </cell>
          <cell r="C822" t="str">
            <v>09M-GENERATION PROJECT ENGINEERING</v>
          </cell>
        </row>
        <row r="823">
          <cell r="A823">
            <v>13847</v>
          </cell>
          <cell r="B823" t="str">
            <v>LABADIE - CONDENSATE POLISHERS</v>
          </cell>
          <cell r="C823" t="str">
            <v>09M-GENERATION PROJECT ENGINEERING</v>
          </cell>
        </row>
        <row r="824">
          <cell r="A824">
            <v>13851</v>
          </cell>
          <cell r="B824" t="str">
            <v>LABADIE - FIRE WATER SUPPLY</v>
          </cell>
          <cell r="C824" t="str">
            <v>09M-GENERATION PROJECT ENGINEERING</v>
          </cell>
        </row>
        <row r="825">
          <cell r="A825">
            <v>13853</v>
          </cell>
          <cell r="B825" t="str">
            <v>RUSH ISLAND - FIRE WATER SUPPLY</v>
          </cell>
          <cell r="C825" t="str">
            <v>09M-GENERATION PROJECT ENGINEERING</v>
          </cell>
        </row>
        <row r="826">
          <cell r="A826">
            <v>13854</v>
          </cell>
          <cell r="B826" t="str">
            <v>RI BOILER FIRE PROTECTION</v>
          </cell>
          <cell r="C826" t="str">
            <v>09M-GENERATION PROJECT ENGINEERING</v>
          </cell>
        </row>
        <row r="827">
          <cell r="A827">
            <v>13856</v>
          </cell>
          <cell r="B827" t="str">
            <v>KEO OIL FILLED XMFR FIRE PROTECTION</v>
          </cell>
          <cell r="C827" t="str">
            <v>09M-GENERATION PROJECT ENGINEERING</v>
          </cell>
        </row>
        <row r="828">
          <cell r="A828">
            <v>13878</v>
          </cell>
          <cell r="B828" t="str">
            <v>GKN CUST SUB-TWO 34-4KV,14MVA,UNITS</v>
          </cell>
          <cell r="C828" t="str">
            <v>09E-ELECTRICAL ENGINEERING</v>
          </cell>
        </row>
        <row r="829">
          <cell r="A829">
            <v>13879</v>
          </cell>
          <cell r="B829" t="str">
            <v>SPARKS SUB. - 69KV CONVERSION</v>
          </cell>
          <cell r="C829" t="str">
            <v>09E-ELECTRICAL ENGINEERING</v>
          </cell>
        </row>
        <row r="830">
          <cell r="A830">
            <v>13880</v>
          </cell>
          <cell r="B830" t="str">
            <v>NEWPORT - ADD 2ND UNIT, W-MOD.HI-LO</v>
          </cell>
          <cell r="C830" t="str">
            <v>09E-ELECTRICAL ENGINEERING</v>
          </cell>
        </row>
        <row r="831">
          <cell r="A831">
            <v>13883</v>
          </cell>
          <cell r="B831" t="str">
            <v>VENICE CTG 2 - GAS LINE LATERAL</v>
          </cell>
          <cell r="C831" t="str">
            <v>09M-GENERATION PROJECT ENGINEERING</v>
          </cell>
        </row>
        <row r="832">
          <cell r="A832">
            <v>13888</v>
          </cell>
          <cell r="B832" t="str">
            <v>MOREAU - ADD ONE 161KV LN POSITION</v>
          </cell>
          <cell r="C832" t="str">
            <v>09E-ELECTRICAL ENGINEERING</v>
          </cell>
        </row>
        <row r="833">
          <cell r="A833">
            <v>13894</v>
          </cell>
          <cell r="B833" t="str">
            <v>SYSTEM SPARE 138/34KV XFMR</v>
          </cell>
          <cell r="C833" t="str">
            <v>09E-ELECTRICAL ENGINEERING</v>
          </cell>
        </row>
        <row r="834">
          <cell r="A834">
            <v>13913</v>
          </cell>
          <cell r="B834" t="str">
            <v>OVERTON-161 -ADD 161KV CAP BANK</v>
          </cell>
          <cell r="C834" t="str">
            <v>09E-ELECTRICAL ENGINEERING</v>
          </cell>
        </row>
        <row r="835">
          <cell r="A835">
            <v>13919</v>
          </cell>
          <cell r="B835" t="str">
            <v>MITCHELL -2ND UNIT, 34-12, 22MVA</v>
          </cell>
          <cell r="C835" t="str">
            <v>09E-ELECTRICAL ENGINEERING</v>
          </cell>
        </row>
        <row r="836">
          <cell r="A836">
            <v>13920</v>
          </cell>
          <cell r="B836" t="str">
            <v>EATHERTON 138-12 - ADD 2ND UNIT</v>
          </cell>
          <cell r="C836" t="str">
            <v>09E-ELECTRICAL ENGINEERING</v>
          </cell>
        </row>
        <row r="837">
          <cell r="A837">
            <v>13921</v>
          </cell>
          <cell r="B837" t="str">
            <v>FOUNTAIN LAKES -NEW 138-12 DIST.SUB</v>
          </cell>
          <cell r="C837" t="str">
            <v>09E-ELECTRICAL ENGINEERING</v>
          </cell>
        </row>
        <row r="838">
          <cell r="A838">
            <v>13922</v>
          </cell>
          <cell r="B838" t="str">
            <v>BOYD BRANCH 138-12- 33MVA, 4 FDRS</v>
          </cell>
          <cell r="C838" t="str">
            <v>09E-ELECTRICAL ENGINEERING</v>
          </cell>
        </row>
        <row r="839">
          <cell r="A839">
            <v>13940</v>
          </cell>
          <cell r="B839" t="str">
            <v>Mariosa Delta - 345kV Addition</v>
          </cell>
          <cell r="C839" t="str">
            <v>09E-ELECTRICAL ENGINEERING</v>
          </cell>
        </row>
        <row r="840">
          <cell r="A840">
            <v>13942</v>
          </cell>
          <cell r="B840" t="str">
            <v>BELLEAU 345BRKR.POS.-FOR ENON-REIMB</v>
          </cell>
          <cell r="C840" t="str">
            <v>09E-ELECTRICAL ENGINEERING</v>
          </cell>
        </row>
        <row r="841">
          <cell r="A841">
            <v>13946</v>
          </cell>
          <cell r="B841" t="str">
            <v>ZION-161KV BUS., DISC. SWITCHES</v>
          </cell>
          <cell r="C841" t="str">
            <v>09E-ELECTRICAL ENGINEERING</v>
          </cell>
        </row>
        <row r="842">
          <cell r="A842">
            <v>13953</v>
          </cell>
          <cell r="B842" t="str">
            <v>NEWTON -REPL 2-138 PCBS, BUS COND.</v>
          </cell>
          <cell r="C842" t="str">
            <v>09E-ELECTRICAL ENGINEERING</v>
          </cell>
        </row>
        <row r="843">
          <cell r="A843">
            <v>13955</v>
          </cell>
          <cell r="B843" t="str">
            <v>MONTGMRY 345 REL.MODS-FOR ENON-AECI</v>
          </cell>
          <cell r="C843" t="str">
            <v>09E-ELECTRICAL ENGINEERING</v>
          </cell>
        </row>
        <row r="844">
          <cell r="A844">
            <v>13965</v>
          </cell>
          <cell r="B844" t="str">
            <v>HANNIBAL WEST SWITCHING STATION</v>
          </cell>
          <cell r="C844" t="str">
            <v>09E-ELECTRICAL ENGINEERING</v>
          </cell>
        </row>
        <row r="845">
          <cell r="A845">
            <v>13980</v>
          </cell>
          <cell r="B845" t="str">
            <v>W.FRANKF.&amp; W.FRKF.E. -UPGR LN.POSNS</v>
          </cell>
          <cell r="C845" t="str">
            <v>09E-ELECTRICAL ENGINEERING</v>
          </cell>
        </row>
        <row r="846">
          <cell r="A846">
            <v>13987</v>
          </cell>
          <cell r="B846" t="str">
            <v>TAZEW-E.SPRINGF.138KV - RECOND 58MI</v>
          </cell>
          <cell r="C846" t="str">
            <v>09E-ELECTRICAL ENGINEERING</v>
          </cell>
        </row>
        <row r="847">
          <cell r="A847">
            <v>13989</v>
          </cell>
          <cell r="B847" t="str">
            <v>CAPE GIR. AREA SUBST REPORTING CTR.</v>
          </cell>
          <cell r="C847" t="str">
            <v>09E-ELECTRICAL ENGINEERING</v>
          </cell>
        </row>
        <row r="848">
          <cell r="A848">
            <v>13992</v>
          </cell>
          <cell r="B848" t="str">
            <v>ESOS COMPUTER EXPANSION FOR CILCO M</v>
          </cell>
          <cell r="C848" t="str">
            <v>042-TRANSMISSION OPERATIONS</v>
          </cell>
        </row>
        <row r="849">
          <cell r="A849">
            <v>13993</v>
          </cell>
          <cell r="B849" t="str">
            <v>CNG STATION - WENTZVILLE, MO</v>
          </cell>
          <cell r="C849" t="str">
            <v>0G2-GAS TECH SERVICES - AMS</v>
          </cell>
        </row>
        <row r="850">
          <cell r="A850">
            <v>14009</v>
          </cell>
          <cell r="B850" t="str">
            <v>KEOKUK REL.REPL.-K-HAM-2,K-31,K-MES</v>
          </cell>
          <cell r="C850" t="str">
            <v>09E-ELECTRICAL ENGINEERING</v>
          </cell>
        </row>
        <row r="851">
          <cell r="A851">
            <v>14010</v>
          </cell>
          <cell r="B851" t="str">
            <v>KEOKUK U1-9 POWER SYSTEM STABILIZ.</v>
          </cell>
          <cell r="C851" t="str">
            <v>09E-ELECTRICAL ENGINEERING</v>
          </cell>
        </row>
        <row r="852">
          <cell r="A852">
            <v>14024</v>
          </cell>
          <cell r="B852" t="str">
            <v>MER U1&amp;2 SAFETY VALVE CAPACITY INCR</v>
          </cell>
          <cell r="C852" t="str">
            <v>09M-GENERATION PROJECT ENGINEERING</v>
          </cell>
        </row>
        <row r="853">
          <cell r="A853">
            <v>14036</v>
          </cell>
          <cell r="B853" t="str">
            <v>OSAGE - D.O. ENHAMCEMENT STUDY</v>
          </cell>
          <cell r="C853" t="str">
            <v>44B-OSAGE PLANT OPERATIONS&amp;ENGINEER</v>
          </cell>
        </row>
        <row r="854">
          <cell r="A854">
            <v>14039</v>
          </cell>
          <cell r="B854" t="str">
            <v>SIOUX 2 LOWER LOOP IMPROVEMENT</v>
          </cell>
          <cell r="C854" t="str">
            <v>09M-GENERATION PROJECT ENGINEERING</v>
          </cell>
        </row>
        <row r="855">
          <cell r="A855">
            <v>14041</v>
          </cell>
          <cell r="B855" t="str">
            <v>SIOUX 1 LOWER LOOP IMPROVEMENT</v>
          </cell>
          <cell r="C855" t="str">
            <v>09M-GENERATION PROJECT ENGINEERING</v>
          </cell>
        </row>
        <row r="856">
          <cell r="A856">
            <v>14045</v>
          </cell>
          <cell r="B856" t="str">
            <v>RI U1 HWAH SYSTEM RETROFIT</v>
          </cell>
          <cell r="C856" t="str">
            <v>09M-GENERATION PROJECT ENGINEERING</v>
          </cell>
        </row>
        <row r="857">
          <cell r="A857">
            <v>14057</v>
          </cell>
          <cell r="B857" t="str">
            <v>UEC 2002  800 MHZ RADIO INFRASTRUCR</v>
          </cell>
          <cell r="C857" t="str">
            <v>065-NEO - TELEPHONE SERVICES</v>
          </cell>
        </row>
        <row r="858">
          <cell r="A858">
            <v>14058</v>
          </cell>
          <cell r="B858" t="str">
            <v>LBD U4 CONDENSER CLEANING SYSTEM</v>
          </cell>
          <cell r="C858" t="str">
            <v>09M-GENERATION PROJECT ENGINEERING</v>
          </cell>
        </row>
        <row r="859">
          <cell r="A859">
            <v>14091</v>
          </cell>
          <cell r="B859" t="str">
            <v>VENICE CTG #3 &amp; #4 - 138KV SWYD.</v>
          </cell>
          <cell r="C859" t="str">
            <v>09E-ELECTRICAL ENGINEERING</v>
          </cell>
        </row>
        <row r="860">
          <cell r="A860">
            <v>14109</v>
          </cell>
          <cell r="B860" t="str">
            <v>TELECOM TRANSPORT FOR CILCO</v>
          </cell>
          <cell r="C860" t="str">
            <v>065-NEO - TELEPHONE SERVICES</v>
          </cell>
        </row>
        <row r="861">
          <cell r="A861">
            <v>14114</v>
          </cell>
          <cell r="B861" t="str">
            <v>KEOKUK SCADA REPLACEMENT</v>
          </cell>
          <cell r="C861" t="str">
            <v>09M-GENERATION PROJECT ENGINEERING</v>
          </cell>
        </row>
        <row r="862">
          <cell r="A862">
            <v>14115</v>
          </cell>
          <cell r="B862" t="str">
            <v>VENICE CTG 5</v>
          </cell>
          <cell r="C862" t="str">
            <v>09M-GENERATION PROJECT ENGINEERING</v>
          </cell>
        </row>
        <row r="863">
          <cell r="A863">
            <v>14117</v>
          </cell>
          <cell r="B863" t="str">
            <v>OSAGE SCADA REPLACEMENT</v>
          </cell>
          <cell r="C863" t="str">
            <v>09M-GENERATION PROJECT ENGINEERING</v>
          </cell>
        </row>
        <row r="864">
          <cell r="A864">
            <v>14119</v>
          </cell>
          <cell r="B864" t="str">
            <v>TAUM SAUK SCADA REPLACEMENT</v>
          </cell>
          <cell r="C864" t="str">
            <v>09M-GENERATION PROJECT ENGINEERING</v>
          </cell>
        </row>
        <row r="865">
          <cell r="A865">
            <v>14120</v>
          </cell>
          <cell r="B865" t="str">
            <v>SALE OF PITTSFIELD LAND AND OFFICE</v>
          </cell>
          <cell r="C865" t="str">
            <v>061-REAL ESTATE</v>
          </cell>
        </row>
        <row r="866">
          <cell r="A866">
            <v>14121</v>
          </cell>
          <cell r="B866" t="str">
            <v>NEWTON-REPL.345KV BRKR - POSN #3497</v>
          </cell>
          <cell r="C866" t="str">
            <v>09E-ELECTRICAL ENGINEERING</v>
          </cell>
        </row>
        <row r="867">
          <cell r="A867">
            <v>14130</v>
          </cell>
          <cell r="B867" t="str">
            <v>LANESVILLE SUB - NEW 345/138KV SUB</v>
          </cell>
          <cell r="C867" t="str">
            <v>09E-ELECTRICAL ENGINEERING</v>
          </cell>
        </row>
        <row r="868">
          <cell r="A868">
            <v>14133</v>
          </cell>
          <cell r="B868" t="str">
            <v>COFFEEN CEMS UPGRADE</v>
          </cell>
          <cell r="C868" t="str">
            <v>131-EFFINGHAM RESOURCE CENTER</v>
          </cell>
        </row>
        <row r="869">
          <cell r="A869">
            <v>14142</v>
          </cell>
          <cell r="B869" t="str">
            <v>MERAMEC-WATSON-2 RELOCATION FOR MSD</v>
          </cell>
          <cell r="C869" t="str">
            <v>037-TRANSMISSION</v>
          </cell>
        </row>
        <row r="870">
          <cell r="A870">
            <v>14149</v>
          </cell>
          <cell r="B870" t="str">
            <v>CROOKED CREEK POWER PLANT LAND ACQU</v>
          </cell>
          <cell r="C870" t="str">
            <v>09M-GENERATION PROJECT ENGINEERING</v>
          </cell>
        </row>
        <row r="871">
          <cell r="A871">
            <v>14160</v>
          </cell>
          <cell r="B871" t="str">
            <v>SL - PORTION OF ASHLEY-VENICE-CAMP</v>
          </cell>
          <cell r="C871" t="str">
            <v>061-REAL ESTATE</v>
          </cell>
        </row>
        <row r="872">
          <cell r="A872">
            <v>14163</v>
          </cell>
          <cell r="B872" t="str">
            <v>UNIT 1 STATOR REWIND</v>
          </cell>
          <cell r="C872" t="str">
            <v>NAD-NEWTON - TRAINING &amp; BENEFIT ADM</v>
          </cell>
        </row>
        <row r="873">
          <cell r="A873">
            <v>14170</v>
          </cell>
          <cell r="B873" t="str">
            <v>CILCO AREA CALL CENTER</v>
          </cell>
          <cell r="C873" t="str">
            <v>065-NEO - TELEPHONE SERVICES</v>
          </cell>
        </row>
        <row r="874">
          <cell r="A874">
            <v>14174</v>
          </cell>
          <cell r="B874" t="str">
            <v>GOB PART OF  CILCO CALL CENTER</v>
          </cell>
          <cell r="C874" t="str">
            <v>065-NEO - TELEPHONE SERVICES</v>
          </cell>
        </row>
        <row r="875">
          <cell r="A875">
            <v>14175</v>
          </cell>
          <cell r="B875" t="str">
            <v>GOB CILCO MOBILE DATA</v>
          </cell>
          <cell r="C875" t="str">
            <v>065-NEO - TELEPHONE SERVICES</v>
          </cell>
        </row>
        <row r="876">
          <cell r="A876">
            <v>14179</v>
          </cell>
          <cell r="B876" t="str">
            <v>PALESTINE ETHANOL PLANT</v>
          </cell>
          <cell r="C876" t="str">
            <v>3RB-ROBINSON</v>
          </cell>
        </row>
        <row r="877">
          <cell r="A877">
            <v>14181</v>
          </cell>
          <cell r="B877" t="str">
            <v>ENVIRONMENTAL COMPLIANCE STUDY</v>
          </cell>
          <cell r="C877" t="str">
            <v>09V-NEW GEN &amp; ENV PROJECTS</v>
          </cell>
        </row>
        <row r="878">
          <cell r="A878">
            <v>14192</v>
          </cell>
          <cell r="B878" t="str">
            <v>ILLINOIS DISTRIBUTION PROJECT</v>
          </cell>
          <cell r="C878" t="str">
            <v>087-FOSSIL FUELS</v>
          </cell>
        </row>
        <row r="879">
          <cell r="A879">
            <v>14202</v>
          </cell>
          <cell r="B879" t="str">
            <v>CENTRALIZED ENERGY OPERATIONS CTR</v>
          </cell>
          <cell r="C879" t="str">
            <v>09M-GENERATION PROJECT ENGINEERING</v>
          </cell>
        </row>
        <row r="880">
          <cell r="A880">
            <v>14206</v>
          </cell>
          <cell r="B880" t="str">
            <v>ZUMBEHL RD PHASE 2</v>
          </cell>
          <cell r="C880" t="str">
            <v>069-ST CHARLES DISTRICT</v>
          </cell>
        </row>
        <row r="881">
          <cell r="A881">
            <v>14212</v>
          </cell>
          <cell r="B881" t="str">
            <v>PORTABLE SUB. Q - MODIFY 7 SUBS.</v>
          </cell>
          <cell r="C881" t="str">
            <v>09E-ELECTRICAL ENGINEERING</v>
          </cell>
        </row>
        <row r="882">
          <cell r="A882">
            <v>14216</v>
          </cell>
          <cell r="B882" t="str">
            <v>SALE PART OF SIOUX PLANT PROPERTY</v>
          </cell>
          <cell r="C882" t="str">
            <v>061-REAL ESTATE</v>
          </cell>
        </row>
        <row r="883">
          <cell r="A883">
            <v>14218</v>
          </cell>
          <cell r="B883" t="str">
            <v>RUSH ISLAND U2 HWAH SYSTEM RETROFIT</v>
          </cell>
          <cell r="C883" t="str">
            <v>09M-GENERATION PROJECT ENGINEERING</v>
          </cell>
        </row>
        <row r="884">
          <cell r="A884">
            <v>14224</v>
          </cell>
          <cell r="B884" t="str">
            <v>COFFEEN PLANT PROPERTY ADDITION</v>
          </cell>
          <cell r="C884" t="str">
            <v>CFG-COFFEEN - GENERAL</v>
          </cell>
        </row>
        <row r="885">
          <cell r="A885">
            <v>14226</v>
          </cell>
          <cell r="B885" t="str">
            <v>CORPORATE COMPUTER ROOM EXPANSION</v>
          </cell>
          <cell r="C885" t="str">
            <v>072-BUILDING SERVICES-MO</v>
          </cell>
        </row>
        <row r="886">
          <cell r="A886">
            <v>14229</v>
          </cell>
          <cell r="B886" t="str">
            <v>SALE OF CARBONDALE LAND &amp; BUILDING</v>
          </cell>
          <cell r="C886" t="str">
            <v>061-REAL ESTATE</v>
          </cell>
        </row>
        <row r="887">
          <cell r="A887">
            <v>14252</v>
          </cell>
          <cell r="B887" t="str">
            <v>SALE OF ALBION STOREROOM</v>
          </cell>
          <cell r="C887" t="str">
            <v>061-REAL ESTATE</v>
          </cell>
        </row>
        <row r="888">
          <cell r="A888">
            <v>14253</v>
          </cell>
          <cell r="B888" t="str">
            <v>ESO MAPBOARD EXPANSION - PHASE 1 -</v>
          </cell>
          <cell r="C888" t="str">
            <v>042-TRANSMISSION OPERATIONS</v>
          </cell>
        </row>
        <row r="889">
          <cell r="A889">
            <v>14263</v>
          </cell>
          <cell r="B889" t="str">
            <v>UEC MOBILE DATA LAPTOP REPLACEMENT</v>
          </cell>
          <cell r="C889" t="str">
            <v>06M-CSF - TELECOM FIELD OPS</v>
          </cell>
        </row>
        <row r="890">
          <cell r="A890">
            <v>14264</v>
          </cell>
          <cell r="B890" t="str">
            <v>UEC 800 MHZ INFRASTRUCTURE</v>
          </cell>
          <cell r="C890" t="str">
            <v>065-NEO - TELEPHONE SERVICES</v>
          </cell>
        </row>
        <row r="891">
          <cell r="A891">
            <v>14269</v>
          </cell>
          <cell r="B891" t="str">
            <v>GDTWR U3 REPLACE OCB 544 GEN BREAKR</v>
          </cell>
          <cell r="C891" t="str">
            <v>09M-GENERATION PROJECT ENGINEERING</v>
          </cell>
        </row>
        <row r="892">
          <cell r="A892">
            <v>14278</v>
          </cell>
          <cell r="B892" t="str">
            <v>I74 STERLING AVE 69KV LNS</v>
          </cell>
          <cell r="C892" t="str">
            <v>668-IL OPS ADMIN DIV I II III</v>
          </cell>
        </row>
        <row r="893">
          <cell r="A893">
            <v>14279</v>
          </cell>
          <cell r="B893" t="str">
            <v>WILLIAMSON CO PAVILION</v>
          </cell>
          <cell r="C893" t="str">
            <v>4MS-DIVISION VII SUPPORT STAFF</v>
          </cell>
        </row>
        <row r="894">
          <cell r="A894">
            <v>14281</v>
          </cell>
          <cell r="B894" t="str">
            <v>RAIL MODIFICATIONS - EDWARDS</v>
          </cell>
          <cell r="C894" t="str">
            <v>62A-EDWARDS PLANT GENERAL</v>
          </cell>
        </row>
        <row r="895">
          <cell r="A895">
            <v>14289</v>
          </cell>
          <cell r="B895" t="str">
            <v>SALE OF CARTHAGE POLE STORAGE YARD</v>
          </cell>
          <cell r="C895" t="str">
            <v>061-REAL ESTATE</v>
          </cell>
        </row>
        <row r="896">
          <cell r="A896">
            <v>14291</v>
          </cell>
          <cell r="B896" t="str">
            <v>I74 GLENDALE 26 BERKLEY</v>
          </cell>
          <cell r="C896" t="str">
            <v>668-IL OPS ADMIN DIV I II III</v>
          </cell>
        </row>
        <row r="897">
          <cell r="A897">
            <v>14292</v>
          </cell>
          <cell r="B897" t="str">
            <v>I74 STERLING DUCT REIMBURSIBLE</v>
          </cell>
          <cell r="C897" t="str">
            <v>668-IL OPS ADMIN DIV I II III</v>
          </cell>
        </row>
        <row r="898">
          <cell r="A898">
            <v>14295</v>
          </cell>
          <cell r="B898" t="str">
            <v>SL - KEOKUK FLOWAGE - D L ALLEY</v>
          </cell>
          <cell r="C898" t="str">
            <v>061-REAL ESTATE</v>
          </cell>
        </row>
        <row r="899">
          <cell r="A899">
            <v>14300</v>
          </cell>
          <cell r="B899" t="str">
            <v>2004-05 U1 DCS CONTROLS UPGRADE</v>
          </cell>
          <cell r="C899" t="str">
            <v>NAD-NEWTON - TRAINING &amp; BENEFIT ADM</v>
          </cell>
        </row>
        <row r="900">
          <cell r="A900">
            <v>14303</v>
          </cell>
          <cell r="B900" t="str">
            <v>NPS U1 BOILER MODIFICATIONS</v>
          </cell>
          <cell r="C900" t="str">
            <v>09M-GENERATION PROJECT ENGINEERING</v>
          </cell>
        </row>
        <row r="901">
          <cell r="A901">
            <v>14304</v>
          </cell>
          <cell r="B901" t="str">
            <v>PALESTINE W- 69-12 SUB -LINCOLNLAND</v>
          </cell>
          <cell r="C901" t="str">
            <v>09E-ELECTRICAL ENGINEERING</v>
          </cell>
        </row>
        <row r="902">
          <cell r="A902">
            <v>14308</v>
          </cell>
          <cell r="B902" t="str">
            <v>DUCK CREEK NEW POND CONSTRUCTION</v>
          </cell>
          <cell r="C902" t="str">
            <v>61A-DUCK CREEK PLANT GENERAL</v>
          </cell>
        </row>
        <row r="903">
          <cell r="A903">
            <v>14309</v>
          </cell>
          <cell r="B903" t="str">
            <v>DUCK CREEK  LANDFILL CONSTRUCTION</v>
          </cell>
          <cell r="C903" t="str">
            <v>61A-DUCK CREEK PLANT GENERAL</v>
          </cell>
        </row>
        <row r="904">
          <cell r="A904">
            <v>14314</v>
          </cell>
          <cell r="B904" t="str">
            <v>CALLAWAY EMPRV PROJECT</v>
          </cell>
          <cell r="C904" t="str">
            <v>202-DEV - OPERATIONS</v>
          </cell>
        </row>
        <row r="905">
          <cell r="A905">
            <v>14318</v>
          </cell>
          <cell r="B905" t="str">
            <v>NORTH FARMINGTON -138/34KV SUB&amp;SITE</v>
          </cell>
          <cell r="C905" t="str">
            <v>09E-ELECTRICAL ENGINEERING</v>
          </cell>
        </row>
        <row r="906">
          <cell r="A906">
            <v>14319</v>
          </cell>
          <cell r="B906" t="str">
            <v>SELMA-INST.CARRIER EQ-REIMB-IP,VALM</v>
          </cell>
          <cell r="C906" t="str">
            <v>09E-ELECTRICAL ENGINEERING</v>
          </cell>
        </row>
        <row r="907">
          <cell r="A907">
            <v>14320</v>
          </cell>
          <cell r="B907" t="str">
            <v>LANESVILLE SUB - TRANSMISSION TAPS</v>
          </cell>
          <cell r="C907" t="str">
            <v>09E-ELECTRICAL ENGINEERING</v>
          </cell>
        </row>
        <row r="908">
          <cell r="A908">
            <v>14326</v>
          </cell>
          <cell r="B908" t="str">
            <v>SALE OF OLD WELLSVILLE HEADQUARTERS</v>
          </cell>
          <cell r="C908" t="str">
            <v>061-REAL ESTATE</v>
          </cell>
        </row>
        <row r="909">
          <cell r="A909">
            <v>14328</v>
          </cell>
          <cell r="B909" t="str">
            <v>OSAGE HOUSE UNIT TURB REPL&amp;UPGRADES</v>
          </cell>
          <cell r="C909" t="str">
            <v>09V-NEW GEN &amp; ENV PROJECTS</v>
          </cell>
        </row>
        <row r="910">
          <cell r="A910">
            <v>14332</v>
          </cell>
          <cell r="B910" t="str">
            <v>SALE OF OLD WELLSVILLE POLE YARD</v>
          </cell>
          <cell r="C910" t="str">
            <v>061-REAL ESTATE</v>
          </cell>
        </row>
        <row r="911">
          <cell r="A911">
            <v>14334</v>
          </cell>
          <cell r="B911" t="str">
            <v>NEWTON-REPL.345KV BRKR - POSN #3499</v>
          </cell>
          <cell r="C911" t="str">
            <v>09E-ELECTRICAL ENGINEERING</v>
          </cell>
        </row>
        <row r="912">
          <cell r="A912">
            <v>14336</v>
          </cell>
          <cell r="B912" t="str">
            <v>SX U1 CONDENSER VACUUM PUMP INSTALL</v>
          </cell>
          <cell r="C912" t="str">
            <v>09M-GENERATION PROJECT ENGINEERING</v>
          </cell>
        </row>
        <row r="913">
          <cell r="A913">
            <v>14337</v>
          </cell>
          <cell r="B913" t="str">
            <v>SX U2 CONDENSER VACUUM PUMP RETROFI</v>
          </cell>
          <cell r="C913" t="str">
            <v>09M-GENERATION PROJECT ENGINEERING</v>
          </cell>
        </row>
        <row r="914">
          <cell r="A914">
            <v>14339</v>
          </cell>
          <cell r="B914" t="str">
            <v>LBD U2 K LINE BREAKER REPL</v>
          </cell>
          <cell r="C914" t="str">
            <v>09M-GENERATION PROJECT ENGINEERING</v>
          </cell>
        </row>
        <row r="915">
          <cell r="A915">
            <v>14343</v>
          </cell>
          <cell r="B915" t="str">
            <v>LBD U4 4160V BREAKER REPL</v>
          </cell>
          <cell r="C915" t="str">
            <v>09M-GENERATION PROJECT ENGINEERING</v>
          </cell>
        </row>
        <row r="916">
          <cell r="A916">
            <v>14345</v>
          </cell>
          <cell r="B916" t="str">
            <v>LBD U3 BOILER CAMERA INSTALLATION</v>
          </cell>
          <cell r="C916" t="str">
            <v>09M-GENERATION PROJECT ENGINEERING</v>
          </cell>
        </row>
        <row r="917">
          <cell r="A917">
            <v>14351</v>
          </cell>
          <cell r="B917" t="str">
            <v>KEO 13.8KV ACB REPL &amp; BUS C UPRATE</v>
          </cell>
          <cell r="C917" t="str">
            <v>09M-GENERATION PROJECT ENGINEERING</v>
          </cell>
        </row>
        <row r="918">
          <cell r="A918">
            <v>14354</v>
          </cell>
          <cell r="B918" t="str">
            <v>KEOKUK MAIN UNIT 3 GENERATOR REWIND</v>
          </cell>
          <cell r="C918" t="str">
            <v>09M-GENERATION PROJECT ENGINEERING</v>
          </cell>
        </row>
        <row r="919">
          <cell r="A919">
            <v>14362</v>
          </cell>
          <cell r="B919" t="str">
            <v>MERAMEC UNIT 4 GSU REPLACEMENT</v>
          </cell>
          <cell r="C919" t="str">
            <v>09M-GENERATION PROJECT ENGINEERING</v>
          </cell>
        </row>
        <row r="920">
          <cell r="A920">
            <v>14363</v>
          </cell>
          <cell r="B920" t="str">
            <v>MER U1&amp;2 LTSH LOWER BANK REMOV,DSH</v>
          </cell>
          <cell r="C920" t="str">
            <v>09M-GENERATION PROJECT ENGINEERING</v>
          </cell>
        </row>
        <row r="921">
          <cell r="A921">
            <v>14367</v>
          </cell>
          <cell r="B921" t="str">
            <v>RUSH ISLAND UNIT 1 BOILER CAMERAS</v>
          </cell>
          <cell r="C921" t="str">
            <v>09M-GENERATION PROJECT ENGINEERING</v>
          </cell>
        </row>
        <row r="922">
          <cell r="A922">
            <v>14377</v>
          </cell>
          <cell r="B922" t="str">
            <v>SIOUX - UNIT 2 BOILER CAMERAS</v>
          </cell>
          <cell r="C922" t="str">
            <v>09M-GENERATION PROJECT ENGINEERING</v>
          </cell>
        </row>
        <row r="923">
          <cell r="A923">
            <v>14379</v>
          </cell>
          <cell r="B923" t="str">
            <v>VENICE - CTG 1 MCC REPLACEMENT</v>
          </cell>
          <cell r="C923" t="str">
            <v>09M-GENERATION PROJECT ENGINEERING</v>
          </cell>
        </row>
        <row r="924">
          <cell r="A924">
            <v>14380</v>
          </cell>
          <cell r="B924" t="str">
            <v>WILLIAMSON CO AIRPORT 34.5KV RELOC</v>
          </cell>
          <cell r="C924" t="str">
            <v>4MS-DIVISION VII SUPPORT STAFF</v>
          </cell>
        </row>
        <row r="925">
          <cell r="A925">
            <v>14381</v>
          </cell>
          <cell r="B925" t="str">
            <v>SALE OF QUINCY PROPERTY</v>
          </cell>
          <cell r="C925" t="str">
            <v>061-REAL ESTATE</v>
          </cell>
        </row>
        <row r="926">
          <cell r="A926">
            <v>14384</v>
          </cell>
          <cell r="B926" t="str">
            <v>SX U2 BOILER NATURAL CIRC VALVE RPL</v>
          </cell>
          <cell r="C926" t="str">
            <v>09M-GENERATION PROJECT ENGINEERING</v>
          </cell>
        </row>
        <row r="927">
          <cell r="A927">
            <v>14385</v>
          </cell>
          <cell r="B927" t="str">
            <v>SX U1 BOILER NATURAL CIRC VALVE RPL</v>
          </cell>
          <cell r="C927" t="str">
            <v>09M-GENERATION PROJECT ENGINEERING</v>
          </cell>
        </row>
        <row r="928">
          <cell r="A928">
            <v>14390</v>
          </cell>
          <cell r="B928" t="str">
            <v>KELSO-STODDARD-3 STR. 249 REPAIR</v>
          </cell>
          <cell r="C928" t="str">
            <v>037-TRANSMISSION</v>
          </cell>
        </row>
        <row r="929">
          <cell r="A929">
            <v>14402</v>
          </cell>
          <cell r="B929" t="str">
            <v>MERAMEC U3 4.16KV BREAKER REPL</v>
          </cell>
          <cell r="C929" t="str">
            <v>09M-GENERATION PROJECT ENGINEERING</v>
          </cell>
        </row>
        <row r="930">
          <cell r="A930">
            <v>14403</v>
          </cell>
          <cell r="B930" t="str">
            <v>MERAMEC U4 4.16KV BREAKER REPL</v>
          </cell>
          <cell r="C930" t="str">
            <v>09M-GENERATION PROJECT ENGINEERING</v>
          </cell>
        </row>
        <row r="931">
          <cell r="A931">
            <v>14405</v>
          </cell>
          <cell r="B931" t="str">
            <v>MER U1-4 FLOW &amp; OPACITY MONITOR REP</v>
          </cell>
          <cell r="C931" t="str">
            <v>09M-GENERATION PROJECT ENGINEERING</v>
          </cell>
        </row>
        <row r="932">
          <cell r="A932">
            <v>14406</v>
          </cell>
          <cell r="B932" t="str">
            <v>RI OB33, OB43,OB63,OB65 MCC REPL</v>
          </cell>
          <cell r="C932" t="str">
            <v>09M-GENERATION PROJECT ENGINEERING</v>
          </cell>
        </row>
        <row r="933">
          <cell r="A933">
            <v>14407</v>
          </cell>
          <cell r="B933" t="str">
            <v>RI U1 IB13-14, IB17-18,OB35&amp;44 MCC</v>
          </cell>
          <cell r="C933" t="str">
            <v>09M-GENERATION PROJECT ENGINEERING</v>
          </cell>
        </row>
        <row r="934">
          <cell r="A934">
            <v>14408</v>
          </cell>
          <cell r="B934" t="str">
            <v>RUSH ISL. MCC REPL OF OB34,63,66,71</v>
          </cell>
          <cell r="C934" t="str">
            <v>09M-GENERATION PROJECT ENGINEERING</v>
          </cell>
        </row>
        <row r="935">
          <cell r="A935">
            <v>14409</v>
          </cell>
          <cell r="B935" t="str">
            <v>RUSH U2 MCC REPL 2B13,14,17,18,OB36</v>
          </cell>
          <cell r="C935" t="str">
            <v>09M-GENERATION PROJECT ENGINEERING</v>
          </cell>
        </row>
        <row r="936">
          <cell r="A936">
            <v>14410</v>
          </cell>
          <cell r="B936" t="str">
            <v>RUSH MCC REPL OF OB13,23,25,27</v>
          </cell>
          <cell r="C936" t="str">
            <v>09M-GENERATION PROJECT ENGINEERING</v>
          </cell>
        </row>
        <row r="937">
          <cell r="A937">
            <v>14411</v>
          </cell>
          <cell r="B937" t="str">
            <v>RUSH MCC REPL OF OB14,24,26,67</v>
          </cell>
          <cell r="C937" t="str">
            <v>09M-GENERATION PROJECT ENGINEERING</v>
          </cell>
        </row>
        <row r="938">
          <cell r="A938">
            <v>14412</v>
          </cell>
          <cell r="B938" t="str">
            <v>RI BF BOOSTER PP MOTOR REPL</v>
          </cell>
          <cell r="C938" t="str">
            <v>09M-GENERATION PROJECT ENGINEERING</v>
          </cell>
        </row>
        <row r="939">
          <cell r="A939">
            <v>14413</v>
          </cell>
          <cell r="B939" t="str">
            <v>SX U1 PRECIP BUS 2A &amp; 2B SWGR REPL</v>
          </cell>
          <cell r="C939" t="str">
            <v>09M-GENERATION PROJECT ENGINEERING</v>
          </cell>
        </row>
        <row r="940">
          <cell r="A940">
            <v>14414</v>
          </cell>
          <cell r="B940" t="str">
            <v>SX U2 PRECIP BUS 2A &amp; 2B SWGR REPL</v>
          </cell>
          <cell r="C940" t="str">
            <v>09M-GENERATION PROJECT ENGINEERING</v>
          </cell>
        </row>
        <row r="941">
          <cell r="A941">
            <v>14416</v>
          </cell>
          <cell r="B941" t="str">
            <v>SIOUX U2 LIGHTING BUS REPLACEMENT</v>
          </cell>
          <cell r="C941" t="str">
            <v>09M-GENERATION PROJECT ENGINEERING</v>
          </cell>
        </row>
        <row r="942">
          <cell r="A942">
            <v>14418</v>
          </cell>
          <cell r="B942" t="str">
            <v>Y STAT TO N NEOGA INTRCTY MAIN REPL</v>
          </cell>
          <cell r="C942" t="str">
            <v>0G1-GAS TECH SERVICES - CIP</v>
          </cell>
        </row>
        <row r="943">
          <cell r="A943">
            <v>14421</v>
          </cell>
          <cell r="B943" t="str">
            <v>MER U3 "A" LEVEL WALL BLOWER VENTIL</v>
          </cell>
          <cell r="C943" t="str">
            <v>09M-GENERATION PROJECT ENGINEERING</v>
          </cell>
        </row>
        <row r="944">
          <cell r="A944">
            <v>14429</v>
          </cell>
          <cell r="B944" t="str">
            <v>SIOUX 1 GSU TRANSFORMER REPLACEMENT</v>
          </cell>
          <cell r="C944" t="str">
            <v>09M-GENERATION PROJECT ENGINEERING</v>
          </cell>
        </row>
        <row r="945">
          <cell r="A945">
            <v>14434</v>
          </cell>
          <cell r="B945" t="str">
            <v>SALE PORTION BRUSH CREEK SUB SITE</v>
          </cell>
          <cell r="C945" t="str">
            <v>061-REAL ESTATE</v>
          </cell>
        </row>
        <row r="946">
          <cell r="A946">
            <v>14454</v>
          </cell>
          <cell r="B946" t="str">
            <v>LBD U2 FURNACE NOSE REPL</v>
          </cell>
          <cell r="C946" t="str">
            <v>09M-GENERATION PROJECT ENGINEERING</v>
          </cell>
        </row>
        <row r="947">
          <cell r="A947">
            <v>14464</v>
          </cell>
          <cell r="B947" t="str">
            <v>LABADIE UNIT 1 BOILER CAMERAS</v>
          </cell>
          <cell r="C947" t="str">
            <v>09M-GENERATION PROJECT ENGINEERING</v>
          </cell>
        </row>
        <row r="948">
          <cell r="A948">
            <v>14465</v>
          </cell>
          <cell r="B948" t="str">
            <v>LABADIE UNIT 2 BOILER CAMERAS</v>
          </cell>
          <cell r="C948" t="str">
            <v>09M-GENERATION PROJECT ENGINEERING</v>
          </cell>
        </row>
        <row r="949">
          <cell r="A949">
            <v>14467</v>
          </cell>
          <cell r="B949" t="str">
            <v>SIOUX - UNIT 1 BOILER CAMERAS</v>
          </cell>
          <cell r="C949" t="str">
            <v>09M-GENERATION PROJECT ENGINEERING</v>
          </cell>
        </row>
        <row r="950">
          <cell r="A950">
            <v>14468</v>
          </cell>
          <cell r="B950" t="str">
            <v>RUSH ISLAND UNIT 2 - BOILER CAMERAS</v>
          </cell>
          <cell r="C950" t="str">
            <v>09M-GENERATION PROJECT ENGINEERING</v>
          </cell>
        </row>
        <row r="951">
          <cell r="A951">
            <v>14478</v>
          </cell>
          <cell r="B951" t="str">
            <v>SIOUX U1 REPL A&amp;B FD FAN LUBE OIL</v>
          </cell>
          <cell r="C951" t="str">
            <v>09M-GENERATION PROJECT ENGINEERING</v>
          </cell>
        </row>
        <row r="952">
          <cell r="A952">
            <v>14479</v>
          </cell>
          <cell r="B952" t="str">
            <v>SIOUX U2 A&amp;B FD FAN LUBE OIL SKID</v>
          </cell>
          <cell r="C952" t="str">
            <v>09M-GENERATION PROJECT ENGINEERING</v>
          </cell>
        </row>
        <row r="953">
          <cell r="A953">
            <v>14483</v>
          </cell>
          <cell r="B953" t="str">
            <v>SIOUX U2 OFA MODIFICATIONS</v>
          </cell>
          <cell r="C953" t="str">
            <v>09V-NEW GEN &amp; ENV PROJECTS</v>
          </cell>
        </row>
        <row r="954">
          <cell r="A954">
            <v>14489</v>
          </cell>
          <cell r="B954" t="str">
            <v>HAVANA-IPAVA LINE REBUILD</v>
          </cell>
          <cell r="C954" t="str">
            <v>09E-ELECTRICAL ENGINEERING</v>
          </cell>
        </row>
        <row r="955">
          <cell r="A955">
            <v>14490</v>
          </cell>
          <cell r="B955" t="str">
            <v>NORTH FARMINGTON- IN-OUT CONNECTION</v>
          </cell>
          <cell r="C955" t="str">
            <v>09E-ELECTRICAL ENGINEERING</v>
          </cell>
        </row>
        <row r="956">
          <cell r="A956">
            <v>14491</v>
          </cell>
          <cell r="B956" t="str">
            <v>BOURBEUSE -REPL.14 MVA UNIT W-22MVA</v>
          </cell>
          <cell r="C956" t="str">
            <v>09E-ELECTRICAL ENGINEERING</v>
          </cell>
        </row>
        <row r="957">
          <cell r="A957">
            <v>14501</v>
          </cell>
          <cell r="B957" t="str">
            <v>SAVOY SO.-ADD 69KV SW., BUSW.,SCADA</v>
          </cell>
          <cell r="C957" t="str">
            <v>09E-ELECTRICAL ENGINEERING</v>
          </cell>
        </row>
        <row r="958">
          <cell r="A958">
            <v>14502</v>
          </cell>
          <cell r="B958" t="str">
            <v>QUINCY-36TH&amp;COLLEGE- 2ND 34-12 XFMR</v>
          </cell>
          <cell r="C958" t="str">
            <v>09E-ELECTRICAL ENGINEERING</v>
          </cell>
        </row>
        <row r="959">
          <cell r="A959">
            <v>14503</v>
          </cell>
          <cell r="B959" t="str">
            <v>FISHER - NEW 69-12KV SUB &amp; SITE</v>
          </cell>
          <cell r="C959" t="str">
            <v>09E-ELECTRICAL ENGINEERING</v>
          </cell>
        </row>
        <row r="960">
          <cell r="A960">
            <v>14504</v>
          </cell>
          <cell r="B960" t="str">
            <v>FLINT - CONSTRUCT NEW 138-12KV SUB</v>
          </cell>
          <cell r="C960" t="str">
            <v>09E-ELECTRICAL ENGINEERING</v>
          </cell>
        </row>
        <row r="961">
          <cell r="A961">
            <v>14506</v>
          </cell>
          <cell r="B961" t="str">
            <v>Alta - Construct New 138-13.8kV Sub</v>
          </cell>
          <cell r="C961" t="str">
            <v>09E-ELECTRICAL ENGINEERING</v>
          </cell>
        </row>
        <row r="962">
          <cell r="A962">
            <v>14508</v>
          </cell>
          <cell r="B962" t="str">
            <v>MOSS HOLLOW- 22MVA UNIT &amp; 15KV SWGR</v>
          </cell>
          <cell r="C962" t="str">
            <v>09E-ELECTRICAL ENGINEERING</v>
          </cell>
        </row>
        <row r="963">
          <cell r="A963">
            <v>14509</v>
          </cell>
          <cell r="B963" t="str">
            <v>HWY N SUPPLY (FROM AECI)</v>
          </cell>
          <cell r="C963" t="str">
            <v>09E-ELECTRICAL ENGINEERING</v>
          </cell>
        </row>
        <row r="964">
          <cell r="A964">
            <v>14514</v>
          </cell>
          <cell r="B964" t="str">
            <v>VENICE CTG (SO.SIDE) 138KV LINE EXT</v>
          </cell>
          <cell r="C964" t="str">
            <v>09E-ELECTRICAL ENGINEERING</v>
          </cell>
        </row>
        <row r="965">
          <cell r="A965">
            <v>14519</v>
          </cell>
          <cell r="B965" t="str">
            <v>MONTGOMERY-RELAY MODS-CALLAWAY-PH.2</v>
          </cell>
          <cell r="C965" t="str">
            <v>09E-ELECTRICAL ENGINEERING</v>
          </cell>
        </row>
        <row r="966">
          <cell r="A966">
            <v>14520</v>
          </cell>
          <cell r="B966" t="str">
            <v>CALLAW.PH.2B-REPL.RELAYG-LOOSE CRK</v>
          </cell>
          <cell r="C966" t="str">
            <v>09E-ELECTRICAL ENGINEERING</v>
          </cell>
        </row>
        <row r="967">
          <cell r="A967">
            <v>14521</v>
          </cell>
          <cell r="B967" t="str">
            <v>N NEOGA TO MATT INTRCTY MAIN REPL</v>
          </cell>
          <cell r="C967" t="str">
            <v>0G1-GAS TECH SERVICES - CIP</v>
          </cell>
        </row>
        <row r="968">
          <cell r="A968">
            <v>14525</v>
          </cell>
          <cell r="B968" t="str">
            <v>PT. PRAIRIE-34KV, 28.8MVAR CAP BANK</v>
          </cell>
          <cell r="C968" t="str">
            <v>09E-ELECTRICAL ENGINEERING</v>
          </cell>
        </row>
        <row r="969">
          <cell r="A969">
            <v>14535</v>
          </cell>
          <cell r="B969" t="str">
            <v>UNICITY FDR 53 RPL 10 AAC W 556 AA</v>
          </cell>
          <cell r="C969" t="str">
            <v>071-ST. FRANCOIS</v>
          </cell>
        </row>
        <row r="970">
          <cell r="A970">
            <v>14537</v>
          </cell>
          <cell r="B970" t="str">
            <v>KNOB LICK FDR 53 RPL 4 ACSR W 10 AA</v>
          </cell>
          <cell r="C970" t="str">
            <v>071-ST. FRANCOIS</v>
          </cell>
        </row>
        <row r="971">
          <cell r="A971">
            <v>14540</v>
          </cell>
          <cell r="B971" t="str">
            <v>LOY MARTIN (ASHLAND)-161-12KV SUB.</v>
          </cell>
          <cell r="C971" t="str">
            <v>09E-ELECTRICAL ENGINEERING</v>
          </cell>
        </row>
        <row r="972">
          <cell r="A972">
            <v>14541</v>
          </cell>
          <cell r="B972" t="str">
            <v>PORTABLE SUB R -34.4-13.2X4.36,7MVA</v>
          </cell>
          <cell r="C972" t="str">
            <v>09E-ELECTRICAL ENGINEERING</v>
          </cell>
        </row>
        <row r="973">
          <cell r="A973">
            <v>14546</v>
          </cell>
          <cell r="B973" t="str">
            <v>HWY.N -NEW 161-34KV SUB, 2-112MVA</v>
          </cell>
          <cell r="C973" t="str">
            <v>09E-ELECTRICAL ENGINEERING</v>
          </cell>
        </row>
        <row r="974">
          <cell r="A974">
            <v>14548</v>
          </cell>
          <cell r="B974" t="str">
            <v>Joachim (Bailey Area) 345-138kV Sub</v>
          </cell>
          <cell r="C974" t="str">
            <v>09E-ELECTRICAL ENGINEERING</v>
          </cell>
        </row>
        <row r="975">
          <cell r="A975">
            <v>14549</v>
          </cell>
          <cell r="B975" t="str">
            <v>HARMON -INSTALL 69 KV LINE BREAKERS</v>
          </cell>
          <cell r="C975" t="str">
            <v>09E-ELECTRICAL ENGINEERING</v>
          </cell>
        </row>
        <row r="976">
          <cell r="A976">
            <v>14551</v>
          </cell>
          <cell r="B976" t="str">
            <v>HINES - CONVERT 138 KV LINE TERM.</v>
          </cell>
          <cell r="C976" t="str">
            <v>09E-ELECTRICAL ENGINEERING</v>
          </cell>
        </row>
        <row r="977">
          <cell r="A977">
            <v>14552</v>
          </cell>
          <cell r="B977" t="str">
            <v>R.S.WALLACE SUB. - RELOCATE TO 69KV</v>
          </cell>
          <cell r="C977" t="str">
            <v>09E-ELECTRICAL ENGINEERING</v>
          </cell>
        </row>
        <row r="978">
          <cell r="A978">
            <v>14554</v>
          </cell>
          <cell r="B978" t="str">
            <v>E. Springfield - 3rd 138-34kV Xfmr</v>
          </cell>
          <cell r="C978" t="str">
            <v>09E-ELECTRICAL ENGINEERING</v>
          </cell>
        </row>
        <row r="979">
          <cell r="A979">
            <v>14555</v>
          </cell>
          <cell r="B979" t="str">
            <v>KICKAPOO- INST.34.5KV SPARING BRKR</v>
          </cell>
          <cell r="C979" t="str">
            <v>09E-ELECTRICAL ENGINEERING</v>
          </cell>
        </row>
        <row r="980">
          <cell r="A980">
            <v>14556</v>
          </cell>
          <cell r="B980" t="str">
            <v>KICKAPOO-INST. 3-138 KV TRANSRUPTRS</v>
          </cell>
          <cell r="C980" t="str">
            <v>09E-ELECTRICAL ENGINEERING</v>
          </cell>
        </row>
        <row r="981">
          <cell r="A981">
            <v>14557</v>
          </cell>
          <cell r="B981" t="str">
            <v>E.SPRINGF.-UPGR.TAZEWELL POSN-1200A</v>
          </cell>
          <cell r="C981" t="str">
            <v>09E-ELECTRICAL ENGINEERING</v>
          </cell>
        </row>
        <row r="982">
          <cell r="A982">
            <v>14558</v>
          </cell>
          <cell r="B982" t="str">
            <v>KANSAS W.-INST.NEW 345 SIDNEY TERM.</v>
          </cell>
          <cell r="C982" t="str">
            <v>09E-ELECTRICAL ENGINEERING</v>
          </cell>
        </row>
        <row r="983">
          <cell r="A983">
            <v>14559</v>
          </cell>
          <cell r="B983" t="str">
            <v>E.QUINCY - REPLACE 3 PCBS (TAMS04)</v>
          </cell>
          <cell r="C983" t="str">
            <v>09E-ELECTRICAL ENGINEERING</v>
          </cell>
        </row>
        <row r="984">
          <cell r="A984">
            <v>14560</v>
          </cell>
          <cell r="B984" t="str">
            <v>SELMA - REPL BUS-TIE PCB (TAMS04)</v>
          </cell>
          <cell r="C984" t="str">
            <v>09E-ELECTRICAL ENGINEERING</v>
          </cell>
        </row>
        <row r="985">
          <cell r="A985">
            <v>14561</v>
          </cell>
          <cell r="B985" t="str">
            <v>MASON-REPL.REL.-MAS-MER-1&amp;2-TAMS04</v>
          </cell>
          <cell r="C985" t="str">
            <v>09E-ELECTRICAL ENGINEERING</v>
          </cell>
        </row>
        <row r="986">
          <cell r="A986">
            <v>14565</v>
          </cell>
          <cell r="B986" t="str">
            <v>FRANKLIN-REPL 2-138KV PCBS (TAMS04)</v>
          </cell>
          <cell r="C986" t="str">
            <v>09E-ELECTRICAL ENGINEERING</v>
          </cell>
        </row>
        <row r="987">
          <cell r="A987">
            <v>14566</v>
          </cell>
          <cell r="B987" t="str">
            <v>HUSTER-RPL 2-138KV PCB(TAM06)6-06</v>
          </cell>
          <cell r="C987" t="str">
            <v>09E-ELECTRICAL ENGINEERING</v>
          </cell>
        </row>
        <row r="988">
          <cell r="A988">
            <v>14568</v>
          </cell>
          <cell r="B988" t="str">
            <v>BOWLES 34-12KV, 22MVA UNIT D</v>
          </cell>
          <cell r="C988" t="str">
            <v>09E-ELECTRICAL ENGINEERING</v>
          </cell>
        </row>
        <row r="989">
          <cell r="A989">
            <v>14569</v>
          </cell>
          <cell r="B989" t="str">
            <v>PROJECT PD</v>
          </cell>
          <cell r="C989" t="str">
            <v>012-CORPORATE PLANNING</v>
          </cell>
        </row>
        <row r="990">
          <cell r="A990">
            <v>14572</v>
          </cell>
          <cell r="B990" t="str">
            <v>FEISE- 34-12, 22MVA UNIT, 15KV SWGR</v>
          </cell>
          <cell r="C990" t="str">
            <v>09E-ELECTRICAL ENGINEERING</v>
          </cell>
        </row>
        <row r="991">
          <cell r="A991">
            <v>14574</v>
          </cell>
          <cell r="B991" t="str">
            <v>UNICITY-REPL. W-22MVA &amp; 15KV SWGR</v>
          </cell>
          <cell r="C991" t="str">
            <v>09E-ELECTRICAL ENGINEERING</v>
          </cell>
        </row>
        <row r="992">
          <cell r="A992">
            <v>14575</v>
          </cell>
          <cell r="B992" t="str">
            <v>SUNNEN LAKE-REPL XFMR W-7MVA LTC</v>
          </cell>
          <cell r="C992" t="str">
            <v>09E-ELECTRICAL ENGINEERING</v>
          </cell>
        </row>
        <row r="993">
          <cell r="A993">
            <v>14576</v>
          </cell>
          <cell r="B993" t="str">
            <v>SPARE 2004 XFMR - 34-4KV, 11-14MVA</v>
          </cell>
          <cell r="C993" t="str">
            <v>09E-ELECTRICAL ENGINEERING</v>
          </cell>
        </row>
        <row r="994">
          <cell r="A994">
            <v>14578</v>
          </cell>
          <cell r="B994" t="str">
            <v>SIOUX UNIT 2 LP GENERATOR REWIND</v>
          </cell>
          <cell r="C994" t="str">
            <v>09M-GENERATION PROJECT ENGINEERING</v>
          </cell>
        </row>
        <row r="995">
          <cell r="A995">
            <v>14579</v>
          </cell>
          <cell r="B995" t="str">
            <v>SIOUX UNIT 1 HP GENERATOR REWIND</v>
          </cell>
          <cell r="C995" t="str">
            <v>09M-GENERATION PROJECT ENGINEERING</v>
          </cell>
        </row>
        <row r="996">
          <cell r="A996">
            <v>14580</v>
          </cell>
          <cell r="B996" t="str">
            <v>SIOUX UNIT 1 LP GENERATOR REWIND</v>
          </cell>
          <cell r="C996" t="str">
            <v>09M-GENERATION PROJECT ENGINEERING</v>
          </cell>
        </row>
        <row r="997">
          <cell r="A997">
            <v>14581</v>
          </cell>
          <cell r="B997" t="str">
            <v>MOREAU-APACHE FLATS 69KV ROW</v>
          </cell>
          <cell r="C997" t="str">
            <v>5JS-CAPITAL DIST SUPPORT</v>
          </cell>
        </row>
        <row r="998">
          <cell r="A998">
            <v>14589</v>
          </cell>
          <cell r="B998" t="str">
            <v>MERAMEC-VAR.138KV REL.REPL.-TAMS04</v>
          </cell>
          <cell r="C998" t="str">
            <v>09E-ELECTRICAL ENGINEERING</v>
          </cell>
        </row>
        <row r="999">
          <cell r="A999">
            <v>14590</v>
          </cell>
          <cell r="B999" t="str">
            <v>MARSHALL-RPL.REL-MAS-MER-1&amp;2-TAMS04</v>
          </cell>
          <cell r="C999" t="str">
            <v>09E-ELECTRICAL ENGINEERING</v>
          </cell>
        </row>
        <row r="1000">
          <cell r="A1000">
            <v>14594</v>
          </cell>
          <cell r="B1000" t="str">
            <v>Osage -Repl 3-138 PCBs-Ph.1 (TAM06)</v>
          </cell>
          <cell r="C1000" t="str">
            <v>09E-ELECTRICAL ENGINEERING</v>
          </cell>
        </row>
        <row r="1001">
          <cell r="A1001">
            <v>14608</v>
          </cell>
          <cell r="B1001" t="str">
            <v>Mason-345kV PCB, Rly Rpl, Sx-MASN-7</v>
          </cell>
          <cell r="C1001" t="str">
            <v>09E-ELECTRICAL ENGINEERING</v>
          </cell>
        </row>
        <row r="1002">
          <cell r="A1002">
            <v>14611</v>
          </cell>
          <cell r="B1002" t="str">
            <v>NORTHLAND-NEW 2-UNIT SUB-REMOVE OLD</v>
          </cell>
          <cell r="C1002" t="str">
            <v>09E-ELECTRICAL ENGINEERING</v>
          </cell>
        </row>
        <row r="1003">
          <cell r="A1003">
            <v>14613</v>
          </cell>
          <cell r="B1003" t="str">
            <v>Loy Martin- NEW 161-12KV, 22MVA SUB</v>
          </cell>
          <cell r="C1003" t="str">
            <v>09E-ELECTRICAL ENGINEERING</v>
          </cell>
        </row>
        <row r="1004">
          <cell r="A1004">
            <v>14614</v>
          </cell>
          <cell r="B1004" t="str">
            <v>MAY ROAD - REPL UNIT W W-22MVA UNIT</v>
          </cell>
          <cell r="C1004" t="str">
            <v>09E-ELECTRICAL ENGINEERING</v>
          </cell>
        </row>
        <row r="1005">
          <cell r="A1005">
            <v>14616</v>
          </cell>
          <cell r="B1005" t="str">
            <v>LINE 1326 NEAR HINES - REPL UG W-OH</v>
          </cell>
          <cell r="C1005" t="str">
            <v>09E-ELECTRICAL ENGINEERING</v>
          </cell>
        </row>
        <row r="1006">
          <cell r="A1006">
            <v>14617</v>
          </cell>
          <cell r="B1006" t="str">
            <v>Duck Crk-Tazew.-Repl 345kV SF6 Duct</v>
          </cell>
          <cell r="C1006" t="str">
            <v>09E-ELECTRICAL ENGINEERING</v>
          </cell>
        </row>
        <row r="1007">
          <cell r="A1007">
            <v>14672</v>
          </cell>
          <cell r="B1007" t="str">
            <v>FISHER SUBSTATION NEW 69-12KV SUB</v>
          </cell>
          <cell r="C1007" t="str">
            <v>2MS-DIVISION IV SUPPORT STAFF</v>
          </cell>
        </row>
        <row r="1008">
          <cell r="A1008">
            <v>14683</v>
          </cell>
          <cell r="B1008" t="str">
            <v>Babler 138-34-Repl 2-83MVA XFMRS</v>
          </cell>
          <cell r="C1008" t="str">
            <v>09E-ELECTRICAL ENGINEERING</v>
          </cell>
        </row>
        <row r="1009">
          <cell r="A1009">
            <v>14686</v>
          </cell>
          <cell r="B1009" t="str">
            <v>UE RECOND 559-51 2.0 MILES</v>
          </cell>
          <cell r="C1009" t="str">
            <v>070-JEFFERSON</v>
          </cell>
        </row>
        <row r="1010">
          <cell r="A1010">
            <v>14689</v>
          </cell>
          <cell r="B1010" t="str">
            <v>MODOT-RELO HWY MM NEAR MILLER RD</v>
          </cell>
          <cell r="C1010" t="str">
            <v>070-JEFFERSON</v>
          </cell>
        </row>
        <row r="1011">
          <cell r="A1011">
            <v>14690</v>
          </cell>
          <cell r="B1011" t="str">
            <v>JEFFERSON COUNTY HIGHWAY DEPT</v>
          </cell>
          <cell r="C1011" t="str">
            <v>070-JEFFERSON</v>
          </cell>
        </row>
        <row r="1012">
          <cell r="A1012">
            <v>14722</v>
          </cell>
          <cell r="B1012" t="str">
            <v>MER U4 BACKPASS &amp; BOTTOM ASH SYS UP</v>
          </cell>
          <cell r="C1012" t="str">
            <v>09M-GENERATION PROJECT ENGINEERING</v>
          </cell>
        </row>
        <row r="1013">
          <cell r="A1013">
            <v>14725</v>
          </cell>
          <cell r="B1013" t="str">
            <v>MER U3 BACKPASS &amp; BOTTOM ASH SYS UP</v>
          </cell>
          <cell r="C1013" t="str">
            <v>09M-GENERATION PROJECT ENGINEERING</v>
          </cell>
        </row>
        <row r="1014">
          <cell r="A1014">
            <v>14740</v>
          </cell>
          <cell r="B1014" t="str">
            <v>SX U1 1ST PANEL OF CONVECTION PASS</v>
          </cell>
          <cell r="C1014" t="str">
            <v>09M-GENERATION PROJECT ENGINEERING</v>
          </cell>
        </row>
        <row r="1015">
          <cell r="A1015">
            <v>14742</v>
          </cell>
          <cell r="B1015" t="str">
            <v>SX U1 BACKPASS SOOTBLOWING IMPROV</v>
          </cell>
          <cell r="C1015" t="str">
            <v>09M-GENERATION PROJECT ENGINEERING</v>
          </cell>
        </row>
        <row r="1016">
          <cell r="A1016">
            <v>14745</v>
          </cell>
          <cell r="B1016" t="str">
            <v>I-74 IDOT GAS FACILITIES RELOCATION</v>
          </cell>
          <cell r="C1016" t="str">
            <v>628-PEORIA GAS CONSTRUCTION</v>
          </cell>
        </row>
        <row r="1017">
          <cell r="A1017">
            <v>14746</v>
          </cell>
          <cell r="B1017" t="str">
            <v>RI U1 AIR PREHEATER REPL</v>
          </cell>
          <cell r="C1017" t="str">
            <v>09M-GENERATION PROJECT ENGINEERING</v>
          </cell>
        </row>
        <row r="1018">
          <cell r="A1018">
            <v>14747</v>
          </cell>
          <cell r="B1018" t="str">
            <v>RI U2 AIR PREHEATER REPL</v>
          </cell>
          <cell r="C1018" t="str">
            <v>09M-GENERATION PROJECT ENGINEERING</v>
          </cell>
        </row>
        <row r="1019">
          <cell r="A1019">
            <v>14762</v>
          </cell>
          <cell r="B1019" t="str">
            <v>MERAMEC 3 LOW NOX BURNERS W OFA</v>
          </cell>
          <cell r="C1019" t="str">
            <v>09V-NEW GEN &amp; ENV PROJECTS</v>
          </cell>
        </row>
        <row r="1020">
          <cell r="A1020">
            <v>14777</v>
          </cell>
          <cell r="B1020" t="str">
            <v>SPRING BAY FEEDER #2 PART 1</v>
          </cell>
          <cell r="C1020" t="str">
            <v>618-CENTRAL ELECTRIC</v>
          </cell>
        </row>
        <row r="1021">
          <cell r="A1021">
            <v>14779</v>
          </cell>
          <cell r="B1021" t="str">
            <v>SAND PRAIRE #1 RECONDUCTOR</v>
          </cell>
          <cell r="C1021" t="str">
            <v>618-CENTRAL ELECTRIC</v>
          </cell>
        </row>
        <row r="1022">
          <cell r="A1022">
            <v>14780</v>
          </cell>
          <cell r="B1022" t="str">
            <v>RADNOR FEEDER 6</v>
          </cell>
          <cell r="C1022" t="str">
            <v>619-PEORIA ELEC UNDERGROUND</v>
          </cell>
        </row>
        <row r="1023">
          <cell r="A1023">
            <v>14781</v>
          </cell>
          <cell r="B1023" t="str">
            <v>UNDERGROUND CABLE REPLACEMENTS</v>
          </cell>
          <cell r="C1023" t="str">
            <v>668-IL OPS ADMIN DIV I II III</v>
          </cell>
        </row>
        <row r="1024">
          <cell r="A1024">
            <v>14792</v>
          </cell>
          <cell r="B1024" t="str">
            <v>CENTENNIAL DR GOV RELO REIMBURSABLE</v>
          </cell>
          <cell r="C1024" t="str">
            <v>618-CENTRAL ELECTRIC</v>
          </cell>
        </row>
        <row r="1025">
          <cell r="A1025">
            <v>14798</v>
          </cell>
          <cell r="B1025" t="str">
            <v>MER U4 ADD 2 LONG LANCES IN PLATENS</v>
          </cell>
          <cell r="C1025" t="str">
            <v>09M-GENERATION PROJECT ENGINEERING</v>
          </cell>
        </row>
        <row r="1026">
          <cell r="A1026">
            <v>14801</v>
          </cell>
          <cell r="B1026" t="str">
            <v>KIRKSVILLE WHQ- ROOF REPLACEMENT</v>
          </cell>
          <cell r="C1026" t="str">
            <v>072-BUILDING SERVICES-MO</v>
          </cell>
        </row>
        <row r="1027">
          <cell r="A1027">
            <v>14804</v>
          </cell>
          <cell r="B1027" t="str">
            <v>RAIL MODIFICATIONS - DUCK CREEK</v>
          </cell>
          <cell r="C1027" t="str">
            <v>61A-DUCK CREEK PLANT GENERAL</v>
          </cell>
        </row>
        <row r="1028">
          <cell r="A1028">
            <v>14808</v>
          </cell>
          <cell r="B1028" t="str">
            <v>PHELPS -RESTOR.AFTER XFMR FIRE-2003</v>
          </cell>
          <cell r="C1028" t="str">
            <v>09E-ELECTRICAL ENGINEERING</v>
          </cell>
        </row>
        <row r="1029">
          <cell r="A1029">
            <v>14809</v>
          </cell>
          <cell r="B1029" t="str">
            <v>LABADIE UNIT 2 TSI UPGRADE</v>
          </cell>
          <cell r="C1029" t="str">
            <v>09M-GENERATION PROJECT ENGINEERING</v>
          </cell>
        </row>
        <row r="1030">
          <cell r="A1030">
            <v>14810</v>
          </cell>
          <cell r="B1030" t="str">
            <v>RUSH ISLAND UNIT 1 TSI UPGRADE</v>
          </cell>
          <cell r="C1030" t="str">
            <v>09M-GENERATION PROJECT ENGINEERING</v>
          </cell>
        </row>
        <row r="1031">
          <cell r="A1031">
            <v>14818</v>
          </cell>
          <cell r="B1031" t="str">
            <v>MER U1&amp;2 ADD LTSH SOOTBLOWERS</v>
          </cell>
          <cell r="C1031" t="str">
            <v>09M-GENERATION PROJECT ENGINEERING</v>
          </cell>
        </row>
        <row r="1032">
          <cell r="A1032">
            <v>14825</v>
          </cell>
          <cell r="B1032" t="str">
            <v>NORTHLAND SUB OH</v>
          </cell>
          <cell r="C1032" t="str">
            <v>056-GERALDINE</v>
          </cell>
        </row>
        <row r="1033">
          <cell r="A1033">
            <v>14832</v>
          </cell>
          <cell r="B1033" t="str">
            <v>JENNINGS STATION ROAD WIDENING</v>
          </cell>
          <cell r="C1033" t="str">
            <v>056-GERALDINE</v>
          </cell>
        </row>
        <row r="1034">
          <cell r="A1034">
            <v>14835</v>
          </cell>
          <cell r="B1034" t="str">
            <v>W FLORISSANT ROAD WIDENING  AR-782</v>
          </cell>
          <cell r="C1034" t="str">
            <v>056-GERALDINE</v>
          </cell>
        </row>
        <row r="1035">
          <cell r="A1035">
            <v>14858</v>
          </cell>
          <cell r="B1035" t="str">
            <v>RUSH ISLAND CRITICAL MOTORS</v>
          </cell>
          <cell r="C1035" t="str">
            <v>09M-GENERATION PROJECT ENGINEERING</v>
          </cell>
        </row>
        <row r="1036">
          <cell r="A1036">
            <v>14884</v>
          </cell>
          <cell r="B1036" t="str">
            <v>OSG TAINTER GATE STRENGTHEN-SPILLWY</v>
          </cell>
          <cell r="C1036" t="str">
            <v>09M-GENERATION PROJECT ENGINEERING</v>
          </cell>
        </row>
        <row r="1037">
          <cell r="A1037">
            <v>14885</v>
          </cell>
          <cell r="B1037" t="str">
            <v>DORSETT 15KV SWGR NO.1 REPL.</v>
          </cell>
          <cell r="C1037" t="str">
            <v>09E-ELECTRICAL ENGINEERING</v>
          </cell>
        </row>
        <row r="1038">
          <cell r="A1038">
            <v>14894</v>
          </cell>
          <cell r="B1038" t="str">
            <v>PORTABLE SWGR #2 -15KV,3000A,750MVA</v>
          </cell>
          <cell r="C1038" t="str">
            <v>09E-ELECTRICAL ENGINEERING</v>
          </cell>
        </row>
        <row r="1039">
          <cell r="A1039">
            <v>14963</v>
          </cell>
          <cell r="B1039" t="str">
            <v>CEM MOVE TO STACK - UNITS 1 &amp; 2</v>
          </cell>
          <cell r="C1039" t="str">
            <v>62A-EDWARDS PLANT GENERAL</v>
          </cell>
        </row>
        <row r="1040">
          <cell r="A1040">
            <v>14964</v>
          </cell>
          <cell r="B1040" t="str">
            <v>CEM MOVE TO STACK - UNIT 3</v>
          </cell>
          <cell r="C1040" t="str">
            <v>62A-EDWARDS PLANT GENERAL</v>
          </cell>
        </row>
        <row r="1041">
          <cell r="A1041">
            <v>14971</v>
          </cell>
          <cell r="B1041" t="str">
            <v>GRAND TOWER CEMS UPGRADES</v>
          </cell>
          <cell r="C1041" t="str">
            <v>131-EFFINGHAM RESOURCE CENTER</v>
          </cell>
        </row>
        <row r="1042">
          <cell r="A1042">
            <v>14979</v>
          </cell>
          <cell r="B1042" t="str">
            <v>RI ADMIN BLDG HVAC REPL</v>
          </cell>
          <cell r="C1042" t="str">
            <v>09M-GENERATION PROJECT ENGINEERING</v>
          </cell>
        </row>
        <row r="1043">
          <cell r="A1043">
            <v>14980</v>
          </cell>
          <cell r="B1043" t="str">
            <v>RT 45 69KV LINE RELOCATION</v>
          </cell>
          <cell r="C1043" t="str">
            <v>3EF-EFFINGHAM</v>
          </cell>
        </row>
        <row r="1044">
          <cell r="A1044">
            <v>14997</v>
          </cell>
          <cell r="B1044" t="str">
            <v>REBLD 3463 1.1 MILES MECHBURG RD</v>
          </cell>
          <cell r="C1044" t="str">
            <v>605-SPRINGFIELD ELECTRIC OPS</v>
          </cell>
        </row>
        <row r="1045">
          <cell r="A1045">
            <v>14999</v>
          </cell>
          <cell r="B1045" t="str">
            <v>HUTSONVILLE CEMS UPGRADES</v>
          </cell>
          <cell r="C1045" t="str">
            <v>131-EFFINGHAM RESOURCE CENTER</v>
          </cell>
        </row>
        <row r="1046">
          <cell r="A1046">
            <v>15000</v>
          </cell>
          <cell r="B1046" t="str">
            <v>MEREDOSIA CEMS UPGRADES</v>
          </cell>
          <cell r="C1046" t="str">
            <v>131-EFFINGHAM RESOURCE CENTER</v>
          </cell>
        </row>
        <row r="1047">
          <cell r="A1047">
            <v>15002</v>
          </cell>
          <cell r="B1047" t="str">
            <v>NEWTON CEMS UPGRADES</v>
          </cell>
          <cell r="C1047" t="str">
            <v>131-EFFINGHAM RESOURCE CENTER</v>
          </cell>
        </row>
        <row r="1048">
          <cell r="A1048">
            <v>15021</v>
          </cell>
          <cell r="B1048" t="str">
            <v>LBD U2 RECLAIM CHUTES REPL</v>
          </cell>
          <cell r="C1048" t="str">
            <v>09M-GENERATION PROJECT ENGINEERING</v>
          </cell>
        </row>
        <row r="1049">
          <cell r="A1049">
            <v>15057</v>
          </cell>
          <cell r="B1049" t="str">
            <v>SL - TRACT OF LAND MONTROSE</v>
          </cell>
          <cell r="C1049" t="str">
            <v>061-REAL ESTATE</v>
          </cell>
        </row>
        <row r="1050">
          <cell r="A1050">
            <v>15058</v>
          </cell>
          <cell r="B1050" t="str">
            <v>ENERGY CONTROL CTR IMPROVEMENTS</v>
          </cell>
          <cell r="C1050" t="str">
            <v>07W-BLDG SVCS-CIL</v>
          </cell>
        </row>
        <row r="1051">
          <cell r="A1051">
            <v>15059</v>
          </cell>
          <cell r="B1051" t="str">
            <v>SALES OF BEARDSTOWN PARKING LOT</v>
          </cell>
          <cell r="C1051" t="str">
            <v>061-REAL ESTATE</v>
          </cell>
        </row>
        <row r="1052">
          <cell r="A1052">
            <v>15060</v>
          </cell>
          <cell r="B1052" t="str">
            <v>SALE OF BLAND SUBSTATION</v>
          </cell>
          <cell r="C1052" t="str">
            <v>061-REAL ESTATE</v>
          </cell>
        </row>
        <row r="1053">
          <cell r="A1053">
            <v>15065</v>
          </cell>
          <cell r="B1053" t="str">
            <v>8TH &amp; 9TH FLOOR RENOVATION-IL BLDG</v>
          </cell>
          <cell r="C1053" t="str">
            <v>07N-BUILDING SERVICES-IL</v>
          </cell>
        </row>
        <row r="1054">
          <cell r="A1054">
            <v>15070</v>
          </cell>
          <cell r="B1054" t="str">
            <v>FF DC-PHASE 2-FUTURE TRACK WORK</v>
          </cell>
          <cell r="C1054" t="str">
            <v>61A-DUCK CREEK PLANT GENERAL</v>
          </cell>
        </row>
        <row r="1055">
          <cell r="A1055">
            <v>15071</v>
          </cell>
          <cell r="B1055" t="str">
            <v>DRY FLYASH SYSTEM - DUCK CREEK</v>
          </cell>
          <cell r="C1055" t="str">
            <v>61A-DUCK CREEK PLANT GENERAL</v>
          </cell>
        </row>
        <row r="1056">
          <cell r="A1056">
            <v>15073</v>
          </cell>
          <cell r="B1056" t="str">
            <v>BOURBEUSE-REPL 14MVA UNIT D W-22MVA</v>
          </cell>
          <cell r="C1056" t="str">
            <v>09E-ELECTRICAL ENGINEERING</v>
          </cell>
        </row>
        <row r="1057">
          <cell r="A1057">
            <v>15080</v>
          </cell>
          <cell r="B1057" t="str">
            <v>DC  RECYCLE POND BYPASS LINE</v>
          </cell>
          <cell r="C1057" t="str">
            <v>61A-DUCK CREEK PLANT GENERAL</v>
          </cell>
        </row>
        <row r="1058">
          <cell r="A1058">
            <v>15081</v>
          </cell>
          <cell r="B1058" t="str">
            <v>AMEREN CILCO MOBILE DATA</v>
          </cell>
          <cell r="C1058" t="str">
            <v>065-NEO - TELEPHONE SERVICES</v>
          </cell>
        </row>
        <row r="1059">
          <cell r="A1059">
            <v>15087</v>
          </cell>
          <cell r="B1059" t="str">
            <v>LBD U3 COLD REHEAT VENT STACK MODS</v>
          </cell>
          <cell r="C1059" t="str">
            <v>09M-GENERATION PROJECT ENGINEERING</v>
          </cell>
        </row>
        <row r="1060">
          <cell r="A1060">
            <v>15089</v>
          </cell>
          <cell r="B1060" t="str">
            <v>MISSOURI POWER PLANT</v>
          </cell>
          <cell r="C1060" t="str">
            <v>09V-NEW GEN &amp; ENV PROJECTS</v>
          </cell>
        </row>
        <row r="1061">
          <cell r="A1061">
            <v>15091</v>
          </cell>
          <cell r="B1061" t="str">
            <v>RI CONVEYOR 5 TO 6 COAL TRANS CHUTE</v>
          </cell>
          <cell r="C1061" t="str">
            <v>09M-GENERATION PROJECT ENGINEERING</v>
          </cell>
        </row>
        <row r="1062">
          <cell r="A1062">
            <v>15094</v>
          </cell>
          <cell r="B1062" t="str">
            <v>METHODIST HOSP. SWITCH GEAR</v>
          </cell>
          <cell r="C1062" t="str">
            <v>619-PEORIA ELEC UNDERGROUND</v>
          </cell>
        </row>
        <row r="1063">
          <cell r="A1063">
            <v>15099</v>
          </cell>
          <cell r="B1063" t="str">
            <v>SL - TRACT OF LAND KK FLO HALL TOW</v>
          </cell>
          <cell r="C1063" t="str">
            <v>061-REAL ESTATE</v>
          </cell>
        </row>
        <row r="1064">
          <cell r="A1064">
            <v>15100</v>
          </cell>
          <cell r="B1064" t="str">
            <v>SL - PEORIA DISTRICT ELEC. SRVC PPK</v>
          </cell>
          <cell r="C1064" t="str">
            <v>061-REAL ESTATE</v>
          </cell>
        </row>
        <row r="1065">
          <cell r="A1065">
            <v>15101</v>
          </cell>
          <cell r="B1065" t="str">
            <v>SALE OF GARFIELD SUBSTATION</v>
          </cell>
          <cell r="C1065" t="str">
            <v>061-REAL ESTATE</v>
          </cell>
        </row>
        <row r="1066">
          <cell r="A1066">
            <v>15105</v>
          </cell>
          <cell r="B1066" t="str">
            <v>R.S.WALLACE-T&amp;D LN.RELOC.-STL POLES</v>
          </cell>
          <cell r="C1066" t="str">
            <v>09E-ELECTRICAL ENGINEERING</v>
          </cell>
        </row>
        <row r="1067">
          <cell r="A1067">
            <v>15106</v>
          </cell>
          <cell r="B1067" t="str">
            <v>FF DC PHASE 4 FALL 2003 SPRING 2004</v>
          </cell>
          <cell r="C1067" t="str">
            <v>61A-DUCK CREEK PLANT GENERAL</v>
          </cell>
        </row>
        <row r="1068">
          <cell r="A1068">
            <v>15107</v>
          </cell>
          <cell r="B1068" t="str">
            <v>FF DC PHASE 5 PROJ COMPLETION</v>
          </cell>
          <cell r="C1068" t="str">
            <v>61A-DUCK CREEK PLANT GENERAL</v>
          </cell>
        </row>
        <row r="1069">
          <cell r="A1069">
            <v>15108</v>
          </cell>
          <cell r="B1069" t="str">
            <v>FUEL FLEX CONV-EDE-PHASE ED3-SP</v>
          </cell>
          <cell r="C1069" t="str">
            <v>62A-EDWARDS PLANT GENERAL</v>
          </cell>
        </row>
        <row r="1070">
          <cell r="A1070">
            <v>15109</v>
          </cell>
          <cell r="B1070" t="str">
            <v>FUEL FLEX CONV-EDE-PHASE ED4-UN</v>
          </cell>
          <cell r="C1070" t="str">
            <v>62A-EDWARDS PLANT GENERAL</v>
          </cell>
        </row>
        <row r="1071">
          <cell r="A1071">
            <v>15110</v>
          </cell>
          <cell r="B1071" t="str">
            <v>ROBINSON 8 INCH STEEL PROJECT</v>
          </cell>
          <cell r="C1071" t="str">
            <v>0G1-GAS TECH SERVICES - CIP</v>
          </cell>
        </row>
        <row r="1072">
          <cell r="A1072">
            <v>15111</v>
          </cell>
          <cell r="B1072" t="str">
            <v>FUEL FLEX CONV-EDE-PHASE ED5-CA</v>
          </cell>
          <cell r="C1072" t="str">
            <v>62A-EDWARDS PLANT GENERAL</v>
          </cell>
        </row>
        <row r="1073">
          <cell r="A1073">
            <v>15114</v>
          </cell>
          <cell r="B1073" t="str">
            <v>AMERENCILCO SECURITY SYSTEMS</v>
          </cell>
          <cell r="C1073" t="str">
            <v>668-IL OPS ADMIN DIV I II III</v>
          </cell>
        </row>
        <row r="1074">
          <cell r="A1074">
            <v>15117</v>
          </cell>
          <cell r="B1074" t="str">
            <v>US 67 RELOCATION 0F 8 IN STEEL MAIN</v>
          </cell>
          <cell r="C1074" t="str">
            <v>0G1-GAS TECH SERVICES - CIP</v>
          </cell>
        </row>
        <row r="1075">
          <cell r="A1075">
            <v>15129</v>
          </cell>
          <cell r="B1075" t="str">
            <v>MER U4 HOT PA FANS REPL</v>
          </cell>
          <cell r="C1075" t="str">
            <v>09M-GENERATION PROJECT ENGINEERING</v>
          </cell>
        </row>
        <row r="1076">
          <cell r="A1076">
            <v>15132</v>
          </cell>
          <cell r="B1076" t="str">
            <v>LABADIE PEGASUS COMPUTER UPGRADE</v>
          </cell>
          <cell r="C1076" t="str">
            <v>81E-GENERATION PERFORMANCE ENGRNG</v>
          </cell>
        </row>
        <row r="1077">
          <cell r="A1077">
            <v>15136</v>
          </cell>
          <cell r="B1077" t="str">
            <v>WINDSONG ESTATES PHASE 1</v>
          </cell>
          <cell r="C1077" t="str">
            <v>618-CENTRAL ELECTRIC</v>
          </cell>
        </row>
        <row r="1078">
          <cell r="A1078">
            <v>15140</v>
          </cell>
          <cell r="B1078" t="str">
            <v>SIOUX UNIT 1 SILO FILL FEEDERS</v>
          </cell>
          <cell r="C1078" t="str">
            <v>09M-GENERATION PROJECT ENGINEERING</v>
          </cell>
        </row>
        <row r="1079">
          <cell r="A1079">
            <v>15142</v>
          </cell>
          <cell r="B1079" t="str">
            <v>COFFEEN BUILD OUT OF RAIL LOOP</v>
          </cell>
          <cell r="C1079" t="str">
            <v>087-FOSSIL FUELS</v>
          </cell>
        </row>
        <row r="1080">
          <cell r="A1080">
            <v>15153</v>
          </cell>
          <cell r="B1080" t="str">
            <v>MACYS PLACE SUBDIVISION</v>
          </cell>
          <cell r="C1080" t="str">
            <v>618-CENTRAL ELECTRIC</v>
          </cell>
        </row>
        <row r="1081">
          <cell r="A1081">
            <v>15159</v>
          </cell>
          <cell r="B1081" t="str">
            <v>HUNTER'S RIDGE SUBDIVISION</v>
          </cell>
          <cell r="C1081" t="str">
            <v>619-PEORIA ELEC UNDERGROUND</v>
          </cell>
        </row>
        <row r="1082">
          <cell r="A1082">
            <v>15161</v>
          </cell>
          <cell r="B1082" t="str">
            <v>PIONEER 7</v>
          </cell>
          <cell r="C1082" t="str">
            <v>619-PEORIA ELEC UNDERGROUND</v>
          </cell>
        </row>
        <row r="1083">
          <cell r="A1083">
            <v>15165</v>
          </cell>
          <cell r="B1083" t="str">
            <v>SPRINGFIELD RD --GROVELAND</v>
          </cell>
          <cell r="C1083" t="str">
            <v>618-CENTRAL ELECTRIC</v>
          </cell>
        </row>
        <row r="1084">
          <cell r="A1084">
            <v>15180</v>
          </cell>
          <cell r="B1084" t="str">
            <v>EFFINGHAM IDOT RELOC HWY 32/33</v>
          </cell>
          <cell r="C1084" t="str">
            <v>3EF-EFFINGHAM</v>
          </cell>
        </row>
        <row r="1085">
          <cell r="A1085">
            <v>15182</v>
          </cell>
          <cell r="B1085" t="str">
            <v>THORNRIDGE SUBDIVISION</v>
          </cell>
          <cell r="C1085" t="str">
            <v>618-CENTRAL ELECTRIC</v>
          </cell>
        </row>
        <row r="1086">
          <cell r="A1086">
            <v>15199</v>
          </cell>
          <cell r="B1086" t="str">
            <v>KEOKUK -RELAY UPGR- KEO-K31 -REIMB.</v>
          </cell>
          <cell r="C1086" t="str">
            <v>09E-ELECTRICAL ENGINEERING</v>
          </cell>
        </row>
        <row r="1087">
          <cell r="A1087">
            <v>15201</v>
          </cell>
          <cell r="B1087" t="str">
            <v>EDWARDS RAIL MODS.-TRANS LINE RELOC</v>
          </cell>
          <cell r="C1087" t="str">
            <v>03B-TRANSMISSION - CILCO</v>
          </cell>
        </row>
        <row r="1088">
          <cell r="A1088">
            <v>15202</v>
          </cell>
          <cell r="B1088" t="str">
            <v>PURCHASE PROPERTY AT EDWARDS POWER</v>
          </cell>
          <cell r="C1088" t="str">
            <v>087-FOSSIL FUELS</v>
          </cell>
        </row>
        <row r="1089">
          <cell r="A1089">
            <v>15204</v>
          </cell>
          <cell r="B1089" t="str">
            <v>LAKESIDE BUSINESS PARK</v>
          </cell>
          <cell r="C1089" t="str">
            <v>037-TRANSMISSION</v>
          </cell>
        </row>
        <row r="1090">
          <cell r="A1090">
            <v>15212</v>
          </cell>
          <cell r="B1090" t="str">
            <v>W OF MACOMB IDOT RELOCATION</v>
          </cell>
          <cell r="C1090" t="str">
            <v>0G1-GAS TECH SERVICES - CIP</v>
          </cell>
        </row>
        <row r="1091">
          <cell r="A1091">
            <v>15216</v>
          </cell>
          <cell r="B1091" t="str">
            <v>LAKESHIRE-REPL 138KV CAPBANK BRKRS</v>
          </cell>
          <cell r="C1091" t="str">
            <v>09E-ELECTRICAL ENGINEERING</v>
          </cell>
        </row>
        <row r="1092">
          <cell r="A1092">
            <v>15218</v>
          </cell>
          <cell r="B1092" t="str">
            <v>HAMILTON -K-HAM-3 TRM.CON.UPG-REIMB</v>
          </cell>
          <cell r="C1092" t="str">
            <v>09E-ELECTRICAL ENGINEERING</v>
          </cell>
        </row>
        <row r="1093">
          <cell r="A1093">
            <v>15219</v>
          </cell>
          <cell r="B1093" t="str">
            <v>MONTGOMERY -REPL 345 BRKR POSN V15</v>
          </cell>
          <cell r="C1093" t="str">
            <v>09E-ELECTRICAL ENGINEERING</v>
          </cell>
        </row>
        <row r="1094">
          <cell r="A1094">
            <v>15220</v>
          </cell>
          <cell r="B1094" t="str">
            <v>SALE OF VIRDEN MICROWAVE SITE</v>
          </cell>
          <cell r="C1094" t="str">
            <v>061-REAL ESTATE</v>
          </cell>
        </row>
        <row r="1095">
          <cell r="A1095">
            <v>15222</v>
          </cell>
          <cell r="B1095" t="str">
            <v>MARION FEEDER TO REDCO INDUST DEV</v>
          </cell>
          <cell r="C1095" t="str">
            <v>4MS-DIVISION VII SUPPORT STAFF</v>
          </cell>
        </row>
        <row r="1096">
          <cell r="A1096">
            <v>15229</v>
          </cell>
          <cell r="B1096" t="str">
            <v>LABADIE DEBRIS MANAGMENT</v>
          </cell>
          <cell r="C1096" t="str">
            <v>09M-GENERATION PROJECT ENGINEERING</v>
          </cell>
        </row>
        <row r="1097">
          <cell r="A1097">
            <v>15242</v>
          </cell>
          <cell r="B1097" t="str">
            <v>HAMILTON- K-HAM-1&amp;2 BRKR-DIS.SW.RPL</v>
          </cell>
          <cell r="C1097" t="str">
            <v>09E-ELECTRICAL ENGINEERING</v>
          </cell>
        </row>
        <row r="1098">
          <cell r="A1098">
            <v>15244</v>
          </cell>
          <cell r="B1098" t="str">
            <v>SX CRUSHER HOUSE DUST COLLECTION</v>
          </cell>
          <cell r="C1098" t="str">
            <v>09M-GENERATION PROJECT ENGINEERING</v>
          </cell>
        </row>
        <row r="1099">
          <cell r="A1099">
            <v>15245</v>
          </cell>
          <cell r="B1099" t="str">
            <v>MER U1&amp;2 EXCITER ENCLOSURE</v>
          </cell>
          <cell r="C1099" t="str">
            <v>09M-GENERATION PROJECT ENGINEERING</v>
          </cell>
        </row>
        <row r="1100">
          <cell r="A1100">
            <v>15249</v>
          </cell>
          <cell r="B1100" t="str">
            <v>HERRIN HOSPITAL 4KV RELOCATE</v>
          </cell>
          <cell r="C1100" t="str">
            <v>4MA-MARION</v>
          </cell>
        </row>
        <row r="1101">
          <cell r="A1101">
            <v>15250</v>
          </cell>
          <cell r="B1101" t="str">
            <v>DORANS S.- 69KV SW.,BUS WK.,UG TERM</v>
          </cell>
          <cell r="C1101" t="str">
            <v>09E-ELECTRICAL ENGINEERING</v>
          </cell>
        </row>
        <row r="1102">
          <cell r="A1102">
            <v>15253</v>
          </cell>
          <cell r="B1102" t="str">
            <v>UE RECOND 3.0 MILES 516-52 W/556AA</v>
          </cell>
          <cell r="C1102" t="str">
            <v>070-JEFFERSON</v>
          </cell>
        </row>
        <row r="1103">
          <cell r="A1103">
            <v>15257</v>
          </cell>
          <cell r="B1103" t="str">
            <v>UE CEDAR HILL 553-55 ADD ONE PHASE</v>
          </cell>
          <cell r="C1103" t="str">
            <v>070-JEFFERSON</v>
          </cell>
        </row>
        <row r="1104">
          <cell r="A1104">
            <v>15261</v>
          </cell>
          <cell r="B1104" t="str">
            <v>BOYD BRANCH SUBSTATION 13812KV STAT</v>
          </cell>
          <cell r="C1104" t="str">
            <v>070-JEFFERSON</v>
          </cell>
        </row>
        <row r="1105">
          <cell r="A1105">
            <v>15262</v>
          </cell>
          <cell r="B1105" t="str">
            <v>CALHOUN CO MAIN RELOCATION</v>
          </cell>
          <cell r="C1105" t="str">
            <v>0G1-GAS TECH SERVICES - CIP</v>
          </cell>
        </row>
        <row r="1106">
          <cell r="A1106">
            <v>15264</v>
          </cell>
          <cell r="B1106" t="str">
            <v>STL GOB - 5TH FLOOR REMODELING (POT</v>
          </cell>
          <cell r="C1106" t="str">
            <v>072-BUILDING SERVICES-MO</v>
          </cell>
        </row>
        <row r="1107">
          <cell r="A1107">
            <v>15267</v>
          </cell>
          <cell r="B1107" t="str">
            <v>JOPPA S.-UPGR.METER.-LAFARGE-REIMB</v>
          </cell>
          <cell r="C1107" t="str">
            <v>09E-ELECTRICAL ENGINEERING</v>
          </cell>
        </row>
        <row r="1108">
          <cell r="A1108">
            <v>15270</v>
          </cell>
          <cell r="B1108" t="str">
            <v>STORM DAMAGE MAY 2003</v>
          </cell>
          <cell r="C1108" t="str">
            <v>03B-TRANSMISSION - CILCO</v>
          </cell>
        </row>
        <row r="1109">
          <cell r="A1109">
            <v>15271</v>
          </cell>
          <cell r="B1109" t="str">
            <v>MER CTG1 EXHAUST DUCT REPL</v>
          </cell>
          <cell r="C1109" t="str">
            <v>09M-GENERATION PROJECT ENGINEERING</v>
          </cell>
        </row>
        <row r="1110">
          <cell r="A1110">
            <v>15272</v>
          </cell>
          <cell r="B1110" t="str">
            <v>NESTLE-RAL.CUST.SUB.REPL.XFMR PURCH</v>
          </cell>
          <cell r="C1110" t="str">
            <v>09E-ELECTRICAL ENGINEERING</v>
          </cell>
        </row>
        <row r="1111">
          <cell r="A1111">
            <v>15277</v>
          </cell>
          <cell r="B1111" t="str">
            <v>ILL POWER ACQUISITION INTEGRATION</v>
          </cell>
          <cell r="C1111" t="str">
            <v>012-CORPORATE PLANNING</v>
          </cell>
        </row>
        <row r="1112">
          <cell r="A1112">
            <v>15282</v>
          </cell>
          <cell r="B1112" t="str">
            <v>LBD U1,2&amp;4 WATER CANNON PUMP REPL</v>
          </cell>
          <cell r="C1112" t="str">
            <v>09M-GENERATION PROJECT ENGINEERING</v>
          </cell>
        </row>
        <row r="1113">
          <cell r="A1113">
            <v>15289</v>
          </cell>
          <cell r="B1113" t="str">
            <v>FAP RTE 774 IDOT RELOCATION</v>
          </cell>
          <cell r="C1113" t="str">
            <v>0G1-GAS TECH SERVICES - CIP</v>
          </cell>
        </row>
        <row r="1114">
          <cell r="A1114">
            <v>15291</v>
          </cell>
          <cell r="B1114" t="str">
            <v>SALE PART OF HOOVER SUB</v>
          </cell>
          <cell r="C1114" t="str">
            <v>061-REAL ESTATE</v>
          </cell>
        </row>
        <row r="1115">
          <cell r="A1115">
            <v>15293</v>
          </cell>
          <cell r="B1115" t="str">
            <v>NEW COAL PREPARATION ROOM</v>
          </cell>
          <cell r="C1115" t="str">
            <v>072-BUILDING SERVICES-MO</v>
          </cell>
        </row>
        <row r="1116">
          <cell r="A1116">
            <v>15294</v>
          </cell>
          <cell r="B1116" t="str">
            <v>PIONEER SEEDS - ST. JOSEPH</v>
          </cell>
          <cell r="C1116" t="str">
            <v>0G4-GAS TECH SERVICES - CIL</v>
          </cell>
        </row>
        <row r="1117">
          <cell r="A1117">
            <v>15295</v>
          </cell>
          <cell r="B1117" t="str">
            <v>CHARTER OAK ROAD GAS MAIN EXTENSION</v>
          </cell>
          <cell r="C1117" t="str">
            <v>628-PEORIA GAS CONSTRUCTION</v>
          </cell>
        </row>
        <row r="1118">
          <cell r="A1118">
            <v>15297</v>
          </cell>
          <cell r="B1118" t="str">
            <v>EDWARDS UNIT 2 DCS</v>
          </cell>
          <cell r="C1118" t="str">
            <v>09M-GENERATION PROJECT ENGINEERING</v>
          </cell>
        </row>
        <row r="1119">
          <cell r="A1119">
            <v>15299</v>
          </cell>
          <cell r="B1119" t="str">
            <v>EDWARDS U3 EXCITER REPL</v>
          </cell>
          <cell r="C1119" t="str">
            <v>09M-GENERATION PROJECT ENGINEERING</v>
          </cell>
        </row>
        <row r="1120">
          <cell r="A1120">
            <v>15301</v>
          </cell>
          <cell r="B1120" t="str">
            <v>RETUBE #2 CONDENSER RETUBE</v>
          </cell>
          <cell r="C1120" t="str">
            <v>09M-GENERATION PROJECT ENGINEERING</v>
          </cell>
        </row>
        <row r="1121">
          <cell r="A1121">
            <v>15310</v>
          </cell>
          <cell r="B1121" t="str">
            <v>CRUGER RD RELOCATION PART 2</v>
          </cell>
          <cell r="C1121" t="str">
            <v>618-CENTRAL ELECTRIC</v>
          </cell>
        </row>
        <row r="1122">
          <cell r="A1122">
            <v>15311</v>
          </cell>
          <cell r="B1122" t="str">
            <v>SYSTEM SPARE 34-4KV XFMR-CIP-GR.RIV</v>
          </cell>
          <cell r="C1122" t="str">
            <v>09E-ELECTRICAL ENGINEERING</v>
          </cell>
        </row>
        <row r="1123">
          <cell r="A1123">
            <v>15321</v>
          </cell>
          <cell r="B1123" t="str">
            <v>DUCK CREEK BOILER UPGRADE</v>
          </cell>
          <cell r="C1123" t="str">
            <v>09M-GENERATION PROJECT ENGINEERING</v>
          </cell>
        </row>
        <row r="1124">
          <cell r="A1124">
            <v>15341</v>
          </cell>
          <cell r="B1124" t="str">
            <v>CARTHAGE - PURCHASE LOT</v>
          </cell>
          <cell r="C1124" t="str">
            <v>8MS-DIVISION II SUPPORT STAFF</v>
          </cell>
        </row>
        <row r="1125">
          <cell r="A1125">
            <v>15342</v>
          </cell>
          <cell r="B1125" t="str">
            <v>MUDDY SIPC TAP LINE 603</v>
          </cell>
          <cell r="C1125" t="str">
            <v>4MS-DIVISION VII SUPPORT STAFF</v>
          </cell>
        </row>
        <row r="1126">
          <cell r="A1126">
            <v>15355</v>
          </cell>
          <cell r="B1126" t="str">
            <v>LEWIS &amp; CLARK TRACT 9 - PARTIAL</v>
          </cell>
          <cell r="C1126" t="str">
            <v>061-REAL ESTATE</v>
          </cell>
        </row>
        <row r="1127">
          <cell r="A1127">
            <v>15369</v>
          </cell>
          <cell r="B1127" t="str">
            <v>EDWARDS U3  MERCURY CONTROL</v>
          </cell>
          <cell r="C1127" t="str">
            <v>09V-NEW GEN &amp; ENV PROJECTS</v>
          </cell>
        </row>
        <row r="1128">
          <cell r="A1128">
            <v>15370</v>
          </cell>
          <cell r="B1128" t="str">
            <v>DUCK CREEK  MERCURY CONTROL</v>
          </cell>
          <cell r="C1128" t="str">
            <v>09V-NEW GEN &amp; ENV PROJECTS</v>
          </cell>
        </row>
        <row r="1129">
          <cell r="A1129">
            <v>15373</v>
          </cell>
          <cell r="B1129" t="str">
            <v>NEWTON U1 &amp; U2 FGD</v>
          </cell>
          <cell r="C1129" t="str">
            <v>09V-NEW GEN &amp; ENV PROJECTS</v>
          </cell>
        </row>
        <row r="1130">
          <cell r="A1130">
            <v>15375</v>
          </cell>
          <cell r="B1130" t="str">
            <v>COFF U1&amp;2 WET FLUE GAS DESULFUR</v>
          </cell>
          <cell r="C1130" t="str">
            <v>09V-NEW GEN &amp; ENV PROJECTS</v>
          </cell>
        </row>
        <row r="1131">
          <cell r="A1131">
            <v>15378</v>
          </cell>
          <cell r="B1131" t="str">
            <v>MEREDOSIA U3 NOX CONTROL</v>
          </cell>
          <cell r="C1131" t="str">
            <v>09V-NEW GEN &amp; ENV PROJECTS</v>
          </cell>
        </row>
        <row r="1132">
          <cell r="A1132">
            <v>15389</v>
          </cell>
          <cell r="B1132" t="str">
            <v>SECOND FLOOR WEST CEILING, STL GOB</v>
          </cell>
          <cell r="C1132" t="str">
            <v>072-BUILDING SERVICES-MO</v>
          </cell>
        </row>
        <row r="1133">
          <cell r="A1133">
            <v>15396</v>
          </cell>
          <cell r="B1133" t="str">
            <v>PROVIDENCE SUBD PH 1</v>
          </cell>
          <cell r="C1133" t="str">
            <v>070-JEFFERSON</v>
          </cell>
        </row>
        <row r="1134">
          <cell r="A1134">
            <v>15398</v>
          </cell>
          <cell r="B1134" t="str">
            <v>U2 REPLACE CYCLONES</v>
          </cell>
          <cell r="C1134" t="str">
            <v>09M-GENERATION PROJECT ENGINEERING</v>
          </cell>
        </row>
        <row r="1135">
          <cell r="A1135">
            <v>15425</v>
          </cell>
          <cell r="B1135" t="str">
            <v>ANNA JCT TO CAIRO POLE REPL RELIAB</v>
          </cell>
          <cell r="C1135" t="str">
            <v>4MS-DIVISION VII SUPPORT STAFF</v>
          </cell>
        </row>
        <row r="1136">
          <cell r="A1136">
            <v>15428</v>
          </cell>
          <cell r="B1136" t="str">
            <v>LABADIE U4 MERCURY CONTROL</v>
          </cell>
          <cell r="C1136" t="str">
            <v>09V-NEW GEN &amp; ENV PROJECTS</v>
          </cell>
        </row>
        <row r="1137">
          <cell r="A1137">
            <v>15430</v>
          </cell>
          <cell r="B1137" t="str">
            <v>MERAMEC U2 MERCURY MACT</v>
          </cell>
          <cell r="C1137" t="str">
            <v>09V-NEW GEN &amp; ENV PROJECTS</v>
          </cell>
        </row>
        <row r="1138">
          <cell r="A1138">
            <v>15431</v>
          </cell>
          <cell r="B1138" t="str">
            <v>MERAMEC U3 MERCURY CONTROL</v>
          </cell>
          <cell r="C1138" t="str">
            <v>09V-NEW GEN &amp; ENV PROJECTS</v>
          </cell>
        </row>
        <row r="1139">
          <cell r="A1139">
            <v>15432</v>
          </cell>
          <cell r="B1139" t="str">
            <v>MERAMEC U4 MERCURY CONTROL</v>
          </cell>
          <cell r="C1139" t="str">
            <v>09V-NEW GEN &amp; ENV PROJECTS</v>
          </cell>
        </row>
        <row r="1140">
          <cell r="A1140">
            <v>15436</v>
          </cell>
          <cell r="B1140" t="str">
            <v>COFFEEN U1 EXCITER REPLACEMENT</v>
          </cell>
          <cell r="C1140" t="str">
            <v>09M-GENERATION PROJECT ENGINEERING</v>
          </cell>
        </row>
        <row r="1141">
          <cell r="A1141">
            <v>15443</v>
          </cell>
          <cell r="B1141" t="str">
            <v>SIOUX U1 &amp; U2 WET FLUE GAS DESULFUR</v>
          </cell>
          <cell r="C1141" t="str">
            <v>09V-NEW GEN &amp; ENV PROJECTS</v>
          </cell>
        </row>
        <row r="1142">
          <cell r="A1142">
            <v>15447</v>
          </cell>
          <cell r="B1142" t="str">
            <v>HORINE 195-52 RECONDUCTOR</v>
          </cell>
          <cell r="C1142" t="str">
            <v>070-JEFFERSON</v>
          </cell>
        </row>
        <row r="1143">
          <cell r="A1143">
            <v>15449</v>
          </cell>
          <cell r="B1143" t="str">
            <v>LBD 5 TO 6 BELT TRANSFER CHUTE REPL</v>
          </cell>
          <cell r="C1143" t="str">
            <v>09M-GENERATION PROJECT ENGINEERING</v>
          </cell>
        </row>
        <row r="1144">
          <cell r="A1144">
            <v>15451</v>
          </cell>
          <cell r="B1144" t="str">
            <v>INSTALL 2 SUB EXITS FROM SECOND BAN</v>
          </cell>
          <cell r="C1144" t="str">
            <v>4MS-DIVISION VII SUPPORT STAFF</v>
          </cell>
        </row>
        <row r="1145">
          <cell r="A1145">
            <v>15452</v>
          </cell>
          <cell r="B1145" t="str">
            <v>CONVERT TOWN 4/12 KV</v>
          </cell>
          <cell r="C1145" t="str">
            <v>4MS-DIVISION VII SUPPORT STAFF</v>
          </cell>
        </row>
        <row r="1146">
          <cell r="A1146">
            <v>15475</v>
          </cell>
          <cell r="B1146" t="str">
            <v>KEOKUK STAY VANE ADDITION (1 OF 3)</v>
          </cell>
          <cell r="C1146" t="str">
            <v>09V-NEW GEN &amp; ENV PROJECTS</v>
          </cell>
        </row>
        <row r="1147">
          <cell r="A1147">
            <v>15477</v>
          </cell>
          <cell r="B1147" t="str">
            <v>KEOKUK UPGR STAY VANE ADD (2 OF 3)</v>
          </cell>
          <cell r="C1147" t="str">
            <v>09V-NEW GEN &amp; ENV PROJECTS</v>
          </cell>
        </row>
        <row r="1148">
          <cell r="A1148">
            <v>15478</v>
          </cell>
          <cell r="B1148" t="str">
            <v>KEOKUK UPGR STAY VANE ADD (3 OF 3)</v>
          </cell>
          <cell r="C1148" t="str">
            <v>09V-NEW GEN &amp; ENV PROJECTS</v>
          </cell>
        </row>
        <row r="1149">
          <cell r="A1149">
            <v>15481</v>
          </cell>
          <cell r="B1149" t="str">
            <v>NEWTON 1 HP/IP TURBINE UPGRADE</v>
          </cell>
          <cell r="C1149" t="str">
            <v>09M-GENERATION PROJECT ENGINEERING</v>
          </cell>
        </row>
        <row r="1150">
          <cell r="A1150">
            <v>15496</v>
          </cell>
          <cell r="B1150" t="str">
            <v>FRONTENAC SUBSTATION 2ND TRANSFORME</v>
          </cell>
          <cell r="C1150" t="str">
            <v>027-DORSETT</v>
          </cell>
        </row>
        <row r="1151">
          <cell r="A1151">
            <v>15519</v>
          </cell>
          <cell r="B1151" t="str">
            <v>TS TRANSFORMER FIRE PROTECTION</v>
          </cell>
          <cell r="C1151" t="str">
            <v>09M-GENERATION PROJECT ENGINEERING</v>
          </cell>
        </row>
        <row r="1152">
          <cell r="A1152">
            <v>15520</v>
          </cell>
          <cell r="B1152" t="str">
            <v>RUSH ISLAND-RAISE CONST PARKING LOT</v>
          </cell>
          <cell r="C1152" t="str">
            <v>087-FOSSIL FUELS</v>
          </cell>
        </row>
        <row r="1153">
          <cell r="A1153">
            <v>15522</v>
          </cell>
          <cell r="B1153" t="str">
            <v>UTILITY WASTE LANDFILL - PROPERTY</v>
          </cell>
          <cell r="C1153" t="str">
            <v>09M-GENERATION PROJECT ENGINEERING</v>
          </cell>
        </row>
        <row r="1154">
          <cell r="A1154">
            <v>15526</v>
          </cell>
          <cell r="B1154" t="str">
            <v>LABADIE PLANT 316B COMPLIANCE</v>
          </cell>
          <cell r="C1154" t="str">
            <v>09V-NEW GEN &amp; ENV PROJECTS</v>
          </cell>
        </row>
        <row r="1155">
          <cell r="A1155">
            <v>15527</v>
          </cell>
          <cell r="B1155" t="str">
            <v>LBD INTAKE DEBRIS CLEANING SYSTEM</v>
          </cell>
          <cell r="C1155" t="str">
            <v>09M-GENERATION PROJECT ENGINEERING</v>
          </cell>
        </row>
        <row r="1156">
          <cell r="A1156">
            <v>15528</v>
          </cell>
          <cell r="B1156" t="str">
            <v>MERAMEC PLANT 316B COMPLIANCE</v>
          </cell>
          <cell r="C1156" t="str">
            <v>09V-NEW GEN &amp; ENV PROJECTS</v>
          </cell>
        </row>
        <row r="1157">
          <cell r="A1157">
            <v>15529</v>
          </cell>
          <cell r="B1157" t="str">
            <v>KEOKUK STATION SERVICE BUS A &amp; B RE</v>
          </cell>
          <cell r="C1157" t="str">
            <v>09M-GENERATION PROJECT ENGINEERING</v>
          </cell>
        </row>
        <row r="1158">
          <cell r="A1158">
            <v>15531</v>
          </cell>
          <cell r="B1158" t="str">
            <v>SIOUX-316B COMPLIANCE</v>
          </cell>
          <cell r="C1158" t="str">
            <v>09V-NEW GEN &amp; ENV PROJECTS</v>
          </cell>
        </row>
        <row r="1159">
          <cell r="A1159">
            <v>15538</v>
          </cell>
          <cell r="B1159" t="str">
            <v>CIP MOBILE DATA MODEM REPLACEMENT</v>
          </cell>
          <cell r="C1159" t="str">
            <v>06M-CSF - TELECOM FIELD OPS</v>
          </cell>
        </row>
        <row r="1160">
          <cell r="A1160">
            <v>15546</v>
          </cell>
          <cell r="B1160" t="str">
            <v>AMERENUE 2005 PROJECT #15546</v>
          </cell>
          <cell r="C1160" t="str">
            <v>070-JEFFERSON</v>
          </cell>
        </row>
        <row r="1161">
          <cell r="A1161">
            <v>15547</v>
          </cell>
          <cell r="B1161" t="str">
            <v>RECNDCTR FEEDER 572-54 ALONG KNEFF</v>
          </cell>
          <cell r="C1161" t="str">
            <v>070-JEFFERSON</v>
          </cell>
        </row>
        <row r="1162">
          <cell r="A1162">
            <v>15548</v>
          </cell>
          <cell r="B1162" t="str">
            <v>LABADIE ASH BENEFICIAL USEWEST FACI</v>
          </cell>
          <cell r="C1162" t="str">
            <v>087-FOSSIL FUELS</v>
          </cell>
        </row>
        <row r="1163">
          <cell r="A1163">
            <v>15549</v>
          </cell>
          <cell r="B1163" t="str">
            <v>COFFEEN TRACK EXPANSION</v>
          </cell>
          <cell r="C1163" t="str">
            <v>087-FOSSIL FUELS</v>
          </cell>
        </row>
        <row r="1164">
          <cell r="A1164">
            <v>15552</v>
          </cell>
          <cell r="B1164" t="str">
            <v>RECONDUCTOR FDR 545-53 ALONG SALINE</v>
          </cell>
          <cell r="C1164" t="str">
            <v>070-JEFFERSON</v>
          </cell>
        </row>
        <row r="1165">
          <cell r="A1165">
            <v>15556</v>
          </cell>
          <cell r="B1165" t="str">
            <v>SPRING FOREST FEEDER 575-52 RECONDU</v>
          </cell>
          <cell r="C1165" t="str">
            <v>070-JEFFERSON</v>
          </cell>
        </row>
        <row r="1166">
          <cell r="A1166">
            <v>15558</v>
          </cell>
          <cell r="B1166" t="str">
            <v>EAGER 12KV FEEDER EXTENSION TO NORT</v>
          </cell>
          <cell r="C1166" t="str">
            <v>056-GERALDINE</v>
          </cell>
        </row>
        <row r="1167">
          <cell r="A1167">
            <v>15559</v>
          </cell>
          <cell r="B1167" t="str">
            <v>PARK EAST</v>
          </cell>
          <cell r="C1167" t="str">
            <v>056-GERALDINE</v>
          </cell>
        </row>
        <row r="1168">
          <cell r="A1168">
            <v>15560</v>
          </cell>
          <cell r="B1168" t="str">
            <v>BLAIR SUBSTATION</v>
          </cell>
          <cell r="C1168" t="str">
            <v>056-GERALDINE</v>
          </cell>
        </row>
        <row r="1169">
          <cell r="A1169">
            <v>15561</v>
          </cell>
          <cell r="B1169" t="str">
            <v>RELOCATION LINE 6936 FORREST HILL</v>
          </cell>
          <cell r="C1169" t="str">
            <v>617-NORTHERN ELECTRIC</v>
          </cell>
        </row>
        <row r="1170">
          <cell r="A1170">
            <v>15564</v>
          </cell>
          <cell r="B1170" t="str">
            <v>REMOVAL OF CLAYTON D 4KV UNIT</v>
          </cell>
          <cell r="C1170" t="str">
            <v>056-GERALDINE</v>
          </cell>
        </row>
        <row r="1171">
          <cell r="A1171">
            <v>15567</v>
          </cell>
          <cell r="B1171" t="str">
            <v>LBD U1 BOILER CLEANING IMPROVE</v>
          </cell>
          <cell r="C1171" t="str">
            <v>09M-GENERATION PROJECT ENGINEERING</v>
          </cell>
        </row>
        <row r="1172">
          <cell r="A1172">
            <v>15568</v>
          </cell>
          <cell r="B1172" t="str">
            <v>LBD U2 BOILER CLEAN IMPRV LOW.HYDRO</v>
          </cell>
          <cell r="C1172" t="str">
            <v>09M-GENERATION PROJECT ENGINEERING</v>
          </cell>
        </row>
        <row r="1173">
          <cell r="A1173">
            <v>15569</v>
          </cell>
          <cell r="B1173" t="str">
            <v>LBD U4 BOILER CLEANING IMPROVE</v>
          </cell>
          <cell r="C1173" t="str">
            <v>09M-GENERATION PROJECT ENGINEERING</v>
          </cell>
        </row>
        <row r="1174">
          <cell r="A1174">
            <v>15578</v>
          </cell>
          <cell r="B1174" t="str">
            <v>LBD U4 RECLAIM CHUTES REPL</v>
          </cell>
          <cell r="C1174" t="str">
            <v>09M-GENERATION PROJECT ENGINEERING</v>
          </cell>
        </row>
        <row r="1175">
          <cell r="A1175">
            <v>15579</v>
          </cell>
          <cell r="B1175" t="str">
            <v>LBD U1 RECLAIM CHUTES REPL</v>
          </cell>
          <cell r="C1175" t="str">
            <v>09M-GENERATION PROJECT ENGINEERING</v>
          </cell>
        </row>
        <row r="1176">
          <cell r="A1176">
            <v>15580</v>
          </cell>
          <cell r="B1176" t="str">
            <v>LBD U3 RECLAIM CHUTES REPL</v>
          </cell>
          <cell r="C1176" t="str">
            <v>09M-GENERATION PROJECT ENGINEERING</v>
          </cell>
        </row>
        <row r="1177">
          <cell r="A1177">
            <v>15588</v>
          </cell>
          <cell r="B1177" t="str">
            <v>MERAMEC U3 - 480V BUS REPLACEMENTS</v>
          </cell>
          <cell r="C1177" t="str">
            <v>09M-GENERATION PROJECT ENGINEERING</v>
          </cell>
        </row>
        <row r="1178">
          <cell r="A1178">
            <v>15590</v>
          </cell>
          <cell r="B1178" t="str">
            <v>MERAMEC U4C&amp;D- 480V PRECIP BUS REPL</v>
          </cell>
          <cell r="C1178" t="str">
            <v>09M-GENERATION PROJECT ENGINEERING</v>
          </cell>
        </row>
        <row r="1179">
          <cell r="A1179">
            <v>15604</v>
          </cell>
          <cell r="B1179" t="str">
            <v>MER U3 DA TANK REPL</v>
          </cell>
          <cell r="C1179" t="str">
            <v>09M-GENERATION PROJECT ENGINEERING</v>
          </cell>
        </row>
        <row r="1180">
          <cell r="A1180">
            <v>15605</v>
          </cell>
          <cell r="B1180" t="str">
            <v>BOURBEUSE 12KV FDRS BUILD 3.7 MI</v>
          </cell>
          <cell r="C1180" t="str">
            <v>068-FRANKLIN DISTRICT</v>
          </cell>
        </row>
        <row r="1181">
          <cell r="A1181">
            <v>15607</v>
          </cell>
          <cell r="B1181" t="str">
            <v>NEW PATTERSON FEEDER 229-53</v>
          </cell>
          <cell r="C1181" t="str">
            <v>055-BERKELEY</v>
          </cell>
        </row>
        <row r="1182">
          <cell r="A1182">
            <v>15610</v>
          </cell>
          <cell r="B1182" t="str">
            <v>BOSCHERT CREEK IMPROVEMENTS</v>
          </cell>
          <cell r="C1182" t="str">
            <v>037-TRANSMISSION</v>
          </cell>
        </row>
        <row r="1183">
          <cell r="A1183">
            <v>15617</v>
          </cell>
          <cell r="B1183" t="str">
            <v>RI U2 HWAH SYSTEM DEMO</v>
          </cell>
          <cell r="C1183" t="str">
            <v>09M-GENERATION PROJECT ENGINEERING</v>
          </cell>
        </row>
        <row r="1184">
          <cell r="A1184">
            <v>15629</v>
          </cell>
          <cell r="B1184" t="str">
            <v>MER U3 CABLE REPL - END OF LIFE</v>
          </cell>
          <cell r="C1184" t="str">
            <v>09M-GENERATION PROJECT ENGINEERING</v>
          </cell>
        </row>
        <row r="1185">
          <cell r="A1185">
            <v>15630</v>
          </cell>
          <cell r="B1185" t="str">
            <v>MERAMEC PLC NETWORK HISTORIAN</v>
          </cell>
          <cell r="C1185" t="str">
            <v>81D-GEN PERF MONITOR &amp; ASSESS</v>
          </cell>
        </row>
        <row r="1186">
          <cell r="A1186">
            <v>15659</v>
          </cell>
          <cell r="B1186" t="str">
            <v>RI Potable Water Upgrades</v>
          </cell>
          <cell r="C1186" t="str">
            <v>09M-GENERATION PROJECT ENGINEERING</v>
          </cell>
        </row>
        <row r="1187">
          <cell r="A1187">
            <v>15665</v>
          </cell>
          <cell r="B1187" t="str">
            <v>Labadie 4 Isophase Bus Duct Cooling</v>
          </cell>
          <cell r="C1187" t="str">
            <v>09M-GENERATION PROJECT ENGINEERING</v>
          </cell>
        </row>
        <row r="1188">
          <cell r="A1188">
            <v>15673</v>
          </cell>
          <cell r="B1188" t="str">
            <v>OSAGE - HOUSE GENERATOR UPGRADES</v>
          </cell>
          <cell r="C1188" t="str">
            <v>09M-GENERATION PROJECT ENGINEERING</v>
          </cell>
        </row>
        <row r="1189">
          <cell r="A1189">
            <v>15680</v>
          </cell>
          <cell r="B1189" t="str">
            <v>RI CONVEYOR 4 TO 5 TRANSFER CHUTES</v>
          </cell>
          <cell r="C1189" t="str">
            <v>09M-GENERATION PROJECT ENGINEERING</v>
          </cell>
        </row>
        <row r="1190">
          <cell r="A1190">
            <v>15682</v>
          </cell>
          <cell r="B1190" t="str">
            <v>SIOUX PET COKE BLENDING SYSTEM</v>
          </cell>
          <cell r="C1190" t="str">
            <v>09V-NEW GEN &amp; ENV PROJECTS</v>
          </cell>
        </row>
        <row r="1191">
          <cell r="A1191">
            <v>15686</v>
          </cell>
          <cell r="B1191" t="str">
            <v>LOOSE CREEK TRANSMISS  LINE 800 MHZ</v>
          </cell>
          <cell r="C1191" t="str">
            <v>06H-NEO - ENTERPRISE NETWORKING</v>
          </cell>
        </row>
        <row r="1192">
          <cell r="A1192">
            <v>15692</v>
          </cell>
          <cell r="B1192" t="str">
            <v>STATE HIGHWAY 367 WIDENING</v>
          </cell>
          <cell r="C1192" t="str">
            <v>055-BERKELEY</v>
          </cell>
        </row>
        <row r="1193">
          <cell r="A1193">
            <v>15694</v>
          </cell>
          <cell r="B1193" t="str">
            <v>SALE OF HWY 54 PROPERTY</v>
          </cell>
          <cell r="C1193" t="str">
            <v>061-REAL ESTATE</v>
          </cell>
        </row>
        <row r="1194">
          <cell r="A1194">
            <v>15700</v>
          </cell>
          <cell r="B1194" t="str">
            <v>RUSH ISLAND BOILER ROOM VENTILATION</v>
          </cell>
          <cell r="C1194" t="str">
            <v>09M-GENERATION PROJECT ENGINEERING</v>
          </cell>
        </row>
        <row r="1195">
          <cell r="A1195">
            <v>15718</v>
          </cell>
          <cell r="B1195" t="str">
            <v>PUMPED HYDRO</v>
          </cell>
          <cell r="C1195" t="str">
            <v>09V-NEW GEN &amp; ENV PROJECTS</v>
          </cell>
        </row>
        <row r="1196">
          <cell r="A1196">
            <v>15723</v>
          </cell>
          <cell r="B1196" t="str">
            <v>LABADIE - INST.345KV BUS POT. XFMRS</v>
          </cell>
          <cell r="C1196" t="str">
            <v>09E-ELECTRICAL ENGINEERING</v>
          </cell>
        </row>
        <row r="1197">
          <cell r="A1197">
            <v>15733</v>
          </cell>
          <cell r="B1197" t="str">
            <v>MER U3 MIDDLE BANK REHEATER REPL</v>
          </cell>
          <cell r="C1197" t="str">
            <v>09M-GENERATION PROJECT ENGINEERING</v>
          </cell>
        </row>
        <row r="1198">
          <cell r="A1198">
            <v>15736</v>
          </cell>
          <cell r="B1198" t="str">
            <v>MID RIVERS 161-12KV - ADD 2ND UNIT</v>
          </cell>
          <cell r="C1198" t="str">
            <v>09E-ELECTRICAL ENGINEERING</v>
          </cell>
        </row>
        <row r="1199">
          <cell r="A1199">
            <v>15739</v>
          </cell>
          <cell r="B1199" t="str">
            <v>2005 UEC 800 MHZ RADIO REPLACEMENT</v>
          </cell>
          <cell r="C1199" t="str">
            <v>06H-NEO - ENTERPRISE NETWORKING</v>
          </cell>
        </row>
        <row r="1200">
          <cell r="A1200">
            <v>15758</v>
          </cell>
          <cell r="B1200" t="str">
            <v>ANNA QUARRIES RELOCATION</v>
          </cell>
          <cell r="C1200" t="str">
            <v>4MS-DIVISION VII SUPPORT STAFF</v>
          </cell>
        </row>
        <row r="1201">
          <cell r="A1201">
            <v>15764</v>
          </cell>
          <cell r="B1201" t="str">
            <v>SL - TRACT - KEOKUK FLOWAGE (BOX)</v>
          </cell>
          <cell r="C1201" t="str">
            <v>061-REAL ESTATE</v>
          </cell>
        </row>
        <row r="1202">
          <cell r="A1202">
            <v>15782</v>
          </cell>
          <cell r="B1202" t="str">
            <v>IP ACQUISITION INTEGRATION-NONLABOR</v>
          </cell>
          <cell r="C1202" t="str">
            <v>012-CORPORATE PLANNING</v>
          </cell>
        </row>
        <row r="1203">
          <cell r="A1203">
            <v>15784</v>
          </cell>
          <cell r="B1203" t="str">
            <v>BELLEFOUNTAINE 53, RECONDUCTOR 4.54</v>
          </cell>
          <cell r="C1203" t="str">
            <v>0PT-POTOSI</v>
          </cell>
        </row>
        <row r="1204">
          <cell r="A1204">
            <v>15790</v>
          </cell>
          <cell r="B1204" t="str">
            <v>HORSESHOE BEND -SCADA INSTALLATION</v>
          </cell>
          <cell r="C1204" t="str">
            <v>09E-ELECTRICAL ENGINEERING</v>
          </cell>
        </row>
        <row r="1205">
          <cell r="A1205">
            <v>15792</v>
          </cell>
          <cell r="B1205" t="str">
            <v>SL - PORTION OF EFFINGHAM DIST SRV</v>
          </cell>
          <cell r="C1205" t="str">
            <v>061-REAL ESTATE</v>
          </cell>
        </row>
        <row r="1206">
          <cell r="A1206">
            <v>15804</v>
          </cell>
          <cell r="B1206" t="str">
            <v>COFFEEN PLANT 316B COMPLIANCE</v>
          </cell>
          <cell r="C1206" t="str">
            <v>09V-NEW GEN &amp; ENV PROJECTS</v>
          </cell>
        </row>
        <row r="1207">
          <cell r="A1207">
            <v>15805</v>
          </cell>
          <cell r="B1207" t="str">
            <v>EDWARDS PLANT 316B COMPLIANCE</v>
          </cell>
          <cell r="C1207" t="str">
            <v>09V-NEW GEN &amp; ENV PROJECTS</v>
          </cell>
        </row>
        <row r="1208">
          <cell r="A1208">
            <v>15806</v>
          </cell>
          <cell r="B1208" t="str">
            <v>GRAND TOWER PLANT 316B COMPLIANCE</v>
          </cell>
          <cell r="C1208" t="str">
            <v>09V-NEW GEN &amp; ENV PROJECTS</v>
          </cell>
        </row>
        <row r="1209">
          <cell r="A1209">
            <v>15807</v>
          </cell>
          <cell r="B1209" t="str">
            <v>HUTSONVILLE PLANT 316B COMPLIANCE</v>
          </cell>
          <cell r="C1209" t="str">
            <v>09V-NEW GEN &amp; ENV PROJECTS</v>
          </cell>
        </row>
        <row r="1210">
          <cell r="A1210">
            <v>15808</v>
          </cell>
          <cell r="B1210" t="str">
            <v>MEREDOSIA PLANT 316B COMPLIANCE</v>
          </cell>
          <cell r="C1210" t="str">
            <v>09V-NEW GEN &amp; ENV PROJECTS</v>
          </cell>
        </row>
        <row r="1211">
          <cell r="A1211">
            <v>15809</v>
          </cell>
          <cell r="B1211" t="str">
            <v>NEWTON PLANT 316B COMPLIANCE</v>
          </cell>
          <cell r="C1211" t="str">
            <v>09V-NEW GEN &amp; ENV PROJECTS</v>
          </cell>
        </row>
        <row r="1212">
          <cell r="A1212">
            <v>15837</v>
          </cell>
          <cell r="B1212" t="str">
            <v>CALLAWAY ROUTERSWITCH REPLACEMENT</v>
          </cell>
          <cell r="C1212" t="str">
            <v>06C-INF - STL CENTRAL SERVER OPS</v>
          </cell>
        </row>
        <row r="1213">
          <cell r="A1213">
            <v>15845</v>
          </cell>
          <cell r="B1213" t="str">
            <v>BONNE TERRE FDR 54 RECONDUCTOR</v>
          </cell>
          <cell r="C1213" t="str">
            <v>071-ST. FRANCOIS</v>
          </cell>
        </row>
        <row r="1214">
          <cell r="A1214">
            <v>15850</v>
          </cell>
          <cell r="B1214" t="str">
            <v>RUSH ISLAND COAL RECEIVING FEEDER R</v>
          </cell>
          <cell r="C1214" t="str">
            <v>09M-GENERATION PROJECT ENGINEERING</v>
          </cell>
        </row>
        <row r="1215">
          <cell r="A1215">
            <v>15867</v>
          </cell>
          <cell r="B1215" t="str">
            <v>RT.29 SHARPSBURG</v>
          </cell>
          <cell r="C1215" t="str">
            <v>2MS-DIVISION IV SUPPORT STAFF</v>
          </cell>
        </row>
        <row r="1216">
          <cell r="A1216">
            <v>15870</v>
          </cell>
          <cell r="B1216" t="str">
            <v>RI TURB GENERATOR MONITORING</v>
          </cell>
          <cell r="C1216" t="str">
            <v>09M-GENERATION PROJECT ENGINEERING</v>
          </cell>
        </row>
        <row r="1217">
          <cell r="A1217">
            <v>15871</v>
          </cell>
          <cell r="B1217" t="str">
            <v>SIOUX TURBINE GENERATOR MONITORING</v>
          </cell>
          <cell r="C1217" t="str">
            <v>09M-GENERATION PROJECT ENGINEERING</v>
          </cell>
        </row>
        <row r="1218">
          <cell r="A1218">
            <v>15885</v>
          </cell>
          <cell r="B1218" t="str">
            <v>NPS U1 BFP TURBINES RETROFIT</v>
          </cell>
          <cell r="C1218" t="str">
            <v>09M-GENERATION PROJECT ENGINEERING</v>
          </cell>
        </row>
        <row r="1219">
          <cell r="A1219">
            <v>15897</v>
          </cell>
          <cell r="B1219" t="str">
            <v>ST. CLAIR 179-53 REBUILD HWY AB</v>
          </cell>
          <cell r="C1219" t="str">
            <v>068-FRANKLIN DISTRICT</v>
          </cell>
        </row>
        <row r="1220">
          <cell r="A1220">
            <v>15909</v>
          </cell>
          <cell r="B1220" t="str">
            <v>BELGRADE SUB CONNECTION</v>
          </cell>
          <cell r="C1220" t="str">
            <v>09E-ELECTRICAL ENGINEERING</v>
          </cell>
        </row>
        <row r="1221">
          <cell r="A1221">
            <v>15915</v>
          </cell>
          <cell r="B1221" t="str">
            <v>Line 3468 Rebuild</v>
          </cell>
          <cell r="C1221" t="str">
            <v>604-LINCOLN ELEC OPS</v>
          </cell>
        </row>
        <row r="1222">
          <cell r="A1222">
            <v>15917</v>
          </cell>
          <cell r="B1222" t="str">
            <v>BOWLES 2ND UNIT</v>
          </cell>
          <cell r="C1222" t="str">
            <v>052-MACKENZIE</v>
          </cell>
        </row>
        <row r="1223">
          <cell r="A1223">
            <v>15921</v>
          </cell>
          <cell r="B1223" t="str">
            <v>JFFRSON COUNTY HWY DEPT-PROJ #15921</v>
          </cell>
          <cell r="C1223" t="str">
            <v>070-JEFFERSON</v>
          </cell>
        </row>
        <row r="1224">
          <cell r="A1224">
            <v>15922</v>
          </cell>
          <cell r="B1224" t="str">
            <v>JFRSN CNTY HWY DPT-3TH PARTPJ#15922</v>
          </cell>
          <cell r="C1224" t="str">
            <v>070-JEFFERSON</v>
          </cell>
        </row>
        <row r="1225">
          <cell r="A1225">
            <v>15931</v>
          </cell>
          <cell r="B1225" t="str">
            <v>Robinson-Marath.-Upgr. 138kV Cap.Bk</v>
          </cell>
          <cell r="C1225" t="str">
            <v>09E-ELECTRICAL ENGINEERING</v>
          </cell>
        </row>
        <row r="1226">
          <cell r="A1226">
            <v>15932</v>
          </cell>
          <cell r="B1226" t="str">
            <v>Lakeshire-Rly Rpl Mer-Wat-2 (TAM07)</v>
          </cell>
          <cell r="C1226" t="str">
            <v>09E-ELECTRICAL ENGINEERING</v>
          </cell>
        </row>
        <row r="1227">
          <cell r="A1227">
            <v>15933</v>
          </cell>
          <cell r="B1227" t="str">
            <v>Watson-Relay Rpl Mer-Wat-2 (TAM07)</v>
          </cell>
          <cell r="C1227" t="str">
            <v>09E-ELECTRICAL ENGINEERING</v>
          </cell>
        </row>
        <row r="1228">
          <cell r="A1228">
            <v>15936</v>
          </cell>
          <cell r="B1228" t="str">
            <v>VENICE - REPL 6-69KV PCBS</v>
          </cell>
          <cell r="C1228" t="str">
            <v>09E-ELECTRICAL ENGINEERING</v>
          </cell>
        </row>
        <row r="1229">
          <cell r="A1229">
            <v>15937</v>
          </cell>
          <cell r="B1229" t="str">
            <v>CANTON ETHANOL PLANT GAS MAIN EXT</v>
          </cell>
          <cell r="C1229" t="str">
            <v>0G1-GAS TECH SERVICES - CIP</v>
          </cell>
        </row>
        <row r="1230">
          <cell r="A1230">
            <v>15938</v>
          </cell>
          <cell r="B1230" t="str">
            <v>WENTZVILLE CAPACITY ADD - PHASE I</v>
          </cell>
          <cell r="C1230" t="str">
            <v>0G3-GAS TECH SERVICES - UEC</v>
          </cell>
        </row>
        <row r="1231">
          <cell r="A1231">
            <v>15961</v>
          </cell>
          <cell r="B1231" t="str">
            <v>Purchase of property for Illinois B</v>
          </cell>
          <cell r="C1231" t="str">
            <v>07N-BUILDING SERVICES-IL</v>
          </cell>
        </row>
        <row r="1232">
          <cell r="A1232">
            <v>15964</v>
          </cell>
          <cell r="B1232" t="str">
            <v>DUCK CREEK WFGD UPGRADE</v>
          </cell>
          <cell r="C1232" t="str">
            <v>09V-NEW GEN &amp; ENV PROJECTS</v>
          </cell>
        </row>
        <row r="1233">
          <cell r="A1233">
            <v>15966</v>
          </cell>
          <cell r="B1233" t="str">
            <v>ADAIR - 161KV, 1200A BUS-TIE PCB</v>
          </cell>
          <cell r="C1233" t="str">
            <v>09E-ELECTRICAL ENGINEERING</v>
          </cell>
        </row>
        <row r="1234">
          <cell r="A1234">
            <v>15971</v>
          </cell>
          <cell r="B1234" t="str">
            <v>Labadie -Rpl 4-345, 41kA PCB w-50kA</v>
          </cell>
          <cell r="C1234" t="str">
            <v>09E-ELECTRICAL ENGINEERING</v>
          </cell>
        </row>
        <row r="1235">
          <cell r="A1235">
            <v>15973</v>
          </cell>
          <cell r="B1235" t="str">
            <v>Hampton - Rebuild Sub - Phase 1</v>
          </cell>
          <cell r="C1235" t="str">
            <v>09E-ELECTRICAL ENGINEERING</v>
          </cell>
        </row>
        <row r="1236">
          <cell r="A1236">
            <v>15974</v>
          </cell>
          <cell r="B1236" t="str">
            <v>Friedens - New 34-12kV Sub. 22MVA</v>
          </cell>
          <cell r="C1236" t="str">
            <v>09E-ELECTRICAL ENGINEERING</v>
          </cell>
        </row>
        <row r="1237">
          <cell r="A1237">
            <v>15975</v>
          </cell>
          <cell r="B1237" t="str">
            <v>FENTON FLOOD SITE-PREP.FOR MOBILE</v>
          </cell>
          <cell r="C1237" t="str">
            <v>09E-ELECTRICAL ENGINEERING</v>
          </cell>
        </row>
        <row r="1238">
          <cell r="A1238">
            <v>15978</v>
          </cell>
          <cell r="B1238" t="str">
            <v>FRONTENAC -UNIT D (34-12KV, 22MVA)</v>
          </cell>
          <cell r="C1238" t="str">
            <v>09E-ELECTRICAL ENGINEERING</v>
          </cell>
        </row>
        <row r="1239">
          <cell r="A1239">
            <v>15979</v>
          </cell>
          <cell r="B1239" t="str">
            <v>Maxville - 34-12kV, 22MVA, Unit D</v>
          </cell>
          <cell r="C1239" t="str">
            <v>09E-ELECTRICAL ENGINEERING</v>
          </cell>
        </row>
        <row r="1240">
          <cell r="A1240">
            <v>15980</v>
          </cell>
          <cell r="B1240" t="str">
            <v>JC STORAGE INJECTIONWITHDRAWAL WELL</v>
          </cell>
          <cell r="C1240" t="str">
            <v>0G6-GAS STORAGE</v>
          </cell>
        </row>
        <row r="1241">
          <cell r="A1241">
            <v>15982</v>
          </cell>
          <cell r="B1241" t="str">
            <v>PEORIA GOB - REPLACE CURTAIN WALL</v>
          </cell>
          <cell r="C1241" t="str">
            <v>07W-BLDG SVCS-CIL</v>
          </cell>
        </row>
        <row r="1242">
          <cell r="A1242">
            <v>15983</v>
          </cell>
          <cell r="B1242" t="str">
            <v>COFFEEN U1 PHASE 1 CAIR</v>
          </cell>
          <cell r="C1242" t="str">
            <v>09V-NEW GEN &amp; ENV PROJECTS</v>
          </cell>
        </row>
        <row r="1243">
          <cell r="A1243">
            <v>15984</v>
          </cell>
          <cell r="B1243" t="str">
            <v>MEPPEN NORTH - 138KV LINE BREAKER</v>
          </cell>
          <cell r="C1243" t="str">
            <v>09E-ELECTRICAL ENGINEERING</v>
          </cell>
        </row>
        <row r="1244">
          <cell r="A1244">
            <v>15989</v>
          </cell>
          <cell r="B1244" t="str">
            <v>Carb-Univ Mall -Rpl 34-12 Xfmr &amp; CR</v>
          </cell>
          <cell r="C1244" t="str">
            <v>09E-ELECTRICAL ENGINEERING</v>
          </cell>
        </row>
        <row r="1245">
          <cell r="A1245">
            <v>15993</v>
          </cell>
          <cell r="B1245" t="str">
            <v>MARION-RPL 34-12 10MVA XFMR W-14MVA</v>
          </cell>
          <cell r="C1245" t="str">
            <v>09E-ELECTRICAL ENGINEERING</v>
          </cell>
        </row>
        <row r="1246">
          <cell r="A1246">
            <v>15996</v>
          </cell>
          <cell r="B1246" t="str">
            <v>CARRIER MILLS - CONVERT 4KV TO 12KV</v>
          </cell>
          <cell r="C1246" t="str">
            <v>09E-ELECTRICAL ENGINEERING</v>
          </cell>
        </row>
        <row r="1247">
          <cell r="A1247">
            <v>15997</v>
          </cell>
          <cell r="B1247" t="str">
            <v>Belgrade - New 161-25kV Sub.</v>
          </cell>
          <cell r="C1247" t="str">
            <v>09E-ELECTRICAL ENGINEERING</v>
          </cell>
        </row>
        <row r="1248">
          <cell r="A1248">
            <v>15998</v>
          </cell>
          <cell r="B1248" t="str">
            <v>HOWARD BEND - SITE PURCHASE</v>
          </cell>
          <cell r="C1248" t="str">
            <v>09E-ELECTRICAL ENGINEERING</v>
          </cell>
        </row>
        <row r="1249">
          <cell r="A1249">
            <v>16001</v>
          </cell>
          <cell r="B1249" t="str">
            <v>BLAIR SUB REPLACEMENT</v>
          </cell>
          <cell r="C1249" t="str">
            <v>09E-ELECTRICAL ENGINEERING</v>
          </cell>
        </row>
        <row r="1250">
          <cell r="A1250">
            <v>16002</v>
          </cell>
          <cell r="B1250" t="str">
            <v>BELLEFNTN.-RPL W-5.6-7MVA LTC XFMR</v>
          </cell>
          <cell r="C1250" t="str">
            <v>09E-ELECTRICAL ENGINEERING</v>
          </cell>
        </row>
        <row r="1251">
          <cell r="A1251">
            <v>16003</v>
          </cell>
          <cell r="B1251" t="str">
            <v>ELM GROVE - FEEDER POSN. #4</v>
          </cell>
          <cell r="C1251" t="str">
            <v>09E-ELECTRICAL ENGINEERING</v>
          </cell>
        </row>
        <row r="1252">
          <cell r="A1252">
            <v>16026</v>
          </cell>
          <cell r="B1252" t="str">
            <v>DORSETT TRAINING FACILITY EXPANSION</v>
          </cell>
          <cell r="C1252" t="str">
            <v>072-BUILDING SERVICES-MO</v>
          </cell>
        </row>
        <row r="1253">
          <cell r="A1253">
            <v>16029</v>
          </cell>
          <cell r="B1253" t="str">
            <v>STL Underground - Replace roof</v>
          </cell>
          <cell r="C1253" t="str">
            <v>072-BUILDING SERVICES-MO</v>
          </cell>
        </row>
        <row r="1254">
          <cell r="A1254">
            <v>16030</v>
          </cell>
          <cell r="B1254" t="str">
            <v>DORSETT SUBSTATION REPORTING CENTER</v>
          </cell>
          <cell r="C1254" t="str">
            <v>072-BUILDING SERVICES-MO</v>
          </cell>
        </row>
        <row r="1255">
          <cell r="A1255">
            <v>16031</v>
          </cell>
          <cell r="B1255" t="str">
            <v>NEWTON TURB. FLOOR FIRE PROT-U1&amp;2</v>
          </cell>
          <cell r="C1255" t="str">
            <v>09M-GENERATION PROJECT ENGINEERING</v>
          </cell>
        </row>
        <row r="1256">
          <cell r="A1256">
            <v>16053</v>
          </cell>
          <cell r="B1256" t="str">
            <v>Cape Girardeau - New Garage</v>
          </cell>
          <cell r="C1256" t="str">
            <v>072-BUILDING SERVICES-MO</v>
          </cell>
        </row>
        <row r="1257">
          <cell r="A1257">
            <v>16070</v>
          </cell>
          <cell r="B1257" t="str">
            <v>CI Repl - Boonville - 6th, 7th, Mor</v>
          </cell>
          <cell r="C1257" t="str">
            <v>4MX-LITTLE DIXIE SUPPORT STAFF</v>
          </cell>
        </row>
        <row r="1258">
          <cell r="A1258">
            <v>16074</v>
          </cell>
          <cell r="B1258" t="str">
            <v>CI Repl - Moberly - Franklin, Bertl</v>
          </cell>
          <cell r="C1258" t="str">
            <v>4MX-LITTLE DIXIE SUPPORT STAFF</v>
          </cell>
        </row>
        <row r="1259">
          <cell r="A1259">
            <v>16076</v>
          </cell>
          <cell r="B1259" t="str">
            <v>CI Repl - Mexico - Jackson, Liberty</v>
          </cell>
          <cell r="C1259" t="str">
            <v>4MX-LITTLE DIXIE SUPPORT STAFF</v>
          </cell>
        </row>
        <row r="1260">
          <cell r="A1260">
            <v>16088</v>
          </cell>
          <cell r="B1260" t="str">
            <v>Jennings - Unit W Removal</v>
          </cell>
          <cell r="C1260" t="str">
            <v>09E-ELECTRICAL ENGINEERING</v>
          </cell>
        </row>
        <row r="1261">
          <cell r="A1261">
            <v>16090</v>
          </cell>
          <cell r="B1261" t="str">
            <v>HALL ST. - ADD 3RD XFMR POSITION</v>
          </cell>
          <cell r="C1261" t="str">
            <v>09E-ELECTRICAL ENGINEERING</v>
          </cell>
        </row>
        <row r="1262">
          <cell r="A1262">
            <v>16095</v>
          </cell>
          <cell r="B1262" t="str">
            <v>MEREDOSIA -RPL 50MVA XFMRS W-112MVA</v>
          </cell>
          <cell r="C1262" t="str">
            <v>09E-ELECTRICAL ENGINEERING</v>
          </cell>
        </row>
        <row r="1263">
          <cell r="A1263">
            <v>16106</v>
          </cell>
          <cell r="B1263" t="str">
            <v>KINMUNDY-LOUISV. -INCR.GRD.CLEAR.</v>
          </cell>
          <cell r="C1263" t="str">
            <v>09E-ELECTRICAL ENGINEERING</v>
          </cell>
        </row>
        <row r="1264">
          <cell r="A1264">
            <v>16107</v>
          </cell>
          <cell r="B1264" t="str">
            <v>GR.TOWER-CARBOND. - INCR.GRD.CLEAR.</v>
          </cell>
          <cell r="C1264" t="str">
            <v>09E-ELECTRICAL ENGINEERING</v>
          </cell>
        </row>
        <row r="1265">
          <cell r="A1265">
            <v>16108</v>
          </cell>
          <cell r="B1265" t="str">
            <v>KINMUNDY-SALEM W. - INCR.GRD.CLEAR.</v>
          </cell>
          <cell r="C1265" t="str">
            <v>09E-ELECTRICAL ENGINEERING</v>
          </cell>
        </row>
        <row r="1266">
          <cell r="A1266">
            <v>16109</v>
          </cell>
          <cell r="B1266" t="str">
            <v>MEREDOSIA-FREDERICK-INCR.GRD.CLEAR.</v>
          </cell>
          <cell r="C1266" t="str">
            <v>09E-ELECTRICAL ENGINEERING</v>
          </cell>
        </row>
        <row r="1267">
          <cell r="A1267">
            <v>16113</v>
          </cell>
          <cell r="B1267" t="str">
            <v>NEW ERA ROAD RELOCATION</v>
          </cell>
          <cell r="C1267" t="str">
            <v>0G1-GAS TECH SERVICES - CIP</v>
          </cell>
        </row>
        <row r="1268">
          <cell r="A1268">
            <v>16114</v>
          </cell>
          <cell r="B1268" t="str">
            <v>CASEY-BREED -RECOND.WABASH RIV.XING</v>
          </cell>
          <cell r="C1268" t="str">
            <v>09E-ELECTRICAL ENGINEERING</v>
          </cell>
        </row>
        <row r="1269">
          <cell r="A1269">
            <v>16116</v>
          </cell>
          <cell r="B1269" t="str">
            <v>L1436 - RECOND. 8.25 MILE</v>
          </cell>
          <cell r="C1269" t="str">
            <v>09E-ELECTRICAL ENGINEERING</v>
          </cell>
        </row>
        <row r="1270">
          <cell r="A1270">
            <v>16117</v>
          </cell>
          <cell r="B1270" t="str">
            <v>KELSO-STOD-INOUT-MORLEY-AECI-REIMB</v>
          </cell>
          <cell r="C1270" t="str">
            <v>09E-ELECTRICAL ENGINEERING</v>
          </cell>
        </row>
        <row r="1271">
          <cell r="A1271">
            <v>16118</v>
          </cell>
          <cell r="B1271" t="str">
            <v>RIV-CAPE-INOUT-BURFORDV.AECI-REIMB</v>
          </cell>
          <cell r="C1271" t="str">
            <v>09E-ELECTRICAL ENGINEERING</v>
          </cell>
        </row>
        <row r="1272">
          <cell r="A1272">
            <v>16119</v>
          </cell>
          <cell r="B1272" t="str">
            <v>Venice CTG 3-4 Related CIP Swyd Wk</v>
          </cell>
          <cell r="C1272" t="str">
            <v>09E-ELECTRICAL ENGINEERING</v>
          </cell>
        </row>
        <row r="1273">
          <cell r="A1273">
            <v>16120</v>
          </cell>
          <cell r="B1273" t="str">
            <v>ELDON WHQ &amp; WAREHOUSE SALE</v>
          </cell>
          <cell r="C1273" t="str">
            <v>061-REAL ESTATE</v>
          </cell>
        </row>
        <row r="1274">
          <cell r="A1274">
            <v>16129</v>
          </cell>
          <cell r="B1274" t="str">
            <v>MERCURY BASELINE TESTING - UEC</v>
          </cell>
          <cell r="C1274" t="str">
            <v>09V-NEW GEN &amp; ENV PROJECTS</v>
          </cell>
        </row>
        <row r="1275">
          <cell r="A1275">
            <v>16130</v>
          </cell>
          <cell r="B1275" t="str">
            <v>MERCURY BASELINE TESTING - GEN</v>
          </cell>
          <cell r="C1275" t="str">
            <v>09V-NEW GEN &amp; ENV PROJECTS</v>
          </cell>
        </row>
        <row r="1276">
          <cell r="A1276">
            <v>16134</v>
          </cell>
          <cell r="B1276" t="str">
            <v>FUEL FLEXIBILITY 20% WESTERN FUEL H</v>
          </cell>
          <cell r="C1276" t="str">
            <v>145-HUTSONVILLE</v>
          </cell>
        </row>
        <row r="1277">
          <cell r="A1277">
            <v>16143</v>
          </cell>
          <cell r="B1277" t="str">
            <v>ALTON BULK SUB SITE ACQUISITION</v>
          </cell>
          <cell r="C1277" t="str">
            <v>09E-ELECTRICAL ENGINEERING</v>
          </cell>
        </row>
        <row r="1278">
          <cell r="A1278">
            <v>16145</v>
          </cell>
          <cell r="B1278" t="str">
            <v>COFFEEN FIRE PROTECTION-TURBINE &amp; B</v>
          </cell>
          <cell r="C1278" t="str">
            <v>09M-GENERATION PROJECT ENGINEERING</v>
          </cell>
        </row>
        <row r="1279">
          <cell r="A1279">
            <v>16147</v>
          </cell>
          <cell r="B1279" t="str">
            <v>SIOUX U2 NORTH MSV REPLACEMENT</v>
          </cell>
          <cell r="C1279" t="str">
            <v>09M-GENERATION PROJECT ENGINEERING</v>
          </cell>
        </row>
        <row r="1280">
          <cell r="A1280">
            <v>16159</v>
          </cell>
          <cell r="B1280" t="str">
            <v>SLU MEDICAL RESEARCH BLDG - RELOCS</v>
          </cell>
          <cell r="C1280" t="str">
            <v>056-GERALDINE</v>
          </cell>
        </row>
        <row r="1281">
          <cell r="A1281">
            <v>16162</v>
          </cell>
          <cell r="B1281" t="str">
            <v>ALBION SO-138KV PCB-FAIRFIELD-REIMB</v>
          </cell>
          <cell r="C1281" t="str">
            <v>09E-ELECTRICAL ENGINEERING</v>
          </cell>
        </row>
        <row r="1282">
          <cell r="A1282">
            <v>16179</v>
          </cell>
          <cell r="B1282" t="str">
            <v>NEWTON 2 HPIP TURBINE RETROFIT</v>
          </cell>
          <cell r="C1282" t="str">
            <v>09M-GENERATION PROJECT ENGINEERING</v>
          </cell>
        </row>
        <row r="1283">
          <cell r="A1283">
            <v>16185</v>
          </cell>
          <cell r="B1283" t="str">
            <v>KANSAS WEST - 345 KV AUTO REPLACEMT</v>
          </cell>
          <cell r="C1283" t="str">
            <v>09E-ELECTRICAL ENGINEERING</v>
          </cell>
        </row>
        <row r="1284">
          <cell r="A1284">
            <v>16189</v>
          </cell>
          <cell r="B1284" t="str">
            <v>PIONEER PARK PARKING LOT RELO</v>
          </cell>
          <cell r="C1284" t="str">
            <v>668-IL OPS ADMIN DIV I II III</v>
          </cell>
        </row>
        <row r="1285">
          <cell r="A1285">
            <v>16190</v>
          </cell>
          <cell r="B1285" t="str">
            <v>SL - LAWRENCEVILLE PROP</v>
          </cell>
          <cell r="C1285" t="str">
            <v>061-REAL ESTATE</v>
          </cell>
        </row>
        <row r="1286">
          <cell r="A1286">
            <v>16193</v>
          </cell>
          <cell r="B1286" t="str">
            <v>MERAMEC 1&amp;2 RET &amp; REM MILL INERTING</v>
          </cell>
          <cell r="C1286" t="str">
            <v>09M-GENERATION PROJECT ENGINEERING</v>
          </cell>
        </row>
        <row r="1287">
          <cell r="A1287">
            <v>16195</v>
          </cell>
          <cell r="B1287" t="str">
            <v>MRD ID FAN ROTOR REPLACEMENTS</v>
          </cell>
          <cell r="C1287" t="str">
            <v>09M-GENERATION PROJECT ENGINEERING</v>
          </cell>
        </row>
        <row r="1288">
          <cell r="A1288">
            <v>16217</v>
          </cell>
          <cell r="B1288" t="str">
            <v>COFFEEN - SWITCHGEAR UPGRADES</v>
          </cell>
          <cell r="C1288" t="str">
            <v>09M-GENERATION PROJECT ENGINEERING</v>
          </cell>
        </row>
        <row r="1289">
          <cell r="A1289">
            <v>16218</v>
          </cell>
          <cell r="B1289" t="str">
            <v>GRAND TOWER SWITCHGEAR UPGRD STUDY</v>
          </cell>
          <cell r="C1289" t="str">
            <v>09M-GENERATION PROJECT ENGINEERING</v>
          </cell>
        </row>
        <row r="1290">
          <cell r="A1290">
            <v>16219</v>
          </cell>
          <cell r="B1290" t="str">
            <v>MEREDOSIA SWITCHGEAR UPGRD STUDY</v>
          </cell>
          <cell r="C1290" t="str">
            <v>09M-GENERATION PROJECT ENGINEERING</v>
          </cell>
        </row>
        <row r="1291">
          <cell r="A1291">
            <v>16220</v>
          </cell>
          <cell r="B1291" t="str">
            <v>NEWTON - SWITCHGEAR UPGRADES</v>
          </cell>
          <cell r="C1291" t="str">
            <v>09M-GENERATION PROJECT ENGINEERING</v>
          </cell>
        </row>
        <row r="1292">
          <cell r="A1292">
            <v>16221</v>
          </cell>
          <cell r="B1292" t="str">
            <v>HUTSONVILLE SWITCHGEAR UPGRD STUDY</v>
          </cell>
          <cell r="C1292" t="str">
            <v>09M-GENERATION PROJECT ENGINEERING</v>
          </cell>
        </row>
        <row r="1293">
          <cell r="A1293">
            <v>16222</v>
          </cell>
          <cell r="B1293" t="str">
            <v>DUCK CREEK SWITCHGEAR UPGRD STUDY</v>
          </cell>
          <cell r="C1293" t="str">
            <v>09M-GENERATION PROJECT ENGINEERING</v>
          </cell>
        </row>
        <row r="1294">
          <cell r="A1294">
            <v>16223</v>
          </cell>
          <cell r="B1294" t="str">
            <v>EDWARDS- SWITCHGEAR UPGRADES</v>
          </cell>
          <cell r="C1294" t="str">
            <v>09M-GENERATION PROJECT ENGINEERING</v>
          </cell>
        </row>
        <row r="1295">
          <cell r="A1295">
            <v>16226</v>
          </cell>
          <cell r="B1295" t="str">
            <v>RUSH ISLAND - REPLACE 345KV SWITCHY</v>
          </cell>
          <cell r="C1295" t="str">
            <v>09M-GENERATION PROJECT ENGINEERING</v>
          </cell>
        </row>
        <row r="1296">
          <cell r="A1296">
            <v>16229</v>
          </cell>
          <cell r="B1296" t="str">
            <v>REPLACE SWITCHYARD BATTERIES</v>
          </cell>
          <cell r="C1296" t="str">
            <v>88B-NUCL - ENG SYS - ELECT I &amp; C</v>
          </cell>
        </row>
        <row r="1297">
          <cell r="A1297">
            <v>16231</v>
          </cell>
          <cell r="B1297" t="str">
            <v>MSD-MERAMEC, 2-UNIT CUST.SUB,34-4KV</v>
          </cell>
          <cell r="C1297" t="str">
            <v>09E-ELECTRICAL ENGINEERING</v>
          </cell>
        </row>
        <row r="1298">
          <cell r="A1298">
            <v>16232</v>
          </cell>
          <cell r="B1298" t="str">
            <v>AB TECHNOLOGY CENTER</v>
          </cell>
          <cell r="C1298" t="str">
            <v>052-MACKENZIE</v>
          </cell>
        </row>
        <row r="1299">
          <cell r="A1299">
            <v>16234</v>
          </cell>
          <cell r="B1299" t="str">
            <v>JOST FARMS SUBDIVISION</v>
          </cell>
          <cell r="C1299" t="str">
            <v>055-BERKELEY</v>
          </cell>
        </row>
        <row r="1300">
          <cell r="A1300">
            <v>16246</v>
          </cell>
          <cell r="B1300" t="str">
            <v>GROSSMAN IRON CUST. SUB, 34-13.2KV</v>
          </cell>
          <cell r="C1300" t="str">
            <v>09E-ELECTRICAL ENGINEERING</v>
          </cell>
        </row>
        <row r="1301">
          <cell r="A1301">
            <v>16268</v>
          </cell>
          <cell r="B1301" t="str">
            <v>PROPERTY ACQUISITION</v>
          </cell>
          <cell r="C1301" t="str">
            <v>131-EFFINGHAM RESOURCE CENTER</v>
          </cell>
        </row>
        <row r="1302">
          <cell r="A1302">
            <v>16269</v>
          </cell>
          <cell r="B1302" t="str">
            <v>UPGRADE IP GAS STORAGE FIELDS</v>
          </cell>
          <cell r="C1302" t="str">
            <v>0G6-GAS STORAGE</v>
          </cell>
        </row>
        <row r="1303">
          <cell r="A1303">
            <v>16270</v>
          </cell>
          <cell r="B1303" t="str">
            <v>IP INTEGR PROJ - PURCH OF GAS METRS</v>
          </cell>
          <cell r="C1303" t="str">
            <v>0G2-GAS TECH SERVICES - AMS</v>
          </cell>
        </row>
        <row r="1304">
          <cell r="A1304">
            <v>16278</v>
          </cell>
          <cell r="B1304" t="str">
            <v>NEWTON CBM WELL PROJECT</v>
          </cell>
          <cell r="C1304" t="str">
            <v>09M-GENERATION PROJECT ENGINEERING</v>
          </cell>
        </row>
        <row r="1305">
          <cell r="A1305">
            <v>16281</v>
          </cell>
          <cell r="B1305" t="str">
            <v>LOWE'S OF MAPLEWOOD</v>
          </cell>
          <cell r="C1305" t="str">
            <v>056-GERALDINE</v>
          </cell>
        </row>
        <row r="1306">
          <cell r="A1306">
            <v>16282</v>
          </cell>
          <cell r="B1306" t="str">
            <v>PEABODY - BALDWIN-R.I. RIVXG.345 LN</v>
          </cell>
          <cell r="C1306" t="str">
            <v>09E-ELECTRICAL ENGINEERING</v>
          </cell>
        </row>
        <row r="1307">
          <cell r="A1307">
            <v>16283</v>
          </cell>
          <cell r="B1307" t="str">
            <v>PEABODY - PR.STATE-IP LN4541 IN-OUT</v>
          </cell>
          <cell r="C1307" t="str">
            <v>09E-ELECTRICAL ENGINEERING</v>
          </cell>
        </row>
        <row r="1308">
          <cell r="A1308">
            <v>16284</v>
          </cell>
          <cell r="B1308" t="str">
            <v>PEABODY - PR.STATE-IP LN4531 IN-OUT</v>
          </cell>
          <cell r="C1308" t="str">
            <v>09E-ELECTRICAL ENGINEERING</v>
          </cell>
        </row>
        <row r="1309">
          <cell r="A1309">
            <v>16292</v>
          </cell>
          <cell r="B1309" t="str">
            <v>IP INTEGRATION GMS SYSTEM</v>
          </cell>
          <cell r="C1309" t="str">
            <v>043-NAT GAS SUPPLY-TRANSPORT/CONTRO</v>
          </cell>
        </row>
        <row r="1310">
          <cell r="A1310">
            <v>16295</v>
          </cell>
          <cell r="B1310" t="str">
            <v>SIOUX REPLACE CONVEYOR 101A</v>
          </cell>
          <cell r="C1310" t="str">
            <v>09M-GENERATION PROJECT ENGINEERING</v>
          </cell>
        </row>
        <row r="1311">
          <cell r="A1311">
            <v>16299</v>
          </cell>
          <cell r="B1311" t="str">
            <v>GKN AEROSPACE</v>
          </cell>
          <cell r="C1311" t="str">
            <v>055-BERKELEY</v>
          </cell>
        </row>
        <row r="1312">
          <cell r="A1312">
            <v>16303</v>
          </cell>
          <cell r="B1312" t="str">
            <v>N.LASALLE-FOX RIVER-OTTAWA 138KV LN</v>
          </cell>
          <cell r="C1312" t="str">
            <v>09E-ELECTRICAL ENGINEERING</v>
          </cell>
        </row>
        <row r="1313">
          <cell r="A1313">
            <v>16304</v>
          </cell>
          <cell r="B1313" t="str">
            <v>CHAMPAIGN BONDVILLE-RISING 138KV</v>
          </cell>
          <cell r="C1313" t="str">
            <v>09E-ELECTRICAL ENGINEERING</v>
          </cell>
        </row>
        <row r="1314">
          <cell r="A1314">
            <v>16305</v>
          </cell>
          <cell r="B1314" t="str">
            <v>SIOUX U1 RRI SNCR</v>
          </cell>
          <cell r="C1314" t="str">
            <v>09V-NEW GEN &amp; ENV PROJECTS</v>
          </cell>
        </row>
        <row r="1315">
          <cell r="A1315">
            <v>16306</v>
          </cell>
          <cell r="B1315" t="str">
            <v>L1502 -Recond.Wood Riv-Roxford, 4mi</v>
          </cell>
          <cell r="C1315" t="str">
            <v>09E-ELECTRICAL ENGINEERING</v>
          </cell>
        </row>
        <row r="1316">
          <cell r="A1316">
            <v>16310</v>
          </cell>
          <cell r="B1316" t="str">
            <v>1342 - RECONDUCTOR</v>
          </cell>
          <cell r="C1316" t="str">
            <v>09E-ELECTRICAL ENGINEERING</v>
          </cell>
        </row>
        <row r="1317">
          <cell r="A1317">
            <v>16313</v>
          </cell>
          <cell r="B1317" t="str">
            <v>L1526E - REPLACE STRS AND POLES</v>
          </cell>
          <cell r="C1317" t="str">
            <v>09E-ELECTRICAL ENGINEERING</v>
          </cell>
        </row>
        <row r="1318">
          <cell r="A1318">
            <v>16314</v>
          </cell>
          <cell r="B1318" t="str">
            <v>L1326 AND 1364 - NEWREROUTE</v>
          </cell>
          <cell r="C1318" t="str">
            <v>09E-ELECTRICAL ENGINEERING</v>
          </cell>
        </row>
        <row r="1319">
          <cell r="A1319">
            <v>16319</v>
          </cell>
          <cell r="B1319" t="str">
            <v>L1456 - HTO</v>
          </cell>
          <cell r="C1319" t="str">
            <v>09E-ELECTRICAL ENGINEERING</v>
          </cell>
        </row>
        <row r="1320">
          <cell r="A1320">
            <v>16321</v>
          </cell>
          <cell r="B1320" t="str">
            <v>L4511 - COLUMBIA QUARRY REROUTE</v>
          </cell>
          <cell r="C1320" t="str">
            <v>09E-ELECTRICAL ENGINEERING</v>
          </cell>
        </row>
        <row r="1321">
          <cell r="A1321">
            <v>16322</v>
          </cell>
          <cell r="B1321" t="str">
            <v>L1336 RELOC FOR CTY OF MT VERNON</v>
          </cell>
          <cell r="C1321" t="str">
            <v>09E-ELECTRICAL ENGINEERING</v>
          </cell>
        </row>
        <row r="1322">
          <cell r="A1322">
            <v>16330</v>
          </cell>
          <cell r="B1322" t="str">
            <v>REPL TELEMETRY ODORIZER SAVOY  PEPL</v>
          </cell>
          <cell r="C1322" t="str">
            <v>0G5-GAS TECH SERVICES - IPC</v>
          </cell>
        </row>
        <row r="1323">
          <cell r="A1323">
            <v>16331</v>
          </cell>
          <cell r="B1323" t="str">
            <v>REPL TELEMETRY ODORIZER ANNAWAN</v>
          </cell>
          <cell r="C1323" t="str">
            <v>0G5-GAS TECH SERVICES - IPC</v>
          </cell>
        </row>
        <row r="1324">
          <cell r="A1324">
            <v>16336</v>
          </cell>
          <cell r="B1324" t="str">
            <v>PRAIRIE ST. SYS. UPG. WRK. BPS</v>
          </cell>
          <cell r="C1324" t="str">
            <v>09E-ELECTRICAL ENGINEERING</v>
          </cell>
        </row>
        <row r="1325">
          <cell r="A1325">
            <v>16337</v>
          </cell>
          <cell r="B1325" t="str">
            <v>KEWANEE S.- INSTALL CAP BANK</v>
          </cell>
          <cell r="C1325" t="str">
            <v>09E-ELECTRICAL ENGINEERING</v>
          </cell>
        </row>
        <row r="1326">
          <cell r="A1326">
            <v>16338</v>
          </cell>
          <cell r="B1326" t="str">
            <v>S. OTTAWA SUB. - INSTALL MVARS</v>
          </cell>
          <cell r="C1326" t="str">
            <v>09E-ELECTRICAL ENGINEERING</v>
          </cell>
        </row>
        <row r="1327">
          <cell r="A1327">
            <v>16339</v>
          </cell>
          <cell r="B1327" t="str">
            <v>OGLESBY SUB. - INST CAP BANK</v>
          </cell>
          <cell r="C1327" t="str">
            <v>09E-ELECTRICAL ENGINEERING</v>
          </cell>
        </row>
        <row r="1328">
          <cell r="A1328">
            <v>16340</v>
          </cell>
          <cell r="B1328" t="str">
            <v>GALES MON BLVD SUB - BREAKER</v>
          </cell>
          <cell r="C1328" t="str">
            <v>09E-ELECTRICAL ENGINEERING</v>
          </cell>
        </row>
        <row r="1329">
          <cell r="A1329">
            <v>16342</v>
          </cell>
          <cell r="B1329" t="str">
            <v>LASALLE - INSTALL CAP BANK</v>
          </cell>
          <cell r="C1329" t="str">
            <v>09E-ELECTRICAL ENGINEERING</v>
          </cell>
        </row>
        <row r="1330">
          <cell r="A1330">
            <v>16344</v>
          </cell>
          <cell r="B1330" t="str">
            <v>SPRING VALLEY SUB - CAP BANK</v>
          </cell>
          <cell r="C1330" t="str">
            <v>09E-ELECTRICAL ENGINEERING</v>
          </cell>
        </row>
        <row r="1331">
          <cell r="A1331">
            <v>16347</v>
          </cell>
          <cell r="B1331" t="str">
            <v>BONDVILLE RT.10 -138-69,112MVA XFMR</v>
          </cell>
          <cell r="C1331" t="str">
            <v>09E-ELECTRICAL ENGINEERING</v>
          </cell>
        </row>
        <row r="1332">
          <cell r="A1332">
            <v>16348</v>
          </cell>
          <cell r="B1332" t="str">
            <v>BLOOM.BROKAW ADD STA PWR 138KV</v>
          </cell>
          <cell r="C1332" t="str">
            <v>09E-ELECTRICAL ENGINEERING</v>
          </cell>
        </row>
        <row r="1333">
          <cell r="A1333">
            <v>16349</v>
          </cell>
          <cell r="B1333" t="str">
            <v>LATHAM -STATION POWER OFF OF L1342</v>
          </cell>
          <cell r="C1333" t="str">
            <v>09E-ELECTRICAL ENGINEERING</v>
          </cell>
        </row>
        <row r="1334">
          <cell r="A1334">
            <v>16350</v>
          </cell>
          <cell r="B1334" t="str">
            <v>OTTAWA SW STA - PROCURE LAND</v>
          </cell>
          <cell r="C1334" t="str">
            <v>09E-ELECTRICAL ENGINEERING</v>
          </cell>
        </row>
        <row r="1335">
          <cell r="A1335">
            <v>16354</v>
          </cell>
          <cell r="B1335" t="str">
            <v>BLOOM WASHINGTON ST INSTALLTRF</v>
          </cell>
          <cell r="C1335" t="str">
            <v>09E-ELECTRICAL ENGINEERING</v>
          </cell>
        </row>
        <row r="1336">
          <cell r="A1336">
            <v>16355</v>
          </cell>
          <cell r="B1336" t="str">
            <v>S BELLEVILLE REPLACE TRF BK1</v>
          </cell>
          <cell r="C1336" t="str">
            <v>09E-ELECTRICAL ENGINEERING</v>
          </cell>
        </row>
        <row r="1337">
          <cell r="A1337">
            <v>16356</v>
          </cell>
          <cell r="B1337" t="str">
            <v>WEST SALEM REPLACE TRANSF #1</v>
          </cell>
          <cell r="C1337" t="str">
            <v>09E-ELECTRICAL ENGINEERING</v>
          </cell>
        </row>
        <row r="1338">
          <cell r="A1338">
            <v>16357</v>
          </cell>
          <cell r="B1338" t="str">
            <v>STEELEVILLE SUB - REPL TRF 3</v>
          </cell>
          <cell r="C1338" t="str">
            <v>09E-ELECTRICAL ENGINEERING</v>
          </cell>
        </row>
        <row r="1339">
          <cell r="A1339">
            <v>16358</v>
          </cell>
          <cell r="B1339" t="str">
            <v>Fox River-New 138-34kV Sub (Wedron)</v>
          </cell>
          <cell r="C1339" t="str">
            <v>09E-ELECTRICAL ENGINEERING</v>
          </cell>
        </row>
        <row r="1340">
          <cell r="A1340">
            <v>16360</v>
          </cell>
          <cell r="B1340" t="str">
            <v>STEELEVILLE SUB REPLACE TRF#1</v>
          </cell>
          <cell r="C1340" t="str">
            <v>09E-ELECTRICAL ENGINEERING</v>
          </cell>
        </row>
        <row r="1341">
          <cell r="A1341">
            <v>16361</v>
          </cell>
          <cell r="B1341" t="str">
            <v>BLOOMINGTON DOWNS NEW SUB</v>
          </cell>
          <cell r="C1341" t="str">
            <v>09E-ELECTRICAL ENGINEERING</v>
          </cell>
        </row>
        <row r="1342">
          <cell r="A1342">
            <v>16362</v>
          </cell>
          <cell r="B1342" t="str">
            <v>N. CHAMPAIGN - REPL. SWITCHES</v>
          </cell>
          <cell r="C1342" t="str">
            <v>09E-ELECTRICAL ENGINEERING</v>
          </cell>
        </row>
        <row r="1343">
          <cell r="A1343">
            <v>16363</v>
          </cell>
          <cell r="B1343" t="str">
            <v>NORMAL E.-INST 34KV LINE BRKR</v>
          </cell>
          <cell r="C1343" t="str">
            <v>09E-ELECTRICAL ENGINEERING</v>
          </cell>
        </row>
        <row r="1344">
          <cell r="A1344">
            <v>16364</v>
          </cell>
          <cell r="B1344" t="str">
            <v>COLLINSVILLE REESE - ADD CKT</v>
          </cell>
          <cell r="C1344" t="str">
            <v>09E-ELECTRICAL ENGINEERING</v>
          </cell>
        </row>
        <row r="1345">
          <cell r="A1345">
            <v>16365</v>
          </cell>
          <cell r="B1345" t="str">
            <v>MONMOUTH -NEW CTRL.BLDG.-REMOVE OLD</v>
          </cell>
          <cell r="C1345" t="str">
            <v>09E-ELECTRICAL ENGINEERING</v>
          </cell>
        </row>
        <row r="1346">
          <cell r="A1346">
            <v>16366</v>
          </cell>
          <cell r="B1346" t="str">
            <v>LATHAM - ADD 138KV BRKR-NEW PTS</v>
          </cell>
          <cell r="C1346" t="str">
            <v>09E-ELECTRICAL ENGINEERING</v>
          </cell>
        </row>
        <row r="1347">
          <cell r="A1347">
            <v>16367</v>
          </cell>
          <cell r="B1347" t="str">
            <v>W.LEXBGTB SUB-ADD CAP BANK</v>
          </cell>
          <cell r="C1347" t="str">
            <v>09E-ELECTRICAL ENGINEERING</v>
          </cell>
        </row>
        <row r="1348">
          <cell r="A1348">
            <v>16371</v>
          </cell>
          <cell r="B1348" t="str">
            <v>OGLESBY B010 REPLACE BRKR</v>
          </cell>
          <cell r="C1348" t="str">
            <v>09E-ELECTRICAL ENGINEERING</v>
          </cell>
        </row>
        <row r="1349">
          <cell r="A1349">
            <v>16373</v>
          </cell>
          <cell r="B1349" t="str">
            <v>COLLINSVILLE CLOVERLEAF TRF#2</v>
          </cell>
          <cell r="C1349" t="str">
            <v>09E-ELECTRICAL ENGINEERING</v>
          </cell>
        </row>
        <row r="1350">
          <cell r="A1350">
            <v>16374</v>
          </cell>
          <cell r="B1350" t="str">
            <v>Alpha Sub -Repl.ATO Scheme, Cabinet</v>
          </cell>
          <cell r="C1350" t="str">
            <v>09E-ELECTRICAL ENGINEERING</v>
          </cell>
        </row>
        <row r="1351">
          <cell r="A1351">
            <v>16375</v>
          </cell>
          <cell r="B1351" t="str">
            <v>Aledo Sub -Repl.ATO Scheme, Cabinet</v>
          </cell>
          <cell r="C1351" t="str">
            <v>09E-ELECTRICAL ENGINEERING</v>
          </cell>
        </row>
        <row r="1352">
          <cell r="A1352">
            <v>16377</v>
          </cell>
          <cell r="B1352" t="str">
            <v>S.CENTRALIA - SWITCH.DEVICE ON CAP.</v>
          </cell>
          <cell r="C1352" t="str">
            <v>09E-ELECTRICAL ENGINEERING</v>
          </cell>
        </row>
        <row r="1353">
          <cell r="A1353">
            <v>16378</v>
          </cell>
          <cell r="B1353" t="str">
            <v>E GALESBURG REPLACE SWITCH</v>
          </cell>
          <cell r="C1353" t="str">
            <v>09E-ELECTRICAL ENGINEERING</v>
          </cell>
        </row>
        <row r="1354">
          <cell r="A1354">
            <v>16379</v>
          </cell>
          <cell r="B1354" t="str">
            <v>WEDRON REPLACE 34 KV BRK 3359</v>
          </cell>
          <cell r="C1354" t="str">
            <v>09E-ELECTRICAL ENGINEERING</v>
          </cell>
        </row>
        <row r="1355">
          <cell r="A1355">
            <v>16380</v>
          </cell>
          <cell r="B1355" t="str">
            <v>NEW WEDRON AREA - PROCURE LAND</v>
          </cell>
          <cell r="C1355" t="str">
            <v>09E-ELECTRICAL ENGINEERING</v>
          </cell>
        </row>
        <row r="1356">
          <cell r="A1356">
            <v>16381</v>
          </cell>
          <cell r="B1356" t="str">
            <v>GALESBURG PWR HSE 2 BREAKERS</v>
          </cell>
          <cell r="C1356" t="str">
            <v>09E-ELECTRICAL ENGINEERING</v>
          </cell>
        </row>
        <row r="1357">
          <cell r="A1357">
            <v>16384</v>
          </cell>
          <cell r="B1357" t="str">
            <v>URBANA 5 POINTS -ADD BRKR -69KV BUS</v>
          </cell>
          <cell r="C1357" t="str">
            <v>09E-ELECTRICAL ENGINEERING</v>
          </cell>
        </row>
        <row r="1358">
          <cell r="A1358">
            <v>16388</v>
          </cell>
          <cell r="B1358" t="str">
            <v>CORTEX RELOC - HVY CONDUIT JOB</v>
          </cell>
          <cell r="C1358" t="str">
            <v>056-GERALDINE</v>
          </cell>
        </row>
        <row r="1359">
          <cell r="A1359">
            <v>16419</v>
          </cell>
          <cell r="B1359" t="str">
            <v>SIOUX CONTROL ROOM OFFICE ADDITION</v>
          </cell>
          <cell r="C1359" t="str">
            <v>09M-GENERATION PROJECT ENGINEERING</v>
          </cell>
        </row>
        <row r="1360">
          <cell r="A1360">
            <v>16420</v>
          </cell>
          <cell r="B1360" t="str">
            <v>BASELINE MERCURY TESTING - ARG</v>
          </cell>
          <cell r="C1360" t="str">
            <v>09V-NEW GEN &amp; ENV PROJECTS</v>
          </cell>
        </row>
        <row r="1361">
          <cell r="A1361">
            <v>16421</v>
          </cell>
          <cell r="B1361" t="str">
            <v>BAY - OLD HALLS FERRY WIDENING JOB</v>
          </cell>
          <cell r="C1361" t="str">
            <v>055-BERKELEY</v>
          </cell>
        </row>
        <row r="1362">
          <cell r="A1362">
            <v>16422</v>
          </cell>
          <cell r="B1362" t="str">
            <v>GROSSMAN SHREDDER CUSTOMER SUB</v>
          </cell>
          <cell r="C1362" t="str">
            <v>056-GERALDINE</v>
          </cell>
        </row>
        <row r="1363">
          <cell r="A1363">
            <v>16424</v>
          </cell>
          <cell r="B1363" t="str">
            <v>SL - MOSQUITO BOAT SITE</v>
          </cell>
          <cell r="C1363" t="str">
            <v>061-REAL ESTATE</v>
          </cell>
        </row>
        <row r="1364">
          <cell r="A1364">
            <v>16427</v>
          </cell>
          <cell r="B1364" t="str">
            <v>RT.51 IDOT</v>
          </cell>
          <cell r="C1364" t="str">
            <v>2MS-DIVISION IV SUPPORT STAFF</v>
          </cell>
        </row>
        <row r="1365">
          <cell r="A1365">
            <v>16428</v>
          </cell>
          <cell r="B1365" t="str">
            <v>RUSH ISLAND PLANT 316B COMPLIANCE</v>
          </cell>
          <cell r="C1365" t="str">
            <v>09V-NEW GEN &amp; ENV PROJECTS</v>
          </cell>
        </row>
        <row r="1366">
          <cell r="A1366">
            <v>16429</v>
          </cell>
          <cell r="B1366" t="str">
            <v>AMERENIP METER READING REPLACEMENT</v>
          </cell>
          <cell r="C1366" t="str">
            <v>204-DEV - ENERGY DELIVERY</v>
          </cell>
        </row>
        <row r="1367">
          <cell r="A1367">
            <v>16430</v>
          </cell>
          <cell r="B1367" t="str">
            <v>COFFEEN 2 GSU REPLACEMENT</v>
          </cell>
          <cell r="C1367" t="str">
            <v>09M-GENERATION PROJECT ENGINEERING</v>
          </cell>
        </row>
        <row r="1368">
          <cell r="A1368">
            <v>16431</v>
          </cell>
          <cell r="B1368" t="str">
            <v>GLENDALE -ENTRANCE MODS.-IDOT-REIMB</v>
          </cell>
          <cell r="C1368" t="str">
            <v>09E-ELECTRICAL ENGINEERING</v>
          </cell>
        </row>
        <row r="1369">
          <cell r="A1369">
            <v>16432</v>
          </cell>
          <cell r="B1369" t="str">
            <v>TAUM SAUK DIGITAL CONTROLS PHASE 2</v>
          </cell>
          <cell r="C1369" t="str">
            <v>09M-GENERATION PROJECT ENGINEERING</v>
          </cell>
        </row>
        <row r="1370">
          <cell r="A1370">
            <v>16434</v>
          </cell>
          <cell r="B1370" t="str">
            <v>SL - WEST FRANKFORT</v>
          </cell>
          <cell r="C1370" t="str">
            <v>061-REAL ESTATE</v>
          </cell>
        </row>
        <row r="1371">
          <cell r="A1371">
            <v>16435</v>
          </cell>
          <cell r="B1371" t="str">
            <v>SL - CANTON NORTHEAST</v>
          </cell>
          <cell r="C1371" t="str">
            <v>061-REAL ESTATE</v>
          </cell>
        </row>
        <row r="1372">
          <cell r="A1372">
            <v>16437</v>
          </cell>
          <cell r="B1372" t="str">
            <v>AIRPORT RUNWAY EXTENSION RELOCATION</v>
          </cell>
          <cell r="C1372" t="str">
            <v>4BE-BENTON</v>
          </cell>
        </row>
        <row r="1373">
          <cell r="A1373">
            <v>16438</v>
          </cell>
          <cell r="B1373" t="str">
            <v>SL - ADAMS STREET SUB</v>
          </cell>
          <cell r="C1373" t="str">
            <v>061-REAL ESTATE</v>
          </cell>
        </row>
        <row r="1374">
          <cell r="A1374">
            <v>16439</v>
          </cell>
          <cell r="B1374" t="str">
            <v>METROLINK MO-03 - NEW TRACTION STAT</v>
          </cell>
          <cell r="C1374" t="str">
            <v>036-UNDERGROUND</v>
          </cell>
        </row>
        <row r="1375">
          <cell r="A1375">
            <v>16448</v>
          </cell>
          <cell r="B1375" t="str">
            <v>SL - ABINGTON SUB</v>
          </cell>
          <cell r="C1375" t="str">
            <v>061-REAL ESTATE</v>
          </cell>
        </row>
        <row r="1376">
          <cell r="A1376">
            <v>16449</v>
          </cell>
          <cell r="B1376" t="str">
            <v>SL - LYNCH AVE.</v>
          </cell>
          <cell r="C1376" t="str">
            <v>061-REAL ESTATE</v>
          </cell>
        </row>
        <row r="1377">
          <cell r="A1377">
            <v>16453</v>
          </cell>
          <cell r="B1377" t="str">
            <v>STODDARD-RELAY MODS. FOR AECI-REIMB</v>
          </cell>
          <cell r="C1377" t="str">
            <v>09E-ELECTRICAL ENGINEERING</v>
          </cell>
        </row>
        <row r="1378">
          <cell r="A1378">
            <v>16455</v>
          </cell>
          <cell r="B1378" t="str">
            <v>RT 45-ELDORADO</v>
          </cell>
          <cell r="C1378" t="str">
            <v>4MS-DIVISION VII SUPPORT STAFF</v>
          </cell>
        </row>
        <row r="1379">
          <cell r="A1379">
            <v>16456</v>
          </cell>
          <cell r="B1379" t="str">
            <v>RUSH BARGE UNLOADER SYSTEM IMPRV.</v>
          </cell>
          <cell r="C1379" t="str">
            <v>09M-GENERATION PROJECT ENGINEERING</v>
          </cell>
        </row>
        <row r="1380">
          <cell r="A1380">
            <v>16459</v>
          </cell>
          <cell r="B1380" t="str">
            <v>EDWARDS U1 DCS CONTROLS</v>
          </cell>
          <cell r="C1380" t="str">
            <v>09M-GENERATION PROJECT ENGINEERING</v>
          </cell>
        </row>
        <row r="1381">
          <cell r="A1381">
            <v>16462</v>
          </cell>
          <cell r="B1381" t="str">
            <v>HUTSONVILLE U1&amp;2 BOILER ROOF REPL</v>
          </cell>
          <cell r="C1381" t="str">
            <v>09M-GENERATION PROJECT ENGINEERING</v>
          </cell>
        </row>
        <row r="1382">
          <cell r="A1382">
            <v>16470</v>
          </cell>
          <cell r="B1382" t="str">
            <v>SIOUX-ROXFORD-RECOND-CIP PORTION</v>
          </cell>
          <cell r="C1382" t="str">
            <v>09E-ELECTRICAL ENGINEERING</v>
          </cell>
        </row>
        <row r="1383">
          <cell r="A1383">
            <v>16472</v>
          </cell>
          <cell r="B1383" t="str">
            <v>EDWARDS U2 OFA STUDY</v>
          </cell>
          <cell r="C1383" t="str">
            <v>09V-NEW GEN &amp; ENV PROJECTS</v>
          </cell>
        </row>
        <row r="1384">
          <cell r="A1384">
            <v>16473</v>
          </cell>
          <cell r="B1384" t="str">
            <v>SIOUX 1 INTELLIGENT SOOTBLOWING</v>
          </cell>
          <cell r="C1384" t="str">
            <v>09M-GENERATION PROJECT ENGINEERING</v>
          </cell>
        </row>
        <row r="1385">
          <cell r="A1385">
            <v>16478</v>
          </cell>
          <cell r="B1385" t="str">
            <v>EDWARDS U1 &amp; U2 SPARE GSU</v>
          </cell>
          <cell r="C1385" t="str">
            <v>09M-GENERATION PROJECT ENGINEERING</v>
          </cell>
        </row>
        <row r="1386">
          <cell r="A1386">
            <v>16479</v>
          </cell>
          <cell r="B1386" t="str">
            <v>EDWARDS 3,MEREDOSIA 3 &amp; 4 SPARE GSU</v>
          </cell>
          <cell r="C1386" t="str">
            <v>09M-GENERATION PROJECT ENGINEERING</v>
          </cell>
        </row>
        <row r="1387">
          <cell r="A1387">
            <v>16480</v>
          </cell>
          <cell r="B1387" t="str">
            <v>TAUM SAUK SPARE GSU</v>
          </cell>
          <cell r="C1387" t="str">
            <v>09M-GENERATION PROJECT ENGINEERING</v>
          </cell>
        </row>
        <row r="1388">
          <cell r="A1388">
            <v>16481</v>
          </cell>
          <cell r="B1388" t="str">
            <v>COFFEEN, NEWT, DUCK CRK 1 SPARE GSU</v>
          </cell>
          <cell r="C1388" t="str">
            <v>09M-GENERATION PROJECT ENGINEERING</v>
          </cell>
        </row>
        <row r="1389">
          <cell r="A1389">
            <v>16489</v>
          </cell>
          <cell r="B1389" t="str">
            <v>DUCK CREEK  RAIL SPUR - GAS RELOC</v>
          </cell>
          <cell r="C1389" t="str">
            <v>0G1-GAS TECH SERVICES - CIP</v>
          </cell>
        </row>
        <row r="1390">
          <cell r="A1390">
            <v>16492</v>
          </cell>
          <cell r="B1390" t="str">
            <v>COFFEEN MISO POWER FACTOR CHANGES</v>
          </cell>
          <cell r="C1390" t="str">
            <v>09M-GENERATION PROJECT ENGINEERING</v>
          </cell>
        </row>
        <row r="1391">
          <cell r="A1391">
            <v>16493</v>
          </cell>
          <cell r="B1391" t="str">
            <v>NEWTON MISO POWER FACTOR REQMT</v>
          </cell>
          <cell r="C1391" t="str">
            <v>09M-GENERATION PROJECT ENGINEERING</v>
          </cell>
        </row>
        <row r="1392">
          <cell r="A1392">
            <v>16496</v>
          </cell>
          <cell r="B1392" t="str">
            <v>REPLACE HILLSBORO GS REBOILER SKID</v>
          </cell>
          <cell r="C1392" t="str">
            <v>0G6-GAS STORAGE</v>
          </cell>
        </row>
        <row r="1393">
          <cell r="A1393">
            <v>16503</v>
          </cell>
          <cell r="B1393" t="str">
            <v>LABADIE CIRC WATER SYSTEM</v>
          </cell>
          <cell r="C1393" t="str">
            <v>09M-GENERATION PROJECT ENGINEERING</v>
          </cell>
        </row>
        <row r="1394">
          <cell r="A1394">
            <v>16505</v>
          </cell>
          <cell r="B1394" t="str">
            <v>SCOTT AVENUE RELOCATION</v>
          </cell>
          <cell r="C1394" t="str">
            <v>056-GERALDINE</v>
          </cell>
        </row>
        <row r="1395">
          <cell r="A1395">
            <v>16506</v>
          </cell>
          <cell r="B1395" t="str">
            <v>WEATHERBY PLACE SUBDIVISION</v>
          </cell>
          <cell r="C1395" t="str">
            <v>055-BERKELEY</v>
          </cell>
        </row>
        <row r="1396">
          <cell r="A1396">
            <v>16507</v>
          </cell>
          <cell r="B1396" t="str">
            <v>POPLAR - REPL. 138-13.8KV XFMR #1</v>
          </cell>
          <cell r="C1396" t="str">
            <v>09E-ELECTRICAL ENGINEERING</v>
          </cell>
        </row>
        <row r="1397">
          <cell r="A1397">
            <v>16508</v>
          </cell>
          <cell r="B1397" t="str">
            <v>DUCK CREEK -REPL. 2-345KV ATB BRKRS</v>
          </cell>
          <cell r="C1397" t="str">
            <v>09E-ELECTRICAL ENGINEERING</v>
          </cell>
        </row>
        <row r="1398">
          <cell r="A1398">
            <v>16516</v>
          </cell>
          <cell r="B1398" t="str">
            <v>Sioux Conveyor Catwalks</v>
          </cell>
          <cell r="C1398" t="str">
            <v>09M-GENERATION PROJECT ENGINEERING</v>
          </cell>
        </row>
        <row r="1399">
          <cell r="A1399">
            <v>16520</v>
          </cell>
          <cell r="B1399" t="str">
            <v>RESIDENCE INN LINE EXTENSION - COND</v>
          </cell>
          <cell r="C1399" t="str">
            <v>036-UNDERGROUND</v>
          </cell>
        </row>
        <row r="1400">
          <cell r="A1400">
            <v>16521</v>
          </cell>
          <cell r="B1400" t="str">
            <v>N. CHAMPAIGN-OIL SPILL CONTAINMENT</v>
          </cell>
          <cell r="C1400" t="str">
            <v>09E-ELECTRICAL ENGINEERING</v>
          </cell>
        </row>
        <row r="1401">
          <cell r="A1401">
            <v>16522</v>
          </cell>
          <cell r="B1401" t="str">
            <v>CHAMPAIGN OAK ST. OIL SPILL CONT</v>
          </cell>
          <cell r="C1401" t="str">
            <v>09E-ELECTRICAL ENGINEERING</v>
          </cell>
        </row>
        <row r="1402">
          <cell r="A1402">
            <v>16527</v>
          </cell>
          <cell r="B1402" t="str">
            <v>TAUM SAUK REPL AIR COMPRESSOR &amp; BLD</v>
          </cell>
          <cell r="C1402" t="str">
            <v>09M-GENERATION PROJECT ENGINEERING</v>
          </cell>
        </row>
        <row r="1403">
          <cell r="A1403">
            <v>16532</v>
          </cell>
          <cell r="B1403" t="str">
            <v>BELLEFONTAINE ESTATES</v>
          </cell>
          <cell r="C1403" t="str">
            <v>055-BERKELEY</v>
          </cell>
        </row>
        <row r="1404">
          <cell r="A1404">
            <v>16533</v>
          </cell>
          <cell r="B1404" t="str">
            <v>IT - REPLACE U1 ECONOMIZER</v>
          </cell>
          <cell r="C1404" t="str">
            <v>09M-GENERATION PROJECT ENGINEERING</v>
          </cell>
        </row>
        <row r="1405">
          <cell r="A1405">
            <v>16534</v>
          </cell>
          <cell r="B1405" t="str">
            <v>IT - REPLACE U1 SUPERHEATER</v>
          </cell>
          <cell r="C1405" t="str">
            <v>09M-GENERATION PROJECT ENGINEERING</v>
          </cell>
        </row>
        <row r="1406">
          <cell r="A1406">
            <v>16535</v>
          </cell>
          <cell r="B1406" t="str">
            <v>IT - REPLACE U2 ECONOMIZER</v>
          </cell>
          <cell r="C1406" t="str">
            <v>09M-GENERATION PROJECT ENGINEERING</v>
          </cell>
        </row>
        <row r="1407">
          <cell r="A1407">
            <v>16536</v>
          </cell>
          <cell r="B1407" t="str">
            <v>IT - REPLACE U2 SUPERHEATER</v>
          </cell>
          <cell r="C1407" t="str">
            <v>09M-GENERATION PROJECT ENGINEERING</v>
          </cell>
        </row>
        <row r="1408">
          <cell r="A1408">
            <v>16543</v>
          </cell>
          <cell r="B1408" t="str">
            <v>CARLE WEST - CAPACITY UPGR.-22.4MVA</v>
          </cell>
          <cell r="C1408" t="str">
            <v>09E-ELECTRICAL ENGINEERING</v>
          </cell>
        </row>
        <row r="1409">
          <cell r="A1409">
            <v>16544</v>
          </cell>
          <cell r="B1409" t="str">
            <v>CARLE EAST - CAPACITY UPGR.-22.4MVA</v>
          </cell>
          <cell r="C1409" t="str">
            <v>09E-ELECTRICAL ENGINEERING</v>
          </cell>
        </row>
        <row r="1410">
          <cell r="A1410">
            <v>16545</v>
          </cell>
          <cell r="B1410" t="str">
            <v>CARLE - SPARE XFMR, 22.4MVA</v>
          </cell>
          <cell r="C1410" t="str">
            <v>09E-ELECTRICAL ENGINEERING</v>
          </cell>
        </row>
        <row r="1411">
          <cell r="A1411">
            <v>16547</v>
          </cell>
          <cell r="B1411" t="str">
            <v>LITCHFIELD-OIL SPILL CONTAINMENT</v>
          </cell>
          <cell r="C1411" t="str">
            <v>09E-ELECTRICAL ENGINEERING</v>
          </cell>
        </row>
        <row r="1412">
          <cell r="A1412">
            <v>16548</v>
          </cell>
          <cell r="B1412" t="str">
            <v>E. COLLINSVILLE-OIL SPILL CONTAIN</v>
          </cell>
          <cell r="C1412" t="str">
            <v>09E-ELECTRICAL ENGINEERING</v>
          </cell>
        </row>
        <row r="1413">
          <cell r="A1413">
            <v>16557</v>
          </cell>
          <cell r="B1413" t="str">
            <v>PROJECT PG</v>
          </cell>
          <cell r="C1413" t="str">
            <v>012-CORPORATE PLANNING</v>
          </cell>
        </row>
        <row r="1414">
          <cell r="A1414">
            <v>16558</v>
          </cell>
          <cell r="B1414" t="str">
            <v>SL - WALLACE SUB</v>
          </cell>
          <cell r="C1414" t="str">
            <v>061-REAL ESTATE</v>
          </cell>
        </row>
        <row r="1415">
          <cell r="A1415">
            <v>16559</v>
          </cell>
          <cell r="B1415" t="str">
            <v>METROLINK SKINKER STA.-2ND 34KV SUP</v>
          </cell>
          <cell r="C1415" t="str">
            <v>056-GERALDINE</v>
          </cell>
        </row>
        <row r="1416">
          <cell r="A1416">
            <v>16560</v>
          </cell>
          <cell r="B1416" t="str">
            <v>METROLINK BIG BEND STA. SECOND FEED</v>
          </cell>
          <cell r="C1416" t="str">
            <v>056-GERALDINE</v>
          </cell>
        </row>
        <row r="1417">
          <cell r="A1417">
            <v>16561</v>
          </cell>
          <cell r="B1417" t="str">
            <v>AVISTON OIL SPILL CONTAINMENT</v>
          </cell>
          <cell r="C1417" t="str">
            <v>09E-ELECTRICAL ENGINEERING</v>
          </cell>
        </row>
        <row r="1418">
          <cell r="A1418">
            <v>16562</v>
          </cell>
          <cell r="B1418" t="str">
            <v>DUPO FERRY RD OIL SPILL CONTAINMENT</v>
          </cell>
          <cell r="C1418" t="str">
            <v>09E-ELECTRICAL ENGINEERING</v>
          </cell>
        </row>
        <row r="1419">
          <cell r="A1419">
            <v>16563</v>
          </cell>
          <cell r="B1419" t="str">
            <v>GRANITE CITY 23RD ST OIL SPILL CONT</v>
          </cell>
          <cell r="C1419" t="str">
            <v>09E-ELECTRICAL ENGINEERING</v>
          </cell>
        </row>
        <row r="1420">
          <cell r="A1420">
            <v>16564</v>
          </cell>
          <cell r="B1420" t="str">
            <v>STALLINGS OIL SPILL CONTAINMENT</v>
          </cell>
          <cell r="C1420" t="str">
            <v>09E-ELECTRICAL ENGINEERING</v>
          </cell>
        </row>
        <row r="1421">
          <cell r="A1421">
            <v>16565</v>
          </cell>
          <cell r="B1421" t="str">
            <v>WILDWOOD - REPLACE FAILED XFMR</v>
          </cell>
          <cell r="C1421" t="str">
            <v>09E-ELECTRICAL ENGINEERING</v>
          </cell>
        </row>
        <row r="1422">
          <cell r="A1422">
            <v>16566</v>
          </cell>
          <cell r="B1422" t="str">
            <v>CTG REMOTE MONITORING &amp; AUTOMATION</v>
          </cell>
          <cell r="C1422" t="str">
            <v>09M-GENERATION PROJECT ENGINEERING</v>
          </cell>
        </row>
        <row r="1423">
          <cell r="A1423">
            <v>16567</v>
          </cell>
          <cell r="B1423" t="str">
            <v>REPLACE FACILITY METERS TILDEN</v>
          </cell>
          <cell r="C1423" t="str">
            <v>0G6-GAS STORAGE</v>
          </cell>
        </row>
        <row r="1424">
          <cell r="A1424">
            <v>16570</v>
          </cell>
          <cell r="B1424" t="str">
            <v>UPGRADE NEWTON FOR 140-CAR TRAINS</v>
          </cell>
          <cell r="C1424" t="str">
            <v>087-FOSSIL FUELS</v>
          </cell>
        </row>
        <row r="1425">
          <cell r="A1425">
            <v>16574</v>
          </cell>
          <cell r="B1425" t="str">
            <v>MASON - SECURITY IMPROVEMENTS</v>
          </cell>
          <cell r="C1425" t="str">
            <v>09E-ELECTRICAL ENGINEERING</v>
          </cell>
        </row>
        <row r="1426">
          <cell r="A1426">
            <v>16575</v>
          </cell>
          <cell r="B1426" t="str">
            <v>CAHOKIA - SECURITY IMPROVEMENTS</v>
          </cell>
          <cell r="C1426" t="str">
            <v>09E-ELECTRICAL ENGINEERING</v>
          </cell>
        </row>
        <row r="1427">
          <cell r="A1427">
            <v>16577</v>
          </cell>
          <cell r="B1427" t="str">
            <v>PROJECT PORCUPINE</v>
          </cell>
          <cell r="C1427" t="str">
            <v>012-CORPORATE PLANNING</v>
          </cell>
        </row>
        <row r="1428">
          <cell r="A1428">
            <v>16581</v>
          </cell>
          <cell r="B1428" t="str">
            <v xml:space="preserve">ELGIN - INSTL COMB DYN PROT SYS </v>
          </cell>
          <cell r="C1428" t="str">
            <v>355-ELGIN CTG</v>
          </cell>
        </row>
        <row r="1429">
          <cell r="A1429">
            <v>16582</v>
          </cell>
          <cell r="B1429" t="str">
            <v>KINMUNDY INSTL COMB DYN PROT SYS</v>
          </cell>
          <cell r="C1429" t="str">
            <v>351-KINMUNDY CTG</v>
          </cell>
        </row>
        <row r="1430">
          <cell r="A1430">
            <v>16583</v>
          </cell>
          <cell r="B1430" t="str">
            <v>KINMUNDY CEMS DAHS UPGRADE</v>
          </cell>
          <cell r="C1430" t="str">
            <v>351-KINMUNDY CTG</v>
          </cell>
        </row>
        <row r="1431">
          <cell r="A1431">
            <v>16584</v>
          </cell>
          <cell r="B1431" t="str">
            <v>PINCKNEYVILLE CEMS DAHS UPGRADE</v>
          </cell>
          <cell r="C1431" t="str">
            <v>352-PINCKNEYVILLE CTG</v>
          </cell>
        </row>
        <row r="1432">
          <cell r="A1432">
            <v>16585</v>
          </cell>
          <cell r="B1432" t="str">
            <v>COLUMBIA CEMS DAHS UPGRADE</v>
          </cell>
          <cell r="C1432" t="str">
            <v>356-COLUMBIA CTG</v>
          </cell>
        </row>
        <row r="1433">
          <cell r="A1433">
            <v>16587</v>
          </cell>
          <cell r="B1433" t="str">
            <v>GIBSON CITY INSTL COMB DYN PROT SYS</v>
          </cell>
          <cell r="C1433" t="str">
            <v>350-GIBSON CTG</v>
          </cell>
        </row>
        <row r="1434">
          <cell r="A1434">
            <v>16588</v>
          </cell>
          <cell r="B1434" t="str">
            <v>GIBSON CITY CEMS DAHS UPGRADE</v>
          </cell>
          <cell r="C1434" t="str">
            <v>350-GIBSON CTG</v>
          </cell>
        </row>
        <row r="1435">
          <cell r="A1435">
            <v>16589</v>
          </cell>
          <cell r="B1435" t="str">
            <v>MERAMEC-REPL. 138KV RLY (TAMS 05)</v>
          </cell>
          <cell r="C1435" t="str">
            <v>09E-ELECTRICAL ENGINEERING</v>
          </cell>
        </row>
        <row r="1436">
          <cell r="A1436">
            <v>16590</v>
          </cell>
          <cell r="B1436" t="str">
            <v>CAHOKIA-REPL. 138KV RLY (TAMS 05)</v>
          </cell>
          <cell r="C1436" t="str">
            <v>09E-ELECTRICAL ENGINEERING</v>
          </cell>
        </row>
        <row r="1437">
          <cell r="A1437">
            <v>16609</v>
          </cell>
          <cell r="B1437" t="str">
            <v>WAGNER MOTOR - REL 4 IN TRANS MAIN</v>
          </cell>
          <cell r="C1437" t="str">
            <v>0G5-GAS TECH SERVICES - IPC</v>
          </cell>
        </row>
        <row r="1438">
          <cell r="A1438">
            <v>16610</v>
          </cell>
          <cell r="B1438" t="str">
            <v>IPAVA SOUTH - 138KV TERMINAL UPGR.</v>
          </cell>
          <cell r="C1438" t="str">
            <v>09E-ELECTRICAL ENGINEERING</v>
          </cell>
        </row>
        <row r="1439">
          <cell r="A1439">
            <v>16626</v>
          </cell>
          <cell r="B1439" t="str">
            <v>SIOUX - UTILITY WASTE LANDFILL</v>
          </cell>
          <cell r="C1439" t="str">
            <v>09V-NEW GEN &amp; ENV PROJECTS</v>
          </cell>
        </row>
        <row r="1440">
          <cell r="A1440">
            <v>16628</v>
          </cell>
          <cell r="B1440" t="str">
            <v>COFFEEN - UTILITY WASTE LANDFILL</v>
          </cell>
          <cell r="C1440" t="str">
            <v>09M-GENERATION PROJECT ENGINEERING</v>
          </cell>
        </row>
        <row r="1441">
          <cell r="A1441">
            <v>16632</v>
          </cell>
          <cell r="B1441" t="str">
            <v>Sulfur Pumps (6 pumps motors piping</v>
          </cell>
          <cell r="C1441" t="str">
            <v>62A-EDWARDS PLANT GENERAL</v>
          </cell>
        </row>
        <row r="1442">
          <cell r="A1442">
            <v>16639</v>
          </cell>
          <cell r="B1442" t="str">
            <v>DUCK CREEK U1  HP-IP TURBINE REPL</v>
          </cell>
          <cell r="C1442" t="str">
            <v>09M-GENERATION PROJECT ENGINEERING</v>
          </cell>
        </row>
        <row r="1443">
          <cell r="A1443">
            <v>16645</v>
          </cell>
          <cell r="B1443" t="str">
            <v>MARYLAND HEIGHTS</v>
          </cell>
          <cell r="C1443" t="str">
            <v>027-DORSETT</v>
          </cell>
        </row>
        <row r="1444">
          <cell r="A1444">
            <v>16650</v>
          </cell>
          <cell r="B1444" t="str">
            <v>OSAGE - D.O. OPTIMIZATION SYSTEM</v>
          </cell>
          <cell r="C1444" t="str">
            <v>44A-OSAGE PLANT GENERAL &amp; BUD</v>
          </cell>
        </row>
        <row r="1445">
          <cell r="A1445">
            <v>16653</v>
          </cell>
          <cell r="B1445" t="str">
            <v>BALDWIN - SWYD. UPGRADES - Phase 2</v>
          </cell>
          <cell r="C1445" t="str">
            <v>09E-ELECTRICAL ENGINEERING</v>
          </cell>
        </row>
        <row r="1446">
          <cell r="A1446">
            <v>16654</v>
          </cell>
          <cell r="B1446" t="str">
            <v>Baldwin - Swyd. Upgrades - Phase 3</v>
          </cell>
          <cell r="C1446" t="str">
            <v>09E-ELECTRICAL ENGINEERING</v>
          </cell>
        </row>
        <row r="1447">
          <cell r="A1447">
            <v>16655</v>
          </cell>
          <cell r="B1447" t="str">
            <v>Prairie State Swyd</v>
          </cell>
          <cell r="C1447" t="str">
            <v>09E-ELECTRICAL ENGINEERING</v>
          </cell>
        </row>
        <row r="1448">
          <cell r="A1448">
            <v>16656</v>
          </cell>
          <cell r="B1448" t="str">
            <v>PRAIRIE STATES - REMOTE RELAY UPGR.</v>
          </cell>
          <cell r="C1448" t="str">
            <v>09E-ELECTRICAL ENGINEERING</v>
          </cell>
        </row>
        <row r="1449">
          <cell r="A1449">
            <v>16657</v>
          </cell>
          <cell r="B1449" t="str">
            <v>RUSH ISLAND TO IPC 345KV RIV. XING</v>
          </cell>
          <cell r="C1449" t="str">
            <v>09E-ELECTRICAL ENGINEERING</v>
          </cell>
        </row>
        <row r="1450">
          <cell r="A1450">
            <v>16684</v>
          </cell>
          <cell r="B1450" t="str">
            <v>Coffeen 2 HPIP Turbine Retrofit</v>
          </cell>
          <cell r="C1450" t="str">
            <v>09M-GENERATION PROJECT ENGINEERING</v>
          </cell>
        </row>
        <row r="1451">
          <cell r="A1451">
            <v>16688</v>
          </cell>
          <cell r="B1451" t="str">
            <v>U1 Deluge System Valves &amp; Controls</v>
          </cell>
          <cell r="C1451" t="str">
            <v>CFG-COFFEEN - GENERAL</v>
          </cell>
        </row>
        <row r="1452">
          <cell r="A1452">
            <v>16690</v>
          </cell>
          <cell r="B1452" t="str">
            <v>SIOUX U2 STEAM COIL AIR HEATER VENT</v>
          </cell>
          <cell r="C1452" t="str">
            <v>09M-GENERATION PROJECT ENGINEERING</v>
          </cell>
        </row>
        <row r="1453">
          <cell r="A1453">
            <v>16697</v>
          </cell>
          <cell r="B1453" t="str">
            <v>*Tripper Room Vent System Install</v>
          </cell>
          <cell r="C1453" t="str">
            <v>CFG-COFFEEN - GENERAL</v>
          </cell>
        </row>
        <row r="1454">
          <cell r="A1454">
            <v>16699</v>
          </cell>
          <cell r="B1454" t="str">
            <v>Duck Creek - Replace CEMS Equipment</v>
          </cell>
          <cell r="C1454" t="str">
            <v>61A-DUCK CREEK PLANT GENERAL</v>
          </cell>
        </row>
        <row r="1455">
          <cell r="A1455">
            <v>16721</v>
          </cell>
          <cell r="B1455" t="str">
            <v>OAK WOODS SUBD-PRICE CO. (OH)</v>
          </cell>
          <cell r="C1455" t="str">
            <v>070-JEFFERSON</v>
          </cell>
        </row>
        <row r="1456">
          <cell r="A1456">
            <v>16724</v>
          </cell>
          <cell r="B1456" t="str">
            <v>COFFEEN - 480V CRUSHER BUS A AND B</v>
          </cell>
          <cell r="C1456" t="str">
            <v>09M-GENERATION PROJECT ENGINEERING</v>
          </cell>
        </row>
        <row r="1457">
          <cell r="A1457">
            <v>16725</v>
          </cell>
          <cell r="B1457" t="str">
            <v>COFFEEN - 480V BUS LCA AND LCB REPL</v>
          </cell>
          <cell r="C1457" t="str">
            <v>09M-GENERATION PROJECT ENGINEERING</v>
          </cell>
        </row>
        <row r="1458">
          <cell r="A1458">
            <v>16733</v>
          </cell>
          <cell r="B1458" t="str">
            <v>U2 Vertical Reheat Pendants Replace</v>
          </cell>
          <cell r="C1458" t="str">
            <v>09M-GENERATION PROJECT ENGINEERING</v>
          </cell>
        </row>
        <row r="1459">
          <cell r="A1459">
            <v>16736</v>
          </cell>
          <cell r="B1459" t="str">
            <v>SL - TUSCOLA CTG SITE</v>
          </cell>
          <cell r="C1459" t="str">
            <v>061-REAL ESTATE</v>
          </cell>
        </row>
        <row r="1460">
          <cell r="A1460">
            <v>16744</v>
          </cell>
          <cell r="B1460" t="str">
            <v>MERAMEC - U3 CNTRL RM HVAC UPGRADE</v>
          </cell>
          <cell r="C1460" t="str">
            <v>09M-GENERATION PROJECT ENGINEERING</v>
          </cell>
        </row>
        <row r="1461">
          <cell r="A1461">
            <v>16749</v>
          </cell>
          <cell r="B1461" t="str">
            <v>COFFEEN REPL 4KV BREAKERS BUS C-F</v>
          </cell>
          <cell r="C1461" t="str">
            <v>09M-GENERATION PROJECT ENGINEERING</v>
          </cell>
        </row>
        <row r="1462">
          <cell r="A1462">
            <v>16757</v>
          </cell>
          <cell r="B1462" t="str">
            <v>JOACHIM - 138KV OUTLETS, INCL. ROW</v>
          </cell>
          <cell r="C1462" t="str">
            <v>09E-ELECTRICAL ENGINEERING</v>
          </cell>
        </row>
        <row r="1463">
          <cell r="A1463">
            <v>16758</v>
          </cell>
          <cell r="B1463" t="str">
            <v>COFFEEN U1 CYCLONE REPLACEMENT</v>
          </cell>
          <cell r="C1463" t="str">
            <v>09M-GENERATION PROJECT ENGINEERING</v>
          </cell>
        </row>
        <row r="1464">
          <cell r="A1464">
            <v>16759</v>
          </cell>
          <cell r="B1464" t="str">
            <v>ALBION, ASHLAND OIL-UPG SUB CUST</v>
          </cell>
          <cell r="C1464" t="str">
            <v>09E-ELECTRICAL ENGINEERING</v>
          </cell>
        </row>
        <row r="1465">
          <cell r="A1465">
            <v>16761</v>
          </cell>
          <cell r="B1465" t="str">
            <v>DUCK CREEK UNIT 1  CONTROLS UPGRADE</v>
          </cell>
          <cell r="C1465" t="str">
            <v>09M-GENERATION PROJECT ENGINEERING</v>
          </cell>
        </row>
        <row r="1466">
          <cell r="A1466">
            <v>16763</v>
          </cell>
          <cell r="B1466" t="str">
            <v>UC FUEL FLEX PHASE I</v>
          </cell>
          <cell r="C1466" t="str">
            <v>145-HUTSONVILLE</v>
          </cell>
        </row>
        <row r="1467">
          <cell r="A1467">
            <v>16764</v>
          </cell>
          <cell r="B1467" t="str">
            <v>MARKET AT MCKNIGHT - 2</v>
          </cell>
          <cell r="C1467" t="str">
            <v>027-DORSETT</v>
          </cell>
        </row>
        <row r="1468">
          <cell r="A1468">
            <v>16775</v>
          </cell>
          <cell r="B1468" t="str">
            <v>LBD, MER, DC, COF SPARE EXCITER</v>
          </cell>
          <cell r="C1468" t="str">
            <v>09M-GENERATION PROJECT ENGINEERING</v>
          </cell>
        </row>
        <row r="1469">
          <cell r="A1469">
            <v>16788</v>
          </cell>
          <cell r="B1469" t="str">
            <v>MEREDOSIA UNIT 3 EMULATOR</v>
          </cell>
          <cell r="C1469" t="str">
            <v>40E-GENERATION TRAIN &amp; DEV SRVCS</v>
          </cell>
        </row>
        <row r="1470">
          <cell r="A1470">
            <v>16789</v>
          </cell>
          <cell r="B1470" t="str">
            <v>GTS EMULATOR INSTALLATION</v>
          </cell>
          <cell r="C1470" t="str">
            <v>40E-GENERATION TRAIN &amp; DEV SRVCS</v>
          </cell>
        </row>
        <row r="1471">
          <cell r="A1471">
            <v>16797</v>
          </cell>
          <cell r="B1471" t="str">
            <v>PERFORMANCE MONITORING CENTER</v>
          </cell>
          <cell r="C1471" t="str">
            <v>09M-GENERATION PROJECT ENGINEERING</v>
          </cell>
        </row>
        <row r="1472">
          <cell r="A1472">
            <v>16801</v>
          </cell>
          <cell r="B1472" t="str">
            <v>SIOUX U 1 FACE COIL VENT RPL</v>
          </cell>
          <cell r="C1472" t="str">
            <v>09M-GENERATION PROJECT ENGINEERING</v>
          </cell>
        </row>
        <row r="1473">
          <cell r="A1473">
            <v>16802</v>
          </cell>
          <cell r="B1473" t="str">
            <v>MUELLER PLT #4 - UPGR. BANK 4 XFMR</v>
          </cell>
          <cell r="C1473" t="str">
            <v>09E-ELECTRICAL ENGINEERING</v>
          </cell>
        </row>
        <row r="1474">
          <cell r="A1474">
            <v>16817</v>
          </cell>
          <cell r="B1474" t="str">
            <v>GRANITEVILLE 475-51 RECONDUCTOR 336</v>
          </cell>
          <cell r="C1474" t="str">
            <v>0PT-POTOSI</v>
          </cell>
        </row>
        <row r="1475">
          <cell r="A1475">
            <v>16818</v>
          </cell>
          <cell r="B1475" t="str">
            <v>POTOSI 484-52 RECONDUCTOR HWY F</v>
          </cell>
          <cell r="C1475" t="str">
            <v>0PT-POTOSI</v>
          </cell>
        </row>
        <row r="1476">
          <cell r="A1476">
            <v>16819</v>
          </cell>
          <cell r="B1476" t="str">
            <v>ESTR-73 - RECONDUCTOR BELLEFOUNTAIN</v>
          </cell>
          <cell r="C1476" t="str">
            <v>0CS-SEMO SUPPORT STAFF</v>
          </cell>
        </row>
        <row r="1477">
          <cell r="A1477">
            <v>16821</v>
          </cell>
          <cell r="B1477" t="str">
            <v>LEADINGTON 557-53 RECONDUCTOR</v>
          </cell>
          <cell r="C1477" t="str">
            <v>071-ST. FRANCOIS</v>
          </cell>
        </row>
        <row r="1478">
          <cell r="A1478">
            <v>16822</v>
          </cell>
          <cell r="B1478" t="str">
            <v>GTS ST. LOUIS TECH SUPPORT CENTER</v>
          </cell>
          <cell r="C1478" t="str">
            <v>09M-GENERATION PROJECT ENGINEERING</v>
          </cell>
        </row>
        <row r="1479">
          <cell r="A1479">
            <v>16825</v>
          </cell>
          <cell r="B1479" t="str">
            <v>NASH RD 803-52 RECONDUCTOR 556</v>
          </cell>
          <cell r="C1479" t="str">
            <v>0CG-CAPE GIRARDEAU</v>
          </cell>
        </row>
        <row r="1480">
          <cell r="A1480">
            <v>16827</v>
          </cell>
          <cell r="B1480" t="str">
            <v>LABADIE OLD FIRE PUMP REMOVAL</v>
          </cell>
          <cell r="C1480" t="str">
            <v>09M-GENERATION PROJECT ENGINEERING</v>
          </cell>
        </row>
        <row r="1481">
          <cell r="A1481">
            <v>16828</v>
          </cell>
          <cell r="B1481" t="str">
            <v>WOOD RIV.-VENICE 138KV RECOND.L1452</v>
          </cell>
          <cell r="C1481" t="str">
            <v>09E-ELECTRICAL ENGINEERING</v>
          </cell>
        </row>
        <row r="1482">
          <cell r="A1482">
            <v>16831</v>
          </cell>
          <cell r="B1482" t="str">
            <v>L1526 Tap for PSGC Construction Pow</v>
          </cell>
          <cell r="C1482" t="str">
            <v>09E-ELECTRICAL ENGINEERING</v>
          </cell>
        </row>
        <row r="1483">
          <cell r="A1483">
            <v>16832</v>
          </cell>
          <cell r="B1483" t="str">
            <v>SL - BAGNELL DAM LAND</v>
          </cell>
          <cell r="C1483" t="str">
            <v>061-REAL ESTATE</v>
          </cell>
        </row>
        <row r="1484">
          <cell r="A1484">
            <v>16835</v>
          </cell>
          <cell r="B1484" t="str">
            <v>COFFEEN U1 GSU REPLACEMENT</v>
          </cell>
          <cell r="C1484" t="str">
            <v>09M-GENERATION PROJECT ENGINEERING</v>
          </cell>
        </row>
        <row r="1485">
          <cell r="A1485">
            <v>16840</v>
          </cell>
          <cell r="B1485" t="str">
            <v>LABADIE REPLACE MCCS OB46 &amp; UB46</v>
          </cell>
          <cell r="C1485" t="str">
            <v>09M-GENERATION PROJECT ENGINEERING</v>
          </cell>
        </row>
        <row r="1486">
          <cell r="A1486">
            <v>16841</v>
          </cell>
          <cell r="B1486" t="str">
            <v>Central-Watson-1 - Recond. 5.1 mi.</v>
          </cell>
          <cell r="C1486" t="str">
            <v>09E-ELECTRICAL ENGINEERING</v>
          </cell>
        </row>
        <row r="1487">
          <cell r="A1487">
            <v>16843</v>
          </cell>
          <cell r="B1487" t="str">
            <v>CONWAY-ORCH.GARD. -INCR. GRD. CLR.</v>
          </cell>
          <cell r="C1487" t="str">
            <v>09E-ELECTRICAL ENGINEERING</v>
          </cell>
        </row>
        <row r="1488">
          <cell r="A1488">
            <v>16845</v>
          </cell>
          <cell r="B1488" t="str">
            <v>HUTSONVILLE FUEL FLEX COAL HANDLING</v>
          </cell>
          <cell r="C1488" t="str">
            <v>09M-GENERATION PROJECT ENGINEERING</v>
          </cell>
        </row>
        <row r="1489">
          <cell r="A1489">
            <v>16846</v>
          </cell>
          <cell r="B1489" t="str">
            <v>SIOUX BARGE UNLOADING FACILITY UPGR</v>
          </cell>
          <cell r="C1489" t="str">
            <v>09M-GENERATION PROJECT ENGINEERING</v>
          </cell>
        </row>
        <row r="1490">
          <cell r="A1490">
            <v>16847</v>
          </cell>
          <cell r="B1490" t="str">
            <v>HUTSONVILLE FLYASH SYSTEM REPL</v>
          </cell>
          <cell r="C1490" t="str">
            <v>09M-GENERATION PROJECT ENGINEERING</v>
          </cell>
        </row>
        <row r="1491">
          <cell r="A1491">
            <v>16848</v>
          </cell>
          <cell r="B1491" t="str">
            <v>Tazewell - Upgr. Powerton Term. Eq.</v>
          </cell>
          <cell r="C1491" t="str">
            <v>09E-ELECTRICAL ENGINEERING</v>
          </cell>
        </row>
        <row r="1492">
          <cell r="A1492">
            <v>16849</v>
          </cell>
          <cell r="B1492" t="str">
            <v>RELOCATE 34.5 FOR REFUGE ADDING TUR</v>
          </cell>
          <cell r="C1492" t="str">
            <v>4MS-DIVISION VII SUPPORT STAFF</v>
          </cell>
        </row>
        <row r="1493">
          <cell r="A1493">
            <v>16852</v>
          </cell>
          <cell r="B1493" t="str">
            <v>Radnor 138kV Breakers</v>
          </cell>
          <cell r="C1493" t="str">
            <v>09E-ELECTRICAL ENGINEERING</v>
          </cell>
        </row>
        <row r="1494">
          <cell r="A1494">
            <v>16862</v>
          </cell>
          <cell r="B1494" t="str">
            <v>MAY ROAD - UNIT D UPGRADE</v>
          </cell>
          <cell r="C1494" t="str">
            <v>09E-ELECTRICAL ENGINEERING</v>
          </cell>
        </row>
        <row r="1495">
          <cell r="A1495">
            <v>16863</v>
          </cell>
          <cell r="B1495" t="str">
            <v>Lakeside Bus Park 34-12kV MVA</v>
          </cell>
          <cell r="C1495" t="str">
            <v>09E-ELECTRICAL ENGINEERING</v>
          </cell>
        </row>
        <row r="1496">
          <cell r="A1496">
            <v>16864</v>
          </cell>
          <cell r="B1496" t="str">
            <v>Dutzow - Sub Replacement</v>
          </cell>
          <cell r="C1496" t="str">
            <v>09E-ELECTRICAL ENGINEERING</v>
          </cell>
        </row>
        <row r="1497">
          <cell r="A1497">
            <v>16866</v>
          </cell>
          <cell r="B1497" t="str">
            <v>Towers - Replace Xfmr 14 22MVA</v>
          </cell>
          <cell r="C1497" t="str">
            <v>09E-ELECTRICAL ENGINEERING</v>
          </cell>
        </row>
        <row r="1498">
          <cell r="A1498">
            <v>16879</v>
          </cell>
          <cell r="B1498" t="str">
            <v>L3470-clear for 130 deg HTO</v>
          </cell>
          <cell r="C1498" t="str">
            <v>93B-BELLEVILLE</v>
          </cell>
        </row>
        <row r="1499">
          <cell r="A1499">
            <v>16893</v>
          </cell>
          <cell r="B1499" t="str">
            <v>Edgemont Unit W relieve OL</v>
          </cell>
          <cell r="C1499" t="str">
            <v>015-ILLINOIS DISTRICT-E. ST. LOUIS</v>
          </cell>
        </row>
        <row r="1500">
          <cell r="A1500">
            <v>16895</v>
          </cell>
          <cell r="B1500" t="str">
            <v>Alton Cast Iron Main Phase 12</v>
          </cell>
          <cell r="C1500" t="str">
            <v>014-ALTON DISTRICT</v>
          </cell>
        </row>
        <row r="1501">
          <cell r="A1501">
            <v>16897</v>
          </cell>
          <cell r="B1501" t="str">
            <v>Alton Cast Iron Main Phase 13</v>
          </cell>
          <cell r="C1501" t="str">
            <v>014-ALTON DISTRICT</v>
          </cell>
        </row>
        <row r="1502">
          <cell r="A1502">
            <v>16905</v>
          </cell>
          <cell r="B1502" t="str">
            <v>Peoria  Steel  Coupling Renewal 3</v>
          </cell>
          <cell r="C1502" t="str">
            <v>669-DIVISION I SUPPORT STAFF</v>
          </cell>
        </row>
        <row r="1503">
          <cell r="A1503">
            <v>16914</v>
          </cell>
          <cell r="B1503" t="str">
            <v>Key Valve Replacements</v>
          </cell>
          <cell r="C1503" t="str">
            <v>628-PEORIA GAS CONSTRUCTION</v>
          </cell>
        </row>
        <row r="1504">
          <cell r="A1504">
            <v>16915</v>
          </cell>
          <cell r="B1504" t="str">
            <v>L3466-reconductor .72 mi</v>
          </cell>
          <cell r="C1504" t="str">
            <v>92T-HILLSBORO</v>
          </cell>
        </row>
        <row r="1505">
          <cell r="A1505">
            <v>16921</v>
          </cell>
          <cell r="B1505" t="str">
            <v>Romaine-Rpl (2) 14MVA 22MVA Xfmrs</v>
          </cell>
          <cell r="C1505" t="str">
            <v>09E-ELECTRICAL ENGINEERING</v>
          </cell>
        </row>
        <row r="1506">
          <cell r="A1506">
            <v>16922</v>
          </cell>
          <cell r="B1506" t="str">
            <v>Pana E.-Relocate 34-12-4KV Sub</v>
          </cell>
          <cell r="C1506" t="str">
            <v>09E-ELECTRICAL ENGINEERING</v>
          </cell>
        </row>
        <row r="1507">
          <cell r="A1507">
            <v>16927</v>
          </cell>
          <cell r="B1507" t="str">
            <v>EARTH CITY RIVERPORT FEEDER TIE</v>
          </cell>
          <cell r="C1507" t="str">
            <v>027-DORSETT</v>
          </cell>
        </row>
        <row r="1508">
          <cell r="A1508">
            <v>16928</v>
          </cell>
          <cell r="B1508" t="str">
            <v>FOXBORO RELIEF</v>
          </cell>
          <cell r="C1508" t="str">
            <v>027-DORSETT</v>
          </cell>
        </row>
        <row r="1509">
          <cell r="A1509">
            <v>16934</v>
          </cell>
          <cell r="B1509" t="str">
            <v>STATION EMERGENCY VALVE PROJ - 2006</v>
          </cell>
          <cell r="C1509" t="str">
            <v>0G5-GAS TECH SERVICES - IPC</v>
          </cell>
        </row>
        <row r="1510">
          <cell r="A1510">
            <v>16935</v>
          </cell>
          <cell r="B1510" t="str">
            <v>STATION EMERGENCY VALVE PROJ - 2007</v>
          </cell>
          <cell r="C1510" t="str">
            <v>0G5-GAS TECH SERVICES - IPC</v>
          </cell>
        </row>
        <row r="1511">
          <cell r="A1511">
            <v>16937</v>
          </cell>
          <cell r="B1511" t="str">
            <v>DEPUE TELEMETRY AND ODORIZER REPL</v>
          </cell>
          <cell r="C1511" t="str">
            <v>0G5-GAS TECH SERVICES - IPC</v>
          </cell>
        </row>
        <row r="1512">
          <cell r="A1512">
            <v>16938</v>
          </cell>
          <cell r="B1512" t="str">
            <v>TELEMETRY ODORIZATION RPL MANSFIELD</v>
          </cell>
          <cell r="C1512" t="str">
            <v>0G5-GAS TECH SERVICES - IPC</v>
          </cell>
        </row>
        <row r="1513">
          <cell r="A1513">
            <v>16939</v>
          </cell>
          <cell r="B1513" t="str">
            <v>DAVIS ST REG STATION GALESBURG</v>
          </cell>
          <cell r="C1513" t="str">
            <v>0G5-GAS TECH SERVICES - IPC</v>
          </cell>
        </row>
        <row r="1514">
          <cell r="A1514">
            <v>16940</v>
          </cell>
          <cell r="B1514" t="str">
            <v>Cadet - Repl 3 - 500kva 1 Phase</v>
          </cell>
          <cell r="C1514" t="str">
            <v>09E-ELECTRICAL ENGINEERING</v>
          </cell>
        </row>
        <row r="1515">
          <cell r="A1515">
            <v>16941</v>
          </cell>
          <cell r="B1515" t="str">
            <v>Fenton-Non Flood Site-Move Equip</v>
          </cell>
          <cell r="C1515" t="str">
            <v>09E-ELECTRICAL ENGINEERING</v>
          </cell>
        </row>
        <row r="1516">
          <cell r="A1516">
            <v>16944</v>
          </cell>
          <cell r="B1516" t="str">
            <v>Blue Spgs-34 - 12KV, 22MVA Unit D</v>
          </cell>
          <cell r="C1516" t="str">
            <v>09E-ELECTRICAL ENGINEERING</v>
          </cell>
        </row>
        <row r="1517">
          <cell r="A1517">
            <v>16952</v>
          </cell>
          <cell r="B1517" t="str">
            <v>MERAMEC PLANT VENTILATION UPGRADES</v>
          </cell>
          <cell r="C1517" t="str">
            <v>09M-GENERATION PROJECT ENGINEERING</v>
          </cell>
        </row>
        <row r="1518">
          <cell r="A1518">
            <v>16953</v>
          </cell>
          <cell r="B1518" t="str">
            <v>Cincinnati-Add Sel-321 Relays</v>
          </cell>
          <cell r="C1518" t="str">
            <v>09E-ELECTRICAL ENGINEERING</v>
          </cell>
        </row>
        <row r="1519">
          <cell r="A1519">
            <v>16955</v>
          </cell>
          <cell r="B1519" t="str">
            <v>GLASFORD - REPL DISPOSAL PIT</v>
          </cell>
          <cell r="C1519" t="str">
            <v>0G6-GAS STORAGE</v>
          </cell>
        </row>
        <row r="1520">
          <cell r="A1520">
            <v>16956</v>
          </cell>
          <cell r="B1520" t="str">
            <v>SHANGHAI - NEW H20 DISPOSAL WELL</v>
          </cell>
          <cell r="C1520" t="str">
            <v>0G6-GAS STORAGE</v>
          </cell>
        </row>
        <row r="1521">
          <cell r="A1521">
            <v>16957</v>
          </cell>
          <cell r="B1521" t="str">
            <v>HILLSBORO - FIELD METER PROJECT</v>
          </cell>
          <cell r="C1521" t="str">
            <v>0G6-GAS STORAGE</v>
          </cell>
        </row>
        <row r="1522">
          <cell r="A1522">
            <v>16959</v>
          </cell>
          <cell r="B1522" t="str">
            <v>SHANGHAI - 3-D SEISMIC</v>
          </cell>
          <cell r="C1522" t="str">
            <v>0G6-GAS STORAGE</v>
          </cell>
        </row>
        <row r="1523">
          <cell r="A1523">
            <v>16961</v>
          </cell>
          <cell r="B1523" t="str">
            <v>SCIOTA - REPL PLC &amp; HMI CONTROLS</v>
          </cell>
          <cell r="C1523" t="str">
            <v>0G6-GAS STORAGE</v>
          </cell>
        </row>
        <row r="1524">
          <cell r="A1524">
            <v>16962</v>
          </cell>
          <cell r="B1524" t="str">
            <v>SHANGHAI - FACILITY METERING REPL</v>
          </cell>
          <cell r="C1524" t="str">
            <v>0G6-GAS STORAGE</v>
          </cell>
        </row>
        <row r="1525">
          <cell r="A1525">
            <v>16964</v>
          </cell>
          <cell r="B1525" t="str">
            <v>HOOKDALE - REPL COMP S&amp;D SCRUBBERS</v>
          </cell>
          <cell r="C1525" t="str">
            <v>0G6-GAS STORAGE</v>
          </cell>
        </row>
        <row r="1526">
          <cell r="A1526">
            <v>16966</v>
          </cell>
          <cell r="B1526" t="str">
            <v>SHANGHAI - DRILL NEW WELL</v>
          </cell>
          <cell r="C1526" t="str">
            <v>0G6-GAS STORAGE</v>
          </cell>
        </row>
        <row r="1527">
          <cell r="A1527">
            <v>16967</v>
          </cell>
          <cell r="B1527" t="str">
            <v>JOHNSTON CTY - ULTRASONIC METER</v>
          </cell>
          <cell r="C1527" t="str">
            <v>0G6-GAS STORAGE</v>
          </cell>
        </row>
        <row r="1528">
          <cell r="A1528">
            <v>16973</v>
          </cell>
          <cell r="B1528" t="str">
            <v>CENTRALIA - REPL FACILITY METER RUN</v>
          </cell>
          <cell r="C1528" t="str">
            <v>0G6-GAS STORAGE</v>
          </cell>
        </row>
        <row r="1529">
          <cell r="A1529">
            <v>16974</v>
          </cell>
          <cell r="B1529" t="str">
            <v>FREEBURG - REPL FACILITY METER RUN</v>
          </cell>
          <cell r="C1529" t="str">
            <v>0G6-GAS STORAGE</v>
          </cell>
        </row>
        <row r="1530">
          <cell r="A1530">
            <v>16975</v>
          </cell>
          <cell r="B1530" t="str">
            <v>HOOKDALE - REPL FACILITY METER RUN</v>
          </cell>
          <cell r="C1530" t="str">
            <v>0G6-GAS STORAGE</v>
          </cell>
        </row>
        <row r="1531">
          <cell r="A1531">
            <v>16977</v>
          </cell>
          <cell r="B1531" t="str">
            <v>TAUM SAUK RAW WATER PIPING MOD</v>
          </cell>
          <cell r="C1531" t="str">
            <v>09M-GENERATION PROJECT ENGINEERING</v>
          </cell>
        </row>
        <row r="1532">
          <cell r="A1532">
            <v>16980</v>
          </cell>
          <cell r="B1532" t="str">
            <v>INDIAN TRAILS BOILER UPGRADE</v>
          </cell>
          <cell r="C1532" t="str">
            <v>09M-GENERATION PROJECT ENGINEERING</v>
          </cell>
        </row>
        <row r="1533">
          <cell r="A1533">
            <v>16983</v>
          </cell>
          <cell r="B1533" t="str">
            <v>Kickapoo-Upgr.Ln.Posn.1346 to 1600A</v>
          </cell>
          <cell r="C1533" t="str">
            <v>09E-ELECTRICAL ENGINEERING</v>
          </cell>
        </row>
        <row r="1534">
          <cell r="A1534">
            <v>16984</v>
          </cell>
          <cell r="B1534" t="str">
            <v>Kickapoo-Repl. Relays- Ln.1384,1346</v>
          </cell>
          <cell r="C1534" t="str">
            <v>09E-ELECTRICAL ENGINEERING</v>
          </cell>
        </row>
        <row r="1535">
          <cell r="A1535">
            <v>16996</v>
          </cell>
          <cell r="B1535" t="str">
            <v>E.D.EDWARDS- 345-138KV, 560MVA XFMR</v>
          </cell>
          <cell r="C1535" t="str">
            <v>09E-ELECTRICAL ENGINEERING</v>
          </cell>
        </row>
        <row r="1536">
          <cell r="A1536">
            <v>17007</v>
          </cell>
          <cell r="B1536" t="str">
            <v>Eldon-34-Reloc.Eldon-72 34kV Term.</v>
          </cell>
          <cell r="C1536" t="str">
            <v>09E-ELECTRICAL ENGINEERING</v>
          </cell>
        </row>
        <row r="1537">
          <cell r="A1537">
            <v>17017</v>
          </cell>
          <cell r="B1537" t="str">
            <v>Clydesdale- Rpl. 14MVA Xfmr w-22MVA</v>
          </cell>
          <cell r="C1537" t="str">
            <v>09E-ELECTRICAL ENGINEERING</v>
          </cell>
        </row>
        <row r="1538">
          <cell r="A1538">
            <v>17020</v>
          </cell>
          <cell r="B1538" t="str">
            <v>Sioux-Huster-1-138Kv Line</v>
          </cell>
          <cell r="C1538" t="str">
            <v>09E-ELECTRICAL ENGINEERING</v>
          </cell>
        </row>
        <row r="1539">
          <cell r="A1539">
            <v>17022</v>
          </cell>
          <cell r="B1539" t="str">
            <v>NEWTON - MTCE POWER SUBSTATION</v>
          </cell>
          <cell r="C1539" t="str">
            <v>09M-GENERATION PROJECT ENGINEERING</v>
          </cell>
        </row>
        <row r="1540">
          <cell r="A1540">
            <v>17027</v>
          </cell>
          <cell r="B1540" t="str">
            <v>MERAMEC U4 EXCITATION FIELD BRKR</v>
          </cell>
          <cell r="C1540" t="str">
            <v>09M-GENERATION PROJECT ENGINEERING</v>
          </cell>
        </row>
        <row r="1541">
          <cell r="A1541">
            <v>17030</v>
          </cell>
          <cell r="B1541" t="str">
            <v>L1386-Recond. 2 Mile to 1600 Amp.</v>
          </cell>
          <cell r="C1541" t="str">
            <v>09E-ELECTRICAL ENGINEERING</v>
          </cell>
        </row>
        <row r="1542">
          <cell r="A1542">
            <v>17032</v>
          </cell>
          <cell r="B1542" t="str">
            <v>L1562 and L1596-Recond. 1.3 Mile</v>
          </cell>
          <cell r="C1542" t="str">
            <v>09E-ELECTRICAL ENGINEERING</v>
          </cell>
        </row>
        <row r="1543">
          <cell r="A1543">
            <v>17038</v>
          </cell>
          <cell r="B1543" t="str">
            <v>LABADIE CONVYR 5-6 NO TRANSF CHUTES</v>
          </cell>
          <cell r="C1543" t="str">
            <v>09M-GENERATION PROJECT ENGINEERING</v>
          </cell>
        </row>
        <row r="1544">
          <cell r="A1544">
            <v>17042</v>
          </cell>
          <cell r="B1544" t="str">
            <v>L1346-In-Out Tap to Latham Sub.</v>
          </cell>
          <cell r="C1544" t="str">
            <v>09E-ELECTRICAL ENGINEERING</v>
          </cell>
        </row>
        <row r="1545">
          <cell r="A1545">
            <v>17044</v>
          </cell>
          <cell r="B1545" t="str">
            <v>Ashley (IP) Rpl 5 Ln Relay Panels</v>
          </cell>
          <cell r="C1545" t="str">
            <v>09E-ELECTRICAL ENGINEERING</v>
          </cell>
        </row>
        <row r="1546">
          <cell r="A1546">
            <v>17045</v>
          </cell>
          <cell r="B1546" t="str">
            <v>BONDVILLE 69-12- 12MVA BASE XFMR</v>
          </cell>
          <cell r="C1546" t="str">
            <v>09E-ELECTRICAL ENGINEERING</v>
          </cell>
        </row>
        <row r="1547">
          <cell r="A1547">
            <v>17049</v>
          </cell>
          <cell r="B1547" t="str">
            <v>Pekin Wms.Energy-2nd Feed(Aventine)</v>
          </cell>
          <cell r="C1547" t="str">
            <v>09E-ELECTRICAL ENGINEERING</v>
          </cell>
        </row>
        <row r="1548">
          <cell r="A1548">
            <v>17055</v>
          </cell>
          <cell r="B1548" t="str">
            <v>S.Bloom-138Kv Bus Tie Upg to 2000A</v>
          </cell>
          <cell r="C1548" t="str">
            <v>09E-ELECTRICAL ENGINEERING</v>
          </cell>
        </row>
        <row r="1549">
          <cell r="A1549">
            <v>17059</v>
          </cell>
          <cell r="B1549" t="str">
            <v>R.S.Wallace - 20MVAR, 69kV Cap Bank</v>
          </cell>
          <cell r="C1549" t="str">
            <v>09E-ELECTRICAL ENGINEERING</v>
          </cell>
        </row>
        <row r="1550">
          <cell r="A1550">
            <v>17060</v>
          </cell>
          <cell r="B1550" t="str">
            <v>Eastern - New 20MVAR, 69kV Cap Bank</v>
          </cell>
          <cell r="C1550" t="str">
            <v>09E-ELECTRICAL ENGINEERING</v>
          </cell>
        </row>
        <row r="1551">
          <cell r="A1551">
            <v>17075</v>
          </cell>
          <cell r="B1551" t="str">
            <v>CNV-REPLACE TELEMETRY AND ODORIZER</v>
          </cell>
          <cell r="C1551" t="str">
            <v>91A-IL OPS ADMIN</v>
          </cell>
        </row>
        <row r="1552">
          <cell r="A1552">
            <v>17221</v>
          </cell>
          <cell r="B1552" t="str">
            <v>Leroy Sub Create Two New Circuits</v>
          </cell>
          <cell r="C1552" t="str">
            <v>09E-ELECTRICAL ENGINEERING</v>
          </cell>
        </row>
        <row r="1553">
          <cell r="A1553">
            <v>17226</v>
          </cell>
          <cell r="B1553" t="str">
            <v>L1362 -HAV-MONM.RECOND.138KV RVXING</v>
          </cell>
          <cell r="C1553" t="str">
            <v>09E-ELECTRICAL ENGINEERING</v>
          </cell>
        </row>
        <row r="1554">
          <cell r="A1554">
            <v>17232</v>
          </cell>
          <cell r="B1554" t="str">
            <v>L1362-HAV-MONM.-INCR.GR.CL. -.72MI</v>
          </cell>
          <cell r="C1554" t="str">
            <v>09E-ELECTRICAL ENGINEERING</v>
          </cell>
        </row>
        <row r="1555">
          <cell r="A1555">
            <v>17233</v>
          </cell>
          <cell r="B1555" t="str">
            <v>L1356-HAV.-IPAVA RV.XING TO HAV.SUB</v>
          </cell>
          <cell r="C1555" t="str">
            <v>09E-ELECTRICAL ENGINEERING</v>
          </cell>
        </row>
        <row r="1556">
          <cell r="A1556">
            <v>17244</v>
          </cell>
          <cell r="B1556" t="str">
            <v>NEW EAGER FEEDER</v>
          </cell>
          <cell r="C1556" t="str">
            <v>056-GERALDINE</v>
          </cell>
        </row>
        <row r="1557">
          <cell r="A1557">
            <v>17248</v>
          </cell>
          <cell r="B1557" t="str">
            <v>PATTERSON SUBSTATION UNIT W OFFLOAD</v>
          </cell>
          <cell r="C1557" t="str">
            <v>055-BERKELEY</v>
          </cell>
        </row>
        <row r="1558">
          <cell r="A1558">
            <v>17287</v>
          </cell>
          <cell r="B1558" t="str">
            <v>BELLEV. PONTIAC - UPGR. XFMR #2</v>
          </cell>
          <cell r="C1558" t="str">
            <v>09E-ELECTRICAL ENGINEERING</v>
          </cell>
        </row>
        <row r="1559">
          <cell r="A1559">
            <v>17309</v>
          </cell>
          <cell r="B1559" t="str">
            <v>MAROA CHESTNUT - UPGR. XFMR</v>
          </cell>
          <cell r="C1559" t="str">
            <v>09E-ELECTRICAL ENGINEERING</v>
          </cell>
        </row>
        <row r="1560">
          <cell r="A1560">
            <v>17310</v>
          </cell>
          <cell r="B1560" t="str">
            <v>Champ. SW Campus - Repl. Xfmr #1</v>
          </cell>
          <cell r="C1560" t="str">
            <v>09E-ELECTRICAL ENGINEERING</v>
          </cell>
        </row>
        <row r="1561">
          <cell r="A1561">
            <v>17311</v>
          </cell>
          <cell r="B1561" t="str">
            <v>Bellev.17th St. - Repl. OCB 3470</v>
          </cell>
          <cell r="C1561" t="str">
            <v>09E-ELECTRICAL ENGINEERING</v>
          </cell>
        </row>
        <row r="1562">
          <cell r="A1562">
            <v>17328</v>
          </cell>
          <cell r="B1562" t="str">
            <v>Latham-Install New 138kV Line Term</v>
          </cell>
          <cell r="C1562" t="str">
            <v>09E-ELECTRICAL ENGINEERING</v>
          </cell>
        </row>
        <row r="1563">
          <cell r="A1563">
            <v>17409</v>
          </cell>
          <cell r="B1563" t="str">
            <v>W.Tilton 2nd Xfmr and Bus Tie</v>
          </cell>
          <cell r="C1563" t="str">
            <v>09E-ELECTRICAL ENGINEERING</v>
          </cell>
        </row>
        <row r="1564">
          <cell r="A1564">
            <v>17415</v>
          </cell>
          <cell r="B1564" t="str">
            <v>N.LASALLE-2ND 138-34KV XFMR. 34 BUS</v>
          </cell>
          <cell r="C1564" t="str">
            <v>09E-ELECTRICAL ENGINEERING</v>
          </cell>
        </row>
        <row r="1565">
          <cell r="A1565">
            <v>17521</v>
          </cell>
          <cell r="B1565" t="str">
            <v>E.Kewanee - Repl. OCB 1366</v>
          </cell>
          <cell r="C1565" t="str">
            <v>09E-ELECTRICAL ENGINEERING</v>
          </cell>
        </row>
        <row r="1566">
          <cell r="A1566">
            <v>17532</v>
          </cell>
          <cell r="B1566" t="str">
            <v>Cherokee-Convert to 2-unit &amp; 1-unit</v>
          </cell>
          <cell r="C1566" t="str">
            <v>09E-ELECTRICAL ENGINEERING</v>
          </cell>
        </row>
        <row r="1567">
          <cell r="A1567">
            <v>17561</v>
          </cell>
          <cell r="B1567" t="str">
            <v>Nashville - Upgr. 69kV Cap. Bank</v>
          </cell>
          <cell r="C1567" t="str">
            <v>09E-ELECTRICAL ENGINEERING</v>
          </cell>
        </row>
        <row r="1568">
          <cell r="A1568">
            <v>17565</v>
          </cell>
          <cell r="B1568" t="str">
            <v>OFALLON PORTER RD-2ND 34-12KV XFMR</v>
          </cell>
          <cell r="C1568" t="str">
            <v>09E-ELECTRICAL ENGINEERING</v>
          </cell>
        </row>
        <row r="1569">
          <cell r="A1569">
            <v>17799</v>
          </cell>
          <cell r="B1569" t="str">
            <v>MEXICO 2006 CI - SOUTH LP SYSTEM</v>
          </cell>
          <cell r="C1569" t="str">
            <v>4MX-LITTLE DIXIE SUPPORT STAFF</v>
          </cell>
        </row>
        <row r="1570">
          <cell r="A1570">
            <v>17805</v>
          </cell>
          <cell r="B1570" t="str">
            <v>CENTRALIA 2006 CI RENEWAL</v>
          </cell>
          <cell r="C1570" t="str">
            <v>4MX-LITTLE DIXIE SUPPORT STAFF</v>
          </cell>
        </row>
        <row r="1571">
          <cell r="A1571">
            <v>17807</v>
          </cell>
          <cell r="B1571" t="str">
            <v>2006 Ashland - PVC Main and Service</v>
          </cell>
          <cell r="C1571" t="str">
            <v>5JS-CAPITAL DIST SUPPORT</v>
          </cell>
        </row>
        <row r="1572">
          <cell r="A1572">
            <v>17808</v>
          </cell>
          <cell r="B1572" t="str">
            <v>High StBenton REnewal</v>
          </cell>
          <cell r="C1572" t="str">
            <v>5JS-CAPITAL DIST SUPPORT</v>
          </cell>
        </row>
        <row r="1573">
          <cell r="A1573">
            <v>17809</v>
          </cell>
          <cell r="B1573" t="str">
            <v>Chestnut  East Elm Renewal</v>
          </cell>
          <cell r="C1573" t="str">
            <v>5JS-CAPITAL DIST SUPPORT</v>
          </cell>
        </row>
        <row r="1574">
          <cell r="A1574">
            <v>17813</v>
          </cell>
          <cell r="B1574" t="str">
            <v>HWY CC Renewal</v>
          </cell>
          <cell r="C1574" t="str">
            <v>5JS-CAPITAL DIST SUPPORT</v>
          </cell>
        </row>
        <row r="1575">
          <cell r="A1575">
            <v>17817</v>
          </cell>
          <cell r="B1575" t="str">
            <v>Christy Drive Renewal</v>
          </cell>
          <cell r="C1575" t="str">
            <v>5JS-CAPITAL DIST SUPPORT</v>
          </cell>
        </row>
        <row r="1576">
          <cell r="A1576">
            <v>17840</v>
          </cell>
          <cell r="B1576" t="str">
            <v>SIOUX U2 RRI  SNCR</v>
          </cell>
          <cell r="C1576" t="str">
            <v>09V-NEW GEN &amp; ENV PROJECTS</v>
          </cell>
        </row>
        <row r="1577">
          <cell r="A1577">
            <v>17879</v>
          </cell>
          <cell r="B1577" t="str">
            <v>BOONVILLE 2006 CI - NORTH LP SYSTEM</v>
          </cell>
          <cell r="C1577" t="str">
            <v>4MX-LITTLE DIXIE SUPPORT STAFF</v>
          </cell>
        </row>
        <row r="1578">
          <cell r="A1578">
            <v>17908</v>
          </cell>
          <cell r="B1578" t="str">
            <v>MOBERLY 2006 CI - NORTH SYSTEM</v>
          </cell>
          <cell r="C1578" t="str">
            <v>4MX-LITTLE DIXIE SUPPORT STAFF</v>
          </cell>
        </row>
        <row r="1579">
          <cell r="A1579">
            <v>17909</v>
          </cell>
          <cell r="B1579" t="str">
            <v>MEXICO 2006 CI - SOUTH HP SYSTEM</v>
          </cell>
          <cell r="C1579" t="str">
            <v>4MX-LITTLE DIXIE SUPPORT STAFF</v>
          </cell>
        </row>
        <row r="1580">
          <cell r="A1580">
            <v>17925</v>
          </cell>
          <cell r="B1580" t="str">
            <v>COLUMBIA 2007 CI - NE SYSTEM</v>
          </cell>
          <cell r="C1580" t="str">
            <v>4MX-LITTLE DIXIE SUPPORT STAFF</v>
          </cell>
        </row>
        <row r="1581">
          <cell r="A1581">
            <v>17928</v>
          </cell>
          <cell r="B1581" t="str">
            <v>COLUMBIA 2006 CI - SE SYSTEM</v>
          </cell>
          <cell r="C1581" t="str">
            <v>4MX-LITTLE DIXIE SUPPORT STAFF</v>
          </cell>
        </row>
        <row r="1582">
          <cell r="A1582">
            <v>17947</v>
          </cell>
          <cell r="B1582" t="str">
            <v>SIOUX ACCESS ROAD &amp; FILL FOR WFGD</v>
          </cell>
          <cell r="C1582" t="str">
            <v>09V-NEW GEN &amp; ENV PROJECTS</v>
          </cell>
        </row>
        <row r="1583">
          <cell r="A1583">
            <v>17957</v>
          </cell>
          <cell r="B1583" t="str">
            <v>CISSNA PARK CIRCUIT 542</v>
          </cell>
          <cell r="C1583" t="str">
            <v>2MS-DIVISION IV SUPPORT STAFF</v>
          </cell>
        </row>
        <row r="1584">
          <cell r="A1584">
            <v>17976</v>
          </cell>
          <cell r="B1584" t="str">
            <v>SIBLEY &amp; FORREST JUNCTION</v>
          </cell>
          <cell r="C1584" t="str">
            <v>2MS-DIVISION IV SUPPORT STAFF</v>
          </cell>
        </row>
        <row r="1585">
          <cell r="A1585">
            <v>17991</v>
          </cell>
          <cell r="B1585" t="str">
            <v>ASSUMPTION-MOWEAQUA 12KV TIE</v>
          </cell>
          <cell r="C1585" t="str">
            <v>2MS-DIVISION IV SUPPORT STAFF</v>
          </cell>
        </row>
        <row r="1586">
          <cell r="A1586">
            <v>18062</v>
          </cell>
          <cell r="B1586" t="str">
            <v>MERAMEC U4 UPS BATTERY REPLACEMENT</v>
          </cell>
          <cell r="C1586" t="str">
            <v>09M-GENERATION PROJECT ENGINEERING</v>
          </cell>
        </row>
        <row r="1587">
          <cell r="A1587">
            <v>18063</v>
          </cell>
          <cell r="B1587" t="str">
            <v>INTERCTY MAIN RPL ETNA TO CO RD 400</v>
          </cell>
          <cell r="C1587" t="str">
            <v>0G1-GAS TECH SERVICES - CIP</v>
          </cell>
        </row>
        <row r="1588">
          <cell r="A1588">
            <v>18064</v>
          </cell>
          <cell r="B1588" t="str">
            <v>INTERCTY MAIN RPL CO RD 400 TO MATT</v>
          </cell>
          <cell r="C1588" t="str">
            <v>0G1-GAS TECH SERVICES - CIP</v>
          </cell>
        </row>
        <row r="1589">
          <cell r="A1589">
            <v>18166</v>
          </cell>
          <cell r="B1589" t="str">
            <v>CNV-W MT VERNON-REPLACE TERMINAL</v>
          </cell>
          <cell r="C1589" t="str">
            <v>91A-IL OPS ADMIN</v>
          </cell>
        </row>
        <row r="1590">
          <cell r="A1590">
            <v>18197</v>
          </cell>
          <cell r="B1590" t="str">
            <v>EFFINGHAM-REPLACE 3700 STEEL MAIN</v>
          </cell>
          <cell r="C1590" t="str">
            <v>2MS-DIVISION IV SUPPORT STAFF</v>
          </cell>
        </row>
        <row r="1591">
          <cell r="A1591">
            <v>18238</v>
          </cell>
          <cell r="B1591" t="str">
            <v>RELOCATE 2 IN LINE FOR IDOT WELDON</v>
          </cell>
          <cell r="C1591" t="str">
            <v>0G5-GAS TECH SERVICES - IPC</v>
          </cell>
        </row>
        <row r="1592">
          <cell r="A1592">
            <v>18261</v>
          </cell>
          <cell r="B1592" t="str">
            <v>CLINTON SWYD.-REPL. CT &amp; BRKR.4522</v>
          </cell>
          <cell r="C1592" t="str">
            <v>09E-ELECTRICAL ENGINEERING</v>
          </cell>
        </row>
        <row r="1593">
          <cell r="A1593">
            <v>18307</v>
          </cell>
          <cell r="B1593" t="str">
            <v>CNV-L1556A - RELOCATE 1/2 MILE</v>
          </cell>
          <cell r="C1593" t="str">
            <v>91H-TRANSMISSION - IPC</v>
          </cell>
        </row>
        <row r="1594">
          <cell r="A1594">
            <v>18310</v>
          </cell>
          <cell r="B1594" t="str">
            <v>L1542-REPL STRUCTURES XARMS POLES</v>
          </cell>
          <cell r="C1594" t="str">
            <v>91A-IL OPS ADMIN</v>
          </cell>
        </row>
        <row r="1595">
          <cell r="A1595">
            <v>18314</v>
          </cell>
          <cell r="B1595" t="str">
            <v>CNV-BALDWIN SWITCHYARD - BUS CCPD</v>
          </cell>
          <cell r="C1595" t="str">
            <v>09E-ELECTRICAL ENGINEERING</v>
          </cell>
        </row>
        <row r="1596">
          <cell r="A1596">
            <v>18315</v>
          </cell>
          <cell r="B1596" t="str">
            <v>CNV-SIDNEY - INSTALL 345 BREAKER</v>
          </cell>
          <cell r="C1596" t="str">
            <v>09E-ELECTRICAL ENGINEERING</v>
          </cell>
        </row>
        <row r="1597">
          <cell r="A1597">
            <v>18316</v>
          </cell>
          <cell r="B1597" t="str">
            <v>CNV-TURKEY HILL - INSTALL AC</v>
          </cell>
          <cell r="C1597" t="str">
            <v>09E-ELECTRICAL ENGINEERING</v>
          </cell>
        </row>
        <row r="1598">
          <cell r="A1598">
            <v>18317</v>
          </cell>
          <cell r="B1598" t="str">
            <v>PRAIRIE STATE PP SUB WORK</v>
          </cell>
          <cell r="C1598" t="str">
            <v>09E-ELECTRICAL ENGINEERING</v>
          </cell>
        </row>
        <row r="1599">
          <cell r="A1599">
            <v>18385</v>
          </cell>
          <cell r="B1599" t="str">
            <v>SL - PT CAHOKIA-CENTRAL</v>
          </cell>
          <cell r="C1599" t="str">
            <v>061-REAL ESTATE</v>
          </cell>
        </row>
        <row r="1600">
          <cell r="A1600">
            <v>18423</v>
          </cell>
          <cell r="B1600" t="str">
            <v>CNV-S. BLOOMINGTON 2ND TRF.</v>
          </cell>
          <cell r="C1600" t="str">
            <v>09E-ELECTRICAL ENGINEERING</v>
          </cell>
        </row>
        <row r="1601">
          <cell r="A1601">
            <v>18441</v>
          </cell>
          <cell r="B1601" t="str">
            <v>Meramec U3 SH Furnace Casing Repl</v>
          </cell>
          <cell r="C1601" t="str">
            <v>09M-GENERATION PROJECT ENGINEERING</v>
          </cell>
        </row>
        <row r="1602">
          <cell r="A1602">
            <v>18443</v>
          </cell>
          <cell r="B1602" t="str">
            <v>CNV-STEELEVILLE OILSPILL CONTNMT</v>
          </cell>
          <cell r="C1602" t="str">
            <v>09E-ELECTRICAL ENGINEERING</v>
          </cell>
        </row>
        <row r="1603">
          <cell r="A1603">
            <v>18445</v>
          </cell>
          <cell r="B1603" t="str">
            <v>CNV-DOWNS SUB. - SPCC WORK</v>
          </cell>
          <cell r="C1603" t="str">
            <v>91A-IL OPS ADMIN</v>
          </cell>
        </row>
        <row r="1604">
          <cell r="A1604">
            <v>18447</v>
          </cell>
          <cell r="B1604" t="str">
            <v>CNV-JACKSONVILLE CONCORD CKT 102</v>
          </cell>
          <cell r="C1604" t="str">
            <v>09E-ELECTRICAL ENGINEERING</v>
          </cell>
        </row>
        <row r="1605">
          <cell r="A1605">
            <v>18449</v>
          </cell>
          <cell r="B1605" t="str">
            <v>CNV-GALESB.LOMAX CKT 179 REPLACE</v>
          </cell>
          <cell r="C1605" t="str">
            <v>09E-ELECTRICAL ENGINEERING</v>
          </cell>
        </row>
        <row r="1606">
          <cell r="A1606">
            <v>18450</v>
          </cell>
          <cell r="B1606" t="str">
            <v>CNV-MTVERNON ASHLEY CKT140 REMOVE</v>
          </cell>
          <cell r="C1606" t="str">
            <v>09E-ELECTRICAL ENGINEERING</v>
          </cell>
        </row>
        <row r="1607">
          <cell r="A1607">
            <v>18451</v>
          </cell>
          <cell r="B1607" t="str">
            <v>CNV-PRINCETON CKT 161 REPLAC RECLS</v>
          </cell>
          <cell r="C1607" t="str">
            <v>09E-ELECTRICAL ENGINEERING</v>
          </cell>
        </row>
        <row r="1608">
          <cell r="A1608">
            <v>18452</v>
          </cell>
          <cell r="B1608" t="str">
            <v>Meramec U3 RH Furnace Casing Repl</v>
          </cell>
          <cell r="C1608" t="str">
            <v>09M-GENERATION PROJECT ENGINEERING</v>
          </cell>
        </row>
        <row r="1609">
          <cell r="A1609">
            <v>18453</v>
          </cell>
          <cell r="B1609" t="str">
            <v>CNV-MARSEILLES SUB. - REPLACE COND</v>
          </cell>
          <cell r="C1609" t="str">
            <v>09E-ELECTRICAL ENGINEERING</v>
          </cell>
        </row>
        <row r="1610">
          <cell r="A1610">
            <v>18457</v>
          </cell>
          <cell r="B1610" t="str">
            <v>CNV-RIDGEFARM WEST-REPL REGULATORS</v>
          </cell>
          <cell r="C1610" t="str">
            <v>09E-ELECTRICAL ENGINEERING</v>
          </cell>
        </row>
        <row r="1611">
          <cell r="A1611">
            <v>18458</v>
          </cell>
          <cell r="B1611" t="str">
            <v>CNV-DEC. BALT.-REPLACE REGULATORS</v>
          </cell>
          <cell r="C1611" t="str">
            <v>09E-ELECTRICAL ENGINEERING</v>
          </cell>
        </row>
        <row r="1612">
          <cell r="A1612">
            <v>18461</v>
          </cell>
          <cell r="B1612" t="str">
            <v>CNV-MARSEILLES CKT281 REPLC REGS</v>
          </cell>
          <cell r="C1612" t="str">
            <v>09E-ELECTRICAL ENGINEERING</v>
          </cell>
        </row>
        <row r="1613">
          <cell r="A1613">
            <v>18462</v>
          </cell>
          <cell r="B1613" t="str">
            <v>CNV-MARSEILLES L3411 RELAYINGPANEL</v>
          </cell>
          <cell r="C1613" t="str">
            <v>09E-ELECTRICAL ENGINEERING</v>
          </cell>
        </row>
        <row r="1614">
          <cell r="A1614">
            <v>18501</v>
          </cell>
          <cell r="B1614" t="str">
            <v>CNV-MONTICELLO RT. 105 - NEW TERM</v>
          </cell>
          <cell r="C1614" t="str">
            <v>09E-ELECTRICAL ENGINEERING</v>
          </cell>
        </row>
        <row r="1615">
          <cell r="A1615">
            <v>18502</v>
          </cell>
          <cell r="B1615" t="str">
            <v>CNV-GALESBURG GAVLA SUB</v>
          </cell>
          <cell r="C1615" t="str">
            <v>09E-ELECTRICAL ENGINEERING</v>
          </cell>
        </row>
        <row r="1616">
          <cell r="A1616">
            <v>18503</v>
          </cell>
          <cell r="B1616" t="str">
            <v>CNV-SEATON SUB. - ADD 2.4 CAP BANK</v>
          </cell>
          <cell r="C1616" t="str">
            <v>09E-ELECTRICAL ENGINEERING</v>
          </cell>
        </row>
        <row r="1617">
          <cell r="A1617">
            <v>18542</v>
          </cell>
          <cell r="B1617" t="str">
            <v>CNV-DISTRIBUTION LAND RIGHTS</v>
          </cell>
          <cell r="C1617" t="str">
            <v>91A-IL OPS ADMIN</v>
          </cell>
        </row>
        <row r="1618">
          <cell r="A1618">
            <v>18562</v>
          </cell>
          <cell r="B1618" t="str">
            <v>CANTON CONVERSION 2006</v>
          </cell>
          <cell r="C1618" t="str">
            <v>7KS-GREEN HILLS DIST SUPPORT</v>
          </cell>
        </row>
        <row r="1619">
          <cell r="A1619">
            <v>18629</v>
          </cell>
          <cell r="B1619" t="str">
            <v>CNV-NORTH LASALLE OIL CONTAIN</v>
          </cell>
          <cell r="C1619" t="str">
            <v>09E-ELECTRICAL ENGINEERING</v>
          </cell>
        </row>
        <row r="1620">
          <cell r="A1620">
            <v>18634</v>
          </cell>
          <cell r="B1620" t="str">
            <v>CNV-POWER HOUSE SUB. OIL CONTAIN</v>
          </cell>
          <cell r="C1620" t="str">
            <v>91A-IL OPS ADMIN</v>
          </cell>
        </row>
        <row r="1621">
          <cell r="A1621">
            <v>18650</v>
          </cell>
          <cell r="B1621" t="str">
            <v>CNV-NORMAL E. L3428 SDG RLY REPLC.</v>
          </cell>
          <cell r="C1621" t="str">
            <v>09E-ELECTRICAL ENGINEERING</v>
          </cell>
        </row>
        <row r="1622">
          <cell r="A1622">
            <v>18679</v>
          </cell>
          <cell r="B1622" t="str">
            <v>CNV-W MT VERNON REPLACE SYS DFR</v>
          </cell>
          <cell r="C1622" t="str">
            <v>09E-ELECTRICAL ENGINEERING</v>
          </cell>
        </row>
        <row r="1623">
          <cell r="A1623">
            <v>18684</v>
          </cell>
          <cell r="B1623" t="str">
            <v>CNV-WOOD RIVER NEW RTU-TASNET SYS</v>
          </cell>
          <cell r="C1623" t="str">
            <v>09E-ELECTRICAL ENGINEERING</v>
          </cell>
        </row>
        <row r="1624">
          <cell r="A1624">
            <v>18685</v>
          </cell>
          <cell r="B1624" t="str">
            <v>ChampUrb Infrastructure Improvement</v>
          </cell>
          <cell r="C1624" t="str">
            <v>91L-CHAMPAIGN/URBANA GAS OPS</v>
          </cell>
        </row>
        <row r="1625">
          <cell r="A1625">
            <v>18688</v>
          </cell>
          <cell r="B1625" t="str">
            <v>CNV-LATHAM SUB OCB 1342 SYN RELAY</v>
          </cell>
          <cell r="C1625" t="str">
            <v>09E-ELECTRICAL ENGINEERING</v>
          </cell>
        </row>
        <row r="1626">
          <cell r="A1626">
            <v>18692</v>
          </cell>
          <cell r="B1626" t="str">
            <v>CNV-DECATUR E.MAIN INSTALL RTU</v>
          </cell>
          <cell r="C1626" t="str">
            <v>09E-ELECTRICAL ENGINEERING</v>
          </cell>
        </row>
        <row r="1627">
          <cell r="A1627">
            <v>18695</v>
          </cell>
          <cell r="B1627" t="str">
            <v>CNV-KEWANEE N MAIN ST BRKR 3408</v>
          </cell>
          <cell r="C1627" t="str">
            <v>09E-ELECTRICAL ENGINEERING</v>
          </cell>
        </row>
        <row r="1628">
          <cell r="A1628">
            <v>18698</v>
          </cell>
          <cell r="B1628" t="str">
            <v>CNV-OGLESBY SUB REPLACE BRKER 3363</v>
          </cell>
          <cell r="C1628" t="str">
            <v>09E-ELECTRICAL ENGINEERING</v>
          </cell>
        </row>
        <row r="1629">
          <cell r="A1629">
            <v>18699</v>
          </cell>
          <cell r="B1629" t="str">
            <v>CNV-E GALESBURG REPLACE 138KV BRKR</v>
          </cell>
          <cell r="C1629" t="str">
            <v>09E-ELECTRICAL ENGINEERING</v>
          </cell>
        </row>
        <row r="1630">
          <cell r="A1630">
            <v>18708</v>
          </cell>
          <cell r="B1630" t="str">
            <v>CNV-E GALESBURG BRKR 6623 AND B100</v>
          </cell>
          <cell r="C1630" t="str">
            <v>09E-ELECTRICAL ENGINEERING</v>
          </cell>
        </row>
        <row r="1631">
          <cell r="A1631">
            <v>18709</v>
          </cell>
          <cell r="B1631" t="str">
            <v>CNV-E GALESBURG BRKRS 6626 AND 6627</v>
          </cell>
          <cell r="C1631" t="str">
            <v>09E-ELECTRICAL ENGINEERING</v>
          </cell>
        </row>
        <row r="1632">
          <cell r="A1632">
            <v>18710</v>
          </cell>
          <cell r="B1632" t="str">
            <v>CNV-MONMOUTH REPLACE BATTERY CHRGR</v>
          </cell>
          <cell r="C1632" t="str">
            <v>09E-ELECTRICAL ENGINEERING</v>
          </cell>
        </row>
        <row r="1633">
          <cell r="A1633">
            <v>18729</v>
          </cell>
          <cell r="B1633" t="str">
            <v>CNV-BLOOMINGTON WASH ST. SUB SPCC</v>
          </cell>
          <cell r="C1633" t="str">
            <v>91A-IL OPS ADMIN</v>
          </cell>
        </row>
        <row r="1634">
          <cell r="A1634">
            <v>18732</v>
          </cell>
          <cell r="B1634" t="str">
            <v>N.LASALLE-OTTAWA-NEW WEDRON LINE</v>
          </cell>
          <cell r="C1634" t="str">
            <v>09E-ELECTRICAL ENGINEERING</v>
          </cell>
        </row>
        <row r="1635">
          <cell r="A1635">
            <v>18734</v>
          </cell>
          <cell r="B1635" t="str">
            <v>CNV-CHAMPGN LEVERETT RD TRF#2 CRKT</v>
          </cell>
          <cell r="C1635" t="str">
            <v>09E-ELECTRICAL ENGINEERING</v>
          </cell>
        </row>
        <row r="1636">
          <cell r="A1636">
            <v>18736</v>
          </cell>
          <cell r="B1636" t="str">
            <v>CNV-DUPO CKT 214 REPLACE REGULATRS</v>
          </cell>
          <cell r="C1636" t="str">
            <v>09E-ELECTRICAL ENGINEERING</v>
          </cell>
        </row>
        <row r="1637">
          <cell r="A1637">
            <v>18737</v>
          </cell>
          <cell r="B1637" t="str">
            <v>CNV-GRANVILLE CKT 172 REPLACE REGS</v>
          </cell>
          <cell r="C1637" t="str">
            <v>09E-ELECTRICAL ENGINEERING</v>
          </cell>
        </row>
        <row r="1638">
          <cell r="A1638">
            <v>18738</v>
          </cell>
          <cell r="B1638" t="str">
            <v>CNV-S OTTAWA CKT 381 REPLAC REGS</v>
          </cell>
          <cell r="C1638" t="str">
            <v>09E-ELECTRICAL ENGINEERING</v>
          </cell>
        </row>
        <row r="1639">
          <cell r="A1639">
            <v>18740</v>
          </cell>
          <cell r="B1639" t="str">
            <v>CNV-NORMAL RT 66 REPLACE REGULATRS</v>
          </cell>
          <cell r="C1639" t="str">
            <v>09E-ELECTRICAL ENGINEERING</v>
          </cell>
        </row>
        <row r="1640">
          <cell r="A1640">
            <v>18741</v>
          </cell>
          <cell r="B1640" t="str">
            <v>CNV-CHAMP.OAK STR CKT 543 REPLACE</v>
          </cell>
          <cell r="C1640" t="str">
            <v>09E-ELECTRICAL ENGINEERING</v>
          </cell>
        </row>
        <row r="1641">
          <cell r="A1641">
            <v>18742</v>
          </cell>
          <cell r="B1641" t="str">
            <v>CNV-URBANA PERKINSRD CKT 552 REPLC</v>
          </cell>
          <cell r="C1641" t="str">
            <v>09E-ELECTRICAL ENGINEERING</v>
          </cell>
        </row>
        <row r="1642">
          <cell r="A1642">
            <v>18755</v>
          </cell>
          <cell r="B1642" t="str">
            <v>CNV-SOUTH CENTRALIA-INSTALL DFR</v>
          </cell>
          <cell r="C1642" t="str">
            <v>09E-ELECTRICAL ENGINEERING</v>
          </cell>
        </row>
        <row r="1643">
          <cell r="A1643">
            <v>18758</v>
          </cell>
          <cell r="B1643" t="str">
            <v>CNV-CPS-UPGRADE SWITCHES</v>
          </cell>
          <cell r="C1643" t="str">
            <v>09E-ELECTRICAL ENGINEERING</v>
          </cell>
        </row>
        <row r="1644">
          <cell r="A1644">
            <v>18800</v>
          </cell>
          <cell r="B1644" t="str">
            <v>L1536-REPL STRUCTURES XARMS VBRA</v>
          </cell>
          <cell r="C1644" t="str">
            <v>91A-IL OPS ADMIN</v>
          </cell>
        </row>
        <row r="1645">
          <cell r="A1645">
            <v>18922</v>
          </cell>
          <cell r="B1645" t="str">
            <v>NEW CIRCUITS FOR LEROY SUBSTATION</v>
          </cell>
          <cell r="C1645" t="str">
            <v>92E-BLOOMINGTON/NORMAL ELEC OPS</v>
          </cell>
        </row>
        <row r="1646">
          <cell r="A1646">
            <v>18946</v>
          </cell>
          <cell r="B1646" t="str">
            <v>EFFINGHAM-DIETERICH 69KV RT 33</v>
          </cell>
          <cell r="C1646" t="str">
            <v>2MS-DIVISION IV SUPPORT STAFF</v>
          </cell>
        </row>
        <row r="1647">
          <cell r="A1647">
            <v>18947</v>
          </cell>
          <cell r="B1647" t="str">
            <v>RISING - NEW 138KV TERM, XFMR BRKR</v>
          </cell>
          <cell r="C1647" t="str">
            <v>09E-ELECTRICAL ENGINEERING</v>
          </cell>
        </row>
        <row r="1648">
          <cell r="A1648">
            <v>18959</v>
          </cell>
          <cell r="B1648" t="str">
            <v>BLOWDOWN VALVE PROJECT - 2006</v>
          </cell>
          <cell r="C1648" t="str">
            <v>0G5-GAS TECH SERVICES - IPC</v>
          </cell>
        </row>
        <row r="1649">
          <cell r="A1649">
            <v>18973</v>
          </cell>
          <cell r="B1649" t="str">
            <v>CNV-DISTRIBUTION LAND RIGHTS</v>
          </cell>
          <cell r="C1649" t="str">
            <v>91A-IL OPS ADMIN</v>
          </cell>
        </row>
        <row r="1650">
          <cell r="A1650">
            <v>19000</v>
          </cell>
          <cell r="B1650" t="str">
            <v>BLOWDOWN VALVE PROJECT - 2007</v>
          </cell>
          <cell r="C1650" t="str">
            <v>0G5-GAS TECH SERVICES - IPC</v>
          </cell>
        </row>
        <row r="1651">
          <cell r="A1651">
            <v>19083</v>
          </cell>
          <cell r="B1651" t="str">
            <v>CNV-L4531X - PRAIRIE STATE-BALDWIN</v>
          </cell>
          <cell r="C1651" t="str">
            <v>09E-ELECTRICAL ENGINEERING</v>
          </cell>
        </row>
        <row r="1652">
          <cell r="A1652">
            <v>19085</v>
          </cell>
          <cell r="B1652" t="str">
            <v>CNV-GALESBURGMONMOUTH BRE</v>
          </cell>
          <cell r="C1652" t="str">
            <v>09E-ELECTRICAL ENGINEERING</v>
          </cell>
        </row>
        <row r="1653">
          <cell r="A1653">
            <v>19089</v>
          </cell>
          <cell r="B1653" t="str">
            <v>Dexter-New Storage  Welding Areas</v>
          </cell>
          <cell r="C1653" t="str">
            <v>072-BUILDING SERVICES-MO</v>
          </cell>
        </row>
        <row r="1654">
          <cell r="A1654">
            <v>19091</v>
          </cell>
          <cell r="B1654" t="str">
            <v>Watson Rprtng Cntr - Parking Lot</v>
          </cell>
          <cell r="C1654" t="str">
            <v>072-BUILDING SERVICES-MO</v>
          </cell>
        </row>
        <row r="1655">
          <cell r="A1655">
            <v>19092</v>
          </cell>
          <cell r="B1655" t="str">
            <v>Jeff City Office-New chiller</v>
          </cell>
          <cell r="C1655" t="str">
            <v>072-BUILDING SERVICES-MO</v>
          </cell>
        </row>
        <row r="1656">
          <cell r="A1656">
            <v>19093</v>
          </cell>
          <cell r="B1656" t="str">
            <v>Moberly WHQ Office-Restroom Rnvtn</v>
          </cell>
          <cell r="C1656" t="str">
            <v>072-BUILDING SERVICES-MO</v>
          </cell>
        </row>
        <row r="1657">
          <cell r="A1657">
            <v>19097</v>
          </cell>
          <cell r="B1657" t="str">
            <v>Mason (CILCO) - Repl. Xfmr w-28MVA</v>
          </cell>
          <cell r="C1657" t="str">
            <v>09E-ELECTRICAL ENGINEERING</v>
          </cell>
        </row>
        <row r="1658">
          <cell r="A1658">
            <v>19098</v>
          </cell>
          <cell r="B1658" t="str">
            <v>GRAND TOWER LOW MISSISSIPPI RIVER I</v>
          </cell>
          <cell r="C1658" t="str">
            <v>09M-GENERATION PROJECT ENGINEERING</v>
          </cell>
        </row>
        <row r="1659">
          <cell r="A1659">
            <v>19099</v>
          </cell>
          <cell r="B1659" t="str">
            <v>N. CHAMPAIGN - INSTALL 69-12KV XFMR</v>
          </cell>
          <cell r="C1659" t="str">
            <v>09E-ELECTRICAL ENGINEERING</v>
          </cell>
        </row>
        <row r="1660">
          <cell r="A1660">
            <v>19100</v>
          </cell>
          <cell r="B1660" t="str">
            <v>CNV-L4541-PRAIRIE STATE-W. MT. VE</v>
          </cell>
          <cell r="C1660" t="str">
            <v>09E-ELECTRICAL ENGINEERING</v>
          </cell>
        </row>
        <row r="1661">
          <cell r="A1661">
            <v>19104</v>
          </cell>
          <cell r="B1661" t="str">
            <v>CNV-OGLESBY SUB - SITE DRAINAGE</v>
          </cell>
          <cell r="C1661" t="str">
            <v>09E-ELECTRICAL ENGINEERING</v>
          </cell>
        </row>
        <row r="1662">
          <cell r="A1662">
            <v>19106</v>
          </cell>
          <cell r="B1662" t="str">
            <v>CNV-HAVANA PS UPGRADE GCB1362 BRKR</v>
          </cell>
          <cell r="C1662" t="str">
            <v>09E-ELECTRICAL ENGINEERING</v>
          </cell>
        </row>
        <row r="1663">
          <cell r="A1663">
            <v>19115</v>
          </cell>
          <cell r="B1663" t="str">
            <v>CNV-COLUMBIA - LAND FOR NEW SUB</v>
          </cell>
          <cell r="C1663" t="str">
            <v>09E-ELECTRICAL ENGINEERING</v>
          </cell>
        </row>
        <row r="1664">
          <cell r="A1664">
            <v>19116</v>
          </cell>
          <cell r="B1664" t="str">
            <v>CNV-DUQUOIN - LAND FOR NEW SUB</v>
          </cell>
          <cell r="C1664" t="str">
            <v>09E-ELECTRICAL ENGINEERING</v>
          </cell>
        </row>
        <row r="1665">
          <cell r="A1665">
            <v>19118</v>
          </cell>
          <cell r="B1665" t="str">
            <v>CHAMP.OAK ST.-REPL.9-69KV SWITCHES</v>
          </cell>
          <cell r="C1665" t="str">
            <v>09E-ELECTRICAL ENGINEERING</v>
          </cell>
        </row>
        <row r="1666">
          <cell r="A1666">
            <v>19126</v>
          </cell>
          <cell r="B1666" t="str">
            <v>CNV-N. LASALLE SUB - REPL BUSHINGS</v>
          </cell>
          <cell r="C1666" t="str">
            <v>09E-ELECTRICAL ENGINEERING</v>
          </cell>
        </row>
        <row r="1667">
          <cell r="A1667">
            <v>19127</v>
          </cell>
          <cell r="B1667" t="str">
            <v>Champ.SW Campus- 69kV Bus Tie Brkr</v>
          </cell>
          <cell r="C1667" t="str">
            <v>09E-ELECTRICAL ENGINEERING</v>
          </cell>
        </row>
        <row r="1668">
          <cell r="A1668">
            <v>19130</v>
          </cell>
          <cell r="B1668" t="str">
            <v>Tuscola Building Addition</v>
          </cell>
          <cell r="C1668" t="str">
            <v>07N-BUILDING SERVICES-IL</v>
          </cell>
        </row>
        <row r="1669">
          <cell r="A1669">
            <v>19137</v>
          </cell>
          <cell r="B1669" t="str">
            <v>RELOC WARRENSBURG TBS STATION 911</v>
          </cell>
          <cell r="C1669" t="str">
            <v>0G5-GAS TECH SERVICES - IPC</v>
          </cell>
        </row>
        <row r="1670">
          <cell r="A1670">
            <v>19156</v>
          </cell>
          <cell r="B1670" t="str">
            <v>Wentzville WHQ-New Locker,Jantr rms</v>
          </cell>
          <cell r="C1670" t="str">
            <v>072-BUILDING SERVICES-MO</v>
          </cell>
        </row>
        <row r="1671">
          <cell r="A1671">
            <v>19157</v>
          </cell>
          <cell r="B1671" t="str">
            <v>PROJECT RB</v>
          </cell>
          <cell r="C1671" t="str">
            <v>012-CORPORATE PLANNING</v>
          </cell>
        </row>
        <row r="1672">
          <cell r="A1672">
            <v>19201</v>
          </cell>
          <cell r="B1672" t="str">
            <v>SL - OLNEY CAMP ST</v>
          </cell>
          <cell r="C1672" t="str">
            <v>061-REAL ESTATE</v>
          </cell>
        </row>
        <row r="1673">
          <cell r="A1673">
            <v>19205</v>
          </cell>
          <cell r="B1673" t="str">
            <v>RUSH ISLAND-345KV PCB REPLACEMENT</v>
          </cell>
          <cell r="C1673" t="str">
            <v>09E-ELECTRICAL ENGINEERING</v>
          </cell>
        </row>
        <row r="1674">
          <cell r="A1674">
            <v>19208</v>
          </cell>
          <cell r="B1674" t="str">
            <v>RI-REPLACE A AIR COMPRESSOR</v>
          </cell>
          <cell r="C1674" t="str">
            <v>78A-RUSH ISLAND PLANT GENERAL &amp; BUD</v>
          </cell>
        </row>
        <row r="1675">
          <cell r="A1675">
            <v>19212</v>
          </cell>
          <cell r="B1675" t="str">
            <v>STONE CREEK #2</v>
          </cell>
          <cell r="C1675" t="str">
            <v>91L-CHAMPAIGN/URBANA GAS OPS</v>
          </cell>
        </row>
        <row r="1676">
          <cell r="A1676">
            <v>19214</v>
          </cell>
          <cell r="B1676" t="str">
            <v>URBANA WASHINGTON ST.-RPL 3 69KV</v>
          </cell>
          <cell r="C1676" t="str">
            <v>09E-ELECTRICAL ENGINEERING</v>
          </cell>
        </row>
        <row r="1677">
          <cell r="A1677">
            <v>19215</v>
          </cell>
          <cell r="B1677" t="str">
            <v>URBANA SOUTH ORCHARD-RPL 69KV</v>
          </cell>
          <cell r="C1677" t="str">
            <v>09E-ELECTRICAL ENGINEERING</v>
          </cell>
        </row>
        <row r="1678">
          <cell r="A1678">
            <v>19216</v>
          </cell>
          <cell r="B1678" t="str">
            <v>CHAMPAIGN MATTIS AVE-RPL TIE SWCH</v>
          </cell>
          <cell r="C1678" t="str">
            <v>09E-ELECTRICAL ENGINEERING</v>
          </cell>
        </row>
        <row r="1679">
          <cell r="A1679">
            <v>19217</v>
          </cell>
          <cell r="B1679" t="str">
            <v>CHAMPAIGN WALNUT ST.-RPL 69KV FUSE</v>
          </cell>
          <cell r="C1679" t="str">
            <v>09E-ELECTRICAL ENGINEERING</v>
          </cell>
        </row>
        <row r="1680">
          <cell r="A1680">
            <v>19218</v>
          </cell>
          <cell r="B1680" t="str">
            <v>URBANA PERKINS RD- RPL. 138KV SWCH</v>
          </cell>
          <cell r="C1680" t="str">
            <v>09E-ELECTRICAL ENGINEERING</v>
          </cell>
        </row>
        <row r="1681">
          <cell r="A1681">
            <v>19223</v>
          </cell>
          <cell r="B1681" t="str">
            <v>IL-40 IDOT Road Work</v>
          </cell>
          <cell r="C1681" t="str">
            <v>669-DIVISION I SUPPORT STAFF</v>
          </cell>
        </row>
        <row r="1682">
          <cell r="A1682">
            <v>19229</v>
          </cell>
          <cell r="B1682" t="str">
            <v>SL - POPLAR BLUFF SUB</v>
          </cell>
          <cell r="C1682" t="str">
            <v>061-REAL ESTATE</v>
          </cell>
        </row>
        <row r="1683">
          <cell r="A1683">
            <v>19234</v>
          </cell>
          <cell r="B1683" t="str">
            <v>SL - FARMER CITY</v>
          </cell>
          <cell r="C1683" t="str">
            <v>061-REAL ESTATE</v>
          </cell>
        </row>
        <row r="1684">
          <cell r="A1684">
            <v>19236</v>
          </cell>
          <cell r="B1684" t="str">
            <v>ST. LOUIS GOB - MASTER PLAN</v>
          </cell>
          <cell r="C1684" t="str">
            <v>072-BUILDING SERVICES-MO</v>
          </cell>
        </row>
        <row r="1685">
          <cell r="A1685">
            <v>19238</v>
          </cell>
          <cell r="B1685" t="str">
            <v>MERAMEC U2 UPS BATTERY REPLACEMENT</v>
          </cell>
          <cell r="C1685" t="str">
            <v>09M-GENERATION PROJECT ENGINEERING</v>
          </cell>
        </row>
        <row r="1686">
          <cell r="A1686">
            <v>19244</v>
          </cell>
          <cell r="B1686" t="str">
            <v>THE GEORGIAN LINE EXT - OH JOB</v>
          </cell>
          <cell r="C1686" t="str">
            <v>036-UNDERGROUND</v>
          </cell>
        </row>
        <row r="1687">
          <cell r="A1687">
            <v>19248</v>
          </cell>
          <cell r="B1687" t="str">
            <v>LAKE OZARK SHORELINE MGMT OFFICE</v>
          </cell>
          <cell r="C1687" t="str">
            <v>061-REAL ESTATE</v>
          </cell>
        </row>
        <row r="1688">
          <cell r="A1688">
            <v>19249</v>
          </cell>
          <cell r="B1688" t="str">
            <v>NEWTON - REPL.345KV BRKR.-POSN.3489</v>
          </cell>
          <cell r="C1688" t="str">
            <v>09E-ELECTRICAL ENGINEERING</v>
          </cell>
        </row>
        <row r="1689">
          <cell r="A1689">
            <v>19254</v>
          </cell>
          <cell r="B1689" t="str">
            <v>COFFEEN U2 SPARE GSU ISOPHASE BUS A</v>
          </cell>
          <cell r="C1689" t="str">
            <v>09M-GENERATION PROJECT ENGINEERING</v>
          </cell>
        </row>
        <row r="1690">
          <cell r="A1690">
            <v>19256</v>
          </cell>
          <cell r="B1690" t="str">
            <v>INTRCTY MAIN RPL IL 336 W OF MACOMB</v>
          </cell>
          <cell r="C1690" t="str">
            <v>0G1-GAS TECH SERVICES - CIP</v>
          </cell>
        </row>
        <row r="1691">
          <cell r="A1691">
            <v>19263</v>
          </cell>
          <cell r="B1691" t="str">
            <v>SLU: OH-UG RELOCATON AT GRAND &amp; LIN</v>
          </cell>
          <cell r="C1691" t="str">
            <v>036-UNDERGROUND</v>
          </cell>
        </row>
        <row r="1692">
          <cell r="A1692">
            <v>19267</v>
          </cell>
          <cell r="B1692" t="str">
            <v>VERMILION -TAP XFMR TT2 -DMG-REIMB</v>
          </cell>
          <cell r="C1692" t="str">
            <v>09E-ELECTRICAL ENGINEERING</v>
          </cell>
        </row>
        <row r="1693">
          <cell r="A1693">
            <v>19272</v>
          </cell>
          <cell r="B1693" t="str">
            <v>QUINCY PROPANE PLANT RETIREMENT</v>
          </cell>
          <cell r="C1693" t="str">
            <v>0G1-GAS TECH SERVICES - CIP</v>
          </cell>
        </row>
        <row r="1694">
          <cell r="A1694">
            <v>19273</v>
          </cell>
          <cell r="B1694" t="str">
            <v>MSD(90022C) BROOKSIDE LN</v>
          </cell>
          <cell r="C1694" t="str">
            <v>053-ELLISVILLE DISTRICT</v>
          </cell>
        </row>
        <row r="1695">
          <cell r="A1695">
            <v>19274</v>
          </cell>
          <cell r="B1695" t="str">
            <v>INCREASE 8400 BTU COAL USAGE</v>
          </cell>
          <cell r="C1695" t="str">
            <v>09M-GENERATION PROJECT ENGINEERING</v>
          </cell>
        </row>
        <row r="1696">
          <cell r="A1696">
            <v>19275</v>
          </cell>
          <cell r="B1696" t="str">
            <v>INCREASE IN FUEL INVENTORY</v>
          </cell>
          <cell r="C1696" t="str">
            <v>09M-GENERATION PROJECT ENGINEERING</v>
          </cell>
        </row>
        <row r="1697">
          <cell r="A1697">
            <v>19284</v>
          </cell>
          <cell r="B1697" t="str">
            <v>CAP Bank Installs</v>
          </cell>
          <cell r="C1697" t="str">
            <v>668-IL OPS ADMIN DIV I II III</v>
          </cell>
        </row>
        <row r="1698">
          <cell r="A1698">
            <v>19290</v>
          </cell>
          <cell r="B1698" t="str">
            <v>RELOC 10 IN UNDER RT 51 AT MOUND</v>
          </cell>
          <cell r="C1698" t="str">
            <v>0G5-GAS TECH SERVICES - IPC</v>
          </cell>
        </row>
        <row r="1699">
          <cell r="A1699">
            <v>19294</v>
          </cell>
          <cell r="B1699" t="str">
            <v>DORSETT ELEC METER SHOP OFFICE ADD.</v>
          </cell>
          <cell r="C1699" t="str">
            <v>03V-DISTRIBUTION SERVICES-AMS</v>
          </cell>
        </row>
        <row r="1700">
          <cell r="A1700">
            <v>19296</v>
          </cell>
          <cell r="B1700" t="str">
            <v>RELOC 10 IN UNDER ICRR MOUND RD</v>
          </cell>
          <cell r="C1700" t="str">
            <v>0G5-GAS TECH SERVICES - IPC</v>
          </cell>
        </row>
        <row r="1701">
          <cell r="A1701">
            <v>19300</v>
          </cell>
          <cell r="B1701" t="str">
            <v>N.CHAMPAIGN CONTROL BLDG IMPROVMTS</v>
          </cell>
          <cell r="C1701" t="str">
            <v>09E-ELECTRICAL ENGINEERING</v>
          </cell>
        </row>
        <row r="1702">
          <cell r="A1702">
            <v>19310</v>
          </cell>
          <cell r="B1702" t="str">
            <v>U1 Precipitator Replacement</v>
          </cell>
          <cell r="C1702" t="str">
            <v>CFG-COFFEEN - GENERAL</v>
          </cell>
        </row>
        <row r="1703">
          <cell r="A1703">
            <v>19311</v>
          </cell>
          <cell r="B1703" t="str">
            <v>U2 Precipitator Replacement</v>
          </cell>
          <cell r="C1703" t="str">
            <v>CFG-COFFEEN - GENERAL</v>
          </cell>
        </row>
        <row r="1704">
          <cell r="A1704">
            <v>19314</v>
          </cell>
          <cell r="B1704" t="str">
            <v>CAHOKIA DIST.SUB.-OIL SPILL CONT.</v>
          </cell>
          <cell r="C1704" t="str">
            <v>09E-ELECTRICAL ENGINEERING</v>
          </cell>
        </row>
        <row r="1705">
          <cell r="A1705">
            <v>19315</v>
          </cell>
          <cell r="B1705" t="str">
            <v>CAHOKIA TRANSM.SUB.-OIL SPILL CONT.</v>
          </cell>
          <cell r="C1705" t="str">
            <v>09E-ELECTRICAL ENGINEERING</v>
          </cell>
        </row>
        <row r="1706">
          <cell r="A1706">
            <v>19321</v>
          </cell>
          <cell r="B1706" t="str">
            <v>DUCK CREEK  LANDFILL CONSTRUCTION</v>
          </cell>
          <cell r="C1706" t="str">
            <v>61A-DUCK CREEK PLANT GENERAL</v>
          </cell>
        </row>
        <row r="1707">
          <cell r="A1707">
            <v>19324</v>
          </cell>
          <cell r="B1707" t="str">
            <v>AMERENUE GENERATION RESOURCE CENTER</v>
          </cell>
          <cell r="C1707" t="str">
            <v>06H-NEO - ENTERPRISE NETWORKING</v>
          </cell>
        </row>
        <row r="1708">
          <cell r="A1708">
            <v>19341</v>
          </cell>
          <cell r="B1708" t="str">
            <v>NEWTON LOAD OUT FACILITY</v>
          </cell>
          <cell r="C1708" t="str">
            <v>09M-GENERATION PROJECT ENGINEERING</v>
          </cell>
        </row>
        <row r="1709">
          <cell r="A1709">
            <v>19343</v>
          </cell>
          <cell r="B1709" t="str">
            <v>SPARE CILCO DIST. XFMR NO. 11</v>
          </cell>
          <cell r="C1709" t="str">
            <v>09E-ELECTRICAL ENGINEERING</v>
          </cell>
        </row>
        <row r="1710">
          <cell r="A1710">
            <v>19346</v>
          </cell>
          <cell r="B1710" t="str">
            <v>DOSH U1&amp;2 LOW SULFUR FUEL CONVERSIO</v>
          </cell>
          <cell r="C1710" t="str">
            <v>140-MEREDOSIA</v>
          </cell>
        </row>
        <row r="1711">
          <cell r="A1711">
            <v>19350</v>
          </cell>
          <cell r="B1711" t="str">
            <v>PSGC CONST. POWER SUB - MARIGOLD</v>
          </cell>
          <cell r="C1711" t="str">
            <v>09E-ELECTRICAL ENGINEERING</v>
          </cell>
        </row>
        <row r="1712">
          <cell r="A1712">
            <v>19354</v>
          </cell>
          <cell r="B1712" t="str">
            <v>SPARE CIPS DIST. XFMR #14, 69-12KV</v>
          </cell>
          <cell r="C1712" t="str">
            <v>09E-ELECTRICAL ENGINEERING</v>
          </cell>
        </row>
        <row r="1713">
          <cell r="A1713">
            <v>19355</v>
          </cell>
          <cell r="B1713" t="str">
            <v>HUSTER-RPL.2-138KV PCB(TAM06)-12-06</v>
          </cell>
          <cell r="C1713" t="str">
            <v>09E-ELECTRICAL ENGINEERING</v>
          </cell>
        </row>
        <row r="1714">
          <cell r="A1714">
            <v>19356</v>
          </cell>
          <cell r="B1714" t="str">
            <v>MERAMEC U4 BOILER ROOF REPLACEMENT</v>
          </cell>
          <cell r="C1714" t="str">
            <v>09M-GENERATION PROJECT ENGINEERING</v>
          </cell>
        </row>
        <row r="1715">
          <cell r="A1715">
            <v>19363</v>
          </cell>
          <cell r="B1715" t="str">
            <v>MER SOOTBLOWING AIR COMPRESSOR</v>
          </cell>
          <cell r="C1715" t="str">
            <v>09M-GENERATION PROJECT ENGINEERING</v>
          </cell>
        </row>
        <row r="1716">
          <cell r="A1716">
            <v>19364</v>
          </cell>
          <cell r="B1716" t="str">
            <v>MER U3 CONDENSATE COOLER</v>
          </cell>
          <cell r="C1716" t="str">
            <v>09M-GENERATION PROJECT ENGINEERING</v>
          </cell>
        </row>
        <row r="1717">
          <cell r="A1717">
            <v>19372</v>
          </cell>
          <cell r="B1717" t="str">
            <v>Osage -Repl 3-138 PCBs-Ph.2 (TAM06)</v>
          </cell>
          <cell r="C1717" t="str">
            <v>09E-ELECTRICAL ENGINEERING</v>
          </cell>
        </row>
        <row r="1718">
          <cell r="A1718">
            <v>19373</v>
          </cell>
          <cell r="B1718" t="str">
            <v>Meramec Life Safety Upgrades</v>
          </cell>
          <cell r="C1718" t="str">
            <v>09M-GENERATION PROJECT ENGINEERING</v>
          </cell>
        </row>
        <row r="1719">
          <cell r="A1719">
            <v>19387</v>
          </cell>
          <cell r="B1719" t="str">
            <v>BRIDGE WATER CONDOS</v>
          </cell>
          <cell r="C1719" t="str">
            <v>052-MACKENZIE</v>
          </cell>
        </row>
        <row r="1720">
          <cell r="A1720">
            <v>19390</v>
          </cell>
          <cell r="B1720" t="str">
            <v>Mason Trans.Sub.- Oil Spill Control</v>
          </cell>
          <cell r="C1720" t="str">
            <v>09E-ELECTRICAL ENGINEERING</v>
          </cell>
        </row>
        <row r="1721">
          <cell r="A1721">
            <v>19393</v>
          </cell>
          <cell r="B1721" t="str">
            <v>Watson-Repl. 3-34kV Brkrs, 6-2006</v>
          </cell>
          <cell r="C1721" t="str">
            <v>09E-ELECTRICAL ENGINEERING</v>
          </cell>
        </row>
        <row r="1722">
          <cell r="A1722">
            <v>19394</v>
          </cell>
          <cell r="B1722" t="str">
            <v>Watson-Repl. 2-34kV Brkrs, 12-2006</v>
          </cell>
          <cell r="C1722" t="str">
            <v>09E-ELECTRICAL ENGINEERING</v>
          </cell>
        </row>
        <row r="1723">
          <cell r="A1723">
            <v>19395</v>
          </cell>
          <cell r="B1723" t="str">
            <v>Page - Repl. 2-34kV Brkrs, 6-2006</v>
          </cell>
          <cell r="C1723" t="str">
            <v>09E-ELECTRICAL ENGINEERING</v>
          </cell>
        </row>
        <row r="1724">
          <cell r="A1724">
            <v>19396</v>
          </cell>
          <cell r="B1724" t="str">
            <v>Page - Repl. 2-34kV Brkrs, 12-2006</v>
          </cell>
          <cell r="C1724" t="str">
            <v>09E-ELECTRICAL ENGINEERING</v>
          </cell>
        </row>
        <row r="1725">
          <cell r="A1725">
            <v>19397</v>
          </cell>
          <cell r="B1725" t="str">
            <v>Pak Mix</v>
          </cell>
          <cell r="C1725" t="str">
            <v>087-FOSSIL FUELS</v>
          </cell>
        </row>
        <row r="1726">
          <cell r="A1726">
            <v>19398</v>
          </cell>
          <cell r="B1726" t="str">
            <v>Belleau-Troy 161kV Reloc.-Developer</v>
          </cell>
          <cell r="C1726" t="str">
            <v>037-TRANSMISSION</v>
          </cell>
        </row>
        <row r="1727">
          <cell r="A1727">
            <v>19399</v>
          </cell>
          <cell r="B1727" t="str">
            <v>Cah-Mer, Lemay Tap-Reloc-Pinnacle</v>
          </cell>
          <cell r="C1727" t="str">
            <v>037-TRANSMISSION</v>
          </cell>
        </row>
        <row r="1728">
          <cell r="A1728">
            <v>19400</v>
          </cell>
          <cell r="B1728" t="str">
            <v>FAIRGROUNDS SPCC FUEL UNLD IMPRV</v>
          </cell>
          <cell r="C1728" t="str">
            <v>09M-GENERATION PROJECT ENGINEERING</v>
          </cell>
        </row>
        <row r="1729">
          <cell r="A1729">
            <v>19403</v>
          </cell>
          <cell r="B1729" t="str">
            <v>EFFINGHAM RT 33 IDOT GAS RELOCATE</v>
          </cell>
          <cell r="C1729" t="str">
            <v>2MS-DIVISION IV SUPPORT STAFF</v>
          </cell>
        </row>
        <row r="1730">
          <cell r="A1730">
            <v>19405</v>
          </cell>
          <cell r="B1730" t="str">
            <v>COFFEEN LANDFILL LAND ACQUISITION</v>
          </cell>
          <cell r="C1730" t="str">
            <v>09V-NEW GEN &amp; ENV PROJECTS</v>
          </cell>
        </row>
        <row r="1731">
          <cell r="A1731">
            <v>19406</v>
          </cell>
          <cell r="B1731" t="str">
            <v>MODOT J6U0808 CLAYTON RD STAGE #1</v>
          </cell>
          <cell r="C1731" t="str">
            <v>053-ELLISVILLE DISTRICT</v>
          </cell>
        </row>
        <row r="1732">
          <cell r="A1732">
            <v>19408</v>
          </cell>
          <cell r="B1732" t="str">
            <v>SRS Building Renovation</v>
          </cell>
          <cell r="C1732" t="str">
            <v>072-BUILDING SERVICES-MO</v>
          </cell>
        </row>
        <row r="1733">
          <cell r="A1733">
            <v>19409</v>
          </cell>
          <cell r="B1733" t="str">
            <v>Newton 2 BFP TSI Upgrade</v>
          </cell>
          <cell r="C1733" t="str">
            <v>09M-GENERATION PROJECT ENGINEERING</v>
          </cell>
        </row>
        <row r="1734">
          <cell r="A1734">
            <v>19410</v>
          </cell>
          <cell r="B1734" t="str">
            <v>INTERCHANGE PROPERERTIES, OH TO UG</v>
          </cell>
          <cell r="C1734" t="str">
            <v>91L-CHAMPAIGN/URBANA GAS OPS</v>
          </cell>
        </row>
        <row r="1735">
          <cell r="A1735">
            <v>19411</v>
          </cell>
          <cell r="B1735" t="str">
            <v>RT 29 &amp; RT 104 RELOCATION</v>
          </cell>
          <cell r="C1735" t="str">
            <v>2MS-DIVISION IV SUPPORT STAFF</v>
          </cell>
        </row>
        <row r="1736">
          <cell r="A1736">
            <v>19429</v>
          </cell>
          <cell r="B1736" t="str">
            <v>MEREDOSIA U3  MERCURY CEMS</v>
          </cell>
          <cell r="C1736" t="str">
            <v>09V-NEW GEN &amp; ENV PROJECTS</v>
          </cell>
        </row>
        <row r="1737">
          <cell r="A1737">
            <v>19436</v>
          </cell>
          <cell r="B1737" t="str">
            <v>GRAND VIEW SUBDIVISION</v>
          </cell>
          <cell r="C1737" t="str">
            <v>052-MACKENZIE</v>
          </cell>
        </row>
        <row r="1738">
          <cell r="A1738">
            <v>19438</v>
          </cell>
          <cell r="B1738" t="str">
            <v>KEOKUK SCADA NERC 1300 COMPLIANCE</v>
          </cell>
          <cell r="C1738" t="str">
            <v>09M-GENERATION PROJECT ENGINEERING</v>
          </cell>
        </row>
        <row r="1739">
          <cell r="A1739">
            <v>19439</v>
          </cell>
          <cell r="B1739" t="str">
            <v>OSAGE SCADA NERC 1300 COMPLIANCE</v>
          </cell>
          <cell r="C1739" t="str">
            <v>09M-GENERATION PROJECT ENGINEERING</v>
          </cell>
        </row>
        <row r="1740">
          <cell r="A1740">
            <v>19441</v>
          </cell>
          <cell r="B1740" t="str">
            <v>Homestead Restraunt Night Lights</v>
          </cell>
          <cell r="C1740" t="str">
            <v>91V-GALESBURG</v>
          </cell>
        </row>
        <row r="1741">
          <cell r="A1741">
            <v>19443</v>
          </cell>
          <cell r="B1741" t="str">
            <v>Relocate elec fac on RTE 162, IDOT</v>
          </cell>
          <cell r="C1741" t="str">
            <v>92J-MARYVILLE</v>
          </cell>
        </row>
        <row r="1742">
          <cell r="A1742">
            <v>19444</v>
          </cell>
          <cell r="B1742" t="str">
            <v xml:space="preserve">OTTAWA INVESTMENT PARTNERS_x000D_
</v>
          </cell>
          <cell r="C1742" t="str">
            <v>92D-LASALLE</v>
          </cell>
        </row>
        <row r="1743">
          <cell r="A1743">
            <v>19445</v>
          </cell>
          <cell r="B1743" t="str">
            <v>REPLACE BO UG ST LITE WIRE RTE 6</v>
          </cell>
          <cell r="C1743" t="str">
            <v>92D-LASALLE</v>
          </cell>
        </row>
        <row r="1744">
          <cell r="A1744">
            <v>19447</v>
          </cell>
          <cell r="B1744" t="str">
            <v>UG ELEC FOR FAIRFIELD MANOR SUBD</v>
          </cell>
          <cell r="C1744" t="str">
            <v>93B-BELLEVILLE</v>
          </cell>
        </row>
        <row r="1745">
          <cell r="A1745">
            <v>19448</v>
          </cell>
          <cell r="B1745" t="str">
            <v>LADDONIA ETHANOL EXTENSION</v>
          </cell>
          <cell r="C1745" t="str">
            <v>4MX-LITTLE DIXIE SUPPORT STAFF</v>
          </cell>
        </row>
        <row r="1746">
          <cell r="A1746">
            <v>19449</v>
          </cell>
          <cell r="B1746" t="str">
            <v>MEXICO ADM BIODIESEL SYSTEM UPGRADE</v>
          </cell>
          <cell r="C1746" t="str">
            <v>4MX-LITTLE DIXIE SUPPORT STAFF</v>
          </cell>
        </row>
        <row r="1747">
          <cell r="A1747">
            <v>19451</v>
          </cell>
          <cell r="B1747" t="str">
            <v>SL - PT HARVESTER SUB</v>
          </cell>
          <cell r="C1747" t="str">
            <v>061-REAL ESTATE</v>
          </cell>
        </row>
        <row r="1748">
          <cell r="A1748">
            <v>19452</v>
          </cell>
          <cell r="B1748" t="str">
            <v>UG ELE FOR HOMESTEAD SUBD PHASE 1</v>
          </cell>
          <cell r="C1748" t="str">
            <v>93B-BELLEVILLE</v>
          </cell>
        </row>
        <row r="1749">
          <cell r="A1749">
            <v>19453</v>
          </cell>
          <cell r="B1749" t="str">
            <v>UPGRADE CKT 172 TO 477SAC</v>
          </cell>
          <cell r="C1749" t="str">
            <v>92D-LASALLE</v>
          </cell>
        </row>
        <row r="1750">
          <cell r="A1750">
            <v>19454</v>
          </cell>
          <cell r="B1750" t="str">
            <v>Meramec U4 Software Upgrade</v>
          </cell>
          <cell r="C1750" t="str">
            <v>09M-GENERATION PROJECT ENGINEERING</v>
          </cell>
        </row>
        <row r="1751">
          <cell r="A1751">
            <v>19455</v>
          </cell>
          <cell r="B1751" t="str">
            <v>Newton - Casey West Terminal Upgr.</v>
          </cell>
          <cell r="C1751" t="str">
            <v>09E-ELECTRICAL ENGINEERING</v>
          </cell>
        </row>
        <row r="1752">
          <cell r="A1752">
            <v>19456</v>
          </cell>
          <cell r="B1752" t="str">
            <v>Boyle Sub - Site Purchase</v>
          </cell>
          <cell r="C1752" t="str">
            <v>09E-ELECTRICAL ENGINEERING</v>
          </cell>
        </row>
        <row r="1753">
          <cell r="A1753">
            <v>19457</v>
          </cell>
          <cell r="B1753" t="str">
            <v>Spare System 138-13.8kV Xfmr - UEC</v>
          </cell>
          <cell r="C1753" t="str">
            <v>09E-ELECTRICAL ENGINEERING</v>
          </cell>
        </row>
        <row r="1754">
          <cell r="A1754">
            <v>19458</v>
          </cell>
          <cell r="B1754" t="str">
            <v>Fulton - Xfmr Addition w-transruptr</v>
          </cell>
          <cell r="C1754" t="str">
            <v>09E-ELECTRICAL ENGINEERING</v>
          </cell>
        </row>
        <row r="1755">
          <cell r="A1755">
            <v>19459</v>
          </cell>
          <cell r="B1755" t="str">
            <v>COFFEEN LAKE MODIFICATIONS</v>
          </cell>
          <cell r="C1755" t="str">
            <v>09V-NEW GEN &amp; ENV PROJECTS</v>
          </cell>
        </row>
        <row r="1756">
          <cell r="A1756">
            <v>19460</v>
          </cell>
          <cell r="B1756" t="str">
            <v xml:space="preserve">VILLAGES OF STONEBRIDGE, RELOCATE_x000D_
</v>
          </cell>
          <cell r="C1756" t="str">
            <v>92J-MARYVILLE</v>
          </cell>
        </row>
        <row r="1757">
          <cell r="A1757">
            <v>19461</v>
          </cell>
          <cell r="B1757" t="str">
            <v>RELOCATE GAS MAIN, IDOT RT 78 &amp; 81</v>
          </cell>
          <cell r="C1757" t="str">
            <v>93C-KEWANEE - LOCAL PRESENCE</v>
          </cell>
        </row>
        <row r="1758">
          <cell r="A1758">
            <v>19467</v>
          </cell>
          <cell r="B1758" t="str">
            <v>LOUGHBOROUGH COMMONS RELOCATION</v>
          </cell>
          <cell r="C1758" t="str">
            <v>052-MACKENZIE</v>
          </cell>
        </row>
        <row r="1759">
          <cell r="A1759">
            <v>19469</v>
          </cell>
          <cell r="B1759" t="str">
            <v>MARTIN MARIETTA AGGREGATES EXTEND 3</v>
          </cell>
          <cell r="C1759" t="str">
            <v>93W-SPARTA - LOCAL PRESENCE</v>
          </cell>
        </row>
        <row r="1760">
          <cell r="A1760">
            <v>19470</v>
          </cell>
          <cell r="B1760" t="str">
            <v>SIMULATOR CENTER</v>
          </cell>
          <cell r="C1760" t="str">
            <v>09M-GENERATION PROJECT ENGINEERING</v>
          </cell>
        </row>
        <row r="1761">
          <cell r="A1761">
            <v>19471</v>
          </cell>
          <cell r="B1761" t="str">
            <v>Spare Xfmr #22- 34-4, 14MVA w-LTC</v>
          </cell>
          <cell r="C1761" t="str">
            <v>09E-ELECTRICAL ENGINEERING</v>
          </cell>
        </row>
        <row r="1762">
          <cell r="A1762">
            <v>19475</v>
          </cell>
          <cell r="B1762" t="str">
            <v>SPIRIT AIRPORT RELO OH PRIMARY</v>
          </cell>
          <cell r="C1762" t="str">
            <v>053-ELLISVILLE DISTRICT</v>
          </cell>
        </row>
        <row r="1763">
          <cell r="A1763">
            <v>19476</v>
          </cell>
          <cell r="B1763" t="str">
            <v>HAWKS LANDING PHASE 1</v>
          </cell>
          <cell r="C1763" t="str">
            <v>070-JEFFERSON</v>
          </cell>
        </row>
        <row r="1764">
          <cell r="A1764">
            <v>19478</v>
          </cell>
          <cell r="B1764" t="str">
            <v>SHOP AND SAVE CHARBONIER ROAD WIDEN</v>
          </cell>
          <cell r="C1764" t="str">
            <v>055-BERKELEY</v>
          </cell>
        </row>
        <row r="1765">
          <cell r="A1765">
            <v>19481</v>
          </cell>
          <cell r="B1765" t="str">
            <v>TS UPR RES FAIL PRELIM INVEST, ENG</v>
          </cell>
          <cell r="C1765" t="str">
            <v>46C-TAUM SAUK PLANT MAINTENANCE</v>
          </cell>
        </row>
        <row r="1766">
          <cell r="A1766">
            <v>19482</v>
          </cell>
          <cell r="B1766" t="str">
            <v>GAS MAIN EXT FOR ARBOR LAKEDEVELOPM</v>
          </cell>
          <cell r="C1766" t="str">
            <v>92J-MARYVILLE</v>
          </cell>
        </row>
        <row r="1767">
          <cell r="A1767">
            <v>19485</v>
          </cell>
          <cell r="B1767" t="str">
            <v>TS - JOHNSON SHUT-INS DISTRIBUTION</v>
          </cell>
          <cell r="C1767" t="str">
            <v>46A-TAUM SAUK PLANT GENERAL &amp; BUD</v>
          </cell>
        </row>
        <row r="1768">
          <cell r="A1768">
            <v>19487</v>
          </cell>
          <cell r="B1768" t="str">
            <v>UG PRI FOR EDWARDSVILLE CROSSING</v>
          </cell>
          <cell r="C1768" t="str">
            <v>92J-MARYVILLE</v>
          </cell>
        </row>
        <row r="1769">
          <cell r="A1769">
            <v>19511</v>
          </cell>
          <cell r="B1769" t="str">
            <v>CNV-SALE OF GALESBURG SA BUILDING</v>
          </cell>
          <cell r="C1769" t="str">
            <v>061-REAL ESTATE</v>
          </cell>
        </row>
        <row r="1770">
          <cell r="A1770">
            <v>19514</v>
          </cell>
          <cell r="B1770" t="str">
            <v>E.Galesburg -Repl. 2 Sw., Relay Pnl</v>
          </cell>
          <cell r="C1770" t="str">
            <v>09E-ELECTRICAL ENGINEERING</v>
          </cell>
        </row>
        <row r="1771">
          <cell r="A1771">
            <v>19520</v>
          </cell>
          <cell r="B1771" t="str">
            <v>CNV-SALE OF DANVILLE BUILDING</v>
          </cell>
          <cell r="C1771" t="str">
            <v>061-REAL ESTATE</v>
          </cell>
        </row>
        <row r="1772">
          <cell r="A1772">
            <v>19527</v>
          </cell>
          <cell r="B1772" t="str">
            <v>INSTALL UG ELEC  WOODBINE PARK EST</v>
          </cell>
          <cell r="C1772" t="str">
            <v>92Q-DECATUR</v>
          </cell>
        </row>
        <row r="1773">
          <cell r="A1773">
            <v>19548</v>
          </cell>
          <cell r="B1773" t="str">
            <v>REL FAC FOR IDOT PROJ. RT 81 &amp; 78</v>
          </cell>
          <cell r="C1773" t="str">
            <v>93C-KEWANEE - LOCAL PRESENCE</v>
          </cell>
        </row>
        <row r="1774">
          <cell r="A1774">
            <v>19552</v>
          </cell>
          <cell r="B1774" t="str">
            <v>BOMPART ROAD WIDENING</v>
          </cell>
          <cell r="C1774" t="str">
            <v>052-MACKENZIE</v>
          </cell>
        </row>
        <row r="1775">
          <cell r="A1775">
            <v>19553</v>
          </cell>
          <cell r="B1775" t="str">
            <v>Jacksonville MGP Property Purchases</v>
          </cell>
          <cell r="C1775" t="str">
            <v>49B-ESH - WASTE</v>
          </cell>
        </row>
        <row r="1776">
          <cell r="A1776">
            <v>19556</v>
          </cell>
          <cell r="B1776" t="str">
            <v>UG ELEC FOR MILBURN ESTATES</v>
          </cell>
          <cell r="C1776" t="str">
            <v>92J-MARYVILLE</v>
          </cell>
        </row>
        <row r="1777">
          <cell r="A1777">
            <v>19557</v>
          </cell>
          <cell r="B1777" t="str">
            <v>METROLINK SKINKER 1ST 34KV SUPPLY</v>
          </cell>
          <cell r="C1777" t="str">
            <v>056-GERALDINE</v>
          </cell>
        </row>
        <row r="1778">
          <cell r="A1778">
            <v>19560</v>
          </cell>
          <cell r="B1778" t="str">
            <v>IRON COUNTY HOSPITAL</v>
          </cell>
          <cell r="C1778" t="str">
            <v>0PT-POTOSI</v>
          </cell>
        </row>
        <row r="1779">
          <cell r="A1779">
            <v>19574</v>
          </cell>
          <cell r="B1779" t="str">
            <v xml:space="preserve">UG ELEC WILLOW WALK SUBD PHASE I_x000D_
</v>
          </cell>
          <cell r="C1779" t="str">
            <v>93B-BELLEVILLE</v>
          </cell>
        </row>
        <row r="1780">
          <cell r="A1780">
            <v>19578</v>
          </cell>
          <cell r="B1780" t="str">
            <v>LAKEVIEW COMMERCE PARK PH.2</v>
          </cell>
          <cell r="C1780" t="str">
            <v>014-ALTON DISTRICT</v>
          </cell>
        </row>
        <row r="1781">
          <cell r="A1781">
            <v>19580</v>
          </cell>
          <cell r="B1781" t="str">
            <v>WINTER AVE/BOWMAN AVE RELOCATION</v>
          </cell>
          <cell r="C1781" t="str">
            <v>91L-CHAMPAIGN/URBANA GAS OPS</v>
          </cell>
        </row>
        <row r="1782">
          <cell r="A1782">
            <v>19586</v>
          </cell>
          <cell r="B1782" t="str">
            <v>Champaign Kirby Ave-Ckt 822 VXE Rcl</v>
          </cell>
          <cell r="C1782" t="str">
            <v>09E-ELECTRICAL ENGINEERING</v>
          </cell>
        </row>
        <row r="1783">
          <cell r="A1783">
            <v>19587</v>
          </cell>
          <cell r="B1783" t="str">
            <v>Roxford-Upg 138kV Posns. E &amp; J</v>
          </cell>
          <cell r="C1783" t="str">
            <v>09E-ELECTRICAL ENGINEERING</v>
          </cell>
        </row>
        <row r="1784">
          <cell r="A1784">
            <v>19588</v>
          </cell>
          <cell r="B1784" t="str">
            <v>MSD-Coldwater, 2-Unit Cust. Sub.</v>
          </cell>
          <cell r="C1784" t="str">
            <v>09E-ELECTRICAL ENGINEERING</v>
          </cell>
        </row>
        <row r="1785">
          <cell r="A1785">
            <v>19592</v>
          </cell>
          <cell r="B1785" t="str">
            <v>ST LOUIS COUNTY - OLD STATE RD</v>
          </cell>
          <cell r="C1785" t="str">
            <v>053-ELLISVILLE DISTRICT</v>
          </cell>
        </row>
        <row r="1786">
          <cell r="A1786">
            <v>19593</v>
          </cell>
          <cell r="B1786" t="str">
            <v>Duck Creek -Repl. 1-345kV ATB Brkr</v>
          </cell>
          <cell r="C1786" t="str">
            <v>09E-ELECTRICAL ENGINEERING</v>
          </cell>
        </row>
        <row r="1787">
          <cell r="A1787">
            <v>19595</v>
          </cell>
          <cell r="B1787" t="str">
            <v>CARB-91 HWY 61 RELOCATION</v>
          </cell>
          <cell r="C1787" t="str">
            <v>7KS-GREEN HILLS DIST SUPPORT</v>
          </cell>
        </row>
        <row r="1788">
          <cell r="A1788">
            <v>19598</v>
          </cell>
          <cell r="B1788" t="str">
            <v>Farmington Rd IDOT Dist 4 Relocate</v>
          </cell>
          <cell r="C1788" t="str">
            <v>628-PEORIA GAS CONSTRUCTION</v>
          </cell>
        </row>
        <row r="1789">
          <cell r="A1789">
            <v>19599</v>
          </cell>
          <cell r="B1789" t="str">
            <v>NEW POWER PLANT DEVELOPMENT ACTIVIT</v>
          </cell>
          <cell r="C1789" t="str">
            <v>09V-NEW GEN &amp; ENV PROJECTS</v>
          </cell>
        </row>
        <row r="1790">
          <cell r="A1790">
            <v>19600</v>
          </cell>
          <cell r="B1790" t="str">
            <v>GRAND TOWER RELOCATE VENICE AUX BLR</v>
          </cell>
          <cell r="C1790" t="str">
            <v>09M-GENERATION PROJECT ENGINEERING</v>
          </cell>
        </row>
        <row r="1791">
          <cell r="A1791">
            <v>19601</v>
          </cell>
          <cell r="B1791" t="str">
            <v>ESTR-73-2ndPART-RECONDUCTOR</v>
          </cell>
          <cell r="C1791" t="str">
            <v>0PT-POTOSI</v>
          </cell>
        </row>
        <row r="1792">
          <cell r="A1792">
            <v>19604</v>
          </cell>
          <cell r="B1792" t="str">
            <v>Shoppes at St Clair Sq - Relocation</v>
          </cell>
          <cell r="C1792" t="str">
            <v>015-ILLINOIS DISTRICT-E. ST. LOUIS</v>
          </cell>
        </row>
        <row r="1793">
          <cell r="A1793">
            <v>19612</v>
          </cell>
          <cell r="B1793" t="str">
            <v>CTG INTEGRATION</v>
          </cell>
          <cell r="C1793" t="str">
            <v>06H-NEO - ENTERPRISE NETWORKING</v>
          </cell>
        </row>
        <row r="1794">
          <cell r="A1794">
            <v>19618</v>
          </cell>
          <cell r="B1794" t="str">
            <v>VENICE - SWITCHGEAR UPGRADES</v>
          </cell>
          <cell r="C1794" t="str">
            <v>09M-GENERATION PROJECT ENGINEERING</v>
          </cell>
        </row>
        <row r="1795">
          <cell r="A1795">
            <v>19623</v>
          </cell>
          <cell r="B1795" t="str">
            <v>PINCKNEYVILLE - SWITCHGEAR UPGRADES</v>
          </cell>
          <cell r="C1795" t="str">
            <v>09M-GENERATION PROJECT ENGINEERING</v>
          </cell>
        </row>
        <row r="1796">
          <cell r="A1796">
            <v>19626</v>
          </cell>
          <cell r="B1796" t="str">
            <v>CNV-OTTAWA SERVICE UNIT</v>
          </cell>
          <cell r="C1796" t="str">
            <v>061-REAL ESTATE</v>
          </cell>
        </row>
        <row r="1797">
          <cell r="A1797">
            <v>19630</v>
          </cell>
          <cell r="B1797" t="str">
            <v>Relocate 34.5kv at switchyards, GC</v>
          </cell>
          <cell r="C1797" t="str">
            <v>92J-MARYVILLE</v>
          </cell>
        </row>
        <row r="1798">
          <cell r="A1798">
            <v>19631</v>
          </cell>
          <cell r="B1798" t="str">
            <v>Troy-Pike Tap -New Hope-AECI -REIMB</v>
          </cell>
          <cell r="C1798" t="str">
            <v>09E-ELECTRICAL ENGINEERING</v>
          </cell>
        </row>
        <row r="1799">
          <cell r="A1799">
            <v>19639</v>
          </cell>
          <cell r="B1799" t="str">
            <v>KEOKUK SPILLWAY APRON INSTALLATIONS</v>
          </cell>
          <cell r="C1799" t="str">
            <v>09M-GENERATION PROJECT ENGINEERING</v>
          </cell>
        </row>
        <row r="1800">
          <cell r="A1800">
            <v>19645</v>
          </cell>
          <cell r="B1800" t="str">
            <v>Truman Parkway Realignment</v>
          </cell>
          <cell r="C1800" t="str">
            <v>072-BUILDING SERVICES-MO</v>
          </cell>
        </row>
        <row r="1801">
          <cell r="A1801">
            <v>19646</v>
          </cell>
          <cell r="B1801" t="str">
            <v>SIOUX WFGD TRANSMISSION UPGRADES</v>
          </cell>
          <cell r="C1801" t="str">
            <v>09V-NEW GEN &amp; ENV PROJECTS</v>
          </cell>
        </row>
        <row r="1802">
          <cell r="A1802">
            <v>19649</v>
          </cell>
          <cell r="B1802" t="str">
            <v>SIOUX WFGD SUBSTATION</v>
          </cell>
          <cell r="C1802" t="str">
            <v>09V-NEW GEN &amp; ENV PROJECTS</v>
          </cell>
        </row>
        <row r="1803">
          <cell r="A1803">
            <v>19650</v>
          </cell>
          <cell r="B1803" t="str">
            <v>Saddle Creek - New 138-34kV Sub</v>
          </cell>
          <cell r="C1803" t="str">
            <v>09E-ELECTRICAL ENGINEERING</v>
          </cell>
        </row>
        <row r="1804">
          <cell r="A1804">
            <v>19651</v>
          </cell>
          <cell r="B1804" t="str">
            <v>HOMESTEAD ESTATES</v>
          </cell>
          <cell r="C1804" t="str">
            <v>053-ELLISVILLE DISTRICT</v>
          </cell>
        </row>
        <row r="1805">
          <cell r="A1805">
            <v>19655</v>
          </cell>
          <cell r="B1805" t="str">
            <v>MACOMB - IL 336 WEST OF MACOMB</v>
          </cell>
          <cell r="C1805" t="str">
            <v>8MS-DIVISION II SUPPORT STAFF</v>
          </cell>
        </row>
        <row r="1806">
          <cell r="A1806">
            <v>19661</v>
          </cell>
          <cell r="B1806" t="str">
            <v>IDOT GAS MAIN RELOCATE, RTE 50</v>
          </cell>
          <cell r="C1806" t="str">
            <v>92A-MT. VERNON</v>
          </cell>
        </row>
        <row r="1807">
          <cell r="A1807">
            <v>19682</v>
          </cell>
          <cell r="B1807" t="str">
            <v>LABADIE INTAKE STRUCT. IMPROVEMENT</v>
          </cell>
          <cell r="C1807" t="str">
            <v>09M-GENERATION PROJECT ENGINEERING</v>
          </cell>
        </row>
        <row r="1808">
          <cell r="A1808">
            <v>19697</v>
          </cell>
          <cell r="B1808" t="str">
            <v>SL - PINCKNEYVILLE CTG SITE</v>
          </cell>
          <cell r="C1808" t="str">
            <v>061-REAL ESTATE</v>
          </cell>
        </row>
        <row r="1809">
          <cell r="A1809">
            <v>19700</v>
          </cell>
          <cell r="B1809" t="str">
            <v>OSAGE SECURITY BARRIER REPLACEMENT</v>
          </cell>
          <cell r="C1809" t="str">
            <v>09M-GENERATION PROJECT ENGINEERING</v>
          </cell>
        </row>
        <row r="1810">
          <cell r="A1810">
            <v>19704</v>
          </cell>
          <cell r="B1810" t="str">
            <v>Fields Crossing Subdivision</v>
          </cell>
          <cell r="C1810" t="str">
            <v>628-PEORIA GAS CONSTRUCTION</v>
          </cell>
        </row>
        <row r="1811">
          <cell r="A1811">
            <v>19705</v>
          </cell>
          <cell r="B1811" t="str">
            <v>EXPRESS SCRIPTS PERMANENT RELOCATIO</v>
          </cell>
          <cell r="C1811" t="str">
            <v>055-BERKELEY</v>
          </cell>
        </row>
        <row r="1812">
          <cell r="A1812">
            <v>19712</v>
          </cell>
          <cell r="B1812" t="str">
            <v>MODOT OLIVE AND 170 INTERCHANGE</v>
          </cell>
          <cell r="C1812" t="str">
            <v>055-BERKELEY</v>
          </cell>
        </row>
        <row r="1813">
          <cell r="A1813">
            <v>19714</v>
          </cell>
          <cell r="B1813" t="str">
            <v>SLU MEDICAL RESEARCH PERMANENT SERV</v>
          </cell>
          <cell r="C1813" t="str">
            <v>036-UNDERGROUND</v>
          </cell>
        </row>
        <row r="1814">
          <cell r="A1814">
            <v>19715</v>
          </cell>
          <cell r="B1814" t="str">
            <v>CITY OF OTTAWA - WEST STEVENSON RD</v>
          </cell>
          <cell r="C1814" t="str">
            <v>92D-LASALLE</v>
          </cell>
        </row>
        <row r="1815">
          <cell r="A1815">
            <v>19725</v>
          </cell>
          <cell r="B1815" t="str">
            <v>THE ESTATES AT DEER HOLLOW</v>
          </cell>
          <cell r="C1815" t="str">
            <v>053-ELLISVILLE DISTRICT</v>
          </cell>
        </row>
        <row r="1816">
          <cell r="A1816">
            <v>19727</v>
          </cell>
          <cell r="B1816" t="str">
            <v>SIOUX WFGD RELOCATIONS</v>
          </cell>
          <cell r="C1816" t="str">
            <v>09V-NEW GEN &amp; ENV PROJECTS</v>
          </cell>
        </row>
        <row r="1817">
          <cell r="A1817">
            <v>19743</v>
          </cell>
          <cell r="B1817" t="str">
            <v>Cullom, SE - Modify 4kV Bus (Reimb)</v>
          </cell>
          <cell r="C1817" t="str">
            <v>09E-ELECTRICAL ENGINEERING</v>
          </cell>
        </row>
        <row r="1818">
          <cell r="A1818">
            <v>19752</v>
          </cell>
          <cell r="B1818" t="str">
            <v>HANLEY STATION OH TO UG RELOCATION</v>
          </cell>
          <cell r="C1818" t="str">
            <v>056-GERALDINE</v>
          </cell>
        </row>
        <row r="1819">
          <cell r="A1819">
            <v>19755</v>
          </cell>
          <cell r="B1819" t="str">
            <v>MANHASSET VILLAGE OH TO UG RELOCATI</v>
          </cell>
          <cell r="C1819" t="str">
            <v>056-GERALDINE</v>
          </cell>
        </row>
        <row r="1820">
          <cell r="A1820">
            <v>19761</v>
          </cell>
          <cell r="B1820" t="str">
            <v>Shelbyville, Chicap-Modify (Reimb)</v>
          </cell>
          <cell r="C1820" t="str">
            <v>09E-ELECTRICAL ENGINEERING</v>
          </cell>
        </row>
        <row r="1821">
          <cell r="A1821">
            <v>19773</v>
          </cell>
          <cell r="B1821" t="str">
            <v>Montgomery - Repl. 345kV ATB - V31</v>
          </cell>
          <cell r="C1821" t="str">
            <v>09E-ELECTRICAL ENGINEERING</v>
          </cell>
        </row>
        <row r="1822">
          <cell r="A1822">
            <v>19774</v>
          </cell>
          <cell r="B1822" t="str">
            <v>MODOT J6P1562 Relocation Hwy 30/47</v>
          </cell>
          <cell r="C1822" t="str">
            <v>068-FRANKLIN DISTRICT</v>
          </cell>
        </row>
        <row r="1823">
          <cell r="A1823">
            <v>19780</v>
          </cell>
          <cell r="B1823" t="str">
            <v>RELOCATE MAIN - BOWMAN &amp; WINTER AVE</v>
          </cell>
          <cell r="C1823" t="str">
            <v>0G5-GAS TECH SERVICES - IPC</v>
          </cell>
        </row>
        <row r="1824">
          <cell r="A1824">
            <v>19790</v>
          </cell>
          <cell r="B1824" t="str">
            <v>LINCOLN - REPL GAS DETECTION SYSTEM</v>
          </cell>
          <cell r="C1824" t="str">
            <v>0G6-GAS STORAGE</v>
          </cell>
        </row>
        <row r="1825">
          <cell r="A1825">
            <v>19797</v>
          </cell>
          <cell r="B1825" t="str">
            <v>CENTRALIA - REPL MOTOR CONTROLS</v>
          </cell>
          <cell r="C1825" t="str">
            <v>0G6-GAS STORAGE</v>
          </cell>
        </row>
        <row r="1826">
          <cell r="A1826">
            <v>19804</v>
          </cell>
          <cell r="B1826" t="str">
            <v>CENTRALIA - REPL GAS COOLING FAN</v>
          </cell>
          <cell r="C1826" t="str">
            <v>0G6-GAS STORAGE</v>
          </cell>
        </row>
        <row r="1827">
          <cell r="A1827">
            <v>19805</v>
          </cell>
          <cell r="B1827" t="str">
            <v>CENTRALIA - REPL MOTOR STARTERS</v>
          </cell>
          <cell r="C1827" t="str">
            <v>0G6-GAS STORAGE</v>
          </cell>
        </row>
        <row r="1828">
          <cell r="A1828">
            <v>19806</v>
          </cell>
          <cell r="B1828" t="str">
            <v>CENTRALIA - INSTALL GAS GENERATOR</v>
          </cell>
          <cell r="C1828" t="str">
            <v>0G6-GAS STORAGE</v>
          </cell>
        </row>
        <row r="1829">
          <cell r="A1829">
            <v>19807</v>
          </cell>
          <cell r="B1829" t="str">
            <v>HOOKDALE - STORAGE BLDG ADDITION</v>
          </cell>
          <cell r="C1829" t="str">
            <v>0G6-GAS STORAGE</v>
          </cell>
        </row>
        <row r="1830">
          <cell r="A1830">
            <v>19808</v>
          </cell>
          <cell r="B1830" t="str">
            <v>New CTG Gas SCADA</v>
          </cell>
          <cell r="C1830" t="str">
            <v>361-AUDRAIN CTG</v>
          </cell>
        </row>
        <row r="1831">
          <cell r="A1831">
            <v>19809</v>
          </cell>
          <cell r="B1831" t="str">
            <v>REPAIRS - PIPELINE INTEG - IP</v>
          </cell>
          <cell r="C1831" t="str">
            <v>0G5-GAS TECH SERVICES - IPC</v>
          </cell>
        </row>
        <row r="1832">
          <cell r="A1832">
            <v>19827</v>
          </cell>
          <cell r="B1832" t="str">
            <v>REPAIRS - PIPELINE INTEG - UE</v>
          </cell>
          <cell r="C1832" t="str">
            <v>0G3-GAS TECH SERVICES - UEC</v>
          </cell>
        </row>
        <row r="1833">
          <cell r="A1833">
            <v>19828</v>
          </cell>
          <cell r="B1833" t="str">
            <v>REPAIRS - PIPELINE INTEG - CIPS</v>
          </cell>
          <cell r="C1833" t="str">
            <v>0G1-GAS TECH SERVICES - CIP</v>
          </cell>
        </row>
        <row r="1834">
          <cell r="A1834">
            <v>19829</v>
          </cell>
          <cell r="B1834" t="str">
            <v>INSTALL TRANS BLOW DOWN VALVES CIP</v>
          </cell>
          <cell r="C1834" t="str">
            <v>0G1-GAS TECH SERVICES - CIP</v>
          </cell>
        </row>
        <row r="1835">
          <cell r="A1835">
            <v>19838</v>
          </cell>
          <cell r="B1835" t="str">
            <v>REPAIRS - PIPELINE INTEG - CILCO</v>
          </cell>
          <cell r="C1835" t="str">
            <v>0G4-GAS TECH SERVICES - CIL</v>
          </cell>
        </row>
        <row r="1836">
          <cell r="A1836">
            <v>19839</v>
          </cell>
          <cell r="B1836" t="str">
            <v>INSTALL TRANS BLOW DOWN VALVES CIL</v>
          </cell>
          <cell r="C1836" t="str">
            <v>0G4-GAS TECH SERVICES - CIL</v>
          </cell>
        </row>
        <row r="1837">
          <cell r="A1837">
            <v>19841</v>
          </cell>
          <cell r="B1837" t="str">
            <v>ODORIZER ENCLOSURES</v>
          </cell>
          <cell r="C1837" t="str">
            <v>0G4-GAS TECH SERVICES - CIL</v>
          </cell>
        </row>
        <row r="1838">
          <cell r="A1838">
            <v>19843</v>
          </cell>
          <cell r="B1838" t="str">
            <v>MoDot Bridge Replacement Iron Co.</v>
          </cell>
          <cell r="C1838" t="str">
            <v>0PT-POTOSI</v>
          </cell>
        </row>
        <row r="1839">
          <cell r="A1839">
            <v>19844</v>
          </cell>
          <cell r="B1839" t="str">
            <v>MoDot Bridge Replacement Wash Co.</v>
          </cell>
          <cell r="C1839" t="str">
            <v>0PT-POTOSI</v>
          </cell>
        </row>
        <row r="1840">
          <cell r="A1840">
            <v>19852</v>
          </cell>
          <cell r="B1840" t="str">
            <v>Route 29 Improvement</v>
          </cell>
          <cell r="C1840" t="str">
            <v>618-CENTRAL ELECTRIC</v>
          </cell>
        </row>
        <row r="1841">
          <cell r="A1841">
            <v>19853</v>
          </cell>
          <cell r="B1841" t="str">
            <v>CHAIN OF ROCKS LEVEE - VEN-76</v>
          </cell>
          <cell r="C1841" t="str">
            <v>015-ILLINOIS DISTRICT-E. ST. LOUIS</v>
          </cell>
        </row>
        <row r="1842">
          <cell r="A1842">
            <v>19859</v>
          </cell>
          <cell r="B1842" t="str">
            <v>EDE U3 ID Fan Damper Drives</v>
          </cell>
          <cell r="C1842" t="str">
            <v>62A-EDWARDS PLANT GENERAL</v>
          </cell>
        </row>
        <row r="1843">
          <cell r="A1843">
            <v>19864</v>
          </cell>
          <cell r="B1843" t="str">
            <v>RELOC 4 IN PIPE RT 159 RICHLAND SUB</v>
          </cell>
          <cell r="C1843" t="str">
            <v>0G5-GAS TECH SERVICES - IPC</v>
          </cell>
        </row>
        <row r="1844">
          <cell r="A1844">
            <v>19867</v>
          </cell>
          <cell r="B1844" t="str">
            <v>CNV-E1830 - E GALESBURG - REPLACE</v>
          </cell>
          <cell r="C1844" t="str">
            <v>09E-ELECTRICAL ENGINEERING</v>
          </cell>
        </row>
        <row r="1845">
          <cell r="A1845">
            <v>19877</v>
          </cell>
          <cell r="B1845" t="str">
            <v>CNV-LILLY - CKT 260LINE 3390</v>
          </cell>
          <cell r="C1845" t="str">
            <v>09E-ELECTRICAL ENGINEERING</v>
          </cell>
        </row>
        <row r="1846">
          <cell r="A1846">
            <v>19878</v>
          </cell>
          <cell r="B1846" t="str">
            <v>CNV-3359 AND 3360 - UPGRADES</v>
          </cell>
          <cell r="C1846" t="str">
            <v>09E-ELECTRICAL ENGINEERING</v>
          </cell>
        </row>
        <row r="1847">
          <cell r="A1847">
            <v>19882</v>
          </cell>
          <cell r="B1847" t="str">
            <v>SL - Osage Property</v>
          </cell>
          <cell r="C1847" t="str">
            <v>061-REAL ESTATE</v>
          </cell>
        </row>
        <row r="1848">
          <cell r="A1848">
            <v>19883</v>
          </cell>
          <cell r="B1848" t="str">
            <v>HAZELWOOD COMMERCE OH</v>
          </cell>
          <cell r="C1848" t="str">
            <v>055-BERKELEY</v>
          </cell>
        </row>
        <row r="1849">
          <cell r="A1849">
            <v>19884</v>
          </cell>
          <cell r="B1849" t="str">
            <v>URBANA PERKINS RD SUB-ADD CKT SWCH</v>
          </cell>
          <cell r="C1849" t="str">
            <v>09E-ELECTRICAL ENGINEERING</v>
          </cell>
        </row>
        <row r="1850">
          <cell r="A1850">
            <v>19902</v>
          </cell>
          <cell r="B1850" t="str">
            <v>CNV-SELL OF DECATUR HEADQUARTERS</v>
          </cell>
          <cell r="C1850" t="str">
            <v>061-REAL ESTATE</v>
          </cell>
        </row>
        <row r="1851">
          <cell r="A1851">
            <v>19905</v>
          </cell>
          <cell r="B1851" t="str">
            <v>INTERCTY MAIN RPL NORTH OF MATTOON</v>
          </cell>
          <cell r="C1851" t="str">
            <v>0G1-GAS TECH SERVICES - CIP</v>
          </cell>
        </row>
        <row r="1852">
          <cell r="A1852">
            <v>19918</v>
          </cell>
          <cell r="B1852" t="str">
            <v>CNV-2890 - COLLINSVILLE FAIRMOUNT</v>
          </cell>
          <cell r="C1852" t="str">
            <v>91A-IL OPS ADMIN</v>
          </cell>
        </row>
        <row r="1853">
          <cell r="A1853">
            <v>19919</v>
          </cell>
          <cell r="B1853" t="str">
            <v>CNV-HAVANA STA UPGRADE OCB 1422BRK</v>
          </cell>
          <cell r="C1853" t="str">
            <v>09E-ELECTRICAL ENGINEERING</v>
          </cell>
        </row>
        <row r="1854">
          <cell r="A1854">
            <v>19921</v>
          </cell>
          <cell r="B1854" t="str">
            <v>CNV-RELOCATE 8 IN. STEEL GAS MAIN</v>
          </cell>
          <cell r="C1854" t="str">
            <v>91A-IL OPS ADMIN</v>
          </cell>
        </row>
        <row r="1855">
          <cell r="A1855">
            <v>19923</v>
          </cell>
          <cell r="B1855" t="str">
            <v>CNV-BUILD NEW GAS DIST. STATION</v>
          </cell>
          <cell r="C1855" t="str">
            <v>91A-IL OPS ADMIN</v>
          </cell>
        </row>
        <row r="1856">
          <cell r="A1856">
            <v>19924</v>
          </cell>
          <cell r="B1856" t="str">
            <v>CNV-WEDRON SUB - ADD CAP BANK</v>
          </cell>
          <cell r="C1856" t="str">
            <v>09E-ELECTRICAL ENGINEERING</v>
          </cell>
        </row>
        <row r="1857">
          <cell r="A1857">
            <v>19932</v>
          </cell>
          <cell r="B1857" t="str">
            <v>CNV-BLOOM NORMAL EAST - SPCC</v>
          </cell>
          <cell r="C1857" t="str">
            <v>91A-IL OPS ADMIN</v>
          </cell>
        </row>
        <row r="1858">
          <cell r="A1858">
            <v>19934</v>
          </cell>
          <cell r="B1858" t="str">
            <v>CNV-E. BELLEVILLE (2844) SPCC</v>
          </cell>
          <cell r="C1858" t="str">
            <v>91A-IL OPS ADMIN</v>
          </cell>
        </row>
        <row r="1859">
          <cell r="A1859">
            <v>19938</v>
          </cell>
          <cell r="B1859" t="str">
            <v>CNV-BRUSH COLLEGE (2798) SPCC</v>
          </cell>
          <cell r="C1859" t="str">
            <v>09E-ELECTRICAL ENGINEERING</v>
          </cell>
        </row>
        <row r="1860">
          <cell r="A1860">
            <v>19939</v>
          </cell>
          <cell r="B1860" t="str">
            <v>CNV-CHAMPAIGN OAK ST (2021) - UPGR</v>
          </cell>
          <cell r="C1860" t="str">
            <v>09E-ELECTRICAL ENGINEERING</v>
          </cell>
        </row>
        <row r="1861">
          <cell r="A1861">
            <v>19940</v>
          </cell>
          <cell r="B1861" t="str">
            <v>CNV-GALVA SUB (2060) - REPL REGS</v>
          </cell>
          <cell r="C1861" t="str">
            <v>09E-ELECTRICAL ENGINEERING</v>
          </cell>
        </row>
        <row r="1862">
          <cell r="A1862">
            <v>19941</v>
          </cell>
          <cell r="B1862" t="str">
            <v>CNV-WAMAC SWAN - INCREASE CAPACITY</v>
          </cell>
          <cell r="C1862" t="str">
            <v>09E-ELECTRICAL ENGINEERING</v>
          </cell>
        </row>
        <row r="1863">
          <cell r="A1863">
            <v>19984</v>
          </cell>
          <cell r="B1863" t="str">
            <v>CNV-S PLEASANT (2019) - REPL REGS</v>
          </cell>
          <cell r="C1863" t="str">
            <v>09E-ELECTRICAL ENGINEERING</v>
          </cell>
        </row>
        <row r="1864">
          <cell r="A1864">
            <v>19990</v>
          </cell>
          <cell r="B1864" t="str">
            <v>CITY OF VALLEY PARK 0006-01-4</v>
          </cell>
          <cell r="C1864" t="str">
            <v>027-DORSETT</v>
          </cell>
        </row>
        <row r="1865">
          <cell r="A1865">
            <v>20007</v>
          </cell>
          <cell r="B1865" t="str">
            <v>Champaign Kirby Ave-Rpl Hookstick</v>
          </cell>
          <cell r="C1865" t="str">
            <v>09E-ELECTRICAL ENGINEERING</v>
          </cell>
        </row>
        <row r="1866">
          <cell r="A1866">
            <v>20008</v>
          </cell>
          <cell r="B1866" t="str">
            <v>Urbana Goodwin Ave-Rpl Hookstick</v>
          </cell>
          <cell r="C1866" t="str">
            <v>09E-ELECTRICAL ENGINEERING</v>
          </cell>
        </row>
        <row r="1867">
          <cell r="A1867">
            <v>20009</v>
          </cell>
          <cell r="B1867" t="str">
            <v>Urbana Philo Road-Rpl Hookstick</v>
          </cell>
          <cell r="C1867" t="str">
            <v>09E-ELECTRICAL ENGINEERING</v>
          </cell>
        </row>
        <row r="1868">
          <cell r="A1868">
            <v>20013</v>
          </cell>
          <cell r="B1868" t="str">
            <v>RELOCATE ,GREEN MOUNT RD &amp; RTE#161</v>
          </cell>
          <cell r="C1868" t="str">
            <v>93B-BELLEVILLE</v>
          </cell>
        </row>
        <row r="1869">
          <cell r="A1869">
            <v>20015</v>
          </cell>
          <cell r="B1869" t="str">
            <v>LBD STATOR LEAK MON SYS AND CT REPL</v>
          </cell>
          <cell r="C1869" t="str">
            <v>09M-GENERATION PROJECT ENGINEERING</v>
          </cell>
        </row>
        <row r="1870">
          <cell r="A1870">
            <v>20017</v>
          </cell>
          <cell r="B1870" t="str">
            <v>SL - WASHINGTON SUB</v>
          </cell>
          <cell r="C1870" t="str">
            <v>061-REAL ESTATE</v>
          </cell>
        </row>
        <row r="1871">
          <cell r="A1871">
            <v>20018</v>
          </cell>
          <cell r="B1871" t="str">
            <v>IDOT 310 WOLF ROAD RELOCATIONS</v>
          </cell>
          <cell r="C1871" t="str">
            <v>014-ALTON DISTRICT</v>
          </cell>
        </row>
        <row r="1872">
          <cell r="A1872">
            <v>20019</v>
          </cell>
          <cell r="B1872" t="str">
            <v>Tennessee - IL 336 Road Improvement</v>
          </cell>
          <cell r="C1872" t="str">
            <v>8MS-DIVISION II SUPPORT STAFF</v>
          </cell>
        </row>
        <row r="1873">
          <cell r="A1873">
            <v>20020</v>
          </cell>
          <cell r="B1873" t="str">
            <v>SLU HIGH SCHOOL RELOCATIONS</v>
          </cell>
          <cell r="C1873" t="str">
            <v>056-GERALDINE</v>
          </cell>
        </row>
        <row r="1874">
          <cell r="A1874">
            <v>20021</v>
          </cell>
          <cell r="B1874" t="str">
            <v>Replace 6 in steel main Madden Crk</v>
          </cell>
          <cell r="C1874" t="str">
            <v>0G5-GAS TECH SERVICES - IPC</v>
          </cell>
        </row>
        <row r="1875">
          <cell r="A1875">
            <v>20022</v>
          </cell>
          <cell r="B1875" t="str">
            <v>CIL Storm 3-12,13-06 Springfld- Gas</v>
          </cell>
          <cell r="C1875" t="str">
            <v>608-SPFLD GAS CONSTRUCTION</v>
          </cell>
        </row>
        <row r="1876">
          <cell r="A1876">
            <v>20023</v>
          </cell>
          <cell r="B1876" t="str">
            <v>Danville Alcoa Oil Spill Containmnt</v>
          </cell>
          <cell r="C1876" t="str">
            <v>09E-ELECTRICAL ENGINEERING</v>
          </cell>
        </row>
        <row r="1877">
          <cell r="A1877">
            <v>20028</v>
          </cell>
          <cell r="B1877" t="str">
            <v>TRUMAN PARKWAY RELOCATIONS, PHASE I</v>
          </cell>
          <cell r="C1877" t="str">
            <v>036-UNDERGROUND</v>
          </cell>
        </row>
        <row r="1878">
          <cell r="A1878">
            <v>20030</v>
          </cell>
          <cell r="B1878" t="str">
            <v>TILDEN - BUILDING ADDITION</v>
          </cell>
          <cell r="C1878" t="str">
            <v>0G6-GAS STORAGE</v>
          </cell>
        </row>
        <row r="1879">
          <cell r="A1879">
            <v>20031</v>
          </cell>
          <cell r="B1879" t="str">
            <v>NEWTON PERMITS &amp; WATER SOURCE OPTNS</v>
          </cell>
          <cell r="C1879" t="str">
            <v>09V-NEW GEN &amp; ENV PROJECTS</v>
          </cell>
        </row>
        <row r="1880">
          <cell r="A1880">
            <v>20042</v>
          </cell>
          <cell r="B1880" t="str">
            <v>CHAMP-URB SETTLEMENT TRACKING</v>
          </cell>
          <cell r="C1880" t="str">
            <v>91L-CHAMPAIGN/URBANA GAS OPS</v>
          </cell>
        </row>
        <row r="1881">
          <cell r="A1881">
            <v>20043</v>
          </cell>
          <cell r="B1881" t="str">
            <v>DUCK CREEK FUEL FLEX PH. 3</v>
          </cell>
          <cell r="C1881" t="str">
            <v>09M-GENERATION PROJECT ENGINEERING</v>
          </cell>
        </row>
        <row r="1882">
          <cell r="A1882">
            <v>20044</v>
          </cell>
          <cell r="B1882" t="str">
            <v>STONEWATER PHS 1 - 124 LOTS</v>
          </cell>
          <cell r="C1882" t="str">
            <v>070-JEFFERSON</v>
          </cell>
        </row>
        <row r="1883">
          <cell r="A1883">
            <v>20048</v>
          </cell>
          <cell r="B1883" t="str">
            <v>Champaign Miller Ave-Rpl 4kV Brks</v>
          </cell>
          <cell r="C1883" t="str">
            <v>09E-ELECTRICAL ENGINEERING</v>
          </cell>
        </row>
        <row r="1884">
          <cell r="A1884">
            <v>20051</v>
          </cell>
          <cell r="B1884" t="str">
            <v>Champaign Walnut St-Rpl Xfmr #1</v>
          </cell>
          <cell r="C1884" t="str">
            <v>09E-ELECTRICAL ENGINEERING</v>
          </cell>
        </row>
        <row r="1885">
          <cell r="A1885">
            <v>20057</v>
          </cell>
          <cell r="B1885" t="str">
            <v>Meramec Unit 3 TSI</v>
          </cell>
          <cell r="C1885" t="str">
            <v>09M-GENERATION PROJECT ENGINEERING</v>
          </cell>
        </row>
        <row r="1886">
          <cell r="A1886">
            <v>20059</v>
          </cell>
          <cell r="B1886" t="str">
            <v>APC Labs-34-12kV, 14MVA Cust Sub</v>
          </cell>
          <cell r="C1886" t="str">
            <v>09E-ELECTRICAL ENGINEERING</v>
          </cell>
        </row>
        <row r="1887">
          <cell r="A1887">
            <v>20060</v>
          </cell>
          <cell r="B1887" t="str">
            <v>AUDRAIN CTG DAHS REPLACEMENT</v>
          </cell>
          <cell r="C1887" t="str">
            <v>09M-GENERATION PROJECT ENGINEERING</v>
          </cell>
        </row>
        <row r="1888">
          <cell r="A1888">
            <v>20061</v>
          </cell>
          <cell r="B1888" t="str">
            <v>GOOSE CTG DAHS REPLACEMENT</v>
          </cell>
          <cell r="C1888" t="str">
            <v>09M-GENERATION PROJECT ENGINEERING</v>
          </cell>
        </row>
        <row r="1889">
          <cell r="A1889">
            <v>20062</v>
          </cell>
          <cell r="B1889" t="str">
            <v>RACCOON CTG DAHSCEMS REPLACEMENT</v>
          </cell>
          <cell r="C1889" t="str">
            <v>09M-GENERATION PROJECT ENGINEERING</v>
          </cell>
        </row>
        <row r="1890">
          <cell r="A1890">
            <v>20064</v>
          </cell>
          <cell r="B1890" t="str">
            <v>Attingham Park Subdivision Phase 1</v>
          </cell>
          <cell r="C1890" t="str">
            <v>617-NORTHERN ELECTRIC</v>
          </cell>
        </row>
        <row r="1891">
          <cell r="A1891">
            <v>20065</v>
          </cell>
          <cell r="B1891" t="str">
            <v>REPLACE REG STATION EH-006</v>
          </cell>
          <cell r="C1891" t="str">
            <v>0G5-GAS TECH SERVICES - IPC</v>
          </cell>
        </row>
        <row r="1892">
          <cell r="A1892">
            <v>20072</v>
          </cell>
          <cell r="B1892" t="str">
            <v>SIOUX CONTROL-EXCITER ROOM HVAC</v>
          </cell>
          <cell r="C1892" t="str">
            <v>09M-GENERATION PROJECT ENGINEERING</v>
          </cell>
        </row>
        <row r="1893">
          <cell r="A1893">
            <v>20073</v>
          </cell>
          <cell r="B1893" t="str">
            <v>IDOT - RTE 89 RR BRIDGE</v>
          </cell>
          <cell r="C1893" t="str">
            <v>92D-LASALLE</v>
          </cell>
        </row>
        <row r="1894">
          <cell r="A1894">
            <v>20074</v>
          </cell>
          <cell r="B1894" t="str">
            <v>CITY OF SPARTA EXT 3 PH TO SEWER PL</v>
          </cell>
          <cell r="C1894" t="str">
            <v>93W-SPARTA - LOCAL PRESENCE</v>
          </cell>
        </row>
        <row r="1895">
          <cell r="A1895">
            <v>20080</v>
          </cell>
          <cell r="B1895" t="str">
            <v>Meramec-Repl.Rel. 2-138 Term-TAMS06</v>
          </cell>
          <cell r="C1895" t="str">
            <v>09E-ELECTRICAL ENGINEERING</v>
          </cell>
        </row>
        <row r="1896">
          <cell r="A1896">
            <v>20082</v>
          </cell>
          <cell r="B1896" t="str">
            <v>Install Reg Sta #CH-042 Maryville</v>
          </cell>
          <cell r="C1896" t="str">
            <v>0G5-GAS TECH SERVICES - IPC</v>
          </cell>
        </row>
        <row r="1897">
          <cell r="A1897">
            <v>20083</v>
          </cell>
          <cell r="B1897" t="str">
            <v>Spare 345kV, 3000A Breaker - UEC</v>
          </cell>
          <cell r="C1897" t="str">
            <v>09E-ELECTRICAL ENGINEERING</v>
          </cell>
        </row>
        <row r="1898">
          <cell r="A1898">
            <v>20084</v>
          </cell>
          <cell r="B1898" t="str">
            <v>MSD COLDWATER CREEK</v>
          </cell>
          <cell r="C1898" t="str">
            <v>055-BERKELEY</v>
          </cell>
        </row>
        <row r="1899">
          <cell r="A1899">
            <v>20087</v>
          </cell>
          <cell r="B1899" t="str">
            <v>TENNESSEE - IDOT RELOCATION PROJECT</v>
          </cell>
          <cell r="C1899" t="str">
            <v>8MS-DIVISION II SUPPORT STAFF</v>
          </cell>
        </row>
        <row r="1900">
          <cell r="A1900">
            <v>20088</v>
          </cell>
          <cell r="B1900" t="str">
            <v xml:space="preserve">MCLEAN COUNTY HIGHWAY 53_x000D_
</v>
          </cell>
          <cell r="C1900" t="str">
            <v>92E-BLOOMINGTON/NORMAL ELEC OPS</v>
          </cell>
        </row>
        <row r="1901">
          <cell r="A1901">
            <v>20091</v>
          </cell>
          <cell r="B1901" t="str">
            <v>DUCK CREEK  SCR UPGRADES</v>
          </cell>
          <cell r="C1901" t="str">
            <v>09V-NEW GEN &amp; ENV PROJECTS</v>
          </cell>
        </row>
        <row r="1902">
          <cell r="A1902">
            <v>20092</v>
          </cell>
          <cell r="B1902" t="str">
            <v>DUCK CREEK ESP UPGRADES</v>
          </cell>
          <cell r="C1902" t="str">
            <v>09V-NEW GEN &amp; ENV PROJECTS</v>
          </cell>
        </row>
        <row r="1903">
          <cell r="A1903">
            <v>20094</v>
          </cell>
          <cell r="B1903" t="str">
            <v>RADNER #7 EXTENSION</v>
          </cell>
          <cell r="C1903" t="str">
            <v>617-NORTHERN ELECTRIC</v>
          </cell>
        </row>
        <row r="1904">
          <cell r="A1904">
            <v>20095</v>
          </cell>
          <cell r="B1904" t="str">
            <v>Illinois Building</v>
          </cell>
          <cell r="C1904" t="str">
            <v>061-REAL ESTATE</v>
          </cell>
        </row>
        <row r="1905">
          <cell r="A1905">
            <v>20096</v>
          </cell>
          <cell r="B1905" t="str">
            <v>Tuscany Trails Subd</v>
          </cell>
          <cell r="C1905" t="str">
            <v>92J-MARYVILLE</v>
          </cell>
        </row>
        <row r="1906">
          <cell r="A1906">
            <v>20097</v>
          </cell>
          <cell r="B1906" t="str">
            <v>REL 6 IN PIPE SYS 3066 GTS-0054</v>
          </cell>
          <cell r="C1906" t="str">
            <v>0G5-GAS TECH SERVICES - IPC</v>
          </cell>
        </row>
        <row r="1907">
          <cell r="A1907">
            <v>20098</v>
          </cell>
          <cell r="B1907" t="str">
            <v>REL 6 IN PIPE SYS 3066 GTS-0053</v>
          </cell>
          <cell r="C1907" t="str">
            <v>0G5-GAS TECH SERVICES - IPC</v>
          </cell>
        </row>
        <row r="1908">
          <cell r="A1908">
            <v>20106</v>
          </cell>
          <cell r="B1908" t="str">
            <v>Bartonville Lafayette Avenue</v>
          </cell>
          <cell r="C1908" t="str">
            <v>628-PEORIA GAS CONSTRUCTION</v>
          </cell>
        </row>
        <row r="1909">
          <cell r="A1909">
            <v>20107</v>
          </cell>
          <cell r="B1909" t="str">
            <v>MEREDOSIA - BLR 4 FD FAN ROTOR</v>
          </cell>
          <cell r="C1909" t="str">
            <v>09M-GENERATION PROJECT ENGINEERING</v>
          </cell>
        </row>
        <row r="1910">
          <cell r="A1910">
            <v>20110</v>
          </cell>
          <cell r="B1910" t="str">
            <v>CANTON ETHANOL PLANT GAS MAIN EXT</v>
          </cell>
          <cell r="C1910" t="str">
            <v>0G1-GAS TECH SERVICES - CIP</v>
          </cell>
        </row>
        <row r="1911">
          <cell r="A1911">
            <v>20111</v>
          </cell>
          <cell r="B1911" t="str">
            <v>Dupo Ferry-Selma -Tap- River Cement</v>
          </cell>
          <cell r="C1911" t="str">
            <v>09E-ELECTRICAL ENGINEERING</v>
          </cell>
        </row>
        <row r="1912">
          <cell r="A1912">
            <v>20112</v>
          </cell>
          <cell r="B1912" t="str">
            <v>NEW FLORENCE - HWY 19 WIDENING</v>
          </cell>
          <cell r="C1912" t="str">
            <v>4MX-LITTLE DIXIE SUPPORT STAFF</v>
          </cell>
        </row>
        <row r="1913">
          <cell r="A1913">
            <v>20116</v>
          </cell>
          <cell r="B1913" t="str">
            <v>Carthage - IDOT Relocation</v>
          </cell>
          <cell r="C1913" t="str">
            <v>8MS-DIVISION II SUPPORT STAFF</v>
          </cell>
        </row>
        <row r="1914">
          <cell r="A1914">
            <v>20117</v>
          </cell>
          <cell r="B1914" t="str">
            <v>MEREDOSIA - UNIT 3 BOILERS UPGRADE</v>
          </cell>
          <cell r="C1914" t="str">
            <v>09M-GENERATION PROJECT ENGINEERING</v>
          </cell>
        </row>
        <row r="1915">
          <cell r="A1915">
            <v>20118</v>
          </cell>
          <cell r="B1915" t="str">
            <v>CFN - REPLACE 480V BUS 2C &amp; 2D</v>
          </cell>
          <cell r="C1915" t="str">
            <v>09M-GENERATION PROJECT ENGINEERING</v>
          </cell>
        </row>
        <row r="1916">
          <cell r="A1916">
            <v>20121</v>
          </cell>
          <cell r="B1916" t="str">
            <v>RI U2 LP TURB A&amp;B RETROFIT</v>
          </cell>
          <cell r="C1916" t="str">
            <v>09M-GENERATION PROJECT ENGINEERING</v>
          </cell>
        </row>
        <row r="1917">
          <cell r="A1917">
            <v>20124</v>
          </cell>
          <cell r="B1917" t="str">
            <v>LAB U2 LP TURB A&amp;B RETROFIT</v>
          </cell>
          <cell r="C1917" t="str">
            <v>09M-GENERATION PROJECT ENGINEERING</v>
          </cell>
        </row>
        <row r="1918">
          <cell r="A1918">
            <v>20125</v>
          </cell>
          <cell r="B1918" t="str">
            <v>RI U1 LP TURB A&amp;B RETROFIT</v>
          </cell>
          <cell r="C1918" t="str">
            <v>09M-GENERATION PROJECT ENGINEERING</v>
          </cell>
        </row>
        <row r="1919">
          <cell r="A1919">
            <v>20126</v>
          </cell>
          <cell r="B1919" t="str">
            <v>LAB U1 LP TURB A&amp;B RETROFIT</v>
          </cell>
          <cell r="C1919" t="str">
            <v>09M-GENERATION PROJECT ENGINEERING</v>
          </cell>
        </row>
        <row r="1920">
          <cell r="A1920">
            <v>20131</v>
          </cell>
          <cell r="B1920" t="str">
            <v>Fargo-Replace Relays on L1347</v>
          </cell>
          <cell r="C1920" t="str">
            <v>09E-ELECTRICAL ENGINEERING</v>
          </cell>
        </row>
        <row r="1921">
          <cell r="A1921">
            <v>20132</v>
          </cell>
          <cell r="B1921" t="str">
            <v>Pioneer-Replace Relays on L1347</v>
          </cell>
          <cell r="C1921" t="str">
            <v>09E-ELECTRICAL ENGINEERING</v>
          </cell>
        </row>
        <row r="1922">
          <cell r="A1922">
            <v>20133</v>
          </cell>
          <cell r="B1922" t="str">
            <v>RI Bottom Ash Piping Replacement</v>
          </cell>
          <cell r="C1922" t="str">
            <v>09M-GENERATION PROJECT ENGINEERING</v>
          </cell>
        </row>
        <row r="1923">
          <cell r="A1923">
            <v>20134</v>
          </cell>
          <cell r="B1923" t="str">
            <v>MODOT I-64 6th STREET OFF-RAMP</v>
          </cell>
          <cell r="C1923" t="str">
            <v>056-GERALDINE</v>
          </cell>
        </row>
        <row r="1924">
          <cell r="A1924">
            <v>20136</v>
          </cell>
          <cell r="B1924" t="str">
            <v>ESTR-73-Star to Richwoods</v>
          </cell>
          <cell r="C1924" t="str">
            <v>0CS-SEMO SUPPORT STAFF</v>
          </cell>
        </row>
        <row r="1925">
          <cell r="A1925">
            <v>20142</v>
          </cell>
          <cell r="B1925" t="str">
            <v>ESTR-73 Reconductor w954aa</v>
          </cell>
          <cell r="C1925" t="str">
            <v>0CS-SEMO SUPPORT STAFF</v>
          </cell>
        </row>
        <row r="1926">
          <cell r="A1926">
            <v>20158</v>
          </cell>
          <cell r="B1926" t="str">
            <v>REG CTG PLANTS - SWGR UPGRADES</v>
          </cell>
          <cell r="C1926" t="str">
            <v>09M-GENERATION PROJECT ENGINEERING</v>
          </cell>
        </row>
        <row r="1927">
          <cell r="A1927">
            <v>20166</v>
          </cell>
          <cell r="B1927" t="str">
            <v>DUCK CREEK - AUX POWER UPGRADE</v>
          </cell>
          <cell r="C1927" t="str">
            <v>09M-GENERATION PROJECT ENGINEERING</v>
          </cell>
        </row>
        <row r="1928">
          <cell r="A1928">
            <v>20167</v>
          </cell>
          <cell r="B1928" t="str">
            <v>NEWTON U1 SCR</v>
          </cell>
          <cell r="C1928" t="str">
            <v>09V-NEW GEN &amp; ENV PROJECTS</v>
          </cell>
        </row>
        <row r="1929">
          <cell r="A1929">
            <v>20168</v>
          </cell>
          <cell r="B1929" t="str">
            <v>DUCK CREEK U1 LP TURBINE RETROFIT</v>
          </cell>
          <cell r="C1929" t="str">
            <v>09M-GENERATION PROJECT ENGINEERING</v>
          </cell>
        </row>
        <row r="1930">
          <cell r="A1930">
            <v>20169</v>
          </cell>
          <cell r="B1930" t="str">
            <v>NEWTON U1 LP TURBINE RETROFIT</v>
          </cell>
          <cell r="C1930" t="str">
            <v>09M-GENERATION PROJECT ENGINEERING</v>
          </cell>
        </row>
        <row r="1931">
          <cell r="A1931">
            <v>20170</v>
          </cell>
          <cell r="B1931" t="str">
            <v>DUCK CREEK U1 BFP TURBINE UPGRADE</v>
          </cell>
          <cell r="C1931" t="str">
            <v>09M-GENERATION PROJECT ENGINEERING</v>
          </cell>
        </row>
        <row r="1932">
          <cell r="A1932">
            <v>20172</v>
          </cell>
          <cell r="B1932" t="str">
            <v>DUCK CREEK BOTTOM ASH HOPPER RPL</v>
          </cell>
          <cell r="C1932" t="str">
            <v>09M-GENERATION PROJECT ENGINEERING</v>
          </cell>
        </row>
        <row r="1933">
          <cell r="A1933">
            <v>20173</v>
          </cell>
          <cell r="B1933" t="str">
            <v>SIOUX CHAR HOPPER IMPROVEMENT</v>
          </cell>
          <cell r="C1933" t="str">
            <v>09M-GENERATION PROJECT ENGINEERING</v>
          </cell>
        </row>
        <row r="1934">
          <cell r="A1934">
            <v>20175</v>
          </cell>
          <cell r="B1934" t="str">
            <v>MERAMEC - MTCE POWER SUBSTATION</v>
          </cell>
          <cell r="C1934" t="str">
            <v>09M-GENERATION PROJECT ENGINEERING</v>
          </cell>
        </row>
        <row r="1935">
          <cell r="A1935">
            <v>20176</v>
          </cell>
          <cell r="B1935" t="str">
            <v>RI - MTCE POWER SUBSTATION PHASE 1</v>
          </cell>
          <cell r="C1935" t="str">
            <v>09M-GENERATION PROJECT ENGINEERING</v>
          </cell>
        </row>
        <row r="1936">
          <cell r="A1936">
            <v>20181</v>
          </cell>
          <cell r="B1936" t="str">
            <v>COFFEEN  U2 ESP NEW CHAMBER ADDS</v>
          </cell>
          <cell r="C1936" t="str">
            <v>09V-NEW GEN &amp; ENV PROJECTS</v>
          </cell>
        </row>
        <row r="1937">
          <cell r="A1937">
            <v>20183</v>
          </cell>
          <cell r="B1937" t="str">
            <v>EDWARDS  U2 ESP NEW CHAMBER ADDS</v>
          </cell>
          <cell r="C1937" t="str">
            <v>09V-NEW GEN &amp; ENV PROJECTS</v>
          </cell>
        </row>
        <row r="1938">
          <cell r="A1938">
            <v>20184</v>
          </cell>
          <cell r="B1938" t="str">
            <v>EDWARDS  U1 ESP NEW CHAMBER ADDS</v>
          </cell>
          <cell r="C1938" t="str">
            <v>09V-NEW GEN &amp; ENV PROJECTS</v>
          </cell>
        </row>
        <row r="1939">
          <cell r="A1939">
            <v>20187</v>
          </cell>
          <cell r="B1939" t="str">
            <v>OSAGE REPLACE HEADWORKS COVERS</v>
          </cell>
          <cell r="C1939" t="str">
            <v>09M-GENERATION PROJECT ENGINEERING</v>
          </cell>
        </row>
        <row r="1940">
          <cell r="A1940">
            <v>20194</v>
          </cell>
          <cell r="B1940" t="str">
            <v>SIOUX WFGD SWITCHYARD MODS</v>
          </cell>
          <cell r="C1940" t="str">
            <v>09V-NEW GEN &amp; ENV PROJECTS</v>
          </cell>
        </row>
        <row r="1941">
          <cell r="A1941">
            <v>20195</v>
          </cell>
          <cell r="B1941" t="str">
            <v>SIOUX WFGD MALINE MODS</v>
          </cell>
          <cell r="C1941" t="str">
            <v>09V-NEW GEN &amp; ENV PROJECTS</v>
          </cell>
        </row>
        <row r="1942">
          <cell r="A1942">
            <v>20209</v>
          </cell>
          <cell r="B1942" t="str">
            <v>Meramec Unit 4 UPS Replacement</v>
          </cell>
          <cell r="C1942" t="str">
            <v>09M-GENERATION PROJECT ENGINEERING</v>
          </cell>
        </row>
        <row r="1943">
          <cell r="A1943">
            <v>20211</v>
          </cell>
          <cell r="B1943" t="str">
            <v>SRC CONSTRUCT OFFICES IN AUDITORIUM</v>
          </cell>
          <cell r="C1943" t="str">
            <v>09M-GENERATION PROJECT ENGINEERING</v>
          </cell>
        </row>
        <row r="1944">
          <cell r="A1944">
            <v>20213</v>
          </cell>
          <cell r="B1944" t="str">
            <v>CFN - REPLACE 480V BUS 2E &amp; 2F</v>
          </cell>
          <cell r="C1944" t="str">
            <v>09M-GENERATION PROJECT ENGINEERING</v>
          </cell>
        </row>
        <row r="1945">
          <cell r="A1945">
            <v>20214</v>
          </cell>
          <cell r="B1945" t="str">
            <v>Tyson-Oil Spill Control</v>
          </cell>
          <cell r="C1945" t="str">
            <v>09E-ELECTRICAL ENGINEERING</v>
          </cell>
        </row>
        <row r="1946">
          <cell r="A1946">
            <v>20215</v>
          </cell>
          <cell r="B1946" t="str">
            <v>Tazewell-Oil Spill Control</v>
          </cell>
          <cell r="C1946" t="str">
            <v>09E-ELECTRICAL ENGINEERING</v>
          </cell>
        </row>
        <row r="1947">
          <cell r="A1947">
            <v>20216</v>
          </cell>
          <cell r="B1947" t="str">
            <v>Neoga South - Oil Spill Control</v>
          </cell>
          <cell r="C1947" t="str">
            <v>09E-ELECTRICAL ENGINEERING</v>
          </cell>
        </row>
        <row r="1948">
          <cell r="A1948">
            <v>20218</v>
          </cell>
          <cell r="B1948" t="str">
            <v>NWT U1 ISOPHASE BUS DUCT COOL</v>
          </cell>
          <cell r="C1948" t="str">
            <v>09M-GENERATION PROJECT ENGINEERING</v>
          </cell>
        </row>
        <row r="1949">
          <cell r="A1949">
            <v>20219</v>
          </cell>
          <cell r="B1949" t="str">
            <v>Labadie Fly Ash Rail Silo</v>
          </cell>
          <cell r="C1949" t="str">
            <v>087-FOSSIL FUELS</v>
          </cell>
        </row>
        <row r="1950">
          <cell r="A1950">
            <v>20223</v>
          </cell>
          <cell r="B1950" t="str">
            <v>KEOKUK 2 MVA EMERG DIESEL GENERATOR</v>
          </cell>
          <cell r="C1950" t="str">
            <v>09M-GENERATION PROJECT ENGINEERING</v>
          </cell>
        </row>
        <row r="1951">
          <cell r="A1951">
            <v>20234</v>
          </cell>
          <cell r="B1951" t="str">
            <v>GIB CITY U1&amp;2 PARTIAL DISCHARGE MON</v>
          </cell>
          <cell r="C1951" t="str">
            <v>09M-GENERATION PROJECT ENGINEERING</v>
          </cell>
        </row>
        <row r="1952">
          <cell r="A1952">
            <v>20235</v>
          </cell>
          <cell r="B1952" t="str">
            <v>MEREDOSIA 2 MVA EMERG DIESEL GEN</v>
          </cell>
          <cell r="C1952" t="str">
            <v>09M-GENERATION PROJECT ENGINEERING</v>
          </cell>
        </row>
        <row r="1953">
          <cell r="A1953">
            <v>20239</v>
          </cell>
          <cell r="B1953" t="str">
            <v>MOON BROTHERS LOFT NEW SERVICE</v>
          </cell>
          <cell r="C1953" t="str">
            <v>056-GERALDINE</v>
          </cell>
        </row>
        <row r="1954">
          <cell r="A1954">
            <v>20258</v>
          </cell>
          <cell r="B1954" t="str">
            <v>DUCK CREEK GENERATOR REWIND</v>
          </cell>
          <cell r="C1954" t="str">
            <v>09M-GENERATION PROJECT ENGINEERING</v>
          </cell>
        </row>
        <row r="1955">
          <cell r="A1955">
            <v>20264</v>
          </cell>
          <cell r="B1955" t="str">
            <v>BALLAS 145-56 REROUTE</v>
          </cell>
          <cell r="C1955" t="str">
            <v>027-DORSETT</v>
          </cell>
        </row>
        <row r="1956">
          <cell r="A1956">
            <v>20266</v>
          </cell>
          <cell r="B1956" t="str">
            <v>CITY OF LADUE WARSON ROAD WIDENING</v>
          </cell>
          <cell r="C1956" t="str">
            <v>027-DORSETT</v>
          </cell>
        </row>
        <row r="1957">
          <cell r="A1957">
            <v>20272</v>
          </cell>
          <cell r="B1957" t="str">
            <v>Herrin - Stotlar St OH Relocation</v>
          </cell>
          <cell r="C1957" t="str">
            <v>4MS-DIVISION VII SUPPORT STAFF</v>
          </cell>
        </row>
        <row r="1958">
          <cell r="A1958">
            <v>20274</v>
          </cell>
          <cell r="B1958" t="str">
            <v>Baldwin - Swyd. Upgrades - Phase 4</v>
          </cell>
          <cell r="C1958" t="str">
            <v>09E-ELECTRICAL ENGINEERING</v>
          </cell>
        </row>
        <row r="1959">
          <cell r="A1959">
            <v>20280</v>
          </cell>
          <cell r="B1959" t="str">
            <v>MURRAY ROAD-RANTOUL RELOCATION</v>
          </cell>
          <cell r="C1959" t="str">
            <v>2MS-DIVISION IV SUPPORT STAFF</v>
          </cell>
        </row>
        <row r="1960">
          <cell r="A1960">
            <v>20282</v>
          </cell>
          <cell r="B1960" t="str">
            <v>LABADIE UTILITY WASTE LANDFILL</v>
          </cell>
          <cell r="C1960" t="str">
            <v>09V-NEW GEN &amp; ENV PROJECTS</v>
          </cell>
        </row>
        <row r="1961">
          <cell r="A1961">
            <v>20283</v>
          </cell>
          <cell r="B1961" t="str">
            <v>MERAMEC UTILITY WASTE LANDFILL</v>
          </cell>
          <cell r="C1961" t="str">
            <v>09V-NEW GEN &amp; ENV PROJECTS</v>
          </cell>
        </row>
        <row r="1962">
          <cell r="A1962">
            <v>20284</v>
          </cell>
          <cell r="B1962" t="str">
            <v>RELOCATE 6 IN PIPE NE OF ABINGDON</v>
          </cell>
          <cell r="C1962" t="str">
            <v>0G5-GAS TECH SERVICES - IPC</v>
          </cell>
        </row>
        <row r="1963">
          <cell r="A1963">
            <v>20285</v>
          </cell>
          <cell r="B1963" t="str">
            <v>RUSH ISLAND UTILITY WASTE LANDFILL</v>
          </cell>
          <cell r="C1963" t="str">
            <v>09V-NEW GEN &amp; ENV PROJECTS</v>
          </cell>
        </row>
        <row r="1964">
          <cell r="A1964">
            <v>20286</v>
          </cell>
          <cell r="B1964" t="str">
            <v>NEWTON UTILITY WASTE LANDFILL</v>
          </cell>
          <cell r="C1964" t="str">
            <v>09V-NEW GEN &amp; ENV PROJECTS</v>
          </cell>
        </row>
        <row r="1965">
          <cell r="A1965">
            <v>20289</v>
          </cell>
          <cell r="B1965" t="str">
            <v>RELOCATE 16 IN DEPUE MAIN</v>
          </cell>
          <cell r="C1965" t="str">
            <v>0G5-GAS TECH SERVICES - IPC</v>
          </cell>
        </row>
        <row r="1966">
          <cell r="A1966">
            <v>20291</v>
          </cell>
          <cell r="B1966" t="str">
            <v>GLASFORD - INSTALL CHROMATOGRAPH</v>
          </cell>
          <cell r="C1966" t="str">
            <v>0G6-GAS STORAGE</v>
          </cell>
        </row>
        <row r="1967">
          <cell r="A1967">
            <v>20292</v>
          </cell>
          <cell r="B1967" t="str">
            <v>EDWARDS U1 OFA</v>
          </cell>
          <cell r="C1967" t="str">
            <v>09V-NEW GEN &amp; ENV PROJECTS</v>
          </cell>
        </row>
        <row r="1968">
          <cell r="A1968">
            <v>20298</v>
          </cell>
          <cell r="B1968" t="str">
            <v>REL GAS FAC. ON SPRING ST</v>
          </cell>
          <cell r="C1968" t="str">
            <v>92J-MARYVILLE</v>
          </cell>
        </row>
        <row r="1969">
          <cell r="A1969">
            <v>20313</v>
          </cell>
          <cell r="B1969" t="str">
            <v>MJMEUC 69 KV EXTENSION</v>
          </cell>
          <cell r="C1969" t="str">
            <v>4MX-LITTLE DIXIE SUPPORT STAFF</v>
          </cell>
        </row>
        <row r="1970">
          <cell r="A1970">
            <v>20314</v>
          </cell>
          <cell r="B1970" t="str">
            <v>Mariosa Delta-Security Improvements</v>
          </cell>
          <cell r="C1970" t="str">
            <v>09E-ELECTRICAL ENGINEERING</v>
          </cell>
        </row>
        <row r="1971">
          <cell r="A1971">
            <v>20319</v>
          </cell>
          <cell r="B1971" t="str">
            <v>GEN DAHS upgrades to StackVision</v>
          </cell>
          <cell r="C1971" t="str">
            <v>09M-GENERATION PROJECT ENGINEERING</v>
          </cell>
        </row>
        <row r="1972">
          <cell r="A1972">
            <v>20320</v>
          </cell>
          <cell r="B1972" t="str">
            <v>UEC DAHS upgrades to StackVision</v>
          </cell>
          <cell r="C1972" t="str">
            <v>09M-GENERATION PROJECT ENGINEERING</v>
          </cell>
        </row>
        <row r="1973">
          <cell r="A1973">
            <v>20326</v>
          </cell>
          <cell r="B1973" t="str">
            <v>CFN U2 ISOPHASE BUS DUCT COOL</v>
          </cell>
          <cell r="C1973" t="str">
            <v>09M-GENERATION PROJECT ENGINEERING</v>
          </cell>
        </row>
        <row r="1974">
          <cell r="A1974">
            <v>20352</v>
          </cell>
          <cell r="B1974" t="str">
            <v>Hutsonv.-Mered.Transmission Study</v>
          </cell>
          <cell r="C1974" t="str">
            <v>09E-ELECTRICAL ENGINEERING</v>
          </cell>
        </row>
        <row r="1975">
          <cell r="A1975">
            <v>20353</v>
          </cell>
          <cell r="B1975" t="str">
            <v>MODot HYW 50 RELOCATION</v>
          </cell>
          <cell r="C1975" t="str">
            <v>5JS-CAPITAL DIST SUPPORT</v>
          </cell>
        </row>
        <row r="1976">
          <cell r="A1976">
            <v>20357</v>
          </cell>
          <cell r="B1976" t="str">
            <v>SL - Piedmont Tower Site</v>
          </cell>
          <cell r="C1976" t="str">
            <v>061-REAL ESTATE</v>
          </cell>
        </row>
        <row r="1977">
          <cell r="A1977">
            <v>20360</v>
          </cell>
          <cell r="B1977" t="str">
            <v>Purchase Land at Discharge Manholes</v>
          </cell>
          <cell r="C1977" t="str">
            <v>8FB-NUCL - RAD PROTECTION - OPS</v>
          </cell>
        </row>
        <row r="1978">
          <cell r="A1978">
            <v>20385</v>
          </cell>
          <cell r="B1978" t="str">
            <v>KEOKUK PURCHASE CREST GATES IN 2006</v>
          </cell>
          <cell r="C1978" t="str">
            <v>09H-DAM SAFETY &amp; HYDRO ENGINEERING</v>
          </cell>
        </row>
        <row r="1979">
          <cell r="A1979">
            <v>20388</v>
          </cell>
          <cell r="B1979" t="str">
            <v>Loose Creek-Security Improvements</v>
          </cell>
          <cell r="C1979" t="str">
            <v>09E-ELECTRICAL ENGINEERING</v>
          </cell>
        </row>
        <row r="1980">
          <cell r="A1980">
            <v>20389</v>
          </cell>
          <cell r="B1980" t="str">
            <v>STUDY FOR ADDTIONAL GENERATION</v>
          </cell>
          <cell r="C1980" t="str">
            <v>8AA-NUCL - ENG PROJ - PROJECTS</v>
          </cell>
        </row>
        <row r="1981">
          <cell r="A1981">
            <v>20393</v>
          </cell>
          <cell r="B1981" t="str">
            <v>NEWTON BURGETT LAKE DAM</v>
          </cell>
          <cell r="C1981" t="str">
            <v>09H-DAM SAFETY &amp; HYDRO ENGINEERING</v>
          </cell>
        </row>
        <row r="1982">
          <cell r="A1982">
            <v>20399</v>
          </cell>
          <cell r="B1982" t="str">
            <v>RELOC  165 FT 2 IN MAIN RT 159 IDOT</v>
          </cell>
          <cell r="C1982" t="str">
            <v>0G5-GAS TECH SERVICES - IPC</v>
          </cell>
        </row>
        <row r="1983">
          <cell r="A1983">
            <v>20401</v>
          </cell>
          <cell r="B1983" t="str">
            <v>EDE U3 Replace Burners</v>
          </cell>
          <cell r="C1983" t="str">
            <v>09V-NEW GEN &amp; ENV PROJECTS</v>
          </cell>
        </row>
        <row r="1984">
          <cell r="A1984">
            <v>20416</v>
          </cell>
          <cell r="B1984" t="str">
            <v>G.O.B.-Security Improvements</v>
          </cell>
          <cell r="C1984" t="str">
            <v>09E-ELECTRICAL ENGINEERING</v>
          </cell>
        </row>
        <row r="1985">
          <cell r="A1985">
            <v>20419</v>
          </cell>
          <cell r="B1985" t="str">
            <v>Duck Crk-Tazew.-By-Pass UG With OH</v>
          </cell>
          <cell r="C1985" t="str">
            <v>09E-ELECTRICAL ENGINEERING</v>
          </cell>
        </row>
        <row r="1986">
          <cell r="A1986">
            <v>20421</v>
          </cell>
          <cell r="B1986" t="str">
            <v>FOUNTAIN PLACE ADDITION</v>
          </cell>
          <cell r="C1986" t="str">
            <v>92J-MARYVILLE</v>
          </cell>
        </row>
        <row r="1987">
          <cell r="A1987">
            <v>20459</v>
          </cell>
          <cell r="B1987" t="str">
            <v>NEWTON U2 LP TURBINE RETROFIT</v>
          </cell>
          <cell r="C1987" t="str">
            <v>09M-GENERATION PROJECT ENGINEERING</v>
          </cell>
        </row>
        <row r="1988">
          <cell r="A1988">
            <v>20468</v>
          </cell>
          <cell r="B1988" t="str">
            <v>Montgomery-Security Improvements</v>
          </cell>
          <cell r="C1988" t="str">
            <v>09E-ELECTRICAL ENGINEERING</v>
          </cell>
        </row>
        <row r="1989">
          <cell r="A1989">
            <v>20471</v>
          </cell>
          <cell r="B1989" t="str">
            <v>St. Francois-Security Improvements</v>
          </cell>
          <cell r="C1989" t="str">
            <v>09E-ELECTRICAL ENGINEERING</v>
          </cell>
        </row>
        <row r="1990">
          <cell r="A1990">
            <v>20483</v>
          </cell>
          <cell r="B1990" t="str">
            <v>ASHMORE REBOILER #1 REPLACEMENT</v>
          </cell>
          <cell r="C1990" t="str">
            <v>0G6-GAS STORAGE</v>
          </cell>
        </row>
        <row r="1991">
          <cell r="A1991">
            <v>20487</v>
          </cell>
          <cell r="B1991" t="str">
            <v>LINCOLN AFTERCOOLER #3</v>
          </cell>
          <cell r="C1991" t="str">
            <v>0G6-GAS STORAGE</v>
          </cell>
        </row>
        <row r="1992">
          <cell r="A1992">
            <v>20488</v>
          </cell>
          <cell r="B1992" t="str">
            <v>GLASFORD MOTOR CONTROL (MCC)</v>
          </cell>
          <cell r="C1992" t="str">
            <v>0G6-GAS STORAGE</v>
          </cell>
        </row>
        <row r="1993">
          <cell r="A1993">
            <v>20489</v>
          </cell>
          <cell r="B1993" t="str">
            <v>LINCOLN GATHERING LINE</v>
          </cell>
          <cell r="C1993" t="str">
            <v>0G6-GAS STORAGE</v>
          </cell>
        </row>
        <row r="1994">
          <cell r="A1994">
            <v>20490</v>
          </cell>
          <cell r="B1994" t="str">
            <v>HILLSBORO CHROMATOGRAPH</v>
          </cell>
          <cell r="C1994" t="str">
            <v>0G6-GAS STORAGE</v>
          </cell>
        </row>
        <row r="1995">
          <cell r="A1995">
            <v>20491</v>
          </cell>
          <cell r="B1995" t="str">
            <v>TILDEN CHROMATOGRAPH</v>
          </cell>
          <cell r="C1995" t="str">
            <v>0G6-GAS STORAGE</v>
          </cell>
        </row>
        <row r="1996">
          <cell r="A1996">
            <v>20498</v>
          </cell>
          <cell r="B1996" t="str">
            <v>SHANGHAI DISPOSAL SYSTEM</v>
          </cell>
          <cell r="C1996" t="str">
            <v>0G6-GAS STORAGE</v>
          </cell>
        </row>
        <row r="1997">
          <cell r="A1997">
            <v>20515</v>
          </cell>
          <cell r="B1997" t="str">
            <v>ASHMORE REBOILER #2</v>
          </cell>
          <cell r="C1997" t="str">
            <v>0G6-GAS STORAGE</v>
          </cell>
        </row>
        <row r="1998">
          <cell r="A1998">
            <v>20539</v>
          </cell>
          <cell r="B1998" t="str">
            <v>OLD HAWTHORNE MAIN EXT - COLUMBIA</v>
          </cell>
          <cell r="C1998" t="str">
            <v>4MX-LITTLE DIXIE SUPPORT STAFF</v>
          </cell>
        </row>
        <row r="1999">
          <cell r="A1999">
            <v>20575</v>
          </cell>
          <cell r="B1999" t="str">
            <v>HARRISBURG IL RT 13 IDOT RELOCATION</v>
          </cell>
          <cell r="C1999" t="str">
            <v>4MS-DIVISION VII SUPPORT STAFF</v>
          </cell>
        </row>
        <row r="2000">
          <cell r="A2000">
            <v>20580</v>
          </cell>
          <cell r="B2000" t="str">
            <v>NEWTON UNIT 1 EMULATOR</v>
          </cell>
          <cell r="C2000" t="str">
            <v>81D-GEN PERF MONITOR &amp; ASSESS</v>
          </cell>
        </row>
        <row r="2001">
          <cell r="A2001">
            <v>20582</v>
          </cell>
          <cell r="B2001" t="str">
            <v>PI VALVE AND BLOWDOWN MODIFICATION</v>
          </cell>
          <cell r="C2001" t="str">
            <v>0G4-GAS TECH SERVICES - CIL</v>
          </cell>
        </row>
        <row r="2002">
          <cell r="A2002">
            <v>20583</v>
          </cell>
          <cell r="B2002" t="str">
            <v>DUCK CREEK HEATING BOILER</v>
          </cell>
          <cell r="C2002" t="str">
            <v>09M-GENERATION PROJECT ENGINEERING</v>
          </cell>
        </row>
        <row r="2003">
          <cell r="A2003">
            <v>20585</v>
          </cell>
          <cell r="B2003" t="str">
            <v>PI MAIN REPAIR AND REPLACEMENT- IP</v>
          </cell>
          <cell r="C2003" t="str">
            <v>0G5-GAS TECH SERVICES - IPC</v>
          </cell>
        </row>
        <row r="2004">
          <cell r="A2004">
            <v>20590</v>
          </cell>
          <cell r="B2004" t="str">
            <v>PI MAIN REPAIR AND REPLACEMENT- CIL</v>
          </cell>
          <cell r="C2004" t="str">
            <v>0G4-GAS TECH SERVICES - CIL</v>
          </cell>
        </row>
        <row r="2005">
          <cell r="A2005">
            <v>20628</v>
          </cell>
          <cell r="B2005" t="str">
            <v>UG ELEC SIU-E EVERGREEN HALL</v>
          </cell>
          <cell r="C2005" t="str">
            <v>92J-MARYVILLE</v>
          </cell>
        </row>
        <row r="2006">
          <cell r="A2006">
            <v>20660</v>
          </cell>
          <cell r="B2006" t="str">
            <v>2007 ETHANOL PLNT SYS MODIFICATION</v>
          </cell>
          <cell r="C2006" t="str">
            <v>0G4-GAS TECH SERVICES - CIL</v>
          </cell>
        </row>
        <row r="2007">
          <cell r="A2007">
            <v>20672</v>
          </cell>
          <cell r="B2007" t="str">
            <v>2007 ETHANOL PLANT MODIFICATIONS</v>
          </cell>
          <cell r="C2007" t="str">
            <v>0G1-GAS TECH SERVICES - CIP</v>
          </cell>
        </row>
        <row r="2008">
          <cell r="A2008">
            <v>20699</v>
          </cell>
          <cell r="B2008" t="str">
            <v>2007 ETHANOL PLANTS</v>
          </cell>
          <cell r="C2008" t="str">
            <v>0G5-GAS TECH SERVICES - IPC</v>
          </cell>
        </row>
        <row r="2009">
          <cell r="A2009">
            <v>20701</v>
          </cell>
          <cell r="B2009" t="str">
            <v>INSTALL 4 IN MAIN BRISTOL VILLAGE</v>
          </cell>
          <cell r="C2009" t="str">
            <v>0G5-GAS TECH SERVICES - IPC</v>
          </cell>
        </row>
        <row r="2010">
          <cell r="A2010">
            <v>20702</v>
          </cell>
          <cell r="B2010" t="str">
            <v>INSTALL 8 IN STEEL FRUIT ROAD</v>
          </cell>
          <cell r="C2010" t="str">
            <v>0G5-GAS TECH SERVICES - IPC</v>
          </cell>
        </row>
        <row r="2011">
          <cell r="A2011">
            <v>20703</v>
          </cell>
          <cell r="B2011" t="str">
            <v>INST 4 IN MAIN CARLYLE &amp; BARTELSO</v>
          </cell>
          <cell r="C2011" t="str">
            <v>0G5-GAS TECH SERVICES - IPC</v>
          </cell>
        </row>
        <row r="2012">
          <cell r="A2012">
            <v>20704</v>
          </cell>
          <cell r="B2012" t="str">
            <v>INST 4 IN MAIN STONE CREEK ESTS</v>
          </cell>
          <cell r="C2012" t="str">
            <v>0G5-GAS TECH SERVICES - IPC</v>
          </cell>
        </row>
        <row r="2013">
          <cell r="A2013">
            <v>20705</v>
          </cell>
          <cell r="B2013" t="str">
            <v>INST REG STATION AT TROY</v>
          </cell>
          <cell r="C2013" t="str">
            <v>0G5-GAS TECH SERVICES - IPC</v>
          </cell>
        </row>
        <row r="2014">
          <cell r="A2014">
            <v>20706</v>
          </cell>
          <cell r="B2014" t="str">
            <v>HENNEPIN ETHANOL PLANT</v>
          </cell>
          <cell r="C2014" t="str">
            <v>0G5-GAS TECH SERVICES - IPC</v>
          </cell>
        </row>
        <row r="2015">
          <cell r="A2015">
            <v>20707</v>
          </cell>
          <cell r="B2015" t="str">
            <v>REBUILD REG STAT CH-038</v>
          </cell>
          <cell r="C2015" t="str">
            <v>0G5-GAS TECH SERVICES - IPC</v>
          </cell>
        </row>
        <row r="2016">
          <cell r="A2016">
            <v>20769</v>
          </cell>
          <cell r="B2016" t="str">
            <v>Casino Queen- 34-4kV, 7MVA Cust.Sub</v>
          </cell>
          <cell r="C2016" t="str">
            <v>09E-ELECTRICAL ENGINEERING</v>
          </cell>
        </row>
        <row r="2017">
          <cell r="A2017">
            <v>20775</v>
          </cell>
          <cell r="B2017" t="str">
            <v>Lafarge-Joppa 161kV Supply Line</v>
          </cell>
          <cell r="C2017" t="str">
            <v>09E-ELECTRICAL ENGINEERING</v>
          </cell>
        </row>
        <row r="2018">
          <cell r="A2018">
            <v>20796</v>
          </cell>
          <cell r="B2018" t="str">
            <v>Hennepin Ethanol Plant</v>
          </cell>
          <cell r="C2018" t="str">
            <v>669-DIVISION I SUPPORT STAFF</v>
          </cell>
        </row>
        <row r="2019">
          <cell r="A2019">
            <v>20808</v>
          </cell>
          <cell r="B2019" t="str">
            <v>Granville Sub Cir 172 Rebuild</v>
          </cell>
          <cell r="C2019" t="str">
            <v>669-DIVISION I SUPPORT STAFF</v>
          </cell>
        </row>
        <row r="2020">
          <cell r="A2020">
            <v>20848</v>
          </cell>
          <cell r="B2020" t="str">
            <v>Williamsfield Xfmr Replacement</v>
          </cell>
          <cell r="C2020" t="str">
            <v>09E-ELECTRICAL ENGINEERING</v>
          </cell>
        </row>
        <row r="2021">
          <cell r="A2021">
            <v>20854</v>
          </cell>
          <cell r="B2021" t="str">
            <v>MEREDOSIA U3  FABRIC FILTER</v>
          </cell>
          <cell r="C2021" t="str">
            <v>09V-NEW GEN &amp; ENV PROJECTS</v>
          </cell>
        </row>
        <row r="2022">
          <cell r="A2022">
            <v>20881</v>
          </cell>
          <cell r="B2022" t="str">
            <v>UG ELEC, PRAIRIE TRAILS ESTATES</v>
          </cell>
          <cell r="C2022" t="str">
            <v>92J-MARYVILLE</v>
          </cell>
        </row>
        <row r="2023">
          <cell r="A2023">
            <v>20898</v>
          </cell>
          <cell r="B2023" t="str">
            <v>ANDERSON ETHANOL EASEMENT OPTIONS</v>
          </cell>
          <cell r="C2023" t="str">
            <v>0G5-GAS TECH SERVICES - IPC</v>
          </cell>
        </row>
        <row r="2024">
          <cell r="A2024">
            <v>20899</v>
          </cell>
          <cell r="B2024" t="str">
            <v>Saddle Creek-10mi Ckt 138-34kV</v>
          </cell>
          <cell r="C2024" t="str">
            <v>09E-ELECTRICAL ENGINEERING</v>
          </cell>
        </row>
        <row r="2025">
          <cell r="A2025">
            <v>20905</v>
          </cell>
          <cell r="B2025" t="str">
            <v>OFALLON OBERNEFEMANN RD WIDENING</v>
          </cell>
          <cell r="C2025" t="str">
            <v>93B-BELLEVILLE</v>
          </cell>
        </row>
        <row r="2026">
          <cell r="A2026">
            <v>20906</v>
          </cell>
          <cell r="B2026" t="str">
            <v>Lutesville V5 Breaker Replacement</v>
          </cell>
          <cell r="C2026" t="str">
            <v>09E-ELECTRICAL ENGINEERING</v>
          </cell>
        </row>
        <row r="2027">
          <cell r="A2027">
            <v>20915</v>
          </cell>
          <cell r="B2027" t="str">
            <v>Berkeley-Repl 138kV BusTie 1-4, Rly</v>
          </cell>
          <cell r="C2027" t="str">
            <v>09E-ELECTRICAL ENGINEERING</v>
          </cell>
        </row>
        <row r="2028">
          <cell r="A2028">
            <v>20916</v>
          </cell>
          <cell r="B2028" t="str">
            <v>Berkeley-Repl Page-Berk-1 OCB, Rly</v>
          </cell>
          <cell r="C2028" t="str">
            <v>09E-ELECTRICAL ENGINEERING</v>
          </cell>
        </row>
        <row r="2029">
          <cell r="A2029">
            <v>20931</v>
          </cell>
          <cell r="B2029" t="str">
            <v>FOUNTAIN PLACE 3RD PHASE</v>
          </cell>
          <cell r="C2029" t="str">
            <v>92J-MARYVILLE</v>
          </cell>
        </row>
        <row r="2030">
          <cell r="A2030">
            <v>20933</v>
          </cell>
          <cell r="B2030" t="str">
            <v>Prairie Dell 138kV-Critical ROW Pch</v>
          </cell>
          <cell r="C2030" t="str">
            <v>09E-ELECTRICAL ENGINEERING</v>
          </cell>
        </row>
        <row r="2031">
          <cell r="A2031">
            <v>20935</v>
          </cell>
          <cell r="B2031" t="str">
            <v>St. Clare Cust. Sub-34-4kV-2-7MVA</v>
          </cell>
          <cell r="C2031" t="str">
            <v>09E-ELECTRICAL ENGINEERING</v>
          </cell>
        </row>
        <row r="2032">
          <cell r="A2032">
            <v>20937</v>
          </cell>
          <cell r="B2032" t="str">
            <v>TRANS PIPELINE RT 10 TO ANDERSONS</v>
          </cell>
          <cell r="C2032" t="str">
            <v>0G5-GAS TECH SERVICES - IPC</v>
          </cell>
        </row>
        <row r="2033">
          <cell r="A2033">
            <v>20939</v>
          </cell>
          <cell r="B2033" t="str">
            <v>Tilton F Street-69kV Brkr Ln Term</v>
          </cell>
          <cell r="C2033" t="str">
            <v>09E-ELECTRICAL ENGINEERING</v>
          </cell>
        </row>
        <row r="2034">
          <cell r="A2034">
            <v>20944</v>
          </cell>
          <cell r="B2034" t="str">
            <v>Rush Island -Replace ATB Pos V7</v>
          </cell>
          <cell r="C2034" t="str">
            <v>09E-ELECTRICAL ENGINEERING</v>
          </cell>
        </row>
        <row r="2035">
          <cell r="A2035">
            <v>20946</v>
          </cell>
          <cell r="B2035" t="str">
            <v xml:space="preserve">Coffeen-Upgr. 345kV Pana Terminal </v>
          </cell>
          <cell r="C2035" t="str">
            <v>09E-ELECTRICAL ENGINEERING</v>
          </cell>
        </row>
        <row r="2036">
          <cell r="A2036">
            <v>20950</v>
          </cell>
          <cell r="B2036" t="str">
            <v>Sioux-Repl Relays Sx-MASN-7 -TAM07</v>
          </cell>
          <cell r="C2036" t="str">
            <v>09E-ELECTRICAL ENGINEERING</v>
          </cell>
        </row>
        <row r="2037">
          <cell r="A2037">
            <v>20958</v>
          </cell>
          <cell r="B2037" t="str">
            <v>Mobile S Substation, 34-12kV, 14MVA</v>
          </cell>
          <cell r="C2037" t="str">
            <v>09E-ELECTRICAL ENGINEERING</v>
          </cell>
        </row>
        <row r="2038">
          <cell r="A2038">
            <v>20961</v>
          </cell>
          <cell r="B2038" t="str">
            <v>Farmington Sub New RTU (SCADA)</v>
          </cell>
          <cell r="C2038" t="str">
            <v>09E-ELECTRICAL ENGINEERING</v>
          </cell>
        </row>
        <row r="2039">
          <cell r="A2039">
            <v>20963</v>
          </cell>
          <cell r="B2039" t="str">
            <v>Aldine Switchgear W Replace</v>
          </cell>
          <cell r="C2039" t="str">
            <v>09E-ELECTRICAL ENGINEERING</v>
          </cell>
        </row>
        <row r="2040">
          <cell r="A2040">
            <v>20967</v>
          </cell>
          <cell r="B2040" t="str">
            <v>Fairgrounds Sub (SCADA)</v>
          </cell>
          <cell r="C2040" t="str">
            <v>09E-ELECTRICAL ENGINEERING</v>
          </cell>
        </row>
        <row r="2041">
          <cell r="A2041">
            <v>20971</v>
          </cell>
          <cell r="B2041" t="str">
            <v>OFallon 7 Hills - Install Cap Bank</v>
          </cell>
          <cell r="C2041" t="str">
            <v>09E-ELECTRICAL ENGINEERING</v>
          </cell>
        </row>
        <row r="2042">
          <cell r="A2042">
            <v>20980</v>
          </cell>
          <cell r="B2042" t="str">
            <v>L1342-Tap to New Monsanto-REIMB</v>
          </cell>
          <cell r="C2042" t="str">
            <v>09E-ELECTRICAL ENGINEERING</v>
          </cell>
        </row>
        <row r="2043">
          <cell r="A2043">
            <v>20989</v>
          </cell>
          <cell r="B2043" t="str">
            <v>Illiopolis Monsanto-New 138-12kVsub</v>
          </cell>
          <cell r="C2043" t="str">
            <v>09E-ELECTRICAL ENGINEERING</v>
          </cell>
        </row>
        <row r="2044">
          <cell r="A2044">
            <v>20990</v>
          </cell>
          <cell r="B2044" t="str">
            <v>MERCURY CEMS TEST INSTALLATION-UEC</v>
          </cell>
          <cell r="C2044" t="str">
            <v>09V-NEW GEN &amp; ENV PROJECTS</v>
          </cell>
        </row>
        <row r="2045">
          <cell r="A2045">
            <v>20991</v>
          </cell>
          <cell r="B2045" t="str">
            <v>MERCURY CEMS TEST INSTALLATION-GEN</v>
          </cell>
          <cell r="C2045" t="str">
            <v>09V-NEW GEN &amp; ENV PROJECTS</v>
          </cell>
        </row>
        <row r="2046">
          <cell r="A2046">
            <v>20992</v>
          </cell>
          <cell r="B2046" t="str">
            <v>MERCURY CEMS TEST INSTALLATION-ARG</v>
          </cell>
          <cell r="C2046" t="str">
            <v>09V-NEW GEN &amp; ENV PROJECTS</v>
          </cell>
        </row>
        <row r="2047">
          <cell r="A2047">
            <v>20994</v>
          </cell>
          <cell r="B2047" t="str">
            <v>LIVINGSTON CO HWY 3&amp;9 12KV RELO</v>
          </cell>
          <cell r="C2047" t="str">
            <v>2MS-DIVISION IV SUPPORT STAFF</v>
          </cell>
        </row>
        <row r="2048">
          <cell r="A2048">
            <v>20995</v>
          </cell>
          <cell r="B2048" t="str">
            <v>Conoco Sub 138kV Supply - REIMB</v>
          </cell>
          <cell r="C2048" t="str">
            <v>09E-ELECTRICAL ENGINEERING</v>
          </cell>
        </row>
        <row r="2049">
          <cell r="A2049">
            <v>21000</v>
          </cell>
          <cell r="B2049" t="str">
            <v>LOU JUAN HILLS STATION EH-039</v>
          </cell>
          <cell r="C2049" t="str">
            <v>0G5-GAS TECH SERVICES - IPC</v>
          </cell>
        </row>
        <row r="2050">
          <cell r="A2050">
            <v>21001</v>
          </cell>
          <cell r="B2050" t="str">
            <v>SL - Montgomery City Storage</v>
          </cell>
          <cell r="C2050" t="str">
            <v>061-REAL ESTATE</v>
          </cell>
        </row>
        <row r="2051">
          <cell r="A2051">
            <v>21007</v>
          </cell>
          <cell r="B2051" t="str">
            <v>DE-REG CTG PLANTS - SWGR UPGRADES</v>
          </cell>
          <cell r="C2051" t="str">
            <v>09M-GENERATION PROJECT ENGINEERING</v>
          </cell>
        </row>
        <row r="2052">
          <cell r="A2052">
            <v>21030</v>
          </cell>
          <cell r="B2052" t="str">
            <v>Page - Repl. 2-34kV Brkrs, 6-2007</v>
          </cell>
          <cell r="C2052" t="str">
            <v>09E-ELECTRICAL ENGINEERING</v>
          </cell>
        </row>
        <row r="2053">
          <cell r="A2053">
            <v>21031</v>
          </cell>
          <cell r="B2053" t="str">
            <v>Page - Repl. 2-34kV Brkrs, 12-2007</v>
          </cell>
          <cell r="C2053" t="str">
            <v>09E-ELECTRICAL ENGINEERING</v>
          </cell>
        </row>
        <row r="2054">
          <cell r="A2054">
            <v>21032</v>
          </cell>
          <cell r="B2054" t="str">
            <v>Watson-Repl. 3-34kV Brkrs, 6-2007</v>
          </cell>
          <cell r="C2054" t="str">
            <v>09E-ELECTRICAL ENGINEERING</v>
          </cell>
        </row>
        <row r="2055">
          <cell r="A2055">
            <v>21033</v>
          </cell>
          <cell r="B2055" t="str">
            <v>Watson-Repl. 2-34kV Brkrs, 12-2007</v>
          </cell>
          <cell r="C2055" t="str">
            <v>09E-ELECTRICAL ENGINEERING</v>
          </cell>
        </row>
        <row r="2056">
          <cell r="A2056">
            <v>21034</v>
          </cell>
          <cell r="B2056" t="str">
            <v>Pana N-Upgr. 345kV Coffeen Terminal</v>
          </cell>
          <cell r="C2056" t="str">
            <v>09E-ELECTRICAL ENGINEERING</v>
          </cell>
        </row>
        <row r="2057">
          <cell r="A2057">
            <v>21036</v>
          </cell>
          <cell r="B2057" t="str">
            <v>Edwards DAHS upgrade to StackVision</v>
          </cell>
          <cell r="C2057" t="str">
            <v>09M-GENERATION PROJECT ENGINEERING</v>
          </cell>
        </row>
        <row r="2058">
          <cell r="A2058">
            <v>21037</v>
          </cell>
          <cell r="B2058" t="str">
            <v>Danville Renovations</v>
          </cell>
          <cell r="C2058" t="str">
            <v>90L-BUILDING SERVICES-IPC</v>
          </cell>
        </row>
        <row r="2059">
          <cell r="A2059">
            <v>21039</v>
          </cell>
          <cell r="B2059" t="str">
            <v>Elec relocate of Frank Scott Pkwy</v>
          </cell>
          <cell r="C2059" t="str">
            <v>93B-BELLEVILLE</v>
          </cell>
        </row>
        <row r="2060">
          <cell r="A2060">
            <v>21040</v>
          </cell>
          <cell r="B2060" t="str">
            <v>UG ELEC, HUNTERS RIDGE, 1RST ADD</v>
          </cell>
          <cell r="C2060" t="str">
            <v>91L-CHAMPAIGN/URBANA GAS OPS</v>
          </cell>
        </row>
        <row r="2061">
          <cell r="A2061">
            <v>21041</v>
          </cell>
          <cell r="B2061" t="str">
            <v>RELOCATE L3484 FOR TOWN OF NORMAL</v>
          </cell>
          <cell r="C2061" t="str">
            <v>92E-BLOOMINGTON/NORMAL ELEC OPS</v>
          </cell>
        </row>
        <row r="2062">
          <cell r="A2062">
            <v>21045</v>
          </cell>
          <cell r="B2062" t="str">
            <v>CONOCO 34KV RELIABILITY &amp; MAINT</v>
          </cell>
          <cell r="C2062" t="str">
            <v>014-ALTON DISTRICT</v>
          </cell>
        </row>
        <row r="2063">
          <cell r="A2063">
            <v>21046</v>
          </cell>
          <cell r="B2063" t="str">
            <v>Patoka Chicap-Modify Bus Cst Connec</v>
          </cell>
          <cell r="C2063" t="str">
            <v>09E-ELECTRICAL ENGINEERING</v>
          </cell>
        </row>
        <row r="2064">
          <cell r="A2064">
            <v>21047</v>
          </cell>
          <cell r="B2064" t="str">
            <v>RELOCATE ELEC FAC, NORMAL</v>
          </cell>
          <cell r="C2064" t="str">
            <v>92E-BLOOMINGTON/NORMAL ELEC OPS</v>
          </cell>
        </row>
        <row r="2065">
          <cell r="A2065">
            <v>21058</v>
          </cell>
          <cell r="B2065" t="str">
            <v>Mueller Plt #4 Add 5th Xfmr-REIMB</v>
          </cell>
          <cell r="C2065" t="str">
            <v>09E-ELECTRICAL ENGINEERING</v>
          </cell>
        </row>
        <row r="2066">
          <cell r="A2066">
            <v>21060</v>
          </cell>
          <cell r="B2066" t="str">
            <v xml:space="preserve">ELEC EXT FOR BELLEVILLE CROSSINGS_x000D_
</v>
          </cell>
          <cell r="C2066" t="str">
            <v>93B-BELLEVILLE</v>
          </cell>
        </row>
        <row r="2067">
          <cell r="A2067">
            <v>21061</v>
          </cell>
          <cell r="B2067" t="str">
            <v xml:space="preserve"> TAUM SAUK PENSTOCK LINER</v>
          </cell>
          <cell r="C2067" t="str">
            <v>09H-DAM SAFETY &amp; HYDRO ENGINEERING</v>
          </cell>
        </row>
        <row r="2068">
          <cell r="A2068">
            <v>21068</v>
          </cell>
          <cell r="B2068" t="str">
            <v>MODOT J6U0808 CLAYTON RD STAGE 2</v>
          </cell>
          <cell r="C2068" t="str">
            <v>053-ELLISVILLE DISTRICT</v>
          </cell>
        </row>
        <row r="2069">
          <cell r="A2069">
            <v>21069</v>
          </cell>
          <cell r="B2069" t="str">
            <v>ASHTON WOODS SUBDIVISION RELOCATION</v>
          </cell>
          <cell r="C2069" t="str">
            <v>053-ELLISVILLE DISTRICT</v>
          </cell>
        </row>
        <row r="2070">
          <cell r="A2070">
            <v>21086</v>
          </cell>
          <cell r="B2070" t="str">
            <v>L1512 - Relocate for Marquis Energy</v>
          </cell>
          <cell r="C2070" t="str">
            <v>91H-TRANSMISSION - IPC</v>
          </cell>
        </row>
        <row r="2071">
          <cell r="A2071">
            <v>21114</v>
          </cell>
          <cell r="B2071" t="str">
            <v>Y-230 AVENTINE DRY MASH ETHANOL PLT</v>
          </cell>
          <cell r="C2071" t="str">
            <v>0G4-GAS TECH SERVICES - CIL</v>
          </cell>
        </row>
        <row r="2072">
          <cell r="A2072">
            <v>21118</v>
          </cell>
          <cell r="B2072" t="str">
            <v>COFFEEN COOLING SYSTEM UPGRADES</v>
          </cell>
          <cell r="C2072" t="str">
            <v>09M-GENERATION PROJECT ENGINEERING</v>
          </cell>
        </row>
        <row r="2073">
          <cell r="A2073">
            <v>21127</v>
          </cell>
          <cell r="B2073" t="str">
            <v>COFFEEN INTAKE STRUCTURE RESTORATIO</v>
          </cell>
          <cell r="C2073" t="str">
            <v>09H-DAM SAFETY &amp; HYDRO ENGINEERING</v>
          </cell>
        </row>
        <row r="2074">
          <cell r="A2074">
            <v>21128</v>
          </cell>
          <cell r="B2074" t="str">
            <v>WALMART ON SEMINARY ST</v>
          </cell>
          <cell r="C2074" t="str">
            <v>91V-GALESBURG</v>
          </cell>
        </row>
        <row r="2075">
          <cell r="A2075">
            <v>21129</v>
          </cell>
          <cell r="B2075" t="str">
            <v>EDWARDS - BLACK START</v>
          </cell>
          <cell r="C2075" t="str">
            <v>09M-GENERATION PROJECT ENGINEERING</v>
          </cell>
        </row>
        <row r="2076">
          <cell r="A2076">
            <v>21212</v>
          </cell>
          <cell r="B2076" t="str">
            <v>L3428-NORMAL HOTEL/CONFERENCE CENTE</v>
          </cell>
          <cell r="C2076" t="str">
            <v>667-DIVISION III SUPPORT STAFF</v>
          </cell>
        </row>
        <row r="2077">
          <cell r="A2077">
            <v>21216</v>
          </cell>
          <cell r="B2077" t="str">
            <v>IDOT - RT 67 OVER CARTER CREEK</v>
          </cell>
          <cell r="C2077" t="str">
            <v>8MS-DIVISION II SUPPORT STAFF</v>
          </cell>
        </row>
        <row r="2078">
          <cell r="A2078">
            <v>21229</v>
          </cell>
          <cell r="B2078" t="str">
            <v xml:space="preserve">MILBURN SCHOOL RD 6"PL MAIN _x000D_
</v>
          </cell>
          <cell r="C2078" t="str">
            <v>92J-MARYVILLE</v>
          </cell>
        </row>
        <row r="2079">
          <cell r="A2079">
            <v>21236</v>
          </cell>
          <cell r="B2079" t="str">
            <v>MORGAN-71 34.5 KV REMOVAL</v>
          </cell>
          <cell r="C2079" t="str">
            <v>4MX-LITTLE DIXIE SUPPORT STAFF</v>
          </cell>
        </row>
        <row r="2080">
          <cell r="A2080">
            <v>21238</v>
          </cell>
          <cell r="B2080" t="str">
            <v>Replace Plant Discharge Line</v>
          </cell>
          <cell r="C2080" t="str">
            <v>8AA-NUCL - ENG PROJ - PROJECTS</v>
          </cell>
        </row>
        <row r="2081">
          <cell r="A2081">
            <v>21239</v>
          </cell>
          <cell r="B2081" t="str">
            <v>Olympian Dr.  8 in Main Ext G32271</v>
          </cell>
          <cell r="C2081" t="str">
            <v>0G5-GAS TECH SERVICES - IPC</v>
          </cell>
        </row>
        <row r="2082">
          <cell r="A2082">
            <v>21244</v>
          </cell>
          <cell r="B2082" t="str">
            <v>North Peoria Lift Station</v>
          </cell>
          <cell r="C2082" t="str">
            <v>617-NORTHERN ELECTRIC</v>
          </cell>
        </row>
        <row r="2083">
          <cell r="A2083">
            <v>21248</v>
          </cell>
          <cell r="B2083" t="str">
            <v>N.Decatur - Relay Panel, Wave Trap</v>
          </cell>
          <cell r="C2083" t="str">
            <v>09E-ELECTRICAL ENGINEERING</v>
          </cell>
        </row>
        <row r="2084">
          <cell r="A2084">
            <v>21258</v>
          </cell>
          <cell r="B2084" t="str">
            <v>U2 CRIBHOUSE EQUIPMENT REPLACEMENT</v>
          </cell>
          <cell r="C2084" t="str">
            <v>09M-GENERATION PROJECT ENGINEERING</v>
          </cell>
        </row>
        <row r="2085">
          <cell r="A2085">
            <v>21262</v>
          </cell>
          <cell r="B2085" t="str">
            <v>WPC 2005, CKT 843, REBUILD</v>
          </cell>
          <cell r="C2085" t="str">
            <v>92T-HILLSBORO</v>
          </cell>
        </row>
        <row r="2086">
          <cell r="A2086">
            <v>21263</v>
          </cell>
          <cell r="B2086" t="str">
            <v xml:space="preserve">BLOOMINGTON, FOX CR RD RELOCATE_x000D_
</v>
          </cell>
          <cell r="C2086" t="str">
            <v>92E-BLOOMINGTON/NORMAL ELEC OPS</v>
          </cell>
        </row>
        <row r="2087">
          <cell r="A2087">
            <v>21265</v>
          </cell>
          <cell r="B2087" t="str">
            <v>RUSH ISLAND - U1 345KV GEN BKR V4</v>
          </cell>
          <cell r="C2087" t="str">
            <v>09M-GENERATION PROJECT ENGINEERING</v>
          </cell>
        </row>
        <row r="2088">
          <cell r="A2088">
            <v>21266</v>
          </cell>
          <cell r="B2088" t="str">
            <v xml:space="preserve">THF REALTY - Wal-mart and Lowes_x000D_
</v>
          </cell>
          <cell r="C2088" t="str">
            <v>93B-BELLEVILLE</v>
          </cell>
        </row>
        <row r="2089">
          <cell r="A2089">
            <v>21268</v>
          </cell>
          <cell r="B2089" t="str">
            <v>DUCK CREEK CONSTRUCTION ACTIVITIES</v>
          </cell>
          <cell r="C2089" t="str">
            <v>09M-GENERATION PROJECT ENGINEERING</v>
          </cell>
        </row>
        <row r="2090">
          <cell r="A2090">
            <v>21269</v>
          </cell>
          <cell r="B2090" t="str">
            <v>ESIC DR,GOVENORS PKWY,EDWARDSVILLE</v>
          </cell>
          <cell r="C2090" t="str">
            <v>92J-MARYVILLE</v>
          </cell>
        </row>
        <row r="2091">
          <cell r="A2091">
            <v>21270</v>
          </cell>
          <cell r="B2091" t="str">
            <v>SADDLE CREEK</v>
          </cell>
          <cell r="C2091" t="str">
            <v>070-JEFFERSON</v>
          </cell>
        </row>
        <row r="2092">
          <cell r="A2092">
            <v>21271</v>
          </cell>
          <cell r="B2092" t="str">
            <v>SIX FLAGS CABLE REPLACEMENT</v>
          </cell>
          <cell r="C2092" t="str">
            <v>053-ELLISVILLE DISTRICT</v>
          </cell>
        </row>
        <row r="2093">
          <cell r="A2093">
            <v>21272</v>
          </cell>
          <cell r="B2093" t="str">
            <v>EASTLAKE MANAGEMENT &amp; DEVELOPMENT C</v>
          </cell>
          <cell r="C2093" t="str">
            <v>92Q-DECATUR</v>
          </cell>
        </row>
        <row r="2094">
          <cell r="A2094">
            <v>21273</v>
          </cell>
          <cell r="B2094" t="str">
            <v>Page Frequency Change Building Demo</v>
          </cell>
          <cell r="C2094" t="str">
            <v>49B-ESH - WASTE</v>
          </cell>
        </row>
        <row r="2095">
          <cell r="A2095">
            <v>21277</v>
          </cell>
          <cell r="B2095" t="str">
            <v>CNV-ACQUIR LAND ADJ TO WOODRVR SUB</v>
          </cell>
          <cell r="C2095" t="str">
            <v>92B-SUB MTCE &amp; CONST-IL SOUTH</v>
          </cell>
        </row>
        <row r="2096">
          <cell r="A2096">
            <v>21281</v>
          </cell>
          <cell r="B2096" t="str">
            <v>HANCOCK COUNTY - RT 336 RELOCATION</v>
          </cell>
          <cell r="C2096" t="str">
            <v>8MS-DIVISION II SUPPORT STAFF</v>
          </cell>
        </row>
        <row r="2097">
          <cell r="A2097">
            <v>21282</v>
          </cell>
          <cell r="B2097" t="str">
            <v>BELLEVILLE CROSSING LIGHTS</v>
          </cell>
          <cell r="C2097" t="str">
            <v>91U-DIVISION VI SUPPORT STAFF</v>
          </cell>
        </row>
        <row r="2098">
          <cell r="A2098">
            <v>21283</v>
          </cell>
          <cell r="B2098" t="str">
            <v>SAFB, PATRIOTS LANDING, GAS MAIN</v>
          </cell>
          <cell r="C2098" t="str">
            <v>91U-DIVISION VI SUPPORT STAFF</v>
          </cell>
        </row>
        <row r="2099">
          <cell r="A2099">
            <v>21284</v>
          </cell>
          <cell r="B2099" t="str">
            <v xml:space="preserve">PARCS AT ARBOR GREEN SUBDIVISION_x000D_
</v>
          </cell>
          <cell r="C2099" t="str">
            <v>91U-DIVISION VI SUPPORT STAFF</v>
          </cell>
        </row>
        <row r="2100">
          <cell r="A2100">
            <v>21286</v>
          </cell>
          <cell r="B2100" t="str">
            <v>COFFEEN COAL BLENDING OPTION DEVL</v>
          </cell>
          <cell r="C2100" t="str">
            <v>09M-GENERATION PROJECT ENGINEERING</v>
          </cell>
        </row>
        <row r="2101">
          <cell r="A2101">
            <v>21288</v>
          </cell>
          <cell r="B2101" t="str">
            <v>REBUILD STATION #129 - MASCOUTAH</v>
          </cell>
          <cell r="C2101" t="str">
            <v>0G5-GAS TECH SERVICES - IPC</v>
          </cell>
        </row>
        <row r="2102">
          <cell r="A2102">
            <v>21289</v>
          </cell>
          <cell r="B2102" t="str">
            <v>ADM BIODIESEL PLANT MAIN EXTENSION</v>
          </cell>
          <cell r="C2102" t="str">
            <v>4MX-LITTLE DIXIE SUPPORT STAFF</v>
          </cell>
        </row>
        <row r="2103">
          <cell r="A2103">
            <v>21290</v>
          </cell>
          <cell r="B2103" t="str">
            <v>SL - St. Francois Winch Property</v>
          </cell>
          <cell r="C2103" t="str">
            <v>061-REAL ESTATE</v>
          </cell>
        </row>
        <row r="2104">
          <cell r="A2104">
            <v>21291</v>
          </cell>
          <cell r="B2104" t="str">
            <v>NORTHPOINTE SUB NBO MAIN EXT</v>
          </cell>
          <cell r="C2104" t="str">
            <v>608-SPFLD GAS CONSTRUCTION</v>
          </cell>
        </row>
        <row r="2105">
          <cell r="A2105">
            <v>21293</v>
          </cell>
          <cell r="B2105" t="str">
            <v>Rivermines -Spare Xfmr Fdn-SECURITY</v>
          </cell>
          <cell r="C2105" t="str">
            <v>09E-ELECTRICAL ENGINEERING</v>
          </cell>
        </row>
        <row r="2106">
          <cell r="A2106">
            <v>21294</v>
          </cell>
          <cell r="B2106" t="str">
            <v>REL MAIN BIKE TRAIL RT 157 &amp; RT 162</v>
          </cell>
          <cell r="C2106" t="str">
            <v>0G5-GAS TECH SERVICES - IPC</v>
          </cell>
        </row>
        <row r="2107">
          <cell r="A2107">
            <v>21295</v>
          </cell>
          <cell r="B2107" t="str">
            <v>COFFEEN CONSTRUCTION ACTIVITIES</v>
          </cell>
          <cell r="C2107" t="str">
            <v>09M-GENERATION PROJECT ENGINEERING</v>
          </cell>
        </row>
        <row r="2108">
          <cell r="A2108">
            <v>21296</v>
          </cell>
          <cell r="B2108" t="str">
            <v>Champaign Mattis - Repl. Cap Bank</v>
          </cell>
          <cell r="C2108" t="str">
            <v>09E-ELECTRICAL ENGINEERING</v>
          </cell>
        </row>
        <row r="2109">
          <cell r="A2109">
            <v>21300</v>
          </cell>
          <cell r="B2109" t="str">
            <v>TOWNE CENTRE DR MSD RELOCATION</v>
          </cell>
          <cell r="C2109" t="str">
            <v>052-MACKENZIE</v>
          </cell>
        </row>
        <row r="2110">
          <cell r="A2110">
            <v>21302</v>
          </cell>
          <cell r="B2110" t="str">
            <v>MODOT J2P0747 KIRKSVILLE HWY 63</v>
          </cell>
          <cell r="C2110" t="str">
            <v>7KS-GREEN HILLS DIST SUPPORT</v>
          </cell>
        </row>
        <row r="2111">
          <cell r="A2111">
            <v>21303</v>
          </cell>
          <cell r="B2111" t="str">
            <v>BAILEY STATION PHASE 7</v>
          </cell>
          <cell r="C2111" t="str">
            <v>070-JEFFERSON</v>
          </cell>
        </row>
        <row r="2112">
          <cell r="A2112">
            <v>21304</v>
          </cell>
          <cell r="B2112" t="str">
            <v>BRICKYARD ESTATES PHS 1</v>
          </cell>
          <cell r="C2112" t="str">
            <v>070-JEFFERSON</v>
          </cell>
        </row>
        <row r="2113">
          <cell r="A2113">
            <v>21308</v>
          </cell>
          <cell r="B2113" t="str">
            <v>Relocate 3 structures for Rt 336</v>
          </cell>
          <cell r="C2113" t="str">
            <v>03C-TRANSMISSION-CIPS</v>
          </cell>
        </row>
        <row r="2114">
          <cell r="A2114">
            <v>21309</v>
          </cell>
          <cell r="B2114" t="str">
            <v>INSTALL LINE TO SM-12 WELL SCIOTA</v>
          </cell>
          <cell r="C2114" t="str">
            <v>0G6-GAS STORAGE</v>
          </cell>
        </row>
        <row r="2115">
          <cell r="A2115">
            <v>21310</v>
          </cell>
          <cell r="B2115" t="str">
            <v>L3348 REBUILD FOR CITY OF HIGHLAND</v>
          </cell>
          <cell r="C2115" t="str">
            <v>3MS-DIVISION V SUPPORT STAFF</v>
          </cell>
        </row>
        <row r="2116">
          <cell r="A2116">
            <v>21311</v>
          </cell>
          <cell r="B2116" t="str">
            <v>COUNTRY RIDGE 5</v>
          </cell>
          <cell r="C2116" t="str">
            <v>2MS-DIVISION IV SUPPORT STAFF</v>
          </cell>
        </row>
        <row r="2117">
          <cell r="A2117">
            <v>21315</v>
          </cell>
          <cell r="B2117" t="str">
            <v>COLUMBIA 2006 CI - NE SYSTEM</v>
          </cell>
          <cell r="C2117" t="str">
            <v>4MX-LITTLE DIXIE SUPPORT STAFF</v>
          </cell>
        </row>
        <row r="2118">
          <cell r="A2118">
            <v>21316</v>
          </cell>
          <cell r="B2118" t="str">
            <v>THE FOUNTAINS RELOCATIONS</v>
          </cell>
          <cell r="C2118" t="str">
            <v>036-UNDERGROUND</v>
          </cell>
        </row>
        <row r="2119">
          <cell r="A2119">
            <v>21320</v>
          </cell>
          <cell r="B2119" t="str">
            <v>BARNES-JEWISH SCHOOL OF NURSING OH</v>
          </cell>
          <cell r="C2119" t="str">
            <v>056-GERALDINE</v>
          </cell>
        </row>
        <row r="2120">
          <cell r="A2120">
            <v>21327</v>
          </cell>
          <cell r="B2120" t="str">
            <v>Lutesville Repl Wavetrap V8 - REIMB</v>
          </cell>
          <cell r="C2120" t="str">
            <v>09E-ELECTRICAL ENGINEERING</v>
          </cell>
        </row>
        <row r="2121">
          <cell r="A2121">
            <v>21328</v>
          </cell>
          <cell r="B2121" t="str">
            <v>REPAIR 10 IN LINE - SCIOTA</v>
          </cell>
          <cell r="C2121" t="str">
            <v>0G6-GAS STORAGE</v>
          </cell>
        </row>
        <row r="2122">
          <cell r="A2122">
            <v>21330</v>
          </cell>
          <cell r="B2122" t="str">
            <v>Hunters Trail Estates</v>
          </cell>
          <cell r="C2122" t="str">
            <v>669-DIVISION I SUPPORT STAFF</v>
          </cell>
        </row>
        <row r="2123">
          <cell r="A2123">
            <v>21332</v>
          </cell>
          <cell r="B2123" t="str">
            <v>Stonehenge Subdivision</v>
          </cell>
          <cell r="C2123" t="str">
            <v>669-DIVISION I SUPPORT STAFF</v>
          </cell>
        </row>
        <row r="2124">
          <cell r="A2124">
            <v>21336</v>
          </cell>
          <cell r="B2124" t="str">
            <v>REWORK TRUITT #1 WELL HILLSBORO</v>
          </cell>
          <cell r="C2124" t="str">
            <v>0G6-GAS STORAGE</v>
          </cell>
        </row>
        <row r="2125">
          <cell r="A2125">
            <v>21337</v>
          </cell>
          <cell r="B2125" t="str">
            <v>GAS MAIN EXT, BELLEVILLE CROSSINGS</v>
          </cell>
          <cell r="C2125" t="str">
            <v>91U-DIVISION VI SUPPORT STAFF</v>
          </cell>
        </row>
        <row r="2126">
          <cell r="A2126">
            <v>21339</v>
          </cell>
          <cell r="B2126" t="str">
            <v xml:space="preserve">SPRADLIN HOMES, PRAIRIE KNOLLS_x000D_
</v>
          </cell>
          <cell r="C2126" t="str">
            <v>8MS-DIVISION II SUPPORT STAFF</v>
          </cell>
        </row>
        <row r="2127">
          <cell r="A2127">
            <v>21340</v>
          </cell>
          <cell r="B2127" t="str">
            <v>STL COUNTY - BIG BEND RD PHASE 1</v>
          </cell>
          <cell r="C2127" t="str">
            <v>053-ELLISVILLE DISTRICT</v>
          </cell>
        </row>
        <row r="2128">
          <cell r="A2128">
            <v>21341</v>
          </cell>
          <cell r="B2128" t="str">
            <v>THE ESTS AT WLMS CREEK PH 1 &amp; 2</v>
          </cell>
          <cell r="C2128" t="str">
            <v>052-MACKENZIE</v>
          </cell>
        </row>
        <row r="2129">
          <cell r="A2129">
            <v>21342</v>
          </cell>
          <cell r="B2129" t="str">
            <v>2006 Ashland-PVC Main-Eastside Dr</v>
          </cell>
          <cell r="C2129" t="str">
            <v>5JS-CAPITAL DIST SUPPORT</v>
          </cell>
        </row>
        <row r="2130">
          <cell r="A2130">
            <v>21345</v>
          </cell>
          <cell r="B2130" t="str">
            <v>BANDWIDTH EXCHANGE ADDITIONAL SERVI</v>
          </cell>
          <cell r="C2130" t="str">
            <v>036-UNDERGROUND</v>
          </cell>
        </row>
        <row r="2131">
          <cell r="A2131">
            <v>21346</v>
          </cell>
          <cell r="B2131" t="str">
            <v>RETIRE RICHWOOD GAS STORAGE FIELD</v>
          </cell>
          <cell r="C2131" t="str">
            <v>0G6-GAS STORAGE</v>
          </cell>
        </row>
        <row r="2132">
          <cell r="A2132">
            <v>21348</v>
          </cell>
          <cell r="B2132" t="str">
            <v>MODOT CLAYTON RD STAGE 3 WEST</v>
          </cell>
          <cell r="C2132" t="str">
            <v>053-ELLISVILLE DISTRICT</v>
          </cell>
        </row>
        <row r="2133">
          <cell r="A2133">
            <v>21352</v>
          </cell>
          <cell r="B2133" t="str">
            <v>VENICE - U2 BLACKSTART UPGRADES</v>
          </cell>
          <cell r="C2133" t="str">
            <v>09M-GENERATION PROJECT ENGINEERING</v>
          </cell>
        </row>
        <row r="2134">
          <cell r="A2134">
            <v>21353</v>
          </cell>
          <cell r="B2134" t="str">
            <v>MERAMEC - CTG 1&amp;2 BLACKSTART</v>
          </cell>
          <cell r="C2134" t="str">
            <v>09M-GENERATION PROJECT ENGINEERING</v>
          </cell>
        </row>
        <row r="2135">
          <cell r="A2135">
            <v>21355</v>
          </cell>
          <cell r="B2135" t="str">
            <v>Loose Creek -HWY 50 Relocation</v>
          </cell>
          <cell r="C2135" t="str">
            <v>5JS-CAPITAL DIST SUPPORT</v>
          </cell>
        </row>
        <row r="2136">
          <cell r="A2136">
            <v>21358</v>
          </cell>
          <cell r="B2136" t="str">
            <v>PINNACLE CASINO AT LACLEDES LANDIN</v>
          </cell>
          <cell r="C2136" t="str">
            <v>056-GERALDINE</v>
          </cell>
        </row>
        <row r="2137">
          <cell r="A2137">
            <v>21360</v>
          </cell>
          <cell r="B2137" t="str">
            <v>RI U1 SLAG FLOW DIVERTER</v>
          </cell>
          <cell r="C2137" t="str">
            <v>09M-GENERATION PROJECT ENGINEERING</v>
          </cell>
        </row>
        <row r="2138">
          <cell r="A2138">
            <v>21361</v>
          </cell>
          <cell r="B2138" t="str">
            <v>SIOUX CONSTRUCTION ACTIVITIES</v>
          </cell>
          <cell r="C2138" t="str">
            <v>09M-GENERATION PROJECT ENGINEERING</v>
          </cell>
        </row>
        <row r="2139">
          <cell r="A2139">
            <v>21362</v>
          </cell>
          <cell r="B2139" t="str">
            <v>SL - Tolono Sub</v>
          </cell>
          <cell r="C2139" t="str">
            <v>061-REAL ESTATE</v>
          </cell>
        </row>
        <row r="2140">
          <cell r="A2140">
            <v>21363</v>
          </cell>
          <cell r="B2140" t="str">
            <v>SL - Fairbury Storeroom</v>
          </cell>
          <cell r="C2140" t="str">
            <v>061-REAL ESTATE</v>
          </cell>
        </row>
        <row r="2141">
          <cell r="A2141">
            <v>21364</v>
          </cell>
          <cell r="B2141" t="str">
            <v>Mineral Install Transfer Trip-REIMB</v>
          </cell>
          <cell r="C2141" t="str">
            <v>09E-ELECTRICAL ENGINEERING</v>
          </cell>
        </row>
        <row r="2142">
          <cell r="A2142">
            <v>21365</v>
          </cell>
          <cell r="B2142" t="str">
            <v>E Kewanee Install Xfr Trip-REIMB</v>
          </cell>
          <cell r="C2142" t="str">
            <v>09E-ELECTRICAL ENGINEERING</v>
          </cell>
        </row>
        <row r="2143">
          <cell r="A2143">
            <v>21366</v>
          </cell>
          <cell r="B2143" t="str">
            <v>Castle Property Purchase</v>
          </cell>
          <cell r="C2143" t="str">
            <v>49B-ESH - WASTE</v>
          </cell>
        </row>
        <row r="2144">
          <cell r="A2144">
            <v>21367</v>
          </cell>
          <cell r="B2144" t="str">
            <v>HERITAGE ESTATES 3RD ADDITION</v>
          </cell>
          <cell r="C2144" t="str">
            <v>2MS-DIVISION IV SUPPORT STAFF</v>
          </cell>
        </row>
        <row r="2145">
          <cell r="A2145">
            <v>21369</v>
          </cell>
          <cell r="B2145" t="str">
            <v>SL - GALLATIN MINERAL RIGHTS</v>
          </cell>
          <cell r="C2145" t="str">
            <v>061-REAL ESTATE</v>
          </cell>
        </row>
        <row r="2146">
          <cell r="A2146">
            <v>21370</v>
          </cell>
          <cell r="B2146" t="str">
            <v>SL - State Street Sub Site</v>
          </cell>
          <cell r="C2146" t="str">
            <v>061-REAL ESTATE</v>
          </cell>
        </row>
        <row r="2147">
          <cell r="A2147">
            <v>21371</v>
          </cell>
          <cell r="B2147" t="str">
            <v>SL - Tuscola Office Building</v>
          </cell>
          <cell r="C2147" t="str">
            <v>061-REAL ESTATE</v>
          </cell>
        </row>
        <row r="2148">
          <cell r="A2148">
            <v>21373</v>
          </cell>
          <cell r="B2148" t="str">
            <v>HOWARD BEND - BLACKSTART UPGRADES</v>
          </cell>
          <cell r="C2148" t="str">
            <v>09M-GENERATION PROJECT ENGINEERING</v>
          </cell>
        </row>
        <row r="2149">
          <cell r="A2149">
            <v>21374</v>
          </cell>
          <cell r="B2149" t="str">
            <v>Route 40 Line Relocate</v>
          </cell>
          <cell r="C2149" t="str">
            <v>669-DIVISION I SUPPORT STAFF</v>
          </cell>
        </row>
        <row r="2150">
          <cell r="A2150">
            <v>21378</v>
          </cell>
          <cell r="B2150" t="str">
            <v>Continental Cement Customer Sub.</v>
          </cell>
          <cell r="C2150" t="str">
            <v>09E-ELECTRICAL ENGINEERING</v>
          </cell>
        </row>
        <row r="2151">
          <cell r="A2151">
            <v>21380</v>
          </cell>
          <cell r="B2151" t="str">
            <v>Duck Creek -Repl.-345kV Ckt #4552</v>
          </cell>
          <cell r="C2151" t="str">
            <v>09E-ELECTRICAL ENGINEERING</v>
          </cell>
        </row>
        <row r="2152">
          <cell r="A2152">
            <v>21382</v>
          </cell>
          <cell r="B2152" t="str">
            <v>SL - St. Francois Banks Property</v>
          </cell>
          <cell r="C2152" t="str">
            <v>061-REAL ESTATE</v>
          </cell>
        </row>
        <row r="2153">
          <cell r="A2153">
            <v>21383</v>
          </cell>
          <cell r="B2153" t="str">
            <v xml:space="preserve">AIR QUALITY MINE LINE EXT_x000D_
</v>
          </cell>
          <cell r="C2153" t="str">
            <v>2MS-DIVISION IV SUPPORT STAFF</v>
          </cell>
        </row>
        <row r="2154">
          <cell r="A2154">
            <v>21384</v>
          </cell>
          <cell r="B2154" t="str">
            <v>CTG MONITORING &amp; AUTOMATION-REG</v>
          </cell>
          <cell r="C2154" t="str">
            <v>09M-GENERATION PROJECT ENGINEERING</v>
          </cell>
        </row>
        <row r="2155">
          <cell r="A2155">
            <v>21386</v>
          </cell>
          <cell r="B2155" t="str">
            <v>THORNEWOOD NORTH PHASE 1</v>
          </cell>
          <cell r="C2155" t="str">
            <v>2MS-DIVISION IV SUPPORT STAFF</v>
          </cell>
        </row>
        <row r="2156">
          <cell r="A2156">
            <v>21387</v>
          </cell>
          <cell r="B2156" t="str">
            <v>LIBERTY ON THE LAKES SUBD, ELEC EXT</v>
          </cell>
          <cell r="C2156" t="str">
            <v>2MS-DIVISION IV SUPPORT STAFF</v>
          </cell>
        </row>
        <row r="2157">
          <cell r="A2157">
            <v>21388</v>
          </cell>
          <cell r="B2157" t="str">
            <v>LIBERTY ON THE LAKES CONDO COMPLEX</v>
          </cell>
          <cell r="C2157" t="str">
            <v>2MS-DIVISION IV SUPPORT STAFF</v>
          </cell>
        </row>
        <row r="2158">
          <cell r="A2158">
            <v>21393</v>
          </cell>
          <cell r="B2158" t="str">
            <v xml:space="preserve">GREENMOUNT FREEDOM HOMES EAST_x000D_
</v>
          </cell>
          <cell r="C2158" t="str">
            <v>91U-DIVISION VI SUPPORT STAFF</v>
          </cell>
        </row>
        <row r="2159">
          <cell r="A2159">
            <v>21394</v>
          </cell>
          <cell r="B2159" t="str">
            <v>MARYVILLE OLD TOWN ROADWAY IMPROVEM</v>
          </cell>
          <cell r="C2159" t="str">
            <v>3MS-DIVISION V SUPPORT STAFF</v>
          </cell>
        </row>
        <row r="2160">
          <cell r="A2160">
            <v>21395</v>
          </cell>
          <cell r="B2160" t="str">
            <v>Carthage</v>
          </cell>
          <cell r="C2160" t="str">
            <v>8MS-DIVISION II SUPPORT STAFF</v>
          </cell>
        </row>
        <row r="2161">
          <cell r="A2161">
            <v>21398</v>
          </cell>
          <cell r="B2161" t="str">
            <v>Mer 4 feedwater control upgrade</v>
          </cell>
          <cell r="C2161" t="str">
            <v>09M-GENERATION PROJECT ENGINEERING</v>
          </cell>
        </row>
        <row r="2162">
          <cell r="A2162">
            <v>21399</v>
          </cell>
          <cell r="B2162" t="str">
            <v xml:space="preserve">SCHREIBER FARMS LLC_x000D_
</v>
          </cell>
          <cell r="C2162" t="str">
            <v>3MS-DIVISION V SUPPORT STAFF</v>
          </cell>
        </row>
        <row r="2163">
          <cell r="A2163">
            <v>21401</v>
          </cell>
          <cell r="B2163" t="str">
            <v>Spare Breakers-Dorsett &amp; Jeff City</v>
          </cell>
          <cell r="C2163" t="str">
            <v>09E-ELECTRICAL ENGINEERING</v>
          </cell>
        </row>
        <row r="2164">
          <cell r="A2164">
            <v>21402</v>
          </cell>
          <cell r="B2164" t="str">
            <v>Spare Breaker-Peoria or Springfield</v>
          </cell>
          <cell r="C2164" t="str">
            <v>09E-ELECTRICAL ENGINEERING</v>
          </cell>
        </row>
        <row r="2165">
          <cell r="A2165">
            <v>21403</v>
          </cell>
          <cell r="B2165" t="str">
            <v>Spare Breaker-Mattoon</v>
          </cell>
          <cell r="C2165" t="str">
            <v>09E-ELECTRICAL ENGINEERING</v>
          </cell>
        </row>
        <row r="2166">
          <cell r="A2166">
            <v>21404</v>
          </cell>
          <cell r="B2166" t="str">
            <v>Alton Memorial Hospital Cust Sub</v>
          </cell>
          <cell r="C2166" t="str">
            <v>09E-ELECTRICAL ENGINEERING</v>
          </cell>
        </row>
        <row r="2167">
          <cell r="A2167">
            <v>21405</v>
          </cell>
          <cell r="B2167" t="str">
            <v xml:space="preserve">THE TRAILS AT ABBEY FIELDS_x000D_
</v>
          </cell>
          <cell r="C2167" t="str">
            <v>2MS-DIVISION IV SUPPORT STAFF</v>
          </cell>
        </row>
        <row r="2168">
          <cell r="A2168">
            <v>21406</v>
          </cell>
          <cell r="B2168" t="str">
            <v xml:space="preserve">THE TRAILS AT ABBEY FIELDS_x000D_
</v>
          </cell>
          <cell r="C2168" t="str">
            <v>2MS-DIVISION IV SUPPORT STAFF</v>
          </cell>
        </row>
        <row r="2169">
          <cell r="A2169">
            <v>21407</v>
          </cell>
          <cell r="B2169" t="str">
            <v xml:space="preserve">CONWAY FARMS PHASE II,MAHOMET_x000D_
</v>
          </cell>
          <cell r="C2169" t="str">
            <v>2MS-DIVISION IV SUPPORT STAFF</v>
          </cell>
        </row>
        <row r="2170">
          <cell r="A2170">
            <v>21408</v>
          </cell>
          <cell r="B2170" t="str">
            <v xml:space="preserve">SUN COKE_x000D_
</v>
          </cell>
          <cell r="C2170" t="str">
            <v>3MS-DIVISION V SUPPORT STAFF</v>
          </cell>
        </row>
        <row r="2171">
          <cell r="A2171">
            <v>21409</v>
          </cell>
          <cell r="B2171" t="str">
            <v>New Str. 1418 SubT-Hills</v>
          </cell>
          <cell r="C2171" t="str">
            <v>037-TRANSMISSION</v>
          </cell>
        </row>
        <row r="2172">
          <cell r="A2172">
            <v>21412</v>
          </cell>
          <cell r="B2172" t="str">
            <v>HAMPTON GLEN SUBDIVISION, TROY</v>
          </cell>
          <cell r="C2172" t="str">
            <v>3MS-DIVISION V SUPPORT STAFF</v>
          </cell>
        </row>
        <row r="2173">
          <cell r="A2173" t="str">
            <v>A0001</v>
          </cell>
          <cell r="B2173" t="str">
            <v>MAINTAIN GEN'L BOOKS&amp;FIN'L RECORDS</v>
          </cell>
          <cell r="C2173" t="str">
            <v>004-ACCOUNTING</v>
          </cell>
        </row>
        <row r="2174">
          <cell r="A2174" t="str">
            <v>A0002</v>
          </cell>
          <cell r="B2174" t="str">
            <v>PROCESS/PAY INVOICES&amp;DISB REQUESTS</v>
          </cell>
          <cell r="C2174" t="str">
            <v>004-ACCOUNTING</v>
          </cell>
        </row>
        <row r="2175">
          <cell r="A2175" t="str">
            <v>A0004</v>
          </cell>
          <cell r="B2175" t="str">
            <v>CONTROLLERS FUNCTIONAL INDIRECT</v>
          </cell>
          <cell r="C2175" t="str">
            <v>004-ACCOUNTING</v>
          </cell>
        </row>
        <row r="2176">
          <cell r="A2176" t="str">
            <v>A0005</v>
          </cell>
          <cell r="B2176" t="str">
            <v>MAINTAIN UE ACCOUNTING RECORDS</v>
          </cell>
          <cell r="C2176" t="str">
            <v>004-ACCOUNTING</v>
          </cell>
        </row>
        <row r="2177">
          <cell r="A2177" t="str">
            <v>A0006</v>
          </cell>
          <cell r="B2177" t="str">
            <v>CIPS ACCTG RECORDS-GENERAL ACCTG</v>
          </cell>
          <cell r="C2177" t="str">
            <v>004-ACCOUNTING</v>
          </cell>
        </row>
        <row r="2178">
          <cell r="A2178" t="str">
            <v>A0007</v>
          </cell>
          <cell r="B2178" t="str">
            <v>MAINTAIN CIC ACCOUNTING RECORDS</v>
          </cell>
          <cell r="C2178" t="str">
            <v>004-ACCOUNTING</v>
          </cell>
        </row>
        <row r="2179">
          <cell r="A2179" t="str">
            <v>A0008</v>
          </cell>
          <cell r="B2179" t="str">
            <v>MAINTAIN UEDC ACCOUNTING RECORDS</v>
          </cell>
          <cell r="C2179" t="str">
            <v>004-ACCOUNTING</v>
          </cell>
        </row>
        <row r="2180">
          <cell r="A2180" t="str">
            <v>A0009</v>
          </cell>
          <cell r="B2180" t="str">
            <v>MAINTAIN AMC ACCOUNTING RECORDS</v>
          </cell>
          <cell r="C2180" t="str">
            <v>004-ACCOUNTING</v>
          </cell>
        </row>
        <row r="2181">
          <cell r="A2181" t="str">
            <v>A0012</v>
          </cell>
          <cell r="B2181" t="str">
            <v>MAINTAIN AEC ACCTG RECORDS</v>
          </cell>
          <cell r="C2181" t="str">
            <v>004-ACCOUNTING</v>
          </cell>
        </row>
        <row r="2182">
          <cell r="A2182" t="str">
            <v>A0016</v>
          </cell>
          <cell r="B2182" t="str">
            <v>MAINTAIN ERC ACCOUNTING RECORDS</v>
          </cell>
          <cell r="C2182" t="str">
            <v>004-ACCOUNTING</v>
          </cell>
        </row>
        <row r="2183">
          <cell r="A2183" t="str">
            <v>A0018</v>
          </cell>
          <cell r="B2183" t="str">
            <v>MAINTAIN AME ACCOUNTING RECORDS</v>
          </cell>
          <cell r="C2183" t="str">
            <v>004-ACCOUNTING</v>
          </cell>
        </row>
        <row r="2184">
          <cell r="A2184" t="str">
            <v>A0021</v>
          </cell>
          <cell r="B2184" t="str">
            <v>INVSTR RELS / EXTERN FINANCIAL RPTG</v>
          </cell>
          <cell r="C2184" t="str">
            <v>04C-FINANCIAL COMMUNICATIONS</v>
          </cell>
        </row>
        <row r="2185">
          <cell r="A2185" t="str">
            <v>A0022</v>
          </cell>
          <cell r="B2185" t="str">
            <v>FEDEX CORP BILLING</v>
          </cell>
          <cell r="C2185" t="str">
            <v>092-SPECIAL ITEMS-ACCOUNTING DEPT</v>
          </cell>
        </row>
        <row r="2186">
          <cell r="A2186" t="str">
            <v>A0051</v>
          </cell>
          <cell r="B2186" t="str">
            <v>MAINTAIN CORP MODEL-BUDGET SYSTEM</v>
          </cell>
          <cell r="C2186" t="str">
            <v>05B-CONTROLLERS BUDGETING</v>
          </cell>
        </row>
        <row r="2187">
          <cell r="A2187" t="str">
            <v>A0075</v>
          </cell>
          <cell r="B2187" t="str">
            <v>MTCE OF PROJECTS &amp; ASSETS SYSTEMS</v>
          </cell>
          <cell r="C2187" t="str">
            <v>004-ACCOUNTING</v>
          </cell>
        </row>
        <row r="2188">
          <cell r="A2188" t="str">
            <v>A0077</v>
          </cell>
          <cell r="B2188" t="str">
            <v>MAINTAIN CIP ASSETRECS(ELEC/GAS IL)</v>
          </cell>
          <cell r="C2188" t="str">
            <v>004-ACCOUNTING</v>
          </cell>
        </row>
        <row r="2189">
          <cell r="A2189" t="str">
            <v>A0078</v>
          </cell>
          <cell r="B2189" t="str">
            <v>MAINTAIN UE ASSET RECORDS</v>
          </cell>
          <cell r="C2189" t="str">
            <v>004-ACCOUNTING</v>
          </cell>
        </row>
        <row r="2190">
          <cell r="A2190" t="str">
            <v>A0079</v>
          </cell>
          <cell r="B2190" t="str">
            <v>MAINTAIN AMS ASSETS &amp; REPORTING</v>
          </cell>
          <cell r="C2190" t="str">
            <v>004-ACCOUNTING</v>
          </cell>
        </row>
        <row r="2191">
          <cell r="A2191" t="str">
            <v>A0080</v>
          </cell>
          <cell r="B2191" t="str">
            <v>CIPS REGULATORY RPTG (ELEC/GAS IL)</v>
          </cell>
          <cell r="C2191" t="str">
            <v>004-ACCOUNTING</v>
          </cell>
        </row>
        <row r="2192">
          <cell r="A2192" t="str">
            <v>A0081</v>
          </cell>
          <cell r="B2192" t="str">
            <v>UE REGLATORY RPTG (E/G)</v>
          </cell>
          <cell r="C2192" t="str">
            <v>004-ACCOUNTING</v>
          </cell>
        </row>
        <row r="2193">
          <cell r="A2193" t="str">
            <v>A0083</v>
          </cell>
          <cell r="B2193" t="str">
            <v>AUDIT SVC VENDOR-BCS</v>
          </cell>
          <cell r="C2193" t="str">
            <v>4PL-PLANT ACCOUNTING</v>
          </cell>
        </row>
        <row r="2194">
          <cell r="A2194" t="str">
            <v>A0084</v>
          </cell>
          <cell r="B2194" t="str">
            <v>AMS PC'S &amp; REPRODUCTION EQUIP DEPR</v>
          </cell>
          <cell r="C2194" t="str">
            <v>004-ACCOUNTING</v>
          </cell>
        </row>
        <row r="2195">
          <cell r="A2195" t="str">
            <v>A0101</v>
          </cell>
          <cell r="B2195" t="str">
            <v>AUDIT OF CIPS DISTRICT OPERATIONS</v>
          </cell>
          <cell r="C2195" t="str">
            <v>05A-INTERNAL AUDIT</v>
          </cell>
        </row>
        <row r="2196">
          <cell r="A2196" t="str">
            <v>A0102</v>
          </cell>
          <cell r="B2196" t="str">
            <v>RISK MANAGEMENT - AMEREN/UE</v>
          </cell>
          <cell r="C2196" t="str">
            <v>07Q-CORPORATE RISK MGMT</v>
          </cell>
        </row>
        <row r="2197">
          <cell r="A2197" t="str">
            <v>A0103</v>
          </cell>
          <cell r="B2197" t="str">
            <v>METER READING SUPPORT-MANAGERIAL</v>
          </cell>
          <cell r="C2197" t="str">
            <v>03A-METER READING-AMS</v>
          </cell>
        </row>
        <row r="2198">
          <cell r="A2198" t="str">
            <v>A0104</v>
          </cell>
          <cell r="B2198" t="str">
            <v>AUDIT OF UE POWER PLANT OPERATIONS</v>
          </cell>
          <cell r="C2198" t="str">
            <v>05A-INTERNAL AUDIT</v>
          </cell>
        </row>
        <row r="2199">
          <cell r="A2199" t="str">
            <v>A0106</v>
          </cell>
          <cell r="B2199" t="str">
            <v>BPS - AMEREN/CIPS</v>
          </cell>
          <cell r="C2199" t="str">
            <v>060-SCP - PLANNING</v>
          </cell>
        </row>
        <row r="2200">
          <cell r="A2200" t="str">
            <v>A0108</v>
          </cell>
          <cell r="B2200" t="str">
            <v>CORP PLANNING SUPPORT FOR AME</v>
          </cell>
          <cell r="C2200" t="str">
            <v>012-CORPORATE PLANNING</v>
          </cell>
        </row>
        <row r="2201">
          <cell r="A2201" t="str">
            <v>A0109</v>
          </cell>
          <cell r="B2201" t="str">
            <v>AUDIT OF GENCO POWER PLANT OPS</v>
          </cell>
          <cell r="C2201" t="str">
            <v>05A-INTERNAL AUDIT</v>
          </cell>
        </row>
        <row r="2202">
          <cell r="A2202" t="str">
            <v>A0110</v>
          </cell>
          <cell r="B2202" t="str">
            <v>GENERATION / TRANSM. COORD. &amp; DISPA</v>
          </cell>
          <cell r="C2202" t="str">
            <v>042-TRANSMISSION OPERATIONS</v>
          </cell>
        </row>
        <row r="2203">
          <cell r="A2203" t="str">
            <v>A0111</v>
          </cell>
          <cell r="B2203" t="str">
            <v>AUDIT OF UE CONTINUOUS EMIS MONITOR</v>
          </cell>
          <cell r="C2203" t="str">
            <v>05A-INTERNAL AUDIT</v>
          </cell>
        </row>
        <row r="2204">
          <cell r="A2204" t="str">
            <v>A0112</v>
          </cell>
          <cell r="B2204" t="str">
            <v>NETWORK METER READING - AMEREN UE</v>
          </cell>
          <cell r="C2204" t="str">
            <v>03A-METER READING-AMS</v>
          </cell>
        </row>
        <row r="2205">
          <cell r="A2205" t="str">
            <v>A0113</v>
          </cell>
          <cell r="B2205" t="str">
            <v>METER READING MV-90 SUPPORT - UEC</v>
          </cell>
          <cell r="C2205" t="str">
            <v>03A-METER READING-AMS</v>
          </cell>
        </row>
        <row r="2206">
          <cell r="A2206" t="str">
            <v>A0114</v>
          </cell>
          <cell r="B2206" t="str">
            <v>GENERATION/TRANSM. COORD. &amp; DISPATC</v>
          </cell>
          <cell r="C2206" t="str">
            <v>042-TRANSMISSION OPERATIONS</v>
          </cell>
        </row>
        <row r="2207">
          <cell r="A2207" t="str">
            <v>A0115</v>
          </cell>
          <cell r="B2207" t="str">
            <v>ELECTRIC METER SUPPORT (UE)</v>
          </cell>
          <cell r="C2207" t="str">
            <v>0G2-GAS TECH SERVICES - AMS</v>
          </cell>
        </row>
        <row r="2208">
          <cell r="A2208" t="str">
            <v>A0116</v>
          </cell>
          <cell r="B2208" t="str">
            <v>AUDIT OF GEN CONTINUOUS EMISMONITOR</v>
          </cell>
          <cell r="C2208" t="str">
            <v>05A-INTERNAL AUDIT</v>
          </cell>
        </row>
        <row r="2209">
          <cell r="A2209" t="str">
            <v>A0117</v>
          </cell>
          <cell r="B2209" t="str">
            <v>TRANSM COORD &amp; DISPATCH FOR AMEREN/</v>
          </cell>
          <cell r="C2209" t="str">
            <v>042-TRANSMISSION OPERATIONS</v>
          </cell>
        </row>
        <row r="2210">
          <cell r="A2210" t="str">
            <v>A0118</v>
          </cell>
          <cell r="B2210" t="str">
            <v>AUDIT OF UE STORES &amp; INVENTORY OPS</v>
          </cell>
          <cell r="C2210" t="str">
            <v>05A-INTERNAL AUDIT</v>
          </cell>
        </row>
        <row r="2211">
          <cell r="A2211" t="str">
            <v>A0119</v>
          </cell>
          <cell r="B2211" t="str">
            <v>AUDIT OF CIP STORES &amp; INVENTORY OPS</v>
          </cell>
          <cell r="C2211" t="str">
            <v>05A-INTERNAL AUDIT</v>
          </cell>
        </row>
        <row r="2212">
          <cell r="A2212" t="str">
            <v>A0120</v>
          </cell>
          <cell r="B2212" t="str">
            <v>AUDIT OF FORESTRY OPERATIONS</v>
          </cell>
          <cell r="C2212" t="str">
            <v>05A-INTERNAL AUDIT</v>
          </cell>
        </row>
        <row r="2213">
          <cell r="A2213" t="str">
            <v>A0121</v>
          </cell>
          <cell r="B2213" t="str">
            <v>AUDIT OF RELAY OPERATIONS</v>
          </cell>
          <cell r="C2213" t="str">
            <v>05A-INTERNAL AUDIT</v>
          </cell>
        </row>
        <row r="2214">
          <cell r="A2214" t="str">
            <v>A0122</v>
          </cell>
          <cell r="B2214" t="str">
            <v>AUDIT OF SERVICE TEST OPERATIONS</v>
          </cell>
          <cell r="C2214" t="str">
            <v>05A-INTERNAL AUDIT</v>
          </cell>
        </row>
        <row r="2215">
          <cell r="A2215" t="str">
            <v>A0124</v>
          </cell>
          <cell r="B2215" t="str">
            <v>SUPV CUSTOMER SERVICE - AMEREN UE</v>
          </cell>
          <cell r="C2215" t="str">
            <v>03W-CUSTOMER SERVICE-AMS</v>
          </cell>
        </row>
        <row r="2216">
          <cell r="A2216" t="str">
            <v>A0125</v>
          </cell>
          <cell r="B2216" t="str">
            <v>BPS - INDIRECT FUNCTIONAL</v>
          </cell>
          <cell r="C2216" t="str">
            <v>060-SCP - PLANNING</v>
          </cell>
        </row>
        <row r="2217">
          <cell r="A2217" t="str">
            <v>A0126</v>
          </cell>
          <cell r="B2217" t="str">
            <v>BPS - AMEREN/UE</v>
          </cell>
          <cell r="C2217" t="str">
            <v>060-SCP - PLANNING</v>
          </cell>
        </row>
        <row r="2218">
          <cell r="A2218" t="str">
            <v>A0127</v>
          </cell>
          <cell r="B2218" t="str">
            <v>AUDITS OF DATA SECURITY</v>
          </cell>
          <cell r="C2218" t="str">
            <v>05A-INTERNAL AUDIT</v>
          </cell>
        </row>
        <row r="2219">
          <cell r="A2219" t="str">
            <v>A0128</v>
          </cell>
          <cell r="B2219" t="str">
            <v>AUDIT OF STORES OPERATIONS</v>
          </cell>
          <cell r="C2219" t="str">
            <v>05A-INTERNAL AUDIT</v>
          </cell>
        </row>
        <row r="2220">
          <cell r="A2220" t="str">
            <v>A0129</v>
          </cell>
          <cell r="B2220" t="str">
            <v>CALLAWAY PLT 1998 VEG MONITRNG PROG</v>
          </cell>
          <cell r="C2220" t="str">
            <v>803-NUCL-PROBABILISTIC RISK ASSESSM</v>
          </cell>
        </row>
        <row r="2221">
          <cell r="A2221" t="str">
            <v>A0130</v>
          </cell>
          <cell r="B2221" t="str">
            <v>AUDIT OF SUBSTATIONS OPERATIONS</v>
          </cell>
          <cell r="C2221" t="str">
            <v>05A-INTERNAL AUDIT</v>
          </cell>
        </row>
        <row r="2222">
          <cell r="A2222" t="str">
            <v>A0131</v>
          </cell>
          <cell r="B2222" t="str">
            <v>STORES ADMIN SUPPORT TO UE</v>
          </cell>
          <cell r="C2222" t="str">
            <v>05M-STOREROOMS-AMS</v>
          </cell>
        </row>
        <row r="2223">
          <cell r="A2223" t="str">
            <v>A0132</v>
          </cell>
          <cell r="B2223" t="str">
            <v>DATAOPS-LAN/WAN SUPPORT</v>
          </cell>
          <cell r="C2223" t="str">
            <v>06H-NEO - ENTERPRISE NETWORKING</v>
          </cell>
        </row>
        <row r="2224">
          <cell r="A2224" t="str">
            <v>A0133</v>
          </cell>
          <cell r="B2224" t="str">
            <v>STORES ADMIN SUPPORT OF CIPS (IL)</v>
          </cell>
          <cell r="C2224" t="str">
            <v>05M-STOREROOMS-AMS</v>
          </cell>
        </row>
        <row r="2225">
          <cell r="A2225" t="str">
            <v>A0134</v>
          </cell>
          <cell r="B2225" t="str">
            <v>STORES ADMIN SUPPORT (MO/IL EL/GAS)</v>
          </cell>
          <cell r="C2225" t="str">
            <v>05M-STOREROOMS-AMS</v>
          </cell>
        </row>
        <row r="2226">
          <cell r="A2226" t="str">
            <v>A0138</v>
          </cell>
          <cell r="B2226" t="str">
            <v>STORES MGMT OF AMERENUE(MO)</v>
          </cell>
          <cell r="C2226" t="str">
            <v>05M-STOREROOMS-AMS</v>
          </cell>
        </row>
        <row r="2227">
          <cell r="A2227" t="str">
            <v>A0139</v>
          </cell>
          <cell r="B2227" t="str">
            <v>STORES MGMT OF CIPS (ELEC/GAS IL)</v>
          </cell>
          <cell r="C2227" t="str">
            <v>05M-STOREROOMS-AMS</v>
          </cell>
        </row>
        <row r="2228">
          <cell r="A2228" t="str">
            <v>A0140</v>
          </cell>
          <cell r="B2228" t="str">
            <v>STORES MANAGEMENT (ELEC/GAS MO/IL)</v>
          </cell>
          <cell r="C2228" t="str">
            <v>05M-STOREROOMS-AMS</v>
          </cell>
        </row>
        <row r="2229">
          <cell r="A2229" t="str">
            <v>A0141</v>
          </cell>
          <cell r="B2229" t="str">
            <v>BUSINESS PLANNING SUPPORT FOR AMC</v>
          </cell>
          <cell r="C2229" t="str">
            <v>012-CORPORATE PLANNING</v>
          </cell>
        </row>
        <row r="2230">
          <cell r="A2230" t="str">
            <v>A0142</v>
          </cell>
          <cell r="B2230" t="str">
            <v>ADMIN AND SECRETARIAL SUPPORT</v>
          </cell>
          <cell r="C2230" t="str">
            <v>012-CORPORATE PLANNING</v>
          </cell>
        </row>
        <row r="2231">
          <cell r="A2231" t="str">
            <v>A0143</v>
          </cell>
          <cell r="B2231" t="str">
            <v>DOJM PROJECT MANAGER - AMEREN/UE</v>
          </cell>
          <cell r="C2231" t="str">
            <v>08C-CUSTOMER SERVICE SYSTEM</v>
          </cell>
        </row>
        <row r="2232">
          <cell r="A2232" t="str">
            <v>A0144</v>
          </cell>
          <cell r="B2232" t="str">
            <v>SUPV CUSTOMER SERVICE - AMEREN CIPS</v>
          </cell>
          <cell r="C2232" t="str">
            <v>03W-CUSTOMER SERVICE-AMS</v>
          </cell>
        </row>
        <row r="2233">
          <cell r="A2233" t="str">
            <v>A0146</v>
          </cell>
          <cell r="B2233" t="str">
            <v>ECON DEVELOPMENT SERVICES-COMMON</v>
          </cell>
          <cell r="C2233" t="str">
            <v>016-ECONOMIC DEVELOPMENT</v>
          </cell>
        </row>
        <row r="2234">
          <cell r="A2234" t="str">
            <v>A0149</v>
          </cell>
          <cell r="B2234" t="str">
            <v>ADMIN/GEN OFFICE/SUPPLIES-ECO DEV</v>
          </cell>
          <cell r="C2234" t="str">
            <v>016-ECONOMIC DEVELOPMENT</v>
          </cell>
        </row>
        <row r="2235">
          <cell r="A2235" t="str">
            <v>A0151</v>
          </cell>
          <cell r="B2235" t="str">
            <v>GEN OFF SUPPORT, SUPPLIES  EMPL BEN</v>
          </cell>
          <cell r="C2235" t="str">
            <v>017-EMPLOYEE BENEFITS</v>
          </cell>
        </row>
        <row r="2236">
          <cell r="A2236" t="str">
            <v>A0152</v>
          </cell>
          <cell r="B2236" t="str">
            <v>TRAIN, CONSULT&amp;DEVELOP-UE GEN</v>
          </cell>
          <cell r="C2236" t="str">
            <v>02T-HR - ORGANIZATION EFFECTIVENESS</v>
          </cell>
        </row>
        <row r="2237">
          <cell r="A2237" t="str">
            <v>A0153</v>
          </cell>
          <cell r="B2237" t="str">
            <v>BUILDING SERVICES LABOR - AMEREN/UE</v>
          </cell>
          <cell r="C2237" t="str">
            <v>07V-BUILDING SERVICES-AMS</v>
          </cell>
        </row>
        <row r="2238">
          <cell r="A2238" t="str">
            <v>A0154</v>
          </cell>
          <cell r="B2238" t="str">
            <v>HR/IR SUPPORT FOR UE</v>
          </cell>
          <cell r="C2238" t="str">
            <v>057-LABOR STRATEGY</v>
          </cell>
        </row>
        <row r="2239">
          <cell r="A2239" t="str">
            <v>A0155</v>
          </cell>
          <cell r="B2239" t="str">
            <v>BUILDING SERVICES LABOR-AMEREN/CIPS</v>
          </cell>
          <cell r="C2239" t="str">
            <v>07V-BUILDING SERVICES-AMS</v>
          </cell>
        </row>
        <row r="2240">
          <cell r="A2240" t="str">
            <v>A0156</v>
          </cell>
          <cell r="B2240" t="str">
            <v>TRAIN, CONSULT &amp; DEVELOP-NUCLEAR</v>
          </cell>
          <cell r="C2240" t="str">
            <v>02T-HR - ORGANIZATION EFFECTIVENESS</v>
          </cell>
        </row>
        <row r="2241">
          <cell r="A2241" t="str">
            <v>A0157</v>
          </cell>
          <cell r="B2241" t="str">
            <v>IR SUPPORT FOR CIPS</v>
          </cell>
          <cell r="C2241" t="str">
            <v>057-LABOR STRATEGY</v>
          </cell>
        </row>
        <row r="2242">
          <cell r="A2242" t="str">
            <v>A0158</v>
          </cell>
          <cell r="B2242" t="str">
            <v>TRAIN, CONSULT &amp; DEVELOP-CORP</v>
          </cell>
          <cell r="C2242" t="str">
            <v>02T-HR - ORGANIZATION EFFECTIVENESS</v>
          </cell>
        </row>
        <row r="2243">
          <cell r="A2243" t="str">
            <v>A0160</v>
          </cell>
          <cell r="B2243" t="str">
            <v>ADV AND PR UE (ELEC GAS)</v>
          </cell>
          <cell r="C2243" t="str">
            <v>001-CORPORATE COMMUNICATIONS</v>
          </cell>
        </row>
        <row r="2244">
          <cell r="A2244" t="str">
            <v>A0161</v>
          </cell>
          <cell r="B2244" t="str">
            <v>IT DEVELOPMENT COST NUM OF EES</v>
          </cell>
          <cell r="C2244" t="str">
            <v>201-DEV - BUS &amp; CORP SVCS</v>
          </cell>
        </row>
        <row r="2245">
          <cell r="A2245" t="str">
            <v>A0162</v>
          </cell>
          <cell r="B2245" t="str">
            <v>IR SUPPORT FOR AMEREN SERVICES</v>
          </cell>
          <cell r="C2245" t="str">
            <v>057-LABOR STRATEGY</v>
          </cell>
        </row>
        <row r="2246">
          <cell r="A2246" t="str">
            <v>A0163</v>
          </cell>
          <cell r="B2246" t="str">
            <v>LABOR &amp; EXPENSES OF AMEREN EMPLYS</v>
          </cell>
          <cell r="C2246" t="str">
            <v>07V-BUILDING SERVICES-AMS</v>
          </cell>
        </row>
        <row r="2247">
          <cell r="A2247" t="str">
            <v>A0164</v>
          </cell>
          <cell r="B2247" t="str">
            <v>ADV AND PR CIPS (ELEC GAS IL)</v>
          </cell>
          <cell r="C2247" t="str">
            <v>001-CORPORATE COMMUNICATIONS</v>
          </cell>
        </row>
        <row r="2248">
          <cell r="A2248" t="str">
            <v>A0166</v>
          </cell>
          <cell r="B2248" t="str">
            <v>IR SUPPORT-ADMN-TRNG-SUPP-OTHR</v>
          </cell>
          <cell r="C2248" t="str">
            <v>057-LABOR STRATEGY</v>
          </cell>
        </row>
        <row r="2249">
          <cell r="A2249" t="str">
            <v>A0168</v>
          </cell>
          <cell r="B2249" t="str">
            <v>IT DEVELOPMENT ALLOCATIONS BY PEAK</v>
          </cell>
          <cell r="C2249" t="str">
            <v>204-DEV - ENERGY DELIVERY</v>
          </cell>
        </row>
        <row r="2250">
          <cell r="A2250" t="str">
            <v>A0169</v>
          </cell>
          <cell r="B2250" t="str">
            <v>EMPRV GENERATION</v>
          </cell>
          <cell r="C2250" t="str">
            <v>202-DEV - OPERATIONS</v>
          </cell>
        </row>
        <row r="2251">
          <cell r="A2251" t="str">
            <v>A0171</v>
          </cell>
          <cell r="B2251" t="str">
            <v>SUBSTATION APPS - UEC</v>
          </cell>
          <cell r="C2251" t="str">
            <v>202-DEV - OPERATIONS</v>
          </cell>
        </row>
        <row r="2252">
          <cell r="A2252" t="str">
            <v>A0175</v>
          </cell>
          <cell r="B2252" t="str">
            <v>DISTRIBUTION ENGRG. SVCS.-ALLOCATED</v>
          </cell>
          <cell r="C2252" t="str">
            <v>028-ED DISTRIBUTION ENGINEERING</v>
          </cell>
        </row>
        <row r="2253">
          <cell r="A2253" t="str">
            <v>A0176</v>
          </cell>
          <cell r="B2253" t="str">
            <v>ED ELECTRIC TRAINING - AMEREN/UEC</v>
          </cell>
          <cell r="C2253" t="str">
            <v>230-DORSETT TRAINING</v>
          </cell>
        </row>
        <row r="2254">
          <cell r="A2254" t="str">
            <v>A0177</v>
          </cell>
          <cell r="B2254" t="str">
            <v>ALLOCATED SAFETY &amp; HEALTH SUPPORT</v>
          </cell>
          <cell r="C2254" t="str">
            <v>49D-ESH - SAFETY &amp; HEALTH</v>
          </cell>
        </row>
        <row r="2255">
          <cell r="A2255" t="str">
            <v>A0178</v>
          </cell>
          <cell r="B2255" t="str">
            <v>UEC - TAX WORK</v>
          </cell>
          <cell r="C2255" t="str">
            <v>05T-TAX</v>
          </cell>
        </row>
        <row r="2256">
          <cell r="A2256" t="str">
            <v>A0179</v>
          </cell>
          <cell r="B2256" t="str">
            <v>ED ELECTRIC TRAINING - AMEREN/CIP</v>
          </cell>
          <cell r="C2256" t="str">
            <v>230-DORSETT TRAINING</v>
          </cell>
        </row>
        <row r="2257">
          <cell r="A2257" t="str">
            <v>A0180</v>
          </cell>
          <cell r="B2257" t="str">
            <v>ED ELECTRICAL TRAINING ALLOCATED</v>
          </cell>
          <cell r="C2257" t="str">
            <v>230-DORSETT TRAINING</v>
          </cell>
        </row>
        <row r="2258">
          <cell r="A2258" t="str">
            <v>A0181</v>
          </cell>
          <cell r="B2258" t="str">
            <v>AMERENCIPS SAFETY &amp; HEALTH SUPPORT</v>
          </cell>
          <cell r="C2258" t="str">
            <v>49D-ESH - SAFETY &amp; HEALTH</v>
          </cell>
        </row>
        <row r="2259">
          <cell r="A2259" t="str">
            <v>A0182</v>
          </cell>
          <cell r="B2259" t="str">
            <v>CSD - ADMINISTRATION - AMEREN/UE</v>
          </cell>
          <cell r="C2259" t="str">
            <v>45C-ED FINANCIAL SUPPORT &amp; ANALYSIS</v>
          </cell>
        </row>
        <row r="2260">
          <cell r="A2260" t="str">
            <v>A0183</v>
          </cell>
          <cell r="B2260" t="str">
            <v>CIPS - TAX WORK</v>
          </cell>
          <cell r="C2260" t="str">
            <v>05T-TAX</v>
          </cell>
        </row>
        <row r="2261">
          <cell r="A2261" t="str">
            <v>A0184</v>
          </cell>
          <cell r="B2261" t="str">
            <v>CIC - TAX WORK</v>
          </cell>
          <cell r="C2261" t="str">
            <v>05T-TAX</v>
          </cell>
        </row>
        <row r="2262">
          <cell r="A2262" t="str">
            <v>A0185</v>
          </cell>
          <cell r="B2262" t="str">
            <v>AMERENUE SAFETY &amp; HEALTH SUPPORT</v>
          </cell>
          <cell r="C2262" t="str">
            <v>49D-ESH - SAFETY &amp; HEALTH</v>
          </cell>
        </row>
        <row r="2263">
          <cell r="A2263" t="str">
            <v>A0189</v>
          </cell>
          <cell r="B2263" t="str">
            <v>ALLOCATED ENV SUPPORT SERV</v>
          </cell>
          <cell r="C2263" t="str">
            <v>049-ESH - GENERAL</v>
          </cell>
        </row>
        <row r="2264">
          <cell r="A2264" t="str">
            <v>A0192</v>
          </cell>
          <cell r="B2264" t="str">
            <v>TAX-DEPARTMENTAL ADMINISTRATION</v>
          </cell>
          <cell r="C2264" t="str">
            <v>05T-TAX</v>
          </cell>
        </row>
        <row r="2265">
          <cell r="A2265" t="str">
            <v>A0193</v>
          </cell>
          <cell r="B2265" t="str">
            <v>ADMIN SECRETARIAL SUPPORT AND OTHER</v>
          </cell>
          <cell r="C2265" t="str">
            <v>049-ESH - GENERAL</v>
          </cell>
        </row>
        <row r="2266">
          <cell r="A2266" t="str">
            <v>A0194</v>
          </cell>
          <cell r="B2266" t="str">
            <v>AMEREN/CIPS ENV SUPPORT SERV</v>
          </cell>
          <cell r="C2266" t="str">
            <v>049-ESH - GENERAL</v>
          </cell>
        </row>
        <row r="2267">
          <cell r="A2267" t="str">
            <v>A0195</v>
          </cell>
          <cell r="B2267" t="str">
            <v>AMERENUE ENV SUPPORT SERV</v>
          </cell>
          <cell r="C2267" t="str">
            <v>049-ESH - GENERAL</v>
          </cell>
        </row>
        <row r="2268">
          <cell r="A2268" t="str">
            <v>A0196</v>
          </cell>
          <cell r="B2268" t="str">
            <v>AMERENUE INVEST &amp; REMEDIATION</v>
          </cell>
          <cell r="C2268" t="str">
            <v>49B-ESH - WASTE</v>
          </cell>
        </row>
        <row r="2269">
          <cell r="A2269" t="str">
            <v>A0197</v>
          </cell>
          <cell r="B2269" t="str">
            <v>AMERENCIPS INVEST &amp; REMEDIATION</v>
          </cell>
          <cell r="C2269" t="str">
            <v>49B-ESH - WASTE</v>
          </cell>
        </row>
        <row r="2270">
          <cell r="A2270" t="str">
            <v>A0199</v>
          </cell>
          <cell r="B2270" t="str">
            <v>SUPV CUSTOMER SERVICE - ALLOC</v>
          </cell>
          <cell r="C2270" t="str">
            <v>03W-CUSTOMER SERVICE-AMS</v>
          </cell>
        </row>
        <row r="2271">
          <cell r="A2271" t="str">
            <v>A0200</v>
          </cell>
          <cell r="B2271" t="str">
            <v>CONSTRUCTION STDS,TOOLS,EQPMT - UEC</v>
          </cell>
          <cell r="C2271" t="str">
            <v>233-ED-ELECTRIC STANDARDS</v>
          </cell>
        </row>
        <row r="2272">
          <cell r="A2272" t="str">
            <v>A0201</v>
          </cell>
          <cell r="B2272" t="str">
            <v>MOTOR TRANS.-CLERICAL SUPPORT -UEC</v>
          </cell>
          <cell r="C2272" t="str">
            <v>07T-FLEET SERVICES - AMS</v>
          </cell>
        </row>
        <row r="2273">
          <cell r="A2273" t="str">
            <v>A0202</v>
          </cell>
          <cell r="B2273" t="str">
            <v>CONSTRUCTION STDS,TOOLS,EQPMT - CIP</v>
          </cell>
          <cell r="C2273" t="str">
            <v>233-ED-ELECTRIC STANDARDS</v>
          </cell>
        </row>
        <row r="2274">
          <cell r="A2274" t="str">
            <v>A0203</v>
          </cell>
          <cell r="B2274" t="str">
            <v>CONSTRUCTION STDS,TOOLS,EQPMT-ALLOC</v>
          </cell>
          <cell r="C2274" t="str">
            <v>233-ED-ELECTRIC STANDARDS</v>
          </cell>
        </row>
        <row r="2275">
          <cell r="A2275" t="str">
            <v>A0208</v>
          </cell>
          <cell r="B2275" t="str">
            <v>CORPORATE ANALYSIS ALLOCATED - GAS</v>
          </cell>
          <cell r="C2275" t="str">
            <v>012-CORPORATE PLANNING</v>
          </cell>
        </row>
        <row r="2276">
          <cell r="A2276" t="str">
            <v>A0209</v>
          </cell>
          <cell r="B2276" t="str">
            <v>AUDIT OF UE SYSTEM METER OPS</v>
          </cell>
          <cell r="C2276" t="str">
            <v>05A-INTERNAL AUDIT</v>
          </cell>
        </row>
        <row r="2277">
          <cell r="A2277" t="str">
            <v>A0210</v>
          </cell>
          <cell r="B2277" t="str">
            <v>AUDIT OF CIPS SYSTEM METER OPS</v>
          </cell>
          <cell r="C2277" t="str">
            <v>05A-INTERNAL AUDIT</v>
          </cell>
        </row>
        <row r="2278">
          <cell r="A2278" t="str">
            <v>A0211</v>
          </cell>
          <cell r="B2278" t="str">
            <v>AUDIT OF UE TROUBLE OPERATIONS</v>
          </cell>
          <cell r="C2278" t="str">
            <v>05A-INTERNAL AUDIT</v>
          </cell>
        </row>
        <row r="2279">
          <cell r="A2279" t="str">
            <v>A0212</v>
          </cell>
          <cell r="B2279" t="str">
            <v>DISTRIBUTION ENGRG. SVCS.- UEC</v>
          </cell>
          <cell r="C2279" t="str">
            <v>028-ED DISTRIBUTION ENGINEERING</v>
          </cell>
        </row>
        <row r="2280">
          <cell r="A2280" t="str">
            <v>A0214</v>
          </cell>
          <cell r="B2280" t="str">
            <v>DISTRIBUTION ENGRG. SVCS.- CIP</v>
          </cell>
          <cell r="C2280" t="str">
            <v>028-ED DISTRIBUTION ENGINEERING</v>
          </cell>
        </row>
        <row r="2281">
          <cell r="A2281" t="str">
            <v>A0215</v>
          </cell>
          <cell r="B2281" t="str">
            <v>CSS PROJECT-FUNCTIONAL INDIRECT</v>
          </cell>
          <cell r="C2281" t="str">
            <v>008-CUSTOMER SERVICE CENTER-MO</v>
          </cell>
        </row>
        <row r="2282">
          <cell r="A2282" t="str">
            <v>A0217</v>
          </cell>
          <cell r="B2282" t="str">
            <v>AUDIT OF NUCLEAR OPERATIONS</v>
          </cell>
          <cell r="C2282" t="str">
            <v>05A-INTERNAL AUDIT</v>
          </cell>
        </row>
        <row r="2283">
          <cell r="A2283" t="str">
            <v>A0218</v>
          </cell>
          <cell r="B2283" t="str">
            <v>AUDIT OF CIPSCO COMPANY</v>
          </cell>
          <cell r="C2283" t="str">
            <v>05A-INTERNAL AUDIT</v>
          </cell>
        </row>
        <row r="2284">
          <cell r="A2284" t="str">
            <v>A0219</v>
          </cell>
          <cell r="B2284" t="str">
            <v>AUDIT OF UE DEVELOPMENT COMPANY</v>
          </cell>
          <cell r="C2284" t="str">
            <v>05A-INTERNAL AUDIT</v>
          </cell>
        </row>
        <row r="2285">
          <cell r="A2285" t="str">
            <v>A0220</v>
          </cell>
          <cell r="B2285" t="str">
            <v>CORP PLANNING SUPPORT FOR UE</v>
          </cell>
          <cell r="C2285" t="str">
            <v>012-CORPORATE PLANNING</v>
          </cell>
        </row>
        <row r="2286">
          <cell r="A2286" t="str">
            <v>A0222</v>
          </cell>
          <cell r="B2286" t="str">
            <v>DATAOPS - FINANCIAL SYS SUPPORT</v>
          </cell>
          <cell r="C2286" t="str">
            <v>06E-SCP - DATA MANAGEMENT</v>
          </cell>
        </row>
        <row r="2287">
          <cell r="A2287" t="str">
            <v>A0223</v>
          </cell>
          <cell r="B2287" t="str">
            <v>DATAOPS - CUSTOMER SYS SUPPORT</v>
          </cell>
          <cell r="C2287" t="str">
            <v>06E-SCP - DATA MANAGEMENT</v>
          </cell>
        </row>
        <row r="2288">
          <cell r="A2288" t="str">
            <v>A0224</v>
          </cell>
          <cell r="B2288" t="str">
            <v>DATAOPS - HR SYS SUPPORT EXCL TRIS</v>
          </cell>
          <cell r="C2288" t="str">
            <v>06E-SCP - DATA MANAGEMENT</v>
          </cell>
        </row>
        <row r="2289">
          <cell r="A2289" t="str">
            <v>A0228</v>
          </cell>
          <cell r="B2289" t="str">
            <v>DATAOPS - POWER PLANT SYS SUPPORT</v>
          </cell>
          <cell r="C2289" t="str">
            <v>06E-SCP - DATA MANAGEMENT</v>
          </cell>
        </row>
        <row r="2290">
          <cell r="A2290" t="str">
            <v>A0230</v>
          </cell>
          <cell r="B2290" t="str">
            <v>DATAOPS - UE</v>
          </cell>
          <cell r="C2290" t="str">
            <v>006-INF - DATA CENTER OPERATIONS</v>
          </cell>
        </row>
        <row r="2291">
          <cell r="A2291" t="str">
            <v>A0231</v>
          </cell>
          <cell r="B2291" t="str">
            <v>DATAOPS - CIPS</v>
          </cell>
          <cell r="C2291" t="str">
            <v>006-INF - DATA CENTER OPERATIONS</v>
          </cell>
        </row>
        <row r="2292">
          <cell r="A2292" t="str">
            <v>A0233</v>
          </cell>
          <cell r="B2292" t="str">
            <v>DATA OPERATIONS - MAINFRAME SUPPORT</v>
          </cell>
          <cell r="C2292" t="str">
            <v>06G-INF - MVS SYSTEMS</v>
          </cell>
        </row>
        <row r="2293">
          <cell r="A2293" t="str">
            <v>A0234</v>
          </cell>
          <cell r="B2293" t="str">
            <v>DATA OPERATIONS - OPEN SYSTEMS SUPP</v>
          </cell>
          <cell r="C2293" t="str">
            <v>06E-SCP - DATA MANAGEMENT</v>
          </cell>
        </row>
        <row r="2294">
          <cell r="A2294" t="str">
            <v>A0235</v>
          </cell>
          <cell r="B2294" t="str">
            <v>LIBRARY SERVICES- ALLOC(ELEC/GAS)</v>
          </cell>
          <cell r="C2294" t="str">
            <v>001-CORPORATE COMMUNICATIONS</v>
          </cell>
        </row>
        <row r="2295">
          <cell r="A2295" t="str">
            <v>A0236</v>
          </cell>
          <cell r="B2295" t="str">
            <v>METER READING MV-90 SUPPORT - CIP</v>
          </cell>
          <cell r="C2295" t="str">
            <v>03A-METER READING-AMS</v>
          </cell>
        </row>
        <row r="2296">
          <cell r="A2296" t="str">
            <v>A0237</v>
          </cell>
          <cell r="B2296" t="str">
            <v>SEC SUP'T, SUPPL&amp;OTHER-COMM/TRN (EL</v>
          </cell>
          <cell r="C2296" t="str">
            <v>02V-EMPLOYEE COMMUNICATIONS</v>
          </cell>
        </row>
        <row r="2297">
          <cell r="A2297" t="str">
            <v>A0238</v>
          </cell>
          <cell r="B2297" t="str">
            <v>COMMUNICATIONS SERVICES - AMEREN/UE</v>
          </cell>
          <cell r="C2297" t="str">
            <v>065-NEO - TELEPHONE SERVICES</v>
          </cell>
        </row>
        <row r="2298">
          <cell r="A2298" t="str">
            <v>A0239</v>
          </cell>
          <cell r="B2298" t="str">
            <v>COMM SVCS - AMEREN CIPS</v>
          </cell>
          <cell r="C2298" t="str">
            <v>065-NEO - TELEPHONE SERVICES</v>
          </cell>
        </row>
        <row r="2299">
          <cell r="A2299" t="str">
            <v>A0240</v>
          </cell>
          <cell r="B2299" t="str">
            <v>TEST/REPAIR METER LAB EQUIP-UEC-MO</v>
          </cell>
          <cell r="C2299" t="str">
            <v>03V-DISTRIBUTION SERVICES-AMS</v>
          </cell>
        </row>
        <row r="2300">
          <cell r="A2300" t="str">
            <v>A0241</v>
          </cell>
          <cell r="B2300" t="str">
            <v>COMMUNICATIONS SERVICES - DDOS</v>
          </cell>
          <cell r="C2300" t="str">
            <v>065-NEO - TELEPHONE SERVICES</v>
          </cell>
        </row>
        <row r="2301">
          <cell r="A2301" t="str">
            <v>A0243</v>
          </cell>
          <cell r="B2301" t="str">
            <v>DATA CENTER -FUNCTIOAL INDIRECT</v>
          </cell>
          <cell r="C2301" t="str">
            <v>006-INF - DATA CENTER OPERATIONS</v>
          </cell>
        </row>
        <row r="2302">
          <cell r="A2302" t="str">
            <v>A0245</v>
          </cell>
          <cell r="B2302" t="str">
            <v>CSD - ADMINISTRATION - AMEREN/CIPS</v>
          </cell>
          <cell r="C2302" t="str">
            <v>45C-ED FINANCIAL SUPPORT &amp; ANALYSIS</v>
          </cell>
        </row>
        <row r="2303">
          <cell r="A2303" t="str">
            <v>A0247</v>
          </cell>
          <cell r="B2303" t="str">
            <v>CSD - ADMINISTRATION - ALLOCATED</v>
          </cell>
          <cell r="C2303" t="str">
            <v>45C-ED FINANCIAL SUPPORT &amp; ANALYSIS</v>
          </cell>
        </row>
        <row r="2304">
          <cell r="A2304" t="str">
            <v>A0248</v>
          </cell>
          <cell r="B2304" t="str">
            <v>METER READING MV-90 SUPPORT</v>
          </cell>
          <cell r="C2304" t="str">
            <v>03A-METER READING-AMS</v>
          </cell>
        </row>
        <row r="2305">
          <cell r="A2305" t="str">
            <v>A0249</v>
          </cell>
          <cell r="B2305" t="str">
            <v>METER READING SUPPORT</v>
          </cell>
          <cell r="C2305" t="str">
            <v>03A-METER READING-AMS</v>
          </cell>
        </row>
        <row r="2306">
          <cell r="A2306" t="str">
            <v>A0250</v>
          </cell>
          <cell r="B2306" t="str">
            <v>CORP ANALYSIS ALLOCATED-ELECTRIC</v>
          </cell>
          <cell r="C2306" t="str">
            <v>012-CORPORATE PLANNING</v>
          </cell>
        </row>
        <row r="2307">
          <cell r="A2307" t="str">
            <v>A0251</v>
          </cell>
          <cell r="B2307" t="str">
            <v>CORPORATE PLANNING SUPPORT FOR CIPS</v>
          </cell>
          <cell r="C2307" t="str">
            <v>012-CORPORATE PLANNING</v>
          </cell>
        </row>
        <row r="2308">
          <cell r="A2308" t="str">
            <v>A0252</v>
          </cell>
          <cell r="B2308" t="str">
            <v>EXEC PAYROLL &amp; CASH BAL ACTVTIES</v>
          </cell>
          <cell r="C2308" t="str">
            <v>02P-HR - TOTAL REWARDS</v>
          </cell>
        </row>
        <row r="2309">
          <cell r="A2309" t="str">
            <v>A0253</v>
          </cell>
          <cell r="B2309" t="str">
            <v>PROVIDE SVCS TO BFT TOTAL CO-AMS</v>
          </cell>
          <cell r="C2309" t="str">
            <v>02E-HR - STAFFING</v>
          </cell>
        </row>
        <row r="2310">
          <cell r="A2310" t="str">
            <v>A0254</v>
          </cell>
          <cell r="B2310" t="str">
            <v>SECRETARIAL, GENL OFC SUPPLIES -OTH</v>
          </cell>
          <cell r="C2310" t="str">
            <v>02E-HR - STAFFING</v>
          </cell>
        </row>
        <row r="2311">
          <cell r="A2311" t="str">
            <v>A0255</v>
          </cell>
          <cell r="B2311" t="str">
            <v>CORP SECRETARYS INDIRECT FUNCTIONAL</v>
          </cell>
          <cell r="C2311" t="str">
            <v>06F-INF - ENTERPRISE STORAGE</v>
          </cell>
        </row>
        <row r="2312">
          <cell r="A2312" t="str">
            <v>A0256</v>
          </cell>
          <cell r="B2312" t="str">
            <v>MAINTAIN AND ADMIN EMPL BEN PLANS</v>
          </cell>
          <cell r="C2312" t="str">
            <v>017-EMPLOYEE BENEFITS</v>
          </cell>
        </row>
        <row r="2313">
          <cell r="A2313" t="str">
            <v>A0259</v>
          </cell>
          <cell r="B2313" t="str">
            <v>CORP SECRETARY'S INDIRECT CORPORATE</v>
          </cell>
          <cell r="C2313" t="str">
            <v>06F-INF - ENTERPRISE STORAGE</v>
          </cell>
        </row>
        <row r="2314">
          <cell r="A2314" t="str">
            <v>A0262</v>
          </cell>
          <cell r="B2314" t="str">
            <v>COMMON STOCK TRANSACTIONS &amp; ACTVS</v>
          </cell>
          <cell r="C2314" t="str">
            <v>075-BANKING AND INVESTOR SERVICES</v>
          </cell>
        </row>
        <row r="2315">
          <cell r="A2315" t="str">
            <v>A0266</v>
          </cell>
          <cell r="B2315" t="str">
            <v>(DND)INSURANCE - AMEREN/UE</v>
          </cell>
          <cell r="C2315" t="str">
            <v>07R-FINANCIAL PLANNING, INS &amp; RISK</v>
          </cell>
        </row>
        <row r="2316">
          <cell r="A2316" t="str">
            <v>A0273</v>
          </cell>
          <cell r="B2316" t="str">
            <v>CORP SECRETARY'S WORK - AMEREN/UE</v>
          </cell>
          <cell r="C2316" t="str">
            <v>06F-INF - ENTERPRISE STORAGE</v>
          </cell>
        </row>
        <row r="2317">
          <cell r="A2317" t="str">
            <v>A0274</v>
          </cell>
          <cell r="B2317" t="str">
            <v>CORP SECRETARY WORK - AMEREN/CIPS</v>
          </cell>
          <cell r="C2317" t="str">
            <v>06F-INF - ENTERPRISE STORAGE</v>
          </cell>
        </row>
        <row r="2318">
          <cell r="A2318" t="str">
            <v>A0275</v>
          </cell>
          <cell r="B2318" t="str">
            <v>CORP SECRETARY WORK - AMEREN CORP</v>
          </cell>
          <cell r="C2318" t="str">
            <v>06F-INF - ENTERPRISE STORAGE</v>
          </cell>
        </row>
        <row r="2319">
          <cell r="A2319" t="str">
            <v>A0276</v>
          </cell>
          <cell r="B2319" t="str">
            <v>CORP SECTRETARY'S WORK-CIPSCO INV</v>
          </cell>
          <cell r="C2319" t="str">
            <v>06F-INF - ENTERPRISE STORAGE</v>
          </cell>
        </row>
        <row r="2320">
          <cell r="A2320" t="str">
            <v>A0277</v>
          </cell>
          <cell r="B2320" t="str">
            <v>CORP SECRETARY'S WORK-UEDC</v>
          </cell>
          <cell r="C2320" t="str">
            <v>06F-INF - ENTERPRISE STORAGE</v>
          </cell>
        </row>
        <row r="2321">
          <cell r="A2321" t="str">
            <v>A0278</v>
          </cell>
          <cell r="B2321" t="str">
            <v>BOARD OF DIRECTORS MEETINGS-UEDC</v>
          </cell>
          <cell r="C2321" t="str">
            <v>06F-INF - ENTERPRISE STORAGE</v>
          </cell>
        </row>
        <row r="2322">
          <cell r="A2322" t="str">
            <v>A0279</v>
          </cell>
          <cell r="B2322" t="str">
            <v>SWO - UEC ACQ PROPERTY RT</v>
          </cell>
          <cell r="C2322" t="str">
            <v>061-REAL ESTATE</v>
          </cell>
        </row>
        <row r="2323">
          <cell r="A2323" t="str">
            <v>A0280</v>
          </cell>
          <cell r="B2323" t="str">
            <v>SWO - CIP ACQ PROPERTY RT</v>
          </cell>
          <cell r="C2323" t="str">
            <v>061-REAL ESTATE</v>
          </cell>
        </row>
        <row r="2324">
          <cell r="A2324" t="str">
            <v>A0281</v>
          </cell>
          <cell r="B2324" t="str">
            <v>SWO - UEC PROP MGMT</v>
          </cell>
          <cell r="C2324" t="str">
            <v>061-REAL ESTATE</v>
          </cell>
        </row>
        <row r="2325">
          <cell r="A2325" t="str">
            <v>A0282</v>
          </cell>
          <cell r="B2325" t="str">
            <v>SWO - CIP PROP MGMT</v>
          </cell>
          <cell r="C2325" t="str">
            <v>061-REAL ESTATE</v>
          </cell>
        </row>
        <row r="2326">
          <cell r="A2326" t="str">
            <v>A0283</v>
          </cell>
          <cell r="B2326" t="str">
            <v>SWO - UEC DISP PROP RT</v>
          </cell>
          <cell r="C2326" t="str">
            <v>061-REAL ESTATE</v>
          </cell>
        </row>
        <row r="2327">
          <cell r="A2327" t="str">
            <v>A0284</v>
          </cell>
          <cell r="B2327" t="str">
            <v>SWO - CIP DISP PROP RT</v>
          </cell>
          <cell r="C2327" t="str">
            <v>061-REAL ESTATE</v>
          </cell>
        </row>
        <row r="2328">
          <cell r="A2328" t="str">
            <v>A0285</v>
          </cell>
          <cell r="B2328" t="str">
            <v>SWO - MAINT PROP RECORDS</v>
          </cell>
          <cell r="C2328" t="str">
            <v>061-REAL ESTATE</v>
          </cell>
        </row>
        <row r="2329">
          <cell r="A2329" t="str">
            <v>A0286</v>
          </cell>
          <cell r="B2329" t="str">
            <v>SWO - ADMIN GEN STENO CLERICAL</v>
          </cell>
          <cell r="C2329" t="str">
            <v>061-REAL ESTATE</v>
          </cell>
        </row>
        <row r="2330">
          <cell r="A2330" t="str">
            <v>A0287</v>
          </cell>
          <cell r="B2330" t="str">
            <v>SWO - MANAGERIAL ADMIN DUTIES</v>
          </cell>
          <cell r="C2330" t="str">
            <v>061-REAL ESTATE</v>
          </cell>
        </row>
        <row r="2331">
          <cell r="A2331" t="str">
            <v>A0288</v>
          </cell>
          <cell r="B2331" t="str">
            <v>COMMUNICATIONS SERVICES - GENERAL</v>
          </cell>
          <cell r="C2331" t="str">
            <v>065-NEO - TELEPHONE SERVICES</v>
          </cell>
        </row>
        <row r="2332">
          <cell r="A2332" t="str">
            <v>A0290</v>
          </cell>
          <cell r="B2332" t="str">
            <v>UE BOND/PREF STOCK TRANSACTS &amp;ACTVS</v>
          </cell>
          <cell r="C2332" t="str">
            <v>075-BANKING AND INVESTOR SERVICES</v>
          </cell>
        </row>
        <row r="2333">
          <cell r="A2333" t="str">
            <v>A0291</v>
          </cell>
          <cell r="B2333" t="str">
            <v>GAS TRAINING (UE)</v>
          </cell>
          <cell r="C2333" t="str">
            <v>0G7-GAS TRAINING</v>
          </cell>
        </row>
        <row r="2334">
          <cell r="A2334" t="str">
            <v>A0292</v>
          </cell>
          <cell r="B2334" t="str">
            <v>GAS TRAINING SUPT(UE/CIPS/CIL/IP)</v>
          </cell>
          <cell r="C2334" t="str">
            <v>0G7-GAS TRAINING</v>
          </cell>
        </row>
        <row r="2335">
          <cell r="A2335" t="str">
            <v>A0293</v>
          </cell>
          <cell r="B2335" t="str">
            <v>GAS CONTROL</v>
          </cell>
          <cell r="C2335" t="str">
            <v>0G2-GAS TECH SERVICES - AMS</v>
          </cell>
        </row>
        <row r="2336">
          <cell r="A2336" t="str">
            <v>A0294</v>
          </cell>
          <cell r="B2336" t="str">
            <v>GAS TRAINING (CIPS)</v>
          </cell>
          <cell r="C2336" t="str">
            <v>0G7-GAS TRAINING</v>
          </cell>
        </row>
        <row r="2337">
          <cell r="A2337" t="str">
            <v>A0296</v>
          </cell>
          <cell r="B2337" t="str">
            <v>CIPS PREF STOCK TRANSACTS &amp; ACTVS</v>
          </cell>
          <cell r="C2337" t="str">
            <v>075-BANKING AND INVESTOR SERVICES</v>
          </cell>
        </row>
        <row r="2338">
          <cell r="A2338" t="str">
            <v>A0297</v>
          </cell>
          <cell r="B2338" t="str">
            <v>END-USER TRANSPORTATION MGT(CIPS)</v>
          </cell>
          <cell r="C2338" t="str">
            <v>0G2-GAS TECH SERVICES - AMS</v>
          </cell>
        </row>
        <row r="2339">
          <cell r="A2339" t="str">
            <v>A0299</v>
          </cell>
          <cell r="B2339" t="str">
            <v>GAS ENG &amp; TECH - AMEREN ILLINOIS</v>
          </cell>
          <cell r="C2339" t="str">
            <v>0G2-GAS TECH SERVICES - AMS</v>
          </cell>
        </row>
        <row r="2340">
          <cell r="A2340" t="str">
            <v>A0300</v>
          </cell>
          <cell r="B2340" t="str">
            <v>GAS ENG &amp; TECH SUPPORT (UE)</v>
          </cell>
          <cell r="C2340" t="str">
            <v>0G2-GAS TECH SERVICES - AMS</v>
          </cell>
        </row>
        <row r="2341">
          <cell r="A2341" t="str">
            <v>A0302</v>
          </cell>
          <cell r="B2341" t="str">
            <v>GAS ENG &amp; TECH SUPPORT (CIPS)</v>
          </cell>
          <cell r="C2341" t="str">
            <v>0G2-GAS TECH SERVICES - AMS</v>
          </cell>
        </row>
        <row r="2342">
          <cell r="A2342" t="str">
            <v>A0305</v>
          </cell>
          <cell r="B2342" t="str">
            <v>POWER QUAL &amp; METER TECH SUPPORT-UEC</v>
          </cell>
          <cell r="C2342" t="str">
            <v>03V-DISTRIBUTION SERVICES-AMS</v>
          </cell>
        </row>
        <row r="2343">
          <cell r="A2343" t="str">
            <v>A0306</v>
          </cell>
          <cell r="B2343" t="str">
            <v>POWER QUAL &amp; METER TECH SUPPORT-CIP</v>
          </cell>
          <cell r="C2343" t="str">
            <v>03V-DISTRIBUTION SERVICES-AMS</v>
          </cell>
        </row>
        <row r="2344">
          <cell r="A2344" t="str">
            <v>A0307</v>
          </cell>
          <cell r="B2344" t="str">
            <v>DEVELOPMENT AND MTCE OF STDS-POLICY</v>
          </cell>
          <cell r="C2344" t="str">
            <v>03V-DISTRIBUTION SERVICES-AMS</v>
          </cell>
        </row>
        <row r="2345">
          <cell r="A2345" t="str">
            <v>A0308</v>
          </cell>
          <cell r="B2345" t="str">
            <v>SUPERVISION OF PERSONNEL- AMEREN/UE</v>
          </cell>
          <cell r="C2345" t="str">
            <v>02F-VEGETATION MGT-IL</v>
          </cell>
        </row>
        <row r="2346">
          <cell r="A2346" t="str">
            <v>A0309</v>
          </cell>
          <cell r="B2346" t="str">
            <v>ADMIN. OF TREE TRIMMING - CIPS</v>
          </cell>
          <cell r="C2346" t="str">
            <v>02F-VEGETATION MGT-IL</v>
          </cell>
        </row>
        <row r="2347">
          <cell r="A2347" t="str">
            <v>A0310</v>
          </cell>
          <cell r="B2347" t="str">
            <v>TREE TRIMMING SCHED, CONTR, BUDGET</v>
          </cell>
          <cell r="C2347" t="str">
            <v>02F-VEGETATION MGT-IL</v>
          </cell>
        </row>
        <row r="2348">
          <cell r="A2348" t="str">
            <v>A0311</v>
          </cell>
          <cell r="B2348" t="str">
            <v>AUDIT OF ENVIRONMENTAL OPERATIONS</v>
          </cell>
          <cell r="C2348" t="str">
            <v>05A-INTERNAL AUDIT</v>
          </cell>
        </row>
        <row r="2349">
          <cell r="A2349" t="str">
            <v>A0312</v>
          </cell>
          <cell r="B2349" t="str">
            <v>BILLING SYSTEM SUPPORT - UE (ELEC/G</v>
          </cell>
          <cell r="C2349" t="str">
            <v>003-CUSTOMER ACCOUNTING</v>
          </cell>
        </row>
        <row r="2350">
          <cell r="A2350" t="str">
            <v>A0314</v>
          </cell>
          <cell r="B2350" t="str">
            <v>BILLING SYSTEM SUPPORT - CIPS (ELEC</v>
          </cell>
          <cell r="C2350" t="str">
            <v>003-CUSTOMER ACCOUNTING</v>
          </cell>
        </row>
        <row r="2351">
          <cell r="A2351" t="str">
            <v>A0315</v>
          </cell>
          <cell r="B2351" t="str">
            <v>BILLING SYSTEM SUPPORT-ALLOCATED (E</v>
          </cell>
          <cell r="C2351" t="str">
            <v>003-CUSTOMER ACCOUNTING</v>
          </cell>
        </row>
        <row r="2352">
          <cell r="A2352" t="str">
            <v>A0316</v>
          </cell>
          <cell r="B2352" t="str">
            <v>OFFICE SUPPLIES &amp; MISC SUPPORT(ELEC</v>
          </cell>
          <cell r="C2352" t="str">
            <v>003-CUSTOMER ACCOUNTING</v>
          </cell>
        </row>
        <row r="2353">
          <cell r="A2353" t="str">
            <v>A0317</v>
          </cell>
          <cell r="B2353" t="str">
            <v>BILLING SYSTEM SUPPORT-MANAGERIAL(E</v>
          </cell>
          <cell r="C2353" t="str">
            <v>003-CUSTOMER ACCOUNTING</v>
          </cell>
        </row>
        <row r="2354">
          <cell r="A2354" t="str">
            <v>A0318</v>
          </cell>
          <cell r="B2354" t="str">
            <v>METER READING SUPPORT - AMEREN/UE</v>
          </cell>
          <cell r="C2354" t="str">
            <v>03A-METER READING-AMS</v>
          </cell>
        </row>
        <row r="2355">
          <cell r="A2355" t="str">
            <v>A0319</v>
          </cell>
          <cell r="B2355" t="str">
            <v>AUDIT OF ACCTS PAY &amp; PURCHASING OPS</v>
          </cell>
          <cell r="C2355" t="str">
            <v>05A-INTERNAL AUDIT</v>
          </cell>
        </row>
        <row r="2356">
          <cell r="A2356" t="str">
            <v>A0320</v>
          </cell>
          <cell r="B2356" t="str">
            <v>METER READING SUPPORT - AMEREN/CIPS</v>
          </cell>
          <cell r="C2356" t="str">
            <v>03A-METER READING-AMS</v>
          </cell>
        </row>
        <row r="2357">
          <cell r="A2357" t="str">
            <v>A0321</v>
          </cell>
          <cell r="B2357" t="str">
            <v>MOTOR TRANS.-CLERICAL SUPPT.-ALLOC.</v>
          </cell>
          <cell r="C2357" t="str">
            <v>07T-FLEET SERVICES - AMS</v>
          </cell>
        </row>
        <row r="2358">
          <cell r="A2358" t="str">
            <v>A0322</v>
          </cell>
          <cell r="B2358" t="str">
            <v>MOTOR TRANS MISC. SUPPLIES - ALLOC.</v>
          </cell>
          <cell r="C2358" t="str">
            <v>07T-FLEET SERVICES - AMS</v>
          </cell>
        </row>
        <row r="2359">
          <cell r="A2359" t="str">
            <v>A0323</v>
          </cell>
          <cell r="B2359" t="str">
            <v>MOTOR TRANS. -ENGR/SUPER SUPPT.-UEC</v>
          </cell>
          <cell r="C2359" t="str">
            <v>07T-FLEET SERVICES - AMS</v>
          </cell>
        </row>
        <row r="2360">
          <cell r="A2360" t="str">
            <v>A0324</v>
          </cell>
          <cell r="B2360" t="str">
            <v>MOTOR TRANS. -ENGR/SUPER SUPPT.-CIP</v>
          </cell>
          <cell r="C2360" t="str">
            <v>07T-FLEET SERVICES - AMS</v>
          </cell>
        </row>
        <row r="2361">
          <cell r="A2361" t="str">
            <v>A0325</v>
          </cell>
          <cell r="B2361" t="str">
            <v>MOTOR TRANS- ENGR/SUPER SUPPT-ALLOC</v>
          </cell>
          <cell r="C2361" t="str">
            <v>07T-FLEET SERVICES - AMS</v>
          </cell>
        </row>
        <row r="2362">
          <cell r="A2362" t="str">
            <v>A0326</v>
          </cell>
          <cell r="B2362" t="str">
            <v>PROVIDE DEPT SUPPORT-INVESTOR SVCS</v>
          </cell>
          <cell r="C2362" t="str">
            <v>075-BANKING AND INVESTOR SERVICES</v>
          </cell>
        </row>
        <row r="2363">
          <cell r="A2363" t="str">
            <v>A0333</v>
          </cell>
          <cell r="B2363" t="str">
            <v>MAINTAIN PERSONNEL RECORDS</v>
          </cell>
          <cell r="C2363" t="str">
            <v>02P-HR - TOTAL REWARDS</v>
          </cell>
        </row>
        <row r="2364">
          <cell r="A2364" t="str">
            <v>A0337</v>
          </cell>
          <cell r="B2364" t="str">
            <v>TRNG VIDEOS &amp; MULTI-MEDIA - PWR PRO</v>
          </cell>
          <cell r="C2364" t="str">
            <v>02V-EMPLOYEE COMMUNICATIONS</v>
          </cell>
        </row>
        <row r="2365">
          <cell r="A2365" t="str">
            <v>A0338</v>
          </cell>
          <cell r="B2365" t="str">
            <v>FRAUD REVIEWS</v>
          </cell>
          <cell r="C2365" t="str">
            <v>05A-INTERNAL AUDIT</v>
          </cell>
        </row>
        <row r="2366">
          <cell r="A2366" t="str">
            <v>A0339</v>
          </cell>
          <cell r="B2366" t="str">
            <v>AUDIT OF GENERAL COUNSEL</v>
          </cell>
          <cell r="C2366" t="str">
            <v>05A-INTERNAL AUDIT</v>
          </cell>
        </row>
        <row r="2367">
          <cell r="A2367" t="str">
            <v>A0340</v>
          </cell>
          <cell r="B2367" t="str">
            <v>AUDIT OF INFORMATION SERVICES</v>
          </cell>
          <cell r="C2367" t="str">
            <v>05A-INTERNAL AUDIT</v>
          </cell>
        </row>
        <row r="2368">
          <cell r="A2368" t="str">
            <v>A0341</v>
          </cell>
          <cell r="B2368" t="str">
            <v>AUDIT OF LABORATORY SERVICES - UE</v>
          </cell>
          <cell r="C2368" t="str">
            <v>05A-INTERNAL AUDIT</v>
          </cell>
        </row>
        <row r="2369">
          <cell r="A2369" t="str">
            <v>A0342</v>
          </cell>
          <cell r="B2369" t="str">
            <v>AUDIT OF TREASURY OPERATIONS</v>
          </cell>
          <cell r="C2369" t="str">
            <v>05A-INTERNAL AUDIT</v>
          </cell>
        </row>
        <row r="2370">
          <cell r="A2370" t="str">
            <v>A0343</v>
          </cell>
          <cell r="B2370" t="str">
            <v>AUDIT OF ACCTS RECVABLE &amp; CUST ACTG</v>
          </cell>
          <cell r="C2370" t="str">
            <v>05A-INTERNAL AUDIT</v>
          </cell>
        </row>
        <row r="2371">
          <cell r="A2371" t="str">
            <v>A0344</v>
          </cell>
          <cell r="B2371" t="str">
            <v>AUDIT OF CREDIT &amp; COLLECTION OPS</v>
          </cell>
          <cell r="C2371" t="str">
            <v>05A-INTERNAL AUDIT</v>
          </cell>
        </row>
        <row r="2372">
          <cell r="A2372" t="str">
            <v>A0345</v>
          </cell>
          <cell r="B2372" t="str">
            <v>TRNG VIDEOS &amp; MULTI-MEDIA-CUST SVC(</v>
          </cell>
          <cell r="C2372" t="str">
            <v>02V-EMPLOYEE COMMUNICATIONS</v>
          </cell>
        </row>
        <row r="2373">
          <cell r="A2373" t="str">
            <v>A0346</v>
          </cell>
          <cell r="B2373" t="str">
            <v>TRNG VIDEOS/MULTI-MEDIA PJCTS-NUCLE</v>
          </cell>
          <cell r="C2373" t="str">
            <v>02V-EMPLOYEE COMMUNICATIONS</v>
          </cell>
        </row>
        <row r="2374">
          <cell r="A2374" t="str">
            <v>A0348</v>
          </cell>
          <cell r="B2374" t="str">
            <v>EMP NEWS VIDEO(I/C) &amp; OTH EMP INFO(</v>
          </cell>
          <cell r="C2374" t="str">
            <v>02V-EMPLOYEE COMMUNICATIONS</v>
          </cell>
        </row>
        <row r="2375">
          <cell r="A2375" t="str">
            <v>A0349</v>
          </cell>
          <cell r="B2375" t="str">
            <v>STAFF TRNG-COMMUNIC SKILLS &amp;THEORY(</v>
          </cell>
          <cell r="C2375" t="str">
            <v>02V-EMPLOYEE COMMUNICATIONS</v>
          </cell>
        </row>
        <row r="2376">
          <cell r="A2376" t="str">
            <v>A0350</v>
          </cell>
          <cell r="B2376" t="str">
            <v>A/V SUPPORT FOR AMS SR MGMT (ELEC/G</v>
          </cell>
          <cell r="C2376" t="str">
            <v>02V-EMPLOYEE COMMUNICATIONS</v>
          </cell>
        </row>
        <row r="2377">
          <cell r="A2377" t="str">
            <v>A0351</v>
          </cell>
          <cell r="B2377" t="str">
            <v>GENL SUPPT/MISC EXP &amp; CLER DUBBING(</v>
          </cell>
          <cell r="C2377" t="str">
            <v>02V-EMPLOYEE COMMUNICATIONS</v>
          </cell>
        </row>
        <row r="2378">
          <cell r="A2378" t="str">
            <v>A0352</v>
          </cell>
          <cell r="B2378" t="str">
            <v>AUDIT OF CUSTOMER BUSINESS OPS-UE</v>
          </cell>
          <cell r="C2378" t="str">
            <v>05A-INTERNAL AUDIT</v>
          </cell>
        </row>
        <row r="2379">
          <cell r="A2379" t="str">
            <v>A0353</v>
          </cell>
          <cell r="B2379" t="str">
            <v>AUDIT OF MARKETING AND SALES OPS</v>
          </cell>
          <cell r="C2379" t="str">
            <v>05A-INTERNAL AUDIT</v>
          </cell>
        </row>
        <row r="2380">
          <cell r="A2380" t="str">
            <v>A0354</v>
          </cell>
          <cell r="B2380" t="str">
            <v>RISK MANAGEMENT - AMEREN/CIPS</v>
          </cell>
          <cell r="C2380" t="str">
            <v>07Q-CORPORATE RISK MGMT</v>
          </cell>
        </row>
        <row r="2381">
          <cell r="A2381" t="str">
            <v>A0355</v>
          </cell>
          <cell r="B2381" t="str">
            <v>DOJM PROJECT MANAGER - ALLOCATED</v>
          </cell>
          <cell r="C2381" t="str">
            <v>08C-CUSTOMER SERVICE SYSTEM</v>
          </cell>
        </row>
        <row r="2382">
          <cell r="A2382" t="str">
            <v>A0356</v>
          </cell>
          <cell r="B2382" t="str">
            <v>AMEREN ERC</v>
          </cell>
          <cell r="C2382" t="str">
            <v>024-LEGAL</v>
          </cell>
        </row>
        <row r="2383">
          <cell r="A2383" t="str">
            <v>A0359</v>
          </cell>
          <cell r="B2383" t="str">
            <v>AMC DIRECTORS FEES &amp; CORPORATE O/H</v>
          </cell>
          <cell r="C2383" t="str">
            <v>06F-INF - ENTERPRISE STORAGE</v>
          </cell>
        </row>
        <row r="2384">
          <cell r="A2384" t="str">
            <v>A0361</v>
          </cell>
          <cell r="B2384" t="str">
            <v>SUBSTATION MTCE &amp; CONST. - ALLOC.</v>
          </cell>
          <cell r="C2384" t="str">
            <v>03M-SUB MTCE &amp; CONST-ENG &amp; ADMIN</v>
          </cell>
        </row>
        <row r="2385">
          <cell r="A2385" t="str">
            <v>A0364</v>
          </cell>
          <cell r="B2385" t="str">
            <v>RISK MANAGEMENT - AMEREN ENERGY</v>
          </cell>
          <cell r="C2385" t="str">
            <v>07Q-CORPORATE RISK MGMT</v>
          </cell>
        </row>
        <row r="2386">
          <cell r="A2386" t="str">
            <v>A0366</v>
          </cell>
          <cell r="B2386" t="str">
            <v>GP SUPPORT FOR POWER PLANTS - ALL</v>
          </cell>
          <cell r="C2386" t="str">
            <v>09M-GENERATION PROJECT ENGINEERING</v>
          </cell>
        </row>
        <row r="2387">
          <cell r="A2387" t="str">
            <v>A0367</v>
          </cell>
          <cell r="B2387" t="str">
            <v>SUPPORT FOR UEC POWER PLANTS-GP-UEC</v>
          </cell>
          <cell r="C2387" t="str">
            <v>09C-EDTS DRAFTING</v>
          </cell>
        </row>
        <row r="2388">
          <cell r="A2388" t="str">
            <v>A0368</v>
          </cell>
          <cell r="B2388" t="str">
            <v>SUPPORT FOR GEN POWER PLANTS-GP-GEN</v>
          </cell>
          <cell r="C2388" t="str">
            <v>09M-GENERATION PROJECT ENGINEERING</v>
          </cell>
        </row>
        <row r="2389">
          <cell r="A2389" t="str">
            <v>A0369</v>
          </cell>
          <cell r="B2389" t="str">
            <v>CONSTRUCTION &amp; SERVICES / 100% UEC</v>
          </cell>
          <cell r="C2389" t="str">
            <v>09C-EDTS DRAFTING</v>
          </cell>
        </row>
        <row r="2390">
          <cell r="A2390" t="str">
            <v>A0370</v>
          </cell>
          <cell r="B2390" t="str">
            <v>CONSTRUCTION &amp; SERVICES / 100% CIP</v>
          </cell>
          <cell r="C2390" t="str">
            <v>09C-EDTS DRAFTING</v>
          </cell>
        </row>
        <row r="2391">
          <cell r="A2391" t="str">
            <v>A0371</v>
          </cell>
          <cell r="B2391" t="str">
            <v>CONST. &amp; SVCS-INDIR.FUNC.SPLIT</v>
          </cell>
          <cell r="C2391" t="str">
            <v>09C-EDTS DRAFTING</v>
          </cell>
        </row>
        <row r="2392">
          <cell r="A2392" t="str">
            <v>A0372</v>
          </cell>
          <cell r="B2392" t="str">
            <v>EE-TECH/MISC.-GEN'L-PEAK LOAD SPLIT</v>
          </cell>
          <cell r="C2392" t="str">
            <v>09E-ELECTRICAL ENGINEERING</v>
          </cell>
        </row>
        <row r="2393">
          <cell r="A2393" t="str">
            <v>A0373</v>
          </cell>
          <cell r="B2393" t="str">
            <v>EE-TECH/MISC.-GEN'L.- FOR CIPS 100%</v>
          </cell>
          <cell r="C2393" t="str">
            <v>09E-ELECTRICAL ENGINEERING</v>
          </cell>
        </row>
        <row r="2394">
          <cell r="A2394" t="str">
            <v>A0374</v>
          </cell>
          <cell r="B2394" t="str">
            <v>EE-TECH/MISC.-GEN'L.- FOR UEC 100%</v>
          </cell>
          <cell r="C2394" t="str">
            <v>09E-ELECTRICAL ENGINEERING</v>
          </cell>
        </row>
        <row r="2395">
          <cell r="A2395" t="str">
            <v>A0375</v>
          </cell>
          <cell r="B2395" t="str">
            <v>AUDIT OF DIV SUPT &amp; ENGINEERING OPS</v>
          </cell>
          <cell r="C2395" t="str">
            <v>05A-INTERNAL AUDIT</v>
          </cell>
        </row>
        <row r="2396">
          <cell r="A2396" t="str">
            <v>A0377</v>
          </cell>
          <cell r="B2396" t="str">
            <v>RESEARCH &amp; DEVELOPMENT / 100% UEC</v>
          </cell>
          <cell r="C2396" t="str">
            <v>047-RESEARCH &amp; DEVELOPMENT</v>
          </cell>
        </row>
        <row r="2397">
          <cell r="A2397" t="str">
            <v>A0378</v>
          </cell>
          <cell r="B2397" t="str">
            <v>RESEARCH &amp; DEV-COMP(SALES/CUST/EMP)</v>
          </cell>
          <cell r="C2397" t="str">
            <v>047-RESEARCH &amp; DEVELOPMENT</v>
          </cell>
        </row>
        <row r="2398">
          <cell r="A2398" t="str">
            <v>A0379</v>
          </cell>
          <cell r="B2398" t="str">
            <v>ADMIN SUPPORT/OFFICE EXPENSES-LEGAL</v>
          </cell>
          <cell r="C2398" t="str">
            <v>024-LEGAL</v>
          </cell>
        </row>
        <row r="2399">
          <cell r="A2399" t="str">
            <v>A0380</v>
          </cell>
          <cell r="B2399" t="str">
            <v>AUDIT OF EMPLOYEE BENEFITS OPS</v>
          </cell>
          <cell r="C2399" t="str">
            <v>05A-INTERNAL AUDIT</v>
          </cell>
        </row>
        <row r="2400">
          <cell r="A2400" t="str">
            <v>A0381</v>
          </cell>
          <cell r="B2400" t="str">
            <v>AUDIT OF EMPLOYEE SERVICE ACCOUNTS</v>
          </cell>
          <cell r="C2400" t="str">
            <v>05A-INTERNAL AUDIT</v>
          </cell>
        </row>
        <row r="2401">
          <cell r="A2401" t="str">
            <v>A0382</v>
          </cell>
          <cell r="B2401" t="str">
            <v>AUDIT OF EMPLOYMENT OPS &amp; PERSONNEL</v>
          </cell>
          <cell r="C2401" t="str">
            <v>05A-INTERNAL AUDIT</v>
          </cell>
        </row>
        <row r="2402">
          <cell r="A2402" t="str">
            <v>A0383</v>
          </cell>
          <cell r="B2402" t="str">
            <v>AUDIT OF EXPENSE ACCTS &amp; TRAVEL OPS</v>
          </cell>
          <cell r="C2402" t="str">
            <v>05A-INTERNAL AUDIT</v>
          </cell>
        </row>
        <row r="2403">
          <cell r="A2403" t="str">
            <v>A0384</v>
          </cell>
          <cell r="B2403" t="str">
            <v>CIPS - ELECTRIC/GAS MO/IL</v>
          </cell>
          <cell r="C2403" t="str">
            <v>024-LEGAL</v>
          </cell>
        </row>
        <row r="2404">
          <cell r="A2404" t="str">
            <v>A0386</v>
          </cell>
          <cell r="B2404" t="str">
            <v>UNION ELECTRIC - ELECTRIC</v>
          </cell>
          <cell r="C2404" t="str">
            <v>024-LEGAL</v>
          </cell>
        </row>
        <row r="2405">
          <cell r="A2405" t="str">
            <v>A0387</v>
          </cell>
          <cell r="B2405" t="str">
            <v>LOBBYING ACTIVITIES FOR AMEREN/UE</v>
          </cell>
          <cell r="C2405" t="str">
            <v>157-GOVERNMENT RELATIONS</v>
          </cell>
        </row>
        <row r="2406">
          <cell r="A2406" t="str">
            <v>A0388</v>
          </cell>
          <cell r="B2406" t="str">
            <v>LOBBYING ACTIVITIES FOR AMEREN/CIPS</v>
          </cell>
          <cell r="C2406" t="str">
            <v>157-GOVERNMENT RELATIONS</v>
          </cell>
        </row>
        <row r="2407">
          <cell r="A2407" t="str">
            <v>A0389</v>
          </cell>
          <cell r="B2407" t="str">
            <v>UNION ELECTRIC DEVELOPMENT</v>
          </cell>
          <cell r="C2407" t="str">
            <v>024-LEGAL</v>
          </cell>
        </row>
        <row r="2408">
          <cell r="A2408" t="str">
            <v>A0390</v>
          </cell>
          <cell r="B2408" t="str">
            <v>CIPSCO INVESTMENT CO</v>
          </cell>
          <cell r="C2408" t="str">
            <v>024-LEGAL</v>
          </cell>
        </row>
        <row r="2409">
          <cell r="A2409" t="str">
            <v>A0391</v>
          </cell>
          <cell r="B2409" t="str">
            <v>ALLOCATED GENERAL LEGAL-ELEC/GAS</v>
          </cell>
          <cell r="C2409" t="str">
            <v>024-LEGAL</v>
          </cell>
        </row>
        <row r="2410">
          <cell r="A2410" t="str">
            <v>A0392</v>
          </cell>
          <cell r="B2410" t="str">
            <v>ALLOCATED REGULATORY-ELEC</v>
          </cell>
          <cell r="C2410" t="str">
            <v>024-LEGAL</v>
          </cell>
        </row>
        <row r="2411">
          <cell r="A2411" t="str">
            <v>A0393</v>
          </cell>
          <cell r="B2411" t="str">
            <v>LOBBYING ACTIVITIES ALLOCATED</v>
          </cell>
          <cell r="C2411" t="str">
            <v>157-GOVERNMENT RELATIONS</v>
          </cell>
        </row>
        <row r="2412">
          <cell r="A2412" t="str">
            <v>A0394</v>
          </cell>
          <cell r="B2412" t="str">
            <v>LEGAL - AMEREN CORPORATION</v>
          </cell>
          <cell r="C2412" t="str">
            <v>024-LEGAL</v>
          </cell>
        </row>
        <row r="2413">
          <cell r="A2413" t="str">
            <v>A0396</v>
          </cell>
          <cell r="B2413" t="str">
            <v>GENERAL LEGAL SERVICES-UEC</v>
          </cell>
          <cell r="C2413" t="str">
            <v>024-LEGAL</v>
          </cell>
        </row>
        <row r="2414">
          <cell r="A2414" t="str">
            <v>A0397</v>
          </cell>
          <cell r="B2414" t="str">
            <v>SECURITY SERVICES FOR AMEREN/UE</v>
          </cell>
          <cell r="C2414" t="str">
            <v>039-SECURITY</v>
          </cell>
        </row>
        <row r="2415">
          <cell r="A2415" t="str">
            <v>A0398</v>
          </cell>
          <cell r="B2415" t="str">
            <v>SECURITY SERVICES FOR AMEREN/CIPS</v>
          </cell>
          <cell r="C2415" t="str">
            <v>039-SECURITY</v>
          </cell>
        </row>
        <row r="2416">
          <cell r="A2416" t="str">
            <v>A0399</v>
          </cell>
          <cell r="B2416" t="str">
            <v>SECURITY SERVICES-AMS</v>
          </cell>
          <cell r="C2416" t="str">
            <v>039-SECURITY</v>
          </cell>
        </row>
        <row r="2417">
          <cell r="A2417" t="str">
            <v>A0400</v>
          </cell>
          <cell r="B2417" t="str">
            <v>SUBSTATION MTCE &amp; CONST. - UEC</v>
          </cell>
          <cell r="C2417" t="str">
            <v>03M-SUB MTCE &amp; CONST-ENG &amp; ADMIN</v>
          </cell>
        </row>
        <row r="2418">
          <cell r="A2418" t="str">
            <v>A0401</v>
          </cell>
          <cell r="B2418" t="str">
            <v>ADMIN SUPPORT/OFFICE EXP-SECURITY</v>
          </cell>
          <cell r="C2418" t="str">
            <v>039-SECURITY</v>
          </cell>
        </row>
        <row r="2419">
          <cell r="A2419" t="str">
            <v>A0402</v>
          </cell>
          <cell r="B2419" t="str">
            <v>PUBLIC CLAIMS - ALLOCATED</v>
          </cell>
          <cell r="C2419" t="str">
            <v>038-CLAIMS</v>
          </cell>
        </row>
        <row r="2420">
          <cell r="A2420" t="str">
            <v>A0403</v>
          </cell>
          <cell r="B2420" t="str">
            <v>WORKERS' COMPENSATION - ALLOCATED</v>
          </cell>
          <cell r="C2420" t="str">
            <v>038-CLAIMS</v>
          </cell>
        </row>
        <row r="2421">
          <cell r="A2421" t="str">
            <v>A0406</v>
          </cell>
          <cell r="B2421" t="str">
            <v>ADMIN SUPPORT/OFFICE EXP-CLAIMS</v>
          </cell>
          <cell r="C2421" t="str">
            <v>038-CLAIMS</v>
          </cell>
        </row>
        <row r="2422">
          <cell r="A2422" t="str">
            <v>A0407</v>
          </cell>
          <cell r="B2422" t="str">
            <v>SUBSTATION MTCE &amp; CONST. - CIP</v>
          </cell>
          <cell r="C2422" t="str">
            <v>03M-SUB MTCE &amp; CONST-ENG &amp; ADMIN</v>
          </cell>
        </row>
        <row r="2423">
          <cell r="A2423" t="str">
            <v>A0409</v>
          </cell>
          <cell r="B2423" t="str">
            <v>AUDIT OF MOTOR TRANSPORTATION OPS</v>
          </cell>
          <cell r="C2423" t="str">
            <v>05A-INTERNAL AUDIT</v>
          </cell>
        </row>
        <row r="2424">
          <cell r="A2424" t="str">
            <v>A0410</v>
          </cell>
          <cell r="B2424" t="str">
            <v>AUDIT OF PAYROLL OPERATIONS</v>
          </cell>
          <cell r="C2424" t="str">
            <v>05A-INTERNAL AUDIT</v>
          </cell>
        </row>
        <row r="2425">
          <cell r="A2425" t="str">
            <v>A0411</v>
          </cell>
          <cell r="B2425" t="str">
            <v>AUDIT OF TELECOMMUNICATIONS OPS</v>
          </cell>
          <cell r="C2425" t="str">
            <v>05A-INTERNAL AUDIT</v>
          </cell>
        </row>
        <row r="2426">
          <cell r="A2426" t="str">
            <v>A0412</v>
          </cell>
          <cell r="B2426" t="str">
            <v>AUDIT OF TRAINING OPERATIONS</v>
          </cell>
          <cell r="C2426" t="str">
            <v>05A-INTERNAL AUDIT</v>
          </cell>
        </row>
        <row r="2427">
          <cell r="A2427" t="str">
            <v>A0413</v>
          </cell>
          <cell r="B2427" t="str">
            <v>AUDIT OF PGA OPS- UE - MISSOURI</v>
          </cell>
          <cell r="C2427" t="str">
            <v>05A-INTERNAL AUDIT</v>
          </cell>
        </row>
        <row r="2428">
          <cell r="A2428" t="str">
            <v>A0415</v>
          </cell>
          <cell r="B2428" t="str">
            <v>PLACEMENT POOL - ALLOCATED</v>
          </cell>
          <cell r="C2428" t="str">
            <v>02A-RESOURCE POOL</v>
          </cell>
        </row>
        <row r="2429">
          <cell r="A2429" t="str">
            <v>A0416</v>
          </cell>
          <cell r="B2429" t="str">
            <v>PROVIDE SRVCS TO BENEFIT UEC</v>
          </cell>
          <cell r="C2429" t="str">
            <v>02P-HR - TOTAL REWARDS</v>
          </cell>
        </row>
        <row r="2430">
          <cell r="A2430" t="str">
            <v>A0417</v>
          </cell>
          <cell r="B2430" t="str">
            <v>AUDIT OF GAS SUPPLY OPERATIONS</v>
          </cell>
          <cell r="C2430" t="str">
            <v>05A-INTERNAL AUDIT</v>
          </cell>
        </row>
        <row r="2431">
          <cell r="A2431" t="str">
            <v>A0418</v>
          </cell>
          <cell r="B2431" t="str">
            <v>PLACEMENT POOL- AMEREN/UE</v>
          </cell>
          <cell r="C2431" t="str">
            <v>02A-RESOURCE POOL</v>
          </cell>
        </row>
        <row r="2432">
          <cell r="A2432" t="str">
            <v>A0419</v>
          </cell>
          <cell r="B2432" t="str">
            <v>PLACEMENT POOL - AMEREN SERVICES</v>
          </cell>
          <cell r="C2432" t="str">
            <v>02A-RESOURCE POOL</v>
          </cell>
        </row>
        <row r="2433">
          <cell r="A2433" t="str">
            <v>A0420</v>
          </cell>
          <cell r="B2433" t="str">
            <v>PLACEMENT POOL- AMEREN/CIPS</v>
          </cell>
          <cell r="C2433" t="str">
            <v>02A-RESOURCE POOL</v>
          </cell>
        </row>
        <row r="2434">
          <cell r="A2434" t="str">
            <v>A0421</v>
          </cell>
          <cell r="B2434" t="str">
            <v>PROVIDE SVCS TO BFT TOTAL CO-UEC</v>
          </cell>
          <cell r="C2434" t="str">
            <v>02E-HR - STAFFING</v>
          </cell>
        </row>
        <row r="2435">
          <cell r="A2435" t="str">
            <v>A0423</v>
          </cell>
          <cell r="B2435" t="str">
            <v>COMP ADMIN - AMERENCIPS</v>
          </cell>
          <cell r="C2435" t="str">
            <v>02P-HR - TOTAL REWARDS</v>
          </cell>
        </row>
        <row r="2436">
          <cell r="A2436" t="str">
            <v>A0424</v>
          </cell>
          <cell r="B2436" t="str">
            <v>PROVIDE SVCS TO BFT TOTAL CO-CIP</v>
          </cell>
          <cell r="C2436" t="str">
            <v>02E-HR - STAFFING</v>
          </cell>
        </row>
        <row r="2437">
          <cell r="A2437" t="str">
            <v>A0425</v>
          </cell>
          <cell r="B2437" t="str">
            <v>COMP ADMIN - GEN SUPPORT</v>
          </cell>
          <cell r="C2437" t="str">
            <v>02P-HR - TOTAL REWARDS</v>
          </cell>
        </row>
        <row r="2438">
          <cell r="A2438" t="str">
            <v>A0427</v>
          </cell>
          <cell r="B2438" t="str">
            <v>TRANSMISSION PLANNING / 100% UEC</v>
          </cell>
          <cell r="C2438" t="str">
            <v>028-ED DISTRIBUTION ENGINEERING</v>
          </cell>
        </row>
        <row r="2439">
          <cell r="A2439" t="str">
            <v>A0428</v>
          </cell>
          <cell r="B2439" t="str">
            <v>COMP ADMIN - ALLOCATED</v>
          </cell>
          <cell r="C2439" t="str">
            <v>02P-HR - TOTAL REWARDS</v>
          </cell>
        </row>
        <row r="2440">
          <cell r="A2440" t="str">
            <v>A0429</v>
          </cell>
          <cell r="B2440" t="str">
            <v>COMP ADMIN - AMERENUE</v>
          </cell>
          <cell r="C2440" t="str">
            <v>02P-HR - TOTAL REWARDS</v>
          </cell>
        </row>
        <row r="2441">
          <cell r="A2441" t="str">
            <v>A0430</v>
          </cell>
          <cell r="B2441" t="str">
            <v>OPERATIONS ANALYSIS FOR AMEREN</v>
          </cell>
          <cell r="C2441" t="str">
            <v>012-CORPORATE PLANNING</v>
          </cell>
        </row>
        <row r="2442">
          <cell r="A2442" t="str">
            <v>A0431</v>
          </cell>
          <cell r="B2442" t="str">
            <v>OPERATIONS ANALYSIS FOR AMEREN/UE</v>
          </cell>
          <cell r="C2442" t="str">
            <v>012-CORPORATE PLANNING</v>
          </cell>
        </row>
        <row r="2443">
          <cell r="A2443" t="str">
            <v>A0432</v>
          </cell>
          <cell r="B2443" t="str">
            <v>OPERATIONS ANALYSIS FOR AMEREN/GENC</v>
          </cell>
          <cell r="C2443" t="str">
            <v>012-CORPORATE PLANNING</v>
          </cell>
        </row>
        <row r="2444">
          <cell r="A2444" t="str">
            <v>A0433</v>
          </cell>
          <cell r="B2444" t="str">
            <v>SYSTEM DATA FOR AMEREN</v>
          </cell>
          <cell r="C2444" t="str">
            <v>042-TRANSMISSION OPERATIONS</v>
          </cell>
        </row>
        <row r="2445">
          <cell r="A2445" t="str">
            <v>A0434</v>
          </cell>
          <cell r="B2445" t="str">
            <v>SYSTEM DATA FOR AMEREN/UE</v>
          </cell>
          <cell r="C2445" t="str">
            <v>042-TRANSMISSION OPERATIONS</v>
          </cell>
        </row>
        <row r="2446">
          <cell r="A2446" t="str">
            <v>A0435</v>
          </cell>
          <cell r="B2446" t="str">
            <v>SYSTEM DATA FOR GENCO</v>
          </cell>
          <cell r="C2446" t="str">
            <v>042-TRANSMISSION OPERATIONS</v>
          </cell>
        </row>
        <row r="2447">
          <cell r="A2447" t="str">
            <v>A0436</v>
          </cell>
          <cell r="B2447" t="str">
            <v>SPV OF THE AMEREN GEN. &amp; TRANSM. DI</v>
          </cell>
          <cell r="C2447" t="str">
            <v>042-TRANSMISSION OPERATIONS</v>
          </cell>
        </row>
        <row r="2448">
          <cell r="A2448" t="str">
            <v>A0437</v>
          </cell>
          <cell r="B2448" t="str">
            <v>SPV OF GEN. &amp; TRANSM. DISPATCH - FO</v>
          </cell>
          <cell r="C2448" t="str">
            <v>042-TRANSMISSION OPERATIONS</v>
          </cell>
        </row>
        <row r="2449">
          <cell r="A2449" t="str">
            <v>A0438</v>
          </cell>
          <cell r="B2449" t="str">
            <v>SPV OF GEN. &amp; TRANSM. DISPATCH - FO</v>
          </cell>
          <cell r="C2449" t="str">
            <v>042-TRANSMISSION OPERATIONS</v>
          </cell>
        </row>
        <row r="2450">
          <cell r="A2450" t="str">
            <v>A0439</v>
          </cell>
          <cell r="B2450" t="str">
            <v>ENERGY MANAGEMENT SYSTEM SUPPORT FO</v>
          </cell>
          <cell r="C2450" t="str">
            <v>042-TRANSMISSION OPERATIONS</v>
          </cell>
        </row>
        <row r="2451">
          <cell r="A2451" t="str">
            <v>A0440</v>
          </cell>
          <cell r="B2451" t="str">
            <v>ENERGY MANAGEMENT SYSTEM SUPPORT FO</v>
          </cell>
          <cell r="C2451" t="str">
            <v>042-TRANSMISSION OPERATIONS</v>
          </cell>
        </row>
        <row r="2452">
          <cell r="A2452" t="str">
            <v>A0441</v>
          </cell>
          <cell r="B2452" t="str">
            <v>ENERGY MANAGEMENT SYSTEM SUPPORT FO</v>
          </cell>
          <cell r="C2452" t="str">
            <v>042-TRANSMISSION OPERATIONS</v>
          </cell>
        </row>
        <row r="2453">
          <cell r="A2453" t="str">
            <v>A0442</v>
          </cell>
          <cell r="B2453" t="str">
            <v>TRANSMISSION COORDINATION AND DISPA</v>
          </cell>
          <cell r="C2453" t="str">
            <v>042-TRANSMISSION OPERATIONS</v>
          </cell>
        </row>
        <row r="2454">
          <cell r="A2454" t="str">
            <v>A0443</v>
          </cell>
          <cell r="B2454" t="str">
            <v>TRANSMISSION COORDINATION &amp; DISPATC</v>
          </cell>
          <cell r="C2454" t="str">
            <v>042-TRANSMISSION OPERATIONS</v>
          </cell>
        </row>
        <row r="2455">
          <cell r="A2455" t="str">
            <v>A0444</v>
          </cell>
          <cell r="B2455" t="str">
            <v>TRANSMISSION COORDINATION &amp; DISPATC</v>
          </cell>
          <cell r="C2455" t="str">
            <v>042-TRANSMISSION OPERATIONS</v>
          </cell>
        </row>
        <row r="2456">
          <cell r="A2456" t="str">
            <v>A0445</v>
          </cell>
          <cell r="B2456" t="str">
            <v>GENERAL EXECUTIVE STAFF - ENERGY SU</v>
          </cell>
          <cell r="C2456" t="str">
            <v>042-TRANSMISSION OPERATIONS</v>
          </cell>
        </row>
        <row r="2457">
          <cell r="A2457" t="str">
            <v>A0446</v>
          </cell>
          <cell r="B2457" t="str">
            <v>GENERAL EXECUTIVE STAFF-ENERGY SUPP</v>
          </cell>
          <cell r="C2457" t="str">
            <v>042-TRANSMISSION OPERATIONS</v>
          </cell>
        </row>
        <row r="2458">
          <cell r="A2458" t="str">
            <v>A0447</v>
          </cell>
          <cell r="B2458" t="str">
            <v>AUDIT OF REAL ESTATE OPERATIONS</v>
          </cell>
          <cell r="C2458" t="str">
            <v>05A-INTERNAL AUDIT</v>
          </cell>
        </row>
        <row r="2459">
          <cell r="A2459" t="str">
            <v>A0448</v>
          </cell>
          <cell r="B2459" t="str">
            <v>SECRETARIAL SUPPORT,OFF SUPPLIES,OT</v>
          </cell>
          <cell r="C2459" t="str">
            <v>042-TRANSMISSION OPERATIONS</v>
          </cell>
        </row>
        <row r="2460">
          <cell r="A2460" t="str">
            <v>A0449</v>
          </cell>
          <cell r="B2460" t="str">
            <v>GENERAL EXECUTIVE STAFF-ENERGY SUPP</v>
          </cell>
          <cell r="C2460" t="str">
            <v>042-TRANSMISSION OPERATIONS</v>
          </cell>
        </row>
        <row r="2461">
          <cell r="A2461" t="str">
            <v>A0450</v>
          </cell>
          <cell r="B2461" t="str">
            <v>AUDIT OF E&amp;C OPS&amp;REVS OF CAP PROJTS</v>
          </cell>
          <cell r="C2461" t="str">
            <v>05A-INTERNAL AUDIT</v>
          </cell>
        </row>
        <row r="2462">
          <cell r="A2462" t="str">
            <v>A0451</v>
          </cell>
          <cell r="B2462" t="str">
            <v>AUDIT OF TRANSMISSION OPS MTC&amp;CONST</v>
          </cell>
          <cell r="C2462" t="str">
            <v>05A-INTERNAL AUDIT</v>
          </cell>
        </row>
        <row r="2463">
          <cell r="A2463" t="str">
            <v>A0452</v>
          </cell>
          <cell r="B2463" t="str">
            <v>AUDIT OF FOSSIL FUEL PURCHASING OPS</v>
          </cell>
          <cell r="C2463" t="str">
            <v>05A-INTERNAL AUDIT</v>
          </cell>
        </row>
        <row r="2464">
          <cell r="A2464" t="str">
            <v>A0454</v>
          </cell>
          <cell r="B2464" t="str">
            <v>AUDIT OF POWER PLANT MAINT OPS</v>
          </cell>
          <cell r="C2464" t="str">
            <v>05A-INTERNAL AUDIT</v>
          </cell>
        </row>
        <row r="2465">
          <cell r="A2465" t="str">
            <v>A0455</v>
          </cell>
          <cell r="B2465" t="str">
            <v>AUDIT OF TAX DEPARTMENT OPERATIONS</v>
          </cell>
          <cell r="C2465" t="str">
            <v>05A-INTERNAL AUDIT</v>
          </cell>
        </row>
        <row r="2466">
          <cell r="A2466" t="str">
            <v>A0456</v>
          </cell>
          <cell r="B2466" t="str">
            <v>AUDIT OF INVESTOR SERVICES OPS</v>
          </cell>
          <cell r="C2466" t="str">
            <v>05A-INTERNAL AUDIT</v>
          </cell>
        </row>
        <row r="2467">
          <cell r="A2467" t="str">
            <v>A0457</v>
          </cell>
          <cell r="B2467" t="str">
            <v>AUDIT OF POLITICAL ACTION COMMITTEE</v>
          </cell>
          <cell r="C2467" t="str">
            <v>05A-INTERNAL AUDIT</v>
          </cell>
        </row>
        <row r="2468">
          <cell r="A2468" t="str">
            <v>A0458</v>
          </cell>
          <cell r="B2468" t="str">
            <v>AUDIT OF ST. LOUIS ELECTRICAL BOARD</v>
          </cell>
          <cell r="C2468" t="str">
            <v>05A-INTERNAL AUDIT</v>
          </cell>
        </row>
        <row r="2469">
          <cell r="A2469" t="str">
            <v>A0459</v>
          </cell>
          <cell r="B2469" t="str">
            <v>AUDIT OF UE MISSOURI DISTRICT OPS</v>
          </cell>
          <cell r="C2469" t="str">
            <v>05A-INTERNAL AUDIT</v>
          </cell>
        </row>
        <row r="2470">
          <cell r="A2470" t="str">
            <v>A0460</v>
          </cell>
          <cell r="B2470" t="str">
            <v>GENERAL RATE ENG-UEC-MO-ELECTRIC</v>
          </cell>
          <cell r="C2470" t="str">
            <v>29R-REGULATORY POLICY</v>
          </cell>
        </row>
        <row r="2471">
          <cell r="A2471" t="str">
            <v>A0461</v>
          </cell>
          <cell r="B2471" t="str">
            <v>UEC - MO - GENERAL RATE ENG - COMB</v>
          </cell>
          <cell r="C2471" t="str">
            <v>29R-REGULATORY POLICY</v>
          </cell>
        </row>
        <row r="2472">
          <cell r="A2472" t="str">
            <v>A0463</v>
          </cell>
          <cell r="B2472" t="str">
            <v>UE-MO REG RATE ENGINEERING-GAS</v>
          </cell>
          <cell r="C2472" t="str">
            <v>012-CORPORATE PLANNING</v>
          </cell>
        </row>
        <row r="2473">
          <cell r="A2473" t="str">
            <v>A0466</v>
          </cell>
          <cell r="B2473" t="str">
            <v>SUPPORT FOR AED PROJ.- GP-GEN-100%</v>
          </cell>
          <cell r="C2473" t="str">
            <v>09M-GENERATION PROJECT ENGINEERING</v>
          </cell>
        </row>
        <row r="2474">
          <cell r="A2474" t="str">
            <v>A0467</v>
          </cell>
          <cell r="B2474" t="str">
            <v>RISK MANAGEMENT - ALLOCATED</v>
          </cell>
          <cell r="C2474" t="str">
            <v>07Q-CORPORATE RISK MGMT</v>
          </cell>
        </row>
        <row r="2475">
          <cell r="A2475" t="str">
            <v>A0468</v>
          </cell>
          <cell r="B2475" t="str">
            <v>SECRETAR SUPT,OFC SUP&amp;OTHER-INT AUD</v>
          </cell>
          <cell r="C2475" t="str">
            <v>05A-INTERNAL AUDIT</v>
          </cell>
        </row>
        <row r="2476">
          <cell r="A2476" t="str">
            <v>A0471</v>
          </cell>
          <cell r="B2476" t="str">
            <v>SYS RELAY - GENERAL ALLOCATION</v>
          </cell>
          <cell r="C2476" t="str">
            <v>090-SYSTEM RELAY SERVICES</v>
          </cell>
        </row>
        <row r="2477">
          <cell r="A2477" t="str">
            <v>A0479</v>
          </cell>
          <cell r="B2477" t="str">
            <v>TRANSMISSION PL. / PEAK LOAD SPLIT</v>
          </cell>
          <cell r="C2477" t="str">
            <v>028-ED DISTRIBUTION ENGINEERING</v>
          </cell>
        </row>
        <row r="2478">
          <cell r="A2478" t="str">
            <v>A0480</v>
          </cell>
          <cell r="B2478" t="str">
            <v>CORP SECRETARY WORK - AME</v>
          </cell>
          <cell r="C2478" t="str">
            <v>06F-INF - ENTERPRISE STORAGE</v>
          </cell>
        </row>
        <row r="2479">
          <cell r="A2479" t="str">
            <v>A0481</v>
          </cell>
          <cell r="B2479" t="str">
            <v>TRANSMISSION SERVICES - AMEREN/UE</v>
          </cell>
          <cell r="C2479" t="str">
            <v>03T-TRANSMISSION-AMS</v>
          </cell>
        </row>
        <row r="2480">
          <cell r="A2480" t="str">
            <v>A0482</v>
          </cell>
          <cell r="B2480" t="str">
            <v>PERFORMANCE MANAGEMENT ACTIVITIES</v>
          </cell>
          <cell r="C2480" t="str">
            <v>012-CORPORATE PLANNING</v>
          </cell>
        </row>
        <row r="2481">
          <cell r="A2481" t="str">
            <v>A0483</v>
          </cell>
          <cell r="B2481" t="str">
            <v>TRIS</v>
          </cell>
          <cell r="C2481" t="str">
            <v>201-DEV - BUS &amp; CORP SVCS</v>
          </cell>
        </row>
        <row r="2482">
          <cell r="A2482" t="str">
            <v>A0484</v>
          </cell>
          <cell r="B2482" t="str">
            <v>CORP SECRETARY'S WORK - AEC</v>
          </cell>
          <cell r="C2482" t="str">
            <v>06F-INF - ENTERPRISE STORAGE</v>
          </cell>
        </row>
        <row r="2483">
          <cell r="A2483" t="str">
            <v>A0486</v>
          </cell>
          <cell r="B2483" t="str">
            <v>CSS PHASE II - REGULATED PORTION</v>
          </cell>
          <cell r="C2483" t="str">
            <v>204-DEV - ENERGY DELIVERY</v>
          </cell>
        </row>
        <row r="2484">
          <cell r="A2484" t="str">
            <v>A0487</v>
          </cell>
          <cell r="B2484" t="str">
            <v>SUBSTATION APPS - CIPS</v>
          </cell>
          <cell r="C2484" t="str">
            <v>202-DEV - OPERATIONS</v>
          </cell>
        </row>
        <row r="2485">
          <cell r="A2485" t="str">
            <v>A0488</v>
          </cell>
          <cell r="B2485" t="str">
            <v>COMP ADMIN - AMERENENERGY</v>
          </cell>
          <cell r="C2485" t="str">
            <v>02P-HR - TOTAL REWARDS</v>
          </cell>
        </row>
        <row r="2486">
          <cell r="A2486" t="str">
            <v>A0489</v>
          </cell>
          <cell r="B2486" t="str">
            <v>AMEREN ENERGY REAL ESTATE</v>
          </cell>
          <cell r="C2486" t="str">
            <v>061-REAL ESTATE</v>
          </cell>
        </row>
        <row r="2487">
          <cell r="A2487" t="str">
            <v>A0490</v>
          </cell>
          <cell r="B2487" t="str">
            <v>AMEREN ENERGY COMMUNICATIONS</v>
          </cell>
          <cell r="C2487" t="str">
            <v>024-LEGAL</v>
          </cell>
        </row>
        <row r="2488">
          <cell r="A2488" t="str">
            <v>A0494</v>
          </cell>
          <cell r="B2488" t="str">
            <v>ERC - TAX WORK</v>
          </cell>
          <cell r="C2488" t="str">
            <v>05T-TAX</v>
          </cell>
        </row>
        <row r="2489">
          <cell r="A2489" t="str">
            <v>A0496</v>
          </cell>
          <cell r="B2489" t="str">
            <v>IT DEV - OPS - INDIRECT FUNCT</v>
          </cell>
          <cell r="C2489" t="str">
            <v>202-DEV - OPERATIONS</v>
          </cell>
        </row>
        <row r="2490">
          <cell r="A2490" t="str">
            <v>A0497</v>
          </cell>
          <cell r="B2490" t="str">
            <v>AMEREN SERVICES DIVERSION OF SERVIC</v>
          </cell>
          <cell r="C2490" t="str">
            <v>190-APPORTIONMENTS/SPECIAL ITEMS</v>
          </cell>
        </row>
        <row r="2491">
          <cell r="A2491" t="str">
            <v>A0499</v>
          </cell>
          <cell r="B2491" t="str">
            <v>TR.PLNG. -PWR.PLT.SUPPORT-UEC 100%</v>
          </cell>
          <cell r="C2491" t="str">
            <v>09P-ELECTRIC PLANNING</v>
          </cell>
        </row>
        <row r="2492">
          <cell r="A2492" t="str">
            <v>A0500</v>
          </cell>
          <cell r="B2492" t="str">
            <v>SECRETARIAL SUPPORT FOR VP ENERGY S</v>
          </cell>
          <cell r="C2492" t="str">
            <v>042-TRANSMISSION OPERATIONS</v>
          </cell>
        </row>
        <row r="2493">
          <cell r="A2493" t="str">
            <v>A0501</v>
          </cell>
          <cell r="B2493" t="str">
            <v>SECRETARIAL SUPPORT FOR VP POWER OP</v>
          </cell>
          <cell r="C2493" t="str">
            <v>042-TRANSMISSION OPERATIONS</v>
          </cell>
        </row>
        <row r="2494">
          <cell r="A2494" t="str">
            <v>A0502</v>
          </cell>
          <cell r="B2494" t="str">
            <v>TRANSMISSION SERVICES - AMEREN/CIPS</v>
          </cell>
          <cell r="C2494" t="str">
            <v>03T-TRANSMISSION-AMS</v>
          </cell>
        </row>
        <row r="2495">
          <cell r="A2495" t="str">
            <v>A0503</v>
          </cell>
          <cell r="B2495" t="str">
            <v>TR.PLNG.- CUST.SVCS.SUPPT-UEC 100%</v>
          </cell>
          <cell r="C2495" t="str">
            <v>09P-ELECTRIC PLANNING</v>
          </cell>
        </row>
        <row r="2496">
          <cell r="A2496" t="str">
            <v>A0504</v>
          </cell>
          <cell r="B2496" t="str">
            <v>TRANSMISSION SERVICES - ALLOCATED</v>
          </cell>
          <cell r="C2496" t="str">
            <v>03T-TRANSMISSION-AMS</v>
          </cell>
        </row>
        <row r="2497">
          <cell r="A2497" t="str">
            <v>A0505</v>
          </cell>
          <cell r="B2497" t="str">
            <v>EE&amp;TP -PWR.PLT.SUPPORT (GENCO 100%)</v>
          </cell>
          <cell r="C2497" t="str">
            <v>09E-ELECTRICAL ENGINEERING</v>
          </cell>
        </row>
        <row r="2498">
          <cell r="A2498" t="str">
            <v>A0506</v>
          </cell>
          <cell r="B2498" t="str">
            <v>EE-TECH/DIRECT RESPONSE - UEC 100%</v>
          </cell>
          <cell r="C2498" t="str">
            <v>09E-ELECTRICAL ENGINEERING</v>
          </cell>
        </row>
        <row r="2499">
          <cell r="A2499" t="str">
            <v>A0507</v>
          </cell>
          <cell r="B2499" t="str">
            <v>TR.PLNG.- CUST.SVCS.SUPPT-CIP 100%</v>
          </cell>
          <cell r="C2499" t="str">
            <v>09P-ELECTRIC PLANNING</v>
          </cell>
        </row>
        <row r="2500">
          <cell r="A2500" t="str">
            <v>A0508</v>
          </cell>
          <cell r="B2500" t="str">
            <v>PROCESS AMEREN/UE CUSTOMER PAYMENTS</v>
          </cell>
          <cell r="C2500" t="str">
            <v>076-TREASURY TECHNOLOGY SERVICES</v>
          </cell>
        </row>
        <row r="2501">
          <cell r="A2501" t="str">
            <v>A0509</v>
          </cell>
          <cell r="B2501" t="str">
            <v>RETAIL RELATIONSHIP MGMT - GENERAL</v>
          </cell>
          <cell r="C2501" t="str">
            <v>03W-CUSTOMER SERVICE-AMS</v>
          </cell>
        </row>
        <row r="2502">
          <cell r="A2502" t="str">
            <v>A0510</v>
          </cell>
          <cell r="B2502" t="str">
            <v>RETAIL RELATIONSHIP MGMT- AMUE</v>
          </cell>
          <cell r="C2502" t="str">
            <v>03W-CUSTOMER SERVICE-AMS</v>
          </cell>
        </row>
        <row r="2503">
          <cell r="A2503" t="str">
            <v>A0511</v>
          </cell>
          <cell r="B2503" t="str">
            <v>EE-TECH/DIRECT RESPONSE - CIP 100%</v>
          </cell>
          <cell r="C2503" t="str">
            <v>09E-ELECTRICAL ENGINEERING</v>
          </cell>
        </row>
        <row r="2504">
          <cell r="A2504" t="str">
            <v>A0513</v>
          </cell>
          <cell r="B2504" t="str">
            <v>EE-TECH/DIRECT RESPONSE - UEDC 100%</v>
          </cell>
          <cell r="C2504" t="str">
            <v>09E-ELECTRICAL ENGINEERING</v>
          </cell>
        </row>
        <row r="2505">
          <cell r="A2505" t="str">
            <v>A0515</v>
          </cell>
          <cell r="B2505" t="str">
            <v>EE-TECH/DIRECT RESP-PK.LOAD</v>
          </cell>
          <cell r="C2505" t="str">
            <v>09E-ELECTRICAL ENGINEERING</v>
          </cell>
        </row>
        <row r="2506">
          <cell r="A2506" t="str">
            <v>A0517</v>
          </cell>
          <cell r="B2506" t="str">
            <v>EE - BUDGET ACTIVITIES- UEC-100%</v>
          </cell>
          <cell r="C2506" t="str">
            <v>09E-ELECTRICAL ENGINEERING</v>
          </cell>
        </row>
        <row r="2507">
          <cell r="A2507" t="str">
            <v>A0518</v>
          </cell>
          <cell r="B2507" t="str">
            <v>EE - BUDGET ACTIVITIES- CIPS-100%</v>
          </cell>
          <cell r="C2507" t="str">
            <v>09E-ELECTRICAL ENGINEERING</v>
          </cell>
        </row>
        <row r="2508">
          <cell r="A2508" t="str">
            <v>A0519</v>
          </cell>
          <cell r="B2508" t="str">
            <v>EE - BUDGET ACTIVITIES</v>
          </cell>
          <cell r="C2508" t="str">
            <v>09E-ELECTRICAL ENGINEERING</v>
          </cell>
        </row>
        <row r="2509">
          <cell r="A2509" t="str">
            <v>A0520</v>
          </cell>
          <cell r="B2509" t="str">
            <v>EE - NON-TECHNICAL/ADMIN -ALLOCATED</v>
          </cell>
          <cell r="C2509" t="str">
            <v>09E-ELECTRICAL ENGINEERING</v>
          </cell>
        </row>
        <row r="2510">
          <cell r="A2510" t="str">
            <v>A0521</v>
          </cell>
          <cell r="B2510" t="str">
            <v>EE-SYSTEM PROT (UEC - 100%)</v>
          </cell>
          <cell r="C2510" t="str">
            <v>09E-ELECTRICAL ENGINEERING</v>
          </cell>
        </row>
        <row r="2511">
          <cell r="A2511" t="str">
            <v>A0522</v>
          </cell>
          <cell r="B2511" t="str">
            <v>EE-SYSTEM PROT (CIPS - 100%)</v>
          </cell>
          <cell r="C2511" t="str">
            <v>09E-ELECTRICAL ENGINEERING</v>
          </cell>
        </row>
        <row r="2512">
          <cell r="A2512" t="str">
            <v>A0523</v>
          </cell>
          <cell r="B2512" t="str">
            <v>EE-SYSTEM PROT(SPLIT)</v>
          </cell>
          <cell r="C2512" t="str">
            <v>09E-ELECTRICAL ENGINEERING</v>
          </cell>
        </row>
        <row r="2513">
          <cell r="A2513" t="str">
            <v>A0524</v>
          </cell>
          <cell r="B2513" t="str">
            <v>EE-RELAYING DATABASES (UEC - 100%)</v>
          </cell>
          <cell r="C2513" t="str">
            <v>09E-ELECTRICAL ENGINEERING</v>
          </cell>
        </row>
        <row r="2514">
          <cell r="A2514" t="str">
            <v>A0525</v>
          </cell>
          <cell r="B2514" t="str">
            <v>EE-RELAYING DATABASES (CIPS -100%)</v>
          </cell>
          <cell r="C2514" t="str">
            <v>09E-ELECTRICAL ENGINEERING</v>
          </cell>
        </row>
        <row r="2515">
          <cell r="A2515" t="str">
            <v>A0526</v>
          </cell>
          <cell r="B2515" t="str">
            <v>EE-RELAY.DATABASES</v>
          </cell>
          <cell r="C2515" t="str">
            <v>09E-ELECTRICAL ENGINEERING</v>
          </cell>
        </row>
        <row r="2516">
          <cell r="A2516" t="str">
            <v>A0527</v>
          </cell>
          <cell r="B2516" t="str">
            <v>TR. PLNG. -TRAN.SVC.REQ. -PEAK LOAD</v>
          </cell>
          <cell r="C2516" t="str">
            <v>09P-ELECTRIC PLANNING</v>
          </cell>
        </row>
        <row r="2517">
          <cell r="A2517" t="str">
            <v>A0528</v>
          </cell>
          <cell r="B2517" t="str">
            <v>TR.PLNG.- MAIN-NERC -PEAK LOAD</v>
          </cell>
          <cell r="C2517" t="str">
            <v>09P-ELECTRIC PLANNING</v>
          </cell>
        </row>
        <row r="2518">
          <cell r="A2518" t="str">
            <v>A0530</v>
          </cell>
          <cell r="B2518" t="str">
            <v>TR.PLNG. -ESO OPS SUPPORT-PEAK LOAD</v>
          </cell>
          <cell r="C2518" t="str">
            <v>09P-ELECTRIC PLANNING</v>
          </cell>
        </row>
        <row r="2519">
          <cell r="A2519" t="str">
            <v>A0531</v>
          </cell>
          <cell r="B2519" t="str">
            <v>PERFORM WORKING FUND ACTIVITIES</v>
          </cell>
          <cell r="C2519" t="str">
            <v>076-TREASURY TECHNOLOGY SERVICES</v>
          </cell>
        </row>
        <row r="2520">
          <cell r="A2520" t="str">
            <v>A0532</v>
          </cell>
          <cell r="B2520" t="str">
            <v>PERFORM DAILY UE BANKING &amp; ACTVS</v>
          </cell>
          <cell r="C2520" t="str">
            <v>075-BANKING AND INVESTOR SERVICES</v>
          </cell>
        </row>
        <row r="2521">
          <cell r="A2521" t="str">
            <v>A0533</v>
          </cell>
          <cell r="B2521" t="str">
            <v>PERFORM DAILY CIPS BANKING &amp; ACTVS</v>
          </cell>
          <cell r="C2521" t="str">
            <v>075-BANKING AND INVESTOR SERVICES</v>
          </cell>
        </row>
        <row r="2522">
          <cell r="A2522" t="str">
            <v>A0534</v>
          </cell>
          <cell r="B2522" t="str">
            <v>IT DEVELOPMENT-HR - AMEREN ENERGY</v>
          </cell>
          <cell r="C2522" t="str">
            <v>201-DEV - BUS &amp; CORP SVCS</v>
          </cell>
        </row>
        <row r="2523">
          <cell r="A2523" t="str">
            <v>A0535</v>
          </cell>
          <cell r="B2523" t="str">
            <v>PERFORM DAILY AMC BANKNG ACTIVITIES</v>
          </cell>
          <cell r="C2523" t="str">
            <v>075-BANKING AND INVESTOR SERVICES</v>
          </cell>
        </row>
        <row r="2524">
          <cell r="A2524" t="str">
            <v>A0536</v>
          </cell>
          <cell r="B2524" t="str">
            <v>PERFORM DAILY AMS BANKNG ACTIVITIES</v>
          </cell>
          <cell r="C2524" t="str">
            <v>075-BANKING AND INVESTOR SERVICES</v>
          </cell>
        </row>
        <row r="2525">
          <cell r="A2525" t="str">
            <v>A0537</v>
          </cell>
          <cell r="B2525" t="str">
            <v>PERFORM DAILY UDC BANKNG ACTIVITIES</v>
          </cell>
          <cell r="C2525" t="str">
            <v>075-BANKING AND INVESTOR SERVICES</v>
          </cell>
        </row>
        <row r="2526">
          <cell r="A2526" t="str">
            <v>A0543</v>
          </cell>
          <cell r="B2526" t="str">
            <v>INVNTRY INVESTMENT CNTRL-ALLOC-MOIL</v>
          </cell>
          <cell r="C2526" t="str">
            <v>05M-STOREROOMS-AMS</v>
          </cell>
        </row>
        <row r="2527">
          <cell r="A2527" t="str">
            <v>A0544</v>
          </cell>
          <cell r="B2527" t="str">
            <v>INVNTRY INVESTMENT CNTRL-CIPS-MOIL</v>
          </cell>
          <cell r="C2527" t="str">
            <v>05M-STOREROOMS-AMS</v>
          </cell>
        </row>
        <row r="2528">
          <cell r="A2528" t="str">
            <v>A0545</v>
          </cell>
          <cell r="B2528" t="str">
            <v>INVNTRY INVESTMENT CNTRL-ue</v>
          </cell>
          <cell r="C2528" t="str">
            <v>05M-STOREROOMS-AMS</v>
          </cell>
        </row>
        <row r="2529">
          <cell r="A2529" t="str">
            <v>A0547</v>
          </cell>
          <cell r="B2529" t="str">
            <v>SALVG/SCRP/SURPLS/OBSOL ITM (IL/MO)</v>
          </cell>
          <cell r="C2529" t="str">
            <v>074-PURCHASING</v>
          </cell>
        </row>
        <row r="2530">
          <cell r="A2530" t="str">
            <v>A0548</v>
          </cell>
          <cell r="B2530" t="str">
            <v>IT DEVELOPMENT - HR - INDIRECT FUNC</v>
          </cell>
          <cell r="C2530" t="str">
            <v>632-CSF - IT FIELD OPERATIONS</v>
          </cell>
        </row>
        <row r="2531">
          <cell r="A2531" t="str">
            <v>A0551</v>
          </cell>
          <cell r="B2531" t="str">
            <v>ENCLOSE AMEREN/UE UTILITY BILLS</v>
          </cell>
          <cell r="C2531" t="str">
            <v>06A-INF-INSERTING &amp; MAIL DELIVERY</v>
          </cell>
        </row>
        <row r="2532">
          <cell r="A2532" t="str">
            <v>A0552</v>
          </cell>
          <cell r="B2532" t="str">
            <v>ENCLOSE AMEREN/CIPS UTILITY BILLS</v>
          </cell>
          <cell r="C2532" t="str">
            <v>06A-INF-INSERTING &amp; MAIL DELIVERY</v>
          </cell>
        </row>
        <row r="2533">
          <cell r="A2533" t="str">
            <v>A0555</v>
          </cell>
          <cell r="B2533" t="str">
            <v>OFFICE SUPPORT - DIVISION MARKETING</v>
          </cell>
          <cell r="C2533" t="str">
            <v>020-ED PRODUCTS &amp; SERVICES</v>
          </cell>
        </row>
        <row r="2534">
          <cell r="A2534" t="str">
            <v>A0556</v>
          </cell>
          <cell r="B2534" t="str">
            <v>ENCLOSE MAILINGS TO UE EMPLOYEES</v>
          </cell>
          <cell r="C2534" t="str">
            <v>06A-INF-INSERTING &amp; MAIL DELIVERY</v>
          </cell>
        </row>
        <row r="2535">
          <cell r="A2535" t="str">
            <v>A0558</v>
          </cell>
          <cell r="B2535" t="str">
            <v>SORT &amp; DISTRIB INCOM &amp; OUTGO MAIL</v>
          </cell>
          <cell r="C2535" t="str">
            <v>06A-INF-INSERTING &amp; MAIL DELIVERY</v>
          </cell>
        </row>
        <row r="2536">
          <cell r="A2536" t="str">
            <v>A0559</v>
          </cell>
          <cell r="B2536" t="str">
            <v>SECRETARIAL SUPT,GEN OFC&amp;OTHR-TREAS</v>
          </cell>
          <cell r="C2536" t="str">
            <v>076-TREASURY TECHNOLOGY SERVICES</v>
          </cell>
        </row>
        <row r="2537">
          <cell r="A2537" t="str">
            <v>A0560</v>
          </cell>
          <cell r="B2537" t="str">
            <v>UDC - TAX WORK</v>
          </cell>
          <cell r="C2537" t="str">
            <v>05T-TAX</v>
          </cell>
        </row>
        <row r="2538">
          <cell r="A2538" t="str">
            <v>A0561</v>
          </cell>
          <cell r="B2538" t="str">
            <v>AMC - TAX WORK</v>
          </cell>
          <cell r="C2538" t="str">
            <v>05T-TAX</v>
          </cell>
        </row>
        <row r="2539">
          <cell r="A2539" t="str">
            <v>A0562</v>
          </cell>
          <cell r="B2539" t="str">
            <v>AEC - TAX WORK</v>
          </cell>
          <cell r="C2539" t="str">
            <v>05T-TAX</v>
          </cell>
        </row>
        <row r="2540">
          <cell r="A2540" t="str">
            <v>A0564</v>
          </cell>
          <cell r="B2540" t="str">
            <v>AME - TAX WORK</v>
          </cell>
          <cell r="C2540" t="str">
            <v>05T-TAX</v>
          </cell>
        </row>
        <row r="2541">
          <cell r="A2541" t="str">
            <v>A0567</v>
          </cell>
          <cell r="B2541" t="str">
            <v>AMS - TAX WORK</v>
          </cell>
          <cell r="C2541" t="str">
            <v>05T-TAX</v>
          </cell>
        </row>
        <row r="2542">
          <cell r="A2542" t="str">
            <v>A0570</v>
          </cell>
          <cell r="B2542" t="str">
            <v>LONG TERM FINANCING FOR AMEREN/UE</v>
          </cell>
          <cell r="C2542" t="str">
            <v>075-BANKING AND INVESTOR SERVICES</v>
          </cell>
        </row>
        <row r="2543">
          <cell r="A2543" t="str">
            <v>A0571</v>
          </cell>
          <cell r="B2543" t="str">
            <v>LONG TERM FINANCING FOR AMEREN/CIPS</v>
          </cell>
          <cell r="C2543" t="str">
            <v>075-BANKING AND INVESTOR SERVICES</v>
          </cell>
        </row>
        <row r="2544">
          <cell r="A2544" t="str">
            <v>A0573</v>
          </cell>
          <cell r="B2544" t="str">
            <v>TREE MANAGER - AMEREN/UE</v>
          </cell>
          <cell r="C2544" t="str">
            <v>02F-VEGETATION MGT-IL</v>
          </cell>
        </row>
        <row r="2545">
          <cell r="A2545" t="str">
            <v>A0574</v>
          </cell>
          <cell r="B2545" t="str">
            <v>PROCESS CIPS CUSTOMER PAYMENTS</v>
          </cell>
          <cell r="C2545" t="str">
            <v>076-TREASURY TECHNOLOGY SERVICES</v>
          </cell>
        </row>
        <row r="2546">
          <cell r="A2546" t="str">
            <v>A0580</v>
          </cell>
          <cell r="B2546" t="str">
            <v>TREE MANAGER - AMEREN/CIPS</v>
          </cell>
          <cell r="C2546" t="str">
            <v>02F-VEGETATION MGT-IL</v>
          </cell>
        </row>
        <row r="2547">
          <cell r="A2547" t="str">
            <v>A0593</v>
          </cell>
          <cell r="B2547" t="str">
            <v>GEN ADMN/STENO SPRT-PURCHSG (IL/MO)</v>
          </cell>
          <cell r="C2547" t="str">
            <v>074-PURCHASING</v>
          </cell>
        </row>
        <row r="2548">
          <cell r="A2548" t="str">
            <v>A0594</v>
          </cell>
          <cell r="B2548" t="str">
            <v>PURCHASE MATL/SERVICES/EQPT (IL/MO)</v>
          </cell>
          <cell r="C2548" t="str">
            <v>074-PURCHASING</v>
          </cell>
        </row>
        <row r="2549">
          <cell r="A2549" t="str">
            <v>A0596</v>
          </cell>
          <cell r="B2549" t="str">
            <v>MISCELLANEOUS OFFICE EXPENSES-PERS</v>
          </cell>
          <cell r="C2549" t="str">
            <v>230-DORSETT TRAINING</v>
          </cell>
        </row>
        <row r="2550">
          <cell r="A2550" t="str">
            <v>A0600</v>
          </cell>
          <cell r="B2550" t="str">
            <v>MISC OFFICE EXP DISTRIBUTION ENG</v>
          </cell>
          <cell r="C2550" t="str">
            <v>028-ED DISTRIBUTION ENGINEERING</v>
          </cell>
        </row>
        <row r="2551">
          <cell r="A2551" t="str">
            <v>A0613</v>
          </cell>
          <cell r="B2551" t="str">
            <v>CLERICAL SUPPORT -AMEREN/UE SAFETY</v>
          </cell>
          <cell r="C2551" t="str">
            <v>233-ED-ELECTRIC STANDARDS</v>
          </cell>
        </row>
        <row r="2552">
          <cell r="A2552" t="str">
            <v>A0622</v>
          </cell>
          <cell r="B2552" t="str">
            <v>INDIR FUNCTIONAL-FINANCIAL PLANNING</v>
          </cell>
          <cell r="C2552" t="str">
            <v>07R-FINANCIAL PLANNING, INS &amp; RISK</v>
          </cell>
        </row>
        <row r="2553">
          <cell r="A2553" t="str">
            <v>A0623</v>
          </cell>
          <cell r="B2553" t="str">
            <v>INDIRECT FUNCTIONAL - INSURANCE</v>
          </cell>
          <cell r="C2553" t="str">
            <v>07R-FINANCIAL PLANNING, INS &amp; RISK</v>
          </cell>
        </row>
        <row r="2554">
          <cell r="A2554" t="str">
            <v>A0624</v>
          </cell>
          <cell r="B2554" t="str">
            <v>INDIRECT FUNCTIONAL-RISK MANAGEMENT</v>
          </cell>
          <cell r="C2554" t="str">
            <v>07Q-CORPORATE RISK MGMT</v>
          </cell>
        </row>
        <row r="2555">
          <cell r="A2555" t="str">
            <v>A0625</v>
          </cell>
          <cell r="B2555" t="str">
            <v>DEVELOPMENT OPERATIONS - MTIS</v>
          </cell>
          <cell r="C2555" t="str">
            <v>202-DEV - OPERATIONS</v>
          </cell>
        </row>
        <row r="2556">
          <cell r="A2556" t="str">
            <v>A0629</v>
          </cell>
          <cell r="B2556" t="str">
            <v>MISC OFFICE EXP - FORESTRY</v>
          </cell>
          <cell r="C2556" t="str">
            <v>02F-VEGETATION MGT-IL</v>
          </cell>
        </row>
        <row r="2557">
          <cell r="A2557" t="str">
            <v>A0631</v>
          </cell>
          <cell r="B2557" t="str">
            <v>MISC OFFICE EXP - DIST SERVICES</v>
          </cell>
          <cell r="C2557" t="str">
            <v>03V-DISTRIBUTION SERVICES-AMS</v>
          </cell>
        </row>
        <row r="2558">
          <cell r="A2558" t="str">
            <v>A0633</v>
          </cell>
          <cell r="B2558" t="str">
            <v>MISSOURI DEREGULATION (ELEC MO)</v>
          </cell>
          <cell r="C2558" t="str">
            <v>001-CORPORATE COMMUNICATIONS</v>
          </cell>
        </row>
        <row r="2559">
          <cell r="A2559" t="str">
            <v>A0647</v>
          </cell>
          <cell r="B2559" t="str">
            <v>TEST AND REPAIR OF PROT EQUIP-CIP</v>
          </cell>
          <cell r="C2559" t="str">
            <v>03V-DISTRIBUTION SERVICES-AMS</v>
          </cell>
        </row>
        <row r="2560">
          <cell r="A2560" t="str">
            <v>A0648</v>
          </cell>
          <cell r="B2560" t="str">
            <v>TEST AND REPAIR OF PROT EQUIP-UEC</v>
          </cell>
          <cell r="C2560" t="str">
            <v>03V-DISTRIBUTION SERVICES-AMS</v>
          </cell>
        </row>
        <row r="2561">
          <cell r="A2561" t="str">
            <v>A0654</v>
          </cell>
          <cell r="B2561" t="str">
            <v>TEST/PROCESS NEW METERS - AMEREN/UE</v>
          </cell>
          <cell r="C2561" t="str">
            <v>03V-DISTRIBUTION SERVICES-AMS</v>
          </cell>
        </row>
        <row r="2562">
          <cell r="A2562" t="str">
            <v>A0657</v>
          </cell>
          <cell r="B2562" t="str">
            <v>TEST/PROCESS NEW METERS - CIP</v>
          </cell>
          <cell r="C2562" t="str">
            <v>03V-DISTRIBUTION SERVICES-AMS</v>
          </cell>
        </row>
        <row r="2563">
          <cell r="A2563" t="str">
            <v>A0664</v>
          </cell>
          <cell r="B2563" t="str">
            <v>CSS PHASE II - DEREGULATED PORTION</v>
          </cell>
          <cell r="C2563" t="str">
            <v>204-DEV - ENERGY DELIVERY</v>
          </cell>
        </row>
        <row r="2564">
          <cell r="A2564" t="str">
            <v>A0669</v>
          </cell>
          <cell r="B2564" t="str">
            <v>TEST/REPAIR USED METERS - UEC-MO</v>
          </cell>
          <cell r="C2564" t="str">
            <v>03V-DISTRIBUTION SERVICES-AMS</v>
          </cell>
        </row>
        <row r="2565">
          <cell r="A2565" t="str">
            <v>A0671</v>
          </cell>
          <cell r="B2565" t="str">
            <v>TEST/REPAIR USED METERS - CIP</v>
          </cell>
          <cell r="C2565" t="str">
            <v>03V-DISTRIBUTION SERVICES-AMS</v>
          </cell>
        </row>
        <row r="2566">
          <cell r="A2566" t="str">
            <v>A0676</v>
          </cell>
          <cell r="B2566" t="str">
            <v>SENIOR VICE PRESIDENT CUSTOMER SRVS</v>
          </cell>
          <cell r="C2566" t="str">
            <v>022-GENERAL EXECUTIVE STAFF-AMS</v>
          </cell>
        </row>
        <row r="2567">
          <cell r="A2567" t="str">
            <v>A0677</v>
          </cell>
          <cell r="B2567" t="str">
            <v>SENIOR VICE PRESIDENT CUSTOMER SERV</v>
          </cell>
          <cell r="C2567" t="str">
            <v>022-GENERAL EXECUTIVE STAFF-AMS</v>
          </cell>
        </row>
        <row r="2568">
          <cell r="A2568" t="str">
            <v>A0678</v>
          </cell>
          <cell r="B2568" t="str">
            <v>SENIOR VICE PRESIDENT CUSTOMER SERV</v>
          </cell>
          <cell r="C2568" t="str">
            <v>022-GENERAL EXECUTIVE STAFF-AMS</v>
          </cell>
        </row>
        <row r="2569">
          <cell r="A2569" t="str">
            <v>A0679</v>
          </cell>
          <cell r="B2569" t="str">
            <v>TEST/REPAIR OTHER T&amp;D EQUIP-UEC-MO</v>
          </cell>
          <cell r="C2569" t="str">
            <v>03V-DISTRIBUTION SERVICES-AMS</v>
          </cell>
        </row>
        <row r="2570">
          <cell r="A2570" t="str">
            <v>A0681</v>
          </cell>
          <cell r="B2570" t="str">
            <v>TEST/REPAIR OTHER T&amp;D EQUIP-CIP</v>
          </cell>
          <cell r="C2570" t="str">
            <v>03V-DISTRIBUTION SERVICES-AMS</v>
          </cell>
        </row>
        <row r="2571">
          <cell r="A2571" t="str">
            <v>A0689</v>
          </cell>
          <cell r="B2571" t="str">
            <v>TEST/REPAIR PLANT METERS-RUSH I</v>
          </cell>
          <cell r="C2571" t="str">
            <v>03V-DISTRIBUTION SERVICES-AMS</v>
          </cell>
        </row>
        <row r="2572">
          <cell r="A2572" t="str">
            <v>A0696</v>
          </cell>
          <cell r="B2572" t="str">
            <v>ASST MGR CUSTOMER SERVICES AMUE</v>
          </cell>
          <cell r="C2572" t="str">
            <v>03W-CUSTOMER SERVICE-AMS</v>
          </cell>
        </row>
        <row r="2573">
          <cell r="A2573" t="str">
            <v>A0697</v>
          </cell>
          <cell r="B2573" t="str">
            <v>ASST MGR CUSTOMER SERVICES AMCIPS</v>
          </cell>
          <cell r="C2573" t="str">
            <v>03W-CUSTOMER SERVICE-AMS</v>
          </cell>
        </row>
        <row r="2574">
          <cell r="A2574" t="str">
            <v>A0698</v>
          </cell>
          <cell r="B2574" t="str">
            <v>ASST MGR CUSTOMER SERVICES ALLOC</v>
          </cell>
          <cell r="C2574" t="str">
            <v>03W-CUSTOMER SERVICE-AMS</v>
          </cell>
        </row>
        <row r="2575">
          <cell r="A2575" t="str">
            <v>A0699</v>
          </cell>
          <cell r="B2575" t="str">
            <v>PERFORM PROJT EVAL REVIEWS (ALLOC)</v>
          </cell>
          <cell r="C2575" t="str">
            <v>075-BANKING AND INVESTOR SERVICES</v>
          </cell>
        </row>
        <row r="2576">
          <cell r="A2576" t="str">
            <v>A0700</v>
          </cell>
          <cell r="B2576" t="str">
            <v>PERFRM PRJT EVAL REVS/BUS DEV (CIC)</v>
          </cell>
          <cell r="C2576" t="str">
            <v>075-BANKING AND INVESTOR SERVICES</v>
          </cell>
        </row>
        <row r="2577">
          <cell r="A2577" t="str">
            <v>A0701</v>
          </cell>
          <cell r="B2577" t="str">
            <v>PERFRM PRJT EVAL REVS/BUS DEV (UEC)</v>
          </cell>
          <cell r="C2577" t="str">
            <v>075-BANKING AND INVESTOR SERVICES</v>
          </cell>
        </row>
        <row r="2578">
          <cell r="A2578" t="str">
            <v>A0702</v>
          </cell>
          <cell r="B2578" t="str">
            <v>PERFRM PRJT EVAL REVS/BUS DEV (CIP)</v>
          </cell>
          <cell r="C2578" t="str">
            <v>075-BANKING AND INVESTOR SERVICES</v>
          </cell>
        </row>
        <row r="2579">
          <cell r="A2579" t="str">
            <v>A0703</v>
          </cell>
          <cell r="B2579" t="str">
            <v>PERFORM PROJT EVAL REVIEWS (UDC)</v>
          </cell>
          <cell r="C2579" t="str">
            <v>075-BANKING AND INVESTOR SERVICES</v>
          </cell>
        </row>
        <row r="2580">
          <cell r="A2580" t="str">
            <v>A0705</v>
          </cell>
          <cell r="B2580" t="str">
            <v>UPDATE&amp;MONITOR COSTOF CAPITAL-ALLOC</v>
          </cell>
          <cell r="C2580" t="str">
            <v>075-BANKING AND INVESTOR SERVICES</v>
          </cell>
        </row>
        <row r="2581">
          <cell r="A2581" t="str">
            <v>A0706</v>
          </cell>
          <cell r="B2581" t="str">
            <v>UPDATE&amp;MONITOR COSTOF CAPITAL (UE)</v>
          </cell>
          <cell r="C2581" t="str">
            <v>075-BANKING AND INVESTOR SERVICES</v>
          </cell>
        </row>
        <row r="2582">
          <cell r="A2582" t="str">
            <v>A0707</v>
          </cell>
          <cell r="B2582" t="str">
            <v>UPDATE&amp;MONITOR COSTOF CAPITAL (CIP)</v>
          </cell>
          <cell r="C2582" t="str">
            <v>075-BANKING AND INVESTOR SERVICES</v>
          </cell>
        </row>
        <row r="2583">
          <cell r="A2583" t="str">
            <v>A0710</v>
          </cell>
          <cell r="B2583" t="str">
            <v>ADMN&amp;MONITOR PERFORMNCE TRUST-ALLOC</v>
          </cell>
          <cell r="C2583" t="str">
            <v>07R-FINANCIAL PLANNING, INS &amp; RISK</v>
          </cell>
        </row>
        <row r="2584">
          <cell r="A2584" t="str">
            <v>A0711</v>
          </cell>
          <cell r="B2584" t="str">
            <v>ADMN&amp;MONITOR PERFORMANCE TRUSTS-UE</v>
          </cell>
          <cell r="C2584" t="str">
            <v>07R-FINANCIAL PLANNING, INS &amp; RISK</v>
          </cell>
        </row>
        <row r="2585">
          <cell r="A2585" t="str">
            <v>A0712</v>
          </cell>
          <cell r="B2585" t="str">
            <v>ADMN&amp;MONITOR PERFORMANCE TRUSTS-CIP</v>
          </cell>
          <cell r="C2585" t="str">
            <v>07R-FINANCIAL PLANNING, INS &amp; RISK</v>
          </cell>
        </row>
        <row r="2586">
          <cell r="A2586" t="str">
            <v>A0713</v>
          </cell>
          <cell r="B2586" t="str">
            <v>PERFORM PROJT EVAL REVIEWS (ERC)</v>
          </cell>
          <cell r="C2586" t="str">
            <v>075-BANKING AND INVESTOR SERVICES</v>
          </cell>
        </row>
        <row r="2587">
          <cell r="A2587" t="str">
            <v>A0715</v>
          </cell>
          <cell r="B2587" t="str">
            <v>ADMN&amp;MONITORPERFORM OF NDT TRUST-UE</v>
          </cell>
          <cell r="C2587" t="str">
            <v>07R-FINANCIAL PLANNING, INS &amp; RISK</v>
          </cell>
        </row>
        <row r="2588">
          <cell r="A2588" t="str">
            <v>A0720</v>
          </cell>
          <cell r="B2588" t="str">
            <v>END-USER TRANSPORTATION MGT (UE-MO)</v>
          </cell>
          <cell r="C2588" t="str">
            <v>0G2-GAS TECH SERVICES - AMS</v>
          </cell>
        </row>
        <row r="2589">
          <cell r="A2589" t="str">
            <v>A0722</v>
          </cell>
          <cell r="B2589" t="str">
            <v>GAS SUPT BUSINESS SYS - Illinois</v>
          </cell>
          <cell r="C2589" t="str">
            <v>0G2-GAS TECH SERVICES - AMS</v>
          </cell>
        </row>
        <row r="2590">
          <cell r="A2590" t="str">
            <v>A0726</v>
          </cell>
          <cell r="B2590" t="str">
            <v>RESEARCH &amp; DEV-COAL FIRED GEN.CAP.</v>
          </cell>
          <cell r="C2590" t="str">
            <v>047-RESEARCH &amp; DEVELOPMENT</v>
          </cell>
        </row>
        <row r="2591">
          <cell r="A2591" t="str">
            <v>A0727</v>
          </cell>
          <cell r="B2591" t="str">
            <v>AUDIT OF LABORATORY SERVICES - CIPS</v>
          </cell>
          <cell r="C2591" t="str">
            <v>05A-INTERNAL AUDIT</v>
          </cell>
        </row>
        <row r="2592">
          <cell r="A2592" t="str">
            <v>A0728</v>
          </cell>
          <cell r="B2592" t="str">
            <v>AUDIT OF ENERGY SUPPLY OPERATIONS</v>
          </cell>
          <cell r="C2592" t="str">
            <v>05A-INTERNAL AUDIT</v>
          </cell>
        </row>
        <row r="2593">
          <cell r="A2593" t="str">
            <v>A0730</v>
          </cell>
          <cell r="B2593" t="str">
            <v>STENOGRAPHIC CHARGES FOR AMEREN/UE</v>
          </cell>
          <cell r="C2593" t="str">
            <v>02E-HR - STAFFING</v>
          </cell>
        </row>
        <row r="2594">
          <cell r="A2594" t="str">
            <v>A0731</v>
          </cell>
          <cell r="B2594" t="str">
            <v>PERFORM PROJT EVAL REVIEWS (AME)</v>
          </cell>
          <cell r="C2594" t="str">
            <v>075-BANKING AND INVESTOR SERVICES</v>
          </cell>
        </row>
        <row r="2595">
          <cell r="A2595" t="str">
            <v>A0732</v>
          </cell>
          <cell r="B2595" t="str">
            <v>(DND)CORP COMM BY #CUST(E G MO IL)</v>
          </cell>
          <cell r="C2595" t="str">
            <v>001-CORPORATE COMMUNICATIONS</v>
          </cell>
        </row>
        <row r="2596">
          <cell r="A2596" t="str">
            <v>A0733</v>
          </cell>
          <cell r="B2596" t="str">
            <v>DEV-ED - WORKBENCH APPL SUPPORT</v>
          </cell>
          <cell r="C2596" t="str">
            <v>204-DEV - ENERGY DELIVERY</v>
          </cell>
        </row>
        <row r="2597">
          <cell r="A2597" t="str">
            <v>A0734</v>
          </cell>
          <cell r="B2597" t="str">
            <v>(DND)DIRECT ADV UE (E G MO IL)</v>
          </cell>
          <cell r="C2597" t="str">
            <v>001-CORPORATE COMMUNICATIONS</v>
          </cell>
        </row>
        <row r="2598">
          <cell r="A2598" t="str">
            <v>A0736</v>
          </cell>
          <cell r="B2598" t="str">
            <v>OFFICE SUPT, OFFICE SUPPL &amp; OTH-REG</v>
          </cell>
          <cell r="C2598" t="str">
            <v>048-TRANSMISSION SVCS BUSINESS CTR</v>
          </cell>
        </row>
        <row r="2599">
          <cell r="A2599" t="str">
            <v>A0737</v>
          </cell>
          <cell r="B2599" t="str">
            <v>(DND)DIRECT ADV CIPS (ELEC GAS IL)</v>
          </cell>
          <cell r="C2599" t="str">
            <v>001-CORPORATE COMMUNICATIONS</v>
          </cell>
        </row>
        <row r="2600">
          <cell r="A2600" t="str">
            <v>A0738</v>
          </cell>
          <cell r="B2600" t="str">
            <v>DATAOPS - AMERENENERGY</v>
          </cell>
          <cell r="C2600" t="str">
            <v>006-INF - DATA CENTER OPERATIONS</v>
          </cell>
        </row>
        <row r="2601">
          <cell r="A2601" t="str">
            <v>A0740</v>
          </cell>
          <cell r="B2601" t="str">
            <v>COMMUNITY RELATIONS - AMC</v>
          </cell>
          <cell r="C2601" t="str">
            <v>29C-COMMUNITY RELATIONS</v>
          </cell>
        </row>
        <row r="2602">
          <cell r="A2602" t="str">
            <v>A0741</v>
          </cell>
          <cell r="B2602" t="str">
            <v>COMM REL  UE (E/G)</v>
          </cell>
          <cell r="C2602" t="str">
            <v>29C-COMMUNITY RELATIONS</v>
          </cell>
        </row>
        <row r="2603">
          <cell r="A2603" t="str">
            <v>A0742</v>
          </cell>
          <cell r="B2603" t="str">
            <v>IT DEV - FIN - INDIRECT FUNCTIONAL</v>
          </cell>
          <cell r="C2603" t="str">
            <v>201-DEV - BUS &amp; CORP SVCS</v>
          </cell>
        </row>
        <row r="2604">
          <cell r="A2604" t="str">
            <v>A0743</v>
          </cell>
          <cell r="B2604" t="str">
            <v>COMM RELCIPS (ELEC/GAS IL)</v>
          </cell>
          <cell r="C2604" t="str">
            <v>29C-COMMUNITY RELATIONS</v>
          </cell>
        </row>
        <row r="2605">
          <cell r="A2605" t="str">
            <v>A0744</v>
          </cell>
          <cell r="B2605" t="str">
            <v>ALLOC EMP COMM (E/G)</v>
          </cell>
          <cell r="C2605" t="str">
            <v>001-CORPORATE COMMUNICATIONS</v>
          </cell>
        </row>
        <row r="2606">
          <cell r="A2606" t="str">
            <v>A0745</v>
          </cell>
          <cell r="B2606" t="str">
            <v>IR SUPPORT FOR AEG</v>
          </cell>
          <cell r="C2606" t="str">
            <v>057-LABOR STRATEGY</v>
          </cell>
        </row>
        <row r="2607">
          <cell r="A2607" t="str">
            <v>A0746</v>
          </cell>
          <cell r="B2607" t="str">
            <v>(DND)DIRECT PR UE (ELEC GAS MO IL)</v>
          </cell>
          <cell r="C2607" t="str">
            <v>001-CORPORATE COMMUNICATIONS</v>
          </cell>
        </row>
        <row r="2608">
          <cell r="A2608" t="str">
            <v>A0748</v>
          </cell>
          <cell r="B2608" t="str">
            <v>(DND)PR - CIPS (ELEC GAS IL)</v>
          </cell>
          <cell r="C2608" t="str">
            <v>001-CORPORATE COMMUNICATIONS</v>
          </cell>
        </row>
        <row r="2609">
          <cell r="A2609" t="str">
            <v>A0749</v>
          </cell>
          <cell r="B2609" t="str">
            <v>(DND)ALLOC PR (ELEC GAS MO IL)</v>
          </cell>
          <cell r="C2609" t="str">
            <v>001-CORPORATE COMMUNICATIONS</v>
          </cell>
        </row>
        <row r="2610">
          <cell r="A2610" t="str">
            <v>A0750</v>
          </cell>
          <cell r="B2610" t="str">
            <v>VIDEO MULTIMEDIA/AV SUPT-CORP COMM(</v>
          </cell>
          <cell r="C2610" t="str">
            <v>02V-EMPLOYEE COMMUNICATIONS</v>
          </cell>
        </row>
        <row r="2611">
          <cell r="A2611" t="str">
            <v>A0751</v>
          </cell>
          <cell r="B2611" t="str">
            <v>AUDIT OF UE ILLINOIS DISTRICT OPS</v>
          </cell>
          <cell r="C2611" t="str">
            <v>05A-INTERNAL AUDIT</v>
          </cell>
        </row>
        <row r="2612">
          <cell r="A2612" t="str">
            <v>A0752</v>
          </cell>
          <cell r="B2612" t="str">
            <v>SAFETY SUPERVISOR - AMEREN/CIPS</v>
          </cell>
          <cell r="C2612" t="str">
            <v>026-ED-SAFETY-UE</v>
          </cell>
        </row>
        <row r="2613">
          <cell r="A2613" t="str">
            <v>A0753</v>
          </cell>
          <cell r="B2613" t="str">
            <v>RISK MANAGEMENT - UE GAS SUPPLY</v>
          </cell>
          <cell r="C2613" t="str">
            <v>07Q-CORPORATE RISK MGMT</v>
          </cell>
        </row>
        <row r="2614">
          <cell r="A2614" t="str">
            <v>A0754</v>
          </cell>
          <cell r="B2614" t="str">
            <v>CORPORATE MEMBERSHIPS - AMEREN</v>
          </cell>
          <cell r="C2614" t="str">
            <v>096-CONTRIBUTIONS &amp; MEMBERSHIPS</v>
          </cell>
        </row>
        <row r="2615">
          <cell r="A2615" t="str">
            <v>A0755</v>
          </cell>
          <cell r="B2615" t="str">
            <v>CORPORATE MEMBERSHIPS - AMEREN/UE</v>
          </cell>
          <cell r="C2615" t="str">
            <v>096-CONTRIBUTIONS &amp; MEMBERSHIPS</v>
          </cell>
        </row>
        <row r="2616">
          <cell r="A2616" t="str">
            <v>A0756</v>
          </cell>
          <cell r="B2616" t="str">
            <v>MANAGER - CSD SUBST. &amp; TRANSM.-UEC</v>
          </cell>
          <cell r="C2616" t="str">
            <v>03M-SUB MTCE &amp; CONST-ENG &amp; ADMIN</v>
          </cell>
        </row>
        <row r="2617">
          <cell r="A2617" t="str">
            <v>A0757</v>
          </cell>
          <cell r="B2617" t="str">
            <v>RISK MANAGEMENT - CIPS GAS SUPPLY</v>
          </cell>
          <cell r="C2617" t="str">
            <v>07Q-CORPORATE RISK MGMT</v>
          </cell>
        </row>
        <row r="2618">
          <cell r="A2618" t="str">
            <v>A0758</v>
          </cell>
          <cell r="B2618" t="str">
            <v>CORPORATE MEMBERSHIPS - AMEREN/CIPS</v>
          </cell>
          <cell r="C2618" t="str">
            <v>096-CONTRIBUTIONS &amp; MEMBERSHIPS</v>
          </cell>
        </row>
        <row r="2619">
          <cell r="A2619" t="str">
            <v>A0759</v>
          </cell>
          <cell r="B2619" t="str">
            <v>ARES INFORMATION BILLING SYSTEM</v>
          </cell>
          <cell r="C2619" t="str">
            <v>204-DEV - ENERGY DELIVERY</v>
          </cell>
        </row>
        <row r="2620">
          <cell r="A2620" t="str">
            <v>A0760</v>
          </cell>
          <cell r="B2620" t="str">
            <v>PERFORM DAILY ERC BANKING &amp; ACTVS</v>
          </cell>
          <cell r="C2620" t="str">
            <v>075-BANKING AND INVESTOR SERVICES</v>
          </cell>
        </row>
        <row r="2621">
          <cell r="A2621" t="str">
            <v>A0762</v>
          </cell>
          <cell r="B2621" t="str">
            <v>COMM SVCS - AMEREN ENERGY</v>
          </cell>
          <cell r="C2621" t="str">
            <v>065-NEO - TELEPHONE SERVICES</v>
          </cell>
        </row>
        <row r="2622">
          <cell r="A2622" t="str">
            <v>A0763</v>
          </cell>
          <cell r="B2622" t="str">
            <v>MANAGER - CSD SUBST. &amp; TRANSM.-CIP</v>
          </cell>
          <cell r="C2622" t="str">
            <v>03M-SUB MTCE &amp; CONST-ENG &amp; ADMIN</v>
          </cell>
        </row>
        <row r="2623">
          <cell r="A2623" t="str">
            <v>A0764</v>
          </cell>
          <cell r="B2623" t="str">
            <v>SUBSTATION &amp; TRANSMISSION ALLOCATED</v>
          </cell>
          <cell r="C2623" t="str">
            <v>03M-SUB MTCE &amp; CONST-ENG &amp; ADMIN</v>
          </cell>
        </row>
        <row r="2624">
          <cell r="A2624" t="str">
            <v>A0767</v>
          </cell>
          <cell r="B2624" t="str">
            <v>VP CUSTOMER SERVICES DIVISION SUPPO</v>
          </cell>
          <cell r="C2624" t="str">
            <v>022-GENERAL EXECUTIVE STAFF-AMS</v>
          </cell>
        </row>
        <row r="2625">
          <cell r="A2625" t="str">
            <v>A0768</v>
          </cell>
          <cell r="B2625" t="str">
            <v>VP CUSTOMER SERVICES DIVISION SUPPO</v>
          </cell>
          <cell r="C2625" t="str">
            <v>022-GENERAL EXECUTIVE STAFF-AMS</v>
          </cell>
        </row>
        <row r="2626">
          <cell r="A2626" t="str">
            <v>A0769</v>
          </cell>
          <cell r="B2626" t="str">
            <v>VP CUSTOMER SERVICES DIVISION SUPPO</v>
          </cell>
          <cell r="C2626" t="str">
            <v>022-GENERAL EXECUTIVE STAFF-AMS</v>
          </cell>
        </row>
        <row r="2627">
          <cell r="A2627" t="str">
            <v>A0770</v>
          </cell>
          <cell r="B2627" t="str">
            <v>MANAGER - CSD OPERATIONS - UEC</v>
          </cell>
          <cell r="C2627" t="str">
            <v>03V-DISTRIBUTION SERVICES-AMS</v>
          </cell>
        </row>
        <row r="2628">
          <cell r="A2628" t="str">
            <v>A0772</v>
          </cell>
          <cell r="B2628" t="str">
            <v>MANAGER - CSD OPERATIONS - ALLOC</v>
          </cell>
          <cell r="C2628" t="str">
            <v>03V-DISTRIBUTION SERVICES-AMS</v>
          </cell>
        </row>
        <row r="2629">
          <cell r="A2629" t="str">
            <v>A0776</v>
          </cell>
          <cell r="B2629" t="str">
            <v>ED - CUSTOMER TRAINING - AMERENUE</v>
          </cell>
          <cell r="C2629" t="str">
            <v>025-ED-CUSTOMER TRAINING</v>
          </cell>
        </row>
        <row r="2630">
          <cell r="A2630" t="str">
            <v>A0777</v>
          </cell>
          <cell r="B2630" t="str">
            <v>MANAGER PERSONNEL DEV &amp; ADMIN - AME</v>
          </cell>
          <cell r="C2630" t="str">
            <v>025-ED-CUSTOMER TRAINING</v>
          </cell>
        </row>
        <row r="2631">
          <cell r="A2631" t="str">
            <v>A0778</v>
          </cell>
          <cell r="B2631" t="str">
            <v>ED - CUSTOMER TRAINING - ALLOCATED</v>
          </cell>
          <cell r="C2631" t="str">
            <v>025-ED-CUSTOMER TRAINING</v>
          </cell>
        </row>
        <row r="2632">
          <cell r="A2632" t="str">
            <v>A0779</v>
          </cell>
          <cell r="B2632" t="str">
            <v>PERFORM DAILY AME BANKING &amp; ACTVS</v>
          </cell>
          <cell r="C2632" t="str">
            <v>075-BANKING AND INVESTOR SERVICES</v>
          </cell>
        </row>
        <row r="2633">
          <cell r="A2633" t="str">
            <v>A0782</v>
          </cell>
          <cell r="B2633" t="str">
            <v>SYS RELAY - MANAGER - UE</v>
          </cell>
          <cell r="C2633" t="str">
            <v>090-SYSTEM RELAY SERVICES</v>
          </cell>
        </row>
        <row r="2634">
          <cell r="A2634" t="str">
            <v>A0787</v>
          </cell>
          <cell r="B2634" t="str">
            <v>PLACEMENT POOL - AMEREN/CIPS CUSTOM</v>
          </cell>
          <cell r="C2634" t="str">
            <v>02A-RESOURCE POOL</v>
          </cell>
        </row>
        <row r="2635">
          <cell r="A2635" t="str">
            <v>A0788</v>
          </cell>
          <cell r="B2635" t="str">
            <v>CLERICAL SPRT FOR UEC TROUBLE DEPT</v>
          </cell>
          <cell r="C2635" t="str">
            <v>03V-DISTRIBUTION SERVICES-AMS</v>
          </cell>
        </row>
        <row r="2636">
          <cell r="A2636" t="str">
            <v>A0789</v>
          </cell>
          <cell r="B2636" t="str">
            <v>AUDIT OF CUSTOMER BUSINESS OPS-CIPS</v>
          </cell>
          <cell r="C2636" t="str">
            <v>05A-INTERNAL AUDIT</v>
          </cell>
        </row>
        <row r="2637">
          <cell r="A2637" t="str">
            <v>A0790</v>
          </cell>
          <cell r="B2637" t="str">
            <v>SWO - UEDC PROP MGMT</v>
          </cell>
          <cell r="C2637" t="str">
            <v>061-REAL ESTATE</v>
          </cell>
        </row>
        <row r="2638">
          <cell r="A2638" t="str">
            <v>A0791</v>
          </cell>
          <cell r="B2638" t="str">
            <v>SECURITY SERVICES - ALLOCATED</v>
          </cell>
          <cell r="C2638" t="str">
            <v>039-SECURITY</v>
          </cell>
        </row>
        <row r="2639">
          <cell r="A2639" t="str">
            <v>A0792</v>
          </cell>
          <cell r="B2639" t="str">
            <v>AUDIT OF CONTROLLERS OPERATIONS</v>
          </cell>
          <cell r="C2639" t="str">
            <v>05A-INTERNAL AUDIT</v>
          </cell>
        </row>
        <row r="2640">
          <cell r="A2640" t="str">
            <v>A0794</v>
          </cell>
          <cell r="B2640" t="str">
            <v>ASH MANAGEMENT - AMEREN/UE</v>
          </cell>
          <cell r="C2640" t="str">
            <v>09M-GENERATION PROJECT ENGINEERING</v>
          </cell>
        </row>
        <row r="2641">
          <cell r="A2641" t="str">
            <v>A0796</v>
          </cell>
          <cell r="B2641" t="str">
            <v>ASH MANAGEMENT - GENCO</v>
          </cell>
          <cell r="C2641" t="str">
            <v>09M-GENERATION PROJECT ENGINEERING</v>
          </cell>
        </row>
        <row r="2642">
          <cell r="A2642" t="str">
            <v>A0797</v>
          </cell>
          <cell r="B2642" t="str">
            <v>RUSH ISLAND - TG FDN MONITORING</v>
          </cell>
          <cell r="C2642" t="str">
            <v>09M-GENERATION PROJECT ENGINEERING</v>
          </cell>
        </row>
        <row r="2643">
          <cell r="A2643" t="str">
            <v>A0798</v>
          </cell>
          <cell r="B2643" t="str">
            <v>CLERICAL SUPPORT FOR AMEREN/UE AMR</v>
          </cell>
          <cell r="C2643" t="str">
            <v>025-ED-CUSTOMER TRAINING</v>
          </cell>
        </row>
        <row r="2644">
          <cell r="A2644" t="str">
            <v>A0800</v>
          </cell>
          <cell r="B2644" t="str">
            <v>AMEREN ENERGY</v>
          </cell>
          <cell r="C2644" t="str">
            <v>024-LEGAL</v>
          </cell>
        </row>
        <row r="2645">
          <cell r="A2645" t="str">
            <v>A0802</v>
          </cell>
          <cell r="B2645" t="str">
            <v>SECURITY SERVICES FOR AMEREN ENERGY</v>
          </cell>
          <cell r="C2645" t="str">
            <v>039-SECURITY</v>
          </cell>
        </row>
        <row r="2646">
          <cell r="A2646" t="str">
            <v>A0803</v>
          </cell>
          <cell r="B2646" t="str">
            <v>SECRETARIAL &amp; ADMIN SUPPORT - ALT</v>
          </cell>
          <cell r="C2646" t="str">
            <v>022-GENERAL EXECUTIVE STAFF-AMS</v>
          </cell>
        </row>
        <row r="2647">
          <cell r="A2647" t="str">
            <v>A0804</v>
          </cell>
          <cell r="B2647" t="str">
            <v>PERFORM DAILY AEC BANKING &amp; ACTVS</v>
          </cell>
          <cell r="C2647" t="str">
            <v>075-BANKING AND INVESTOR SERVICES</v>
          </cell>
        </row>
        <row r="2648">
          <cell r="A2648" t="str">
            <v>A0805</v>
          </cell>
          <cell r="B2648" t="str">
            <v>DATAOPS - TRIS SYS SUPPORT</v>
          </cell>
          <cell r="C2648" t="str">
            <v>06E-SCP - DATA MANAGEMENT</v>
          </cell>
        </row>
        <row r="2649">
          <cell r="A2649" t="str">
            <v>A0807</v>
          </cell>
          <cell r="B2649" t="str">
            <v>RF BARCODING - DORSETT</v>
          </cell>
          <cell r="C2649" t="str">
            <v>201-DEV - BUS &amp; CORP SVCS</v>
          </cell>
        </row>
        <row r="2650">
          <cell r="A2650" t="str">
            <v>A0813</v>
          </cell>
          <cell r="B2650" t="str">
            <v>CLERICAL SUPPORT FOR GAS AMR PROJEC</v>
          </cell>
          <cell r="C2650" t="str">
            <v>025-ED-CUSTOMER TRAINING</v>
          </cell>
        </row>
        <row r="2651">
          <cell r="A2651" t="str">
            <v>A0814</v>
          </cell>
          <cell r="B2651" t="str">
            <v>AUDIT OF PGA OPS - Metro-ILLINOIS</v>
          </cell>
          <cell r="C2651" t="str">
            <v>05A-INTERNAL AUDIT</v>
          </cell>
        </row>
        <row r="2652">
          <cell r="A2652" t="str">
            <v>A0815</v>
          </cell>
          <cell r="B2652" t="str">
            <v>COMMUNICATION SERVICES - CTI/VRU</v>
          </cell>
          <cell r="C2652" t="str">
            <v>065-NEO - TELEPHONE SERVICES</v>
          </cell>
        </row>
        <row r="2653">
          <cell r="A2653" t="str">
            <v>A0816</v>
          </cell>
          <cell r="B2653" t="str">
            <v>COMM SERVICES - CTI/VRU UEC</v>
          </cell>
          <cell r="C2653" t="str">
            <v>065-NEO - TELEPHONE SERVICES</v>
          </cell>
        </row>
        <row r="2654">
          <cell r="A2654" t="str">
            <v>A0817</v>
          </cell>
          <cell r="B2654" t="str">
            <v>GAS SUPT METER SHOP ADMIN UE</v>
          </cell>
          <cell r="C2654" t="str">
            <v>0G2-GAS TECH SERVICES - AMS</v>
          </cell>
        </row>
        <row r="2655">
          <cell r="A2655" t="str">
            <v>A0819</v>
          </cell>
          <cell r="B2655" t="str">
            <v>AMEREN SERVICES ACCRUED VACATION LI</v>
          </cell>
          <cell r="C2655" t="str">
            <v>190-APPORTIONMENTS/SPECIAL ITEMS</v>
          </cell>
        </row>
        <row r="2656">
          <cell r="A2656" t="str">
            <v>A0820</v>
          </cell>
          <cell r="B2656" t="str">
            <v>COMM SERVICES - CTI/VRU -CIPS</v>
          </cell>
          <cell r="C2656" t="str">
            <v>065-NEO - TELEPHONE SERVICES</v>
          </cell>
        </row>
        <row r="2657">
          <cell r="A2657" t="str">
            <v>A0825</v>
          </cell>
          <cell r="B2657" t="str">
            <v>PENSION ADMINISTRATION DEV HR</v>
          </cell>
          <cell r="C2657" t="str">
            <v>201-DEV - BUS &amp; CORP SVCS</v>
          </cell>
        </row>
        <row r="2658">
          <cell r="A2658" t="str">
            <v>A0826</v>
          </cell>
          <cell r="B2658" t="str">
            <v>ENERGY PLUS PROGRAMS - AMEREN/UE</v>
          </cell>
          <cell r="C2658" t="str">
            <v>03W-CUSTOMER SERVICE-AMS</v>
          </cell>
        </row>
        <row r="2659">
          <cell r="A2659" t="str">
            <v>A0828</v>
          </cell>
          <cell r="B2659" t="str">
            <v>IMPLEMENT RETRO UNIONS</v>
          </cell>
          <cell r="C2659" t="str">
            <v>201-DEV - BUS &amp; CORP SVCS</v>
          </cell>
        </row>
        <row r="2660">
          <cell r="A2660" t="str">
            <v>A0833</v>
          </cell>
          <cell r="B2660" t="str">
            <v>ECONOMIC DEVELOPMENT SERVICES-CIP</v>
          </cell>
          <cell r="C2660" t="str">
            <v>016-ECONOMIC DEVELOPMENT</v>
          </cell>
        </row>
        <row r="2661">
          <cell r="A2661" t="str">
            <v>A0834</v>
          </cell>
          <cell r="B2661" t="str">
            <v>ENERGY PLUS PROGRAMS - AMEREN/CIPS</v>
          </cell>
          <cell r="C2661" t="str">
            <v>03W-CUSTOMER SERVICE-AMS</v>
          </cell>
        </row>
        <row r="2662">
          <cell r="A2662" t="str">
            <v>A0835</v>
          </cell>
          <cell r="B2662" t="str">
            <v>UNION ELECTRIC - GAS</v>
          </cell>
          <cell r="C2662" t="str">
            <v>024-LEGAL</v>
          </cell>
        </row>
        <row r="2663">
          <cell r="A2663" t="str">
            <v>A0837</v>
          </cell>
          <cell r="B2663" t="str">
            <v>ALLOCATED - REGULATORY - GAS IL</v>
          </cell>
          <cell r="C2663" t="str">
            <v>024-LEGAL</v>
          </cell>
        </row>
        <row r="2664">
          <cell r="A2664" t="str">
            <v>A0838</v>
          </cell>
          <cell r="B2664" t="str">
            <v>ALLOCATED-REGULATORY-GAS</v>
          </cell>
          <cell r="C2664" t="str">
            <v>024-LEGAL</v>
          </cell>
        </row>
        <row r="2665">
          <cell r="A2665" t="str">
            <v>A0839</v>
          </cell>
          <cell r="B2665" t="str">
            <v>ECONOMIC DEVELOPMENT SERVICES-UEC</v>
          </cell>
          <cell r="C2665" t="str">
            <v>016-ECONOMIC DEVELOPMENT</v>
          </cell>
        </row>
        <row r="2666">
          <cell r="A2666" t="str">
            <v>A0841</v>
          </cell>
          <cell r="B2666" t="str">
            <v>CIPS - GAS</v>
          </cell>
          <cell r="C2666" t="str">
            <v>024-LEGAL</v>
          </cell>
        </row>
        <row r="2667">
          <cell r="A2667" t="str">
            <v>A0850</v>
          </cell>
          <cell r="B2667" t="str">
            <v>HR ADMINISTRATIVE SUPPORT - INDIREC</v>
          </cell>
          <cell r="C2667" t="str">
            <v>02A-RESOURCE POOL</v>
          </cell>
        </row>
        <row r="2668">
          <cell r="A2668" t="str">
            <v>A0852</v>
          </cell>
          <cell r="B2668" t="str">
            <v>DEV,TRN,VIDEO/MULTIMEDIA-ALLOC (ELE</v>
          </cell>
          <cell r="C2668" t="str">
            <v>02V-EMPLOYEE COMMUNICATIONS</v>
          </cell>
        </row>
        <row r="2669">
          <cell r="A2669" t="str">
            <v>A0859</v>
          </cell>
          <cell r="B2669" t="str">
            <v>GENERAL RATE ENG-UEC-MO-GAS</v>
          </cell>
          <cell r="C2669" t="str">
            <v>29R-REGULATORY POLICY</v>
          </cell>
        </row>
        <row r="2670">
          <cell r="A2670" t="str">
            <v>A0861</v>
          </cell>
          <cell r="B2670" t="str">
            <v>MAINTAIN UE GAS ACCOUNTING RECORDS</v>
          </cell>
          <cell r="C2670" t="str">
            <v>004-ACCOUNTING</v>
          </cell>
        </row>
        <row r="2671">
          <cell r="A2671" t="str">
            <v>A0862</v>
          </cell>
          <cell r="B2671" t="str">
            <v>MAINTAIN CIP GAS ACCOUNTING RECORDS</v>
          </cell>
          <cell r="C2671" t="str">
            <v>004-ACCOUNTING</v>
          </cell>
        </row>
        <row r="2672">
          <cell r="A2672" t="str">
            <v>A0864</v>
          </cell>
          <cell r="B2672" t="str">
            <v>DEV,TRN,VIDEO/MULTIMEDIA-CIP (ELEC/</v>
          </cell>
          <cell r="C2672" t="str">
            <v>02V-EMPLOYEE COMMUNICATIONS</v>
          </cell>
        </row>
        <row r="2673">
          <cell r="A2673" t="str">
            <v>A0865</v>
          </cell>
          <cell r="B2673" t="str">
            <v>DEV,TRN,VIDEO/MULTIMEDIA-UEC(ELEC/G</v>
          </cell>
          <cell r="C2673" t="str">
            <v>02V-EMPLOYEE COMMUNICATIONS</v>
          </cell>
        </row>
        <row r="2674">
          <cell r="A2674" t="str">
            <v>A0866</v>
          </cell>
          <cell r="B2674" t="str">
            <v>RENT FOR AMEREN SERVICES EMPLOYEES</v>
          </cell>
          <cell r="C2674" t="str">
            <v>190-APPORTIONMENTS/SPECIAL ITEMS</v>
          </cell>
        </row>
        <row r="2675">
          <cell r="A2675" t="str">
            <v>A0868</v>
          </cell>
          <cell r="B2675" t="str">
            <v>MO. P. S. C. RETAIL ELEC. COMPETITI</v>
          </cell>
          <cell r="C2675" t="str">
            <v>022-GENERAL EXECUTIVE STAFF-AMS</v>
          </cell>
        </row>
        <row r="2676">
          <cell r="A2676" t="str">
            <v>A0869</v>
          </cell>
          <cell r="B2676" t="str">
            <v>ADMIN &amp; PLNG WORK-COMM &amp; TRNG SVC (</v>
          </cell>
          <cell r="C2676" t="str">
            <v>02V-EMPLOYEE COMMUNICATIONS</v>
          </cell>
        </row>
        <row r="2677">
          <cell r="A2677" t="str">
            <v>A0871</v>
          </cell>
          <cell r="B2677" t="str">
            <v>E-MAIL REPLACEMENT PROJECT(ELEC/GAS</v>
          </cell>
          <cell r="C2677" t="str">
            <v>006-INF - DATA CENTER OPERATIONS</v>
          </cell>
        </row>
        <row r="2678">
          <cell r="A2678" t="str">
            <v>A0877</v>
          </cell>
          <cell r="B2678" t="str">
            <v>AUDIT OF AMEREN ENERGY</v>
          </cell>
          <cell r="C2678" t="str">
            <v>05A-INTERNAL AUDIT</v>
          </cell>
        </row>
        <row r="2679">
          <cell r="A2679" t="str">
            <v>A0878</v>
          </cell>
          <cell r="B2679" t="str">
            <v>COMP ADMIN - CONTRACT EMPS</v>
          </cell>
          <cell r="C2679" t="str">
            <v>02P-HR - TOTAL REWARDS</v>
          </cell>
        </row>
        <row r="2680">
          <cell r="A2680" t="str">
            <v>A0880</v>
          </cell>
          <cell r="B2680" t="str">
            <v>MIDWEST ISO EXPENSES</v>
          </cell>
          <cell r="C2680" t="str">
            <v>042-TRANSMISSION OPERATIONS</v>
          </cell>
        </row>
        <row r="2681">
          <cell r="A2681" t="str">
            <v>A0881</v>
          </cell>
          <cell r="B2681" t="str">
            <v>ENERGY SUPPLY DEPT SERVICES FOR AME</v>
          </cell>
          <cell r="C2681" t="str">
            <v>042-TRANSMISSION OPERATIONS</v>
          </cell>
        </row>
        <row r="2682">
          <cell r="A2682" t="str">
            <v>A0882</v>
          </cell>
          <cell r="B2682" t="str">
            <v>MAINTAIN PUCHA REGULATORY FILING</v>
          </cell>
          <cell r="C2682" t="str">
            <v>04C-FINANCIAL COMMUNICATIONS</v>
          </cell>
        </row>
        <row r="2683">
          <cell r="A2683" t="str">
            <v>A0886</v>
          </cell>
          <cell r="B2683" t="str">
            <v>TRAIN, CONSULT &amp; DEVELOP-AMENERGY</v>
          </cell>
          <cell r="C2683" t="str">
            <v>02T-HR - ORGANIZATION EFFECTIVENESS</v>
          </cell>
        </row>
        <row r="2684">
          <cell r="A2684" t="str">
            <v>A0887</v>
          </cell>
          <cell r="B2684" t="str">
            <v>PROVIDE SVCS TO BFT TOTAL CO-AME</v>
          </cell>
          <cell r="C2684" t="str">
            <v>02E-HR - STAFFING</v>
          </cell>
        </row>
        <row r="2685">
          <cell r="A2685" t="str">
            <v>A0889</v>
          </cell>
          <cell r="B2685" t="str">
            <v>AUDIT OF NON-REG ENTERPRISES-ERC</v>
          </cell>
          <cell r="C2685" t="str">
            <v>05A-INTERNAL AUDIT</v>
          </cell>
        </row>
        <row r="2686">
          <cell r="A2686" t="str">
            <v>A0894</v>
          </cell>
          <cell r="B2686" t="str">
            <v>MAINTAIN SERVICE REQUEST RECORDS</v>
          </cell>
          <cell r="C2686" t="str">
            <v>04R-REGULATORY ACCOUNTING</v>
          </cell>
        </row>
        <row r="2687">
          <cell r="A2687" t="str">
            <v>A0896</v>
          </cell>
          <cell r="B2687" t="str">
            <v>GOVERNMENTAL AFFAIRS - AMERENUE</v>
          </cell>
          <cell r="C2687" t="str">
            <v>157-GOVERNMENT RELATIONS</v>
          </cell>
        </row>
        <row r="2688">
          <cell r="A2688" t="str">
            <v>A0897</v>
          </cell>
          <cell r="B2688" t="str">
            <v>GOVERNMENTAL AFFAIRS - AMERENCIPS</v>
          </cell>
          <cell r="C2688" t="str">
            <v>157-GOVERNMENT RELATIONS</v>
          </cell>
        </row>
        <row r="2689">
          <cell r="A2689" t="str">
            <v>A0898</v>
          </cell>
          <cell r="B2689" t="str">
            <v>GOVERNMENTAL AFFAIRS - ALLOCATED</v>
          </cell>
          <cell r="C2689" t="str">
            <v>157-GOVERNMENT RELATIONS</v>
          </cell>
        </row>
        <row r="2690">
          <cell r="A2690" t="str">
            <v>A0902</v>
          </cell>
          <cell r="B2690" t="str">
            <v>LABOR-AMEREN ENERGY</v>
          </cell>
          <cell r="C2690" t="str">
            <v>07V-BUILDING SERVICES-AMS</v>
          </cell>
        </row>
        <row r="2691">
          <cell r="A2691" t="str">
            <v>A0904</v>
          </cell>
          <cell r="B2691" t="str">
            <v>PROVIDE SVCS TO BFT TOTAL CO-AFS</v>
          </cell>
          <cell r="C2691" t="str">
            <v>02E-HR - STAFFING</v>
          </cell>
        </row>
        <row r="2692">
          <cell r="A2692" t="str">
            <v>A0906</v>
          </cell>
          <cell r="B2692" t="str">
            <v>TRAIN, CONSULT &amp; DEVELOP-AECOMM</v>
          </cell>
          <cell r="C2692" t="str">
            <v>02T-HR - ORGANIZATION EFFECTIVENESS</v>
          </cell>
        </row>
        <row r="2693">
          <cell r="A2693" t="str">
            <v>A0910</v>
          </cell>
          <cell r="B2693" t="str">
            <v>IT DEV HR COSTS - DIRECT TO AE</v>
          </cell>
          <cell r="C2693" t="str">
            <v>201-DEV - BUS &amp; CORP SVCS</v>
          </cell>
        </row>
        <row r="2694">
          <cell r="A2694" t="str">
            <v>A0912</v>
          </cell>
          <cell r="B2694" t="str">
            <v>COMPENSATION ADMINISTRATION - AEC</v>
          </cell>
          <cell r="C2694" t="str">
            <v>02P-HR - TOTAL REWARDS</v>
          </cell>
        </row>
        <row r="2695">
          <cell r="A2695" t="str">
            <v>A0926</v>
          </cell>
          <cell r="B2695" t="str">
            <v>VOLUNTARY CURTAILMENT PROGRAM</v>
          </cell>
          <cell r="C2695" t="str">
            <v>020-ED PRODUCTS &amp; SERVICES</v>
          </cell>
        </row>
        <row r="2696">
          <cell r="A2696" t="str">
            <v>A0936</v>
          </cell>
          <cell r="B2696" t="str">
            <v>SOFTWARE DEPRECIATION FOR RETRO PRO</v>
          </cell>
          <cell r="C2696" t="str">
            <v>201-DEV - BUS &amp; CORP SVCS</v>
          </cell>
        </row>
        <row r="2697">
          <cell r="A2697" t="str">
            <v>A0940</v>
          </cell>
          <cell r="B2697" t="str">
            <v>SW DEPRECIATION FOR THE IL DEREG</v>
          </cell>
          <cell r="C2697" t="str">
            <v>204-DEV - ENERGY DELIVERY</v>
          </cell>
        </row>
        <row r="2698">
          <cell r="A2698" t="str">
            <v>A0948</v>
          </cell>
          <cell r="B2698" t="str">
            <v>NUCLEAR FUEL ACCOUNTING</v>
          </cell>
          <cell r="C2698" t="str">
            <v>004-ACCOUNTING</v>
          </cell>
        </row>
        <row r="2699">
          <cell r="A2699" t="str">
            <v>A0950</v>
          </cell>
          <cell r="B2699" t="str">
            <v>MAINTAIN IHC ACCTG RECORDS</v>
          </cell>
          <cell r="C2699" t="str">
            <v>004-ACCOUNTING</v>
          </cell>
        </row>
        <row r="2700">
          <cell r="A2700" t="str">
            <v>A0953</v>
          </cell>
          <cell r="B2700" t="str">
            <v>ARES BUSINESS CENTER, ILLINOIS DERE</v>
          </cell>
          <cell r="C2700" t="str">
            <v>048-TRANSMISSION SVCS BUSINESS CTR</v>
          </cell>
        </row>
        <row r="2701">
          <cell r="A2701" t="str">
            <v>A0954</v>
          </cell>
          <cell r="B2701" t="str">
            <v>APPLICATIONS - ACCOUNTS PAYABLE</v>
          </cell>
          <cell r="C2701" t="str">
            <v>202-DEV - OPERATIONS</v>
          </cell>
        </row>
        <row r="2702">
          <cell r="A2702" t="str">
            <v>A0955</v>
          </cell>
          <cell r="B2702" t="str">
            <v>APPLICATIONS - REAL ESTATE</v>
          </cell>
          <cell r="C2702" t="str">
            <v>201-DEV - BUS &amp; CORP SVCS</v>
          </cell>
        </row>
        <row r="2703">
          <cell r="A2703" t="str">
            <v>A0957</v>
          </cell>
          <cell r="B2703" t="str">
            <v>APPL - BUDGET/MANAGEMENT REPORTING</v>
          </cell>
          <cell r="C2703" t="str">
            <v>201-DEV - BUS &amp; CORP SVCS</v>
          </cell>
        </row>
        <row r="2704">
          <cell r="A2704" t="str">
            <v>A0958</v>
          </cell>
          <cell r="B2704" t="str">
            <v>APPLICATIONS - GENERAL LEDGER</v>
          </cell>
          <cell r="C2704" t="str">
            <v>201-DEV - BUS &amp; CORP SVCS</v>
          </cell>
        </row>
        <row r="2705">
          <cell r="A2705" t="str">
            <v>A0959</v>
          </cell>
          <cell r="B2705" t="str">
            <v>APPL - GEN - DEVELOPMENT FINANCE</v>
          </cell>
          <cell r="C2705" t="str">
            <v>201-DEV - BUS &amp; CORP SVCS</v>
          </cell>
        </row>
        <row r="2706">
          <cell r="A2706" t="str">
            <v>A0960</v>
          </cell>
          <cell r="B2706" t="str">
            <v>APPLICATIONS - ASSET MANAGEMENT</v>
          </cell>
          <cell r="C2706" t="str">
            <v>201-DEV - BUS &amp; CORP SVCS</v>
          </cell>
        </row>
        <row r="2707">
          <cell r="A2707" t="str">
            <v>A0961</v>
          </cell>
          <cell r="B2707" t="str">
            <v>APPLICATIONS - INVESTOR SERVICES</v>
          </cell>
          <cell r="C2707" t="str">
            <v>201-DEV - BUS &amp; CORP SVCS</v>
          </cell>
        </row>
        <row r="2708">
          <cell r="A2708" t="str">
            <v>A0962</v>
          </cell>
          <cell r="B2708" t="str">
            <v>APPL - MATERIAL MANAGEMENT SYS</v>
          </cell>
          <cell r="C2708" t="str">
            <v>201-DEV - BUS &amp; CORP SVCS</v>
          </cell>
        </row>
        <row r="2709">
          <cell r="A2709" t="str">
            <v>A0963</v>
          </cell>
          <cell r="B2709" t="str">
            <v>APPLICATIONS - TAX</v>
          </cell>
          <cell r="C2709" t="str">
            <v>201-DEV - BUS &amp; CORP SVCS</v>
          </cell>
        </row>
        <row r="2710">
          <cell r="A2710" t="str">
            <v>A0964</v>
          </cell>
          <cell r="B2710" t="str">
            <v>APPLICATIONS - WORK ORDER</v>
          </cell>
          <cell r="C2710" t="str">
            <v>201-DEV - BUS &amp; CORP SVCS</v>
          </cell>
        </row>
        <row r="2711">
          <cell r="A2711" t="str">
            <v>A0966</v>
          </cell>
          <cell r="B2711" t="str">
            <v>APPLICATIONS - GENERAL - DEV OPS</v>
          </cell>
          <cell r="C2711" t="str">
            <v>202-DEV - OPERATIONS</v>
          </cell>
        </row>
        <row r="2712">
          <cell r="A2712" t="str">
            <v>A0967</v>
          </cell>
          <cell r="B2712" t="str">
            <v>APPLICATIONS GENERAL - DEV HR</v>
          </cell>
          <cell r="C2712" t="str">
            <v>201-DEV - BUS &amp; CORP SVCS</v>
          </cell>
        </row>
        <row r="2713">
          <cell r="A2713" t="str">
            <v>A0968</v>
          </cell>
          <cell r="B2713" t="str">
            <v>IT DEVL - ED APPL GENERAL</v>
          </cell>
          <cell r="C2713" t="str">
            <v>204-DEV - ENERGY DELIVERY</v>
          </cell>
        </row>
        <row r="2714">
          <cell r="A2714" t="str">
            <v>A0974</v>
          </cell>
          <cell r="B2714" t="str">
            <v>INT IT SYS SUPPORT - DEV FINANCE</v>
          </cell>
          <cell r="C2714" t="str">
            <v>201-DEV - BUS &amp; CORP SVCS</v>
          </cell>
        </row>
        <row r="2715">
          <cell r="A2715" t="str">
            <v>A0975</v>
          </cell>
          <cell r="B2715" t="str">
            <v>INTERNAL IT SYSTEMS SUPPORT-DEV OPS</v>
          </cell>
          <cell r="C2715" t="str">
            <v>202-DEV - OPERATIONS</v>
          </cell>
        </row>
        <row r="2716">
          <cell r="A2716" t="str">
            <v>A0980</v>
          </cell>
          <cell r="B2716" t="str">
            <v>INTERNAL IT SYSTEMS SUPPORT - TELEC</v>
          </cell>
          <cell r="C2716" t="str">
            <v>065-NEO - TELEPHONE SERVICES</v>
          </cell>
        </row>
        <row r="2717">
          <cell r="A2717" t="str">
            <v>A0981</v>
          </cell>
          <cell r="B2717" t="str">
            <v>INTERNAL IT SYS SUPPT-DATA OPER (EL</v>
          </cell>
          <cell r="C2717" t="str">
            <v>06C-INF - STL CENTRAL SERVER OPS</v>
          </cell>
        </row>
        <row r="2718">
          <cell r="A2718" t="str">
            <v>A0983</v>
          </cell>
          <cell r="B2718" t="str">
            <v>APPLICATIONS - CLAIMS MANAGEMENT</v>
          </cell>
          <cell r="C2718" t="str">
            <v>201-DEV - BUS &amp; CORP SVCS</v>
          </cell>
        </row>
        <row r="2719">
          <cell r="A2719" t="str">
            <v>A0985</v>
          </cell>
          <cell r="B2719" t="str">
            <v>APPLICATIONS - CORPORATE MODEL</v>
          </cell>
          <cell r="C2719" t="str">
            <v>201-DEV - BUS &amp; CORP SVCS</v>
          </cell>
        </row>
        <row r="2720">
          <cell r="A2720" t="str">
            <v>A0986</v>
          </cell>
          <cell r="B2720" t="str">
            <v>APPL - SERVICE REQUEST SYSTEM</v>
          </cell>
          <cell r="C2720" t="str">
            <v>201-DEV - BUS &amp; CORP SVCS</v>
          </cell>
        </row>
        <row r="2721">
          <cell r="A2721" t="str">
            <v>A0987</v>
          </cell>
          <cell r="B2721" t="str">
            <v>APPLICATIONS - PAYROLL DISTRIBUTION</v>
          </cell>
          <cell r="C2721" t="str">
            <v>201-DEV - BUS &amp; CORP SVCS</v>
          </cell>
        </row>
        <row r="2722">
          <cell r="A2722" t="str">
            <v>A0988</v>
          </cell>
          <cell r="B2722" t="str">
            <v>HELPDESK, PCS &amp; ERIPHERALS</v>
          </cell>
          <cell r="C2722" t="str">
            <v>06B-INF - ENTERPRISE COMPUTING SERV</v>
          </cell>
        </row>
        <row r="2723">
          <cell r="A2723" t="str">
            <v>A0992</v>
          </cell>
          <cell r="B2723" t="str">
            <v>BENEFITS SUPPORT - DEVELOPMENT HR</v>
          </cell>
          <cell r="C2723" t="str">
            <v>201-DEV - BUS &amp; CORP SVCS</v>
          </cell>
        </row>
        <row r="2724">
          <cell r="A2724" t="str">
            <v>A0993</v>
          </cell>
          <cell r="B2724" t="str">
            <v>HUMAN RESOURCES SUPPORT-DEV HR</v>
          </cell>
          <cell r="C2724" t="str">
            <v>201-DEV - BUS &amp; CORP SVCS</v>
          </cell>
        </row>
        <row r="2725">
          <cell r="A2725" t="str">
            <v>A0994</v>
          </cell>
          <cell r="B2725" t="str">
            <v>PAYROLL SUPPORT - DEVELOPMENT HR</v>
          </cell>
          <cell r="C2725" t="str">
            <v>201-DEV - BUS &amp; CORP SVCS</v>
          </cell>
        </row>
        <row r="2726">
          <cell r="A2726" t="str">
            <v>A0999</v>
          </cell>
          <cell r="B2726" t="str">
            <v>INDUSTRIAL RELATIONS - DEV HR</v>
          </cell>
          <cell r="C2726" t="str">
            <v>201-DEV - BUS &amp; CORP SVCS</v>
          </cell>
        </row>
        <row r="2727">
          <cell r="A2727" t="str">
            <v>A1000</v>
          </cell>
          <cell r="B2727" t="str">
            <v>WORKFORCE MANAGEMENT FOR CALL CENTE</v>
          </cell>
          <cell r="C2727" t="str">
            <v>204-DEV - ENERGY DELIVERY</v>
          </cell>
        </row>
        <row r="2728">
          <cell r="A2728" t="str">
            <v>A1001</v>
          </cell>
          <cell r="B2728" t="str">
            <v>CIPS GENCO SUPPORT - DEVELOPMENT HR</v>
          </cell>
          <cell r="C2728" t="str">
            <v>201-DEV - BUS &amp; CORP SVCS</v>
          </cell>
        </row>
        <row r="2729">
          <cell r="A2729" t="str">
            <v>A1002</v>
          </cell>
          <cell r="B2729" t="str">
            <v>INTERNET/INTRANET FOR ED</v>
          </cell>
          <cell r="C2729" t="str">
            <v>204-DEV - ENERGY DELIVERY</v>
          </cell>
        </row>
        <row r="2730">
          <cell r="A2730" t="str">
            <v>A1005</v>
          </cell>
          <cell r="B2730" t="str">
            <v>AMR - IT DEVL ED</v>
          </cell>
          <cell r="C2730" t="str">
            <v>204-DEV - ENERGY DELIVERY</v>
          </cell>
        </row>
        <row r="2731">
          <cell r="A2731" t="str">
            <v>A1006</v>
          </cell>
          <cell r="B2731" t="str">
            <v>CIPS T&amp;D SUPT - DEVL ED</v>
          </cell>
          <cell r="C2731" t="str">
            <v>204-DEV - ENERGY DELIVERY</v>
          </cell>
        </row>
        <row r="2732">
          <cell r="A2732" t="str">
            <v>A1007</v>
          </cell>
          <cell r="B2732" t="str">
            <v>UE T&amp;D SUPT - DEVL ED</v>
          </cell>
          <cell r="C2732" t="str">
            <v>204-DEV - ENERGY DELIVERY</v>
          </cell>
        </row>
        <row r="2733">
          <cell r="A2733" t="str">
            <v>A1008</v>
          </cell>
          <cell r="B2733" t="str">
            <v>MV90 - IT DEVL ED</v>
          </cell>
          <cell r="C2733" t="str">
            <v>204-DEV - ENERGY DELIVERY</v>
          </cell>
        </row>
        <row r="2734">
          <cell r="A2734" t="str">
            <v>A1009</v>
          </cell>
          <cell r="B2734" t="str">
            <v>DOJM - IT DEVL ED</v>
          </cell>
          <cell r="C2734" t="str">
            <v>204-DEV - ENERGY DELIVERY</v>
          </cell>
        </row>
        <row r="2735">
          <cell r="A2735" t="str">
            <v>A1013</v>
          </cell>
          <cell r="B2735" t="str">
            <v>MVRS - IT DEVL ED</v>
          </cell>
          <cell r="C2735" t="str">
            <v>204-DEV - ENERGY DELIVERY</v>
          </cell>
        </row>
        <row r="2736">
          <cell r="A2736" t="str">
            <v>A1014</v>
          </cell>
          <cell r="B2736" t="str">
            <v>OAS - IT DEVL ED</v>
          </cell>
          <cell r="C2736" t="str">
            <v>204-DEV - ENERGY DELIVERY</v>
          </cell>
        </row>
        <row r="2737">
          <cell r="A2737" t="str">
            <v>A1015</v>
          </cell>
          <cell r="B2737" t="str">
            <v>DEREG APPS - IT DEVL ED</v>
          </cell>
          <cell r="C2737" t="str">
            <v>204-DEV - ENERGY DELIVERY</v>
          </cell>
        </row>
        <row r="2738">
          <cell r="A2738" t="str">
            <v>A1017</v>
          </cell>
          <cell r="B2738" t="str">
            <v>TLM - IT DEVL ED</v>
          </cell>
          <cell r="C2738" t="str">
            <v>204-DEV - ENERGY DELIVERY</v>
          </cell>
        </row>
        <row r="2739">
          <cell r="A2739" t="str">
            <v>A1019</v>
          </cell>
          <cell r="B2739" t="str">
            <v>ARCHITECTURE SUPPORT FOR ENTERPRISE</v>
          </cell>
          <cell r="C2739" t="str">
            <v>060-SCP - PLANNING</v>
          </cell>
        </row>
        <row r="2740">
          <cell r="A2740" t="str">
            <v>A1023</v>
          </cell>
          <cell r="B2740" t="str">
            <v>EAD DISASTER RECOVERY</v>
          </cell>
          <cell r="C2740" t="str">
            <v>006-INF - DATA CENTER OPERATIONS</v>
          </cell>
        </row>
        <row r="2741">
          <cell r="A2741" t="str">
            <v>A1024</v>
          </cell>
          <cell r="B2741" t="str">
            <v>DATAOPS - EDI AND FTP SERVICES</v>
          </cell>
          <cell r="C2741" t="str">
            <v>006-INF - DATA CENTER OPERATIONS</v>
          </cell>
        </row>
        <row r="2742">
          <cell r="A2742" t="str">
            <v>A1025</v>
          </cell>
          <cell r="B2742" t="str">
            <v>BCS-DEVELOP-DELIVER TRAINING</v>
          </cell>
          <cell r="C2742" t="str">
            <v>06J-CSF - ASC CUSTOMER SERVICES</v>
          </cell>
        </row>
        <row r="2743">
          <cell r="A2743" t="str">
            <v>A1026</v>
          </cell>
          <cell r="B2743" t="str">
            <v>TELECOM AUTOMATED METR READING CIPS</v>
          </cell>
          <cell r="C2743" t="str">
            <v>065-NEO - TELEPHONE SERVICES</v>
          </cell>
        </row>
        <row r="2744">
          <cell r="A2744" t="str">
            <v>A1027</v>
          </cell>
          <cell r="B2744" t="str">
            <v>TELECOM AUTOMATED METER READING UEC</v>
          </cell>
          <cell r="C2744" t="str">
            <v>065-NEO - TELEPHONE SERVICES</v>
          </cell>
        </row>
        <row r="2745">
          <cell r="A2745" t="str">
            <v>A1028</v>
          </cell>
          <cell r="B2745" t="str">
            <v>TELEOCM AUTOMATED METER READING UDC</v>
          </cell>
          <cell r="C2745" t="str">
            <v>065-NEO - TELEPHONE SERVICES</v>
          </cell>
        </row>
        <row r="2746">
          <cell r="A2746" t="str">
            <v>A1029</v>
          </cell>
          <cell r="B2746" t="str">
            <v>TELECOM LAN/WAN NETWORK INFRA</v>
          </cell>
          <cell r="C2746" t="str">
            <v>065-NEO - TELEPHONE SERVICES</v>
          </cell>
        </row>
        <row r="2747">
          <cell r="A2747" t="str">
            <v>A1030</v>
          </cell>
          <cell r="B2747" t="str">
            <v>TELEPHONES CIPS - TELECOM</v>
          </cell>
          <cell r="C2747" t="str">
            <v>065-NEO - TELEPHONE SERVICES</v>
          </cell>
        </row>
        <row r="2748">
          <cell r="A2748" t="str">
            <v>A1031</v>
          </cell>
          <cell r="B2748" t="str">
            <v>TELEPHONE SERVICES UEC - TELECOM</v>
          </cell>
          <cell r="C2748" t="str">
            <v>065-NEO - TELEPHONE SERVICES</v>
          </cell>
        </row>
        <row r="2749">
          <cell r="A2749" t="str">
            <v>A1032</v>
          </cell>
          <cell r="B2749" t="str">
            <v>TELECOM SVC FOR GENCO</v>
          </cell>
          <cell r="C2749" t="str">
            <v>065-NEO - TELEPHONE SERVICES</v>
          </cell>
        </row>
        <row r="2750">
          <cell r="A2750" t="str">
            <v>A1033</v>
          </cell>
          <cell r="B2750" t="str">
            <v>TRUNKED RADIO - UEC - TELECOM</v>
          </cell>
          <cell r="C2750" t="str">
            <v>065-NEO - TELEPHONE SERVICES</v>
          </cell>
        </row>
        <row r="2751">
          <cell r="A2751" t="str">
            <v>A1034</v>
          </cell>
          <cell r="B2751" t="str">
            <v>VIDEO CONFERENCING - CIPS - TELECOM</v>
          </cell>
          <cell r="C2751" t="str">
            <v>065-NEO - TELEPHONE SERVICES</v>
          </cell>
        </row>
        <row r="2752">
          <cell r="A2752" t="str">
            <v>A1035</v>
          </cell>
          <cell r="B2752" t="str">
            <v>VIDEO CONFERENCING - UEC - TELECOM</v>
          </cell>
          <cell r="C2752" t="str">
            <v>065-NEO - TELEPHONE SERVICES</v>
          </cell>
        </row>
        <row r="2753">
          <cell r="A2753" t="str">
            <v>A1036</v>
          </cell>
          <cell r="B2753" t="str">
            <v>CELL PHONES - AMS - TELECOM</v>
          </cell>
          <cell r="C2753" t="str">
            <v>065-NEO - TELEPHONE SERVICES</v>
          </cell>
        </row>
        <row r="2754">
          <cell r="A2754" t="str">
            <v>A1037</v>
          </cell>
          <cell r="B2754" t="str">
            <v>CELL PHONES - CIPS - TELECOM</v>
          </cell>
          <cell r="C2754" t="str">
            <v>065-NEO - TELEPHONE SERVICES</v>
          </cell>
        </row>
        <row r="2755">
          <cell r="A2755" t="str">
            <v>A1038</v>
          </cell>
          <cell r="B2755" t="str">
            <v>CELL PHONES - UEC - TELECOM</v>
          </cell>
          <cell r="C2755" t="str">
            <v>065-NEO - TELEPHONE SERVICES</v>
          </cell>
        </row>
        <row r="2756">
          <cell r="A2756" t="str">
            <v>A1039</v>
          </cell>
          <cell r="B2756" t="str">
            <v>PAGERS - AMS - TELECOM</v>
          </cell>
          <cell r="C2756" t="str">
            <v>065-NEO - TELEPHONE SERVICES</v>
          </cell>
        </row>
        <row r="2757">
          <cell r="A2757" t="str">
            <v>A1040</v>
          </cell>
          <cell r="B2757" t="str">
            <v>PAGERS - CIPS - TELECOM</v>
          </cell>
          <cell r="C2757" t="str">
            <v>065-NEO - TELEPHONE SERVICES</v>
          </cell>
        </row>
        <row r="2758">
          <cell r="A2758" t="str">
            <v>A1041</v>
          </cell>
          <cell r="B2758" t="str">
            <v>PAGER SYSTEM - UEC - TELECOM</v>
          </cell>
          <cell r="C2758" t="str">
            <v>065-NEO - TELEPHONE SERVICES</v>
          </cell>
        </row>
        <row r="2759">
          <cell r="A2759" t="str">
            <v>A1042</v>
          </cell>
          <cell r="B2759" t="str">
            <v>TELECOM NETWORK - CIPS - TELECOM</v>
          </cell>
          <cell r="C2759" t="str">
            <v>065-NEO - TELEPHONE SERVICES</v>
          </cell>
        </row>
        <row r="2760">
          <cell r="A2760" t="str">
            <v>A1043</v>
          </cell>
          <cell r="B2760" t="str">
            <v>TELECOM NETWORK - UEC - TELECOM</v>
          </cell>
          <cell r="C2760" t="str">
            <v>065-NEO - TELEPHONE SERVICES</v>
          </cell>
        </row>
        <row r="2761">
          <cell r="A2761" t="str">
            <v>A1044</v>
          </cell>
          <cell r="B2761" t="str">
            <v>CONVENTIONAL RADIO - UEC - TELECOM</v>
          </cell>
          <cell r="C2761" t="str">
            <v>065-NEO - TELEPHONE SERVICES</v>
          </cell>
        </row>
        <row r="2762">
          <cell r="A2762" t="str">
            <v>A1045</v>
          </cell>
          <cell r="B2762" t="str">
            <v>ESOS SYSTEM - TELECOM</v>
          </cell>
          <cell r="C2762" t="str">
            <v>065-NEO - TELEPHONE SERVICES</v>
          </cell>
        </row>
        <row r="2763">
          <cell r="A2763" t="str">
            <v>A1046</v>
          </cell>
          <cell r="B2763" t="str">
            <v>TELECOM GAS CONTROL (SCADA) SYS</v>
          </cell>
          <cell r="C2763" t="str">
            <v>065-NEO - TELEPHONE SERVICES</v>
          </cell>
        </row>
        <row r="2764">
          <cell r="A2764" t="str">
            <v>A1047</v>
          </cell>
          <cell r="B2764" t="str">
            <v>FUNCTIONAL INDIRECT - TELECOM</v>
          </cell>
          <cell r="C2764" t="str">
            <v>065-NEO - TELEPHONE SERVICES</v>
          </cell>
        </row>
        <row r="2765">
          <cell r="A2765" t="str">
            <v>A1048</v>
          </cell>
          <cell r="B2765" t="str">
            <v>ADMINISTRATION - TELECOM</v>
          </cell>
          <cell r="C2765" t="str">
            <v>065-NEO - TELEPHONE SERVICES</v>
          </cell>
        </row>
        <row r="2766">
          <cell r="A2766" t="str">
            <v>A1049</v>
          </cell>
          <cell r="B2766" t="str">
            <v>SPECIAL SERVICES - SHARED SERVICES</v>
          </cell>
          <cell r="C2766" t="str">
            <v>006-INF - DATA CENTER OPERATIONS</v>
          </cell>
        </row>
        <row r="2767">
          <cell r="A2767" t="str">
            <v>A1050</v>
          </cell>
          <cell r="B2767" t="str">
            <v>SPECIAL SERVICES - CIPS</v>
          </cell>
          <cell r="C2767" t="str">
            <v>006-INF - DATA CENTER OPERATIONS</v>
          </cell>
        </row>
        <row r="2768">
          <cell r="A2768" t="str">
            <v>A1051</v>
          </cell>
          <cell r="B2768" t="str">
            <v>SPECIAL SERVICES - UEC</v>
          </cell>
          <cell r="C2768" t="str">
            <v>006-INF - DATA CENTER OPERATIONS</v>
          </cell>
        </row>
        <row r="2769">
          <cell r="A2769" t="str">
            <v>A1052</v>
          </cell>
          <cell r="B2769" t="str">
            <v>DATAOPS - SHARED SERVICES</v>
          </cell>
          <cell r="C2769" t="str">
            <v>006-INF - DATA CENTER OPERATIONS</v>
          </cell>
        </row>
        <row r="2770">
          <cell r="A2770" t="str">
            <v>A1054</v>
          </cell>
          <cell r="B2770" t="str">
            <v>IHC- TAX WORK</v>
          </cell>
          <cell r="C2770" t="str">
            <v>05T-TAX</v>
          </cell>
        </row>
        <row r="2771">
          <cell r="A2771" t="str">
            <v>A1055</v>
          </cell>
          <cell r="B2771" t="str">
            <v>SPECIAL SERVICES - FUNCTIONAL INDIR</v>
          </cell>
          <cell r="C2771" t="str">
            <v>006-INF - DATA CENTER OPERATIONS</v>
          </cell>
        </row>
        <row r="2772">
          <cell r="A2772" t="str">
            <v>A1056</v>
          </cell>
          <cell r="B2772" t="str">
            <v>HELPDESK - FUNCTIONAL INDIRECT</v>
          </cell>
          <cell r="C2772" t="str">
            <v>06B-INF - ENTERPRISE COMPUTING SERV</v>
          </cell>
        </row>
        <row r="2773">
          <cell r="A2773" t="str">
            <v>A1057</v>
          </cell>
          <cell r="B2773" t="str">
            <v>NETOPS - FUNCTIONAL INDIRECT</v>
          </cell>
          <cell r="C2773" t="str">
            <v>06C-INF - STL CENTRAL SERVER OPS</v>
          </cell>
        </row>
        <row r="2774">
          <cell r="A2774" t="str">
            <v>A1059</v>
          </cell>
          <cell r="B2774" t="str">
            <v>DATA OPS DATABASE ADMIN - FUNCTIONA</v>
          </cell>
          <cell r="C2774" t="str">
            <v>06E-SCP - DATA MANAGEMENT</v>
          </cell>
        </row>
        <row r="2775">
          <cell r="A2775" t="str">
            <v>A1063</v>
          </cell>
          <cell r="B2775" t="str">
            <v>AVENUE - IT DEVL ED</v>
          </cell>
          <cell r="C2775" t="str">
            <v>204-DEV - ENERGY DELIVERY</v>
          </cell>
        </row>
        <row r="2776">
          <cell r="A2776" t="str">
            <v>A1064</v>
          </cell>
          <cell r="B2776" t="str">
            <v>CARS - IT DEVL ED</v>
          </cell>
          <cell r="C2776" t="str">
            <v>204-DEV - ENERGY DELIVERY</v>
          </cell>
        </row>
        <row r="2777">
          <cell r="A2777" t="str">
            <v>A1065</v>
          </cell>
          <cell r="B2777" t="str">
            <v>CONVENTIONAL RADIO - CIPS - TELECOM</v>
          </cell>
          <cell r="C2777" t="str">
            <v>065-NEO - TELEPHONE SERVICES</v>
          </cell>
        </row>
        <row r="2778">
          <cell r="A2778" t="str">
            <v>A1066</v>
          </cell>
          <cell r="B2778" t="str">
            <v>ARCHITECTURE SUPPORT FOR FINANCIAL</v>
          </cell>
          <cell r="C2778" t="str">
            <v>06E-SCP - DATA MANAGEMENT</v>
          </cell>
        </row>
        <row r="2779">
          <cell r="A2779" t="str">
            <v>A1067</v>
          </cell>
          <cell r="B2779" t="str">
            <v>ARCHITECTURE SUPPORT FOR GENERATION</v>
          </cell>
          <cell r="C2779" t="str">
            <v>06E-SCP - DATA MANAGEMENT</v>
          </cell>
        </row>
        <row r="2780">
          <cell r="A2780" t="str">
            <v>A1068</v>
          </cell>
          <cell r="B2780" t="str">
            <v>ARCHITECTURE SUPPORT FOR HR APPLICA</v>
          </cell>
          <cell r="C2780" t="str">
            <v>06E-SCP - DATA MANAGEMENT</v>
          </cell>
        </row>
        <row r="2781">
          <cell r="A2781" t="str">
            <v>A1069</v>
          </cell>
          <cell r="B2781" t="str">
            <v>ARCHITECTURE SUPPORT FOR CUSTOMER A</v>
          </cell>
          <cell r="C2781" t="str">
            <v>06E-SCP - DATA MANAGEMENT</v>
          </cell>
        </row>
        <row r="2782">
          <cell r="A2782" t="str">
            <v>A1078</v>
          </cell>
          <cell r="B2782" t="str">
            <v>PROCESS DISTRIBUTION CUSTOMER PYMTS</v>
          </cell>
          <cell r="C2782" t="str">
            <v>076-TREASURY TECHNOLOGY SERVICES</v>
          </cell>
        </row>
        <row r="2783">
          <cell r="A2783" t="str">
            <v>A1080</v>
          </cell>
          <cell r="B2783" t="str">
            <v>CTG PURCHASING ACTIVITIES</v>
          </cell>
          <cell r="C2783" t="str">
            <v>074-PURCHASING</v>
          </cell>
        </row>
        <row r="2784">
          <cell r="A2784" t="str">
            <v>A1081</v>
          </cell>
          <cell r="B2784" t="str">
            <v>BUYING-GEN BL-AMEREN/UE</v>
          </cell>
          <cell r="C2784" t="str">
            <v>074-PURCHASING</v>
          </cell>
        </row>
        <row r="2785">
          <cell r="A2785" t="str">
            <v>A1084</v>
          </cell>
          <cell r="B2785" t="str">
            <v>BUYING-GEN BL-GENCO (IL ELEC ONLY)</v>
          </cell>
          <cell r="C2785" t="str">
            <v>074-PURCHASING</v>
          </cell>
        </row>
        <row r="2786">
          <cell r="A2786" t="str">
            <v>A1085</v>
          </cell>
          <cell r="B2786" t="str">
            <v>BUYING-GEN BL</v>
          </cell>
          <cell r="C2786" t="str">
            <v>074-PURCHASING</v>
          </cell>
        </row>
        <row r="2787">
          <cell r="A2787" t="str">
            <v>A1086</v>
          </cell>
          <cell r="B2787" t="str">
            <v>BUYING-NUCLEAR BL-CALLAWAY (MO/EL)</v>
          </cell>
          <cell r="C2787" t="str">
            <v>074-PURCHASING</v>
          </cell>
        </row>
        <row r="2788">
          <cell r="A2788" t="str">
            <v>A1087</v>
          </cell>
          <cell r="B2788" t="str">
            <v>BUYING-T&amp;D BUS LINE-UE (IL/MO)</v>
          </cell>
          <cell r="C2788" t="str">
            <v>074-PURCHASING</v>
          </cell>
        </row>
        <row r="2789">
          <cell r="A2789" t="str">
            <v>A1088</v>
          </cell>
          <cell r="B2789" t="str">
            <v>BUYING-T&amp;D BUS LINE-CIPS (IL EL/GS)</v>
          </cell>
          <cell r="C2789" t="str">
            <v>074-PURCHASING</v>
          </cell>
        </row>
        <row r="2790">
          <cell r="A2790" t="str">
            <v>A1089</v>
          </cell>
          <cell r="B2790" t="str">
            <v>BUYING T &amp; D BUS LINE (ELEC/GAS)</v>
          </cell>
          <cell r="C2790" t="str">
            <v>074-PURCHASING</v>
          </cell>
        </row>
        <row r="2791">
          <cell r="A2791" t="str">
            <v>A1100</v>
          </cell>
          <cell r="B2791" t="str">
            <v>VP REG &amp; DISTR SRV SUPPORT-UEC</v>
          </cell>
          <cell r="C2791" t="str">
            <v>066-MO OPS ADMIN</v>
          </cell>
        </row>
        <row r="2792">
          <cell r="A2792" t="str">
            <v>A1103</v>
          </cell>
          <cell r="B2792" t="str">
            <v>VP REG &amp; DISTR SRV SUPPORT-CIP</v>
          </cell>
          <cell r="C2792" t="str">
            <v>066-MO OPS ADMIN</v>
          </cell>
        </row>
        <row r="2793">
          <cell r="A2793" t="str">
            <v>A1107</v>
          </cell>
          <cell r="B2793" t="str">
            <v>IMS SUPPORT (STL GOB)</v>
          </cell>
          <cell r="C2793" t="str">
            <v>05T-TAX</v>
          </cell>
        </row>
        <row r="2794">
          <cell r="A2794" t="str">
            <v>A1111</v>
          </cell>
          <cell r="B2794" t="str">
            <v>GATEWAY PROJECTS CHARGED TO ERC</v>
          </cell>
          <cell r="C2794" t="str">
            <v>075-BANKING AND INVESTOR SERVICES</v>
          </cell>
        </row>
        <row r="2795">
          <cell r="A2795" t="str">
            <v>A1112</v>
          </cell>
          <cell r="B2795" t="str">
            <v>BUYING-GEN BL</v>
          </cell>
          <cell r="C2795" t="str">
            <v>074-PURCHASING</v>
          </cell>
        </row>
        <row r="2796">
          <cell r="A2796" t="str">
            <v>A1113</v>
          </cell>
          <cell r="B2796" t="str">
            <v>BUYING-GEN &amp; T&amp;D BL-UE/CIPS (IL/MO)</v>
          </cell>
          <cell r="C2796" t="str">
            <v>074-PURCHASING</v>
          </cell>
        </row>
        <row r="2797">
          <cell r="A2797" t="str">
            <v>A1114</v>
          </cell>
          <cell r="B2797" t="str">
            <v>BUYING-GEN/NUC/T&amp;D (IL/MO GAS/ELEC)</v>
          </cell>
          <cell r="C2797" t="str">
            <v>074-PURCHASING</v>
          </cell>
        </row>
        <row r="2798">
          <cell r="A2798" t="str">
            <v>A1115</v>
          </cell>
          <cell r="B2798" t="str">
            <v>SLVG SCRP/SURP/OBS ITM-GENCO GEN BL</v>
          </cell>
          <cell r="C2798" t="str">
            <v>074-PURCHASING</v>
          </cell>
        </row>
        <row r="2799">
          <cell r="A2799" t="str">
            <v>A1116</v>
          </cell>
          <cell r="B2799" t="str">
            <v>SLVG SCRP/SURP/OBSOL ITM-UEC GEN BL</v>
          </cell>
          <cell r="C2799" t="str">
            <v>074-PURCHASING</v>
          </cell>
        </row>
        <row r="2800">
          <cell r="A2800" t="str">
            <v>A1117</v>
          </cell>
          <cell r="B2800" t="str">
            <v>SLVG SCRP/SURP/OBSOL ITMS-CALLAWAY</v>
          </cell>
          <cell r="C2800" t="str">
            <v>074-PURCHASING</v>
          </cell>
        </row>
        <row r="2801">
          <cell r="A2801" t="str">
            <v>A1118</v>
          </cell>
          <cell r="B2801" t="str">
            <v>SLVG SCRP/SURP/OBSOL ITM-UE T&amp;D BL</v>
          </cell>
          <cell r="C2801" t="str">
            <v>074-PURCHASING</v>
          </cell>
        </row>
        <row r="2802">
          <cell r="A2802" t="str">
            <v>A1119</v>
          </cell>
          <cell r="B2802" t="str">
            <v>SLVG SCRP/SURP/OBS ITM-CIPS T&amp;D BL</v>
          </cell>
          <cell r="C2802" t="str">
            <v>074-PURCHASING</v>
          </cell>
        </row>
        <row r="2803">
          <cell r="A2803" t="str">
            <v>A1120</v>
          </cell>
          <cell r="B2803" t="str">
            <v>TRANSP OF MATL/EQPT-UE GEN BL</v>
          </cell>
          <cell r="C2803" t="str">
            <v>074-PURCHASING</v>
          </cell>
        </row>
        <row r="2804">
          <cell r="A2804" t="str">
            <v>A1121</v>
          </cell>
          <cell r="B2804" t="str">
            <v>TRANSP OF MATL/EQPT-CIPS GEN BL-IL</v>
          </cell>
          <cell r="C2804" t="str">
            <v>074-PURCHASING</v>
          </cell>
        </row>
        <row r="2805">
          <cell r="A2805" t="str">
            <v>A1122</v>
          </cell>
          <cell r="B2805" t="str">
            <v>TRANSP OF MATL/EQPT-CALLAWAY NUC-MO</v>
          </cell>
          <cell r="C2805" t="str">
            <v>074-PURCHASING</v>
          </cell>
        </row>
        <row r="2806">
          <cell r="A2806" t="str">
            <v>A1123</v>
          </cell>
          <cell r="B2806" t="str">
            <v>TRANSP OF MATL/EQPT-UE T&amp;D BL</v>
          </cell>
          <cell r="C2806" t="str">
            <v>074-PURCHASING</v>
          </cell>
        </row>
        <row r="2807">
          <cell r="A2807" t="str">
            <v>A1124</v>
          </cell>
          <cell r="B2807" t="str">
            <v>TRANSP MATL/EQPT-CIPS T&amp;D BL-IL</v>
          </cell>
          <cell r="C2807" t="str">
            <v>074-PURCHASING</v>
          </cell>
        </row>
        <row r="2808">
          <cell r="A2808" t="str">
            <v>A1129</v>
          </cell>
          <cell r="B2808" t="str">
            <v>IPC MEDICAL PLAN BENEFITS</v>
          </cell>
          <cell r="C2808" t="str">
            <v>019-EMPLOYEE BENEFIT PLANS</v>
          </cell>
        </row>
        <row r="2809">
          <cell r="A2809" t="str">
            <v>A1135</v>
          </cell>
          <cell r="B2809" t="str">
            <v>O&amp;M PORTION OF WO 10686 - ILL DEREG</v>
          </cell>
          <cell r="C2809" t="str">
            <v>204-DEV - ENERGY DELIVERY</v>
          </cell>
        </row>
        <row r="2810">
          <cell r="A2810" t="str">
            <v>A1136</v>
          </cell>
          <cell r="B2810" t="str">
            <v>AUDIT OF ADVERTISING AGENCY</v>
          </cell>
          <cell r="C2810" t="str">
            <v>05A-INTERNAL AUDIT</v>
          </cell>
        </row>
        <row r="2811">
          <cell r="A2811" t="str">
            <v>A1138</v>
          </cell>
          <cell r="B2811" t="str">
            <v>ADC - TAX WORK</v>
          </cell>
          <cell r="C2811" t="str">
            <v>05T-TAX</v>
          </cell>
        </row>
        <row r="2812">
          <cell r="A2812" t="str">
            <v>A1147</v>
          </cell>
          <cell r="B2812" t="str">
            <v>AED - TAX WORK</v>
          </cell>
          <cell r="C2812" t="str">
            <v>05T-TAX</v>
          </cell>
        </row>
        <row r="2813">
          <cell r="A2813" t="str">
            <v>A1155</v>
          </cell>
          <cell r="B2813" t="str">
            <v>GEN - TAX WORK</v>
          </cell>
          <cell r="C2813" t="str">
            <v>05T-TAX</v>
          </cell>
        </row>
        <row r="2814">
          <cell r="A2814" t="str">
            <v>A1163</v>
          </cell>
          <cell r="B2814" t="str">
            <v>GMC - TAX WORK</v>
          </cell>
          <cell r="C2814" t="str">
            <v>05T-TAX</v>
          </cell>
        </row>
        <row r="2815">
          <cell r="A2815" t="str">
            <v>A1171</v>
          </cell>
          <cell r="B2815" t="str">
            <v>AMSRT - TAX WORK</v>
          </cell>
          <cell r="C2815" t="str">
            <v>05T-TAX</v>
          </cell>
        </row>
        <row r="2816">
          <cell r="A2816" t="str">
            <v>A1175</v>
          </cell>
          <cell r="B2816" t="str">
            <v>STORES MNGMT OPERATIONS-GEN-IL ELEC</v>
          </cell>
          <cell r="C2816" t="str">
            <v>05M-STOREROOMS-AMS</v>
          </cell>
        </row>
        <row r="2817">
          <cell r="A2817" t="str">
            <v>A1176</v>
          </cell>
          <cell r="B2817" t="str">
            <v>INVNTRY INVESTMENT CONTROL-GEN-IL</v>
          </cell>
          <cell r="C2817" t="str">
            <v>05M-STOREROOMS-AMS</v>
          </cell>
        </row>
        <row r="2818">
          <cell r="A2818" t="str">
            <v>A1181</v>
          </cell>
          <cell r="B2818" t="str">
            <v>AMEREN ENERGY GEN CO./ENV SUPPORT</v>
          </cell>
          <cell r="C2818" t="str">
            <v>049-ESH - GENERAL</v>
          </cell>
        </row>
        <row r="2819">
          <cell r="A2819" t="str">
            <v>A1182</v>
          </cell>
          <cell r="B2819" t="str">
            <v>AMEREN ENERGY GEN S&amp;H SUPPORT</v>
          </cell>
          <cell r="C2819" t="str">
            <v>49D-ESH - SAFETY &amp; HEALTH</v>
          </cell>
        </row>
        <row r="2820">
          <cell r="A2820" t="str">
            <v>A1187</v>
          </cell>
          <cell r="B2820" t="str">
            <v>EMPLOYEE RELOC/TRANSP - AE MARKETNG</v>
          </cell>
          <cell r="C2820" t="str">
            <v>074-PURCHASING</v>
          </cell>
        </row>
        <row r="2821">
          <cell r="A2821" t="str">
            <v>A1188</v>
          </cell>
          <cell r="B2821" t="str">
            <v>STORES ADMIN SUPPORT-GEN-IL ELEC</v>
          </cell>
          <cell r="C2821" t="str">
            <v>05M-STOREROOMS-AMS</v>
          </cell>
        </row>
        <row r="2822">
          <cell r="A2822" t="str">
            <v>A1191</v>
          </cell>
          <cell r="B2822" t="str">
            <v>TELECOM SVC - MERAMAC</v>
          </cell>
          <cell r="C2822" t="str">
            <v>065-NEO - TELEPHONE SERVICES</v>
          </cell>
        </row>
        <row r="2823">
          <cell r="A2823" t="str">
            <v>A1193</v>
          </cell>
          <cell r="B2823" t="str">
            <v>TELECOMMUNICATION SERVICES - OSAGE</v>
          </cell>
          <cell r="C2823" t="str">
            <v>065-NEO - TELEPHONE SERVICES</v>
          </cell>
        </row>
        <row r="2824">
          <cell r="A2824" t="str">
            <v>A1195</v>
          </cell>
          <cell r="B2824" t="str">
            <v>TELECOM SVC - SIOUX</v>
          </cell>
          <cell r="C2824" t="str">
            <v>065-NEO - TELEPHONE SERVICES</v>
          </cell>
        </row>
        <row r="2825">
          <cell r="A2825" t="str">
            <v>A1197</v>
          </cell>
          <cell r="B2825" t="str">
            <v>TELECOM SVC - TAUM SULK</v>
          </cell>
          <cell r="C2825" t="str">
            <v>065-NEO - TELEPHONE SERVICES</v>
          </cell>
        </row>
        <row r="2826">
          <cell r="A2826" t="str">
            <v>A1198</v>
          </cell>
          <cell r="B2826" t="str">
            <v>TELECOM SVC - VENICE</v>
          </cell>
          <cell r="C2826" t="str">
            <v>065-NEO - TELEPHONE SERVICES</v>
          </cell>
        </row>
        <row r="2827">
          <cell r="A2827" t="str">
            <v>A1200</v>
          </cell>
          <cell r="B2827" t="str">
            <v>TELECOM SVC - LABADIE</v>
          </cell>
          <cell r="C2827" t="str">
            <v>065-NEO - TELEPHONE SERVICES</v>
          </cell>
        </row>
        <row r="2828">
          <cell r="A2828" t="str">
            <v>A1202</v>
          </cell>
          <cell r="B2828" t="str">
            <v>TELECOM SVC - KEOKUK</v>
          </cell>
          <cell r="C2828" t="str">
            <v>065-NEO - TELEPHONE SERVICES</v>
          </cell>
        </row>
        <row r="2829">
          <cell r="A2829" t="str">
            <v>A1203</v>
          </cell>
          <cell r="B2829" t="str">
            <v>TELECOM SVC - RUSH ISLAND</v>
          </cell>
          <cell r="C2829" t="str">
            <v>065-NEO - TELEPHONE SERVICES</v>
          </cell>
        </row>
        <row r="2830">
          <cell r="A2830" t="str">
            <v>A1204</v>
          </cell>
          <cell r="B2830" t="str">
            <v>TELECOM SVC - CALLAWAY</v>
          </cell>
          <cell r="C2830" t="str">
            <v>065-NEO - TELEPHONE SERVICES</v>
          </cell>
        </row>
        <row r="2831">
          <cell r="A2831" t="str">
            <v>A1206</v>
          </cell>
          <cell r="B2831" t="str">
            <v>GEN SUPPORT - ACCOUNTING RECORDS</v>
          </cell>
          <cell r="C2831" t="str">
            <v>004-ACCOUNTING</v>
          </cell>
        </row>
        <row r="2832">
          <cell r="A2832" t="str">
            <v>A1207</v>
          </cell>
          <cell r="B2832" t="str">
            <v>AED SUPPORT - ACCOUNTING RECORDS</v>
          </cell>
          <cell r="C2832" t="str">
            <v>004-ACCOUNTING</v>
          </cell>
        </row>
        <row r="2833">
          <cell r="A2833" t="str">
            <v>A1208</v>
          </cell>
          <cell r="B2833" t="str">
            <v>GMC SUPPORT - ACCOUNTING RECORDS</v>
          </cell>
          <cell r="C2833" t="str">
            <v>004-ACCOUNTING</v>
          </cell>
        </row>
        <row r="2834">
          <cell r="A2834" t="str">
            <v>A1209</v>
          </cell>
          <cell r="B2834" t="str">
            <v>TELECOM SVC - ILL MATERIAL SUPPLY</v>
          </cell>
          <cell r="C2834" t="str">
            <v>065-NEO - TELEPHONE SERVICES</v>
          </cell>
        </row>
        <row r="2835">
          <cell r="A2835" t="str">
            <v>A1210</v>
          </cell>
          <cell r="B2835" t="str">
            <v>TELECOM SVC - GENCO</v>
          </cell>
          <cell r="C2835" t="str">
            <v>065-NEO - TELEPHONE SERVICES</v>
          </cell>
        </row>
        <row r="2836">
          <cell r="A2836" t="str">
            <v>A1214</v>
          </cell>
          <cell r="B2836" t="str">
            <v>AMEREN ENERGY RESOURCES</v>
          </cell>
          <cell r="C2836" t="str">
            <v>024-LEGAL</v>
          </cell>
        </row>
        <row r="2837">
          <cell r="A2837" t="str">
            <v>A1216</v>
          </cell>
          <cell r="B2837" t="str">
            <v>TELECOM SVC - NEWTON</v>
          </cell>
          <cell r="C2837" t="str">
            <v>065-NEO - TELEPHONE SERVICES</v>
          </cell>
        </row>
        <row r="2838">
          <cell r="A2838" t="str">
            <v>A1217</v>
          </cell>
          <cell r="B2838" t="str">
            <v>TELECOM SVC - COFFEEN</v>
          </cell>
          <cell r="C2838" t="str">
            <v>065-NEO - TELEPHONE SERVICES</v>
          </cell>
        </row>
        <row r="2839">
          <cell r="A2839" t="str">
            <v>A1218</v>
          </cell>
          <cell r="B2839" t="str">
            <v>TELECOM SVC - MEREDOSIA</v>
          </cell>
          <cell r="C2839" t="str">
            <v>065-NEO - TELEPHONE SERVICES</v>
          </cell>
        </row>
        <row r="2840">
          <cell r="A2840" t="str">
            <v>A1219</v>
          </cell>
          <cell r="B2840" t="str">
            <v>TELECOM SVC - GRAND TOWER</v>
          </cell>
          <cell r="C2840" t="str">
            <v>065-NEO - TELEPHONE SERVICES</v>
          </cell>
        </row>
        <row r="2841">
          <cell r="A2841" t="str">
            <v>A1220</v>
          </cell>
          <cell r="B2841" t="str">
            <v>TELECOM SVC - HUTSONVILLE</v>
          </cell>
          <cell r="C2841" t="str">
            <v>065-NEO - TELEPHONE SERVICES</v>
          </cell>
        </row>
        <row r="2842">
          <cell r="A2842" t="str">
            <v>A1221</v>
          </cell>
          <cell r="B2842" t="str">
            <v>DATAOPS - AER</v>
          </cell>
          <cell r="C2842" t="str">
            <v>006-INF - DATA CENTER OPERATIONS</v>
          </cell>
        </row>
        <row r="2843">
          <cell r="A2843" t="str">
            <v>A1222</v>
          </cell>
          <cell r="B2843" t="str">
            <v>REAL ESTATE SERVICES FOR GENCO</v>
          </cell>
          <cell r="C2843" t="str">
            <v>061-REAL ESTATE</v>
          </cell>
        </row>
        <row r="2844">
          <cell r="A2844" t="str">
            <v>A1223</v>
          </cell>
          <cell r="B2844" t="str">
            <v>AMEREN ENERGY MARKETING</v>
          </cell>
          <cell r="C2844" t="str">
            <v>024-LEGAL</v>
          </cell>
        </row>
        <row r="2845">
          <cell r="A2845" t="str">
            <v>A1224</v>
          </cell>
          <cell r="B2845" t="str">
            <v>GENCO (AMEREN ENERGY GENERATING)</v>
          </cell>
          <cell r="C2845" t="str">
            <v>024-LEGAL</v>
          </cell>
        </row>
        <row r="2846">
          <cell r="A2846" t="str">
            <v>A1225</v>
          </cell>
          <cell r="B2846" t="str">
            <v>SPECIAL SERVICES - AER</v>
          </cell>
          <cell r="C2846" t="str">
            <v>006-INF - DATA CENTER OPERATIONS</v>
          </cell>
        </row>
        <row r="2847">
          <cell r="A2847" t="str">
            <v>A1226</v>
          </cell>
          <cell r="B2847" t="str">
            <v>AMEREN ENERGY DEVELOPMENT</v>
          </cell>
          <cell r="C2847" t="str">
            <v>024-LEGAL</v>
          </cell>
        </row>
        <row r="2848">
          <cell r="A2848" t="str">
            <v>A1227</v>
          </cell>
          <cell r="B2848" t="str">
            <v>ILLINOIS MATERIALS SUPPLY</v>
          </cell>
          <cell r="C2848" t="str">
            <v>024-LEGAL</v>
          </cell>
        </row>
        <row r="2849">
          <cell r="A2849" t="str">
            <v>A1228</v>
          </cell>
          <cell r="B2849" t="str">
            <v>TELECOMMUNICATION SERVICES - IHC</v>
          </cell>
          <cell r="C2849" t="str">
            <v>065-NEO - TELEPHONE SERVICES</v>
          </cell>
        </row>
        <row r="2850">
          <cell r="A2850" t="str">
            <v>A1231</v>
          </cell>
          <cell r="B2850" t="str">
            <v>AMEREN ENERGY GENERATION</v>
          </cell>
          <cell r="C2850" t="str">
            <v>02T-HR - ORGANIZATION EFFECTIVENESS</v>
          </cell>
        </row>
        <row r="2851">
          <cell r="A2851" t="str">
            <v>A1233</v>
          </cell>
          <cell r="B2851" t="str">
            <v>VIDEO &amp; A/V SERVICE SUPPORT FOR GEN</v>
          </cell>
          <cell r="C2851" t="str">
            <v>02V-EMPLOYEE COMMUNICATIONS</v>
          </cell>
        </row>
        <row r="2852">
          <cell r="A2852" t="str">
            <v>A1235</v>
          </cell>
          <cell r="B2852" t="str">
            <v>COMPENSATION ADMINISTRATION FOR IHC</v>
          </cell>
          <cell r="C2852" t="str">
            <v>02P-HR - TOTAL REWARDS</v>
          </cell>
        </row>
        <row r="2853">
          <cell r="A2853" t="str">
            <v>A1237</v>
          </cell>
          <cell r="B2853" t="str">
            <v>COMPENSATION ADMINISTRATION FOR GEN</v>
          </cell>
          <cell r="C2853" t="str">
            <v>02P-HR - TOTAL REWARDS</v>
          </cell>
        </row>
        <row r="2854">
          <cell r="A2854" t="str">
            <v>A1238</v>
          </cell>
          <cell r="B2854" t="str">
            <v>COMPENSATION ADMINISTRATION FOR GMC</v>
          </cell>
          <cell r="C2854" t="str">
            <v>02P-HR - TOTAL REWARDS</v>
          </cell>
        </row>
        <row r="2855">
          <cell r="A2855" t="str">
            <v>A1239</v>
          </cell>
          <cell r="B2855" t="str">
            <v>MAINTAIN &amp; ADMIN MGMT EMPL BEN PLNS</v>
          </cell>
          <cell r="C2855" t="str">
            <v>017-EMPLOYEE BENEFITS</v>
          </cell>
        </row>
        <row r="2856">
          <cell r="A2856" t="str">
            <v>A1247</v>
          </cell>
          <cell r="B2856" t="str">
            <v>MAINTAIN &amp; ADMIN CONTRACT EMPL BENS</v>
          </cell>
          <cell r="C2856" t="str">
            <v>017-EMPLOYEE BENEFITS</v>
          </cell>
        </row>
        <row r="2857">
          <cell r="A2857" t="str">
            <v>A1248</v>
          </cell>
          <cell r="B2857" t="str">
            <v>GAS CONTROL - GENCO</v>
          </cell>
          <cell r="C2857" t="str">
            <v>0G2-GAS TECH SERVICES - AMS</v>
          </cell>
        </row>
        <row r="2858">
          <cell r="A2858" t="str">
            <v>A1251</v>
          </cell>
          <cell r="B2858" t="str">
            <v>SYS RELAY - SCADA - CIPS</v>
          </cell>
          <cell r="C2858" t="str">
            <v>090-SYSTEM RELAY SERVICES</v>
          </cell>
        </row>
        <row r="2859">
          <cell r="A2859" t="str">
            <v>A1252</v>
          </cell>
          <cell r="B2859" t="str">
            <v>SYS RELAY - RELAY &amp; SCHEME - CIPS</v>
          </cell>
          <cell r="C2859" t="str">
            <v>090-SYSTEM RELAY SERVICES</v>
          </cell>
        </row>
        <row r="2860">
          <cell r="A2860" t="str">
            <v>A1253</v>
          </cell>
          <cell r="B2860" t="str">
            <v>SYS RELAY - EQUIP TESTING - CIP</v>
          </cell>
          <cell r="C2860" t="str">
            <v>090-SYSTEM RELAY SERVICES</v>
          </cell>
        </row>
        <row r="2861">
          <cell r="A2861" t="str">
            <v>A1257</v>
          </cell>
          <cell r="B2861" t="str">
            <v>CORP COMMUNICATION SVC - GENCO</v>
          </cell>
          <cell r="C2861" t="str">
            <v>001-CORPORATE COMMUNICATIONS</v>
          </cell>
        </row>
        <row r="2862">
          <cell r="A2862" t="str">
            <v>A1258</v>
          </cell>
          <cell r="B2862" t="str">
            <v>CORP COMM SVC AMEREN ENERGY RES IH</v>
          </cell>
          <cell r="C2862" t="str">
            <v>001-CORPORATE COMMUNICATIONS</v>
          </cell>
        </row>
        <row r="2863">
          <cell r="A2863" t="str">
            <v>A1259</v>
          </cell>
          <cell r="B2863" t="str">
            <v>CORP COMM SVC AMEREN ENERGY MKTG</v>
          </cell>
          <cell r="C2863" t="str">
            <v>001-CORPORATE COMMUNICATIONS</v>
          </cell>
        </row>
        <row r="2864">
          <cell r="A2864" t="str">
            <v>A1261</v>
          </cell>
          <cell r="B2864" t="str">
            <v>COMMUNITY RELATIONS - GENCO</v>
          </cell>
          <cell r="C2864" t="str">
            <v>29C-COMMUNITY RELATIONS</v>
          </cell>
        </row>
        <row r="2865">
          <cell r="A2865" t="str">
            <v>A1262</v>
          </cell>
          <cell r="B2865" t="str">
            <v>(DND)PUBLIC RELATIONS - IHC</v>
          </cell>
          <cell r="C2865" t="str">
            <v>001-CORPORATE COMMUNICATIONS</v>
          </cell>
        </row>
        <row r="2866">
          <cell r="A2866" t="str">
            <v>A1263</v>
          </cell>
          <cell r="B2866" t="str">
            <v>SYS RELAY - MEETINGS &amp; MISC - CIPS</v>
          </cell>
          <cell r="C2866" t="str">
            <v>090-SYSTEM RELAY SERVICES</v>
          </cell>
        </row>
        <row r="2867">
          <cell r="A2867" t="str">
            <v>A1265</v>
          </cell>
          <cell r="B2867" t="str">
            <v>DATAOPS - AEG</v>
          </cell>
          <cell r="C2867" t="str">
            <v>006-INF - DATA CENTER OPERATIONS</v>
          </cell>
        </row>
        <row r="2868">
          <cell r="A2868" t="str">
            <v>A1266</v>
          </cell>
          <cell r="B2868" t="str">
            <v>DATAOPS - AEM</v>
          </cell>
          <cell r="C2868" t="str">
            <v>006-INF - DATA CENTER OPERATIONS</v>
          </cell>
        </row>
        <row r="2869">
          <cell r="A2869" t="str">
            <v>A1267</v>
          </cell>
          <cell r="B2869" t="str">
            <v>SPECIAL SERVICES - AEG</v>
          </cell>
          <cell r="C2869" t="str">
            <v>006-INF - DATA CENTER OPERATIONS</v>
          </cell>
        </row>
        <row r="2870">
          <cell r="A2870" t="str">
            <v>A1268</v>
          </cell>
          <cell r="B2870" t="str">
            <v>SPECIAL SERVICES - AEM</v>
          </cell>
          <cell r="C2870" t="str">
            <v>006-INF - DATA CENTER OPERATIONS</v>
          </cell>
        </row>
        <row r="2871">
          <cell r="A2871" t="str">
            <v>A1269</v>
          </cell>
          <cell r="B2871" t="str">
            <v>SYS RELAY - MANAGER - CIPS</v>
          </cell>
          <cell r="C2871" t="str">
            <v>090-SYSTEM RELAY SERVICES</v>
          </cell>
        </row>
        <row r="2872">
          <cell r="A2872" t="str">
            <v>A1272</v>
          </cell>
          <cell r="B2872" t="str">
            <v>PROVIDE SVCS TO BFT TOTAL CO-IHC</v>
          </cell>
          <cell r="C2872" t="str">
            <v>02E-HR - STAFFING</v>
          </cell>
        </row>
        <row r="2873">
          <cell r="A2873" t="str">
            <v>A1276</v>
          </cell>
          <cell r="B2873" t="str">
            <v>PROVIDE SVCS TO BFT TOTAL CO-GMC</v>
          </cell>
          <cell r="C2873" t="str">
            <v>02E-HR - STAFFING</v>
          </cell>
        </row>
        <row r="2874">
          <cell r="A2874" t="str">
            <v>A1278</v>
          </cell>
          <cell r="B2874" t="str">
            <v>PROVIDE SVCS TO BFT TOTAL CO-GEN</v>
          </cell>
          <cell r="C2874" t="str">
            <v>02E-HR - STAFFING</v>
          </cell>
        </row>
        <row r="2875">
          <cell r="A2875" t="str">
            <v>A1282</v>
          </cell>
          <cell r="B2875" t="str">
            <v>SYS RELAY - GENERAL LABOR - UE</v>
          </cell>
          <cell r="C2875" t="str">
            <v>090-SYSTEM RELAY SERVICES</v>
          </cell>
        </row>
        <row r="2876">
          <cell r="A2876" t="str">
            <v>A1284</v>
          </cell>
          <cell r="B2876" t="str">
            <v>TECHNICAL SUPPORT RELAY - GEN</v>
          </cell>
          <cell r="C2876" t="str">
            <v>090-SYSTEM RELAY SERVICES</v>
          </cell>
        </row>
        <row r="2877">
          <cell r="A2877" t="str">
            <v>A1296</v>
          </cell>
          <cell r="B2877" t="str">
            <v>AMERENCIPS SYSTEM SUPPORT - DEV HR</v>
          </cell>
          <cell r="C2877" t="str">
            <v>201-DEV - BUS &amp; CORP SVCS</v>
          </cell>
        </row>
        <row r="2878">
          <cell r="A2878" t="str">
            <v>A1297</v>
          </cell>
          <cell r="B2878" t="str">
            <v>AMEREN UE SYSTEMS SUPPORT - DEV HR</v>
          </cell>
          <cell r="C2878" t="str">
            <v>201-DEV - BUS &amp; CORP SVCS</v>
          </cell>
        </row>
        <row r="2879">
          <cell r="A2879" t="str">
            <v>A1298</v>
          </cell>
          <cell r="B2879" t="str">
            <v>CORP PLANNING SUPPORT-AE GENERATING</v>
          </cell>
          <cell r="C2879" t="str">
            <v>012-CORPORATE PLANNING</v>
          </cell>
        </row>
        <row r="2880">
          <cell r="A2880" t="str">
            <v>A1299</v>
          </cell>
          <cell r="B2880" t="str">
            <v>CORP PLANNING SUPPORT-AE MARKETING</v>
          </cell>
          <cell r="C2880" t="str">
            <v>012-CORPORATE PLANNING</v>
          </cell>
        </row>
        <row r="2881">
          <cell r="A2881" t="str">
            <v>A1307</v>
          </cell>
          <cell r="B2881" t="str">
            <v>LOBBYING - AMEREN ENERGY GENCO</v>
          </cell>
          <cell r="C2881" t="str">
            <v>157-GOVERNMENT RELATIONS</v>
          </cell>
        </row>
        <row r="2882">
          <cell r="A2882" t="str">
            <v>A1308</v>
          </cell>
          <cell r="B2882" t="str">
            <v>LOBBYING - AMEREN EMERGU RES (IHC)</v>
          </cell>
          <cell r="C2882" t="str">
            <v>157-GOVERNMENT RELATIONS</v>
          </cell>
        </row>
        <row r="2883">
          <cell r="A2883" t="str">
            <v>A1309</v>
          </cell>
          <cell r="B2883" t="str">
            <v>GOVERNMENT AFFS - AMEREN ENERG RES</v>
          </cell>
          <cell r="C2883" t="str">
            <v>157-GOVERNMENT RELATIONS</v>
          </cell>
        </row>
        <row r="2884">
          <cell r="A2884" t="str">
            <v>A1310</v>
          </cell>
          <cell r="B2884" t="str">
            <v>GOV AFFS - AMEREN ENERGY GENCO</v>
          </cell>
          <cell r="C2884" t="str">
            <v>157-GOVERNMENT RELATIONS</v>
          </cell>
        </row>
        <row r="2885">
          <cell r="A2885" t="str">
            <v>A1316</v>
          </cell>
          <cell r="B2885" t="str">
            <v>UEC MISSOURI SERVICES</v>
          </cell>
          <cell r="C2885" t="str">
            <v>04C-FINANCIAL COMMUNICATIONS</v>
          </cell>
        </row>
        <row r="2886">
          <cell r="A2886" t="str">
            <v>A1317</v>
          </cell>
          <cell r="B2886" t="str">
            <v>UEC ILLINOIS SUPPORT</v>
          </cell>
          <cell r="C2886" t="str">
            <v>04C-FINANCIAL COMMUNICATIONS</v>
          </cell>
        </row>
        <row r="2887">
          <cell r="A2887" t="str">
            <v>A2003</v>
          </cell>
          <cell r="B2887" t="str">
            <v>UE COMM TOWER LEASING</v>
          </cell>
          <cell r="C2887" t="str">
            <v>065-NEO - TELEPHONE SERVICES</v>
          </cell>
        </row>
        <row r="2888">
          <cell r="A2888" t="str">
            <v>A2005</v>
          </cell>
          <cell r="B2888" t="str">
            <v>CIP COMM TOWER LEASING</v>
          </cell>
          <cell r="C2888" t="str">
            <v>065-NEO - TELEPHONE SERVICES</v>
          </cell>
        </row>
        <row r="2889">
          <cell r="A2889" t="str">
            <v>A2006</v>
          </cell>
          <cell r="B2889" t="str">
            <v>CHARITY CAMPAIGN SUPPORT</v>
          </cell>
          <cell r="C2889" t="str">
            <v>02V-EMPLOYEE COMMUNICATIONS</v>
          </cell>
        </row>
        <row r="2890">
          <cell r="A2890" t="str">
            <v>A2010</v>
          </cell>
          <cell r="B2890" t="str">
            <v>PRODUCTION SUPPORT FOR CSS (EFF. 1-</v>
          </cell>
          <cell r="C2890" t="str">
            <v>204-DEV - ENERGY DELIVERY</v>
          </cell>
        </row>
        <row r="2891">
          <cell r="A2891" t="str">
            <v>A2011</v>
          </cell>
          <cell r="B2891" t="str">
            <v>BPS - ENTERPRISE</v>
          </cell>
          <cell r="C2891" t="str">
            <v>201-DEV - BUS &amp; CORP SVCS</v>
          </cell>
        </row>
        <row r="2892">
          <cell r="A2892" t="str">
            <v>A2012</v>
          </cell>
          <cell r="B2892" t="str">
            <v>BPS - AMEREN ENERGY</v>
          </cell>
          <cell r="C2892" t="str">
            <v>060-SCP - PLANNING</v>
          </cell>
        </row>
        <row r="2893">
          <cell r="A2893" t="str">
            <v>A2014</v>
          </cell>
          <cell r="B2893" t="str">
            <v>S&amp;P - AMEREN ENERGY MARKETING CO</v>
          </cell>
          <cell r="C2893" t="str">
            <v>060-SCP - PLANNING</v>
          </cell>
        </row>
        <row r="2894">
          <cell r="A2894" t="str">
            <v>A2017</v>
          </cell>
          <cell r="B2894" t="str">
            <v>BPS - CUSTOMERS</v>
          </cell>
          <cell r="C2894" t="str">
            <v>201-DEV - BUS &amp; CORP SVCS</v>
          </cell>
        </row>
        <row r="2895">
          <cell r="A2895" t="str">
            <v>A2019</v>
          </cell>
          <cell r="B2895" t="str">
            <v>BPS - POWER PLANTS</v>
          </cell>
          <cell r="C2895" t="str">
            <v>060-SCP - PLANNING</v>
          </cell>
        </row>
        <row r="2896">
          <cell r="A2896" t="str">
            <v>A2022</v>
          </cell>
          <cell r="B2896" t="str">
            <v>CIP WIRELESS DATA</v>
          </cell>
          <cell r="C2896" t="str">
            <v>065-NEO - TELEPHONE SERVICES</v>
          </cell>
        </row>
        <row r="2897">
          <cell r="A2897" t="str">
            <v>A2023</v>
          </cell>
          <cell r="B2897" t="str">
            <v>UE  WIRELESS DATA</v>
          </cell>
          <cell r="C2897" t="str">
            <v>065-NEO - TELEPHONE SERVICES</v>
          </cell>
        </row>
        <row r="2898">
          <cell r="A2898" t="str">
            <v>A2024</v>
          </cell>
          <cell r="B2898" t="str">
            <v>CTG PICKNEYVILLE TELECOM SERVICES</v>
          </cell>
          <cell r="C2898" t="str">
            <v>065-NEO - TELEPHONE SERVICES</v>
          </cell>
        </row>
        <row r="2899">
          <cell r="A2899" t="str">
            <v>A2025</v>
          </cell>
          <cell r="B2899" t="str">
            <v>CTG GIBSON CITY TELECOM SERVICES</v>
          </cell>
          <cell r="C2899" t="str">
            <v>065-NEO - TELEPHONE SERVICES</v>
          </cell>
        </row>
        <row r="2900">
          <cell r="A2900" t="str">
            <v>A2026</v>
          </cell>
          <cell r="B2900" t="str">
            <v>CTG KINMUNDY TELECOM SERVICES</v>
          </cell>
          <cell r="C2900" t="str">
            <v>065-NEO - TELEPHONE SERVICES</v>
          </cell>
        </row>
        <row r="2901">
          <cell r="A2901" t="str">
            <v>A2027</v>
          </cell>
          <cell r="B2901" t="str">
            <v>CTG GRAND TOWERS  TELECOM SERVICES</v>
          </cell>
          <cell r="C2901" t="str">
            <v>065-NEO - TELEPHONE SERVICES</v>
          </cell>
        </row>
        <row r="2902">
          <cell r="A2902" t="str">
            <v>A2029</v>
          </cell>
          <cell r="B2902" t="str">
            <v>CSS PHASE 3  (O&amp;M) (EFF. 1-1-2001)</v>
          </cell>
          <cell r="C2902" t="str">
            <v>204-DEV - ENERGY DELIVERY</v>
          </cell>
        </row>
        <row r="2903">
          <cell r="A2903" t="str">
            <v>A2031</v>
          </cell>
          <cell r="B2903" t="str">
            <v>GENCO VIDEO CONFERENCING</v>
          </cell>
          <cell r="C2903" t="str">
            <v>065-NEO - TELEPHONE SERVICES</v>
          </cell>
        </row>
        <row r="2904">
          <cell r="A2904" t="str">
            <v>A2032</v>
          </cell>
          <cell r="B2904" t="str">
            <v>WIRELESS DATA COMMON COST</v>
          </cell>
          <cell r="C2904" t="str">
            <v>065-NEO - TELEPHONE SERVICES</v>
          </cell>
        </row>
        <row r="2905">
          <cell r="A2905" t="str">
            <v>A2033</v>
          </cell>
          <cell r="B2905" t="str">
            <v>FOSSIL PLANTS ALLOCATED ESH SUPPORT</v>
          </cell>
          <cell r="C2905" t="str">
            <v>049-ESH - GENERAL</v>
          </cell>
        </row>
        <row r="2906">
          <cell r="A2906" t="str">
            <v>A2034</v>
          </cell>
          <cell r="B2906" t="str">
            <v>UE GENERATION ALLOCATED ESH SUPPORT</v>
          </cell>
          <cell r="C2906" t="str">
            <v>049-ESH - GENERAL</v>
          </cell>
        </row>
        <row r="2907">
          <cell r="A2907" t="str">
            <v>A2035</v>
          </cell>
          <cell r="B2907" t="str">
            <v>LABADIE ESH SUPPORT SERVICES</v>
          </cell>
          <cell r="C2907" t="str">
            <v>049-ESH - GENERAL</v>
          </cell>
        </row>
        <row r="2908">
          <cell r="A2908" t="str">
            <v>A2036</v>
          </cell>
          <cell r="B2908" t="str">
            <v>SIOUX ESH SUPPORT SERVICES</v>
          </cell>
          <cell r="C2908" t="str">
            <v>049-ESH - GENERAL</v>
          </cell>
        </row>
        <row r="2909">
          <cell r="A2909" t="str">
            <v>A2037</v>
          </cell>
          <cell r="B2909" t="str">
            <v>MERAMEC  ESH SUPPORT SERVICES</v>
          </cell>
          <cell r="C2909" t="str">
            <v>049-ESH - GENERAL</v>
          </cell>
        </row>
        <row r="2910">
          <cell r="A2910" t="str">
            <v>A2038</v>
          </cell>
          <cell r="B2910" t="str">
            <v>RUSH ISLAND  ESH SUPPORT SERVICES</v>
          </cell>
          <cell r="C2910" t="str">
            <v>049-ESH - GENERAL</v>
          </cell>
        </row>
        <row r="2911">
          <cell r="A2911" t="str">
            <v>A2039</v>
          </cell>
          <cell r="B2911" t="str">
            <v>VENICE  ESH SUPPORT SERVICES</v>
          </cell>
          <cell r="C2911" t="str">
            <v>049-ESH - GENERAL</v>
          </cell>
        </row>
        <row r="2912">
          <cell r="A2912" t="str">
            <v>A2040</v>
          </cell>
          <cell r="B2912" t="str">
            <v>OSAGE  ESH SUPPORT SERVICES</v>
          </cell>
          <cell r="C2912" t="str">
            <v>049-ESH - GENERAL</v>
          </cell>
        </row>
        <row r="2913">
          <cell r="A2913" t="str">
            <v>A2041</v>
          </cell>
          <cell r="B2913" t="str">
            <v>TAUM SAUK  ESH SUPPORT SERVICES</v>
          </cell>
          <cell r="C2913" t="str">
            <v>049-ESH - GENERAL</v>
          </cell>
        </row>
        <row r="2914">
          <cell r="A2914" t="str">
            <v>A2042</v>
          </cell>
          <cell r="B2914" t="str">
            <v>KEOKUK  ESH SUPPORT SERVICES</v>
          </cell>
          <cell r="C2914" t="str">
            <v>049-ESH - GENERAL</v>
          </cell>
        </row>
        <row r="2915">
          <cell r="A2915" t="str">
            <v>A2043</v>
          </cell>
          <cell r="B2915" t="str">
            <v>CALLAWAY  ESH SUPPORT SERVICES</v>
          </cell>
          <cell r="C2915" t="str">
            <v>049-ESH - GENERAL</v>
          </cell>
        </row>
        <row r="2916">
          <cell r="A2916" t="str">
            <v>A2044</v>
          </cell>
          <cell r="B2916" t="str">
            <v>NEWTON  ESH SUPPORT SERVICES</v>
          </cell>
          <cell r="C2916" t="str">
            <v>049-ESH - GENERAL</v>
          </cell>
        </row>
        <row r="2917">
          <cell r="A2917" t="str">
            <v>A2045</v>
          </cell>
          <cell r="B2917" t="str">
            <v>COFFEEN  ESH SUPPORT SERVICES</v>
          </cell>
          <cell r="C2917" t="str">
            <v>049-ESH - GENERAL</v>
          </cell>
        </row>
        <row r="2918">
          <cell r="A2918" t="str">
            <v>A2046</v>
          </cell>
          <cell r="B2918" t="str">
            <v>GRAND TOWER  ESH SUPPORT SERVICES</v>
          </cell>
          <cell r="C2918" t="str">
            <v>049-ESH - GENERAL</v>
          </cell>
        </row>
        <row r="2919">
          <cell r="A2919" t="str">
            <v>A2047</v>
          </cell>
          <cell r="B2919" t="str">
            <v>MEREDOSIA  ESH SUPPORT SERVICES</v>
          </cell>
          <cell r="C2919" t="str">
            <v>049-ESH - GENERAL</v>
          </cell>
        </row>
        <row r="2920">
          <cell r="A2920" t="str">
            <v>A2048</v>
          </cell>
          <cell r="B2920" t="str">
            <v>HUTSONVILLE  ESH SUPPORT SERVICES</v>
          </cell>
          <cell r="C2920" t="str">
            <v>049-ESH - GENERAL</v>
          </cell>
        </row>
        <row r="2921">
          <cell r="A2921" t="str">
            <v>A2049</v>
          </cell>
          <cell r="B2921" t="str">
            <v>GIBSON CITY CTG  ESH SUPPORT SERV.</v>
          </cell>
          <cell r="C2921" t="str">
            <v>049-ESH - GENERAL</v>
          </cell>
        </row>
        <row r="2922">
          <cell r="A2922" t="str">
            <v>A2050</v>
          </cell>
          <cell r="B2922" t="str">
            <v>KINMUNDY CTG  ESH SUPPORT SERVICES</v>
          </cell>
          <cell r="C2922" t="str">
            <v>049-ESH - GENERAL</v>
          </cell>
        </row>
        <row r="2923">
          <cell r="A2923" t="str">
            <v>A2051</v>
          </cell>
          <cell r="B2923" t="str">
            <v>PICKNEYVILLE CTG  ESH SUPPORT SER.</v>
          </cell>
          <cell r="C2923" t="str">
            <v>049-ESH - GENERAL</v>
          </cell>
        </row>
        <row r="2924">
          <cell r="A2924" t="str">
            <v>A2067</v>
          </cell>
          <cell r="B2924" t="str">
            <v>EGENESIS</v>
          </cell>
          <cell r="C2924" t="str">
            <v>202-DEV - OPERATIONS</v>
          </cell>
        </row>
        <row r="2925">
          <cell r="A2925" t="str">
            <v>A2078</v>
          </cell>
          <cell r="B2925" t="str">
            <v>CORP COMM IND FUNCT - GEN ADMIN</v>
          </cell>
          <cell r="C2925" t="str">
            <v>001-CORPORATE COMMUNICATIONS</v>
          </cell>
        </row>
        <row r="2926">
          <cell r="A2926" t="str">
            <v>A2079</v>
          </cell>
          <cell r="B2926" t="str">
            <v>CORP COMM SERV ALLOC ADVERTISING PR</v>
          </cell>
          <cell r="C2926" t="str">
            <v>001-CORPORATE COMMUNICATIONS</v>
          </cell>
        </row>
        <row r="2927">
          <cell r="A2927" t="str">
            <v>A2080</v>
          </cell>
          <cell r="B2927" t="str">
            <v>ENCLOSE MAILINGS TO AMEREN EMPLOYEE</v>
          </cell>
          <cell r="C2927" t="str">
            <v>06A-INF-INSERTING &amp; MAIL DELIVERY</v>
          </cell>
        </row>
        <row r="2928">
          <cell r="A2928" t="str">
            <v>A2084</v>
          </cell>
          <cell r="B2928" t="str">
            <v>ENPORION TRANACTION FEES</v>
          </cell>
          <cell r="C2928" t="str">
            <v>074-PURCHASING</v>
          </cell>
        </row>
        <row r="2929">
          <cell r="A2929" t="str">
            <v>A2085</v>
          </cell>
          <cell r="B2929" t="str">
            <v>AMS HELP DESK</v>
          </cell>
          <cell r="C2929" t="str">
            <v>065-NEO - TELEPHONE SERVICES</v>
          </cell>
        </row>
        <row r="2930">
          <cell r="A2930" t="str">
            <v>A2092</v>
          </cell>
          <cell r="B2930" t="str">
            <v>EARCHITECTURE (EXPENSE) PROJECT</v>
          </cell>
          <cell r="C2930" t="str">
            <v>060-SCP - PLANNING</v>
          </cell>
        </row>
        <row r="2931">
          <cell r="A2931" t="str">
            <v>A2094</v>
          </cell>
          <cell r="B2931" t="str">
            <v>TEMP CO-WIDE COLLECTOR FOR AFS</v>
          </cell>
          <cell r="C2931" t="str">
            <v>05B-CONTROLLERS BUDGETING</v>
          </cell>
        </row>
        <row r="2932">
          <cell r="A2932" t="str">
            <v>A2096</v>
          </cell>
          <cell r="B2932" t="str">
            <v>AFS TAX  WORK</v>
          </cell>
          <cell r="C2932" t="str">
            <v>05T-TAX</v>
          </cell>
        </row>
        <row r="2933">
          <cell r="A2933" t="str">
            <v>A2104</v>
          </cell>
          <cell r="B2933" t="str">
            <v>INSURANCE-WORKERS COMP &amp; LIABILITY</v>
          </cell>
          <cell r="C2933" t="str">
            <v>07R-FINANCIAL PLANNING, INS &amp; RISK</v>
          </cell>
        </row>
        <row r="2934">
          <cell r="A2934" t="str">
            <v>A2105</v>
          </cell>
          <cell r="B2934" t="str">
            <v>INSURANCE-NUCLEAR-LIAB &amp; PROPERTY</v>
          </cell>
          <cell r="C2934" t="str">
            <v>07R-FINANCIAL PLANNING, INS &amp; RISK</v>
          </cell>
        </row>
        <row r="2935">
          <cell r="A2935" t="str">
            <v>A2106</v>
          </cell>
          <cell r="B2935" t="str">
            <v>RISK MANAGEMENT - CONSTRUCTION</v>
          </cell>
          <cell r="C2935" t="str">
            <v>07R-FINANCIAL PLANNING, INS &amp; RISK</v>
          </cell>
        </row>
        <row r="2936">
          <cell r="A2936" t="str">
            <v>A2107</v>
          </cell>
          <cell r="B2936" t="str">
            <v>INSURANCE-SURETY &amp; APPEAL BONDING</v>
          </cell>
          <cell r="C2936" t="str">
            <v>07R-FINANCIAL PLANNING, INS &amp; RISK</v>
          </cell>
        </row>
        <row r="2937">
          <cell r="A2937" t="str">
            <v>A2108</v>
          </cell>
          <cell r="B2937" t="str">
            <v>INSURANCE - PROPERTY - GENCO</v>
          </cell>
          <cell r="C2937" t="str">
            <v>07R-FINANCIAL PLANNING, INS &amp; RISK</v>
          </cell>
        </row>
        <row r="2938">
          <cell r="A2938" t="str">
            <v>A2109</v>
          </cell>
          <cell r="B2938" t="str">
            <v>INSURANCE-PROPERTY-UE POWER PLANTS</v>
          </cell>
          <cell r="C2938" t="str">
            <v>07R-FINANCIAL PLANNING, INS &amp; RISK</v>
          </cell>
        </row>
        <row r="2939">
          <cell r="A2939" t="str">
            <v>A2111</v>
          </cell>
          <cell r="B2939" t="str">
            <v>ENERGY DELIVERY - ORG DEVEL</v>
          </cell>
          <cell r="C2939" t="str">
            <v>02T-HR - ORGANIZATION EFFECTIVENESS</v>
          </cell>
        </row>
        <row r="2940">
          <cell r="A2940" t="str">
            <v>A2112</v>
          </cell>
          <cell r="B2940" t="str">
            <v>EXECUTIVE DEVELOPMENT</v>
          </cell>
          <cell r="C2940" t="str">
            <v>02T-HR - ORGANIZATION EFFECTIVENESS</v>
          </cell>
        </row>
        <row r="2941">
          <cell r="A2941" t="str">
            <v>A2113</v>
          </cell>
          <cell r="B2941" t="str">
            <v>ONLINE LEARNING</v>
          </cell>
          <cell r="C2941" t="str">
            <v>02T-HR - ORGANIZATION EFFECTIVENESS</v>
          </cell>
        </row>
        <row r="2942">
          <cell r="A2942" t="str">
            <v>A2114</v>
          </cell>
          <cell r="B2942" t="str">
            <v>CAREER DEVELOPMENT</v>
          </cell>
          <cell r="C2942" t="str">
            <v>02T-HR - ORGANIZATION EFFECTIVENESS</v>
          </cell>
        </row>
        <row r="2943">
          <cell r="A2943" t="str">
            <v>A2115</v>
          </cell>
          <cell r="B2943" t="str">
            <v>AMEREN ENERGY FUELS &amp; SERVICES</v>
          </cell>
          <cell r="C2943" t="str">
            <v>024-LEGAL</v>
          </cell>
        </row>
        <row r="2944">
          <cell r="A2944" t="str">
            <v>A2116</v>
          </cell>
          <cell r="B2944" t="str">
            <v>LONG TERM FINANCING - CORP (ALLOC)</v>
          </cell>
          <cell r="C2944" t="str">
            <v>075-BANKING AND INVESTOR SERVICES</v>
          </cell>
        </row>
        <row r="2945">
          <cell r="A2945" t="str">
            <v>A2122</v>
          </cell>
          <cell r="B2945" t="str">
            <v>FUNCTIONAL INDIRECT FOR ENTERPRISE</v>
          </cell>
          <cell r="C2945" t="str">
            <v>06H-NEO - ENTERPRISE NETWORKING</v>
          </cell>
        </row>
        <row r="2946">
          <cell r="A2946" t="str">
            <v>A2124</v>
          </cell>
          <cell r="B2946" t="str">
            <v>SHAREHOLDER SERVICES VR</v>
          </cell>
          <cell r="C2946" t="str">
            <v>065-NEO - TELEPHONE SERVICES</v>
          </cell>
        </row>
        <row r="2947">
          <cell r="A2947" t="str">
            <v>A2126</v>
          </cell>
          <cell r="B2947" t="str">
            <v>UEC ILL SVC TERRITORY XFER TO CIP</v>
          </cell>
          <cell r="C2947" t="str">
            <v>05B-CONTROLLERS BUDGETING</v>
          </cell>
        </row>
        <row r="2948">
          <cell r="A2948" t="str">
            <v>A2127</v>
          </cell>
          <cell r="B2948" t="str">
            <v>UE TRANSMISSION ESH SUPPORT SERVICE</v>
          </cell>
          <cell r="C2948" t="str">
            <v>049-ESH - GENERAL</v>
          </cell>
        </row>
        <row r="2949">
          <cell r="A2949" t="str">
            <v>A2128</v>
          </cell>
          <cell r="B2949" t="str">
            <v>UE DISTRIBUTION ESH SUPPORT SERVICE</v>
          </cell>
          <cell r="C2949" t="str">
            <v>049-ESH - GENERAL</v>
          </cell>
        </row>
        <row r="2950">
          <cell r="A2950" t="str">
            <v>A2130</v>
          </cell>
          <cell r="B2950" t="str">
            <v>IR SUPPORT FOR AFS</v>
          </cell>
          <cell r="C2950" t="str">
            <v>057-LABOR STRATEGY</v>
          </cell>
        </row>
        <row r="2951">
          <cell r="A2951" t="str">
            <v>A2132</v>
          </cell>
          <cell r="B2951" t="str">
            <v>PROVIDE ACCOUNTING SERVICES TO AFS</v>
          </cell>
          <cell r="C2951" t="str">
            <v>004-ACCOUNTING</v>
          </cell>
        </row>
        <row r="2952">
          <cell r="A2952" t="str">
            <v>A2133</v>
          </cell>
          <cell r="B2952" t="str">
            <v>MAINTAIN GEN ASSET RECORDS</v>
          </cell>
          <cell r="C2952" t="str">
            <v>004-ACCOUNTING</v>
          </cell>
        </row>
        <row r="2953">
          <cell r="A2953" t="str">
            <v>A2134</v>
          </cell>
          <cell r="B2953" t="str">
            <v>IMS SUPPORT (ELGIN)</v>
          </cell>
          <cell r="C2953" t="str">
            <v>05T-TAX</v>
          </cell>
        </row>
        <row r="2954">
          <cell r="A2954" t="str">
            <v>A2135</v>
          </cell>
          <cell r="B2954" t="str">
            <v>ASBESTOS EXPOSURE LITIGATION</v>
          </cell>
          <cell r="C2954" t="str">
            <v>038-CLAIMS</v>
          </cell>
        </row>
        <row r="2955">
          <cell r="A2955" t="str">
            <v>A2136</v>
          </cell>
          <cell r="B2955" t="str">
            <v>PPM ESH SUPPORT SERVICES</v>
          </cell>
          <cell r="C2955" t="str">
            <v>049-ESH - GENERAL</v>
          </cell>
        </row>
        <row r="2956">
          <cell r="A2956" t="str">
            <v>A2139</v>
          </cell>
          <cell r="B2956" t="str">
            <v>EVOLUTION (ACMS)</v>
          </cell>
          <cell r="C2956" t="str">
            <v>060-SCP - PLANNING</v>
          </cell>
        </row>
        <row r="2957">
          <cell r="A2957" t="str">
            <v>A2140</v>
          </cell>
          <cell r="B2957" t="str">
            <v>HUMAN RESOURCE VOICE RESPONSE</v>
          </cell>
          <cell r="C2957" t="str">
            <v>065-NEO - TELEPHONE SERVICES</v>
          </cell>
        </row>
        <row r="2958">
          <cell r="A2958" t="str">
            <v>A2142</v>
          </cell>
          <cell r="B2958" t="str">
            <v>LT FINANCING &amp; STRAT BUS DEV-GENCO</v>
          </cell>
          <cell r="C2958" t="str">
            <v>075-BANKING AND INVESTOR SERVICES</v>
          </cell>
        </row>
        <row r="2959">
          <cell r="A2959" t="str">
            <v>A2145</v>
          </cell>
          <cell r="B2959" t="str">
            <v>AUDIT OF CORPORATE PLANNING</v>
          </cell>
          <cell r="C2959" t="str">
            <v>05A-INTERNAL AUDIT</v>
          </cell>
        </row>
        <row r="2960">
          <cell r="A2960" t="str">
            <v>A2148</v>
          </cell>
          <cell r="B2960" t="str">
            <v>CORPORATE REPORTING SYSTEM</v>
          </cell>
          <cell r="C2960" t="str">
            <v>201-DEV - BUS &amp; CORP SVCS</v>
          </cell>
        </row>
        <row r="2961">
          <cell r="A2961" t="str">
            <v>A2149</v>
          </cell>
          <cell r="B2961" t="str">
            <v>METER READING MV-90 SUPPORT- GMC</v>
          </cell>
          <cell r="C2961" t="str">
            <v>03A-METER READING-AMS</v>
          </cell>
        </row>
        <row r="2962">
          <cell r="A2962" t="str">
            <v>A2150</v>
          </cell>
          <cell r="B2962" t="str">
            <v>SUPPORT ACTIVITIES FOR AEG</v>
          </cell>
          <cell r="C2962" t="str">
            <v>202-DEV - OPERATIONS</v>
          </cell>
        </row>
        <row r="2963">
          <cell r="A2963" t="str">
            <v>A2151</v>
          </cell>
          <cell r="B2963" t="str">
            <v>MGR - DISTRIBUTION CONTROL - UEC</v>
          </cell>
          <cell r="C2963" t="str">
            <v>030-DISTRIBUTION OPERATING - MO</v>
          </cell>
        </row>
        <row r="2964">
          <cell r="A2964" t="str">
            <v>A2152</v>
          </cell>
          <cell r="B2964" t="str">
            <v>MGR - DISTRIBUTION CONTROL - ALLOC</v>
          </cell>
          <cell r="C2964" t="str">
            <v>030-DISTRIBUTION OPERATING - MO</v>
          </cell>
        </row>
        <row r="2965">
          <cell r="A2965" t="str">
            <v>A2153</v>
          </cell>
          <cell r="B2965" t="str">
            <v>MANAGER - DISTRIBUTION CONTROL - AM</v>
          </cell>
          <cell r="C2965" t="str">
            <v>107-DISTRIBUTION OPERATING - MATTOO</v>
          </cell>
        </row>
        <row r="2966">
          <cell r="A2966" t="str">
            <v>A2154</v>
          </cell>
          <cell r="B2966" t="str">
            <v>ENGINEERING WORK FOR AM.ENERGY GEN.</v>
          </cell>
          <cell r="C2966" t="str">
            <v>03M-SUB MTCE &amp; CONST-ENG &amp; ADMIN</v>
          </cell>
        </row>
        <row r="2967">
          <cell r="A2967" t="str">
            <v>A2155</v>
          </cell>
          <cell r="B2967" t="str">
            <v>ENGINEERING WORK FOR AMERENUE PLTS</v>
          </cell>
          <cell r="C2967" t="str">
            <v>03M-SUB MTCE &amp; CONST-ENG &amp; ADMIN</v>
          </cell>
        </row>
        <row r="2968">
          <cell r="A2968" t="str">
            <v>A2158</v>
          </cell>
          <cell r="B2968" t="str">
            <v>ORACLE SW IMPLEMENTATION (EXPENSE)</v>
          </cell>
          <cell r="C2968" t="str">
            <v>060-SCP - PLANNING</v>
          </cell>
        </row>
        <row r="2969">
          <cell r="A2969" t="str">
            <v>A2161</v>
          </cell>
          <cell r="B2969" t="str">
            <v>POLE ASSET MGT-POLE ATTACHMENTS-UEC</v>
          </cell>
          <cell r="C2969" t="str">
            <v>0PM-ED FACILITIES MANAGEMENT</v>
          </cell>
        </row>
        <row r="2970">
          <cell r="A2970" t="str">
            <v>A2162</v>
          </cell>
          <cell r="B2970" t="str">
            <v>POLE ASSET MGT-POLE ATTACHMENTS-CIP</v>
          </cell>
          <cell r="C2970" t="str">
            <v>0PM-ED FACILITIES MANAGEMENT</v>
          </cell>
        </row>
        <row r="2971">
          <cell r="A2971" t="str">
            <v>A2163</v>
          </cell>
          <cell r="B2971" t="str">
            <v>POLE ASSET MGT-POLE ATT.-ALLOCATED</v>
          </cell>
          <cell r="C2971" t="str">
            <v>0PM-ED FACILITIES MANAGEMENT</v>
          </cell>
        </row>
        <row r="2972">
          <cell r="A2972" t="str">
            <v>A2164</v>
          </cell>
          <cell r="B2972" t="str">
            <v>POLE ASSET MGT-POLE MANAGEMENT- UEC</v>
          </cell>
          <cell r="C2972" t="str">
            <v>0PM-ED FACILITIES MANAGEMENT</v>
          </cell>
        </row>
        <row r="2973">
          <cell r="A2973" t="str">
            <v>A2165</v>
          </cell>
          <cell r="B2973" t="str">
            <v>POLE ASSET MGT-POLE MANAGEMENT- CIP</v>
          </cell>
          <cell r="C2973" t="str">
            <v>0PM-ED FACILITIES MANAGEMENT</v>
          </cell>
        </row>
        <row r="2974">
          <cell r="A2974" t="str">
            <v>A2166</v>
          </cell>
          <cell r="B2974" t="str">
            <v>POLE ASSET MGT-POLE MGMT- ALLOCATED</v>
          </cell>
          <cell r="C2974" t="str">
            <v>0PM-ED FACILITIES MANAGEMENT</v>
          </cell>
        </row>
        <row r="2975">
          <cell r="A2975" t="str">
            <v>A2167</v>
          </cell>
          <cell r="B2975" t="str">
            <v>POLE ASSET MGT-MISC. OFFICE EXPENSE</v>
          </cell>
          <cell r="C2975" t="str">
            <v>0PM-ED FACILITIES MANAGEMENT</v>
          </cell>
        </row>
        <row r="2976">
          <cell r="A2976" t="str">
            <v>A2168</v>
          </cell>
          <cell r="B2976" t="str">
            <v>EPROCUREMENT</v>
          </cell>
          <cell r="C2976" t="str">
            <v>201-DEV - BUS &amp; CORP SVCS</v>
          </cell>
        </row>
        <row r="2977">
          <cell r="A2977" t="str">
            <v>A2174</v>
          </cell>
          <cell r="B2977" t="str">
            <v>POLE ASSET MGT-INFRARED PROGRAM-UEC</v>
          </cell>
          <cell r="C2977" t="str">
            <v>0PM-ED FACILITIES MANAGEMENT</v>
          </cell>
        </row>
        <row r="2978">
          <cell r="A2978" t="str">
            <v>A2177</v>
          </cell>
          <cell r="B2978" t="str">
            <v>POLE ASSET MGT-AMERENUE</v>
          </cell>
          <cell r="C2978" t="str">
            <v>0PM-ED FACILITIES MANAGEMENT</v>
          </cell>
        </row>
        <row r="2979">
          <cell r="A2979" t="str">
            <v>A2178</v>
          </cell>
          <cell r="B2979" t="str">
            <v>POLE ASSET MGT-AMERENCIP</v>
          </cell>
          <cell r="C2979" t="str">
            <v>0PM-ED FACILITIES MANAGEMENT</v>
          </cell>
        </row>
        <row r="2980">
          <cell r="A2980" t="str">
            <v>A2179</v>
          </cell>
          <cell r="B2980" t="str">
            <v>POLE ASSET MGT-AMEREN ALLOCATED</v>
          </cell>
          <cell r="C2980" t="str">
            <v>0PM-ED FACILITIES MANAGEMENT</v>
          </cell>
        </row>
        <row r="2981">
          <cell r="A2981" t="str">
            <v>A2181</v>
          </cell>
          <cell r="B2981" t="str">
            <v>OFFICE XP PROJECT</v>
          </cell>
          <cell r="C2981" t="str">
            <v>06C-INF - STL CENTRAL SERVER OPS</v>
          </cell>
        </row>
        <row r="2982">
          <cell r="A2982" t="str">
            <v>A2184</v>
          </cell>
          <cell r="B2982" t="str">
            <v>EHR AND HRPOWERLINE WEB PAGE MAINTE</v>
          </cell>
          <cell r="C2982" t="str">
            <v>02V-EMPLOYEE COMMUNICATIONS</v>
          </cell>
        </row>
        <row r="2983">
          <cell r="A2983" t="str">
            <v>A2186</v>
          </cell>
          <cell r="B2983" t="str">
            <v>GROUP LIFE &amp; ADD (UE/AME/AMC)</v>
          </cell>
          <cell r="C2983" t="str">
            <v>019-EMPLOYEE BENEFIT PLANS</v>
          </cell>
        </row>
        <row r="2984">
          <cell r="A2984" t="str">
            <v>A2187</v>
          </cell>
          <cell r="B2984" t="str">
            <v>EMPLOYEE BENEFITS MGT, CIS, UEC CON</v>
          </cell>
          <cell r="C2984" t="str">
            <v>019-EMPLOYEE BENEFIT PLANS</v>
          </cell>
        </row>
        <row r="2985">
          <cell r="A2985" t="str">
            <v>A2188</v>
          </cell>
          <cell r="B2985" t="str">
            <v>401K - UEC CONTRACT EMPLOYEE</v>
          </cell>
          <cell r="C2985" t="str">
            <v>019-EMPLOYEE BENEFIT PLANS</v>
          </cell>
        </row>
        <row r="2986">
          <cell r="A2986" t="str">
            <v>A2189</v>
          </cell>
          <cell r="B2986" t="str">
            <v>DENTALVISION INSURANCE - LOCAL 1455</v>
          </cell>
          <cell r="C2986" t="str">
            <v>019-EMPLOYEE BENEFIT PLANS</v>
          </cell>
        </row>
        <row r="2987">
          <cell r="A2987" t="str">
            <v>A2190</v>
          </cell>
          <cell r="B2987" t="str">
            <v>401(K) MATCHING - CONTRACT</v>
          </cell>
          <cell r="C2987" t="str">
            <v>019-EMPLOYEE BENEFIT PLANS</v>
          </cell>
        </row>
        <row r="2988">
          <cell r="A2988" t="str">
            <v>A2191</v>
          </cell>
          <cell r="B2988" t="str">
            <v>401(K) COMPANY MATCH - MGMTUE CONTR</v>
          </cell>
          <cell r="C2988" t="str">
            <v>019-EMPLOYEE BENEFIT PLANS</v>
          </cell>
        </row>
        <row r="2989">
          <cell r="A2989" t="str">
            <v>A2192</v>
          </cell>
          <cell r="B2989" t="str">
            <v>401(K) COMPANY MATCH - CIPS CONTRAC</v>
          </cell>
          <cell r="C2989" t="str">
            <v>019-EMPLOYEE BENEFIT PLANS</v>
          </cell>
        </row>
        <row r="2990">
          <cell r="A2990" t="str">
            <v>A2193</v>
          </cell>
          <cell r="B2990" t="str">
            <v>IL- REGULATORY SERVICES ELEC/GAS</v>
          </cell>
          <cell r="C2990" t="str">
            <v>29R-REGULATORY POLICY</v>
          </cell>
        </row>
        <row r="2991">
          <cell r="A2991" t="str">
            <v>A2194</v>
          </cell>
          <cell r="B2991" t="str">
            <v>IL- REGULATORY SERVICES ELEC</v>
          </cell>
          <cell r="C2991" t="str">
            <v>29R-REGULATORY POLICY</v>
          </cell>
        </row>
        <row r="2992">
          <cell r="A2992" t="str">
            <v>A2196</v>
          </cell>
          <cell r="B2992" t="str">
            <v>UE-IL REGULATORY SERVICES ELEC</v>
          </cell>
          <cell r="C2992" t="str">
            <v>29R-REGULATORY POLICY</v>
          </cell>
        </row>
        <row r="2993">
          <cell r="A2993" t="str">
            <v>A2198</v>
          </cell>
          <cell r="B2993" t="str">
            <v>CIPS REGULATORY SERVICES ELEC</v>
          </cell>
          <cell r="C2993" t="str">
            <v>29R-REGULATORY POLICY</v>
          </cell>
        </row>
        <row r="2994">
          <cell r="A2994" t="str">
            <v>A2199</v>
          </cell>
          <cell r="B2994" t="str">
            <v>CIPS REGULATORY SERVICES GAS</v>
          </cell>
          <cell r="C2994" t="str">
            <v>29R-REGULATORY POLICY</v>
          </cell>
        </row>
        <row r="2995">
          <cell r="A2995" t="str">
            <v>A2201</v>
          </cell>
          <cell r="B2995" t="str">
            <v>TELECOM ATTACHMENTS - UE</v>
          </cell>
          <cell r="C2995" t="str">
            <v>061-REAL ESTATE</v>
          </cell>
        </row>
        <row r="2996">
          <cell r="A2996" t="str">
            <v>A2202</v>
          </cell>
          <cell r="B2996" t="str">
            <v>TELECOM ATTACHMENTS - CIP</v>
          </cell>
          <cell r="C2996" t="str">
            <v>061-REAL ESTATE</v>
          </cell>
        </row>
        <row r="2997">
          <cell r="A2997" t="str">
            <v>A2203</v>
          </cell>
          <cell r="B2997" t="str">
            <v>WIRELESS ATTACHMENTS - UE</v>
          </cell>
          <cell r="C2997" t="str">
            <v>061-REAL ESTATE</v>
          </cell>
        </row>
        <row r="2998">
          <cell r="A2998" t="str">
            <v>A2206</v>
          </cell>
          <cell r="B2998" t="str">
            <v>COLUMBIA CTG ESH SUPPORT SERVICES</v>
          </cell>
          <cell r="C2998" t="str">
            <v>049-ESH - GENERAL</v>
          </cell>
        </row>
        <row r="2999">
          <cell r="A2999" t="str">
            <v>A2209</v>
          </cell>
          <cell r="B2999" t="str">
            <v>DATA OPS DESKTOP SPT - FUNCTIONAL I</v>
          </cell>
          <cell r="C2999" t="str">
            <v>06M-CSF - TELECOM FIELD OPS</v>
          </cell>
        </row>
        <row r="3000">
          <cell r="A3000" t="str">
            <v>A2216</v>
          </cell>
          <cell r="B3000" t="str">
            <v>HELPDESK SUPPORT FOR UEC</v>
          </cell>
          <cell r="C3000" t="str">
            <v>06B-INF - ENTERPRISE COMPUTING SERV</v>
          </cell>
        </row>
        <row r="3001">
          <cell r="A3001" t="str">
            <v>A2217</v>
          </cell>
          <cell r="B3001" t="str">
            <v>HELPDESK SUPPORT FOR CIPS</v>
          </cell>
          <cell r="C3001" t="str">
            <v>06B-INF - ENTERPRISE COMPUTING SERV</v>
          </cell>
        </row>
        <row r="3002">
          <cell r="A3002" t="str">
            <v>A2220</v>
          </cell>
          <cell r="B3002" t="str">
            <v>FOCUSED ADVOCACY COMM PROG UEC</v>
          </cell>
          <cell r="C3002" t="str">
            <v>001-CORPORATE COMMUNICATIONS</v>
          </cell>
        </row>
        <row r="3003">
          <cell r="A3003" t="str">
            <v>A2223</v>
          </cell>
          <cell r="B3003" t="str">
            <v>MAINTENANCE OF THE IL BUILDING</v>
          </cell>
          <cell r="C3003" t="str">
            <v>07V-BUILDING SERVICES-AMS</v>
          </cell>
        </row>
        <row r="3004">
          <cell r="A3004" t="str">
            <v>A2224</v>
          </cell>
          <cell r="B3004" t="str">
            <v>DATAOPS - NT SERVER SUPPORT</v>
          </cell>
          <cell r="C3004" t="str">
            <v>06C-INF - STL CENTRAL SERVER OPS</v>
          </cell>
        </row>
        <row r="3005">
          <cell r="A3005" t="str">
            <v>A2227</v>
          </cell>
          <cell r="B3005" t="str">
            <v>STATEGIC DEVELOPMENT</v>
          </cell>
          <cell r="C3005" t="str">
            <v>075-BANKING AND INVESTOR SERVICES</v>
          </cell>
        </row>
        <row r="3006">
          <cell r="A3006" t="str">
            <v>A2257</v>
          </cell>
          <cell r="B3006" t="str">
            <v>CORPORATE SECURITY GOVERNANCE</v>
          </cell>
          <cell r="C3006" t="str">
            <v>06D-SCP - SECURITY</v>
          </cell>
        </row>
        <row r="3007">
          <cell r="A3007" t="str">
            <v>A2258</v>
          </cell>
          <cell r="B3007" t="str">
            <v>AE-FACIL.UPGR.STUDY-AUDRAIN-AMEREN</v>
          </cell>
          <cell r="C3007" t="str">
            <v>09E-ELECTRICAL ENGINEERING</v>
          </cell>
        </row>
        <row r="3008">
          <cell r="A3008" t="str">
            <v>A2263</v>
          </cell>
          <cell r="B3008" t="str">
            <v>AEG-STABILITY STUDY FOR ELGIN PLANT</v>
          </cell>
          <cell r="C3008" t="str">
            <v>09E-ELECTRICAL ENGINEERING</v>
          </cell>
        </row>
        <row r="3009">
          <cell r="A3009" t="str">
            <v>A2264</v>
          </cell>
          <cell r="B3009" t="str">
            <v>SAFETY SUPERVISOR - AMEREN UE</v>
          </cell>
          <cell r="C3009" t="str">
            <v>026-ED-SAFETY-UE</v>
          </cell>
        </row>
        <row r="3010">
          <cell r="A3010" t="str">
            <v>A2265</v>
          </cell>
          <cell r="B3010" t="str">
            <v>SAFETY SUPERVISOR - ALLOCATED</v>
          </cell>
          <cell r="C3010" t="str">
            <v>026-ED-SAFETY-UE</v>
          </cell>
        </row>
        <row r="3011">
          <cell r="A3011" t="str">
            <v>A2266</v>
          </cell>
          <cell r="B3011" t="str">
            <v>ECONOMIC DEV SERVICES - AE GENCO</v>
          </cell>
          <cell r="C3011" t="str">
            <v>016-ECONOMIC DEVELOPMENT</v>
          </cell>
        </row>
        <row r="3012">
          <cell r="A3012" t="str">
            <v>A2268</v>
          </cell>
          <cell r="B3012" t="str">
            <v>ECONOMIC DEVSERVICES - AE MKTG</v>
          </cell>
          <cell r="C3012" t="str">
            <v>016-ECONOMIC DEVELOPMENT</v>
          </cell>
        </row>
        <row r="3013">
          <cell r="A3013" t="str">
            <v>A2269</v>
          </cell>
          <cell r="B3013" t="str">
            <v>ECONOMIC DEV SERVICES - AE FUELS</v>
          </cell>
          <cell r="C3013" t="str">
            <v>016-ECONOMIC DEVELOPMENT</v>
          </cell>
        </row>
        <row r="3014">
          <cell r="A3014" t="str">
            <v>A2275</v>
          </cell>
          <cell r="B3014" t="str">
            <v>ECUSTOMER PROJECT - O&amp;M ITEMS</v>
          </cell>
          <cell r="C3014" t="str">
            <v>060-SCP - PLANNING</v>
          </cell>
        </row>
        <row r="3015">
          <cell r="A3015" t="str">
            <v>A2276</v>
          </cell>
          <cell r="B3015" t="str">
            <v>AMEREN.COM, SCHOLAR, STELLENT SPT</v>
          </cell>
          <cell r="C3015" t="str">
            <v>201-DEV - BUS &amp; CORP SVCS</v>
          </cell>
        </row>
        <row r="3016">
          <cell r="A3016" t="str">
            <v>A2278</v>
          </cell>
          <cell r="B3016" t="str">
            <v>CORP PLANNING SUPPORT FOR AFS</v>
          </cell>
          <cell r="C3016" t="str">
            <v>012-CORPORATE PLANNING</v>
          </cell>
        </row>
        <row r="3017">
          <cell r="A3017" t="str">
            <v>A2280</v>
          </cell>
          <cell r="B3017" t="str">
            <v>ONGOING M &amp; A SCREENING &amp; ANALYSIS</v>
          </cell>
          <cell r="C3017" t="str">
            <v>012-CORPORATE PLANNING</v>
          </cell>
        </row>
        <row r="3018">
          <cell r="A3018" t="str">
            <v>A2282</v>
          </cell>
          <cell r="B3018" t="str">
            <v>IMS SUPPORT (COLUMBIA)</v>
          </cell>
          <cell r="C3018" t="str">
            <v>05T-TAX</v>
          </cell>
        </row>
        <row r="3019">
          <cell r="A3019" t="str">
            <v>A2284</v>
          </cell>
          <cell r="B3019" t="str">
            <v>BLDG SRVC LABOR - AMEREN ENERGY GEN</v>
          </cell>
          <cell r="C3019" t="str">
            <v>07V-BUILDING SERVICES-AMS</v>
          </cell>
        </row>
        <row r="3020">
          <cell r="A3020" t="str">
            <v>A2285</v>
          </cell>
          <cell r="B3020" t="str">
            <v>PCS AND PERIPHERALS - HELPDESK SUPP</v>
          </cell>
          <cell r="C3020" t="str">
            <v>06B-INF - ENTERPRISE COMPUTING SERV</v>
          </cell>
        </row>
        <row r="3021">
          <cell r="A3021" t="str">
            <v>A2286</v>
          </cell>
          <cell r="B3021" t="str">
            <v>PCS AND PERIPHERALS - HELPDESK SUPP</v>
          </cell>
          <cell r="C3021" t="str">
            <v>06B-INF - ENTERPRISE COMPUTING SERV</v>
          </cell>
        </row>
        <row r="3022">
          <cell r="A3022" t="str">
            <v>A2287</v>
          </cell>
          <cell r="B3022" t="str">
            <v>AUDIT OF AMEREN ENERGY MARKETING</v>
          </cell>
          <cell r="C3022" t="str">
            <v>05A-INTERNAL AUDIT</v>
          </cell>
        </row>
        <row r="3023">
          <cell r="A3023" t="str">
            <v>A2288</v>
          </cell>
          <cell r="B3023" t="str">
            <v>AUDIT OF CAPITAL PROJECTS - AEG</v>
          </cell>
          <cell r="C3023" t="str">
            <v>05A-INTERNAL AUDIT</v>
          </cell>
        </row>
        <row r="3024">
          <cell r="A3024" t="str">
            <v>A2289</v>
          </cell>
          <cell r="B3024" t="str">
            <v>AUDIT OF CAPITAL PROJECTS - CIP</v>
          </cell>
          <cell r="C3024" t="str">
            <v>05A-INTERNAL AUDIT</v>
          </cell>
        </row>
        <row r="3025">
          <cell r="A3025" t="str">
            <v>A2291</v>
          </cell>
          <cell r="B3025" t="str">
            <v>ILLINOIS GAS RATE CASE AMERENUE</v>
          </cell>
          <cell r="C3025" t="str">
            <v>09D-TRANSMISSION POLICY</v>
          </cell>
        </row>
        <row r="3026">
          <cell r="A3026" t="str">
            <v>A2292</v>
          </cell>
          <cell r="B3026" t="str">
            <v>ILLINOIS GAS RATE CASE - UEC</v>
          </cell>
          <cell r="C3026" t="str">
            <v>09D-TRANSMISSION POLICY</v>
          </cell>
        </row>
        <row r="3027">
          <cell r="A3027" t="str">
            <v>A2293</v>
          </cell>
          <cell r="B3027" t="str">
            <v>MANAGER ALTON DISTRICT</v>
          </cell>
          <cell r="C3027" t="str">
            <v>014-ALTON DISTRICT</v>
          </cell>
        </row>
        <row r="3028">
          <cell r="A3028" t="str">
            <v>A2294</v>
          </cell>
          <cell r="B3028" t="str">
            <v>ESL IL - MANAGER - AMEREN DIVISION</v>
          </cell>
          <cell r="C3028" t="str">
            <v>015-ILLINOIS DISTRICT-E. ST. LOUIS</v>
          </cell>
        </row>
        <row r="3029">
          <cell r="A3029" t="str">
            <v>A2295</v>
          </cell>
          <cell r="B3029" t="str">
            <v>FUELS &amp; SERVICES ESH SUPPORT</v>
          </cell>
          <cell r="C3029" t="str">
            <v>049-ESH - GENERAL</v>
          </cell>
        </row>
        <row r="3030">
          <cell r="A3030" t="str">
            <v>A2296</v>
          </cell>
          <cell r="B3030" t="str">
            <v>ENERGY DELIVERY - CONTROLLER</v>
          </cell>
          <cell r="C3030" t="str">
            <v>45C-ED FINANCIAL SUPPORT &amp; ANALYSIS</v>
          </cell>
        </row>
        <row r="3031">
          <cell r="A3031" t="str">
            <v>A2297</v>
          </cell>
          <cell r="B3031" t="str">
            <v>ENERGY DELIVERY - CONTROLLER (TRANS</v>
          </cell>
          <cell r="C3031" t="str">
            <v>45C-ED FINANCIAL SUPPORT &amp; ANALYSIS</v>
          </cell>
        </row>
        <row r="3032">
          <cell r="A3032" t="str">
            <v>A2298</v>
          </cell>
          <cell r="B3032" t="str">
            <v>RISK MANAGEMENT - AFS</v>
          </cell>
          <cell r="C3032" t="str">
            <v>07Q-CORPORATE RISK MGMT</v>
          </cell>
        </row>
        <row r="3033">
          <cell r="A3033" t="str">
            <v>A2299</v>
          </cell>
          <cell r="B3033" t="str">
            <v>RISK MANAGEMENT - AMC</v>
          </cell>
          <cell r="C3033" t="str">
            <v>07Q-CORPORATE RISK MGMT</v>
          </cell>
        </row>
        <row r="3034">
          <cell r="A3034" t="str">
            <v>A2300</v>
          </cell>
          <cell r="B3034" t="str">
            <v>ENERGY DELIVERY STRATEGIC INITIATIV</v>
          </cell>
          <cell r="C3034" t="str">
            <v>45C-ED FINANCIAL SUPPORT &amp; ANALYSIS</v>
          </cell>
        </row>
        <row r="3035">
          <cell r="A3035" t="str">
            <v>A2301</v>
          </cell>
          <cell r="B3035" t="str">
            <v>DATA CENTER PRINTER USAGE</v>
          </cell>
          <cell r="C3035" t="str">
            <v>006-INF - DATA CENTER OPERATIONS</v>
          </cell>
        </row>
        <row r="3036">
          <cell r="A3036" t="str">
            <v>A2302</v>
          </cell>
          <cell r="B3036" t="str">
            <v>AUDIT OF RISK MANAGEMENT</v>
          </cell>
          <cell r="C3036" t="str">
            <v>05A-INTERNAL AUDIT</v>
          </cell>
        </row>
        <row r="3037">
          <cell r="A3037" t="str">
            <v>A2303</v>
          </cell>
          <cell r="B3037" t="str">
            <v>AUDIT OF PGA OPS - CIPS - ILLINOIS</v>
          </cell>
          <cell r="C3037" t="str">
            <v>05A-INTERNAL AUDIT</v>
          </cell>
        </row>
        <row r="3038">
          <cell r="A3038" t="str">
            <v>A2304</v>
          </cell>
          <cell r="B3038" t="str">
            <v>EAD BUSINESS CONTINUITY PROJECT</v>
          </cell>
          <cell r="C3038" t="str">
            <v>060-SCP - PLANNING</v>
          </cell>
        </row>
        <row r="3039">
          <cell r="A3039" t="str">
            <v>A2305</v>
          </cell>
          <cell r="B3039" t="str">
            <v>ELGIN CTG ESH SUPPORT SERVICES</v>
          </cell>
          <cell r="C3039" t="str">
            <v>049-ESH - GENERAL</v>
          </cell>
        </row>
        <row r="3040">
          <cell r="A3040" t="str">
            <v>A2306</v>
          </cell>
          <cell r="B3040" t="str">
            <v>PENO CREEK/PIKE CO. CTG ESH SUPPORT</v>
          </cell>
          <cell r="C3040" t="str">
            <v>049-ESH - GENERAL</v>
          </cell>
        </row>
        <row r="3041">
          <cell r="A3041" t="str">
            <v>A2307</v>
          </cell>
          <cell r="B3041" t="str">
            <v>SUPPORT FOR E CUSTOMER SYSTEM</v>
          </cell>
          <cell r="C3041" t="str">
            <v>204-DEV - ENERGY DELIVERY</v>
          </cell>
        </row>
        <row r="3042">
          <cell r="A3042" t="str">
            <v>A2308</v>
          </cell>
          <cell r="B3042" t="str">
            <v>IMPROVE OPERATIONAL EFFICIENCIES</v>
          </cell>
          <cell r="C3042" t="str">
            <v>006-INF - DATA CENTER OPERATIONS</v>
          </cell>
        </row>
        <row r="3043">
          <cell r="A3043" t="str">
            <v>A2309</v>
          </cell>
          <cell r="B3043" t="str">
            <v>HR RELATED EMPLOYEE COMMUNICATIONS</v>
          </cell>
          <cell r="C3043" t="str">
            <v>02V-EMPLOYEE COMMUNICATIONS</v>
          </cell>
        </row>
        <row r="3044">
          <cell r="A3044" t="str">
            <v>A2310</v>
          </cell>
          <cell r="B3044" t="str">
            <v>SWO - CIC PROP MGMT</v>
          </cell>
          <cell r="C3044" t="str">
            <v>061-REAL ESTATE</v>
          </cell>
        </row>
        <row r="3045">
          <cell r="A3045" t="str">
            <v>A2312</v>
          </cell>
          <cell r="B3045" t="str">
            <v>TR.PLANNING - ALLOCATED- PEAK LOAD</v>
          </cell>
          <cell r="C3045" t="str">
            <v>09P-ELECTRIC PLANNING</v>
          </cell>
        </row>
        <row r="3046">
          <cell r="A3046" t="str">
            <v>A2316</v>
          </cell>
          <cell r="B3046" t="str">
            <v>CORPORATE PLANNING SUPPORT FOR AER</v>
          </cell>
          <cell r="C3046" t="str">
            <v>012-CORPORATE PLANNING</v>
          </cell>
        </row>
        <row r="3047">
          <cell r="A3047" t="str">
            <v>A2317</v>
          </cell>
          <cell r="B3047" t="str">
            <v>HR SUPPORT SERVICES - NNUC</v>
          </cell>
          <cell r="C3047" t="str">
            <v>02T-HR - ORGANIZATION EFFECTIVENESS</v>
          </cell>
        </row>
        <row r="3048">
          <cell r="A3048" t="str">
            <v>A2321</v>
          </cell>
          <cell r="B3048" t="str">
            <v>ADMIN SUPPORT/OFFICE EXP-REGULATORY</v>
          </cell>
          <cell r="C3048" t="str">
            <v>29R-REGULATORY POLICY</v>
          </cell>
        </row>
        <row r="3049">
          <cell r="A3049" t="str">
            <v>A2323</v>
          </cell>
          <cell r="B3049" t="str">
            <v>AMEREN ENERGY RESOURCES - BUSINESS</v>
          </cell>
          <cell r="C3049" t="str">
            <v>310-AER SVCS - FINANCIAL ANALYSIS</v>
          </cell>
        </row>
        <row r="3050">
          <cell r="A3050" t="str">
            <v>A2324</v>
          </cell>
          <cell r="B3050" t="str">
            <v>AMEREN ENERGY MARKETING - BUSINESS</v>
          </cell>
          <cell r="C3050" t="str">
            <v>310-AER SVCS - FINANCIAL ANALYSIS</v>
          </cell>
        </row>
        <row r="3051">
          <cell r="A3051" t="str">
            <v>A2325</v>
          </cell>
          <cell r="B3051" t="str">
            <v>AMEREN ENERGY - BUSINESS SERVICES</v>
          </cell>
          <cell r="C3051" t="str">
            <v>310-AER SVCS - FINANCIAL ANALYSIS</v>
          </cell>
        </row>
        <row r="3052">
          <cell r="A3052" t="str">
            <v>A2326</v>
          </cell>
          <cell r="B3052" t="str">
            <v>AMEREN ENERGY FUELS AND SERVICES -</v>
          </cell>
          <cell r="C3052" t="str">
            <v>310-AER SVCS - FINANCIAL ANALYSIS</v>
          </cell>
        </row>
        <row r="3053">
          <cell r="A3053" t="str">
            <v>A2327</v>
          </cell>
          <cell r="B3053" t="str">
            <v>BUSINESS SERVICES - AMEREN ENERGY G</v>
          </cell>
          <cell r="C3053" t="str">
            <v>310-AER SVCS - FINANCIAL ANALYSIS</v>
          </cell>
        </row>
        <row r="3054">
          <cell r="A3054" t="str">
            <v>A2330</v>
          </cell>
          <cell r="B3054" t="str">
            <v>AMS INCOME TAX EXPENSE</v>
          </cell>
          <cell r="C3054" t="str">
            <v>05T-TAX</v>
          </cell>
        </row>
        <row r="3055">
          <cell r="A3055" t="str">
            <v>A2331</v>
          </cell>
          <cell r="B3055" t="str">
            <v>UEC REGULATORY POLICY - ELECTRIC</v>
          </cell>
          <cell r="C3055" t="str">
            <v>29R-REGULATORY POLICY</v>
          </cell>
        </row>
        <row r="3056">
          <cell r="A3056" t="str">
            <v>A2332</v>
          </cell>
          <cell r="B3056" t="str">
            <v>UEC REGULATORY POLICY - GAS</v>
          </cell>
          <cell r="C3056" t="str">
            <v>29R-REGULATORY POLICY</v>
          </cell>
        </row>
        <row r="3057">
          <cell r="A3057" t="str">
            <v>A2333</v>
          </cell>
          <cell r="B3057" t="str">
            <v>ILLINOIS REG POLICY-UEC-ELECTRIC</v>
          </cell>
          <cell r="C3057" t="str">
            <v>29R-REGULATORY POLICY</v>
          </cell>
        </row>
        <row r="3058">
          <cell r="A3058" t="str">
            <v>A2334</v>
          </cell>
          <cell r="B3058" t="str">
            <v>ILLINOIS REGULATORY POLICY-UEC-GAS</v>
          </cell>
          <cell r="C3058" t="str">
            <v>29R-REGULATORY POLICY</v>
          </cell>
        </row>
        <row r="3059">
          <cell r="A3059" t="str">
            <v>A2337</v>
          </cell>
          <cell r="B3059" t="str">
            <v>ILLINOIS REGULATORY POLICY-ELECTRIC</v>
          </cell>
          <cell r="C3059" t="str">
            <v>29R-REGULATORY POLICY</v>
          </cell>
        </row>
        <row r="3060">
          <cell r="A3060" t="str">
            <v>A2338</v>
          </cell>
          <cell r="B3060" t="str">
            <v>ILLINOIS REG POLICY - GAS</v>
          </cell>
          <cell r="C3060" t="str">
            <v>29R-REGULATORY POLICY</v>
          </cell>
        </row>
        <row r="3061">
          <cell r="A3061" t="str">
            <v>A2339</v>
          </cell>
          <cell r="B3061" t="str">
            <v>FED REGULATORY POLICY-GENERATION</v>
          </cell>
          <cell r="C3061" t="str">
            <v>29R-REGULATORY POLICY</v>
          </cell>
        </row>
        <row r="3062">
          <cell r="A3062" t="str">
            <v>A2340</v>
          </cell>
          <cell r="B3062" t="str">
            <v>FED REGULATORY POLICY-TRANSMISSION</v>
          </cell>
          <cell r="C3062" t="str">
            <v>29R-REGULATORY POLICY</v>
          </cell>
        </row>
        <row r="3063">
          <cell r="A3063" t="str">
            <v>A2341</v>
          </cell>
          <cell r="B3063" t="str">
            <v>FEDERAL REGULATORY POLICY - GAS</v>
          </cell>
          <cell r="C3063" t="str">
            <v>29R-REGULATORY POLICY</v>
          </cell>
        </row>
        <row r="3064">
          <cell r="A3064" t="str">
            <v>A2345</v>
          </cell>
          <cell r="B3064" t="str">
            <v>CIL - CONTROLLER'S SERVICES</v>
          </cell>
          <cell r="C3064" t="str">
            <v>004-ACCOUNTING</v>
          </cell>
        </row>
        <row r="3065">
          <cell r="A3065" t="str">
            <v>A2347</v>
          </cell>
          <cell r="B3065" t="str">
            <v>AER BUSINESS SERVICES INDIRECT FUNC</v>
          </cell>
          <cell r="C3065" t="str">
            <v>310-AER SVCS - FINANCIAL ANALYSIS</v>
          </cell>
        </row>
        <row r="3066">
          <cell r="A3066" t="str">
            <v>A2348</v>
          </cell>
          <cell r="B3066" t="str">
            <v>RISK MANAGEMENT - GMC</v>
          </cell>
          <cell r="C3066" t="str">
            <v>07Q-CORPORATE RISK MGMT</v>
          </cell>
        </row>
        <row r="3067">
          <cell r="A3067" t="str">
            <v>A2349</v>
          </cell>
          <cell r="B3067" t="str">
            <v>EMPRV-CALLAWAY</v>
          </cell>
          <cell r="C3067" t="str">
            <v>202-DEV - OPERATIONS</v>
          </cell>
        </row>
        <row r="3068">
          <cell r="A3068" t="str">
            <v>A2350</v>
          </cell>
          <cell r="B3068" t="str">
            <v>BENZENE EXPOSURE LITIGATION</v>
          </cell>
          <cell r="C3068" t="str">
            <v>038-CLAIMS</v>
          </cell>
        </row>
        <row r="3069">
          <cell r="A3069" t="str">
            <v>A2351</v>
          </cell>
          <cell r="B3069" t="str">
            <v>CIL - ED CONTROLLER COST COLLECTOR</v>
          </cell>
          <cell r="C3069" t="str">
            <v>45C-ED FINANCIAL SUPPORT &amp; ANALYSIS</v>
          </cell>
        </row>
        <row r="3070">
          <cell r="A3070" t="str">
            <v>A2352</v>
          </cell>
          <cell r="B3070" t="str">
            <v>CIL - GAS RATE ACTIVITIES</v>
          </cell>
          <cell r="C3070" t="str">
            <v>04R-REGULATORY ACCOUNTING</v>
          </cell>
        </row>
        <row r="3071">
          <cell r="A3071" t="str">
            <v>A2353</v>
          </cell>
          <cell r="B3071" t="str">
            <v>GEN COUNSEL SERVICES-CILCO ELECTRIC</v>
          </cell>
          <cell r="C3071" t="str">
            <v>024-LEGAL</v>
          </cell>
        </row>
        <row r="3072">
          <cell r="A3072" t="str">
            <v>A2354</v>
          </cell>
          <cell r="B3072" t="str">
            <v>CIL - TAX WORK</v>
          </cell>
          <cell r="C3072" t="str">
            <v>05T-TAX</v>
          </cell>
        </row>
        <row r="3073">
          <cell r="A3073" t="str">
            <v>A2355</v>
          </cell>
          <cell r="B3073" t="str">
            <v>ARG - DUCK CREEK ESH SUPPORT</v>
          </cell>
          <cell r="C3073" t="str">
            <v>049-ESH - GENERAL</v>
          </cell>
        </row>
        <row r="3074">
          <cell r="A3074" t="str">
            <v>A2356</v>
          </cell>
          <cell r="B3074" t="str">
            <v>ARG - EDWARDS ESH SUPPORT</v>
          </cell>
          <cell r="C3074" t="str">
            <v>049-ESH - GENERAL</v>
          </cell>
        </row>
        <row r="3075">
          <cell r="A3075" t="str">
            <v>A2357</v>
          </cell>
          <cell r="B3075" t="str">
            <v>CIL - T &amp; D ESH SUPPORT</v>
          </cell>
          <cell r="C3075" t="str">
            <v>049-ESH - GENERAL</v>
          </cell>
        </row>
        <row r="3076">
          <cell r="A3076" t="str">
            <v>A2358</v>
          </cell>
          <cell r="B3076" t="str">
            <v>EDTS - ONGOING SUPPORT SVCS. -CILCO</v>
          </cell>
          <cell r="C3076" t="str">
            <v>0PM-ED FACILITIES MANAGEMENT</v>
          </cell>
        </row>
        <row r="3077">
          <cell r="A3077" t="str">
            <v>A2359</v>
          </cell>
          <cell r="B3077" t="str">
            <v>CILCO ON-GOING COST</v>
          </cell>
          <cell r="C3077" t="str">
            <v>065-NEO - TELEPHONE SERVICES</v>
          </cell>
        </row>
        <row r="3078">
          <cell r="A3078" t="str">
            <v>A2360</v>
          </cell>
          <cell r="B3078" t="str">
            <v>REGULATORY DEVELOPMENT -UEC</v>
          </cell>
          <cell r="C3078" t="str">
            <v>09D-TRANSMISSION POLICY</v>
          </cell>
        </row>
        <row r="3079">
          <cell r="A3079" t="str">
            <v>A2361</v>
          </cell>
          <cell r="B3079" t="str">
            <v>REGULATORY DEVELOPMENT -CIPS</v>
          </cell>
          <cell r="C3079" t="str">
            <v>09D-TRANSMISSION POLICY</v>
          </cell>
        </row>
        <row r="3080">
          <cell r="A3080" t="str">
            <v>A2362</v>
          </cell>
          <cell r="B3080" t="str">
            <v>REGULATORY DEVELOPMENT -CILCO</v>
          </cell>
          <cell r="C3080" t="str">
            <v>09D-TRANSMISSION POLICY</v>
          </cell>
        </row>
        <row r="3081">
          <cell r="A3081" t="str">
            <v>A2363</v>
          </cell>
          <cell r="B3081" t="str">
            <v>REGULATORY DEVELOPMENT -UE DIST</v>
          </cell>
          <cell r="C3081" t="str">
            <v>09D-TRANSMISSION POLICY</v>
          </cell>
        </row>
        <row r="3082">
          <cell r="A3082" t="str">
            <v>A2364</v>
          </cell>
          <cell r="B3082" t="str">
            <v>REGULATORY DEVELOPMENT -UE TRANSM</v>
          </cell>
          <cell r="C3082" t="str">
            <v>09D-TRANSMISSION POLICY</v>
          </cell>
        </row>
        <row r="3083">
          <cell r="A3083" t="str">
            <v>A2365</v>
          </cell>
          <cell r="B3083" t="str">
            <v>REGULATORY DEVELOPMENT -UE GAS</v>
          </cell>
          <cell r="C3083" t="str">
            <v>09D-TRANSMISSION POLICY</v>
          </cell>
        </row>
        <row r="3084">
          <cell r="A3084" t="str">
            <v>A2366</v>
          </cell>
          <cell r="B3084" t="str">
            <v>LOBBYING FOR AMEREN/IL OPERA</v>
          </cell>
          <cell r="C3084" t="str">
            <v>157-GOVERNMENT RELATIONS</v>
          </cell>
        </row>
        <row r="3085">
          <cell r="A3085" t="str">
            <v>A2367</v>
          </cell>
          <cell r="B3085" t="str">
            <v>CIL LOBBYING FOR AMERENCILCO</v>
          </cell>
          <cell r="C3085" t="str">
            <v>157-GOVERNMENT RELATIONS</v>
          </cell>
        </row>
        <row r="3086">
          <cell r="A3086" t="str">
            <v>A2368</v>
          </cell>
          <cell r="B3086" t="str">
            <v>STORES ADMIN SUPPORT-CIL</v>
          </cell>
          <cell r="C3086" t="str">
            <v>05M-STOREROOMS-AMS</v>
          </cell>
        </row>
        <row r="3087">
          <cell r="A3087" t="str">
            <v>A2369</v>
          </cell>
          <cell r="B3087" t="str">
            <v>STORES AMS MGMT-CIL (IL ELEC/GAS)</v>
          </cell>
          <cell r="C3087" t="str">
            <v>05M-STOREROOMS-AMS</v>
          </cell>
        </row>
        <row r="3088">
          <cell r="A3088" t="str">
            <v>A2372</v>
          </cell>
          <cell r="B3088" t="str">
            <v>CIL-ECONOMIC DEVELOPMENT SERVICES</v>
          </cell>
          <cell r="C3088" t="str">
            <v>016-ECONOMIC DEVELOPMENT</v>
          </cell>
        </row>
        <row r="3089">
          <cell r="A3089" t="str">
            <v>A2373</v>
          </cell>
          <cell r="B3089" t="str">
            <v>2003 MISSOURI GAS RATE CASE</v>
          </cell>
          <cell r="C3089" t="str">
            <v>024-LEGAL</v>
          </cell>
        </row>
        <row r="3090">
          <cell r="A3090" t="str">
            <v>A2374</v>
          </cell>
          <cell r="B3090" t="str">
            <v>CIL - STORES MATL MGT SUPPORT</v>
          </cell>
          <cell r="C3090" t="str">
            <v>05M-STOREROOMS-AMS</v>
          </cell>
        </row>
        <row r="3091">
          <cell r="A3091" t="str">
            <v>A2378</v>
          </cell>
          <cell r="B3091" t="str">
            <v>CIL - AUDIT OF CILCO CONTRACTORS</v>
          </cell>
          <cell r="C3091" t="str">
            <v>05A-INTERNAL AUDIT</v>
          </cell>
        </row>
        <row r="3092">
          <cell r="A3092" t="str">
            <v>A2379</v>
          </cell>
          <cell r="B3092" t="str">
            <v>ARG - AUDIT OF CILCO POWER OPS</v>
          </cell>
          <cell r="C3092" t="str">
            <v>05A-INTERNAL AUDIT</v>
          </cell>
        </row>
        <row r="3093">
          <cell r="A3093" t="str">
            <v>A2380</v>
          </cell>
          <cell r="B3093" t="str">
            <v>CIL - AUDIT OF CILCO DISTRICT OPS</v>
          </cell>
          <cell r="C3093" t="str">
            <v>05A-INTERNAL AUDIT</v>
          </cell>
        </row>
        <row r="3094">
          <cell r="A3094" t="str">
            <v>A2381</v>
          </cell>
          <cell r="B3094" t="str">
            <v>AUDIT OF MEDINA VALLEY PLANT</v>
          </cell>
          <cell r="C3094" t="str">
            <v>05A-INTERNAL AUDIT</v>
          </cell>
        </row>
        <row r="3095">
          <cell r="A3095" t="str">
            <v>A2383</v>
          </cell>
          <cell r="B3095" t="str">
            <v>CIL-AUDIT OF INVENTORIES/MATERIALS</v>
          </cell>
          <cell r="C3095" t="str">
            <v>05A-INTERNAL AUDIT</v>
          </cell>
        </row>
        <row r="3096">
          <cell r="A3096" t="str">
            <v>A2386</v>
          </cell>
          <cell r="B3096" t="str">
            <v>ED ADMIN PROCESS - ALLOCATED</v>
          </cell>
          <cell r="C3096" t="str">
            <v>45C-ED FINANCIAL SUPPORT &amp; ANALYSIS</v>
          </cell>
        </row>
        <row r="3097">
          <cell r="A3097" t="str">
            <v>A2389</v>
          </cell>
          <cell r="B3097" t="str">
            <v>CIL - ENCLOSE CILCO UTILITY BILLS</v>
          </cell>
          <cell r="C3097" t="str">
            <v>06A-INF-INSERTING &amp; MAIL DELIVERY</v>
          </cell>
        </row>
        <row r="3098">
          <cell r="A3098" t="str">
            <v>A2392</v>
          </cell>
          <cell r="B3098" t="str">
            <v>ED PERFORMANCE IMPROVEMENT - UEC</v>
          </cell>
          <cell r="C3098" t="str">
            <v>234-ED SAFETY &amp; IND ENG</v>
          </cell>
        </row>
        <row r="3099">
          <cell r="A3099" t="str">
            <v>A2393</v>
          </cell>
          <cell r="B3099" t="str">
            <v>ED PERFORMANCE IMPROVEMENT</v>
          </cell>
          <cell r="C3099" t="str">
            <v>234-ED SAFETY &amp; IND ENG</v>
          </cell>
        </row>
        <row r="3100">
          <cell r="A3100" t="str">
            <v>A2394</v>
          </cell>
          <cell r="B3100" t="str">
            <v>ED PERFORMANCE IMPROVEMENT</v>
          </cell>
          <cell r="C3100" t="str">
            <v>234-ED SAFETY &amp; IND ENG</v>
          </cell>
        </row>
        <row r="3101">
          <cell r="A3101" t="str">
            <v>A2395</v>
          </cell>
          <cell r="B3101" t="str">
            <v>CIPS SUPERVISION - FUNCTION 24</v>
          </cell>
          <cell r="C3101" t="str">
            <v>232-GDSS ADMIN</v>
          </cell>
        </row>
        <row r="3102">
          <cell r="A3102" t="str">
            <v>A2396</v>
          </cell>
          <cell r="B3102" t="str">
            <v>UEC SUPERVISION - FUNCTION 24</v>
          </cell>
          <cell r="C3102" t="str">
            <v>232-GDSS ADMIN</v>
          </cell>
        </row>
        <row r="3103">
          <cell r="A3103" t="str">
            <v>A2398</v>
          </cell>
          <cell r="B3103" t="str">
            <v>CILCO IT EAD AND DATA OPS ONGOING S</v>
          </cell>
          <cell r="C3103" t="str">
            <v>006-INF - DATA CENTER OPERATIONS</v>
          </cell>
        </row>
        <row r="3104">
          <cell r="A3104" t="str">
            <v>A2399</v>
          </cell>
          <cell r="B3104" t="str">
            <v>ENVIRONMENTAL SAFETY AUDIT SYSTEM</v>
          </cell>
          <cell r="C3104" t="str">
            <v>204-DEV - ENERGY DELIVERY</v>
          </cell>
        </row>
        <row r="3105">
          <cell r="A3105" t="str">
            <v>A2400</v>
          </cell>
          <cell r="B3105" t="str">
            <v>ENVIRONMENTAL SAFETY SCORECARD SYST</v>
          </cell>
          <cell r="C3105" t="str">
            <v>204-DEV - ENERGY DELIVERY</v>
          </cell>
        </row>
        <row r="3106">
          <cell r="A3106" t="str">
            <v>A2401</v>
          </cell>
          <cell r="B3106" t="str">
            <v>PROVIDE SVCS TO BFT TOTAL CO-CILCO</v>
          </cell>
          <cell r="C3106" t="str">
            <v>02E-HR - STAFFING</v>
          </cell>
        </row>
        <row r="3107">
          <cell r="A3107" t="str">
            <v>A2403</v>
          </cell>
          <cell r="B3107" t="str">
            <v>ED-MGR-DIVISION OPERATIONS-CIPS</v>
          </cell>
          <cell r="C3107" t="str">
            <v>231-IL OPS ADMIN DIV IV V VI VII</v>
          </cell>
        </row>
        <row r="3108">
          <cell r="A3108" t="str">
            <v>A2404</v>
          </cell>
          <cell r="B3108" t="str">
            <v>ED-MGR-DIVISION OPERATIONS-UEC</v>
          </cell>
          <cell r="C3108" t="str">
            <v>231-IL OPS ADMIN DIV IV V VI VII</v>
          </cell>
        </row>
        <row r="3109">
          <cell r="A3109" t="str">
            <v>A2405</v>
          </cell>
          <cell r="B3109" t="str">
            <v>ED-MGR-DIVISION OPERATIONS-ALLOC</v>
          </cell>
          <cell r="C3109" t="str">
            <v>231-IL OPS ADMIN DIV IV V VI VII</v>
          </cell>
        </row>
        <row r="3110">
          <cell r="A3110" t="str">
            <v>A2409</v>
          </cell>
          <cell r="B3110" t="str">
            <v>CILCORP SUPPORT-PURCHASING</v>
          </cell>
          <cell r="C3110" t="str">
            <v>074-PURCHASING</v>
          </cell>
        </row>
        <row r="3111">
          <cell r="A3111" t="str">
            <v>A2411</v>
          </cell>
          <cell r="B3111" t="str">
            <v>COMM SERVICES AMEREN / CILCO</v>
          </cell>
          <cell r="C3111" t="str">
            <v>065-NEO - TELEPHONE SERVICES</v>
          </cell>
        </row>
        <row r="3112">
          <cell r="A3112" t="str">
            <v>A2412</v>
          </cell>
          <cell r="B3112" t="str">
            <v>BUILDING SERVICE - LABOR CILCO</v>
          </cell>
          <cell r="C3112" t="str">
            <v>07V-BUILDING SERVICES-AMS</v>
          </cell>
        </row>
        <row r="3113">
          <cell r="A3113" t="str">
            <v>A2413</v>
          </cell>
          <cell r="B3113" t="str">
            <v>MEDINA VALLEY - ACCOUNTING SERVICES</v>
          </cell>
          <cell r="C3113" t="str">
            <v>004-ACCOUNTING</v>
          </cell>
        </row>
        <row r="3114">
          <cell r="A3114" t="str">
            <v>A2414</v>
          </cell>
          <cell r="B3114" t="str">
            <v>MEDINA VALLEY TAX WORK</v>
          </cell>
          <cell r="C3114" t="str">
            <v>05T-TAX</v>
          </cell>
        </row>
        <row r="3115">
          <cell r="A3115" t="str">
            <v>A2416</v>
          </cell>
          <cell r="B3115" t="str">
            <v>BUSINESS STREAMLINING</v>
          </cell>
          <cell r="C3115" t="str">
            <v>01C-STRATEGIC INITIATIVES</v>
          </cell>
        </row>
        <row r="3116">
          <cell r="A3116" t="str">
            <v>A2417</v>
          </cell>
          <cell r="B3116" t="str">
            <v>GENERAL COUNSEL SERVICES-CILCO-GAS</v>
          </cell>
          <cell r="C3116" t="str">
            <v>024-LEGAL</v>
          </cell>
        </row>
        <row r="3117">
          <cell r="A3117" t="str">
            <v>A2418</v>
          </cell>
          <cell r="B3117" t="str">
            <v>PROCESS CILCO CUSTOMER PAYMENTS</v>
          </cell>
          <cell r="C3117" t="str">
            <v>076-TREASURY TECHNOLOGY SERVICES</v>
          </cell>
        </row>
        <row r="3118">
          <cell r="A3118" t="str">
            <v>A2419</v>
          </cell>
          <cell r="B3118" t="str">
            <v>AMEREN CILCO INVEST &amp; REMEDIATION</v>
          </cell>
          <cell r="C3118" t="str">
            <v>49B-ESH - WASTE</v>
          </cell>
        </row>
        <row r="3119">
          <cell r="A3119" t="str">
            <v>A2420</v>
          </cell>
          <cell r="B3119" t="str">
            <v>SWO - CIL PROP MGMT</v>
          </cell>
          <cell r="C3119" t="str">
            <v>061-REAL ESTATE</v>
          </cell>
        </row>
        <row r="3120">
          <cell r="A3120" t="str">
            <v>A2421</v>
          </cell>
          <cell r="B3120" t="str">
            <v>RISK MANAGEMENT - CILCO REGULATED</v>
          </cell>
          <cell r="C3120" t="str">
            <v>07Q-CORPORATE RISK MGMT</v>
          </cell>
        </row>
        <row r="3121">
          <cell r="A3121" t="str">
            <v>A2422</v>
          </cell>
          <cell r="B3121" t="str">
            <v>RISK MANAGEMENT - CILCO UNREGULATED</v>
          </cell>
          <cell r="C3121" t="str">
            <v>07Q-CORPORATE RISK MGMT</v>
          </cell>
        </row>
        <row r="3122">
          <cell r="A3122" t="str">
            <v>A2426</v>
          </cell>
          <cell r="B3122" t="str">
            <v>CORP COMM MO/IL GAS COMM ISSUES PSC</v>
          </cell>
          <cell r="C3122" t="str">
            <v>001-CORPORATE COMMUNICATIONS</v>
          </cell>
        </row>
        <row r="3123">
          <cell r="A3123" t="str">
            <v>A2427</v>
          </cell>
          <cell r="B3123" t="str">
            <v>MO OPS ADMIN</v>
          </cell>
          <cell r="C3123" t="str">
            <v>066-MO OPS ADMIN</v>
          </cell>
        </row>
        <row r="3124">
          <cell r="A3124" t="str">
            <v>A2429</v>
          </cell>
          <cell r="B3124" t="str">
            <v>RETIREE MEDICAL LITIGATION</v>
          </cell>
          <cell r="C3124" t="str">
            <v>024-LEGAL</v>
          </cell>
        </row>
        <row r="3125">
          <cell r="A3125" t="str">
            <v>A2430</v>
          </cell>
          <cell r="B3125" t="str">
            <v>CUSTOMER SYSTEM SERVICES - CILCO</v>
          </cell>
          <cell r="C3125" t="str">
            <v>08C-CUSTOMER SERVICE SYSTEM</v>
          </cell>
        </row>
        <row r="3126">
          <cell r="A3126" t="str">
            <v>A2431</v>
          </cell>
          <cell r="B3126" t="str">
            <v>METER READING MV-90 SUPPORT - CILCO</v>
          </cell>
          <cell r="C3126" t="str">
            <v>03A-METER READING-AMS</v>
          </cell>
        </row>
        <row r="3127">
          <cell r="A3127" t="str">
            <v>A2432</v>
          </cell>
          <cell r="B3127" t="str">
            <v>MANAGER - CSD OPERATIONS - CIL</v>
          </cell>
          <cell r="C3127" t="str">
            <v>03V-DISTRIBUTION SERVICES-AMS</v>
          </cell>
        </row>
        <row r="3128">
          <cell r="A3128" t="str">
            <v>A2433</v>
          </cell>
          <cell r="B3128" t="str">
            <v>MGR - DISTRIBUTION CONTROL - CILCO</v>
          </cell>
          <cell r="C3128" t="str">
            <v>030-DISTRIBUTION OPERATING - MO</v>
          </cell>
        </row>
        <row r="3129">
          <cell r="A3129" t="str">
            <v>A2434</v>
          </cell>
          <cell r="B3129" t="str">
            <v>SUBSTATION MTCE. &amp; CONST. - CIL</v>
          </cell>
          <cell r="C3129" t="str">
            <v>03M-SUB MTCE &amp; CONST-ENG &amp; ADMIN</v>
          </cell>
        </row>
        <row r="3130">
          <cell r="A3130" t="str">
            <v>A2435</v>
          </cell>
          <cell r="B3130" t="str">
            <v>MANAGER - CSD SUBST. &amp; TRANSM.-CIL</v>
          </cell>
          <cell r="C3130" t="str">
            <v>03M-SUB MTCE &amp; CONST-ENG &amp; ADMIN</v>
          </cell>
        </row>
        <row r="3131">
          <cell r="A3131" t="str">
            <v>A2436</v>
          </cell>
          <cell r="B3131" t="str">
            <v>TRANSMISSION SERVICES - CILCO</v>
          </cell>
          <cell r="C3131" t="str">
            <v>03T-TRANSMISSION-AMS</v>
          </cell>
        </row>
        <row r="3132">
          <cell r="A3132" t="str">
            <v>A2437</v>
          </cell>
          <cell r="B3132" t="str">
            <v>SYSTEM RELAY SERVICES - CILCO</v>
          </cell>
          <cell r="C3132" t="str">
            <v>090-SYSTEM RELAY SERVICES</v>
          </cell>
        </row>
        <row r="3133">
          <cell r="A3133" t="str">
            <v>A2440</v>
          </cell>
          <cell r="B3133" t="str">
            <v>TEST/REPAIR USED METERS - CILCO</v>
          </cell>
          <cell r="C3133" t="str">
            <v>03V-DISTRIBUTION SERVICES-AMS</v>
          </cell>
        </row>
        <row r="3134">
          <cell r="A3134" t="str">
            <v>A2442</v>
          </cell>
          <cell r="B3134" t="str">
            <v>TEST/REPAIR OTHER T&amp;D EQUIP-CIL</v>
          </cell>
          <cell r="C3134" t="str">
            <v>03V-DISTRIBUTION SERVICES-AMS</v>
          </cell>
        </row>
        <row r="3135">
          <cell r="A3135" t="str">
            <v>A2443</v>
          </cell>
          <cell r="B3135" t="str">
            <v>GAS METER TESTING - CILCO</v>
          </cell>
          <cell r="C3135" t="str">
            <v>0G2-GAS TECH SERVICES - AMS</v>
          </cell>
        </row>
        <row r="3136">
          <cell r="A3136" t="str">
            <v>A2444</v>
          </cell>
          <cell r="B3136" t="str">
            <v>GAS METER TESTING - CIPS</v>
          </cell>
          <cell r="C3136" t="str">
            <v>0G2-GAS TECH SERVICES - AMS</v>
          </cell>
        </row>
        <row r="3137">
          <cell r="A3137" t="str">
            <v>A2445</v>
          </cell>
          <cell r="B3137" t="str">
            <v>GAS SUPT ENG AND TECH SUPT CILCO</v>
          </cell>
          <cell r="C3137" t="str">
            <v>0G2-GAS TECH SERVICES - AMS</v>
          </cell>
        </row>
        <row r="3138">
          <cell r="A3138" t="str">
            <v>A2446</v>
          </cell>
          <cell r="B3138" t="str">
            <v>GAS SUPT END USER TRANS MGT CILCO</v>
          </cell>
          <cell r="C3138" t="str">
            <v>0G2-GAS TECH SERVICES - AMS</v>
          </cell>
        </row>
        <row r="3139">
          <cell r="A3139" t="str">
            <v>A2447</v>
          </cell>
          <cell r="B3139" t="str">
            <v>GAS TRAINING SUPPORT - CILCO</v>
          </cell>
          <cell r="C3139" t="str">
            <v>0G7-GAS TRAINING</v>
          </cell>
        </row>
        <row r="3140">
          <cell r="A3140" t="str">
            <v>A2448</v>
          </cell>
          <cell r="B3140" t="str">
            <v>ED ADMINISTRATION PROCESS - CILCO</v>
          </cell>
          <cell r="C3140" t="str">
            <v>45C-ED FINANCIAL SUPPORT &amp; ANALYSIS</v>
          </cell>
        </row>
        <row r="3141">
          <cell r="A3141" t="str">
            <v>A2449</v>
          </cell>
          <cell r="B3141" t="str">
            <v>CSD - TRAINING - CILCO</v>
          </cell>
          <cell r="C3141" t="str">
            <v>025-ED-CUSTOMER TRAINING</v>
          </cell>
        </row>
        <row r="3142">
          <cell r="A3142" t="str">
            <v>A2450</v>
          </cell>
          <cell r="B3142" t="str">
            <v>ED - PERFORMANCE IMPROVEMENT - CILC</v>
          </cell>
          <cell r="C3142" t="str">
            <v>234-ED SAFETY &amp; IND ENG</v>
          </cell>
        </row>
        <row r="3143">
          <cell r="A3143" t="str">
            <v>A2451</v>
          </cell>
          <cell r="B3143" t="str">
            <v>DIRECTOR - CUSTOMER SERVICE - CILCO</v>
          </cell>
          <cell r="C3143" t="str">
            <v>03W-CUSTOMER SERVICE-AMS</v>
          </cell>
        </row>
        <row r="3144">
          <cell r="A3144" t="str">
            <v>A2452</v>
          </cell>
          <cell r="B3144" t="str">
            <v>SUPERVISOR-CUSTOMER SERVICE-CILCO</v>
          </cell>
          <cell r="C3144" t="str">
            <v>03W-CUSTOMER SERVICE-AMS</v>
          </cell>
        </row>
        <row r="3145">
          <cell r="A3145" t="str">
            <v>A2456</v>
          </cell>
          <cell r="B3145" t="str">
            <v>MOTOR TRANS (ENGR/SUPVR - CILCO)</v>
          </cell>
          <cell r="C3145" t="str">
            <v>07T-FLEET SERVICES - AMS</v>
          </cell>
        </row>
        <row r="3146">
          <cell r="A3146" t="str">
            <v>A2459</v>
          </cell>
          <cell r="B3146" t="str">
            <v>METER READING SUPPORT - CILCO</v>
          </cell>
          <cell r="C3146" t="str">
            <v>03A-METER READING-AMS</v>
          </cell>
        </row>
        <row r="3147">
          <cell r="A3147" t="str">
            <v>A2460</v>
          </cell>
          <cell r="B3147" t="str">
            <v>ADMIN. OF TREE TRIMMING - CILCO</v>
          </cell>
          <cell r="C3147" t="str">
            <v>02F-VEGETATION MGT-IL</v>
          </cell>
        </row>
        <row r="3148">
          <cell r="A3148" t="str">
            <v>A2462</v>
          </cell>
          <cell r="B3148" t="str">
            <v>ED ELECTRICAL TRAINING - CILCO</v>
          </cell>
          <cell r="C3148" t="str">
            <v>230-DORSETT TRAINING</v>
          </cell>
        </row>
        <row r="3149">
          <cell r="A3149" t="str">
            <v>A2465</v>
          </cell>
          <cell r="B3149" t="str">
            <v>ED - SAFETY - CILCO</v>
          </cell>
          <cell r="C3149" t="str">
            <v>026-ED-SAFETY-UE</v>
          </cell>
        </row>
        <row r="3150">
          <cell r="A3150" t="str">
            <v>A2466</v>
          </cell>
          <cell r="B3150" t="str">
            <v>CIP - 401K (LU148)</v>
          </cell>
          <cell r="C3150" t="str">
            <v>019-EMPLOYEE BENEFIT PLANS</v>
          </cell>
        </row>
        <row r="3151">
          <cell r="A3151" t="str">
            <v>A2467</v>
          </cell>
          <cell r="B3151" t="str">
            <v>CILCO - 401K MATCH - CONTRACT</v>
          </cell>
          <cell r="C3151" t="str">
            <v>019-EMPLOYEE BENEFIT PLANS</v>
          </cell>
        </row>
        <row r="3152">
          <cell r="A3152" t="str">
            <v>A2468</v>
          </cell>
          <cell r="B3152" t="str">
            <v>CILCO - NCFO LOCAL 8 BEN PLAN ADMIN</v>
          </cell>
          <cell r="C3152" t="str">
            <v>019-EMPLOYEE BENEFIT PLANS</v>
          </cell>
        </row>
        <row r="3153">
          <cell r="A3153" t="str">
            <v>A2469</v>
          </cell>
          <cell r="B3153" t="str">
            <v>AMERENIP - 401K CONTRACT MATCHING</v>
          </cell>
          <cell r="C3153" t="str">
            <v>019-EMPLOYEE BENEFIT PLANS</v>
          </cell>
        </row>
        <row r="3154">
          <cell r="A3154" t="str">
            <v>A2470</v>
          </cell>
          <cell r="B3154" t="str">
            <v>AMERENIP - MISC MGT BENEFITS</v>
          </cell>
          <cell r="C3154" t="str">
            <v>019-EMPLOYEE BENEFIT PLANS</v>
          </cell>
        </row>
        <row r="3155">
          <cell r="A3155" t="str">
            <v>A2471</v>
          </cell>
          <cell r="B3155" t="str">
            <v>REGULATORY SERVICES-CILCO-ELECTRIC</v>
          </cell>
          <cell r="C3155" t="str">
            <v>29R-REGULATORY POLICY</v>
          </cell>
        </row>
        <row r="3156">
          <cell r="A3156" t="str">
            <v>A2472</v>
          </cell>
          <cell r="B3156" t="str">
            <v>REGULATORY SERVICES-CILCO-GAS</v>
          </cell>
          <cell r="C3156" t="str">
            <v>29R-REGULATORY POLICY</v>
          </cell>
        </row>
        <row r="3157">
          <cell r="A3157" t="str">
            <v>A2473</v>
          </cell>
          <cell r="B3157" t="str">
            <v>CILCO MGMT EMPLOYEE BEN PLAN EXP</v>
          </cell>
          <cell r="C3157" t="str">
            <v>019-EMPLOYEE BENEFIT PLANS</v>
          </cell>
        </row>
        <row r="3158">
          <cell r="A3158" t="str">
            <v>A2474</v>
          </cell>
          <cell r="B3158" t="str">
            <v>CILCO LOCAL 51 - IBEW BEN PLAN EXP</v>
          </cell>
          <cell r="C3158" t="str">
            <v>019-EMPLOYEE BENEFIT PLANS</v>
          </cell>
        </row>
        <row r="3159">
          <cell r="A3159" t="str">
            <v>A2475</v>
          </cell>
          <cell r="B3159" t="str">
            <v>PURCHASE MATL FOR AMERENCILCO EDS</v>
          </cell>
          <cell r="C3159" t="str">
            <v>074-PURCHASING</v>
          </cell>
        </row>
        <row r="3160">
          <cell r="A3160" t="str">
            <v>A2476</v>
          </cell>
          <cell r="B3160" t="str">
            <v>PURCHASING MATERIAL FOR CILCORP GEN</v>
          </cell>
          <cell r="C3160" t="str">
            <v>074-PURCHASING</v>
          </cell>
        </row>
        <row r="3161">
          <cell r="A3161" t="str">
            <v>A2477</v>
          </cell>
          <cell r="B3161" t="str">
            <v>AMEREN UE - BUSINESS SERVICES</v>
          </cell>
          <cell r="C3161" t="str">
            <v>310-AER SVCS - FINANCIAL ANALYSIS</v>
          </cell>
        </row>
        <row r="3162">
          <cell r="A3162" t="str">
            <v>A2478</v>
          </cell>
          <cell r="B3162" t="str">
            <v>AMEREN CIPS - BUSINESS SERVICES</v>
          </cell>
          <cell r="C3162" t="str">
            <v>310-AER SVCS - FINANCIAL ANALYSIS</v>
          </cell>
        </row>
        <row r="3163">
          <cell r="A3163" t="str">
            <v>A2479</v>
          </cell>
          <cell r="B3163" t="str">
            <v>CIL - AMEREN CILCO - BUSINESS SERVI</v>
          </cell>
          <cell r="C3163" t="str">
            <v>310-AER SVCS - FINANCIAL ANALYSIS</v>
          </cell>
        </row>
        <row r="3164">
          <cell r="A3164" t="str">
            <v>A2481</v>
          </cell>
          <cell r="B3164" t="str">
            <v>IR SUPPORT FOR CILCO</v>
          </cell>
          <cell r="C3164" t="str">
            <v>057-LABOR STRATEGY</v>
          </cell>
        </row>
        <row r="3165">
          <cell r="A3165" t="str">
            <v>A2482</v>
          </cell>
          <cell r="B3165" t="str">
            <v>MTCE OF PROJECTS &amp; ASSETS - CILCO</v>
          </cell>
          <cell r="C3165" t="str">
            <v>004-ACCOUNTING</v>
          </cell>
        </row>
        <row r="3166">
          <cell r="A3166" t="str">
            <v>A2483</v>
          </cell>
          <cell r="B3166" t="str">
            <v>T&amp;DD -TECH/DIRECT RESP.(CIL - 100%)</v>
          </cell>
          <cell r="C3166" t="str">
            <v>09E-ELECTRICAL ENGINEERING</v>
          </cell>
        </row>
        <row r="3167">
          <cell r="A3167" t="str">
            <v>A2484</v>
          </cell>
          <cell r="B3167" t="str">
            <v>T&amp;DD - SYS.PROTECTION (CIL - 100%)</v>
          </cell>
          <cell r="C3167" t="str">
            <v>09E-ELECTRICAL ENGINEERING</v>
          </cell>
        </row>
        <row r="3168">
          <cell r="A3168" t="str">
            <v>A2485</v>
          </cell>
          <cell r="B3168" t="str">
            <v>T&amp;DD - DRAFTING/DESIGN -CIL 100%</v>
          </cell>
          <cell r="C3168" t="str">
            <v>09C-EDTS DRAFTING</v>
          </cell>
        </row>
        <row r="3169">
          <cell r="A3169" t="str">
            <v>A2486</v>
          </cell>
          <cell r="B3169" t="str">
            <v>T&amp;DD - CONST., MATERIAL &amp; TOOL STDS</v>
          </cell>
          <cell r="C3169" t="str">
            <v>233-ED-ELECTRIC STANDARDS</v>
          </cell>
        </row>
        <row r="3170">
          <cell r="A3170" t="str">
            <v>A2487</v>
          </cell>
          <cell r="B3170" t="str">
            <v>CILCO - LOCAL 8 &amp; 51 EMPL BEN PLANS</v>
          </cell>
          <cell r="C3170" t="str">
            <v>019-EMPLOYEE BENEFIT PLANS</v>
          </cell>
        </row>
        <row r="3171">
          <cell r="A3171" t="str">
            <v>A2488</v>
          </cell>
          <cell r="B3171" t="str">
            <v>COMM SERVICES CTI/VRU CILCO</v>
          </cell>
          <cell r="C3171" t="str">
            <v>065-NEO - TELEPHONE SERVICES</v>
          </cell>
        </row>
        <row r="3172">
          <cell r="A3172" t="str">
            <v>A2489</v>
          </cell>
          <cell r="B3172" t="str">
            <v>LT FINANCING - CILCORP</v>
          </cell>
          <cell r="C3172" t="str">
            <v>075-BANKING AND INVESTOR SERVICES</v>
          </cell>
        </row>
        <row r="3173">
          <cell r="A3173" t="str">
            <v>A2490</v>
          </cell>
          <cell r="B3173" t="str">
            <v>LT FINANCING - CILCO</v>
          </cell>
          <cell r="C3173" t="str">
            <v>075-BANKING AND INVESTOR SERVICES</v>
          </cell>
        </row>
        <row r="3174">
          <cell r="A3174" t="str">
            <v>A2491</v>
          </cell>
          <cell r="B3174" t="str">
            <v>UPDATE&amp;MONITOR COSTOF CAPITAL (CCP)</v>
          </cell>
          <cell r="C3174" t="str">
            <v>075-BANKING AND INVESTOR SERVICES</v>
          </cell>
        </row>
        <row r="3175">
          <cell r="A3175" t="str">
            <v>A2492</v>
          </cell>
          <cell r="B3175" t="str">
            <v>UPDATE&amp;MONITOR COSTOF CAPITAL (CIL)</v>
          </cell>
          <cell r="C3175" t="str">
            <v>075-BANKING AND INVESTOR SERVICES</v>
          </cell>
        </row>
        <row r="3176">
          <cell r="A3176" t="str">
            <v>A2493</v>
          </cell>
          <cell r="B3176" t="str">
            <v>PERFORM PROJT EVAL REVIEWS (CCP)</v>
          </cell>
          <cell r="C3176" t="str">
            <v>075-BANKING AND INVESTOR SERVICES</v>
          </cell>
        </row>
        <row r="3177">
          <cell r="A3177" t="str">
            <v>A2494</v>
          </cell>
          <cell r="B3177" t="str">
            <v>PERFORM PROJT EVAL REVIEWS (CIL)</v>
          </cell>
          <cell r="C3177" t="str">
            <v>075-BANKING AND INVESTOR SERVICES</v>
          </cell>
        </row>
        <row r="3178">
          <cell r="A3178" t="str">
            <v>A2495</v>
          </cell>
          <cell r="B3178" t="str">
            <v>ECONOMIC DEVELOPMENT SERVICES-IL</v>
          </cell>
          <cell r="C3178" t="str">
            <v>016-ECONOMIC DEVELOPMENT</v>
          </cell>
        </row>
        <row r="3179">
          <cell r="A3179" t="str">
            <v>A2496</v>
          </cell>
          <cell r="B3179" t="str">
            <v>CIM LEASES</v>
          </cell>
          <cell r="C3179" t="str">
            <v>075-BANKING AND INVESTOR SERVICES</v>
          </cell>
        </row>
        <row r="3180">
          <cell r="A3180" t="str">
            <v>A2497</v>
          </cell>
          <cell r="B3180" t="str">
            <v>INSURANCE - PROPERTY - ARG</v>
          </cell>
          <cell r="C3180" t="str">
            <v>07R-FINANCIAL PLANNING, INS &amp; RISK</v>
          </cell>
        </row>
        <row r="3181">
          <cell r="A3181" t="str">
            <v>A2504</v>
          </cell>
          <cell r="B3181" t="str">
            <v>FIDUCIARY LIABILITY INSURANCE</v>
          </cell>
          <cell r="C3181" t="str">
            <v>07R-FINANCIAL PLANNING, INS &amp; RISK</v>
          </cell>
        </row>
        <row r="3182">
          <cell r="A3182" t="str">
            <v>A2505</v>
          </cell>
          <cell r="B3182" t="str">
            <v>CRIME PROPERTY INSURANCE</v>
          </cell>
          <cell r="C3182" t="str">
            <v>07R-FINANCIAL PLANNING, INS &amp; RISK</v>
          </cell>
        </row>
        <row r="3183">
          <cell r="A3183" t="str">
            <v>A2507</v>
          </cell>
          <cell r="B3183" t="str">
            <v>EXCESS WORKERS COMP INSURANCE</v>
          </cell>
          <cell r="C3183" t="str">
            <v>07R-FINANCIAL PLANNING, INS &amp; RISK</v>
          </cell>
        </row>
        <row r="3184">
          <cell r="A3184" t="str">
            <v>A2509</v>
          </cell>
          <cell r="B3184" t="str">
            <v>ESH SUPPORT FOR MEDINA VALLEY</v>
          </cell>
          <cell r="C3184" t="str">
            <v>049-ESH - GENERAL</v>
          </cell>
        </row>
        <row r="3185">
          <cell r="A3185" t="str">
            <v>A2510</v>
          </cell>
          <cell r="B3185" t="str">
            <v>MISO IMPLEMENTATION EXPENSES</v>
          </cell>
          <cell r="C3185" t="str">
            <v>304-AER SVCS INFO SYSTEMS-INVALID</v>
          </cell>
        </row>
        <row r="3186">
          <cell r="A3186" t="str">
            <v>A2511</v>
          </cell>
          <cell r="B3186" t="str">
            <v>CIS TAX WORK</v>
          </cell>
          <cell r="C3186" t="str">
            <v>05T-TAX</v>
          </cell>
        </row>
        <row r="3187">
          <cell r="A3187" t="str">
            <v>A2514</v>
          </cell>
          <cell r="B3187" t="str">
            <v>IT SUPPORT - GEN - MEREDOSIA</v>
          </cell>
          <cell r="C3187" t="str">
            <v>632-CSF - IT FIELD OPERATIONS</v>
          </cell>
        </row>
        <row r="3188">
          <cell r="A3188" t="str">
            <v>A2515</v>
          </cell>
          <cell r="B3188" t="str">
            <v>IT SUPPORT - ARG - DUCK CREEK</v>
          </cell>
          <cell r="C3188" t="str">
            <v>632-CSF - IT FIELD OPERATIONS</v>
          </cell>
        </row>
        <row r="3189">
          <cell r="A3189" t="str">
            <v>A2516</v>
          </cell>
          <cell r="B3189" t="str">
            <v>IT SUPPORT - ARG - EDWARDS</v>
          </cell>
          <cell r="C3189" t="str">
            <v>632-CSF - IT FIELD OPERATIONS</v>
          </cell>
        </row>
        <row r="3190">
          <cell r="A3190" t="str">
            <v>A2517</v>
          </cell>
          <cell r="B3190" t="str">
            <v>IT SUPPORT - UEC - CALLAWAY</v>
          </cell>
          <cell r="C3190" t="str">
            <v>006-INF - DATA CENTER OPERATIONS</v>
          </cell>
        </row>
        <row r="3191">
          <cell r="A3191" t="str">
            <v>A2518</v>
          </cell>
          <cell r="B3191" t="str">
            <v>STORES MATERIAL MGMT SUPPORT-ARG</v>
          </cell>
          <cell r="C3191" t="str">
            <v>05M-STOREROOMS-AMS</v>
          </cell>
        </row>
        <row r="3192">
          <cell r="A3192" t="str">
            <v>A2519</v>
          </cell>
          <cell r="B3192" t="str">
            <v>STORES MANAGEMENT OPERATIONS-ARG</v>
          </cell>
          <cell r="C3192" t="str">
            <v>05M-STOREROOMS-AMS</v>
          </cell>
        </row>
        <row r="3193">
          <cell r="A3193" t="str">
            <v>A2520</v>
          </cell>
          <cell r="B3193" t="str">
            <v>STORES ADMINISTRATIVE SUPPORT-ARG</v>
          </cell>
          <cell r="C3193" t="str">
            <v>05M-STOREROOMS-AMS</v>
          </cell>
        </row>
        <row r="3194">
          <cell r="A3194" t="str">
            <v>A2522</v>
          </cell>
          <cell r="B3194" t="str">
            <v>NON-NUCLEAR GENERATION ACTIVITIES</v>
          </cell>
          <cell r="C3194" t="str">
            <v>310-AER SVCS - FINANCIAL ANALYSIS</v>
          </cell>
        </row>
        <row r="3195">
          <cell r="A3195" t="str">
            <v>A2523</v>
          </cell>
          <cell r="B3195" t="str">
            <v>MAINTAIN ARG ACCOUNTING RECORDS</v>
          </cell>
          <cell r="C3195" t="str">
            <v>004-ACCOUNTING</v>
          </cell>
        </row>
        <row r="3196">
          <cell r="A3196" t="str">
            <v>A2524</v>
          </cell>
          <cell r="B3196" t="str">
            <v>AQUILA INTEGRATION</v>
          </cell>
          <cell r="C3196" t="str">
            <v>012-CORPORATE PLANNING</v>
          </cell>
        </row>
        <row r="3197">
          <cell r="A3197" t="str">
            <v>A2531</v>
          </cell>
          <cell r="B3197" t="str">
            <v>CONVERSION OF CILCO COMPANY ASSETS</v>
          </cell>
          <cell r="C3197" t="str">
            <v>004-ACCOUNTING</v>
          </cell>
        </row>
        <row r="3198">
          <cell r="A3198" t="str">
            <v>A2532</v>
          </cell>
          <cell r="B3198" t="str">
            <v>ARG - TAX WORK</v>
          </cell>
          <cell r="C3198" t="str">
            <v>05T-TAX</v>
          </cell>
        </row>
        <row r="3199">
          <cell r="A3199" t="str">
            <v>A2533</v>
          </cell>
          <cell r="B3199" t="str">
            <v>INDIAN TRAILS ESH DIRECT SUPPORT</v>
          </cell>
          <cell r="C3199" t="str">
            <v>049-ESH - GENERAL</v>
          </cell>
        </row>
        <row r="3200">
          <cell r="A3200" t="str">
            <v>A2534</v>
          </cell>
          <cell r="B3200" t="str">
            <v>REAL ESTATE SERVICES FOR DUCK CREEK</v>
          </cell>
          <cell r="C3200" t="str">
            <v>061-REAL ESTATE</v>
          </cell>
        </row>
        <row r="3201">
          <cell r="A3201" t="str">
            <v>A2535</v>
          </cell>
          <cell r="B3201" t="str">
            <v>TELECOM SERVICES - AER GENERATING</v>
          </cell>
          <cell r="C3201" t="str">
            <v>065-NEO - TELEPHONE SERVICES</v>
          </cell>
        </row>
        <row r="3202">
          <cell r="A3202" t="str">
            <v>A2536</v>
          </cell>
          <cell r="B3202" t="str">
            <v>TELECOM SVC - MEDINA VALLEY CO</v>
          </cell>
          <cell r="C3202" t="str">
            <v>065-NEO - TELEPHONE SERVICES</v>
          </cell>
        </row>
        <row r="3203">
          <cell r="A3203" t="str">
            <v>A2537</v>
          </cell>
          <cell r="B3203" t="str">
            <v>METRO EAST TRANSFER (MET)</v>
          </cell>
          <cell r="C3203" t="str">
            <v>201-DEV - BUS &amp; CORP SVCS</v>
          </cell>
        </row>
        <row r="3204">
          <cell r="A3204" t="str">
            <v>A2538</v>
          </cell>
          <cell r="B3204" t="str">
            <v>SUPPLY CHAIN-PURCHASING INITIATIVE</v>
          </cell>
          <cell r="C3204" t="str">
            <v>012-CORPORATE PLANNING</v>
          </cell>
        </row>
        <row r="3205">
          <cell r="A3205" t="str">
            <v>A2539</v>
          </cell>
          <cell r="B3205" t="str">
            <v>MAINTAIN CIM ACCOUNTING RECORDS</v>
          </cell>
          <cell r="C3205" t="str">
            <v>004-ACCOUNTING</v>
          </cell>
        </row>
        <row r="3206">
          <cell r="A3206" t="str">
            <v>A2540</v>
          </cell>
          <cell r="B3206" t="str">
            <v>RESIDENTIAL TIME OF USE</v>
          </cell>
          <cell r="C3206" t="str">
            <v>012-CORPORATE PLANNING</v>
          </cell>
        </row>
        <row r="3207">
          <cell r="A3207" t="str">
            <v>A2543</v>
          </cell>
          <cell r="B3207" t="str">
            <v>GEN COUNSEL SERVICES-AERG</v>
          </cell>
          <cell r="C3207" t="str">
            <v>024-LEGAL</v>
          </cell>
        </row>
        <row r="3208">
          <cell r="A3208" t="str">
            <v>A2544</v>
          </cell>
          <cell r="B3208" t="str">
            <v>CILCORP INC.</v>
          </cell>
          <cell r="C3208" t="str">
            <v>024-LEGAL</v>
          </cell>
        </row>
        <row r="3209">
          <cell r="A3209" t="str">
            <v>A2545</v>
          </cell>
          <cell r="B3209" t="str">
            <v>POWER PLANT SOFTWARE EXPENSES</v>
          </cell>
          <cell r="C3209" t="str">
            <v>004-ACCOUNTING</v>
          </cell>
        </row>
        <row r="3210">
          <cell r="A3210" t="str">
            <v>A2546</v>
          </cell>
          <cell r="B3210" t="str">
            <v>ILL REGULATORY SUPPORT - ELECTRIC</v>
          </cell>
          <cell r="C3210" t="str">
            <v>012-CORPORATE PLANNING</v>
          </cell>
        </row>
        <row r="3211">
          <cell r="A3211" t="str">
            <v>A2547</v>
          </cell>
          <cell r="B3211" t="str">
            <v>CILCORP ACCOUNTING ACTIVITIES</v>
          </cell>
          <cell r="C3211" t="str">
            <v>004-ACCOUNTING</v>
          </cell>
        </row>
        <row r="3212">
          <cell r="A3212" t="str">
            <v>A2548</v>
          </cell>
          <cell r="B3212" t="str">
            <v>ENTERPRISE SECURITY MGT SYSTEM ESMS</v>
          </cell>
          <cell r="C3212" t="str">
            <v>201-DEV - BUS &amp; CORP SVCS</v>
          </cell>
        </row>
        <row r="3213">
          <cell r="A3213" t="str">
            <v>A2549</v>
          </cell>
          <cell r="B3213" t="str">
            <v>POST-2006 INITIATIVE</v>
          </cell>
          <cell r="C3213" t="str">
            <v>29R-REGULATORY POLICY</v>
          </cell>
        </row>
        <row r="3214">
          <cell r="A3214" t="str">
            <v>A2550</v>
          </cell>
          <cell r="B3214" t="str">
            <v>PROJECT ASPEN</v>
          </cell>
          <cell r="C3214" t="str">
            <v>012-CORPORATE PLANNING</v>
          </cell>
        </row>
        <row r="3215">
          <cell r="A3215" t="str">
            <v>A2552</v>
          </cell>
          <cell r="B3215" t="str">
            <v>DISASTER RECOVERY PLANNING AND TEST</v>
          </cell>
          <cell r="C3215" t="str">
            <v>06D-SCP - SECURITY</v>
          </cell>
        </row>
        <row r="3216">
          <cell r="A3216" t="str">
            <v>A2553</v>
          </cell>
          <cell r="B3216" t="str">
            <v>BUSINESS CONTINUITY</v>
          </cell>
          <cell r="C3216" t="str">
            <v>06D-SCP - SECURITY</v>
          </cell>
        </row>
        <row r="3217">
          <cell r="A3217" t="str">
            <v>A2554</v>
          </cell>
          <cell r="B3217" t="str">
            <v>FERC COMPLIANCE</v>
          </cell>
          <cell r="C3217" t="str">
            <v>29R-REGULATORY POLICY</v>
          </cell>
        </row>
        <row r="3218">
          <cell r="A3218" t="str">
            <v>A2555</v>
          </cell>
          <cell r="B3218" t="str">
            <v>STRATEGIC SOURCING</v>
          </cell>
          <cell r="C3218" t="str">
            <v>07M-STRATEGIC SOURCING</v>
          </cell>
        </row>
        <row r="3219">
          <cell r="A3219" t="str">
            <v>A2556</v>
          </cell>
          <cell r="B3219" t="str">
            <v>STRATEGIC SOURCING</v>
          </cell>
          <cell r="C3219" t="str">
            <v>07M-STRATEGIC SOURCING</v>
          </cell>
        </row>
        <row r="3220">
          <cell r="A3220" t="str">
            <v>A2557</v>
          </cell>
          <cell r="B3220" t="str">
            <v>STRATEGIC SOURCING</v>
          </cell>
          <cell r="C3220" t="str">
            <v>07M-STRATEGIC SOURCING</v>
          </cell>
        </row>
        <row r="3221">
          <cell r="A3221" t="str">
            <v>A2558</v>
          </cell>
          <cell r="B3221" t="str">
            <v>STRATEGIC SOURCING</v>
          </cell>
          <cell r="C3221" t="str">
            <v>07M-STRATEGIC SOURCING</v>
          </cell>
        </row>
        <row r="3222">
          <cell r="A3222" t="str">
            <v>A2559</v>
          </cell>
          <cell r="B3222" t="str">
            <v>STRATEGIC SOURCING</v>
          </cell>
          <cell r="C3222" t="str">
            <v>07M-STRATEGIC SOURCING</v>
          </cell>
        </row>
        <row r="3223">
          <cell r="A3223" t="str">
            <v>A2560</v>
          </cell>
          <cell r="B3223" t="str">
            <v>STRATEGIC SOURCING</v>
          </cell>
          <cell r="C3223" t="str">
            <v>07M-STRATEGIC SOURCING</v>
          </cell>
        </row>
        <row r="3224">
          <cell r="A3224" t="str">
            <v>A2563</v>
          </cell>
          <cell r="B3224" t="str">
            <v>SCR MANAGEMENT SERVICES</v>
          </cell>
          <cell r="C3224" t="str">
            <v>09V-NEW GEN &amp; ENV PROJECTS</v>
          </cell>
        </row>
        <row r="3225">
          <cell r="A3225" t="str">
            <v>A2564</v>
          </cell>
          <cell r="B3225" t="str">
            <v>09V NON-PROJECT O&amp;M LABOR AND EXPEN</v>
          </cell>
          <cell r="C3225" t="str">
            <v>09V-NEW GEN &amp; ENV PROJECTS</v>
          </cell>
        </row>
        <row r="3226">
          <cell r="A3226" t="str">
            <v>A2566</v>
          </cell>
          <cell r="B3226" t="str">
            <v>DESKTOP SUPPORT</v>
          </cell>
          <cell r="C3226" t="str">
            <v>06B-INF - ENTERPRISE COMPUTING SERV</v>
          </cell>
        </row>
        <row r="3227">
          <cell r="A3227" t="str">
            <v>A2567</v>
          </cell>
          <cell r="B3227" t="str">
            <v>IL IT SERVICE SUPPORT</v>
          </cell>
          <cell r="C3227" t="str">
            <v>632-CSF - IT FIELD OPERATIONS</v>
          </cell>
        </row>
        <row r="3228">
          <cell r="A3228" t="str">
            <v>A2568</v>
          </cell>
          <cell r="B3228" t="str">
            <v>MO PC &amp; SERVER SUPPORT</v>
          </cell>
          <cell r="C3228" t="str">
            <v>632-CSF - IT FIELD OPERATIONS</v>
          </cell>
        </row>
        <row r="3229">
          <cell r="A3229" t="str">
            <v>A2569</v>
          </cell>
          <cell r="B3229" t="str">
            <v>AMEREN CONNECT (ALLCONNECT)</v>
          </cell>
          <cell r="C3229" t="str">
            <v>204-DEV - ENERGY DELIVERY</v>
          </cell>
        </row>
        <row r="3230">
          <cell r="A3230" t="str">
            <v>A2570</v>
          </cell>
          <cell r="B3230" t="str">
            <v>LODESTAR SUPPORT</v>
          </cell>
          <cell r="C3230" t="str">
            <v>204-DEV - ENERGY DELIVERY</v>
          </cell>
        </row>
        <row r="3231">
          <cell r="A3231" t="str">
            <v>A2571</v>
          </cell>
          <cell r="B3231" t="str">
            <v>CALLAWAY EMPRV - PHASE 2</v>
          </cell>
          <cell r="C3231" t="str">
            <v>202-DEV - OPERATIONS</v>
          </cell>
        </row>
        <row r="3232">
          <cell r="A3232" t="str">
            <v>A2572</v>
          </cell>
          <cell r="B3232" t="str">
            <v>CALLAWAY EMPRV - ONGOING SUPPORT</v>
          </cell>
          <cell r="C3232" t="str">
            <v>202-DEV - OPERATIONS</v>
          </cell>
        </row>
        <row r="3233">
          <cell r="A3233" t="str">
            <v>A2573</v>
          </cell>
          <cell r="B3233" t="str">
            <v>SUBSTATIONS APPS SUPPORT</v>
          </cell>
          <cell r="C3233" t="str">
            <v>202-DEV - OPERATIONS</v>
          </cell>
        </row>
        <row r="3234">
          <cell r="A3234" t="str">
            <v>A2575</v>
          </cell>
          <cell r="B3234" t="str">
            <v>DOJM PROJECT MANAGER - AMEREN/CILCO</v>
          </cell>
          <cell r="C3234" t="str">
            <v>08C-CUSTOMER SERVICE SYSTEM</v>
          </cell>
        </row>
        <row r="3235">
          <cell r="A3235" t="str">
            <v>A2577</v>
          </cell>
          <cell r="B3235" t="str">
            <v>GENERAL RATE ACCOUNTING ACTIVITIES</v>
          </cell>
          <cell r="C3235" t="str">
            <v>04R-REGULATORY ACCOUNTING</v>
          </cell>
        </row>
        <row r="3236">
          <cell r="A3236" t="str">
            <v>A2578</v>
          </cell>
          <cell r="B3236" t="str">
            <v>IPC CONTROLLER'S SERVICES</v>
          </cell>
          <cell r="C3236" t="str">
            <v>004-ACCOUNTING</v>
          </cell>
        </row>
        <row r="3237">
          <cell r="A3237" t="str">
            <v>A2583</v>
          </cell>
          <cell r="B3237" t="str">
            <v>RTO-SMD MANAGMENT SERVICES FOR GEN</v>
          </cell>
          <cell r="C3237" t="str">
            <v>09T-COMMERCIAL OPERATIONS SUPPORT</v>
          </cell>
        </row>
        <row r="3238">
          <cell r="A3238" t="str">
            <v>A2584</v>
          </cell>
          <cell r="B3238" t="str">
            <v>RTO-SMD MANAGEMENT SERVICES FOR AE</v>
          </cell>
          <cell r="C3238" t="str">
            <v>09T-COMMERCIAL OPERATIONS SUPPORT</v>
          </cell>
        </row>
        <row r="3239">
          <cell r="A3239" t="str">
            <v>A2585</v>
          </cell>
          <cell r="B3239" t="str">
            <v>RTO-SMD MANAGEMENT SERVICES FOR AEM</v>
          </cell>
          <cell r="C3239" t="str">
            <v>09T-COMMERCIAL OPERATIONS SUPPORT</v>
          </cell>
        </row>
        <row r="3240">
          <cell r="A3240" t="str">
            <v>A2586</v>
          </cell>
          <cell r="B3240" t="str">
            <v>RTO-SMD MGMT SERVICES FOR AERG</v>
          </cell>
          <cell r="C3240" t="str">
            <v>09T-COMMERCIAL OPERATIONS SUPPORT</v>
          </cell>
        </row>
        <row r="3241">
          <cell r="A3241" t="str">
            <v>A2587</v>
          </cell>
          <cell r="B3241" t="str">
            <v>RTO-SMD MGMT SERVICES FOR REG BUS</v>
          </cell>
          <cell r="C3241" t="str">
            <v>09T-COMMERCIAL OPERATIONS SUPPORT</v>
          </cell>
        </row>
        <row r="3242">
          <cell r="A3242" t="str">
            <v>A2588</v>
          </cell>
          <cell r="B3242" t="str">
            <v>CIM TAX WORK</v>
          </cell>
          <cell r="C3242" t="str">
            <v>05T-TAX</v>
          </cell>
        </row>
        <row r="3243">
          <cell r="A3243" t="str">
            <v>A2589</v>
          </cell>
          <cell r="B3243" t="str">
            <v>STORES OFFICE SUPPORT OF IPC</v>
          </cell>
          <cell r="C3243" t="str">
            <v>05M-STOREROOMS-AMS</v>
          </cell>
        </row>
        <row r="3244">
          <cell r="A3244" t="str">
            <v>A2590</v>
          </cell>
          <cell r="B3244" t="str">
            <v>STORES MANAGEMENT SUPPORT FOR IPC</v>
          </cell>
          <cell r="C3244" t="str">
            <v>05M-STOREROOMS-AMS</v>
          </cell>
        </row>
        <row r="3245">
          <cell r="A3245" t="str">
            <v>A2591</v>
          </cell>
          <cell r="B3245" t="str">
            <v>MATERIALS MGT FOR IPC</v>
          </cell>
          <cell r="C3245" t="str">
            <v>05M-STOREROOMS-AMS</v>
          </cell>
        </row>
        <row r="3246">
          <cell r="A3246" t="str">
            <v>A2593</v>
          </cell>
          <cell r="B3246" t="str">
            <v>RE MGMT OF PROP - AMEREN/IP</v>
          </cell>
          <cell r="C3246" t="str">
            <v>061-REAL ESTATE</v>
          </cell>
        </row>
        <row r="3247">
          <cell r="A3247" t="str">
            <v>A2594</v>
          </cell>
          <cell r="B3247" t="str">
            <v>EDTS-ONGOING SUPPT.SVCS.-AMEREN IP</v>
          </cell>
          <cell r="C3247" t="str">
            <v>0PM-ED FACILITIES MANAGEMENT</v>
          </cell>
        </row>
        <row r="3248">
          <cell r="A3248" t="str">
            <v>A2595</v>
          </cell>
          <cell r="B3248" t="str">
            <v>SYSTEM RELAY - 100% TO IP</v>
          </cell>
          <cell r="C3248" t="str">
            <v>090-SYSTEM RELAY SERVICES</v>
          </cell>
        </row>
        <row r="3249">
          <cell r="A3249" t="str">
            <v>A2596</v>
          </cell>
          <cell r="B3249" t="str">
            <v>IPC-TRANSMISSION &amp; DISTRIBUTION SUP</v>
          </cell>
          <cell r="C3249" t="str">
            <v>049-ESH - GENERAL</v>
          </cell>
        </row>
        <row r="3250">
          <cell r="A3250" t="str">
            <v>A2597</v>
          </cell>
          <cell r="B3250" t="str">
            <v>IPC-MGP SITE INVESTIGATION &amp; REMEDI</v>
          </cell>
          <cell r="C3250" t="str">
            <v>049-ESH - GENERAL</v>
          </cell>
        </row>
        <row r="3251">
          <cell r="A3251" t="str">
            <v>A2598</v>
          </cell>
          <cell r="B3251" t="str">
            <v>LOBBYING SERVICES FOR AMERENIP</v>
          </cell>
          <cell r="C3251" t="str">
            <v>157-GOVERNMENT RELATIONS</v>
          </cell>
        </row>
        <row r="3252">
          <cell r="A3252" t="str">
            <v>A2599</v>
          </cell>
          <cell r="B3252" t="str">
            <v>ILLINOIS POWER - ELECTRIC</v>
          </cell>
          <cell r="C3252" t="str">
            <v>024-LEGAL</v>
          </cell>
        </row>
        <row r="3253">
          <cell r="A3253" t="str">
            <v>A2600</v>
          </cell>
          <cell r="B3253" t="str">
            <v>PURCHASING ACTIVITIES FOR IPC</v>
          </cell>
          <cell r="C3253" t="str">
            <v>074-PURCHASING</v>
          </cell>
        </row>
        <row r="3254">
          <cell r="A3254" t="str">
            <v>A2601</v>
          </cell>
          <cell r="B3254" t="str">
            <v>IP TRANSITION COSTS 074 MGMT</v>
          </cell>
          <cell r="C3254" t="str">
            <v>074-PURCHASING</v>
          </cell>
        </row>
        <row r="3255">
          <cell r="A3255" t="str">
            <v>A2602</v>
          </cell>
          <cell r="B3255" t="str">
            <v>ILLINOIS POWER - GAS</v>
          </cell>
          <cell r="C3255" t="str">
            <v>024-LEGAL</v>
          </cell>
        </row>
        <row r="3256">
          <cell r="A3256" t="str">
            <v>A2603</v>
          </cell>
          <cell r="B3256" t="str">
            <v>BUILDING SERVICE - LABOR IP</v>
          </cell>
          <cell r="C3256" t="str">
            <v>07V-BUILDING SERVICES-AMS</v>
          </cell>
        </row>
        <row r="3257">
          <cell r="A3257" t="str">
            <v>A2604</v>
          </cell>
          <cell r="B3257" t="str">
            <v>ED FS&amp;A ONGING SUPPORT - IPC</v>
          </cell>
          <cell r="C3257" t="str">
            <v>45C-ED FINANCIAL SUPPORT &amp; ANALYSIS</v>
          </cell>
        </row>
        <row r="3258">
          <cell r="A3258" t="str">
            <v>A2605</v>
          </cell>
          <cell r="B3258" t="str">
            <v>IP TAX WORK</v>
          </cell>
          <cell r="C3258" t="str">
            <v>05T-TAX</v>
          </cell>
        </row>
        <row r="3259">
          <cell r="A3259" t="str">
            <v>A2606</v>
          </cell>
          <cell r="B3259" t="str">
            <v>ED ARES ONGOING SUPPORT - IPC</v>
          </cell>
          <cell r="C3259" t="str">
            <v>048-TRANSMISSION SVCS BUSINESS CTR</v>
          </cell>
        </row>
        <row r="3260">
          <cell r="A3260" t="str">
            <v>A2607</v>
          </cell>
          <cell r="B3260" t="str">
            <v>ED BUS IMPRVMT ONGOING SUPPORT - IP</v>
          </cell>
          <cell r="C3260" t="str">
            <v>234-ED SAFETY &amp; IND ENG</v>
          </cell>
        </row>
        <row r="3261">
          <cell r="A3261" t="str">
            <v>A2608</v>
          </cell>
          <cell r="B3261" t="str">
            <v>ED BUS SERVICES ONGOING SUPPORT - I</v>
          </cell>
          <cell r="C3261" t="str">
            <v>020-ED PRODUCTS &amp; SERVICES</v>
          </cell>
        </row>
        <row r="3262">
          <cell r="A3262" t="str">
            <v>A2609</v>
          </cell>
          <cell r="B3262" t="str">
            <v>ED CUST TRAINING ONGOING SUPPORT -</v>
          </cell>
          <cell r="C3262" t="str">
            <v>025-ED-CUSTOMER TRAINING</v>
          </cell>
        </row>
        <row r="3263">
          <cell r="A3263" t="str">
            <v>A2610</v>
          </cell>
          <cell r="B3263" t="str">
            <v>ED SAFETY ONGOING SUPPORT - IP</v>
          </cell>
          <cell r="C3263" t="str">
            <v>026-ED-SAFETY-UE</v>
          </cell>
        </row>
        <row r="3264">
          <cell r="A3264" t="str">
            <v>A2611</v>
          </cell>
          <cell r="B3264" t="str">
            <v>ED ELEC TRNG ONGOING SUPPORT - IPC</v>
          </cell>
          <cell r="C3264" t="str">
            <v>230-DORSETT TRAINING</v>
          </cell>
        </row>
        <row r="3265">
          <cell r="A3265" t="str">
            <v>A2612</v>
          </cell>
          <cell r="B3265" t="str">
            <v>ED CAD ONGOING SUPPORT - IPC</v>
          </cell>
          <cell r="C3265" t="str">
            <v>003-CUSTOMER ACCOUNTING</v>
          </cell>
        </row>
        <row r="3266">
          <cell r="A3266" t="str">
            <v>A2613</v>
          </cell>
          <cell r="B3266" t="str">
            <v>GAS SUPPORT ONGOING SUPPORT - IP</v>
          </cell>
          <cell r="C3266" t="str">
            <v>0G2-GAS TECH SERVICES - AMS</v>
          </cell>
        </row>
        <row r="3267">
          <cell r="A3267" t="str">
            <v>A2614</v>
          </cell>
          <cell r="B3267" t="str">
            <v>GAS STORAGE ONGOING SUPPORT - IP</v>
          </cell>
          <cell r="C3267" t="str">
            <v>0G6-GAS STORAGE</v>
          </cell>
        </row>
        <row r="3268">
          <cell r="A3268" t="str">
            <v>A2615</v>
          </cell>
          <cell r="B3268" t="str">
            <v>GAS TRAINING SUPPORT - IP</v>
          </cell>
          <cell r="C3268" t="str">
            <v>0G7-GAS TRAINING</v>
          </cell>
        </row>
        <row r="3269">
          <cell r="A3269" t="str">
            <v>A2616</v>
          </cell>
          <cell r="B3269" t="str">
            <v>CILCO SUPPORT DUE TO WS AND OT REFU</v>
          </cell>
          <cell r="C3269" t="str">
            <v>668-IL OPS ADMIN DIV I II III</v>
          </cell>
        </row>
        <row r="3270">
          <cell r="A3270" t="str">
            <v>A2617</v>
          </cell>
          <cell r="B3270" t="str">
            <v>IPC - GAS RATE CASE ACTIVITIES</v>
          </cell>
          <cell r="C3270" t="str">
            <v>04R-REGULATORY ACCOUNTING</v>
          </cell>
        </row>
        <row r="3271">
          <cell r="A3271" t="str">
            <v>A2618</v>
          </cell>
          <cell r="B3271" t="str">
            <v>INSURANCE - ILLINOIS POWER</v>
          </cell>
          <cell r="C3271" t="str">
            <v>07R-FINANCIAL PLANNING, INS &amp; RISK</v>
          </cell>
        </row>
        <row r="3272">
          <cell r="A3272" t="str">
            <v>A2619</v>
          </cell>
          <cell r="B3272" t="str">
            <v>MV1 - CAPITAL ASSET ACCOUNTING</v>
          </cell>
          <cell r="C3272" t="str">
            <v>004-ACCOUNTING</v>
          </cell>
        </row>
        <row r="3273">
          <cell r="A3273" t="str">
            <v>A2620</v>
          </cell>
          <cell r="B3273" t="str">
            <v>ARG - PLANT ACCOUNTING</v>
          </cell>
          <cell r="C3273" t="str">
            <v>004-ACCOUNTING</v>
          </cell>
        </row>
        <row r="3274">
          <cell r="A3274" t="str">
            <v>A2621</v>
          </cell>
          <cell r="B3274" t="str">
            <v>IT IP OPERATIONS - ONGOING SUPPORT</v>
          </cell>
          <cell r="C3274" t="str">
            <v>006-INF - DATA CENTER OPERATIONS</v>
          </cell>
        </row>
        <row r="3275">
          <cell r="A3275" t="str">
            <v>A2622</v>
          </cell>
          <cell r="B3275" t="str">
            <v>COMMUNITY RELATIONS-IP</v>
          </cell>
          <cell r="C3275" t="str">
            <v>29C-COMMUNITY RELATIONS</v>
          </cell>
        </row>
        <row r="3276">
          <cell r="A3276" t="str">
            <v>A2623</v>
          </cell>
          <cell r="B3276" t="str">
            <v>ECO DEVELOP SERVICE - AMEREN/IP</v>
          </cell>
          <cell r="C3276" t="str">
            <v>016-ECONOMIC DEVELOPMENT</v>
          </cell>
        </row>
        <row r="3277">
          <cell r="A3277" t="str">
            <v>A2627</v>
          </cell>
          <cell r="B3277" t="str">
            <v>IPC-ENCLOSE UTILITY BILLS</v>
          </cell>
          <cell r="C3277" t="str">
            <v>06A-INF-INSERTING &amp; MAIL DELIVERY</v>
          </cell>
        </row>
        <row r="3278">
          <cell r="A3278" t="str">
            <v>A2628</v>
          </cell>
          <cell r="B3278" t="str">
            <v>IR SERVICES FOR IP</v>
          </cell>
          <cell r="C3278" t="str">
            <v>057-LABOR STRATEGY</v>
          </cell>
        </row>
        <row r="3279">
          <cell r="A3279" t="str">
            <v>A2631</v>
          </cell>
          <cell r="B3279" t="str">
            <v>PROVIDE SRVCE, ACTV &amp; PROG FOR IP</v>
          </cell>
          <cell r="C3279" t="str">
            <v>02E-HR - STAFFING</v>
          </cell>
        </row>
        <row r="3280">
          <cell r="A3280" t="str">
            <v>A2632</v>
          </cell>
          <cell r="B3280" t="str">
            <v>DISTRIBUTION CONTROL - ONGOING SUPP</v>
          </cell>
          <cell r="C3280" t="str">
            <v>030-DISTRIBUTION OPERATING - MO</v>
          </cell>
        </row>
        <row r="3281">
          <cell r="A3281" t="str">
            <v>A2633</v>
          </cell>
          <cell r="B3281" t="str">
            <v>RISK MANAGEMENT - AMERENIP</v>
          </cell>
          <cell r="C3281" t="str">
            <v>07Q-CORPORATE RISK MGMT</v>
          </cell>
        </row>
        <row r="3282">
          <cell r="A3282" t="str">
            <v>A2634</v>
          </cell>
          <cell r="B3282" t="str">
            <v>GAS STORAGE ONGOING SUPPORT - CIPS</v>
          </cell>
          <cell r="C3282" t="str">
            <v>0G6-GAS STORAGE</v>
          </cell>
        </row>
        <row r="3283">
          <cell r="A3283" t="str">
            <v>A2635</v>
          </cell>
          <cell r="B3283" t="str">
            <v>GAS STORAGE ONGOING SUPPORT - CILCO</v>
          </cell>
          <cell r="C3283" t="str">
            <v>0G6-GAS STORAGE</v>
          </cell>
        </row>
        <row r="3284">
          <cell r="A3284" t="str">
            <v>A2636</v>
          </cell>
          <cell r="B3284" t="str">
            <v>ILLINOIS REGULATORY SUPPORT - ELEC</v>
          </cell>
          <cell r="C3284" t="str">
            <v>01C-STRATEGIC INITIATIVES</v>
          </cell>
        </row>
        <row r="3285">
          <cell r="A3285" t="str">
            <v>A2637</v>
          </cell>
          <cell r="B3285" t="str">
            <v>IPC REGULATORY POLICY-ELECTRIC</v>
          </cell>
          <cell r="C3285" t="str">
            <v>29R-REGULATORY POLICY</v>
          </cell>
        </row>
        <row r="3286">
          <cell r="A3286" t="str">
            <v>A2638</v>
          </cell>
          <cell r="B3286" t="str">
            <v>IPC REGULATORY POLICY GAS</v>
          </cell>
          <cell r="C3286" t="str">
            <v>29R-REGULATORY POLICY</v>
          </cell>
        </row>
        <row r="3287">
          <cell r="A3287" t="str">
            <v>A2639</v>
          </cell>
          <cell r="B3287" t="str">
            <v>BUYING MATERIAL FOR AMERENIP</v>
          </cell>
          <cell r="C3287" t="str">
            <v>074-PURCHASING</v>
          </cell>
        </row>
        <row r="3288">
          <cell r="A3288" t="str">
            <v>A2643</v>
          </cell>
          <cell r="B3288" t="str">
            <v>INVENTORY INVESTMENT CNTRL-ALLOC (E</v>
          </cell>
          <cell r="C3288" t="str">
            <v>05M-STOREROOMS-AMS</v>
          </cell>
        </row>
        <row r="3289">
          <cell r="A3289" t="str">
            <v>A2644</v>
          </cell>
          <cell r="B3289" t="str">
            <v>STORES MANAGEMENT (ELEC/GAS MO/IL)</v>
          </cell>
          <cell r="C3289" t="str">
            <v>05M-STOREROOMS-AMS</v>
          </cell>
        </row>
        <row r="3290">
          <cell r="A3290" t="str">
            <v>A2645</v>
          </cell>
          <cell r="B3290" t="str">
            <v>STORES ADMINISTRATIVE SUPPORT (ELEC</v>
          </cell>
          <cell r="C3290" t="str">
            <v>05M-STOREROOMS-AMS</v>
          </cell>
        </row>
        <row r="3291">
          <cell r="A3291" t="str">
            <v>A2649</v>
          </cell>
          <cell r="B3291" t="str">
            <v>IP APPLICATIONS SUPPORT</v>
          </cell>
          <cell r="C3291" t="str">
            <v>204-DEV - ENERGY DELIVERY</v>
          </cell>
        </row>
        <row r="3292">
          <cell r="A3292" t="str">
            <v>A2650</v>
          </cell>
          <cell r="B3292" t="str">
            <v>NERC CIPC</v>
          </cell>
          <cell r="C3292" t="str">
            <v>060-SCP - PLANNING</v>
          </cell>
        </row>
        <row r="3293">
          <cell r="A3293" t="str">
            <v>A2652</v>
          </cell>
          <cell r="B3293" t="str">
            <v>CILCO REGIONAL OPS SUPERVISION</v>
          </cell>
          <cell r="C3293" t="str">
            <v>668-IL OPS ADMIN DIV I II III</v>
          </cell>
        </row>
        <row r="3294">
          <cell r="A3294" t="str">
            <v>A2653</v>
          </cell>
          <cell r="B3294" t="str">
            <v>CILCO CUSTOMER SERVICE SUPERVISION</v>
          </cell>
          <cell r="C3294" t="str">
            <v>668-IL OPS ADMIN DIV I II III</v>
          </cell>
        </row>
        <row r="3295">
          <cell r="A3295" t="str">
            <v>A2654</v>
          </cell>
          <cell r="B3295" t="str">
            <v>CIPS CALL CTR, CREDIT &amp; COLL.SUPV</v>
          </cell>
          <cell r="C3295" t="str">
            <v>668-IL OPS ADMIN DIV I II III</v>
          </cell>
        </row>
        <row r="3296">
          <cell r="A3296" t="str">
            <v>A2655</v>
          </cell>
          <cell r="B3296" t="str">
            <v>ILLINOIS GENERAL RATE ACTIVITIES</v>
          </cell>
          <cell r="C3296" t="str">
            <v>04R-REGULATORY ACCOUNTING</v>
          </cell>
        </row>
        <row r="3297">
          <cell r="A3297" t="str">
            <v>A2660</v>
          </cell>
          <cell r="B3297" t="str">
            <v>BLANKET PROPERTY INSURANCE</v>
          </cell>
          <cell r="C3297" t="str">
            <v>07R-FINANCIAL PLANNING, INS &amp; RISK</v>
          </cell>
        </row>
        <row r="3298">
          <cell r="A3298" t="str">
            <v>A2661</v>
          </cell>
          <cell r="B3298" t="str">
            <v>DIRECTORS &amp; OFFICERS LIABILITY</v>
          </cell>
          <cell r="C3298" t="str">
            <v>07R-FINANCIAL PLANNING, INS &amp; RISK</v>
          </cell>
        </row>
        <row r="3299">
          <cell r="A3299" t="str">
            <v>A2662</v>
          </cell>
          <cell r="B3299" t="str">
            <v>EXCESS LIABILITY</v>
          </cell>
          <cell r="C3299" t="str">
            <v>07R-FINANCIAL PLANNING, INS &amp; RISK</v>
          </cell>
        </row>
        <row r="3300">
          <cell r="A3300" t="str">
            <v>A2663</v>
          </cell>
          <cell r="B3300" t="str">
            <v>AMERENUE-MO PRE-RATE CASE WORK-ELEC</v>
          </cell>
          <cell r="C3300" t="str">
            <v>024-LEGAL</v>
          </cell>
        </row>
        <row r="3301">
          <cell r="A3301" t="str">
            <v>A2664</v>
          </cell>
          <cell r="B3301" t="str">
            <v>ILLINOIS ELECTRIC POST 06 RATE CASE</v>
          </cell>
          <cell r="C3301" t="str">
            <v>024-LEGAL</v>
          </cell>
        </row>
        <row r="3302">
          <cell r="A3302" t="str">
            <v>A2665</v>
          </cell>
          <cell r="B3302" t="str">
            <v>ILL AUCTION PROCESS/RATE DESIGN</v>
          </cell>
          <cell r="C3302" t="str">
            <v>024-LEGAL</v>
          </cell>
        </row>
        <row r="3303">
          <cell r="A3303" t="str">
            <v>A2666</v>
          </cell>
          <cell r="B3303" t="str">
            <v>DEV-B&amp;CS APPL GENERAL - TRADING</v>
          </cell>
          <cell r="C3303" t="str">
            <v>201-DEV - BUS &amp; CORP SVCS</v>
          </cell>
        </row>
        <row r="3304">
          <cell r="A3304" t="str">
            <v>A2667</v>
          </cell>
          <cell r="B3304" t="str">
            <v>AUDIT OF AMERENIP OPERATIONS</v>
          </cell>
          <cell r="C3304" t="str">
            <v>05A-INTERNAL AUDIT</v>
          </cell>
        </row>
        <row r="3305">
          <cell r="A3305" t="str">
            <v>A2668</v>
          </cell>
          <cell r="B3305" t="str">
            <v>2006 RFP FOR UE CTG PLANT</v>
          </cell>
          <cell r="C3305" t="str">
            <v>012-CORPORATE PLANNING</v>
          </cell>
        </row>
        <row r="3306">
          <cell r="A3306" t="str">
            <v>A2669</v>
          </cell>
          <cell r="B3306" t="str">
            <v>POWERPLANT APPLICATION SUPPORT</v>
          </cell>
          <cell r="C3306" t="str">
            <v>201-DEV - BUS &amp; CORP SVCS</v>
          </cell>
        </row>
        <row r="3307">
          <cell r="A3307" t="str">
            <v>A2670</v>
          </cell>
          <cell r="B3307" t="str">
            <v>MOTOR TRANS.-ENGR-SUPV.-AMERENIPC</v>
          </cell>
          <cell r="C3307" t="str">
            <v>07T-FLEET SERVICES - AMS</v>
          </cell>
        </row>
        <row r="3308">
          <cell r="A3308" t="str">
            <v>A2672</v>
          </cell>
          <cell r="B3308" t="str">
            <v>IPC REGIONAL OPS SUPERVISION</v>
          </cell>
          <cell r="C3308" t="str">
            <v>91A-IL OPS ADMIN</v>
          </cell>
        </row>
        <row r="3309">
          <cell r="A3309" t="str">
            <v>A2673</v>
          </cell>
          <cell r="B3309" t="str">
            <v>TRANSP OF MAT'L/EQUIP-IPC (IL ELEC)</v>
          </cell>
          <cell r="C3309" t="str">
            <v>074-PURCHASING</v>
          </cell>
        </row>
        <row r="3310">
          <cell r="A3310" t="str">
            <v>A2674</v>
          </cell>
          <cell r="B3310" t="str">
            <v>BUYING EDS BUSINESS LINE-IPC (IL EL</v>
          </cell>
          <cell r="C3310" t="str">
            <v>074-PURCHASING</v>
          </cell>
        </row>
        <row r="3311">
          <cell r="A3311" t="str">
            <v>A2675</v>
          </cell>
          <cell r="B3311" t="str">
            <v>ASSET RECOVERY FOR IPC</v>
          </cell>
          <cell r="C3311" t="str">
            <v>074-PURCHASING</v>
          </cell>
        </row>
        <row r="3312">
          <cell r="A3312" t="str">
            <v>A2676</v>
          </cell>
          <cell r="B3312" t="str">
            <v>MATL MGMT &amp; INVENTORY CONTROL-IPC</v>
          </cell>
          <cell r="C3312" t="str">
            <v>05M-STOREROOMS-AMS</v>
          </cell>
        </row>
        <row r="3313">
          <cell r="A3313" t="str">
            <v>A2677</v>
          </cell>
          <cell r="B3313" t="str">
            <v>STORES MGMT OF AMERENIP (IPC) (ELEC</v>
          </cell>
          <cell r="C3313" t="str">
            <v>05M-STOREROOMS-AMS</v>
          </cell>
        </row>
        <row r="3314">
          <cell r="A3314" t="str">
            <v>A2678</v>
          </cell>
          <cell r="B3314" t="str">
            <v>STORES ADMIN SUPPORT TO AMERENIP (E</v>
          </cell>
          <cell r="C3314" t="str">
            <v>05M-STOREROOMS-AMS</v>
          </cell>
        </row>
        <row r="3315">
          <cell r="A3315" t="str">
            <v>A2679</v>
          </cell>
          <cell r="B3315" t="str">
            <v>PROCESS AMERENIP PAYMENTS</v>
          </cell>
          <cell r="C3315" t="str">
            <v>076-TREASURY TECHNOLOGY SERVICES</v>
          </cell>
        </row>
        <row r="3316">
          <cell r="A3316" t="str">
            <v>A2680</v>
          </cell>
          <cell r="B3316" t="str">
            <v>PROCESS CIPS,CILCO,IP,UE UTIL REC</v>
          </cell>
          <cell r="C3316" t="str">
            <v>076-TREASURY TECHNOLOGY SERVICES</v>
          </cell>
        </row>
        <row r="3317">
          <cell r="A3317" t="str">
            <v>A2682</v>
          </cell>
          <cell r="B3317" t="str">
            <v>BENEFITS - EMPLOYEE ASSISTANCE PROG</v>
          </cell>
          <cell r="C3317" t="str">
            <v>019-EMPLOYEE BENEFIT PLANS</v>
          </cell>
        </row>
        <row r="3318">
          <cell r="A3318" t="str">
            <v>A2683</v>
          </cell>
          <cell r="B3318" t="str">
            <v>AVENUE FOR GMC - DEV ED</v>
          </cell>
          <cell r="C3318" t="str">
            <v>204-DEV - ENERGY DELIVERY</v>
          </cell>
        </row>
        <row r="3319">
          <cell r="A3319" t="str">
            <v>A2684</v>
          </cell>
          <cell r="B3319" t="str">
            <v>AMEREN ENERGY - ESO</v>
          </cell>
          <cell r="C3319" t="str">
            <v>301-AME - TRADING-ELECTRICITY</v>
          </cell>
        </row>
        <row r="3320">
          <cell r="A3320" t="str">
            <v>A2685</v>
          </cell>
          <cell r="B3320" t="str">
            <v>SMP PILOT - MERAMEC PLANT</v>
          </cell>
          <cell r="C3320" t="str">
            <v>06H-NEO - ENTERPRISE NETWORKING</v>
          </cell>
        </row>
        <row r="3321">
          <cell r="A3321" t="str">
            <v>A2686</v>
          </cell>
          <cell r="B3321" t="str">
            <v>TRUNKED RADIO - CIP</v>
          </cell>
          <cell r="C3321" t="str">
            <v>06M-CSF - TELECOM FIELD OPS</v>
          </cell>
        </row>
        <row r="3322">
          <cell r="A3322" t="str">
            <v>A2687</v>
          </cell>
          <cell r="B3322" t="str">
            <v>BENEFIT RELATED - AFS</v>
          </cell>
          <cell r="C3322" t="str">
            <v>019-EMPLOYEE BENEFIT PLANS</v>
          </cell>
        </row>
        <row r="3323">
          <cell r="A3323" t="str">
            <v>A2688</v>
          </cell>
          <cell r="B3323" t="str">
            <v>BENEFIT RELATED - AME</v>
          </cell>
          <cell r="C3323" t="str">
            <v>019-EMPLOYEE BENEFIT PLANS</v>
          </cell>
        </row>
        <row r="3324">
          <cell r="A3324" t="str">
            <v>A2689</v>
          </cell>
          <cell r="B3324" t="str">
            <v>BENEFIT RELATED - ARG</v>
          </cell>
          <cell r="C3324" t="str">
            <v>019-EMPLOYEE BENEFIT PLANS</v>
          </cell>
        </row>
        <row r="3325">
          <cell r="A3325" t="str">
            <v>A2690</v>
          </cell>
          <cell r="B3325" t="str">
            <v>BENEFIT RELATED - AEG</v>
          </cell>
          <cell r="C3325" t="str">
            <v>019-EMPLOYEE BENEFIT PLANS</v>
          </cell>
        </row>
        <row r="3326">
          <cell r="A3326" t="str">
            <v>A2691</v>
          </cell>
          <cell r="B3326" t="str">
            <v>BENEFIT RELATED - AEM</v>
          </cell>
          <cell r="C3326" t="str">
            <v>019-EMPLOYEE BENEFIT PLANS</v>
          </cell>
        </row>
        <row r="3327">
          <cell r="A3327" t="str">
            <v>A2692</v>
          </cell>
          <cell r="B3327" t="str">
            <v>BENEFIT RELATED - UEC</v>
          </cell>
          <cell r="C3327" t="str">
            <v>019-EMPLOYEE BENEFIT PLANS</v>
          </cell>
        </row>
        <row r="3328">
          <cell r="A3328" t="str">
            <v>A2693</v>
          </cell>
          <cell r="B3328" t="str">
            <v>BENEFIT RELATED - CIP</v>
          </cell>
          <cell r="C3328" t="str">
            <v>019-EMPLOYEE BENEFIT PLANS</v>
          </cell>
        </row>
        <row r="3329">
          <cell r="A3329" t="str">
            <v>A2694</v>
          </cell>
          <cell r="B3329" t="str">
            <v>MMIS REPLACEMENT/INV MOVE TO EMPRV</v>
          </cell>
          <cell r="C3329" t="str">
            <v>202-DEV - OPERATIONS</v>
          </cell>
        </row>
        <row r="3330">
          <cell r="A3330" t="str">
            <v>A2695</v>
          </cell>
          <cell r="B3330" t="str">
            <v>09V LABOR BLANKET CAPITAL</v>
          </cell>
          <cell r="C3330" t="str">
            <v>09V-NEW GEN &amp; ENV PROJECTS</v>
          </cell>
        </row>
        <row r="3331">
          <cell r="A3331" t="str">
            <v>A2696</v>
          </cell>
          <cell r="B3331" t="str">
            <v>MTCE OF PROJECTS &amp; ASSETS IPC</v>
          </cell>
          <cell r="C3331" t="str">
            <v>004-ACCOUNTING</v>
          </cell>
        </row>
        <row r="3332">
          <cell r="A3332" t="str">
            <v>A2700</v>
          </cell>
          <cell r="B3332" t="str">
            <v>GEN PROJECT MANAGEMENT OFFICE EQUIP</v>
          </cell>
          <cell r="C3332" t="str">
            <v>09Q-GENERATION PROJECT SERVICES</v>
          </cell>
        </row>
        <row r="3333">
          <cell r="A3333" t="str">
            <v>A2701</v>
          </cell>
          <cell r="B3333" t="str">
            <v>GPE GENERATION SUPPORT</v>
          </cell>
          <cell r="C3333" t="str">
            <v>09M-GENERATION PROJECT ENGINEERING</v>
          </cell>
        </row>
        <row r="3334">
          <cell r="A3334" t="str">
            <v>A2702</v>
          </cell>
          <cell r="B3334" t="str">
            <v>GPE GENERATION SUPPORT EXPENSE</v>
          </cell>
          <cell r="C3334" t="str">
            <v>09M-GENERATION PROJECT ENGINEERING</v>
          </cell>
        </row>
        <row r="3335">
          <cell r="A3335" t="str">
            <v>A2703</v>
          </cell>
          <cell r="B3335" t="str">
            <v>THERMOGRAPHY WORK - MEDINA VAL. 1</v>
          </cell>
          <cell r="C3335" t="str">
            <v>020-ED PRODUCTS &amp; SERVICES</v>
          </cell>
        </row>
        <row r="3336">
          <cell r="A3336" t="str">
            <v>A2704</v>
          </cell>
          <cell r="B3336" t="str">
            <v>THERMOGRAPHY WORK - MEREDOSIA</v>
          </cell>
          <cell r="C3336" t="str">
            <v>020-ED PRODUCTS &amp; SERVICES</v>
          </cell>
        </row>
        <row r="3337">
          <cell r="A3337" t="str">
            <v>A2705</v>
          </cell>
          <cell r="B3337" t="str">
            <v>THERMOGRAPHY WORK - INDIAN TRAILS</v>
          </cell>
          <cell r="C3337" t="str">
            <v>020-ED PRODUCTS &amp; SERVICES</v>
          </cell>
        </row>
        <row r="3338">
          <cell r="A3338" t="str">
            <v>A2706</v>
          </cell>
          <cell r="B3338" t="str">
            <v>THERMOGRAPHY WORK - EDWDS/DUCK CRK</v>
          </cell>
          <cell r="C3338" t="str">
            <v>020-ED PRODUCTS &amp; SERVICES</v>
          </cell>
        </row>
        <row r="3339">
          <cell r="A3339" t="str">
            <v>A2707</v>
          </cell>
          <cell r="B3339" t="str">
            <v>DEV-B&amp;CS BOLTS SUPPORT</v>
          </cell>
          <cell r="C3339" t="str">
            <v>201-DEV - BUS &amp; CORP SVCS</v>
          </cell>
        </row>
        <row r="3340">
          <cell r="A3340" t="str">
            <v>A2708</v>
          </cell>
          <cell r="B3340" t="str">
            <v>DEV-B&amp;CS ZAINET SUPPORT</v>
          </cell>
          <cell r="C3340" t="str">
            <v>201-DEV - BUS &amp; CORP SVCS</v>
          </cell>
        </row>
        <row r="3341">
          <cell r="A3341" t="str">
            <v>A2709</v>
          </cell>
          <cell r="B3341" t="str">
            <v>DEV-B&amp;CS JDA P&amp;L SUPPORT</v>
          </cell>
          <cell r="C3341" t="str">
            <v>201-DEV - BUS &amp; CORP SVCS</v>
          </cell>
        </row>
        <row r="3342">
          <cell r="A3342" t="str">
            <v>A2710</v>
          </cell>
          <cell r="B3342" t="str">
            <v>DEV-B&amp;CS NMARKET SUPPORT</v>
          </cell>
          <cell r="C3342" t="str">
            <v>201-DEV - BUS &amp; CORP SVCS</v>
          </cell>
        </row>
        <row r="3343">
          <cell r="A3343" t="str">
            <v>A2711</v>
          </cell>
          <cell r="B3343" t="str">
            <v>SALE OF CILCORP LEVERAGE LEASE PORT</v>
          </cell>
          <cell r="C3343" t="str">
            <v>075-BANKING AND INVESTOR SERVICES</v>
          </cell>
        </row>
        <row r="3344">
          <cell r="A3344" t="str">
            <v>A2712</v>
          </cell>
          <cell r="B3344" t="str">
            <v>CILCO DIVISION OPS SUPPORT</v>
          </cell>
          <cell r="C3344" t="str">
            <v>91A-IL OPS ADMIN</v>
          </cell>
        </row>
        <row r="3345">
          <cell r="A3345" t="str">
            <v>A2713</v>
          </cell>
          <cell r="B3345" t="str">
            <v>CIPS DIVISION OPS SUPPORT</v>
          </cell>
          <cell r="C3345" t="str">
            <v>91A-IL OPS ADMIN</v>
          </cell>
        </row>
        <row r="3346">
          <cell r="A3346" t="str">
            <v>A2714</v>
          </cell>
          <cell r="B3346" t="str">
            <v>IPC DIVISION OPS SUPPORT</v>
          </cell>
          <cell r="C3346" t="str">
            <v>91A-IL OPS ADMIN</v>
          </cell>
        </row>
        <row r="3347">
          <cell r="A3347" t="str">
            <v>A2715</v>
          </cell>
          <cell r="B3347" t="str">
            <v>MANAGER - METERING SERVICES - IPC</v>
          </cell>
          <cell r="C3347" t="str">
            <v>03V-DISTRIBUTION SERVICES-AMS</v>
          </cell>
        </row>
        <row r="3348">
          <cell r="A3348" t="str">
            <v>A2716</v>
          </cell>
          <cell r="B3348" t="str">
            <v>MANAGER -METERING SVCS-CIL/CIP/IPC</v>
          </cell>
          <cell r="C3348" t="str">
            <v>03V-DISTRIBUTION SERVICES-AMS</v>
          </cell>
        </row>
        <row r="3349">
          <cell r="A3349" t="str">
            <v>A2717</v>
          </cell>
          <cell r="B3349" t="str">
            <v>METERING Reading SUPPORT-IPC</v>
          </cell>
          <cell r="C3349" t="str">
            <v>03A-METER READING-AMS</v>
          </cell>
        </row>
        <row r="3350">
          <cell r="A3350" t="str">
            <v>A2718</v>
          </cell>
          <cell r="B3350" t="str">
            <v>METERING SUPPORT - CIL/CIP/IPC</v>
          </cell>
          <cell r="C3350" t="str">
            <v>03A-METER READING-AMS</v>
          </cell>
        </row>
        <row r="3351">
          <cell r="A3351" t="str">
            <v>A2719</v>
          </cell>
          <cell r="B3351" t="str">
            <v>PERFORM PROJECT EVAL REVIEWS (IPC)</v>
          </cell>
          <cell r="C3351" t="str">
            <v>075-BANKING AND INVESTOR SERVICES</v>
          </cell>
        </row>
        <row r="3352">
          <cell r="A3352" t="str">
            <v>A2720</v>
          </cell>
          <cell r="B3352" t="str">
            <v>CIPS CUSTOMER SERVICE SUPPORT</v>
          </cell>
          <cell r="C3352" t="str">
            <v>91A-IL OPS ADMIN</v>
          </cell>
        </row>
        <row r="3353">
          <cell r="A3353" t="str">
            <v>A2721</v>
          </cell>
          <cell r="B3353" t="str">
            <v>ENERGY MARKET BUSINESS INFO PROJECT</v>
          </cell>
          <cell r="C3353" t="str">
            <v>09T-COMMERCIAL OPERATIONS SUPPORT</v>
          </cell>
        </row>
        <row r="3354">
          <cell r="A3354" t="str">
            <v>A2722</v>
          </cell>
          <cell r="B3354" t="str">
            <v>CILCO CUSTOMER SERVICE SUPPORT</v>
          </cell>
          <cell r="C3354" t="str">
            <v>91A-IL OPS ADMIN</v>
          </cell>
        </row>
        <row r="3355">
          <cell r="A3355" t="str">
            <v>A2723</v>
          </cell>
          <cell r="B3355" t="str">
            <v>IPC CUSTOMER SERVICE SUPPORT</v>
          </cell>
          <cell r="C3355" t="str">
            <v>91A-IL OPS ADMIN</v>
          </cell>
        </row>
        <row r="3356">
          <cell r="A3356" t="str">
            <v>A2727</v>
          </cell>
          <cell r="B3356" t="str">
            <v>AMS- IP</v>
          </cell>
          <cell r="C3356" t="str">
            <v>03M-SUB MTCE &amp; CONST-ENG &amp; ADMIN</v>
          </cell>
        </row>
        <row r="3357">
          <cell r="A3357" t="str">
            <v>A2728</v>
          </cell>
          <cell r="B3357" t="str">
            <v>UEC-NONPROJECT ACTIVITIES</v>
          </cell>
          <cell r="C3357" t="str">
            <v>360-DEREGULATED CTG COMMON EXP</v>
          </cell>
        </row>
        <row r="3358">
          <cell r="A3358" t="str">
            <v>A2729</v>
          </cell>
          <cell r="B3358" t="str">
            <v>GEN-NONPROJECT ACTIVITIES</v>
          </cell>
          <cell r="C3358" t="str">
            <v>360-DEREGULATED CTG COMMON EXP</v>
          </cell>
        </row>
        <row r="3359">
          <cell r="A3359" t="str">
            <v>A2730</v>
          </cell>
          <cell r="B3359" t="str">
            <v>ARG-NONPROJECT ACTIVITIES</v>
          </cell>
          <cell r="C3359" t="str">
            <v>360-DEREGULATED CTG COMMON EXP</v>
          </cell>
        </row>
        <row r="3360">
          <cell r="A3360" t="str">
            <v>A2731</v>
          </cell>
          <cell r="B3360" t="str">
            <v>CIL-NONPROJECT ACTIVITIES</v>
          </cell>
          <cell r="C3360" t="str">
            <v>360-DEREGULATED CTG COMMON EXP</v>
          </cell>
        </row>
        <row r="3361">
          <cell r="A3361" t="str">
            <v>A2732</v>
          </cell>
          <cell r="B3361" t="str">
            <v>MV1-NONPROJECT ACTIVITIES</v>
          </cell>
          <cell r="C3361" t="str">
            <v>360-DEREGULATED CTG COMMON EXP</v>
          </cell>
        </row>
        <row r="3362">
          <cell r="A3362" t="str">
            <v>A2733</v>
          </cell>
          <cell r="B3362" t="str">
            <v>DEV OPS-BUILDING SERVICE APPL SUPPT</v>
          </cell>
          <cell r="C3362" t="str">
            <v>202-DEV - OPERATIONS</v>
          </cell>
        </row>
        <row r="3363">
          <cell r="A3363" t="str">
            <v>A2734</v>
          </cell>
          <cell r="B3363" t="str">
            <v>DEV-B&amp;CS PEOPLESOFT OSHA SUPPORT</v>
          </cell>
          <cell r="C3363" t="str">
            <v>201-DEV - BUS &amp; CORP SVCS</v>
          </cell>
        </row>
        <row r="3364">
          <cell r="A3364" t="str">
            <v>A2735</v>
          </cell>
          <cell r="B3364" t="str">
            <v>BA Cost Recovery Schedule 24</v>
          </cell>
          <cell r="C3364" t="str">
            <v>042-TRANSMISSION OPERATIONS</v>
          </cell>
        </row>
        <row r="3365">
          <cell r="A3365" t="str">
            <v>A2736</v>
          </cell>
          <cell r="B3365" t="str">
            <v>DEV-OPS EB SOFTWARE SUPPORT</v>
          </cell>
          <cell r="C3365" t="str">
            <v>202-DEV - OPERATIONS</v>
          </cell>
        </row>
        <row r="3366">
          <cell r="A3366" t="str">
            <v>A2737</v>
          </cell>
          <cell r="B3366" t="str">
            <v>DEV-OPS ERIP APPLICATION SUPPORT</v>
          </cell>
          <cell r="C3366" t="str">
            <v>202-DEV - OPERATIONS</v>
          </cell>
        </row>
        <row r="3367">
          <cell r="A3367" t="str">
            <v>A2738</v>
          </cell>
          <cell r="B3367" t="str">
            <v>DEV-OPS MAINFRAME REPLATFORM</v>
          </cell>
          <cell r="C3367" t="str">
            <v>202-DEV - OPERATIONS</v>
          </cell>
        </row>
        <row r="3368">
          <cell r="A3368" t="str">
            <v>A2739</v>
          </cell>
          <cell r="B3368" t="str">
            <v>DEV-B&amp;CS OPEN PAGES SUPPORT</v>
          </cell>
          <cell r="C3368" t="str">
            <v>201-DEV - BUS &amp; CORP SVCS</v>
          </cell>
        </row>
        <row r="3369">
          <cell r="A3369" t="str">
            <v>A2740</v>
          </cell>
          <cell r="B3369" t="str">
            <v>Source to Settle</v>
          </cell>
          <cell r="C3369" t="str">
            <v>08P-SUPPLY CHAIN PROCESS &amp; PERFORMA</v>
          </cell>
        </row>
        <row r="3370">
          <cell r="A3370" t="str">
            <v>A2741</v>
          </cell>
          <cell r="B3370" t="str">
            <v>BOILER &amp; MACHINERY ENGINEERING INSP</v>
          </cell>
          <cell r="C3370" t="str">
            <v>07R-FINANCIAL PLANNING, INS &amp; RISK</v>
          </cell>
        </row>
        <row r="3371">
          <cell r="A3371" t="str">
            <v>A2742</v>
          </cell>
          <cell r="B3371" t="str">
            <v>IDENTITY MANAGEMENT STUDY</v>
          </cell>
          <cell r="C3371" t="str">
            <v>06D-SCP - SECURITY</v>
          </cell>
        </row>
        <row r="3372">
          <cell r="A3372" t="str">
            <v>A2743</v>
          </cell>
          <cell r="B3372" t="str">
            <v>NETWORK METER READING - ILLINOIS</v>
          </cell>
          <cell r="C3372" t="str">
            <v>03A-METER READING-AMS</v>
          </cell>
        </row>
        <row r="3373">
          <cell r="A3373" t="str">
            <v>A2744</v>
          </cell>
          <cell r="B3373" t="str">
            <v>DDO FIELD SUPPORT</v>
          </cell>
          <cell r="C3373" t="str">
            <v>632-CSF - IT FIELD OPERATIONS</v>
          </cell>
        </row>
        <row r="3374">
          <cell r="A3374" t="str">
            <v>A2745</v>
          </cell>
          <cell r="B3374" t="str">
            <v>ESO FIELD SUPPORT</v>
          </cell>
          <cell r="C3374" t="str">
            <v>632-CSF - IT FIELD OPERATIONS</v>
          </cell>
        </row>
        <row r="3375">
          <cell r="A3375" t="str">
            <v>A2746</v>
          </cell>
          <cell r="B3375" t="str">
            <v>OFFICE 2003 PROJECT</v>
          </cell>
          <cell r="C3375" t="str">
            <v>06B-INF - ENTERPRISE COMPUTING SERV</v>
          </cell>
        </row>
        <row r="3376">
          <cell r="A3376" t="str">
            <v>A2747</v>
          </cell>
          <cell r="B3376" t="str">
            <v>AMS ADMN SUPPORT FOR AEG</v>
          </cell>
          <cell r="C3376" t="str">
            <v>131-EFFINGHAM RESOURCE CENTER</v>
          </cell>
        </row>
        <row r="3377">
          <cell r="A3377" t="str">
            <v>A2750</v>
          </cell>
          <cell r="B3377" t="str">
            <v>AMS SUPPORT OF COFFEEN BOILERS</v>
          </cell>
          <cell r="C3377" t="str">
            <v>131-EFFINGHAM RESOURCE CENTER</v>
          </cell>
        </row>
        <row r="3378">
          <cell r="A3378" t="str">
            <v>A2751</v>
          </cell>
          <cell r="B3378" t="str">
            <v>AMS SUPP FOR COFF TURBINES</v>
          </cell>
          <cell r="C3378" t="str">
            <v>131-EFFINGHAM RESOURCE CENTER</v>
          </cell>
        </row>
        <row r="3379">
          <cell r="A3379" t="str">
            <v>A2752</v>
          </cell>
          <cell r="B3379" t="str">
            <v>AMS SUPP FOR COFF INSTRUMENT&amp; ELEC</v>
          </cell>
          <cell r="C3379" t="str">
            <v>131-EFFINGHAM RESOURCE CENTER</v>
          </cell>
        </row>
        <row r="3380">
          <cell r="A3380" t="str">
            <v>A2753</v>
          </cell>
          <cell r="B3380" t="str">
            <v>AMS LAB SUPPORT FOR COFF</v>
          </cell>
          <cell r="C3380" t="str">
            <v>131-EFFINGHAM RESOURCE CENTER</v>
          </cell>
        </row>
        <row r="3381">
          <cell r="A3381" t="str">
            <v>A2755</v>
          </cell>
          <cell r="B3381" t="str">
            <v>AMS TURB-GEN SUPPORT &amp; EXP FOR UEC</v>
          </cell>
          <cell r="C3381" t="str">
            <v>40D-GENERATION MAINT ENG</v>
          </cell>
        </row>
        <row r="3382">
          <cell r="A3382" t="str">
            <v>A2757</v>
          </cell>
          <cell r="B3382" t="str">
            <v>AMS SUPP FOR DOSH BOILERS</v>
          </cell>
          <cell r="C3382" t="str">
            <v>131-EFFINGHAM RESOURCE CENTER</v>
          </cell>
        </row>
        <row r="3383">
          <cell r="A3383" t="str">
            <v>A2758</v>
          </cell>
          <cell r="B3383" t="str">
            <v>AMS SUPP FOR DOSH TURBINES</v>
          </cell>
          <cell r="C3383" t="str">
            <v>131-EFFINGHAM RESOURCE CENTER</v>
          </cell>
        </row>
        <row r="3384">
          <cell r="A3384" t="str">
            <v>A2759</v>
          </cell>
          <cell r="B3384" t="str">
            <v>AMS SUPP FOR DOSH INSTRUMENT&amp; ELEC</v>
          </cell>
          <cell r="C3384" t="str">
            <v>131-EFFINGHAM RESOURCE CENTER</v>
          </cell>
        </row>
        <row r="3385">
          <cell r="A3385" t="str">
            <v>A2760</v>
          </cell>
          <cell r="B3385" t="str">
            <v>AMS LAB SUPPORT FOR DOSH</v>
          </cell>
          <cell r="C3385" t="str">
            <v>131-EFFINGHAM RESOURCE CENTER</v>
          </cell>
        </row>
        <row r="3386">
          <cell r="A3386" t="str">
            <v>A2761</v>
          </cell>
          <cell r="B3386" t="str">
            <v>AMS SUPP FOR HUT BOILERS</v>
          </cell>
          <cell r="C3386" t="str">
            <v>131-EFFINGHAM RESOURCE CENTER</v>
          </cell>
        </row>
        <row r="3387">
          <cell r="A3387" t="str">
            <v>A2762</v>
          </cell>
          <cell r="B3387" t="str">
            <v>AMS SUPP FOR HUT TURBINES</v>
          </cell>
          <cell r="C3387" t="str">
            <v>131-EFFINGHAM RESOURCE CENTER</v>
          </cell>
        </row>
        <row r="3388">
          <cell r="A3388" t="str">
            <v>A2763</v>
          </cell>
          <cell r="B3388" t="str">
            <v>AMS SUPP FOR HUT INSTRUMENT &amp; ELEC</v>
          </cell>
          <cell r="C3388" t="str">
            <v>131-EFFINGHAM RESOURCE CENTER</v>
          </cell>
        </row>
        <row r="3389">
          <cell r="A3389" t="str">
            <v>A2764</v>
          </cell>
          <cell r="B3389" t="str">
            <v>AMS LAB SUPPORT FOR HUT</v>
          </cell>
          <cell r="C3389" t="str">
            <v>131-EFFINGHAM RESOURCE CENTER</v>
          </cell>
        </row>
        <row r="3390">
          <cell r="A3390" t="str">
            <v>A2765</v>
          </cell>
          <cell r="B3390" t="str">
            <v>AMS SUPP FOR NWT BOILERS</v>
          </cell>
          <cell r="C3390" t="str">
            <v>131-EFFINGHAM RESOURCE CENTER</v>
          </cell>
        </row>
        <row r="3391">
          <cell r="A3391" t="str">
            <v>A2766</v>
          </cell>
          <cell r="B3391" t="str">
            <v>AMS SUPP FOR NWT TURBINES</v>
          </cell>
          <cell r="C3391" t="str">
            <v>131-EFFINGHAM RESOURCE CENTER</v>
          </cell>
        </row>
        <row r="3392">
          <cell r="A3392" t="str">
            <v>A2767</v>
          </cell>
          <cell r="B3392" t="str">
            <v>AMS SUPP FOR NWT INSTRUMENT &amp; ELEC</v>
          </cell>
          <cell r="C3392" t="str">
            <v>131-EFFINGHAM RESOURCE CENTER</v>
          </cell>
        </row>
        <row r="3393">
          <cell r="A3393" t="str">
            <v>A2768</v>
          </cell>
          <cell r="B3393" t="str">
            <v>AMS LAB SUPPORT FOR NWT</v>
          </cell>
          <cell r="C3393" t="str">
            <v>131-EFFINGHAM RESOURCE CENTER</v>
          </cell>
        </row>
        <row r="3394">
          <cell r="A3394" t="str">
            <v>A2769</v>
          </cell>
          <cell r="B3394" t="str">
            <v>AMS SUPP FOR DC BOILERS</v>
          </cell>
          <cell r="C3394" t="str">
            <v>131-EFFINGHAM RESOURCE CENTER</v>
          </cell>
        </row>
        <row r="3395">
          <cell r="A3395" t="str">
            <v>A2770</v>
          </cell>
          <cell r="B3395" t="str">
            <v>AMS SUPP FOR DC TURBINES</v>
          </cell>
          <cell r="C3395" t="str">
            <v>131-EFFINGHAM RESOURCE CENTER</v>
          </cell>
        </row>
        <row r="3396">
          <cell r="A3396" t="str">
            <v>A2771</v>
          </cell>
          <cell r="B3396" t="str">
            <v>AMS SUPP FOR DC INSTRUMENT &amp; ELEC</v>
          </cell>
          <cell r="C3396" t="str">
            <v>131-EFFINGHAM RESOURCE CENTER</v>
          </cell>
        </row>
        <row r="3397">
          <cell r="A3397" t="str">
            <v>A2772</v>
          </cell>
          <cell r="B3397" t="str">
            <v>AMS LAB SUPPORT FOR DC</v>
          </cell>
          <cell r="C3397" t="str">
            <v>131-EFFINGHAM RESOURCE CENTER</v>
          </cell>
        </row>
        <row r="3398">
          <cell r="A3398" t="str">
            <v>A2773</v>
          </cell>
          <cell r="B3398" t="str">
            <v>AMS SUPP FOR EDE BOILERS</v>
          </cell>
          <cell r="C3398" t="str">
            <v>131-EFFINGHAM RESOURCE CENTER</v>
          </cell>
        </row>
        <row r="3399">
          <cell r="A3399" t="str">
            <v>A2774</v>
          </cell>
          <cell r="B3399" t="str">
            <v>AMS SUPP FOR EDE TURBINES</v>
          </cell>
          <cell r="C3399" t="str">
            <v>131-EFFINGHAM RESOURCE CENTER</v>
          </cell>
        </row>
        <row r="3400">
          <cell r="A3400" t="str">
            <v>A2775</v>
          </cell>
          <cell r="B3400" t="str">
            <v>AMS SUPP FOR EDE INSTRUMENT &amp; ELEC</v>
          </cell>
          <cell r="C3400" t="str">
            <v>131-EFFINGHAM RESOURCE CENTER</v>
          </cell>
        </row>
        <row r="3401">
          <cell r="A3401" t="str">
            <v>A2776</v>
          </cell>
          <cell r="B3401" t="str">
            <v>AMS LAB SUPPORT FOR EDE</v>
          </cell>
          <cell r="C3401" t="str">
            <v>131-EFFINGHAM RESOURCE CENTER</v>
          </cell>
        </row>
        <row r="3402">
          <cell r="A3402" t="str">
            <v>A2777</v>
          </cell>
          <cell r="B3402" t="str">
            <v>AMS SUPP FOR GDTWR CTG</v>
          </cell>
          <cell r="C3402" t="str">
            <v>131-EFFINGHAM RESOURCE CENTER</v>
          </cell>
        </row>
        <row r="3403">
          <cell r="A3403" t="str">
            <v>A2778</v>
          </cell>
          <cell r="B3403" t="str">
            <v>AMS SUPP FOR GDTWR INSTRUMENT&amp;ELEC</v>
          </cell>
          <cell r="C3403" t="str">
            <v>131-EFFINGHAM RESOURCE CENTER</v>
          </cell>
        </row>
        <row r="3404">
          <cell r="A3404" t="str">
            <v>A2779</v>
          </cell>
          <cell r="B3404" t="str">
            <v>AMS LAB SUPPORT FOR GDTWR</v>
          </cell>
          <cell r="C3404" t="str">
            <v>131-EFFINGHAM RESOURCE CENTER</v>
          </cell>
        </row>
        <row r="3405">
          <cell r="A3405" t="str">
            <v>A2780</v>
          </cell>
          <cell r="B3405" t="str">
            <v>AMS SUPP FOR LBD BOILERS</v>
          </cell>
          <cell r="C3405" t="str">
            <v>131-EFFINGHAM RESOURCE CENTER</v>
          </cell>
        </row>
        <row r="3406">
          <cell r="A3406" t="str">
            <v>A2781</v>
          </cell>
          <cell r="B3406" t="str">
            <v>AMS SUPP FOR LBD TURBINES</v>
          </cell>
          <cell r="C3406" t="str">
            <v>131-EFFINGHAM RESOURCE CENTER</v>
          </cell>
        </row>
        <row r="3407">
          <cell r="A3407" t="str">
            <v>A2782</v>
          </cell>
          <cell r="B3407" t="str">
            <v>AMS SUPP FOR LBD INSTRUMENT &amp; ELEC</v>
          </cell>
          <cell r="C3407" t="str">
            <v>131-EFFINGHAM RESOURCE CENTER</v>
          </cell>
        </row>
        <row r="3408">
          <cell r="A3408" t="str">
            <v>A2783</v>
          </cell>
          <cell r="B3408" t="str">
            <v>AMS LAB SUPPORT FOR LBD</v>
          </cell>
          <cell r="C3408" t="str">
            <v>131-EFFINGHAM RESOURCE CENTER</v>
          </cell>
        </row>
        <row r="3409">
          <cell r="A3409" t="str">
            <v>A2784</v>
          </cell>
          <cell r="B3409" t="str">
            <v>AMS SUPP FOR MERM BOILERS</v>
          </cell>
          <cell r="C3409" t="str">
            <v>131-EFFINGHAM RESOURCE CENTER</v>
          </cell>
        </row>
        <row r="3410">
          <cell r="A3410" t="str">
            <v>A2785</v>
          </cell>
          <cell r="B3410" t="str">
            <v>AMS SUPP FOR MERM TURBINES</v>
          </cell>
          <cell r="C3410" t="str">
            <v>131-EFFINGHAM RESOURCE CENTER</v>
          </cell>
        </row>
        <row r="3411">
          <cell r="A3411" t="str">
            <v>A2786</v>
          </cell>
          <cell r="B3411" t="str">
            <v>AMS SUPP FOR MERM INSTRUMENT&amp; ELEC</v>
          </cell>
          <cell r="C3411" t="str">
            <v>131-EFFINGHAM RESOURCE CENTER</v>
          </cell>
        </row>
        <row r="3412">
          <cell r="A3412" t="str">
            <v>A2787</v>
          </cell>
          <cell r="B3412" t="str">
            <v>AMS LAB SUPPORT FOR MERM</v>
          </cell>
          <cell r="C3412" t="str">
            <v>131-EFFINGHAM RESOURCE CENTER</v>
          </cell>
        </row>
        <row r="3413">
          <cell r="A3413" t="str">
            <v>A2788</v>
          </cell>
          <cell r="B3413" t="str">
            <v>AMS SUPP FOR RI BOILERS</v>
          </cell>
          <cell r="C3413" t="str">
            <v>131-EFFINGHAM RESOURCE CENTER</v>
          </cell>
        </row>
        <row r="3414">
          <cell r="A3414" t="str">
            <v>A2789</v>
          </cell>
          <cell r="B3414" t="str">
            <v>AMS SUPP FOR RI TURBINES</v>
          </cell>
          <cell r="C3414" t="str">
            <v>131-EFFINGHAM RESOURCE CENTER</v>
          </cell>
        </row>
        <row r="3415">
          <cell r="A3415" t="str">
            <v>A2790</v>
          </cell>
          <cell r="B3415" t="str">
            <v>AMS SUPP FOR RI INSTRUMENT &amp; ELEC</v>
          </cell>
          <cell r="C3415" t="str">
            <v>131-EFFINGHAM RESOURCE CENTER</v>
          </cell>
        </row>
        <row r="3416">
          <cell r="A3416" t="str">
            <v>A2791</v>
          </cell>
          <cell r="B3416" t="str">
            <v>AMS LAB SUPPORT FOR RI</v>
          </cell>
          <cell r="C3416" t="str">
            <v>131-EFFINGHAM RESOURCE CENTER</v>
          </cell>
        </row>
        <row r="3417">
          <cell r="A3417" t="str">
            <v>A2792</v>
          </cell>
          <cell r="B3417" t="str">
            <v>AMS SUPP FOR SX BOILERS</v>
          </cell>
          <cell r="C3417" t="str">
            <v>131-EFFINGHAM RESOURCE CENTER</v>
          </cell>
        </row>
        <row r="3418">
          <cell r="A3418" t="str">
            <v>A2793</v>
          </cell>
          <cell r="B3418" t="str">
            <v>AMS SUPP FOR SX TURBINES</v>
          </cell>
          <cell r="C3418" t="str">
            <v>131-EFFINGHAM RESOURCE CENTER</v>
          </cell>
        </row>
        <row r="3419">
          <cell r="A3419" t="str">
            <v>A2794</v>
          </cell>
          <cell r="B3419" t="str">
            <v>AMS SUPP FOR SX INSTRUMENT &amp; ELEC</v>
          </cell>
          <cell r="C3419" t="str">
            <v>131-EFFINGHAM RESOURCE CENTER</v>
          </cell>
        </row>
        <row r="3420">
          <cell r="A3420" t="str">
            <v>A2795</v>
          </cell>
          <cell r="B3420" t="str">
            <v>AMS LAB SUPPORT FOR SX</v>
          </cell>
          <cell r="C3420" t="str">
            <v>131-EFFINGHAM RESOURCE CENTER</v>
          </cell>
        </row>
        <row r="3421">
          <cell r="A3421" t="str">
            <v>A2797</v>
          </cell>
          <cell r="B3421" t="str">
            <v>AMS TRAINING &amp; DEVELOPMENT UEC</v>
          </cell>
          <cell r="C3421" t="str">
            <v>40E-GENERATION TRAIN &amp; DEV SRVCS</v>
          </cell>
        </row>
        <row r="3422">
          <cell r="A3422" t="str">
            <v>A2798</v>
          </cell>
          <cell r="B3422" t="str">
            <v>AMS TRAINING &amp; DEVELOPMENT GEN</v>
          </cell>
          <cell r="C3422" t="str">
            <v>40E-GENERATION TRAIN &amp; DEV SRVCS</v>
          </cell>
        </row>
        <row r="3423">
          <cell r="A3423" t="str">
            <v>A2799</v>
          </cell>
          <cell r="B3423" t="str">
            <v>AMS TRAINING &amp; DEVELOPMENT ARG</v>
          </cell>
          <cell r="C3423" t="str">
            <v>40E-GENERATION TRAIN &amp; DEV SRVCS</v>
          </cell>
        </row>
        <row r="3424">
          <cell r="A3424" t="str">
            <v>A2800</v>
          </cell>
          <cell r="B3424" t="str">
            <v>AMS SUPPORT CORRECTIVE ACTION - UEC</v>
          </cell>
          <cell r="C3424" t="str">
            <v>40G-GENERATION CORRECTIVE ACTION</v>
          </cell>
        </row>
        <row r="3425">
          <cell r="A3425" t="str">
            <v>A2801</v>
          </cell>
          <cell r="B3425" t="str">
            <v>AMS SUPPORT CORRECTIVE ACTION - GEN</v>
          </cell>
          <cell r="C3425" t="str">
            <v>40G-GENERATION CORRECTIVE ACTION</v>
          </cell>
        </row>
        <row r="3426">
          <cell r="A3426" t="str">
            <v>A2802</v>
          </cell>
          <cell r="B3426" t="str">
            <v>AMS SUPPORT CORRECTIVE ACTION - ARG</v>
          </cell>
          <cell r="C3426" t="str">
            <v>40G-GENERATION CORRECTIVE ACTION</v>
          </cell>
        </row>
        <row r="3427">
          <cell r="A3427" t="str">
            <v>A2803</v>
          </cell>
          <cell r="B3427" t="str">
            <v>AMS PEFORMANCE MONITORING-UEC</v>
          </cell>
          <cell r="C3427" t="str">
            <v>81D-GEN PERF MONITOR &amp; ASSESS</v>
          </cell>
        </row>
        <row r="3428">
          <cell r="A3428" t="str">
            <v>A2804</v>
          </cell>
          <cell r="B3428" t="str">
            <v>AMS PEFORMANCE MONITORING-GEN</v>
          </cell>
          <cell r="C3428" t="str">
            <v>81D-GEN PERF MONITOR &amp; ASSESS</v>
          </cell>
        </row>
        <row r="3429">
          <cell r="A3429" t="str">
            <v>A2805</v>
          </cell>
          <cell r="B3429" t="str">
            <v>AMS PEFORMANCE MONITORING-ARG</v>
          </cell>
          <cell r="C3429" t="str">
            <v>81D-GEN PERF MONITOR &amp; ASSESS</v>
          </cell>
        </row>
        <row r="3430">
          <cell r="A3430" t="str">
            <v>A2806</v>
          </cell>
          <cell r="B3430" t="str">
            <v>GTS CORRECTIVE ACTION PROCESS DEV</v>
          </cell>
          <cell r="C3430" t="str">
            <v>40G-GENERATION CORRECTIVE ACTION</v>
          </cell>
        </row>
        <row r="3431">
          <cell r="A3431" t="str">
            <v>A2807</v>
          </cell>
          <cell r="B3431" t="str">
            <v>AMS ADMN SUPPORT FOR UEC</v>
          </cell>
          <cell r="C3431" t="str">
            <v>131-EFFINGHAM RESOURCE CENTER</v>
          </cell>
        </row>
        <row r="3432">
          <cell r="A3432" t="str">
            <v>A2808</v>
          </cell>
          <cell r="B3432" t="str">
            <v>GEN PROJECT MANAGEMENT EXPENSES</v>
          </cell>
          <cell r="C3432" t="str">
            <v>09Q-GENERATION PROJECT SERVICES</v>
          </cell>
        </row>
        <row r="3433">
          <cell r="A3433" t="str">
            <v>A2811</v>
          </cell>
          <cell r="B3433" t="str">
            <v>AMS GENERAL ENG SUPPORT COFF</v>
          </cell>
          <cell r="C3433" t="str">
            <v>131-EFFINGHAM RESOURCE CENTER</v>
          </cell>
        </row>
        <row r="3434">
          <cell r="A3434" t="str">
            <v>A2812</v>
          </cell>
          <cell r="B3434" t="str">
            <v>AMS GENERAL ENG SUPPORT DOSH</v>
          </cell>
          <cell r="C3434" t="str">
            <v>131-EFFINGHAM RESOURCE CENTER</v>
          </cell>
        </row>
        <row r="3435">
          <cell r="A3435" t="str">
            <v>A2813</v>
          </cell>
          <cell r="B3435" t="str">
            <v>AMS GENERAL ENG SUPPORT HUT</v>
          </cell>
          <cell r="C3435" t="str">
            <v>131-EFFINGHAM RESOURCE CENTER</v>
          </cell>
        </row>
        <row r="3436">
          <cell r="A3436" t="str">
            <v>A2814</v>
          </cell>
          <cell r="B3436" t="str">
            <v>AMS GENERAL ENG SUPPORT NWT</v>
          </cell>
          <cell r="C3436" t="str">
            <v>131-EFFINGHAM RESOURCE CENTER</v>
          </cell>
        </row>
        <row r="3437">
          <cell r="A3437" t="str">
            <v>A2815</v>
          </cell>
          <cell r="B3437" t="str">
            <v>AMS GENERAL ENG SUPPORT DC</v>
          </cell>
          <cell r="C3437" t="str">
            <v>131-EFFINGHAM RESOURCE CENTER</v>
          </cell>
        </row>
        <row r="3438">
          <cell r="A3438" t="str">
            <v>A2816</v>
          </cell>
          <cell r="B3438" t="str">
            <v>AMS GENERAL ENG SUPPORT EDE</v>
          </cell>
          <cell r="C3438" t="str">
            <v>131-EFFINGHAM RESOURCE CENTER</v>
          </cell>
        </row>
        <row r="3439">
          <cell r="A3439" t="str">
            <v>A2817</v>
          </cell>
          <cell r="B3439" t="str">
            <v>AMS GENERAL ENG SUPPORT GDTWR</v>
          </cell>
          <cell r="C3439" t="str">
            <v>131-EFFINGHAM RESOURCE CENTER</v>
          </cell>
        </row>
        <row r="3440">
          <cell r="A3440" t="str">
            <v>A2818</v>
          </cell>
          <cell r="B3440" t="str">
            <v>AMS GENERAL ENG SUPPORT LBD</v>
          </cell>
          <cell r="C3440" t="str">
            <v>131-EFFINGHAM RESOURCE CENTER</v>
          </cell>
        </row>
        <row r="3441">
          <cell r="A3441" t="str">
            <v>A2819</v>
          </cell>
          <cell r="B3441" t="str">
            <v>AMS GENERAL ENG SUPPORT MERM</v>
          </cell>
          <cell r="C3441" t="str">
            <v>131-EFFINGHAM RESOURCE CENTER</v>
          </cell>
        </row>
        <row r="3442">
          <cell r="A3442" t="str">
            <v>A2820</v>
          </cell>
          <cell r="B3442" t="str">
            <v>AMS GENERAL ENG SUPPORT RI</v>
          </cell>
          <cell r="C3442" t="str">
            <v>131-EFFINGHAM RESOURCE CENTER</v>
          </cell>
        </row>
        <row r="3443">
          <cell r="A3443" t="str">
            <v>A2821</v>
          </cell>
          <cell r="B3443" t="str">
            <v>AMS GENERAL ENG SUPPORT SX</v>
          </cell>
          <cell r="C3443" t="str">
            <v>131-EFFINGHAM RESOURCE CENTER</v>
          </cell>
        </row>
        <row r="3444">
          <cell r="A3444" t="str">
            <v>A2822</v>
          </cell>
          <cell r="B3444" t="str">
            <v>BCS OPTIMIZATION APPL ROADMAP</v>
          </cell>
          <cell r="C3444" t="str">
            <v>201-DEV - BUS &amp; CORP SVCS</v>
          </cell>
        </row>
        <row r="3445">
          <cell r="A3445" t="str">
            <v>A2823</v>
          </cell>
          <cell r="B3445" t="str">
            <v>AUTOMATED METER READING (AMR) - ILL</v>
          </cell>
          <cell r="C3445" t="str">
            <v>204-DEV - ENERGY DELIVERY</v>
          </cell>
        </row>
        <row r="3446">
          <cell r="A3446" t="str">
            <v>A2824</v>
          </cell>
          <cell r="B3446" t="str">
            <v>AMS SUPP ALL FOSSIL GENERATION</v>
          </cell>
          <cell r="C3446" t="str">
            <v>131-EFFINGHAM RESOURCE CENTER</v>
          </cell>
        </row>
        <row r="3447">
          <cell r="A3447" t="str">
            <v>A2825</v>
          </cell>
          <cell r="B3447" t="str">
            <v>SIMULATING ADVANCED POWER SYSTEMS</v>
          </cell>
          <cell r="C3447" t="str">
            <v>09V-NEW GEN &amp; ENV PROJECTS</v>
          </cell>
        </row>
        <row r="3448">
          <cell r="A3448" t="str">
            <v>A2826</v>
          </cell>
          <cell r="B3448" t="str">
            <v>LABOR/HR SERVICES FOR ED IL</v>
          </cell>
          <cell r="C3448" t="str">
            <v>057-LABOR STRATEGY</v>
          </cell>
        </row>
        <row r="3449">
          <cell r="A3449" t="str">
            <v>A2827</v>
          </cell>
          <cell r="B3449" t="str">
            <v>LABOR-HR SERVICES FOR UEC GENRTN</v>
          </cell>
          <cell r="C3449" t="str">
            <v>057-LABOR STRATEGY</v>
          </cell>
        </row>
        <row r="3450">
          <cell r="A3450" t="str">
            <v>A2828</v>
          </cell>
          <cell r="B3450" t="str">
            <v>LABOR-HR SERV UEC FOSSIL GENERATION</v>
          </cell>
          <cell r="C3450" t="str">
            <v>057-LABOR STRATEGY</v>
          </cell>
        </row>
        <row r="3451">
          <cell r="A3451" t="str">
            <v>A2829</v>
          </cell>
          <cell r="B3451" t="str">
            <v>LABOR-HR SERV UEC NUCLEAR GNRTN</v>
          </cell>
          <cell r="C3451" t="str">
            <v>057-LABOR STRATEGY</v>
          </cell>
        </row>
        <row r="3452">
          <cell r="A3452" t="str">
            <v>A2830</v>
          </cell>
          <cell r="B3452" t="str">
            <v>LABOR-HR SERV FOR UNREG GEN - ARG</v>
          </cell>
          <cell r="C3452" t="str">
            <v>057-LABOR STRATEGY</v>
          </cell>
        </row>
        <row r="3453">
          <cell r="A3453" t="str">
            <v>A2831</v>
          </cell>
          <cell r="B3453" t="str">
            <v>LABOR-HR SERV--BUS &amp; CORP SERV UEC</v>
          </cell>
          <cell r="C3453" t="str">
            <v>057-LABOR STRATEGY</v>
          </cell>
        </row>
        <row r="3454">
          <cell r="A3454" t="str">
            <v>A2832</v>
          </cell>
          <cell r="B3454" t="str">
            <v>LABOR-HR SERV--BUS &amp; CORP SERV IPC</v>
          </cell>
          <cell r="C3454" t="str">
            <v>057-LABOR STRATEGY</v>
          </cell>
        </row>
        <row r="3455">
          <cell r="A3455" t="str">
            <v>A2833</v>
          </cell>
          <cell r="B3455" t="str">
            <v>LABOR-HR SERV--BUS &amp; CORP SERV CIPS</v>
          </cell>
          <cell r="C3455" t="str">
            <v>057-LABOR STRATEGY</v>
          </cell>
        </row>
        <row r="3456">
          <cell r="A3456" t="str">
            <v>A2834</v>
          </cell>
          <cell r="B3456" t="str">
            <v>LABOR-HR SERV--BUS &amp; CORP SERV CIL</v>
          </cell>
          <cell r="C3456" t="str">
            <v>057-LABOR STRATEGY</v>
          </cell>
        </row>
        <row r="3457">
          <cell r="A3457" t="str">
            <v>A2835</v>
          </cell>
          <cell r="B3457" t="str">
            <v>AMS ADMN SUPPORT FOR ARG</v>
          </cell>
          <cell r="C3457" t="str">
            <v>131-EFFINGHAM RESOURCE CENTER</v>
          </cell>
        </row>
        <row r="3458">
          <cell r="A3458" t="str">
            <v>A2836</v>
          </cell>
          <cell r="B3458" t="str">
            <v>MISO RECON TEAM and DISPUTE REVIEW</v>
          </cell>
          <cell r="C3458" t="str">
            <v>09T-COMMERCIAL OPERATIONS SUPPORT</v>
          </cell>
        </row>
        <row r="3459">
          <cell r="A3459" t="str">
            <v>A2837</v>
          </cell>
          <cell r="B3459" t="str">
            <v>AUDIT SVC VENDOR-GEN</v>
          </cell>
          <cell r="C3459" t="str">
            <v>4PL-PLANT ACCOUNTING</v>
          </cell>
        </row>
        <row r="3460">
          <cell r="A3460" t="str">
            <v>A2838</v>
          </cell>
          <cell r="B3460" t="str">
            <v>AUDIT SVC VENDOR-NUCLEAR</v>
          </cell>
          <cell r="C3460" t="str">
            <v>4PL-PLANT ACCOUNTING</v>
          </cell>
        </row>
        <row r="3461">
          <cell r="A3461" t="str">
            <v>A2839</v>
          </cell>
          <cell r="B3461" t="str">
            <v>AUDIT SVC VENDOR-ENERGY DEL</v>
          </cell>
          <cell r="C3461" t="str">
            <v>4PL-PLANT ACCOUNTING</v>
          </cell>
        </row>
        <row r="3462">
          <cell r="A3462" t="str">
            <v>A2840</v>
          </cell>
          <cell r="B3462" t="str">
            <v>AMS GENL OUTAGE PLAN, SUPP FOR COFF</v>
          </cell>
          <cell r="C3462" t="str">
            <v>131-EFFINGHAM RESOURCE CENTER</v>
          </cell>
        </row>
        <row r="3463">
          <cell r="A3463" t="str">
            <v>A2841</v>
          </cell>
          <cell r="B3463" t="str">
            <v>AMS GENL OUTAGE PLAN, SUPP FOR NEWT</v>
          </cell>
          <cell r="C3463" t="str">
            <v>131-EFFINGHAM RESOURCE CENTER</v>
          </cell>
        </row>
        <row r="3464">
          <cell r="A3464" t="str">
            <v>A2842</v>
          </cell>
          <cell r="B3464" t="str">
            <v>AMS GENL OUTAGE PLAN, SUPP FOR HUT</v>
          </cell>
          <cell r="C3464" t="str">
            <v>131-EFFINGHAM RESOURCE CENTER</v>
          </cell>
        </row>
        <row r="3465">
          <cell r="A3465" t="str">
            <v>A2843</v>
          </cell>
          <cell r="B3465" t="str">
            <v>AMS GENL OUTAGE PLAN, SUPP FOR DOSH</v>
          </cell>
          <cell r="C3465" t="str">
            <v>131-EFFINGHAM RESOURCE CENTER</v>
          </cell>
        </row>
        <row r="3466">
          <cell r="A3466" t="str">
            <v>A2845</v>
          </cell>
          <cell r="B3466" t="str">
            <v>AMS GENL OUTAGE PLAN, SUPP FOR SX</v>
          </cell>
          <cell r="C3466" t="str">
            <v>131-EFFINGHAM RESOURCE CENTER</v>
          </cell>
        </row>
        <row r="3467">
          <cell r="A3467" t="str">
            <v>A2846</v>
          </cell>
          <cell r="B3467" t="str">
            <v>AMS GENL OUTAGE PLAN, SUPP FOR RI</v>
          </cell>
          <cell r="C3467" t="str">
            <v>131-EFFINGHAM RESOURCE CENTER</v>
          </cell>
        </row>
        <row r="3468">
          <cell r="A3468" t="str">
            <v>A2847</v>
          </cell>
          <cell r="B3468" t="str">
            <v>AMS GENL OUTAGE PLAN, SUPP FOR MERM</v>
          </cell>
          <cell r="C3468" t="str">
            <v>131-EFFINGHAM RESOURCE CENTER</v>
          </cell>
        </row>
        <row r="3469">
          <cell r="A3469" t="str">
            <v>A2848</v>
          </cell>
          <cell r="B3469" t="str">
            <v>AMS GENL OUTAGE PLAN, SUPP FOR LBD</v>
          </cell>
          <cell r="C3469" t="str">
            <v>131-EFFINGHAM RESOURCE CENTER</v>
          </cell>
        </row>
        <row r="3470">
          <cell r="A3470" t="str">
            <v>A2849</v>
          </cell>
          <cell r="B3470" t="str">
            <v>AMS GENL OUTAGE PLAN, SUPP FOR EDE</v>
          </cell>
          <cell r="C3470" t="str">
            <v>131-EFFINGHAM RESOURCE CENTER</v>
          </cell>
        </row>
        <row r="3471">
          <cell r="A3471" t="str">
            <v>A2850</v>
          </cell>
          <cell r="B3471" t="str">
            <v>AMS GENL OUTAGE PLAN, SUPP FOR DC</v>
          </cell>
          <cell r="C3471" t="str">
            <v>131-EFFINGHAM RESOURCE CENTER</v>
          </cell>
        </row>
        <row r="3472">
          <cell r="A3472" t="str">
            <v>A2851</v>
          </cell>
          <cell r="B3472" t="str">
            <v>PRICING AND ANALYSIS FOR AEM</v>
          </cell>
          <cell r="C3472" t="str">
            <v>012-CORPORATE PLANNING</v>
          </cell>
        </row>
        <row r="3473">
          <cell r="A3473" t="str">
            <v>A2852</v>
          </cell>
          <cell r="B3473" t="str">
            <v>Union Electric - Nuclear</v>
          </cell>
          <cell r="C3473" t="str">
            <v>024-LEGAL</v>
          </cell>
        </row>
        <row r="3474">
          <cell r="A3474" t="str">
            <v>A2853</v>
          </cell>
          <cell r="B3474" t="str">
            <v>UNION ELECTRIC - ENERGY DELIVERY</v>
          </cell>
          <cell r="C3474" t="str">
            <v>024-LEGAL</v>
          </cell>
        </row>
        <row r="3475">
          <cell r="A3475" t="str">
            <v>A2854</v>
          </cell>
          <cell r="B3475" t="str">
            <v>UNION ELECTRIC-GENERATION-NON-NUCL</v>
          </cell>
          <cell r="C3475" t="str">
            <v>024-LEGAL</v>
          </cell>
        </row>
        <row r="3476">
          <cell r="A3476" t="str">
            <v>A2855</v>
          </cell>
          <cell r="B3476" t="str">
            <v>COMMUNITY PROGRAMS CALLAWAY</v>
          </cell>
          <cell r="C3476" t="str">
            <v>001-CORPORATE COMMUNICATIONS</v>
          </cell>
        </row>
        <row r="3477">
          <cell r="A3477" t="str">
            <v>A2856</v>
          </cell>
          <cell r="B3477" t="str">
            <v>COMMUNITY PROGRAMS ENERGY DELIVERY</v>
          </cell>
          <cell r="C3477" t="str">
            <v>001-CORPORATE COMMUNICATIONS</v>
          </cell>
        </row>
        <row r="3478">
          <cell r="A3478" t="str">
            <v>A2857</v>
          </cell>
          <cell r="B3478" t="str">
            <v>COMMUNITY PROGRAMS NON NUCLEAR GEN</v>
          </cell>
          <cell r="C3478" t="str">
            <v>001-CORPORATE COMMUNICATIONS</v>
          </cell>
        </row>
        <row r="3479">
          <cell r="A3479" t="str">
            <v>A2858</v>
          </cell>
          <cell r="B3479" t="str">
            <v>ILL Distribution Ops</v>
          </cell>
          <cell r="C3479" t="str">
            <v>91A-IL OPS ADMIN</v>
          </cell>
        </row>
        <row r="3480">
          <cell r="A3480" t="str">
            <v>A2859</v>
          </cell>
          <cell r="B3480" t="str">
            <v>GTS TECH SERV TRNG, AMS PERSONNEL</v>
          </cell>
          <cell r="C3480" t="str">
            <v>40E-GENERATION TRAIN &amp; DEV SRVCS</v>
          </cell>
        </row>
        <row r="3481">
          <cell r="A3481" t="str">
            <v>A2860</v>
          </cell>
          <cell r="B3481" t="str">
            <v>Provide service to UEC-Nuclear</v>
          </cell>
          <cell r="C3481" t="str">
            <v>02E-HR - STAFFING</v>
          </cell>
        </row>
        <row r="3482">
          <cell r="A3482" t="str">
            <v>A2861</v>
          </cell>
          <cell r="B3482" t="str">
            <v>Provide svc to Non-Nuclear Gen.</v>
          </cell>
          <cell r="C3482" t="str">
            <v>02E-HR - STAFFING</v>
          </cell>
        </row>
        <row r="3483">
          <cell r="A3483" t="str">
            <v>A2862</v>
          </cell>
          <cell r="B3483" t="str">
            <v>PROVIDE SVC to ED-MO</v>
          </cell>
          <cell r="C3483" t="str">
            <v>02E-HR - STAFFING</v>
          </cell>
        </row>
        <row r="3484">
          <cell r="A3484" t="str">
            <v>A2863</v>
          </cell>
          <cell r="B3484" t="str">
            <v>PROVIDE SVC to ED-IL</v>
          </cell>
          <cell r="C3484" t="str">
            <v>02E-HR - STAFFING</v>
          </cell>
        </row>
        <row r="3485">
          <cell r="A3485" t="str">
            <v>A2864</v>
          </cell>
          <cell r="B3485" t="str">
            <v>FPI SUPPORT for NUCLEAR GEN</v>
          </cell>
          <cell r="C3485" t="str">
            <v>005-SYSTEMS &amp; SPECIAL PROJECTS</v>
          </cell>
        </row>
        <row r="3486">
          <cell r="A3486" t="str">
            <v>A2865</v>
          </cell>
          <cell r="B3486" t="str">
            <v>FPI SUPPORT for NNUC</v>
          </cell>
          <cell r="C3486" t="str">
            <v>005-SYSTEMS &amp; SPECIAL PROJECTS</v>
          </cell>
        </row>
        <row r="3487">
          <cell r="A3487" t="str">
            <v>A2866</v>
          </cell>
          <cell r="B3487" t="str">
            <v>FPI SUPPORT for ENERGY DELIVERY</v>
          </cell>
          <cell r="C3487" t="str">
            <v>005-SYSTEMS &amp; SPECIAL PROJECTS</v>
          </cell>
        </row>
        <row r="3488">
          <cell r="A3488" t="str">
            <v>A2867</v>
          </cell>
          <cell r="B3488" t="str">
            <v>NCL - DEVELOP-DELIVER TRAINING</v>
          </cell>
          <cell r="C3488" t="str">
            <v>06J-CSF - ASC CUSTOMER SERVICES</v>
          </cell>
        </row>
        <row r="3489">
          <cell r="A3489" t="str">
            <v>A2868</v>
          </cell>
          <cell r="B3489" t="str">
            <v>NNG - DEVELOP-DELIVER TRAINING</v>
          </cell>
          <cell r="C3489" t="str">
            <v>06J-CSF - ASC CUSTOMER SERVICES</v>
          </cell>
        </row>
        <row r="3490">
          <cell r="A3490" t="str">
            <v>A2869</v>
          </cell>
          <cell r="B3490" t="str">
            <v>EDY - DEVELOP-DELIVER TRAINING</v>
          </cell>
          <cell r="C3490" t="str">
            <v>06J-CSF - ASC CUSTOMER SERVICES</v>
          </cell>
        </row>
        <row r="3491">
          <cell r="A3491" t="str">
            <v>A2870</v>
          </cell>
          <cell r="B3491" t="str">
            <v>SOURCE TO SETTLE (S2S) - O&amp;M</v>
          </cell>
          <cell r="C3491" t="str">
            <v>202-DEV - OPERATIONS</v>
          </cell>
        </row>
        <row r="3492">
          <cell r="A3492" t="str">
            <v>A2872</v>
          </cell>
          <cell r="B3492" t="str">
            <v>LAB SUPPORT FOR CALLAWAY</v>
          </cell>
          <cell r="C3492" t="str">
            <v>81A-GENERATION QUALITY ENGINEERING</v>
          </cell>
        </row>
        <row r="3493">
          <cell r="A3493" t="str">
            <v>A2873</v>
          </cell>
          <cell r="B3493" t="str">
            <v>AMS ENGINEERING SUPPORT OF CALLAWAY</v>
          </cell>
          <cell r="C3493" t="str">
            <v>40D-GENERATION MAINT ENG</v>
          </cell>
        </row>
        <row r="3494">
          <cell r="A3494" t="str">
            <v>A2874</v>
          </cell>
          <cell r="B3494" t="str">
            <v>AUDIT OF GAS METERING OPERATIONS</v>
          </cell>
          <cell r="C3494" t="str">
            <v>05A-INTERNAL AUDIT</v>
          </cell>
        </row>
        <row r="3495">
          <cell r="A3495" t="str">
            <v>A2875</v>
          </cell>
          <cell r="B3495" t="str">
            <v>UEC-NONPROJECT ACTIVITIES - 340</v>
          </cell>
          <cell r="C3495" t="str">
            <v>340-REGULATED CTG COMMON EXP</v>
          </cell>
        </row>
        <row r="3496">
          <cell r="A3496" t="str">
            <v>A2879</v>
          </cell>
          <cell r="B3496" t="str">
            <v>B&amp;CS Operational Analysis</v>
          </cell>
          <cell r="C3496" t="str">
            <v>012-CORPORATE PLANNING</v>
          </cell>
        </row>
        <row r="3497">
          <cell r="A3497" t="str">
            <v>A2880</v>
          </cell>
          <cell r="B3497" t="str">
            <v>Comm Trans Analysis- ED-Illinois</v>
          </cell>
          <cell r="C3497" t="str">
            <v>012-CORPORATE PLANNING</v>
          </cell>
        </row>
        <row r="3498">
          <cell r="A3498" t="str">
            <v>A2881</v>
          </cell>
          <cell r="B3498" t="str">
            <v>Comm Trans Analysis-ED- Missouri</v>
          </cell>
          <cell r="C3498" t="str">
            <v>012-CORPORATE PLANNING</v>
          </cell>
        </row>
        <row r="3499">
          <cell r="A3499" t="str">
            <v>A2882</v>
          </cell>
          <cell r="B3499" t="str">
            <v>DEV-ED ENERGY DEL WEB APP SUPPORT</v>
          </cell>
          <cell r="C3499" t="str">
            <v>204-DEV - ENERGY DELIVERY</v>
          </cell>
        </row>
        <row r="3500">
          <cell r="A3500" t="str">
            <v>A2883</v>
          </cell>
          <cell r="B3500" t="str">
            <v>Safety Fair Expenses - Allocated</v>
          </cell>
          <cell r="C3500" t="str">
            <v>026-ED-SAFETY-UE</v>
          </cell>
        </row>
        <row r="3501">
          <cell r="A3501" t="str">
            <v>A2884</v>
          </cell>
          <cell r="B3501" t="str">
            <v>TELECOM NETWORK - IPC</v>
          </cell>
          <cell r="C3501" t="str">
            <v>06T-NEO - MOBILE &amp; SCADA COMM</v>
          </cell>
        </row>
        <row r="3502">
          <cell r="A3502" t="str">
            <v>A2885</v>
          </cell>
          <cell r="B3502" t="str">
            <v>Audrain CTG ESH Support</v>
          </cell>
          <cell r="C3502" t="str">
            <v>049-ESH - GENERAL</v>
          </cell>
        </row>
        <row r="3503">
          <cell r="A3503" t="str">
            <v>A2886</v>
          </cell>
          <cell r="B3503" t="str">
            <v>Goose Creek CTG ESH Support</v>
          </cell>
          <cell r="C3503" t="str">
            <v>049-ESH - GENERAL</v>
          </cell>
        </row>
        <row r="3504">
          <cell r="A3504" t="str">
            <v>A2887</v>
          </cell>
          <cell r="B3504" t="str">
            <v>Raccoon Creek CTG ESH Support</v>
          </cell>
          <cell r="C3504" t="str">
            <v>049-ESH - GENERAL</v>
          </cell>
        </row>
        <row r="3505">
          <cell r="A3505" t="str">
            <v>A2888</v>
          </cell>
          <cell r="B3505" t="str">
            <v>DEV-ED - LODESTAR SUPPORT - GMC</v>
          </cell>
          <cell r="C3505" t="str">
            <v>204-DEV - ENERGY DELIVERY</v>
          </cell>
        </row>
        <row r="3506">
          <cell r="A3506" t="str">
            <v>A2889</v>
          </cell>
          <cell r="B3506" t="str">
            <v>AMS GENL ENG SUPP AT GIBSON CTY CTG</v>
          </cell>
          <cell r="C3506" t="str">
            <v>131-EFFINGHAM RESOURCE CENTER</v>
          </cell>
        </row>
        <row r="3507">
          <cell r="A3507" t="str">
            <v>A2890</v>
          </cell>
          <cell r="B3507" t="str">
            <v>AMS GENL ENG SUPP AT ELGIN CTG</v>
          </cell>
          <cell r="C3507" t="str">
            <v>131-EFFINGHAM RESOURCE CENTER</v>
          </cell>
        </row>
        <row r="3508">
          <cell r="A3508" t="str">
            <v>A2891</v>
          </cell>
          <cell r="B3508" t="str">
            <v>AMS GENL ENG SUPP AT COLUMBIA CTG</v>
          </cell>
          <cell r="C3508" t="str">
            <v>131-EFFINGHAM RESOURCE CENTER</v>
          </cell>
        </row>
        <row r="3509">
          <cell r="A3509" t="str">
            <v>A2892</v>
          </cell>
          <cell r="B3509" t="str">
            <v>AMS GENL ENG SUPP AT IND TRLS COGEN</v>
          </cell>
          <cell r="C3509" t="str">
            <v>131-EFFINGHAM RESOURCE CENTER</v>
          </cell>
        </row>
        <row r="3510">
          <cell r="A3510" t="str">
            <v>A2893</v>
          </cell>
          <cell r="B3510" t="str">
            <v>AMS GENL ENG SUPP AT STERLING CTG</v>
          </cell>
          <cell r="C3510" t="str">
            <v>131-EFFINGHAM RESOURCE CENTER</v>
          </cell>
        </row>
        <row r="3511">
          <cell r="A3511" t="str">
            <v>A2894</v>
          </cell>
          <cell r="B3511" t="str">
            <v>AMS GENL ENG SUPP AT VENICE CTG</v>
          </cell>
          <cell r="C3511" t="str">
            <v>131-EFFINGHAM RESOURCE CENTER</v>
          </cell>
        </row>
        <row r="3512">
          <cell r="A3512" t="str">
            <v>A2895</v>
          </cell>
          <cell r="B3512" t="str">
            <v>AMS GENL ENG SUPP AT HOWARD BND CTG</v>
          </cell>
          <cell r="C3512" t="str">
            <v>131-EFFINGHAM RESOURCE CENTER</v>
          </cell>
        </row>
        <row r="3513">
          <cell r="A3513" t="str">
            <v>A2896</v>
          </cell>
          <cell r="B3513" t="str">
            <v>AMS GENL ENG SUPP AT MERAMEC CTG</v>
          </cell>
          <cell r="C3513" t="str">
            <v>131-EFFINGHAM RESOURCE CENTER</v>
          </cell>
        </row>
        <row r="3514">
          <cell r="A3514" t="str">
            <v>A2897</v>
          </cell>
          <cell r="B3514" t="str">
            <v>AMS GENL ENG SUPP AT FAIRGRONDS CTG</v>
          </cell>
          <cell r="C3514" t="str">
            <v>131-EFFINGHAM RESOURCE CENTER</v>
          </cell>
        </row>
        <row r="3515">
          <cell r="A3515" t="str">
            <v>A2898</v>
          </cell>
          <cell r="B3515" t="str">
            <v>AMS GENL ENG SUPP AT KIRKSVILLE CTG</v>
          </cell>
          <cell r="C3515" t="str">
            <v>131-EFFINGHAM RESOURCE CENTER</v>
          </cell>
        </row>
        <row r="3516">
          <cell r="A3516" t="str">
            <v>A2899</v>
          </cell>
          <cell r="B3516" t="str">
            <v>AMS GENL ENG SUPP AT MOREAU CTG</v>
          </cell>
          <cell r="C3516" t="str">
            <v>131-EFFINGHAM RESOURCE CENTER</v>
          </cell>
        </row>
        <row r="3517">
          <cell r="A3517" t="str">
            <v>A2900</v>
          </cell>
          <cell r="B3517" t="str">
            <v>AMS GENL ENG SUPP AT MOBERLY CTG</v>
          </cell>
          <cell r="C3517" t="str">
            <v>131-EFFINGHAM RESOURCE CENTER</v>
          </cell>
        </row>
        <row r="3518">
          <cell r="A3518" t="str">
            <v>A2901</v>
          </cell>
          <cell r="B3518" t="str">
            <v>AMS GENL ENG SUPP AT MEXICO CTG</v>
          </cell>
          <cell r="C3518" t="str">
            <v>131-EFFINGHAM RESOURCE CENTER</v>
          </cell>
        </row>
        <row r="3519">
          <cell r="A3519" t="str">
            <v>A2902</v>
          </cell>
          <cell r="B3519" t="str">
            <v>AMS GENL ENG SUPP AT VIADUCT CTG</v>
          </cell>
          <cell r="C3519" t="str">
            <v>131-EFFINGHAM RESOURCE CENTER</v>
          </cell>
        </row>
        <row r="3520">
          <cell r="A3520" t="str">
            <v>A2903</v>
          </cell>
          <cell r="B3520" t="str">
            <v>AMS GENL ENG SUPP AT PENO CREEK CTG</v>
          </cell>
          <cell r="C3520" t="str">
            <v>131-EFFINGHAM RESOURCE CENTER</v>
          </cell>
        </row>
        <row r="3521">
          <cell r="A3521" t="str">
            <v>A2904</v>
          </cell>
          <cell r="B3521" t="str">
            <v>AMS GENL ENG SUPP AT AUDRAIN CTG</v>
          </cell>
          <cell r="C3521" t="str">
            <v>131-EFFINGHAM RESOURCE CENTER</v>
          </cell>
        </row>
        <row r="3522">
          <cell r="A3522" t="str">
            <v>A2905</v>
          </cell>
          <cell r="B3522" t="str">
            <v>AMS GENL ENG SUPP AT GOOSE CREK CTG</v>
          </cell>
          <cell r="C3522" t="str">
            <v>131-EFFINGHAM RESOURCE CENTER</v>
          </cell>
        </row>
        <row r="3523">
          <cell r="A3523" t="str">
            <v>A2906</v>
          </cell>
          <cell r="B3523" t="str">
            <v>AMS GENL ENG SUPP AT KINMUNDY CTG</v>
          </cell>
          <cell r="C3523" t="str">
            <v>131-EFFINGHAM RESOURCE CENTER</v>
          </cell>
        </row>
        <row r="3524">
          <cell r="A3524" t="str">
            <v>A2907</v>
          </cell>
          <cell r="B3524" t="str">
            <v>AMS GENL ENG SUPP AT PNCKNEYVLE CTG</v>
          </cell>
          <cell r="C3524" t="str">
            <v>131-EFFINGHAM RESOURCE CENTER</v>
          </cell>
        </row>
        <row r="3525">
          <cell r="A3525" t="str">
            <v>A2908</v>
          </cell>
          <cell r="B3525" t="str">
            <v>AMS GENL ENG SUPP AT RACCOON CK CTG</v>
          </cell>
          <cell r="C3525" t="str">
            <v>131-EFFINGHAM RESOURCE CENTER</v>
          </cell>
        </row>
        <row r="3526">
          <cell r="A3526" t="str">
            <v>A2909</v>
          </cell>
          <cell r="B3526" t="str">
            <v>NMarket Allocation Manager</v>
          </cell>
          <cell r="C3526" t="str">
            <v>09T-COMMERCIAL OPERATIONS SUPPORT</v>
          </cell>
        </row>
        <row r="3527">
          <cell r="A3527" t="str">
            <v>A2910</v>
          </cell>
          <cell r="B3527" t="str">
            <v>RENT FOR AMEREN SERVICES EMPLOYEES</v>
          </cell>
          <cell r="C3527" t="str">
            <v>190-APPORTIONMENTS/SPECIAL ITEMS</v>
          </cell>
        </row>
        <row r="3528">
          <cell r="A3528" t="str">
            <v>A2911</v>
          </cell>
          <cell r="B3528" t="str">
            <v>RENT FOR AMEREN SERVICES EMPLOYEES</v>
          </cell>
          <cell r="C3528" t="str">
            <v>190-APPORTIONMENTS/SPECIAL ITEMS</v>
          </cell>
        </row>
        <row r="3529">
          <cell r="A3529" t="str">
            <v>A2912</v>
          </cell>
          <cell r="B3529" t="str">
            <v>ILLINOIS CUSTOMER MAIL - ELECTRIC</v>
          </cell>
          <cell r="C3529" t="str">
            <v>06A-INF-INSERTING &amp; MAIL DELIVERY</v>
          </cell>
        </row>
        <row r="3530">
          <cell r="A3530" t="str">
            <v>A2913</v>
          </cell>
          <cell r="B3530" t="str">
            <v>ILLINOIS CUSTOMER MAIL - GAS</v>
          </cell>
          <cell r="C3530" t="str">
            <v>06A-INF-INSERTING &amp; MAIL DELIVERY</v>
          </cell>
        </row>
        <row r="3531">
          <cell r="A3531" t="str">
            <v>A2914</v>
          </cell>
          <cell r="B3531" t="str">
            <v>GEN QUALITY MANAGEMENT INITIATIVES</v>
          </cell>
          <cell r="C3531" t="str">
            <v>680-GENERATION PRECISION QUALITY MG</v>
          </cell>
        </row>
        <row r="3532">
          <cell r="A3532" t="str">
            <v>A2915</v>
          </cell>
          <cell r="B3532" t="str">
            <v>DAM SAFETY DEPT. EXPENSES</v>
          </cell>
          <cell r="C3532" t="str">
            <v>09H-DAM SAFETY &amp; HYDRO ENGINEERING</v>
          </cell>
        </row>
        <row r="3533">
          <cell r="A3533" t="str">
            <v>A2916</v>
          </cell>
          <cell r="B3533" t="str">
            <v>DAM SAFETY DEPT. CAPITAL</v>
          </cell>
          <cell r="C3533" t="str">
            <v>09H-DAM SAFETY &amp; HYDRO ENGINEERING</v>
          </cell>
        </row>
        <row r="3534">
          <cell r="A3534" t="str">
            <v>A2917</v>
          </cell>
          <cell r="B3534" t="str">
            <v>Indirect Functional SR - 07W</v>
          </cell>
          <cell r="C3534" t="str">
            <v>07W-BLDG SVCS-CIL</v>
          </cell>
        </row>
        <row r="3535">
          <cell r="A3535" t="str">
            <v>A2918</v>
          </cell>
          <cell r="B3535" t="str">
            <v>GAS METER TESTING - IP</v>
          </cell>
          <cell r="C3535" t="str">
            <v>0G2-GAS TECH SERVICES - AMS</v>
          </cell>
        </row>
        <row r="3536">
          <cell r="A3536" t="str">
            <v>A2919</v>
          </cell>
          <cell r="B3536" t="str">
            <v>AMS</v>
          </cell>
          <cell r="C3536" t="str">
            <v>03M-SUB MTCE &amp; CONST-ENG &amp; ADMIN</v>
          </cell>
        </row>
        <row r="3537">
          <cell r="A3537" t="str">
            <v>A2920</v>
          </cell>
          <cell r="B3537" t="str">
            <v>AMS TURB-GEN SUPPORT AT KEOKUK</v>
          </cell>
          <cell r="C3537" t="str">
            <v>40D-GENERATION MAINT ENG</v>
          </cell>
        </row>
        <row r="3538">
          <cell r="A3538" t="str">
            <v>A2921</v>
          </cell>
          <cell r="B3538" t="str">
            <v>AMS TURB-GEN SUPPORT AT OSAGE</v>
          </cell>
          <cell r="C3538" t="str">
            <v>40D-GENERATION MAINT ENG</v>
          </cell>
        </row>
        <row r="3539">
          <cell r="A3539" t="str">
            <v>A2922</v>
          </cell>
          <cell r="B3539" t="str">
            <v>AMS TURB-GEN SUPPORT AT TAUM SAUK</v>
          </cell>
          <cell r="C3539" t="str">
            <v>40D-GENERATION MAINT ENG</v>
          </cell>
        </row>
        <row r="3540">
          <cell r="A3540" t="str">
            <v>A2923</v>
          </cell>
          <cell r="B3540" t="str">
            <v xml:space="preserve">MANAGER - CSD SUBST. OFFICE EQUIP. </v>
          </cell>
          <cell r="C3540" t="str">
            <v>03M-SUB MTCE &amp; CONST-ENG &amp; ADMIN</v>
          </cell>
        </row>
        <row r="3541">
          <cell r="A3541" t="str">
            <v>A2924</v>
          </cell>
          <cell r="B3541" t="str">
            <v>Source to Settle</v>
          </cell>
          <cell r="C3541" t="str">
            <v>08P-SUPPLY CHAIN PROCESS &amp; PERFORMA</v>
          </cell>
        </row>
        <row r="3542">
          <cell r="A3542" t="str">
            <v>A2927</v>
          </cell>
          <cell r="B3542" t="str">
            <v>DEV-OPS - EMPRV MATERIALS</v>
          </cell>
          <cell r="C3542" t="str">
            <v>202-DEV - OPERATIONS</v>
          </cell>
        </row>
        <row r="3543">
          <cell r="A3543" t="str">
            <v>A2929</v>
          </cell>
          <cell r="B3543" t="str">
            <v>DEV-B&amp;CS - OARP SUPPORT</v>
          </cell>
          <cell r="C3543" t="str">
            <v>201-DEV - BUS &amp; CORP SVCS</v>
          </cell>
        </row>
        <row r="3544">
          <cell r="A3544" t="str">
            <v>A2930</v>
          </cell>
          <cell r="B3544" t="str">
            <v>GTPA SERVICES TO COFFEEN</v>
          </cell>
          <cell r="C3544" t="str">
            <v>40E-GENERATION TRAIN &amp; DEV SRVCS</v>
          </cell>
        </row>
        <row r="3545">
          <cell r="A3545" t="str">
            <v>A2931</v>
          </cell>
          <cell r="B3545" t="str">
            <v>GTPA SERVICES TO GRAND TOWER</v>
          </cell>
          <cell r="C3545" t="str">
            <v>40E-GENERATION TRAIN &amp; DEV SRVCS</v>
          </cell>
        </row>
        <row r="3546">
          <cell r="A3546" t="str">
            <v>A2932</v>
          </cell>
          <cell r="B3546" t="str">
            <v>GTPA SERVICES TO HUTSONVILLE</v>
          </cell>
          <cell r="C3546" t="str">
            <v>40E-GENERATION TRAIN &amp; DEV SRVCS</v>
          </cell>
        </row>
        <row r="3547">
          <cell r="A3547" t="str">
            <v>A2933</v>
          </cell>
          <cell r="B3547" t="str">
            <v>GTPA SERVICES TO MEREDOSIA</v>
          </cell>
          <cell r="C3547" t="str">
            <v>40E-GENERATION TRAIN &amp; DEV SRVCS</v>
          </cell>
        </row>
        <row r="3548">
          <cell r="A3548" t="str">
            <v>A2934</v>
          </cell>
          <cell r="B3548" t="str">
            <v>GTPA SERVICES TO NEWTON</v>
          </cell>
          <cell r="C3548" t="str">
            <v>40E-GENERATION TRAIN &amp; DEV SRVCS</v>
          </cell>
        </row>
        <row r="3549">
          <cell r="A3549" t="str">
            <v>A2935</v>
          </cell>
          <cell r="B3549" t="str">
            <v>GTPA SERVICES TO DUCK CREEK</v>
          </cell>
          <cell r="C3549" t="str">
            <v>40E-GENERATION TRAIN &amp; DEV SRVCS</v>
          </cell>
        </row>
        <row r="3550">
          <cell r="A3550" t="str">
            <v>A2936</v>
          </cell>
          <cell r="B3550" t="str">
            <v>GTPA SERVICES TO EDWARDS</v>
          </cell>
          <cell r="C3550" t="str">
            <v>40E-GENERATION TRAIN &amp; DEV SRVCS</v>
          </cell>
        </row>
        <row r="3551">
          <cell r="A3551" t="str">
            <v>A2937</v>
          </cell>
          <cell r="B3551" t="str">
            <v>GTPA SERVICES TO LABADIE</v>
          </cell>
          <cell r="C3551" t="str">
            <v>40E-GENERATION TRAIN &amp; DEV SRVCS</v>
          </cell>
        </row>
        <row r="3552">
          <cell r="A3552" t="str">
            <v>A2939</v>
          </cell>
          <cell r="B3552" t="str">
            <v>GTPA SERVICES TO MERAMEC</v>
          </cell>
          <cell r="C3552" t="str">
            <v>40E-GENERATION TRAIN &amp; DEV SRVCS</v>
          </cell>
        </row>
        <row r="3553">
          <cell r="A3553" t="str">
            <v>A2940</v>
          </cell>
          <cell r="B3553" t="str">
            <v>GTPA SERVICES TO RUSH ISLAND</v>
          </cell>
          <cell r="C3553" t="str">
            <v>40E-GENERATION TRAIN &amp; DEV SRVCS</v>
          </cell>
        </row>
        <row r="3554">
          <cell r="A3554" t="str">
            <v>A2941</v>
          </cell>
          <cell r="B3554" t="str">
            <v>GTPA SERVICES TO SIOUX</v>
          </cell>
          <cell r="C3554" t="str">
            <v>40E-GENERATION TRAIN &amp; DEV SRVCS</v>
          </cell>
        </row>
        <row r="3555">
          <cell r="A3555" t="str">
            <v>A2942</v>
          </cell>
          <cell r="B3555" t="str">
            <v>GTPA SRVCS TO CIL CORP DEREG CTGs</v>
          </cell>
          <cell r="C3555" t="str">
            <v>40E-GENERATION TRAIN &amp; DEV SRVCS</v>
          </cell>
        </row>
        <row r="3556">
          <cell r="A3556" t="str">
            <v>A2943</v>
          </cell>
          <cell r="B3556" t="str">
            <v>GTPA SRVCS TO GEN CORP DEREG CTGs</v>
          </cell>
          <cell r="C3556" t="str">
            <v>40E-GENERATION TRAIN &amp; DEV SRVCS</v>
          </cell>
        </row>
        <row r="3557">
          <cell r="A3557" t="str">
            <v>A2944</v>
          </cell>
          <cell r="B3557" t="str">
            <v>GTPA SRVCS TO ARG CORP DEREG CTGs</v>
          </cell>
          <cell r="C3557" t="str">
            <v>40E-GENERATION TRAIN &amp; DEV SRVCS</v>
          </cell>
        </row>
        <row r="3558">
          <cell r="A3558" t="str">
            <v>A2945</v>
          </cell>
          <cell r="B3558" t="str">
            <v>GTPA SRVCS TO MV1 CORP DEREG CTGs</v>
          </cell>
          <cell r="C3558" t="str">
            <v>40E-GENERATION TRAIN &amp; DEV SRVCS</v>
          </cell>
        </row>
        <row r="3559">
          <cell r="A3559" t="str">
            <v>A2946</v>
          </cell>
          <cell r="B3559" t="str">
            <v>GTPA SRVCS TO UEC CORP REG CTGs</v>
          </cell>
          <cell r="C3559" t="str">
            <v>40E-GENERATION TRAIN &amp; DEV SRVCS</v>
          </cell>
        </row>
        <row r="3560">
          <cell r="A3560" t="str">
            <v>A2947</v>
          </cell>
          <cell r="B3560" t="str">
            <v>AMS GENERATION TECH MGMT SUPPORT</v>
          </cell>
          <cell r="C3560" t="str">
            <v>81H-GENERATION TECHNOLOGY MGMT</v>
          </cell>
        </row>
        <row r="3561">
          <cell r="A3561" t="str">
            <v>A2953</v>
          </cell>
          <cell r="B3561" t="str">
            <v>OARP R2</v>
          </cell>
          <cell r="C3561" t="str">
            <v>09T-COMMERCIAL OPERATIONS SUPPORT</v>
          </cell>
        </row>
        <row r="3562">
          <cell r="A3562" t="str">
            <v>A2956</v>
          </cell>
          <cell r="B3562" t="str">
            <v>Long Term Forecasting Tool</v>
          </cell>
          <cell r="C3562" t="str">
            <v>09T-COMMERCIAL OPERATIONS SUPPORT</v>
          </cell>
        </row>
        <row r="3563">
          <cell r="A3563" t="str">
            <v>A2957</v>
          </cell>
          <cell r="B3563" t="str">
            <v>Ameren Reconfig (ARP)</v>
          </cell>
          <cell r="C3563" t="str">
            <v>09T-COMMERCIAL OPERATIONS SUPPORT</v>
          </cell>
        </row>
        <row r="3564">
          <cell r="A3564" t="str">
            <v>A2959</v>
          </cell>
          <cell r="B3564" t="str">
            <v>BPM SFTWR &amp; PROOF OF CONCEPT DESIGN</v>
          </cell>
          <cell r="C3564" t="str">
            <v>81H-GENERATION TECHNOLOGY MGMT</v>
          </cell>
        </row>
        <row r="3565">
          <cell r="A3565" t="str">
            <v>A2960</v>
          </cell>
          <cell r="B3565" t="str">
            <v>KEOKUK GENL ENGINEERING SUPP</v>
          </cell>
          <cell r="C3565" t="str">
            <v>09H-DAM SAFETY &amp; HYDRO ENGINEERING</v>
          </cell>
        </row>
        <row r="3566">
          <cell r="A3566" t="str">
            <v>A2961</v>
          </cell>
          <cell r="B3566" t="str">
            <v>OSAGE GENL ENGINEERING SUPP</v>
          </cell>
          <cell r="C3566" t="str">
            <v>09H-DAM SAFETY &amp; HYDRO ENGINEERING</v>
          </cell>
        </row>
        <row r="3567">
          <cell r="A3567" t="str">
            <v>A2962</v>
          </cell>
          <cell r="B3567" t="str">
            <v>TAUM SAUK GENL ENGINEERING SUPP</v>
          </cell>
          <cell r="C3567" t="str">
            <v>09H-DAM SAFETY &amp; HYDRO ENGINEERING</v>
          </cell>
        </row>
        <row r="3568">
          <cell r="A3568" t="str">
            <v>A2963</v>
          </cell>
          <cell r="B3568" t="str">
            <v>Trans-Op, Plng, Rel,Reg allocated</v>
          </cell>
          <cell r="C3568" t="str">
            <v>042-TRANSMISSION OPERATIONS</v>
          </cell>
        </row>
        <row r="3569">
          <cell r="A3569" t="str">
            <v>A2964</v>
          </cell>
          <cell r="B3569" t="str">
            <v>Trans-Op, Plng, Rel,Reg allocated</v>
          </cell>
          <cell r="C3569" t="str">
            <v>042-TRANSMISSION OPERATIONS</v>
          </cell>
        </row>
        <row r="3570">
          <cell r="A3570" t="str">
            <v>A2965</v>
          </cell>
          <cell r="B3570" t="str">
            <v>Trans-Op, Plng, Rel,Reg for UEC</v>
          </cell>
          <cell r="C3570" t="str">
            <v>042-TRANSMISSION OPERATIONS</v>
          </cell>
        </row>
        <row r="3571">
          <cell r="A3571" t="str">
            <v>A2966</v>
          </cell>
          <cell r="B3571" t="str">
            <v>Trans-Op, Plng, Rel,Reg for CIP</v>
          </cell>
          <cell r="C3571" t="str">
            <v>042-TRANSMISSION OPERATIONS</v>
          </cell>
        </row>
        <row r="3572">
          <cell r="A3572" t="str">
            <v>A2967</v>
          </cell>
          <cell r="B3572" t="str">
            <v>Trans-Op, Plng, Rel,Reg for CIL</v>
          </cell>
          <cell r="C3572" t="str">
            <v>042-TRANSMISSION OPERATIONS</v>
          </cell>
        </row>
        <row r="3573">
          <cell r="A3573" t="str">
            <v>A2968</v>
          </cell>
          <cell r="B3573" t="str">
            <v>Trans-Op, Plng, Rel,Reg for IPC</v>
          </cell>
          <cell r="C3573" t="str">
            <v>042-TRANSMISSION OPERATIONS</v>
          </cell>
        </row>
        <row r="3574">
          <cell r="A3574" t="str">
            <v>A2969</v>
          </cell>
          <cell r="B3574" t="str">
            <v>Business Risk Management</v>
          </cell>
          <cell r="C3574" t="str">
            <v>07R-FINANCIAL PLANNING, INS &amp; RISK</v>
          </cell>
        </row>
        <row r="3575">
          <cell r="A3575" t="str">
            <v>A2970</v>
          </cell>
          <cell r="B3575" t="str">
            <v>Dist. Plng for IL</v>
          </cell>
          <cell r="C3575" t="str">
            <v>028-ED DISTRIBUTION ENGINEERING</v>
          </cell>
        </row>
        <row r="3576">
          <cell r="A3576" t="str">
            <v>A2971</v>
          </cell>
          <cell r="B3576" t="str">
            <v>Dist. Plng for MO</v>
          </cell>
          <cell r="C3576" t="str">
            <v>028-ED DISTRIBUTION ENGINEERING</v>
          </cell>
        </row>
        <row r="3577">
          <cell r="A3577" t="str">
            <v>A2972</v>
          </cell>
          <cell r="B3577" t="str">
            <v>Trans- Plng, Rel,Reg allocated</v>
          </cell>
          <cell r="C3577" t="str">
            <v>09P-ELECTRIC PLANNING</v>
          </cell>
        </row>
        <row r="3578">
          <cell r="A3578" t="str">
            <v>A2974</v>
          </cell>
          <cell r="B3578" t="str">
            <v>Straight Through Processing</v>
          </cell>
          <cell r="C3578" t="str">
            <v>310-AER SVCS - FINANCIAL ANALYSIS</v>
          </cell>
        </row>
        <row r="3579">
          <cell r="A3579" t="str">
            <v>A2975</v>
          </cell>
          <cell r="B3579" t="str">
            <v>BUSINESS SRVS, GFOA, SUPPT FOR AEG</v>
          </cell>
          <cell r="C3579" t="str">
            <v>130-BUSINESS SERVICES - AEG</v>
          </cell>
        </row>
        <row r="3580">
          <cell r="A3580" t="str">
            <v>A2976</v>
          </cell>
          <cell r="B3580" t="str">
            <v>BUSINESS SRVS, GFOA, SUPPT FOR ARG</v>
          </cell>
          <cell r="C3580" t="str">
            <v>130-BUSINESS SERVICES - AEG</v>
          </cell>
        </row>
        <row r="3581">
          <cell r="A3581" t="str">
            <v>A2977</v>
          </cell>
          <cell r="B3581" t="str">
            <v>BUSINESS SRVS, GFOA, SUPPT FOR UEC</v>
          </cell>
          <cell r="C3581" t="str">
            <v>130-BUSINESS SERVICES - AEG</v>
          </cell>
        </row>
        <row r="3582">
          <cell r="A3582" t="str">
            <v>A2978</v>
          </cell>
          <cell r="B3582" t="str">
            <v>RECORD CENTER SUPPORT</v>
          </cell>
          <cell r="C3582" t="str">
            <v>06F-INF - ENTERPRISE STORAGE</v>
          </cell>
        </row>
        <row r="3583">
          <cell r="A3583" t="str">
            <v>A2979</v>
          </cell>
          <cell r="B3583" t="str">
            <v>UEC ADMINISTRATION PROCESS</v>
          </cell>
          <cell r="C3583" t="str">
            <v>45C-ED FINANCIAL SUPPORT &amp; ANALYSIS</v>
          </cell>
        </row>
        <row r="3584">
          <cell r="A3584" t="str">
            <v>ARG03</v>
          </cell>
          <cell r="B3584" t="str">
            <v>INDIRECT OVERHEADS ARG</v>
          </cell>
          <cell r="C3584" t="str">
            <v>092-SPECIAL ITEMS-ACCOUNTING DEPT</v>
          </cell>
        </row>
        <row r="3585">
          <cell r="A3585" t="str">
            <v>AXA11</v>
          </cell>
          <cell r="B3585" t="str">
            <v>EXECUTIVE ADVISORY SERVICES - AMS (</v>
          </cell>
          <cell r="C3585" t="str">
            <v>022-GENERAL EXECUTIVE STAFF-AMS</v>
          </cell>
        </row>
        <row r="3586">
          <cell r="A3586" t="str">
            <v>AXA1F</v>
          </cell>
          <cell r="B3586" t="str">
            <v>EXEC ADVSRY SVCS - AMEREN ENERGY FU</v>
          </cell>
          <cell r="C3586" t="str">
            <v>022-GENERAL EXECUTIVE STAFF-AMS</v>
          </cell>
        </row>
        <row r="3587">
          <cell r="A3587" t="str">
            <v>AXA1G</v>
          </cell>
          <cell r="B3587" t="str">
            <v>EXECUTIVE ADV SERV-AEM</v>
          </cell>
          <cell r="C3587" t="str">
            <v>022-GENERAL EXECUTIVE STAFF-AMS</v>
          </cell>
        </row>
        <row r="3588">
          <cell r="A3588" t="str">
            <v>AXA21</v>
          </cell>
          <cell r="B3588" t="str">
            <v>EXECUTIVE ADVISORY SERVICES - UE (A</v>
          </cell>
          <cell r="C3588" t="str">
            <v>022-GENERAL EXECUTIVE STAFF-AMS</v>
          </cell>
        </row>
        <row r="3589">
          <cell r="A3589" t="str">
            <v>AXA41</v>
          </cell>
          <cell r="B3589" t="str">
            <v>EXECUTIVE ADVISORY SERVICES - CIPS(</v>
          </cell>
          <cell r="C3589" t="str">
            <v>022-GENERAL EXECUTIVE STAFF-AMS</v>
          </cell>
        </row>
        <row r="3590">
          <cell r="A3590" t="str">
            <v>AXACL</v>
          </cell>
          <cell r="B3590" t="str">
            <v>EXECUTIVE ADVISORY SER - CIL(ABOVE)</v>
          </cell>
          <cell r="C3590" t="str">
            <v>022-GENERAL EXECUTIVE STAFF-AMS</v>
          </cell>
        </row>
        <row r="3591">
          <cell r="A3591" t="str">
            <v>AXAIP</v>
          </cell>
          <cell r="B3591" t="str">
            <v>EXECUTIVE ADV SERV-IPC(ABOVE)</v>
          </cell>
          <cell r="C3591" t="str">
            <v>022-GENERAL EXECUTIVE STAFF-AMS</v>
          </cell>
        </row>
        <row r="3592">
          <cell r="A3592" t="str">
            <v>AXARG</v>
          </cell>
          <cell r="B3592" t="str">
            <v>EXECUTIVE ADV SERV-ARG</v>
          </cell>
          <cell r="C3592" t="str">
            <v>022-GENERAL EXECUTIVE STAFF-AMS</v>
          </cell>
        </row>
        <row r="3593">
          <cell r="A3593" t="str">
            <v>AXB10</v>
          </cell>
          <cell r="B3593" t="str">
            <v>EXEC ADV SERVICES &amp; HQ EXPENSE-AMC(</v>
          </cell>
          <cell r="C3593" t="str">
            <v>022-GENERAL EXECUTIVE STAFF-AMS</v>
          </cell>
        </row>
        <row r="3594">
          <cell r="A3594" t="str">
            <v>AXB11</v>
          </cell>
          <cell r="B3594" t="str">
            <v>EXECUTIVE ADVISORY SERVICES - AMS(B</v>
          </cell>
          <cell r="C3594" t="str">
            <v>022-GENERAL EXECUTIVE STAFF-AMS</v>
          </cell>
        </row>
        <row r="3595">
          <cell r="A3595" t="str">
            <v>AXB12</v>
          </cell>
          <cell r="B3595" t="str">
            <v>EXECUTIVE ADVISORY SERVICES - AEC (</v>
          </cell>
          <cell r="C3595" t="str">
            <v>022-GENERAL EXECUTIVE STAFF-AMS</v>
          </cell>
        </row>
        <row r="3596">
          <cell r="A3596" t="str">
            <v>AXB13</v>
          </cell>
          <cell r="B3596" t="str">
            <v>EXEC ADVISORY SERVICES - CIC(ABOVE</v>
          </cell>
          <cell r="C3596" t="str">
            <v>022-GENERAL EXECUTIVE STAFF-AMS</v>
          </cell>
        </row>
        <row r="3597">
          <cell r="A3597" t="str">
            <v>AXB14</v>
          </cell>
          <cell r="B3597" t="str">
            <v>EXEC ADVISORY SERVICES - UDC(BELOW</v>
          </cell>
          <cell r="C3597" t="str">
            <v>022-GENERAL EXECUTIVE STAFF-AMS</v>
          </cell>
        </row>
        <row r="3598">
          <cell r="A3598" t="str">
            <v>AXB16</v>
          </cell>
          <cell r="B3598" t="str">
            <v>EXEC ADVISORY SERVICES - AME (ABOVE</v>
          </cell>
          <cell r="C3598" t="str">
            <v>022-GENERAL EXECUTIVE STAFF-AMS</v>
          </cell>
        </row>
        <row r="3599">
          <cell r="A3599" t="str">
            <v>AXB18</v>
          </cell>
          <cell r="B3599" t="str">
            <v>EXEC ADVISORY SERVICES - ERC (ABOVE</v>
          </cell>
          <cell r="C3599" t="str">
            <v>022-GENERAL EXECUTIVE STAFF-AMS</v>
          </cell>
        </row>
        <row r="3600">
          <cell r="A3600" t="str">
            <v>AXB1D</v>
          </cell>
          <cell r="B3600" t="str">
            <v>EXEC. ADV. SERVICES - AED (ABOVE TH</v>
          </cell>
          <cell r="C3600" t="str">
            <v>022-GENERAL EXECUTIVE STAFF-AMS</v>
          </cell>
        </row>
        <row r="3601">
          <cell r="A3601" t="str">
            <v>AXB1G</v>
          </cell>
          <cell r="B3601" t="str">
            <v>EXEC. ADV. SERVICES - GMC(ABOVE THE</v>
          </cell>
          <cell r="C3601" t="str">
            <v>022-GENERAL EXECUTIVE STAFF-AMS</v>
          </cell>
        </row>
        <row r="3602">
          <cell r="A3602" t="str">
            <v>AXB1H</v>
          </cell>
          <cell r="B3602" t="str">
            <v>EXEC. ADV. SERVICES - IHC (ABOVE TH</v>
          </cell>
          <cell r="C3602" t="str">
            <v>022-GENERAL EXECUTIVE STAFF-AMS</v>
          </cell>
        </row>
        <row r="3603">
          <cell r="A3603" t="str">
            <v>AXB1M</v>
          </cell>
          <cell r="B3603" t="str">
            <v>EXEC. ADV. SERVICES - IMS (ABOVE TH</v>
          </cell>
          <cell r="C3603" t="str">
            <v>022-GENERAL EXECUTIVE STAFF-AMS</v>
          </cell>
        </row>
        <row r="3604">
          <cell r="A3604" t="str">
            <v>AXB21</v>
          </cell>
          <cell r="B3604" t="str">
            <v>EXECUTIVE ADVISORY SERVICES - UE (B</v>
          </cell>
          <cell r="C3604" t="str">
            <v>022-GENERAL EXECUTIVE STAFF-AMS</v>
          </cell>
        </row>
        <row r="3605">
          <cell r="A3605" t="str">
            <v>AXB41</v>
          </cell>
          <cell r="B3605" t="str">
            <v>EXEC ADVISORY SERVICES - CIPS (BELO</v>
          </cell>
          <cell r="C3605" t="str">
            <v>022-GENERAL EXECUTIVE STAFF-AMS</v>
          </cell>
        </row>
        <row r="3606">
          <cell r="A3606" t="str">
            <v>AXB90</v>
          </cell>
          <cell r="B3606" t="str">
            <v>EXEC. ADV. SERVICES - GENCO (ABOVE</v>
          </cell>
          <cell r="C3606" t="str">
            <v>022-GENERAL EXECUTIVE STAFF-AMS</v>
          </cell>
        </row>
        <row r="3607">
          <cell r="A3607" t="str">
            <v>C0022</v>
          </cell>
          <cell r="B3607" t="str">
            <v>R/E CHARGES TO CIPS DIST. SUBSTATIO</v>
          </cell>
          <cell r="C3607" t="str">
            <v>03D-SUB MTCE &amp; CONST-IL EAST</v>
          </cell>
        </row>
        <row r="3608">
          <cell r="A3608" t="str">
            <v>C0025</v>
          </cell>
          <cell r="B3608" t="str">
            <v>MISC CAPITAL EXPENDITURES &lt;$50,000</v>
          </cell>
          <cell r="C3608" t="str">
            <v>065-NEO - TELEPHONE SERVICES</v>
          </cell>
        </row>
        <row r="3609">
          <cell r="A3609" t="str">
            <v>C0030</v>
          </cell>
          <cell r="B3609" t="str">
            <v>G-83 GAS OTHER GENERAL PLANT(SCADA)</v>
          </cell>
          <cell r="C3609" t="str">
            <v>0G1-GAS TECH SERVICES - CIP</v>
          </cell>
        </row>
        <row r="3610">
          <cell r="A3610" t="str">
            <v>C0031</v>
          </cell>
          <cell r="B3610" t="str">
            <v>G-40 MAINS LESS THAN 100,000 - CIP</v>
          </cell>
          <cell r="C3610" t="str">
            <v>0G1-GAS TECH SERVICES - CIP</v>
          </cell>
        </row>
        <row r="3611">
          <cell r="A3611" t="str">
            <v>C0032</v>
          </cell>
          <cell r="B3611" t="str">
            <v>SWO - CIP RETIREMENTS</v>
          </cell>
          <cell r="C3611" t="str">
            <v>061-REAL ESTATE</v>
          </cell>
        </row>
        <row r="3612">
          <cell r="A3612" t="str">
            <v>C0057</v>
          </cell>
          <cell r="B3612" t="str">
            <v>SWO CIP METROE LINEXFMRS-T&amp;D DESIGN</v>
          </cell>
          <cell r="C3612" t="str">
            <v>233-ED-ELECTRIC STANDARDS</v>
          </cell>
        </row>
        <row r="3613">
          <cell r="A3613" t="str">
            <v>C0091</v>
          </cell>
          <cell r="B3613" t="str">
            <v>GS G40 MAINS LESS THAN 10000 CIPS</v>
          </cell>
          <cell r="C3613" t="str">
            <v>0G1-GAS TECH SERVICES - CIP</v>
          </cell>
        </row>
        <row r="3614">
          <cell r="A3614" t="str">
            <v>C0101</v>
          </cell>
          <cell r="B3614" t="str">
            <v>NEW BUSINESS ADDITIONS E10 - NORTHE</v>
          </cell>
          <cell r="C3614" t="str">
            <v>231-IL OPS ADMIN DIV IV V VI VII</v>
          </cell>
        </row>
        <row r="3615">
          <cell r="A3615" t="str">
            <v>C0102</v>
          </cell>
          <cell r="B3615" t="str">
            <v>TRANSMISSION &amp; DISTRIBUTION LINES -</v>
          </cell>
          <cell r="C3615" t="str">
            <v>231-IL OPS ADMIN DIV IV V VI VII</v>
          </cell>
        </row>
        <row r="3616">
          <cell r="A3616" t="str">
            <v>C0103</v>
          </cell>
          <cell r="B3616" t="str">
            <v>GOVERNMENT RELOCATIONS E50 - NORTHE</v>
          </cell>
          <cell r="C3616" t="str">
            <v>231-IL OPS ADMIN DIV IV V VI VII</v>
          </cell>
        </row>
        <row r="3617">
          <cell r="A3617" t="str">
            <v>C0111</v>
          </cell>
          <cell r="B3617" t="str">
            <v>NEW BUSINESS GAS ADDITIONS G10 - NO</v>
          </cell>
          <cell r="C3617" t="str">
            <v>231-IL OPS ADMIN DIV IV V VI VII</v>
          </cell>
        </row>
        <row r="3618">
          <cell r="A3618" t="str">
            <v>C0113</v>
          </cell>
          <cell r="B3618" t="str">
            <v>GAS TRANS &amp; DISTR LINES G40 - NO PR</v>
          </cell>
          <cell r="C3618" t="str">
            <v>231-IL OPS ADMIN DIV IV V VI VII</v>
          </cell>
        </row>
        <row r="3619">
          <cell r="A3619" t="str">
            <v>C0114</v>
          </cell>
          <cell r="B3619" t="str">
            <v>G50 - GAS - GOV RELOCATIONS - CIPS</v>
          </cell>
          <cell r="C3619" t="str">
            <v>231-IL OPS ADMIN DIV IV V VI VII</v>
          </cell>
        </row>
        <row r="3620">
          <cell r="A3620" t="str">
            <v>C0117</v>
          </cell>
          <cell r="B3620" t="str">
            <v>SWO -CIP SUB ROOF-DRIVEWAY REPL-E63</v>
          </cell>
          <cell r="C3620" t="str">
            <v>03M-SUB MTCE &amp; CONST-ENG &amp; ADMIN</v>
          </cell>
        </row>
        <row r="3621">
          <cell r="A3621" t="str">
            <v>C0223</v>
          </cell>
          <cell r="B3621" t="str">
            <v>UNDERGROUND CABLE REPLACEMENTS-CIP</v>
          </cell>
          <cell r="C3621" t="str">
            <v>91A-IL OPS ADMIN</v>
          </cell>
        </row>
        <row r="3622">
          <cell r="A3622" t="str">
            <v>C0224</v>
          </cell>
          <cell r="B3622" t="str">
            <v>MED PRIORITY DIST SVCS-T&amp;D LINES</v>
          </cell>
          <cell r="C3622" t="str">
            <v>91A-IL OPS ADMIN</v>
          </cell>
        </row>
        <row r="3623">
          <cell r="A3623" t="str">
            <v>C0226</v>
          </cell>
          <cell r="B3623" t="str">
            <v>EMRGNCY WRK DIST SVCS-T&amp;D LINES</v>
          </cell>
          <cell r="C3623" t="str">
            <v>91A-IL OPS ADMIN</v>
          </cell>
        </row>
        <row r="3624">
          <cell r="A3624" t="str">
            <v>C0227</v>
          </cell>
          <cell r="B3624" t="str">
            <v>CUST RQSTD DIST SVCS-T&amp;D LINES</v>
          </cell>
          <cell r="C3624" t="str">
            <v>91A-IL OPS ADMIN</v>
          </cell>
        </row>
        <row r="3625">
          <cell r="A3625" t="str">
            <v>C0228</v>
          </cell>
          <cell r="B3625" t="str">
            <v>MED PRIORITY DIST SVCS-T&amp;D GAS</v>
          </cell>
          <cell r="C3625" t="str">
            <v>91A-IL OPS ADMIN</v>
          </cell>
        </row>
        <row r="3626">
          <cell r="A3626" t="str">
            <v>C0230</v>
          </cell>
          <cell r="B3626" t="str">
            <v>CIP MISC E40 LESS THAN 10K SYSMAINT</v>
          </cell>
          <cell r="C3626" t="str">
            <v>91A-IL OPS ADMIN</v>
          </cell>
        </row>
        <row r="3627">
          <cell r="A3627" t="str">
            <v>C0231</v>
          </cell>
          <cell r="B3627" t="str">
            <v>CUST RQSTD DIST SVCS-T&amp;D GAS</v>
          </cell>
          <cell r="C3627" t="str">
            <v>91A-IL OPS ADMIN</v>
          </cell>
        </row>
        <row r="3628">
          <cell r="A3628" t="str">
            <v>C0239</v>
          </cell>
          <cell r="B3628" t="str">
            <v>GAS SUPT G40 MAINS MEDIUM PR CIPS</v>
          </cell>
          <cell r="C3628" t="str">
            <v>0G1-GAS TECH SERVICES - CIP</v>
          </cell>
        </row>
        <row r="3629">
          <cell r="A3629" t="str">
            <v>C0243</v>
          </cell>
          <cell r="B3629" t="str">
            <v>CIP MISC G40 LESS THAN 10K SYSMAINT</v>
          </cell>
          <cell r="C3629" t="str">
            <v>91A-IL OPS ADMIN</v>
          </cell>
        </row>
        <row r="3630">
          <cell r="A3630" t="str">
            <v>C0290</v>
          </cell>
          <cell r="B3630" t="str">
            <v>STRONG THUNDERSTORMS/TORNADO3/11/06</v>
          </cell>
          <cell r="C3630" t="str">
            <v>231-IL OPS ADMIN DIV IV V VI VII</v>
          </cell>
        </row>
        <row r="3631">
          <cell r="A3631" t="str">
            <v>C0291</v>
          </cell>
          <cell r="B3631" t="str">
            <v>THUNDERSTORMS/HIGH WINDS 4/2/06</v>
          </cell>
          <cell r="C3631" t="str">
            <v>231-IL OPS ADMIN DIV IV V VI VII</v>
          </cell>
        </row>
        <row r="3632">
          <cell r="A3632" t="str">
            <v>C0292</v>
          </cell>
          <cell r="B3632" t="str">
            <v>Illinois CIPS Storm</v>
          </cell>
          <cell r="C3632" t="str">
            <v>231-IL OPS ADMIN DIV IV V VI VII</v>
          </cell>
        </row>
        <row r="3633">
          <cell r="A3633" t="str">
            <v>C0293</v>
          </cell>
          <cell r="B3633" t="str">
            <v>CIP STORMS</v>
          </cell>
          <cell r="C3633" t="str">
            <v>231-IL OPS ADMIN DIV IV V VI VII</v>
          </cell>
        </row>
        <row r="3634">
          <cell r="A3634" t="str">
            <v>C0294</v>
          </cell>
          <cell r="B3634" t="str">
            <v>STORM CIP DISTRIBUTION</v>
          </cell>
          <cell r="C3634" t="str">
            <v>066-MO OPS ADMIN</v>
          </cell>
        </row>
        <row r="3635">
          <cell r="A3635" t="str">
            <v>C0295</v>
          </cell>
          <cell r="B3635" t="str">
            <v>ILLINI STORM DAMAGE</v>
          </cell>
          <cell r="C3635" t="str">
            <v>231-IL OPS ADMIN DIV IV V VI VII</v>
          </cell>
        </row>
        <row r="3636">
          <cell r="A3636" t="str">
            <v>C0296</v>
          </cell>
          <cell r="B3636" t="str">
            <v>ILLINI STORM DAMAGE 5-30-04</v>
          </cell>
          <cell r="C3636" t="str">
            <v>2MS-DIVISION IV SUPPORT STAFF</v>
          </cell>
        </row>
        <row r="3637">
          <cell r="A3637" t="str">
            <v>C0297</v>
          </cell>
          <cell r="B3637" t="str">
            <v>ILLINI-PAXTON-SEVERE THUNDERSTORMS</v>
          </cell>
          <cell r="C3637" t="str">
            <v>231-IL OPS ADMIN DIV IV V VI VII</v>
          </cell>
        </row>
        <row r="3638">
          <cell r="A3638" t="str">
            <v>C0298</v>
          </cell>
          <cell r="B3638" t="str">
            <v>ILLINI-WINTER STORM</v>
          </cell>
          <cell r="C3638" t="str">
            <v>231-IL OPS ADMIN DIV IV V VI VII</v>
          </cell>
        </row>
        <row r="3639">
          <cell r="A3639" t="str">
            <v>C0299</v>
          </cell>
          <cell r="B3639" t="str">
            <v>ILL DIV 5 EAST ST LOUIS-HIGH WINDS</v>
          </cell>
          <cell r="C3639" t="str">
            <v>231-IL OPS ADMIN DIV IV V VI VII</v>
          </cell>
        </row>
        <row r="3640">
          <cell r="A3640" t="str">
            <v>C0319</v>
          </cell>
          <cell r="B3640" t="str">
            <v>SWO CIP METROE. METER.EQPMT.PURCH.</v>
          </cell>
          <cell r="C3640" t="str">
            <v>03V-DISTRIBUTION SERVICES-AMS</v>
          </cell>
        </row>
        <row r="3641">
          <cell r="A3641" t="str">
            <v>C0894</v>
          </cell>
          <cell r="B3641" t="str">
            <v>GREAT RIVER DIVISION 5/25/04 STORM</v>
          </cell>
          <cell r="C3641" t="str">
            <v>8MS-DIVISION II SUPPORT STAFF</v>
          </cell>
        </row>
        <row r="3642">
          <cell r="A3642" t="str">
            <v>C0920</v>
          </cell>
          <cell r="B3642" t="str">
            <v>PROJECTS UNDER $100,000- E70 - COFF</v>
          </cell>
          <cell r="C3642" t="str">
            <v>CFG-COFFEEN - GENERAL</v>
          </cell>
        </row>
        <row r="3643">
          <cell r="A3643" t="str">
            <v>C0930</v>
          </cell>
          <cell r="B3643" t="str">
            <v>PROJECTS UNDER $100,000-E70-MEREDOS</v>
          </cell>
          <cell r="C3643" t="str">
            <v>140-MEREDOSIA</v>
          </cell>
        </row>
        <row r="3644">
          <cell r="A3644" t="str">
            <v>C0940</v>
          </cell>
          <cell r="B3644" t="str">
            <v>GDTWR PROJECTS UNDER $100,000 EACH</v>
          </cell>
          <cell r="C3644" t="str">
            <v>354-GRAND TOWER PLANT</v>
          </cell>
        </row>
        <row r="3645">
          <cell r="A3645" t="str">
            <v>C0950</v>
          </cell>
          <cell r="B3645" t="str">
            <v>PROJECTS UNDER $100,000-E70 - HUTSO</v>
          </cell>
          <cell r="C3645" t="str">
            <v>145-HUTSONVILLE</v>
          </cell>
        </row>
        <row r="3646">
          <cell r="A3646" t="str">
            <v>C0990</v>
          </cell>
          <cell r="B3646" t="str">
            <v>CIPS MAJOR STORM-TRANSMISSION</v>
          </cell>
          <cell r="C3646" t="str">
            <v>03C-TRANSMISSION-CIPS</v>
          </cell>
        </row>
        <row r="3647">
          <cell r="A3647" t="str">
            <v>C0991</v>
          </cell>
          <cell r="B3647" t="str">
            <v>CIPS MAJOR STORM-TRANSMISSION</v>
          </cell>
          <cell r="C3647" t="str">
            <v>03C-TRANSMISSION-CIPS</v>
          </cell>
        </row>
        <row r="3648">
          <cell r="A3648" t="str">
            <v>C0992</v>
          </cell>
          <cell r="B3648" t="str">
            <v>CIPS TORNADO - 5/6/03</v>
          </cell>
          <cell r="C3648" t="str">
            <v>03T-TRANSMISSION-AMS</v>
          </cell>
        </row>
        <row r="3649">
          <cell r="A3649" t="str">
            <v>C0993</v>
          </cell>
          <cell r="B3649" t="str">
            <v>CIPS TRANSMISSION LINE MAJOR STORM</v>
          </cell>
          <cell r="C3649" t="str">
            <v>03C-TRANSMISSION-CIPS</v>
          </cell>
        </row>
        <row r="3650">
          <cell r="A3650" t="str">
            <v>C0994</v>
          </cell>
          <cell r="B3650" t="str">
            <v>CIPS MAJOR STORM-TRANSMISSION</v>
          </cell>
          <cell r="C3650" t="str">
            <v>03C-TRANSMISSION-CIPS</v>
          </cell>
        </row>
        <row r="3651">
          <cell r="A3651" t="str">
            <v>C0995</v>
          </cell>
          <cell r="B3651" t="str">
            <v>STRONG THUNDERSTORMS/TORNADO3/11/06</v>
          </cell>
          <cell r="C3651" t="str">
            <v>03C-TRANSMISSION-CIPS</v>
          </cell>
        </row>
        <row r="3652">
          <cell r="A3652" t="str">
            <v>C0996</v>
          </cell>
          <cell r="B3652" t="str">
            <v>THUNDERSTORMS/HIGH WINDS4/2/06</v>
          </cell>
          <cell r="C3652" t="str">
            <v>03C-TRANSMISSION-CIPS</v>
          </cell>
        </row>
        <row r="3653">
          <cell r="A3653" t="str">
            <v>C0997</v>
          </cell>
          <cell r="B3653" t="str">
            <v>CIPS MAJOR STORM-TRANSMISSION</v>
          </cell>
          <cell r="C3653" t="str">
            <v>03C-TRANSMISSION-CIPS</v>
          </cell>
        </row>
        <row r="3654">
          <cell r="A3654" t="str">
            <v>C0998</v>
          </cell>
          <cell r="B3654" t="str">
            <v>CIPS MAJOR STORM-TRANSMISSION</v>
          </cell>
          <cell r="C3654" t="str">
            <v>03C-TRANSMISSION-CIPS</v>
          </cell>
        </row>
        <row r="3655">
          <cell r="A3655" t="str">
            <v>C0999</v>
          </cell>
          <cell r="B3655" t="str">
            <v>CIPS MAJOR STORM-TRANSMISSION</v>
          </cell>
          <cell r="C3655" t="str">
            <v>03C-TRANSMISSION-CIPS</v>
          </cell>
        </row>
        <row r="3656">
          <cell r="A3656" t="str">
            <v>C1126</v>
          </cell>
          <cell r="B3656" t="str">
            <v>Peoria Dispatch Office Equi</v>
          </cell>
          <cell r="C3656" t="str">
            <v>629-DISTRIBUTION OPERATING - PEORIA</v>
          </cell>
        </row>
        <row r="3657">
          <cell r="A3657" t="str">
            <v>C1190</v>
          </cell>
          <cell r="B3657" t="str">
            <v>CILCO STORMS</v>
          </cell>
          <cell r="C3657" t="str">
            <v>668-IL OPS ADMIN DIV I II III</v>
          </cell>
        </row>
        <row r="3658">
          <cell r="A3658" t="str">
            <v>C1191</v>
          </cell>
          <cell r="B3658" t="str">
            <v>ILLINOIS - CIL STORMS</v>
          </cell>
          <cell r="C3658" t="str">
            <v>668-IL OPS ADMIN DIV I II III</v>
          </cell>
        </row>
        <row r="3659">
          <cell r="A3659" t="str">
            <v>C1192</v>
          </cell>
          <cell r="B3659" t="str">
            <v>STORM CIL DISTRIBUTION</v>
          </cell>
          <cell r="C3659" t="str">
            <v>066-MO OPS ADMIN</v>
          </cell>
        </row>
        <row r="3660">
          <cell r="A3660" t="str">
            <v>C1193</v>
          </cell>
          <cell r="B3660" t="str">
            <v>HEAVY RAIN, HAIL AND HEAVY WINDS 6/</v>
          </cell>
          <cell r="C3660" t="str">
            <v>668-IL OPS ADMIN DIV I II III</v>
          </cell>
        </row>
        <row r="3661">
          <cell r="A3661" t="str">
            <v>C1194</v>
          </cell>
          <cell r="B3661" t="str">
            <v>STRONG THUNDERSTORMS/TORNADO3/11/06</v>
          </cell>
          <cell r="C3661" t="str">
            <v>91A-IL OPS ADMIN</v>
          </cell>
        </row>
        <row r="3662">
          <cell r="A3662" t="str">
            <v>C1195</v>
          </cell>
          <cell r="B3662" t="str">
            <v>THUNDERSTORMS/HIGH WINDS 4/2/06</v>
          </cell>
          <cell r="C3662" t="str">
            <v>668-IL OPS ADMIN DIV I II III</v>
          </cell>
        </row>
        <row r="3663">
          <cell r="A3663" t="str">
            <v>C1196</v>
          </cell>
          <cell r="B3663" t="str">
            <v>THUNDERSTORMS 4/15/06 ILLINOIS CIL</v>
          </cell>
          <cell r="C3663" t="str">
            <v>668-IL OPS ADMIN DIV I II III</v>
          </cell>
        </row>
        <row r="3664">
          <cell r="A3664" t="str">
            <v>C1197</v>
          </cell>
          <cell r="B3664" t="str">
            <v>STRONG THUNDERSTORMS/TORNADO3/11/06</v>
          </cell>
          <cell r="C3664" t="str">
            <v>668-IL OPS ADMIN DIV I II III</v>
          </cell>
        </row>
        <row r="3665">
          <cell r="A3665" t="str">
            <v>C1198</v>
          </cell>
          <cell r="B3665" t="str">
            <v>ILL TRANSMISSION-TORNADO 4/18/06</v>
          </cell>
          <cell r="C3665" t="str">
            <v>668-IL OPS ADMIN DIV I II III</v>
          </cell>
        </row>
        <row r="3666">
          <cell r="A3666" t="str">
            <v>C1199</v>
          </cell>
          <cell r="B3666" t="str">
            <v>MAJOR STORM - CILCO - TRANSMISSION</v>
          </cell>
          <cell r="C3666" t="str">
            <v>03B-TRANSMISSION - CILCO</v>
          </cell>
        </row>
        <row r="3667">
          <cell r="A3667" t="str">
            <v>C1201</v>
          </cell>
          <cell r="B3667" t="str">
            <v>SWO - CIL RETIREMENTS</v>
          </cell>
          <cell r="C3667" t="str">
            <v>061-REAL ESTATE</v>
          </cell>
        </row>
        <row r="3668">
          <cell r="A3668" t="str">
            <v>C1209</v>
          </cell>
          <cell r="B3668" t="str">
            <v>E40 ELECTRIC DISTRIBUTION LINE WORK</v>
          </cell>
          <cell r="C3668" t="str">
            <v>668-IL OPS ADMIN DIV I II III</v>
          </cell>
        </row>
        <row r="3669">
          <cell r="A3669" t="str">
            <v>C1220</v>
          </cell>
          <cell r="B3669" t="str">
            <v>G10 GAS DISTRIBUTION NEW BUSINESS</v>
          </cell>
          <cell r="C3669" t="str">
            <v>668-IL OPS ADMIN DIV I II III</v>
          </cell>
        </row>
        <row r="3670">
          <cell r="A3670" t="str">
            <v>C1227</v>
          </cell>
          <cell r="B3670" t="str">
            <v>ELEC GOVERNMENT RELOCATIONS CILCO</v>
          </cell>
          <cell r="C3670" t="str">
            <v>668-IL OPS ADMIN DIV I II III</v>
          </cell>
        </row>
        <row r="3671">
          <cell r="A3671" t="str">
            <v>C1228</v>
          </cell>
          <cell r="B3671" t="str">
            <v>GAS GOVERNMENT RELOCATIONS CILCO</v>
          </cell>
          <cell r="C3671" t="str">
            <v>668-IL OPS ADMIN DIV I II III</v>
          </cell>
        </row>
        <row r="3672">
          <cell r="A3672" t="str">
            <v>C1235</v>
          </cell>
          <cell r="B3672" t="str">
            <v>SWO - CIL METERING EQUIPMENT - E30</v>
          </cell>
          <cell r="C3672" t="str">
            <v>03V-DISTRIBUTION SERVICES-AMS</v>
          </cell>
        </row>
        <row r="3673">
          <cell r="A3673" t="str">
            <v>C1250</v>
          </cell>
          <cell r="B3673" t="str">
            <v>E10 ELECTRIC NEW BUSINESS</v>
          </cell>
          <cell r="C3673" t="str">
            <v>668-IL OPS ADMIN DIV I II III</v>
          </cell>
        </row>
        <row r="3674">
          <cell r="A3674" t="str">
            <v>C1276</v>
          </cell>
          <cell r="B3674" t="str">
            <v>G40 MAINS &lt;$100,000 - CIL</v>
          </cell>
          <cell r="C3674" t="str">
            <v>0G4-GAS TECH SERVICES - CIL</v>
          </cell>
        </row>
        <row r="3675">
          <cell r="A3675" t="str">
            <v>C1280</v>
          </cell>
          <cell r="B3675" t="str">
            <v>GAS STORAGE LESS THAN $100,000 - CI</v>
          </cell>
          <cell r="C3675" t="str">
            <v>0G4-GAS TECH SERVICES - CIL</v>
          </cell>
        </row>
        <row r="3676">
          <cell r="A3676" t="str">
            <v>C1310</v>
          </cell>
          <cell r="B3676" t="str">
            <v>G40 GAS DISTRIBUTION LINE WORK</v>
          </cell>
          <cell r="C3676" t="str">
            <v>668-IL OPS ADMIN DIV I II III</v>
          </cell>
        </row>
        <row r="3677">
          <cell r="A3677" t="str">
            <v>C1350</v>
          </cell>
          <cell r="B3677" t="str">
            <v>GIBSON CITY MISCELLANEOUS CAPITAL</v>
          </cell>
          <cell r="C3677" t="str">
            <v>350-GIBSON CTG</v>
          </cell>
        </row>
        <row r="3678">
          <cell r="A3678" t="str">
            <v>C2119</v>
          </cell>
          <cell r="B3678" t="str">
            <v>MISC E40 SYS Maint less than $10K</v>
          </cell>
          <cell r="C3678" t="str">
            <v>91A-IL OPS ADMIN</v>
          </cell>
        </row>
        <row r="3679">
          <cell r="A3679" t="str">
            <v>C2223</v>
          </cell>
          <cell r="B3679" t="str">
            <v>SUBTRAN REMOTE AUTO SWIT RELIB E40</v>
          </cell>
          <cell r="C3679" t="str">
            <v>91A-IL OPS ADMIN</v>
          </cell>
        </row>
        <row r="3680">
          <cell r="A3680" t="str">
            <v>C2224</v>
          </cell>
          <cell r="B3680" t="str">
            <v>MED PRIORITY DIST SVCS-T&amp;D LINES</v>
          </cell>
          <cell r="C3680" t="str">
            <v>91A-IL OPS ADMIN</v>
          </cell>
        </row>
        <row r="3681">
          <cell r="A3681" t="str">
            <v>C2226</v>
          </cell>
          <cell r="B3681" t="str">
            <v>EMRGNCY WRK DIST SVCS-T&amp;D LINES</v>
          </cell>
          <cell r="C3681" t="str">
            <v>91A-IL OPS ADMIN</v>
          </cell>
        </row>
        <row r="3682">
          <cell r="A3682" t="str">
            <v>C2227</v>
          </cell>
          <cell r="B3682" t="str">
            <v>CUST RQSTD DIST SVCS-T&amp;D LINES</v>
          </cell>
          <cell r="C3682" t="str">
            <v>91A-IL OPS ADMIN</v>
          </cell>
        </row>
        <row r="3683">
          <cell r="A3683" t="str">
            <v>C2228</v>
          </cell>
          <cell r="B3683" t="str">
            <v>MED PRIORITY DIST SVCS-T&amp;D GAS</v>
          </cell>
          <cell r="C3683" t="str">
            <v>91A-IL OPS ADMIN</v>
          </cell>
        </row>
        <row r="3684">
          <cell r="A3684" t="str">
            <v>C2231</v>
          </cell>
          <cell r="B3684" t="str">
            <v>CUST RQSTD DIST SVCS-T&amp;D GAS</v>
          </cell>
          <cell r="C3684" t="str">
            <v>91A-IL OPS ADMIN</v>
          </cell>
        </row>
        <row r="3685">
          <cell r="A3685" t="str">
            <v>C2232</v>
          </cell>
          <cell r="B3685" t="str">
            <v>GAS SUPT G40 MAINS MEDIUM PR CIL</v>
          </cell>
          <cell r="C3685" t="str">
            <v>0G4-GAS TECH SERVICES - CIL</v>
          </cell>
        </row>
        <row r="3686">
          <cell r="A3686" t="str">
            <v>C2236</v>
          </cell>
          <cell r="B3686" t="str">
            <v>CIL MISC G40 LESS THAN 10K SYSMAINT</v>
          </cell>
          <cell r="C3686" t="str">
            <v>91A-IL OPS ADMIN</v>
          </cell>
        </row>
        <row r="3687">
          <cell r="A3687" t="str">
            <v>C2237</v>
          </cell>
          <cell r="B3687" t="str">
            <v>GS G40 MAINS LESS THAN 10000 CIL</v>
          </cell>
          <cell r="C3687" t="str">
            <v>0G4-GAS TECH SERVICES - CIL</v>
          </cell>
        </row>
        <row r="3688">
          <cell r="A3688" t="str">
            <v>C3162</v>
          </cell>
          <cell r="B3688" t="str">
            <v>GAS SUPT G40 T&amp;D IP</v>
          </cell>
          <cell r="C3688" t="str">
            <v>0G5-GAS TECH SERVICES - IPC</v>
          </cell>
        </row>
        <row r="3689">
          <cell r="A3689" t="str">
            <v>C3170</v>
          </cell>
          <cell r="B3689" t="str">
            <v>SWO-IPC ELEC.METER PURCHASES -E30</v>
          </cell>
          <cell r="C3689" t="str">
            <v>03V-DISTRIBUTION SERVICES-AMS</v>
          </cell>
        </row>
        <row r="3690">
          <cell r="A3690" t="str">
            <v>C3181</v>
          </cell>
          <cell r="B3690" t="str">
            <v>SWO-IPC TRANSM.POLE &amp; XARM RPL.-E40</v>
          </cell>
          <cell r="C3690" t="str">
            <v>91H-TRANSMISSION - IPC</v>
          </cell>
        </row>
        <row r="3691">
          <cell r="A3691" t="str">
            <v>C3182</v>
          </cell>
          <cell r="B3691" t="str">
            <v>SWO-IPC GENL. TRANSM. LINES -E40</v>
          </cell>
          <cell r="C3691" t="str">
            <v>91H-TRANSMISSION - IPC</v>
          </cell>
        </row>
        <row r="3692">
          <cell r="A3692" t="str">
            <v>C3183</v>
          </cell>
          <cell r="B3692" t="str">
            <v>SWO-IPC TRANSM.LN.-GOVT.RELOC.-E50</v>
          </cell>
          <cell r="C3692" t="str">
            <v>91H-TRANSMISSION - IPC</v>
          </cell>
        </row>
        <row r="3693">
          <cell r="A3693" t="str">
            <v>C3190</v>
          </cell>
          <cell r="B3693" t="str">
            <v>STRONG THUNDERSTORMS/TORNADO3/11/06</v>
          </cell>
          <cell r="C3693" t="str">
            <v>91H-TRANSMISSION - IPC</v>
          </cell>
        </row>
        <row r="3694">
          <cell r="A3694" t="str">
            <v>C3191</v>
          </cell>
          <cell r="B3694" t="str">
            <v>THUNDERSTORMS/HIGH WINDS 4/2/06</v>
          </cell>
          <cell r="C3694" t="str">
            <v>91H-TRANSMISSION - IPC</v>
          </cell>
        </row>
        <row r="3695">
          <cell r="A3695" t="str">
            <v>C3192</v>
          </cell>
          <cell r="B3695" t="str">
            <v>ILLINOIS IP TRANSMISSION STORM</v>
          </cell>
          <cell r="C3695" t="str">
            <v>91H-TRANSMISSION - IPC</v>
          </cell>
        </row>
        <row r="3696">
          <cell r="A3696" t="str">
            <v>C3193</v>
          </cell>
          <cell r="B3696" t="str">
            <v>STORM IPC TRANSMISSION</v>
          </cell>
          <cell r="C3696" t="str">
            <v>91H-TRANSMISSION - IPC</v>
          </cell>
        </row>
        <row r="3697">
          <cell r="A3697" t="str">
            <v>C3194</v>
          </cell>
          <cell r="B3697" t="str">
            <v>TRANSMISSION SERVICES - STORM #5</v>
          </cell>
          <cell r="C3697" t="str">
            <v>91H-TRANSMISSION - IPC</v>
          </cell>
        </row>
        <row r="3698">
          <cell r="A3698" t="str">
            <v>C3195</v>
          </cell>
          <cell r="B3698" t="str">
            <v>TRANSMISSION SERVICES - STORM #6</v>
          </cell>
          <cell r="C3698" t="str">
            <v>91H-TRANSMISSION - IPC</v>
          </cell>
        </row>
        <row r="3699">
          <cell r="A3699" t="str">
            <v>C3196</v>
          </cell>
          <cell r="B3699" t="str">
            <v>TRANSMISSION SERVICES - STORM #7</v>
          </cell>
          <cell r="C3699" t="str">
            <v>91H-TRANSMISSION - IPC</v>
          </cell>
        </row>
        <row r="3700">
          <cell r="A3700" t="str">
            <v>C3197</v>
          </cell>
          <cell r="B3700" t="str">
            <v>TRANSMISSION SERVICES - STORM #8</v>
          </cell>
          <cell r="C3700" t="str">
            <v>91H-TRANSMISSION - IPC</v>
          </cell>
        </row>
        <row r="3701">
          <cell r="A3701" t="str">
            <v>C3198</v>
          </cell>
          <cell r="B3701" t="str">
            <v>TRANSMISSION SERVICES - STORM #9</v>
          </cell>
          <cell r="C3701" t="str">
            <v>91H-TRANSMISSION - IPC</v>
          </cell>
        </row>
        <row r="3702">
          <cell r="A3702" t="str">
            <v>C3199</v>
          </cell>
          <cell r="B3702" t="str">
            <v>TRANSMISSION SERVICES - STORM #10</v>
          </cell>
          <cell r="C3702" t="str">
            <v>91H-TRANSMISSION - IPC</v>
          </cell>
        </row>
        <row r="3703">
          <cell r="A3703" t="str">
            <v>C3201</v>
          </cell>
          <cell r="B3703" t="str">
            <v>DIST SVC NEW BUS ELEC</v>
          </cell>
          <cell r="C3703" t="str">
            <v>91A-IL OPS ADMIN</v>
          </cell>
        </row>
        <row r="3704">
          <cell r="A3704" t="str">
            <v>C3202</v>
          </cell>
          <cell r="B3704" t="str">
            <v>DIST SVC T &amp; D ELECTRIC LINES</v>
          </cell>
          <cell r="C3704" t="str">
            <v>91A-IL OPS ADMIN</v>
          </cell>
        </row>
        <row r="3705">
          <cell r="A3705" t="str">
            <v>C3205</v>
          </cell>
          <cell r="B3705" t="str">
            <v>DISTRIBUTION SERVICES - POLE REPLAC</v>
          </cell>
          <cell r="C3705" t="str">
            <v>91A-IL OPS ADMIN</v>
          </cell>
        </row>
        <row r="3706">
          <cell r="A3706" t="str">
            <v>C3206</v>
          </cell>
          <cell r="B3706" t="str">
            <v>DIST SVC LIGHTENING ARRESTERS</v>
          </cell>
          <cell r="C3706" t="str">
            <v>91A-IL OPS ADMIN</v>
          </cell>
        </row>
        <row r="3707">
          <cell r="A3707" t="str">
            <v>C3207</v>
          </cell>
          <cell r="B3707" t="str">
            <v>DISTRIBUTION SERVICES - TAP FUSING</v>
          </cell>
          <cell r="C3707" t="str">
            <v>91A-IL OPS ADMIN</v>
          </cell>
        </row>
        <row r="3708">
          <cell r="A3708" t="str">
            <v>C3208</v>
          </cell>
          <cell r="B3708" t="str">
            <v>SUB TRANS REMOTE AUTO SWTCHING</v>
          </cell>
          <cell r="C3708" t="str">
            <v>91A-IL OPS ADMIN</v>
          </cell>
        </row>
        <row r="3709">
          <cell r="A3709" t="str">
            <v>C3209</v>
          </cell>
          <cell r="B3709" t="str">
            <v>DIST SVC INFARED TESTING</v>
          </cell>
          <cell r="C3709" t="str">
            <v>91A-IL OPS ADMIN</v>
          </cell>
        </row>
        <row r="3710">
          <cell r="A3710" t="str">
            <v>C3210</v>
          </cell>
          <cell r="B3710" t="str">
            <v>DIST SVC CABLE REPLACEMENT</v>
          </cell>
          <cell r="C3710" t="str">
            <v>91A-IL OPS ADMIN</v>
          </cell>
        </row>
        <row r="3711">
          <cell r="A3711" t="str">
            <v>C3211</v>
          </cell>
          <cell r="B3711" t="str">
            <v>HEAVY RAIN, HAIL AND HEAVY WINDS 6/</v>
          </cell>
          <cell r="C3711" t="str">
            <v>91A-IL OPS ADMIN</v>
          </cell>
        </row>
        <row r="3712">
          <cell r="A3712" t="str">
            <v>C3212</v>
          </cell>
          <cell r="B3712" t="str">
            <v>THUNDERSTORMS AND HEAVY WINDS DIV V</v>
          </cell>
          <cell r="C3712" t="str">
            <v>91A-IL OPS ADMIN</v>
          </cell>
        </row>
        <row r="3713">
          <cell r="A3713" t="str">
            <v>C3213</v>
          </cell>
          <cell r="B3713" t="str">
            <v>THUNDERSTORMS-DIVISION 6 BELLEVILLE</v>
          </cell>
          <cell r="C3713" t="str">
            <v>91A-IL OPS ADMIN</v>
          </cell>
        </row>
        <row r="3714">
          <cell r="A3714" t="str">
            <v>C3214</v>
          </cell>
          <cell r="B3714" t="str">
            <v>THUNDERSTORMS-DIVISION 6 BELLEVILLE</v>
          </cell>
          <cell r="C3714" t="str">
            <v>91A-IL OPS ADMIN</v>
          </cell>
        </row>
        <row r="3715">
          <cell r="A3715" t="str">
            <v>C3215</v>
          </cell>
          <cell r="B3715" t="str">
            <v>STRONG THUNDERSTORMS/TORNADO3/11/06</v>
          </cell>
          <cell r="C3715" t="str">
            <v>91A-IL OPS ADMIN</v>
          </cell>
        </row>
        <row r="3716">
          <cell r="A3716" t="str">
            <v>C3216</v>
          </cell>
          <cell r="B3716" t="str">
            <v>THUNDERSTORMS/HIGH WINDS 4/2/06</v>
          </cell>
          <cell r="C3716" t="str">
            <v>91A-IL OPS ADMIN</v>
          </cell>
        </row>
        <row r="3717">
          <cell r="A3717" t="str">
            <v>C3217</v>
          </cell>
          <cell r="B3717" t="str">
            <v>THUNDERSTORMS 4/15/06 ILLINOIS IP</v>
          </cell>
          <cell r="C3717" t="str">
            <v>91A-IL OPS ADMIN</v>
          </cell>
        </row>
        <row r="3718">
          <cell r="A3718" t="str">
            <v>C3218</v>
          </cell>
          <cell r="B3718" t="str">
            <v>ILLINOIS IP STORMS</v>
          </cell>
          <cell r="C3718" t="str">
            <v>91A-IL OPS ADMIN</v>
          </cell>
        </row>
        <row r="3719">
          <cell r="A3719" t="str">
            <v>C3219</v>
          </cell>
          <cell r="B3719" t="str">
            <v>ILLINOIS IP STORMS</v>
          </cell>
          <cell r="C3719" t="str">
            <v>91A-IL OPS ADMIN</v>
          </cell>
        </row>
        <row r="3720">
          <cell r="A3720" t="str">
            <v>C3220</v>
          </cell>
          <cell r="B3720" t="str">
            <v>STORM IPC DISTRIBUTION</v>
          </cell>
          <cell r="C3720" t="str">
            <v>91A-IL OPS ADMIN</v>
          </cell>
        </row>
        <row r="3721">
          <cell r="A3721" t="str">
            <v>C3221</v>
          </cell>
          <cell r="B3721" t="str">
            <v>GOVERNMENT RELOCATIONS</v>
          </cell>
          <cell r="C3721" t="str">
            <v>91A-IL OPS ADMIN</v>
          </cell>
        </row>
        <row r="3722">
          <cell r="A3722" t="str">
            <v>C3222</v>
          </cell>
          <cell r="B3722" t="str">
            <v>CUST RQSTD DIST SVCS-T&amp;D GAS</v>
          </cell>
          <cell r="C3722" t="str">
            <v>91A-IL OPS ADMIN</v>
          </cell>
        </row>
        <row r="3723">
          <cell r="A3723" t="str">
            <v>C3223</v>
          </cell>
          <cell r="B3723" t="str">
            <v>IPC MISC E40 LESS THAN 10K SYSMAINT</v>
          </cell>
          <cell r="C3723" t="str">
            <v>91A-IL OPS ADMIN</v>
          </cell>
        </row>
        <row r="3724">
          <cell r="A3724" t="str">
            <v>C3224</v>
          </cell>
          <cell r="B3724" t="str">
            <v>MED PRIORITY DIST SVCS-T&amp;D LINES</v>
          </cell>
          <cell r="C3724" t="str">
            <v>91A-IL OPS ADMIN</v>
          </cell>
        </row>
        <row r="3725">
          <cell r="A3725" t="str">
            <v>C3226</v>
          </cell>
          <cell r="B3725" t="str">
            <v>EMRGNCY WRK DIST SVCS-T&amp;D LINES</v>
          </cell>
          <cell r="C3725" t="str">
            <v>91A-IL OPS ADMIN</v>
          </cell>
        </row>
        <row r="3726">
          <cell r="A3726" t="str">
            <v>C3227</v>
          </cell>
          <cell r="B3726" t="str">
            <v>CUST RQSTD DIST SVCS-T&amp;D LINES</v>
          </cell>
          <cell r="C3726" t="str">
            <v>91A-IL OPS ADMIN</v>
          </cell>
        </row>
        <row r="3727">
          <cell r="A3727" t="str">
            <v>C3228</v>
          </cell>
          <cell r="B3727" t="str">
            <v>MED PRIORITY DIST SVCS-T&amp;D GAS</v>
          </cell>
          <cell r="C3727" t="str">
            <v>91A-IL OPS ADMIN</v>
          </cell>
        </row>
        <row r="3728">
          <cell r="A3728" t="str">
            <v>C3231</v>
          </cell>
          <cell r="B3728" t="str">
            <v>DIST SVC NEW BUSINESS GAS</v>
          </cell>
          <cell r="C3728" t="str">
            <v>91A-IL OPS ADMIN</v>
          </cell>
        </row>
        <row r="3729">
          <cell r="A3729" t="str">
            <v>C3232</v>
          </cell>
          <cell r="B3729" t="str">
            <v>DIST SVC T &amp; D GAS</v>
          </cell>
          <cell r="C3729" t="str">
            <v>91A-IL OPS ADMIN</v>
          </cell>
        </row>
        <row r="3730">
          <cell r="A3730" t="str">
            <v>C3233</v>
          </cell>
          <cell r="B3730" t="str">
            <v>DIST SVC GOVERNMENT RELO GAS</v>
          </cell>
          <cell r="C3730" t="str">
            <v>91A-IL OPS ADMIN</v>
          </cell>
        </row>
        <row r="3731">
          <cell r="A3731" t="str">
            <v>C3234</v>
          </cell>
          <cell r="B3731" t="str">
            <v>DISTRIBUTION SERVICES - OFFICE FURN</v>
          </cell>
          <cell r="C3731" t="str">
            <v>91A-IL OPS ADMIN</v>
          </cell>
        </row>
        <row r="3732">
          <cell r="A3732" t="str">
            <v>C3235</v>
          </cell>
          <cell r="B3732" t="str">
            <v>DIST SVC OTHER GENERAL PLANT GAS</v>
          </cell>
          <cell r="C3732" t="str">
            <v>91A-IL OPS ADMIN</v>
          </cell>
        </row>
        <row r="3733">
          <cell r="A3733" t="str">
            <v>C3236</v>
          </cell>
          <cell r="B3733" t="str">
            <v>GAS SUPT G40 MAINS MEDIUM PR IP</v>
          </cell>
          <cell r="C3733" t="str">
            <v>0G5-GAS TECH SERVICES - IPC</v>
          </cell>
        </row>
        <row r="3734">
          <cell r="A3734" t="str">
            <v>C3241</v>
          </cell>
          <cell r="B3734" t="str">
            <v>IPC MISC G40 LESS THAN 10K SYSMAINT</v>
          </cell>
          <cell r="C3734" t="str">
            <v>91A-IL OPS ADMIN</v>
          </cell>
        </row>
        <row r="3735">
          <cell r="A3735" t="str">
            <v>C3242</v>
          </cell>
          <cell r="B3735" t="str">
            <v>GS G40 MAINS LESS THAN 10000 IP</v>
          </cell>
          <cell r="C3735" t="str">
            <v>0G5-GAS TECH SERVICES - IPC</v>
          </cell>
        </row>
        <row r="3736">
          <cell r="A3736" t="str">
            <v>C3286</v>
          </cell>
          <cell r="B3736" t="str">
            <v>DIST SVC LBR TO INSTALL GAS MTR</v>
          </cell>
          <cell r="C3736" t="str">
            <v>91A-IL OPS ADMIN</v>
          </cell>
        </row>
        <row r="3737">
          <cell r="A3737" t="str">
            <v>C3291</v>
          </cell>
          <cell r="B3737" t="str">
            <v>MED PRIORITY DIST SVCS- T&amp;D LINES</v>
          </cell>
          <cell r="C3737" t="str">
            <v>91A-IL OPS ADMIN</v>
          </cell>
        </row>
        <row r="3738">
          <cell r="A3738" t="str">
            <v>C3293</v>
          </cell>
          <cell r="B3738" t="str">
            <v>CUST REQSTD DIST SVCS-T&amp;D LINES</v>
          </cell>
          <cell r="C3738" t="str">
            <v>91A-IL OPS ADMIN</v>
          </cell>
        </row>
        <row r="3739">
          <cell r="A3739" t="str">
            <v>C3294</v>
          </cell>
          <cell r="B3739" t="str">
            <v>MED PRIORITY DIST SVCS- T&amp;D GAS</v>
          </cell>
          <cell r="C3739" t="str">
            <v>91A-IL OPS ADMIN</v>
          </cell>
        </row>
        <row r="3740">
          <cell r="A3740" t="str">
            <v>C3295</v>
          </cell>
          <cell r="B3740" t="str">
            <v>MISC E40 LESS THAN 10K SYS MAINT</v>
          </cell>
          <cell r="C3740" t="str">
            <v>91A-IL OPS ADMIN</v>
          </cell>
        </row>
        <row r="3741">
          <cell r="A3741" t="str">
            <v>C3296</v>
          </cell>
          <cell r="B3741" t="str">
            <v>CUST RQSTD DIST SVCS- T&amp;D GAS</v>
          </cell>
          <cell r="C3741" t="str">
            <v>91A-IL OPS ADMIN</v>
          </cell>
        </row>
        <row r="3742">
          <cell r="A3742" t="str">
            <v>C3297</v>
          </cell>
          <cell r="B3742" t="str">
            <v>MISC G40 LESS THAN 10K SYS MAINT</v>
          </cell>
          <cell r="C3742" t="str">
            <v>91A-IL OPS ADMIN</v>
          </cell>
        </row>
        <row r="3743">
          <cell r="A3743" t="str">
            <v>CIL01</v>
          </cell>
          <cell r="B3743" t="str">
            <v>INDIRECT OVERHEADS CUSTOMER SERVICE</v>
          </cell>
          <cell r="C3743" t="str">
            <v>028-ED DISTRIBUTION ENGINEERING</v>
          </cell>
        </row>
        <row r="3744">
          <cell r="A3744" t="str">
            <v>CIP01</v>
          </cell>
          <cell r="B3744" t="str">
            <v>INDIRECT OVERHEADS CUSTOMER SERVICE</v>
          </cell>
          <cell r="C3744" t="str">
            <v>09E-ELECTRICAL ENGINEERING</v>
          </cell>
        </row>
        <row r="3745">
          <cell r="A3745" t="str">
            <v>D9995</v>
          </cell>
          <cell r="B3745" t="str">
            <v>IPC DAMAGES CLAIMS</v>
          </cell>
          <cell r="C3745" t="str">
            <v>91A-IL OPS ADMIN</v>
          </cell>
        </row>
        <row r="3746">
          <cell r="A3746" t="str">
            <v>D9996</v>
          </cell>
          <cell r="B3746" t="str">
            <v>CIL DAMAGES CLAIMS</v>
          </cell>
          <cell r="C3746" t="str">
            <v>668-IL OPS ADMIN DIV I II III</v>
          </cell>
        </row>
        <row r="3747">
          <cell r="A3747" t="str">
            <v>D9998</v>
          </cell>
          <cell r="B3747" t="str">
            <v>CIP DAMAGES CLAIMS</v>
          </cell>
          <cell r="C3747" t="str">
            <v>231-IL OPS ADMIN DIV IV V VI VII</v>
          </cell>
        </row>
        <row r="3748">
          <cell r="A3748" t="str">
            <v>D9999</v>
          </cell>
          <cell r="B3748" t="str">
            <v>UEC DAMAGES CLAIMS</v>
          </cell>
          <cell r="C3748" t="str">
            <v>066-MO OPS ADMIN</v>
          </cell>
        </row>
        <row r="3749">
          <cell r="A3749" t="str">
            <v>GEN03</v>
          </cell>
          <cell r="B3749" t="str">
            <v>INDIRECT OVERHEADS POWER OPERATIONS</v>
          </cell>
          <cell r="C3749" t="str">
            <v>130-BUSINESS SERVICES - AEG</v>
          </cell>
        </row>
        <row r="3750">
          <cell r="A3750" t="str">
            <v>IPC01</v>
          </cell>
          <cell r="B3750" t="str">
            <v>INDIRECT OVERHEADS CUSTOMER SERVICE</v>
          </cell>
          <cell r="C3750" t="str">
            <v>028-ED DISTRIBUTION ENGINEERING</v>
          </cell>
        </row>
        <row r="3751">
          <cell r="A3751" t="str">
            <v>M0280</v>
          </cell>
          <cell r="B3751" t="str">
            <v>ERWS Suite Upgrades and Database</v>
          </cell>
          <cell r="C3751" t="str">
            <v>8GF-NUCL - ENG TS - RELIABILITY</v>
          </cell>
        </row>
        <row r="3752">
          <cell r="A3752" t="str">
            <v>P0007</v>
          </cell>
          <cell r="B3752" t="str">
            <v>HVAC REPAIRS DONE DURING DCS UPGR</v>
          </cell>
          <cell r="C3752" t="str">
            <v>09M-GENERATION PROJECT ENGINEERING</v>
          </cell>
        </row>
        <row r="3753">
          <cell r="A3753" t="str">
            <v>P0034</v>
          </cell>
          <cell r="B3753" t="str">
            <v>REMOTE PERFORMANCE MONITORING</v>
          </cell>
          <cell r="C3753" t="str">
            <v>81D-GEN PERF MONITOR &amp; ASSESS</v>
          </cell>
        </row>
        <row r="3754">
          <cell r="A3754" t="str">
            <v>P0043</v>
          </cell>
          <cell r="B3754" t="str">
            <v>SUBFP FLUID DRIVE OVERHAULS</v>
          </cell>
          <cell r="C3754" t="str">
            <v>85A-SIOUX PLANT GENERAL &amp; BUD</v>
          </cell>
        </row>
        <row r="3755">
          <cell r="A3755" t="str">
            <v>P0118</v>
          </cell>
          <cell r="B3755" t="str">
            <v>MERAMEC 316(B) STUDIES</v>
          </cell>
          <cell r="C3755" t="str">
            <v>49C-ESH - WATER</v>
          </cell>
        </row>
        <row r="3756">
          <cell r="A3756" t="str">
            <v>P0119</v>
          </cell>
          <cell r="B3756" t="str">
            <v>LABADIE 316(B) STUDIES</v>
          </cell>
          <cell r="C3756" t="str">
            <v>49C-ESH - WATER</v>
          </cell>
        </row>
        <row r="3757">
          <cell r="A3757" t="str">
            <v>P0120</v>
          </cell>
          <cell r="B3757" t="str">
            <v>SIOUX 316(B) STUDIES</v>
          </cell>
          <cell r="C3757" t="str">
            <v>49C-ESH - WATER</v>
          </cell>
        </row>
        <row r="3758">
          <cell r="A3758" t="str">
            <v>P0121</v>
          </cell>
          <cell r="B3758" t="str">
            <v>RUSH ISLAND 316(B) STUDIES</v>
          </cell>
          <cell r="C3758" t="str">
            <v>49C-ESH - WATER</v>
          </cell>
        </row>
        <row r="3759">
          <cell r="A3759" t="str">
            <v>P0130</v>
          </cell>
          <cell r="B3759" t="str">
            <v>HUTSONVILLE COMBUSTOR RETROFIT BLR</v>
          </cell>
          <cell r="C3759" t="str">
            <v>09V-NEW GEN &amp; ENV PROJECTS</v>
          </cell>
        </row>
        <row r="3760">
          <cell r="A3760" t="str">
            <v>P0178</v>
          </cell>
          <cell r="B3760" t="str">
            <v>LBD - 3D Coal Mill and Exhauster Ov</v>
          </cell>
          <cell r="C3760" t="str">
            <v>83A-LABADIE PLANT GENERAL &amp; BUD</v>
          </cell>
        </row>
        <row r="3761">
          <cell r="A3761" t="str">
            <v>P0196</v>
          </cell>
          <cell r="B3761" t="str">
            <v>LBD - Overhaul 3A CWP and 3A TWS As</v>
          </cell>
          <cell r="C3761" t="str">
            <v>83A-LABADIE PLANT GENERAL &amp; BUD</v>
          </cell>
        </row>
        <row r="3762">
          <cell r="A3762" t="str">
            <v>P0201</v>
          </cell>
          <cell r="B3762" t="str">
            <v>LBD - Overhaul One HPRWP Each Year</v>
          </cell>
          <cell r="C3762" t="str">
            <v>83A-LABADIE PLANT GENERAL &amp; BUD</v>
          </cell>
        </row>
        <row r="3763">
          <cell r="A3763" t="str">
            <v>P0213</v>
          </cell>
          <cell r="B3763" t="str">
            <v>AMS SUPPORT SERVICES</v>
          </cell>
          <cell r="C3763" t="str">
            <v>83A-LABADIE PLANT GENERAL &amp; BUD</v>
          </cell>
        </row>
        <row r="3764">
          <cell r="A3764" t="str">
            <v>P0214</v>
          </cell>
          <cell r="B3764" t="str">
            <v>AMS SUPPORT SERVICES</v>
          </cell>
          <cell r="C3764" t="str">
            <v>85A-SIOUX PLANT GENERAL &amp; BUD</v>
          </cell>
        </row>
        <row r="3765">
          <cell r="A3765" t="str">
            <v>P0222</v>
          </cell>
          <cell r="B3765" t="str">
            <v>GPE ENGINEERING STUDIES UEC</v>
          </cell>
          <cell r="C3765" t="str">
            <v>09M-GENERATION PROJECT ENGINEERING</v>
          </cell>
        </row>
        <row r="3766">
          <cell r="A3766" t="str">
            <v>P0223</v>
          </cell>
          <cell r="B3766" t="str">
            <v>GPE ENGINEERING STUDIES GEN</v>
          </cell>
          <cell r="C3766" t="str">
            <v>09M-GENERATION PROJECT ENGINEERING</v>
          </cell>
        </row>
        <row r="3767">
          <cell r="A3767" t="str">
            <v>P0224</v>
          </cell>
          <cell r="B3767" t="str">
            <v>GPE ENGINEERING STUDIES ARG</v>
          </cell>
          <cell r="C3767" t="str">
            <v>09M-GENERATION PROJECT ENGINEERING</v>
          </cell>
        </row>
        <row r="3768">
          <cell r="A3768" t="str">
            <v>P0228</v>
          </cell>
          <cell r="B3768" t="str">
            <v>AMS SUPPORT SERVICES</v>
          </cell>
          <cell r="C3768" t="str">
            <v>78A-RUSH ISLAND PLANT GENERAL &amp; BUD</v>
          </cell>
        </row>
        <row r="3769">
          <cell r="A3769" t="str">
            <v>P0229</v>
          </cell>
          <cell r="B3769" t="str">
            <v>AMS SUPPORT SERVICES</v>
          </cell>
          <cell r="C3769" t="str">
            <v>79A-MERAMEC PLANT GENERAL &amp; BUD</v>
          </cell>
        </row>
        <row r="3770">
          <cell r="A3770" t="str">
            <v>P0230</v>
          </cell>
          <cell r="B3770" t="str">
            <v>TAUM SAUK UPPER RESERVOIR FAILURE</v>
          </cell>
          <cell r="C3770" t="str">
            <v>46C-TAUM SAUK PLANT MAINTENANCE</v>
          </cell>
        </row>
        <row r="3771">
          <cell r="A3771" t="str">
            <v>P0231</v>
          </cell>
          <cell r="B3771" t="str">
            <v>TS RESERVR FAILURE *LIABILITY* WORK</v>
          </cell>
          <cell r="C3771" t="str">
            <v>46A-TAUM SAUK PLANT GENERAL &amp; BUD</v>
          </cell>
        </row>
        <row r="3772">
          <cell r="A3772" t="str">
            <v>P0232</v>
          </cell>
          <cell r="B3772" t="str">
            <v>LBD - U3 Generator Winding Repair</v>
          </cell>
          <cell r="C3772" t="str">
            <v>83A-LABADIE PLANT GENERAL &amp; BUD</v>
          </cell>
        </row>
        <row r="3773">
          <cell r="A3773" t="str">
            <v>P0239</v>
          </cell>
          <cell r="B3773" t="str">
            <v>GCMS TRVL ALLWNCE, MILEAGE EXP, GEN</v>
          </cell>
          <cell r="C3773" t="str">
            <v>40A-GENERATION CONST MGMT SVCS</v>
          </cell>
        </row>
        <row r="3774">
          <cell r="A3774" t="str">
            <v>P0240</v>
          </cell>
          <cell r="B3774" t="str">
            <v>GCMS TRVL ALLWNCE, MILEAGE EXP, ARG</v>
          </cell>
          <cell r="C3774" t="str">
            <v>40A-GENERATION CONST MGMT SVCS</v>
          </cell>
        </row>
        <row r="3775">
          <cell r="A3775" t="str">
            <v>P0241</v>
          </cell>
          <cell r="B3775" t="str">
            <v>GCMS TRVL ALWNCE, MILG EXP, ALL FSL</v>
          </cell>
          <cell r="C3775" t="str">
            <v>40A-GENERATION CONST MGMT SVCS</v>
          </cell>
        </row>
        <row r="3776">
          <cell r="A3776" t="str">
            <v>P0243</v>
          </cell>
          <cell r="B3776" t="str">
            <v>GCMS TRVL ALLWNCE, MILEAGE EXP, MV1</v>
          </cell>
          <cell r="C3776" t="str">
            <v>40A-GENERATION CONST MGMT SVCS</v>
          </cell>
        </row>
        <row r="3777">
          <cell r="A3777" t="str">
            <v>P0270</v>
          </cell>
          <cell r="B3777" t="str">
            <v>NEWTON BURGETT LK DAM EVALUATION</v>
          </cell>
          <cell r="C3777" t="str">
            <v>09H-DAM SAFETY &amp; HYDRO ENGINEERING</v>
          </cell>
        </row>
        <row r="3778">
          <cell r="A3778" t="str">
            <v>P0336</v>
          </cell>
          <cell r="B3778" t="str">
            <v>PCS PRECIP SUPPORT SERVICES - UEC</v>
          </cell>
          <cell r="C3778" t="str">
            <v>09V-NEW GEN &amp; ENV PROJECTS</v>
          </cell>
        </row>
        <row r="3779">
          <cell r="A3779" t="str">
            <v>P0337</v>
          </cell>
          <cell r="B3779" t="str">
            <v>PCS PRECIP SUPPORT SERVICES - GEN</v>
          </cell>
          <cell r="C3779" t="str">
            <v>09V-NEW GEN &amp; ENV PROJECTS</v>
          </cell>
        </row>
        <row r="3780">
          <cell r="A3780" t="str">
            <v>P0339</v>
          </cell>
          <cell r="B3780" t="str">
            <v>PCS PRECIP SUPPORT SERVICES - ARG</v>
          </cell>
          <cell r="C3780" t="str">
            <v>09V-NEW GEN &amp; ENV PROJECTS</v>
          </cell>
        </row>
        <row r="3781">
          <cell r="A3781" t="str">
            <v>P0340</v>
          </cell>
          <cell r="B3781" t="str">
            <v>BHA PRECIPITATOR MATRIX - UEC</v>
          </cell>
          <cell r="C3781" t="str">
            <v>09V-NEW GEN &amp; ENV PROJECTS</v>
          </cell>
        </row>
        <row r="3782">
          <cell r="A3782" t="str">
            <v>P0342</v>
          </cell>
          <cell r="B3782" t="str">
            <v>BHA PRECIPITATOR MATRIX - ARG</v>
          </cell>
          <cell r="C3782" t="str">
            <v>09V-NEW GEN &amp; ENV PROJECTS</v>
          </cell>
        </row>
        <row r="3783">
          <cell r="A3783" t="str">
            <v>P0385</v>
          </cell>
          <cell r="B3783" t="str">
            <v>LBD - U3 Generator Inspect &amp; Repair</v>
          </cell>
          <cell r="C3783" t="str">
            <v>83A-LABADIE PLANT GENERAL &amp; BUD</v>
          </cell>
        </row>
        <row r="3784">
          <cell r="A3784" t="str">
            <v>P0387</v>
          </cell>
          <cell r="B3784" t="str">
            <v>LABADIE LOW RIVER IMPACT STUDY</v>
          </cell>
          <cell r="C3784" t="str">
            <v>09H-DAM SAFETY &amp; HYDRO ENGINEERING</v>
          </cell>
        </row>
        <row r="3785">
          <cell r="A3785" t="str">
            <v>P0388</v>
          </cell>
          <cell r="B3785" t="str">
            <v>ARG DAM SAFETY SUPPORT STUDIES</v>
          </cell>
          <cell r="C3785" t="str">
            <v>09H-DAM SAFETY &amp; HYDRO ENGINEERING</v>
          </cell>
        </row>
        <row r="3786">
          <cell r="A3786" t="str">
            <v>P0389</v>
          </cell>
          <cell r="B3786" t="str">
            <v>GEN DAM SAFETY SUPPORT STUDIES</v>
          </cell>
          <cell r="C3786" t="str">
            <v>09H-DAM SAFETY &amp; HYDRO ENGINEERING</v>
          </cell>
        </row>
        <row r="3787">
          <cell r="A3787" t="str">
            <v>UEC01</v>
          </cell>
          <cell r="B3787" t="str">
            <v>INDIRECT OVERHEADS CUSTOMER SERVICE</v>
          </cell>
          <cell r="C3787" t="str">
            <v>028-ED DISTRIBUTION ENGINEERING</v>
          </cell>
        </row>
        <row r="3788">
          <cell r="A3788" t="str">
            <v>UEC03</v>
          </cell>
          <cell r="B3788" t="str">
            <v>INDIRECT OVERHEADS POWER OPERATIONS</v>
          </cell>
          <cell r="C3788" t="str">
            <v>40A-GENERATION CONST MGMT SVCS</v>
          </cell>
        </row>
        <row r="3789">
          <cell r="A3789" t="str">
            <v>W0037</v>
          </cell>
          <cell r="B3789" t="str">
            <v>NPS U1 INSPECT &amp; REPAIR TURB VLVS</v>
          </cell>
          <cell r="C3789" t="str">
            <v>NAD-NEWTON - TRAINING &amp; BENEFIT ADM</v>
          </cell>
        </row>
        <row r="3790">
          <cell r="A3790" t="str">
            <v>W0093</v>
          </cell>
          <cell r="B3790" t="str">
            <v>ROUTINE U2 LOWER FURNACE CONDITION</v>
          </cell>
          <cell r="C3790" t="str">
            <v>CFG-COFFEEN - GENERAL</v>
          </cell>
        </row>
        <row r="3791">
          <cell r="A3791" t="str">
            <v>W0344</v>
          </cell>
          <cell r="B3791" t="str">
            <v>UNIT 3 PLANNED OUTAGE ROUTINES</v>
          </cell>
          <cell r="C3791" t="str">
            <v>62A-EDWARDS PLANT GENERAL</v>
          </cell>
        </row>
        <row r="3792">
          <cell r="A3792" t="str">
            <v>W0352</v>
          </cell>
          <cell r="B3792" t="str">
            <v>HIGH ENERGY PIPING INSP, AEG, ARG</v>
          </cell>
          <cell r="C3792" t="str">
            <v>131-EFFINGHAM RESOURCE CENTER</v>
          </cell>
        </row>
        <row r="3793">
          <cell r="A3793" t="str">
            <v>W0362</v>
          </cell>
          <cell r="B3793" t="str">
            <v>COFFEEN 316(B) STUDIES</v>
          </cell>
          <cell r="C3793" t="str">
            <v>49C-ESH - WATER</v>
          </cell>
        </row>
        <row r="3794">
          <cell r="A3794" t="str">
            <v>W0363</v>
          </cell>
          <cell r="B3794" t="str">
            <v>GRAND TOWER 316(B) STUDIES</v>
          </cell>
          <cell r="C3794" t="str">
            <v>49C-ESH - WATER</v>
          </cell>
        </row>
        <row r="3795">
          <cell r="A3795" t="str">
            <v>W0364</v>
          </cell>
          <cell r="B3795" t="str">
            <v>HUTSONVILLE 316(B) STUDIES</v>
          </cell>
          <cell r="C3795" t="str">
            <v>49C-ESH - WATER</v>
          </cell>
        </row>
        <row r="3796">
          <cell r="A3796" t="str">
            <v>W0365</v>
          </cell>
          <cell r="B3796" t="str">
            <v>MEREDOSIA 316(B) STUDIES</v>
          </cell>
          <cell r="C3796" t="str">
            <v>49C-ESH - WATER</v>
          </cell>
        </row>
        <row r="3797">
          <cell r="A3797" t="str">
            <v>W0366</v>
          </cell>
          <cell r="B3797" t="str">
            <v>NEWTON 316(B) STUDIES</v>
          </cell>
          <cell r="C3797" t="str">
            <v>49C-ESH - WATER</v>
          </cell>
        </row>
        <row r="3798">
          <cell r="A3798" t="str">
            <v>W0367</v>
          </cell>
          <cell r="B3798" t="str">
            <v>DUCK CREEK 316(B) STUDIES</v>
          </cell>
          <cell r="C3798" t="str">
            <v>49C-ESH - WATER</v>
          </cell>
        </row>
        <row r="3799">
          <cell r="A3799" t="str">
            <v>W0368</v>
          </cell>
          <cell r="B3799" t="str">
            <v>EDWARDS 316(B) STUDIES</v>
          </cell>
          <cell r="C3799" t="str">
            <v>49C-ESH - WATER</v>
          </cell>
        </row>
        <row r="3800">
          <cell r="A3800" t="str">
            <v>W0399</v>
          </cell>
          <cell r="B3800" t="str">
            <v>GTSS - ENGR SUPT - NEWTON</v>
          </cell>
          <cell r="C3800" t="str">
            <v>40D-GENERATION MAINT ENG</v>
          </cell>
        </row>
        <row r="3801">
          <cell r="A3801" t="str">
            <v>W0400</v>
          </cell>
          <cell r="B3801" t="str">
            <v>GTSS - ENGR SUPT - COFFEEN</v>
          </cell>
          <cell r="C3801" t="str">
            <v>40D-GENERATION MAINT ENG</v>
          </cell>
        </row>
        <row r="3802">
          <cell r="A3802" t="str">
            <v>W0401</v>
          </cell>
          <cell r="B3802" t="str">
            <v>GTSS - ENGR SUPT - DUCK CREEK</v>
          </cell>
          <cell r="C3802" t="str">
            <v>40D-GENERATION MAINT ENG</v>
          </cell>
        </row>
        <row r="3803">
          <cell r="A3803" t="str">
            <v>W0402</v>
          </cell>
          <cell r="B3803" t="str">
            <v>GTSS - ENGR SUPT - EDWARDS</v>
          </cell>
          <cell r="C3803" t="str">
            <v>40D-GENERATION MAINT ENG</v>
          </cell>
        </row>
        <row r="3804">
          <cell r="A3804" t="str">
            <v>W0403</v>
          </cell>
          <cell r="B3804" t="str">
            <v>GTSS - ENGR SUPT - MEREDOSIA</v>
          </cell>
          <cell r="C3804" t="str">
            <v>40D-GENERATION MAINT ENG</v>
          </cell>
        </row>
        <row r="3805">
          <cell r="A3805" t="str">
            <v>W0404</v>
          </cell>
          <cell r="B3805" t="str">
            <v>GTSS - ENGR SUPT - HUTSONVILLE</v>
          </cell>
          <cell r="C3805" t="str">
            <v>40D-GENERATION MAINT ENG</v>
          </cell>
        </row>
        <row r="3806">
          <cell r="A3806" t="str">
            <v>W0427</v>
          </cell>
          <cell r="B3806" t="str">
            <v>COFFEEN CATALYST MANAGEMENT</v>
          </cell>
          <cell r="C3806" t="str">
            <v>09V-NEW GEN &amp; ENV PROJECTS</v>
          </cell>
        </row>
        <row r="3807">
          <cell r="A3807" t="str">
            <v>W0428</v>
          </cell>
          <cell r="B3807" t="str">
            <v>EDWARDS CATALYST MANAGEMENT</v>
          </cell>
          <cell r="C3807" t="str">
            <v>09V-NEW GEN &amp; ENV PROJECTS</v>
          </cell>
        </row>
        <row r="3808">
          <cell r="A3808" t="str">
            <v>W0429</v>
          </cell>
          <cell r="B3808" t="str">
            <v>DUCK CREEK CATALYST MANAGEMENT</v>
          </cell>
          <cell r="C3808" t="str">
            <v>09V-NEW GEN &amp; ENV PROJECTS</v>
          </cell>
        </row>
        <row r="3809">
          <cell r="A3809" t="str">
            <v>W0482</v>
          </cell>
          <cell r="B3809" t="str">
            <v>UEC HIGH ENERGY PIPING INSPECTION</v>
          </cell>
          <cell r="C3809" t="str">
            <v>81A-GENERATION QUALITY ENGINEERING</v>
          </cell>
        </row>
        <row r="3810">
          <cell r="A3810" t="str">
            <v>W0533</v>
          </cell>
          <cell r="B3810" t="str">
            <v>AUE MAINT/PLAN TRAIN, DEV, ASSESS</v>
          </cell>
          <cell r="C3810" t="str">
            <v>40E-GENERATION TRAIN &amp; DEV SRVCS</v>
          </cell>
        </row>
        <row r="3811">
          <cell r="A3811" t="str">
            <v>W0539</v>
          </cell>
          <cell r="B3811" t="str">
            <v>AUE PERFORMANCE MONITORING &amp; IMPROV</v>
          </cell>
          <cell r="C3811" t="str">
            <v>81D-GEN PERF MONITOR &amp; ASSESS</v>
          </cell>
        </row>
        <row r="3812">
          <cell r="A3812" t="str">
            <v>W0542</v>
          </cell>
          <cell r="B3812" t="str">
            <v>AEG EQUIPMENT PREDICTIVE MONITORING</v>
          </cell>
          <cell r="C3812" t="str">
            <v>81D-GEN PERF MONITOR &amp; ASSESS</v>
          </cell>
        </row>
        <row r="3813">
          <cell r="A3813" t="str">
            <v>W0543</v>
          </cell>
          <cell r="B3813" t="str">
            <v>ARG EQUIPMENT PREDICTIVE MONITORING</v>
          </cell>
          <cell r="C3813" t="str">
            <v>81D-GEN PERF MONITOR &amp; ASSESS</v>
          </cell>
        </row>
        <row r="3814">
          <cell r="A3814" t="str">
            <v>W0544</v>
          </cell>
          <cell r="B3814" t="str">
            <v>UEC EQUIPMENT PREDICTIVE MONITORING</v>
          </cell>
          <cell r="C3814" t="str">
            <v>81D-GEN PERF MONITOR &amp; ASSESS</v>
          </cell>
        </row>
        <row r="3815">
          <cell r="A3815" t="str">
            <v>W0549</v>
          </cell>
          <cell r="B3815" t="str">
            <v>AUE OPS TRAIN, DEVELOPMENT, ASSESS</v>
          </cell>
          <cell r="C3815" t="str">
            <v>40E-GENERATION TRAIN &amp; DEV SRVCS</v>
          </cell>
        </row>
        <row r="3816">
          <cell r="A3816" t="str">
            <v>W0617</v>
          </cell>
          <cell r="B3816" t="str">
            <v>GEN SAFETY TRAINING, DEV, ASSESS</v>
          </cell>
          <cell r="C3816" t="str">
            <v>40E-GENERATION TRAIN &amp; DEV SRVCS</v>
          </cell>
        </row>
        <row r="3817">
          <cell r="A3817" t="str">
            <v>W0618</v>
          </cell>
          <cell r="B3817" t="str">
            <v>ARG SAFETY TRAINING, DEV, ASSESS</v>
          </cell>
          <cell r="C3817" t="str">
            <v>40E-GENERATION TRAIN &amp; DEV SRVCS</v>
          </cell>
        </row>
        <row r="3818">
          <cell r="A3818" t="str">
            <v>W0619</v>
          </cell>
          <cell r="B3818" t="str">
            <v>UEC SAFETY TRAINING, DEV, ASSESS</v>
          </cell>
          <cell r="C3818" t="str">
            <v>40E-GENERATION TRAIN &amp; DEV SRVCS</v>
          </cell>
        </row>
        <row r="3819">
          <cell r="A3819" t="str">
            <v>W0620</v>
          </cell>
          <cell r="B3819" t="str">
            <v>GEN OPERATIONS TRAINING DEV, ASSESS</v>
          </cell>
          <cell r="C3819" t="str">
            <v>40E-GENERATION TRAIN &amp; DEV SRVCS</v>
          </cell>
        </row>
        <row r="3820">
          <cell r="A3820" t="str">
            <v>W0621</v>
          </cell>
          <cell r="B3820" t="str">
            <v>ARG OPERATIONS TRAINING DEV, ASSESS</v>
          </cell>
          <cell r="C3820" t="str">
            <v>40E-GENERATION TRAIN &amp; DEV SRVCS</v>
          </cell>
        </row>
        <row r="3821">
          <cell r="A3821" t="str">
            <v>W0622</v>
          </cell>
          <cell r="B3821" t="str">
            <v>UEC OPERATIONS TRAINING DEV, ASSESS</v>
          </cell>
          <cell r="C3821" t="str">
            <v>40E-GENERATION TRAIN &amp; DEV SRVCS</v>
          </cell>
        </row>
        <row r="3822">
          <cell r="A3822" t="str">
            <v>W0623</v>
          </cell>
          <cell r="B3822" t="str">
            <v>GEN MAINT &amp; PLANNING TRNG, DEV</v>
          </cell>
          <cell r="C3822" t="str">
            <v>40E-GENERATION TRAIN &amp; DEV SRVCS</v>
          </cell>
        </row>
        <row r="3823">
          <cell r="A3823" t="str">
            <v>W0624</v>
          </cell>
          <cell r="B3823" t="str">
            <v>ARG MAINT &amp; PLANNING TRNG, DEV</v>
          </cell>
          <cell r="C3823" t="str">
            <v>40E-GENERATION TRAIN &amp; DEV SRVCS</v>
          </cell>
        </row>
        <row r="3824">
          <cell r="A3824" t="str">
            <v>W0625</v>
          </cell>
          <cell r="B3824" t="str">
            <v>UEC MAINT &amp; PLANNING TRNG, DEV</v>
          </cell>
          <cell r="C3824" t="str">
            <v>40E-GENERATION TRAIN &amp; DEV SRVCS</v>
          </cell>
        </row>
        <row r="3825">
          <cell r="A3825" t="str">
            <v>W0626</v>
          </cell>
          <cell r="B3825" t="str">
            <v>GEN MGMT TRAINING, DEV, ASSESSMENT</v>
          </cell>
          <cell r="C3825" t="str">
            <v>40E-GENERATION TRAIN &amp; DEV SRVCS</v>
          </cell>
        </row>
        <row r="3826">
          <cell r="A3826" t="str">
            <v>W0627</v>
          </cell>
          <cell r="B3826" t="str">
            <v>ARG MGMT TRAINING, DEV, ASSESSMENT</v>
          </cell>
          <cell r="C3826" t="str">
            <v>40E-GENERATION TRAIN &amp; DEV SRVCS</v>
          </cell>
        </row>
        <row r="3827">
          <cell r="A3827" t="str">
            <v>W0628</v>
          </cell>
          <cell r="B3827" t="str">
            <v>UEC MGMT TRAINING, DEV, ASSESSMENT</v>
          </cell>
          <cell r="C3827" t="str">
            <v>40E-GENERATION TRAIN &amp; DEV SRVCS</v>
          </cell>
        </row>
        <row r="3828">
          <cell r="A3828" t="str">
            <v>W0789</v>
          </cell>
          <cell r="B3828" t="str">
            <v>PLANT &amp; ADMIN PROCEDURE DEVELOPMENT</v>
          </cell>
          <cell r="C3828" t="str">
            <v>40E-GENERATION TRAIN &amp; DEV SRVCS</v>
          </cell>
        </row>
        <row r="3829">
          <cell r="A3829" t="str">
            <v>W0804</v>
          </cell>
          <cell r="B3829" t="str">
            <v>PROJECT MGMT TRAINING</v>
          </cell>
          <cell r="C3829" t="str">
            <v>40E-GENERATION TRAIN &amp; DEV SRVCS</v>
          </cell>
        </row>
        <row r="3830">
          <cell r="A3830" t="str">
            <v>W0807</v>
          </cell>
          <cell r="B3830" t="str">
            <v>CODE OF CONDUCT COMPLIANCE</v>
          </cell>
          <cell r="C3830" t="str">
            <v>40E-GENERATION TRAIN &amp; DEV SRVCS</v>
          </cell>
        </row>
        <row r="3831">
          <cell r="A3831" t="str">
            <v>X9998</v>
          </cell>
          <cell r="B3831" t="str">
            <v>BILL BACK JOBS ACCOUNT 186-001</v>
          </cell>
          <cell r="C3831" t="str">
            <v>4GL-GENERAL &amp; ASSET ACCOUNTING</v>
          </cell>
        </row>
        <row r="3832">
          <cell r="A3832" t="str">
            <v>X9999</v>
          </cell>
          <cell r="B3832" t="str">
            <v>BILL BACK JOBS ACCOUNT 186-001</v>
          </cell>
          <cell r="C3832" t="str">
            <v>4GL-GENERAL &amp; ASSET ACCOUNTING</v>
          </cell>
        </row>
      </sheetData>
      <sheetData sheetId="25">
        <row r="2">
          <cell r="A2" t="str">
            <v>001</v>
          </cell>
          <cell r="B2" t="str">
            <v>CORPORATE COMMUNICATIONS</v>
          </cell>
        </row>
        <row r="3">
          <cell r="A3" t="str">
            <v>002</v>
          </cell>
          <cell r="B3" t="str">
            <v>EAS - PAYROLL &amp; EMPLOYEE SVCS</v>
          </cell>
        </row>
        <row r="4">
          <cell r="A4" t="str">
            <v>003</v>
          </cell>
          <cell r="B4" t="str">
            <v>CUSTOMER ACCOUNTING</v>
          </cell>
        </row>
        <row r="5">
          <cell r="A5" t="str">
            <v>004</v>
          </cell>
          <cell r="B5" t="str">
            <v>ACCOUNTING</v>
          </cell>
        </row>
        <row r="6">
          <cell r="A6" t="str">
            <v>005</v>
          </cell>
          <cell r="B6" t="str">
            <v>CONTROLLERS STAFF</v>
          </cell>
        </row>
        <row r="7">
          <cell r="A7" t="str">
            <v>006</v>
          </cell>
          <cell r="B7" t="str">
            <v>INF - DATA CENTER OPERATIONS</v>
          </cell>
        </row>
        <row r="8">
          <cell r="A8" t="str">
            <v>007</v>
          </cell>
          <cell r="B8" t="str">
            <v>INVALID BUDGET</v>
          </cell>
        </row>
        <row r="9">
          <cell r="A9" t="str">
            <v>008</v>
          </cell>
          <cell r="B9" t="str">
            <v>CUSTOMER SERVICE CTR MO</v>
          </cell>
        </row>
        <row r="10">
          <cell r="A10" t="str">
            <v>009</v>
          </cell>
          <cell r="B10" t="str">
            <v>INVALID BUDGET</v>
          </cell>
        </row>
        <row r="11">
          <cell r="A11" t="str">
            <v>010</v>
          </cell>
          <cell r="B11" t="str">
            <v>INVALID BUDGET</v>
          </cell>
        </row>
        <row r="12">
          <cell r="A12" t="str">
            <v>011</v>
          </cell>
          <cell r="B12" t="str">
            <v>ALT - UEC</v>
          </cell>
        </row>
        <row r="13">
          <cell r="A13" t="str">
            <v>012</v>
          </cell>
          <cell r="B13" t="str">
            <v>CORPORATE PLANNING</v>
          </cell>
        </row>
        <row r="14">
          <cell r="A14" t="str">
            <v>013</v>
          </cell>
          <cell r="B14" t="str">
            <v>C&amp;C  FIELD COLLECTION OFFICE</v>
          </cell>
        </row>
        <row r="15">
          <cell r="A15" t="str">
            <v>014</v>
          </cell>
          <cell r="B15" t="str">
            <v>ALTON DISTRICT</v>
          </cell>
        </row>
        <row r="16">
          <cell r="A16" t="str">
            <v>015</v>
          </cell>
          <cell r="B16" t="str">
            <v>E. ST. LOUIS DISTRICT</v>
          </cell>
        </row>
        <row r="17">
          <cell r="A17" t="str">
            <v>016</v>
          </cell>
          <cell r="B17" t="str">
            <v>ECONOMIC DEVELOPMENT</v>
          </cell>
        </row>
        <row r="18">
          <cell r="A18" t="str">
            <v>017</v>
          </cell>
          <cell r="B18" t="str">
            <v>EMPLOYEE BENEFITS</v>
          </cell>
        </row>
        <row r="19">
          <cell r="A19" t="str">
            <v>018</v>
          </cell>
          <cell r="B19" t="str">
            <v>INVALID BUDGET</v>
          </cell>
        </row>
        <row r="20">
          <cell r="A20" t="str">
            <v>019</v>
          </cell>
          <cell r="B20" t="str">
            <v>BENEFIT PLANS</v>
          </cell>
        </row>
        <row r="21">
          <cell r="A21" t="str">
            <v>020</v>
          </cell>
          <cell r="B21" t="str">
            <v>ED PRODUCTS &amp; SERVICES</v>
          </cell>
        </row>
        <row r="22">
          <cell r="A22" t="str">
            <v>021</v>
          </cell>
          <cell r="B22" t="str">
            <v>VEGETATION MGT - UEC</v>
          </cell>
        </row>
        <row r="23">
          <cell r="A23" t="str">
            <v>022</v>
          </cell>
          <cell r="B23" t="str">
            <v>ALT - AMS</v>
          </cell>
        </row>
        <row r="24">
          <cell r="A24" t="str">
            <v>023</v>
          </cell>
          <cell r="B24" t="str">
            <v>CREDIT &amp; COLLECTION MO</v>
          </cell>
        </row>
        <row r="25">
          <cell r="A25" t="str">
            <v>024</v>
          </cell>
          <cell r="B25" t="str">
            <v>LEGAL</v>
          </cell>
        </row>
        <row r="26">
          <cell r="A26" t="str">
            <v>025</v>
          </cell>
          <cell r="B26" t="str">
            <v>ED - CUSTOMER TRAINING</v>
          </cell>
        </row>
        <row r="27">
          <cell r="A27" t="str">
            <v>026</v>
          </cell>
          <cell r="B27" t="str">
            <v>ED - SAFETY</v>
          </cell>
        </row>
        <row r="28">
          <cell r="A28" t="str">
            <v>027</v>
          </cell>
          <cell r="B28" t="str">
            <v>DORSETT</v>
          </cell>
        </row>
        <row r="29">
          <cell r="A29" t="str">
            <v>028</v>
          </cell>
          <cell r="B29" t="str">
            <v>ED DISTRIB ENGINEERING</v>
          </cell>
        </row>
        <row r="30">
          <cell r="A30" t="str">
            <v>029</v>
          </cell>
          <cell r="B30" t="str">
            <v>ED DRAFTING</v>
          </cell>
        </row>
        <row r="31">
          <cell r="A31" t="str">
            <v>030</v>
          </cell>
          <cell r="B31" t="str">
            <v>DISTRIBUTION OPERATING - MO</v>
          </cell>
        </row>
        <row r="32">
          <cell r="A32" t="str">
            <v>031</v>
          </cell>
          <cell r="B32" t="str">
            <v>METER SERVICES - UEC</v>
          </cell>
        </row>
        <row r="33">
          <cell r="A33" t="str">
            <v>033</v>
          </cell>
          <cell r="B33" t="str">
            <v>SUB MTCE &amp; CONST - UEC NORTH</v>
          </cell>
        </row>
        <row r="34">
          <cell r="A34" t="str">
            <v>034</v>
          </cell>
          <cell r="B34" t="str">
            <v>NUCLEAR FUEL</v>
          </cell>
        </row>
        <row r="35">
          <cell r="A35" t="str">
            <v>035</v>
          </cell>
          <cell r="B35" t="str">
            <v>METRO CONTRACTORS - INVALID</v>
          </cell>
        </row>
        <row r="36">
          <cell r="A36" t="str">
            <v>036</v>
          </cell>
          <cell r="B36" t="str">
            <v>UNDERGROUND</v>
          </cell>
        </row>
        <row r="37">
          <cell r="A37" t="str">
            <v>037</v>
          </cell>
          <cell r="B37" t="str">
            <v>TRANSMISSION - UEC</v>
          </cell>
        </row>
        <row r="38">
          <cell r="A38" t="str">
            <v>038</v>
          </cell>
          <cell r="B38" t="str">
            <v>CLAIMS</v>
          </cell>
        </row>
        <row r="39">
          <cell r="A39" t="str">
            <v>039</v>
          </cell>
          <cell r="B39" t="str">
            <v>SECURITY</v>
          </cell>
        </row>
        <row r="40">
          <cell r="A40" t="str">
            <v>040</v>
          </cell>
          <cell r="B40" t="str">
            <v>INVALID BUDGET - PPM</v>
          </cell>
        </row>
        <row r="41">
          <cell r="A41" t="str">
            <v>042</v>
          </cell>
          <cell r="B41" t="str">
            <v>TRANSMISSION OPERATIONS</v>
          </cell>
        </row>
        <row r="42">
          <cell r="A42" t="str">
            <v>043</v>
          </cell>
          <cell r="B42" t="str">
            <v>NATL GAS SUP, TRANSP &amp; CNTRL</v>
          </cell>
        </row>
        <row r="43">
          <cell r="A43" t="str">
            <v>044</v>
          </cell>
          <cell r="B43" t="str">
            <v>INVALID BUDGET - OSAGE</v>
          </cell>
        </row>
        <row r="44">
          <cell r="A44" t="str">
            <v>046</v>
          </cell>
          <cell r="B44" t="str">
            <v>INVALID BUDGET - TAUM SAUK</v>
          </cell>
        </row>
        <row r="45">
          <cell r="A45" t="str">
            <v>047</v>
          </cell>
          <cell r="B45" t="str">
            <v>RESEARCH AND DEVELOPMENT</v>
          </cell>
        </row>
        <row r="46">
          <cell r="A46" t="str">
            <v>048</v>
          </cell>
          <cell r="B46" t="str">
            <v>TRANSMISSION SVCS BUSINESS CTR</v>
          </cell>
        </row>
        <row r="47">
          <cell r="A47" t="str">
            <v>049</v>
          </cell>
          <cell r="B47" t="str">
            <v>ESH - GENERAL</v>
          </cell>
        </row>
        <row r="48">
          <cell r="A48" t="str">
            <v>050</v>
          </cell>
          <cell r="B48" t="str">
            <v>STOREROOMS - MO</v>
          </cell>
        </row>
        <row r="49">
          <cell r="A49" t="str">
            <v>052</v>
          </cell>
          <cell r="B49" t="str">
            <v>MACKENZIE</v>
          </cell>
        </row>
        <row r="50">
          <cell r="A50" t="str">
            <v>053</v>
          </cell>
          <cell r="B50" t="str">
            <v>ELLISVILLE DISTRICT</v>
          </cell>
        </row>
        <row r="51">
          <cell r="A51" t="str">
            <v>055</v>
          </cell>
          <cell r="B51" t="str">
            <v>BERKELEY</v>
          </cell>
        </row>
        <row r="52">
          <cell r="A52" t="str">
            <v>056</v>
          </cell>
          <cell r="B52" t="str">
            <v>GERALDINE</v>
          </cell>
        </row>
        <row r="53">
          <cell r="A53" t="str">
            <v>057</v>
          </cell>
          <cell r="B53" t="str">
            <v>LABOR STRATEGY</v>
          </cell>
        </row>
        <row r="54">
          <cell r="A54" t="str">
            <v>058</v>
          </cell>
          <cell r="B54" t="str">
            <v>SECRETARY'S</v>
          </cell>
        </row>
        <row r="55">
          <cell r="A55" t="str">
            <v>059</v>
          </cell>
          <cell r="B55" t="str">
            <v>INVALID BUDGET</v>
          </cell>
        </row>
        <row r="56">
          <cell r="A56" t="str">
            <v>060</v>
          </cell>
          <cell r="B56" t="str">
            <v>SCP - PLANNING</v>
          </cell>
        </row>
        <row r="57">
          <cell r="A57" t="str">
            <v>061</v>
          </cell>
          <cell r="B57" t="str">
            <v>REAL ESTATE</v>
          </cell>
        </row>
        <row r="58">
          <cell r="A58" t="str">
            <v>062</v>
          </cell>
          <cell r="B58" t="str">
            <v>INVALID BUDGET</v>
          </cell>
        </row>
        <row r="59">
          <cell r="A59" t="str">
            <v>063</v>
          </cell>
          <cell r="B59" t="str">
            <v>LAKESIDE</v>
          </cell>
        </row>
        <row r="60">
          <cell r="A60" t="str">
            <v>064</v>
          </cell>
          <cell r="B60" t="str">
            <v>EAS - PERSONNEL ADMINISTRATION</v>
          </cell>
        </row>
        <row r="61">
          <cell r="A61" t="str">
            <v>065</v>
          </cell>
          <cell r="B61" t="str">
            <v>NEO - TELEPHONE SERVICES</v>
          </cell>
        </row>
        <row r="62">
          <cell r="A62" t="str">
            <v>066</v>
          </cell>
          <cell r="B62" t="str">
            <v>MoOPS ADMIN</v>
          </cell>
        </row>
        <row r="63">
          <cell r="A63" t="str">
            <v>068</v>
          </cell>
          <cell r="B63" t="str">
            <v>FRANKLIN DISTRICT</v>
          </cell>
        </row>
        <row r="64">
          <cell r="A64" t="str">
            <v>069</v>
          </cell>
          <cell r="B64" t="str">
            <v>ST CHARLES</v>
          </cell>
        </row>
        <row r="65">
          <cell r="A65" t="str">
            <v>070</v>
          </cell>
          <cell r="B65" t="str">
            <v>JEFFERSON</v>
          </cell>
        </row>
        <row r="66">
          <cell r="A66" t="str">
            <v>071</v>
          </cell>
          <cell r="B66" t="str">
            <v>ST FRANCOIS</v>
          </cell>
        </row>
        <row r="67">
          <cell r="A67" t="str">
            <v>072</v>
          </cell>
          <cell r="B67" t="str">
            <v>BUILDING SERVICES-MO</v>
          </cell>
        </row>
        <row r="68">
          <cell r="A68" t="str">
            <v>073</v>
          </cell>
          <cell r="B68" t="str">
            <v>FLEET SVCS - UEC</v>
          </cell>
        </row>
        <row r="69">
          <cell r="A69" t="str">
            <v>074</v>
          </cell>
          <cell r="B69" t="str">
            <v>PURCHASING</v>
          </cell>
        </row>
        <row r="70">
          <cell r="A70" t="str">
            <v>075</v>
          </cell>
          <cell r="B70" t="str">
            <v>BANKING AND INVESTOR SERVICES</v>
          </cell>
        </row>
        <row r="71">
          <cell r="A71" t="str">
            <v>076</v>
          </cell>
          <cell r="B71" t="str">
            <v>TREASURY TECHNOLOGY SERVICES</v>
          </cell>
        </row>
        <row r="72">
          <cell r="A72" t="str">
            <v>077</v>
          </cell>
          <cell r="B72" t="str">
            <v>INVALID BUDGET</v>
          </cell>
        </row>
        <row r="73">
          <cell r="A73" t="str">
            <v>078</v>
          </cell>
          <cell r="B73" t="str">
            <v>INVALID BUDGET - RUSH ISLAND</v>
          </cell>
        </row>
        <row r="74">
          <cell r="A74" t="str">
            <v>079</v>
          </cell>
          <cell r="B74" t="str">
            <v>INVALID BUDGET - MERAMEC</v>
          </cell>
        </row>
        <row r="75">
          <cell r="A75" t="str">
            <v>081</v>
          </cell>
          <cell r="B75" t="str">
            <v>INVALID BUDGET - LAB SERVICES</v>
          </cell>
        </row>
        <row r="76">
          <cell r="A76" t="str">
            <v>082</v>
          </cell>
          <cell r="B76" t="str">
            <v>INVALID BUDGET - VENICE</v>
          </cell>
        </row>
        <row r="77">
          <cell r="A77" t="str">
            <v>083</v>
          </cell>
          <cell r="B77" t="str">
            <v>INVALID BUDGET - LABADIE</v>
          </cell>
        </row>
        <row r="78">
          <cell r="A78" t="str">
            <v>084</v>
          </cell>
          <cell r="B78" t="str">
            <v>INVALID BUDGET - KEOKUK</v>
          </cell>
        </row>
        <row r="79">
          <cell r="A79" t="str">
            <v>085</v>
          </cell>
          <cell r="B79" t="str">
            <v>INVALID BUDGET - SIOUX</v>
          </cell>
        </row>
        <row r="80">
          <cell r="A80" t="str">
            <v>086</v>
          </cell>
          <cell r="B80" t="str">
            <v>FOSSIL FUEL BURNED</v>
          </cell>
        </row>
        <row r="81">
          <cell r="A81" t="str">
            <v>087</v>
          </cell>
          <cell r="B81" t="str">
            <v>FOSSIL FUELS</v>
          </cell>
        </row>
        <row r="82">
          <cell r="A82" t="str">
            <v>088</v>
          </cell>
          <cell r="B82" t="str">
            <v>PERSONNEL TRNG &amp; OFFICE &amp; BUD</v>
          </cell>
        </row>
        <row r="83">
          <cell r="A83" t="str">
            <v>089</v>
          </cell>
          <cell r="B83" t="str">
            <v>APPORTIONMENTS - UEC</v>
          </cell>
        </row>
        <row r="84">
          <cell r="A84" t="str">
            <v>090</v>
          </cell>
          <cell r="B84" t="str">
            <v>SYSTEM RELAY SERVICES</v>
          </cell>
        </row>
        <row r="85">
          <cell r="A85" t="str">
            <v>091</v>
          </cell>
          <cell r="B85" t="str">
            <v>SYS RELAY SERVICES-AMS INVALID</v>
          </cell>
        </row>
        <row r="86">
          <cell r="A86" t="str">
            <v>092</v>
          </cell>
          <cell r="B86" t="str">
            <v>SPECIAL ITEMS-ACCOUNTING DEPT</v>
          </cell>
        </row>
        <row r="87">
          <cell r="A87" t="str">
            <v>093</v>
          </cell>
          <cell r="B87" t="str">
            <v>WENTZVILLE</v>
          </cell>
        </row>
        <row r="88">
          <cell r="A88" t="str">
            <v>094</v>
          </cell>
          <cell r="B88" t="str">
            <v>INVALID BUDGET</v>
          </cell>
        </row>
        <row r="89">
          <cell r="A89" t="str">
            <v>095</v>
          </cell>
          <cell r="B89" t="str">
            <v>INVALID BUDGET</v>
          </cell>
        </row>
        <row r="90">
          <cell r="A90" t="str">
            <v>096</v>
          </cell>
          <cell r="B90" t="str">
            <v>MEMBERSHIPS</v>
          </cell>
        </row>
        <row r="91">
          <cell r="A91" t="str">
            <v>097</v>
          </cell>
          <cell r="B91" t="str">
            <v>INVALID BUDGET</v>
          </cell>
        </row>
        <row r="92">
          <cell r="A92" t="str">
            <v>098</v>
          </cell>
          <cell r="B92" t="str">
            <v>OVERHEADS CAPITALIZED - UEC</v>
          </cell>
        </row>
        <row r="93">
          <cell r="A93" t="str">
            <v>099</v>
          </cell>
          <cell r="B93" t="str">
            <v>CORPORATE SPECIAL ITEMS - UEC</v>
          </cell>
        </row>
        <row r="94">
          <cell r="A94">
            <v>106</v>
          </cell>
          <cell r="B94" t="str">
            <v>INVALID BUDGET</v>
          </cell>
        </row>
        <row r="95">
          <cell r="A95">
            <v>107</v>
          </cell>
          <cell r="B95" t="str">
            <v>DISTRIBUTION OPERATING-Mattoon</v>
          </cell>
        </row>
        <row r="96">
          <cell r="A96">
            <v>111</v>
          </cell>
          <cell r="B96" t="str">
            <v>INVALID BUDGET</v>
          </cell>
        </row>
        <row r="97">
          <cell r="A97">
            <v>112</v>
          </cell>
          <cell r="B97" t="str">
            <v>INVALID BUDGET</v>
          </cell>
        </row>
        <row r="98">
          <cell r="A98">
            <v>113</v>
          </cell>
          <cell r="B98" t="str">
            <v>INVALID BUDGET</v>
          </cell>
        </row>
        <row r="99">
          <cell r="A99">
            <v>114</v>
          </cell>
          <cell r="B99" t="str">
            <v>INVALID BUDGET</v>
          </cell>
        </row>
        <row r="100">
          <cell r="A100">
            <v>115</v>
          </cell>
          <cell r="B100" t="str">
            <v>INVALID BUDGET</v>
          </cell>
        </row>
        <row r="101">
          <cell r="A101">
            <v>116</v>
          </cell>
          <cell r="B101" t="str">
            <v>INVALID BUDGET</v>
          </cell>
        </row>
        <row r="102">
          <cell r="A102">
            <v>117</v>
          </cell>
          <cell r="B102" t="str">
            <v>INVALID BUDGET</v>
          </cell>
        </row>
        <row r="103">
          <cell r="A103">
            <v>118</v>
          </cell>
          <cell r="B103" t="str">
            <v>INVALID BUDGET</v>
          </cell>
        </row>
        <row r="104">
          <cell r="A104">
            <v>130</v>
          </cell>
          <cell r="B104" t="str">
            <v>BUSINESS SERVICES - AEG &amp; BUD</v>
          </cell>
        </row>
        <row r="105">
          <cell r="A105">
            <v>131</v>
          </cell>
          <cell r="B105" t="str">
            <v>EFFINGHAM RESOURCE CENTER</v>
          </cell>
        </row>
        <row r="106">
          <cell r="A106">
            <v>132</v>
          </cell>
          <cell r="B106" t="str">
            <v>PRODUCTION SVCS - AEG-INVALID</v>
          </cell>
        </row>
        <row r="107">
          <cell r="A107">
            <v>133</v>
          </cell>
          <cell r="B107" t="str">
            <v>PEORIA RESOURCE CENTER</v>
          </cell>
        </row>
        <row r="108">
          <cell r="A108">
            <v>134</v>
          </cell>
          <cell r="B108" t="str">
            <v>AEG RESOURCE CENTER-INVALID</v>
          </cell>
        </row>
        <row r="109">
          <cell r="A109">
            <v>136</v>
          </cell>
          <cell r="B109" t="str">
            <v>INVALID BUDGET - NEWTON</v>
          </cell>
        </row>
        <row r="110">
          <cell r="A110">
            <v>140</v>
          </cell>
          <cell r="B110" t="str">
            <v>MEREDOSIA</v>
          </cell>
        </row>
        <row r="111">
          <cell r="A111">
            <v>143</v>
          </cell>
          <cell r="B111" t="str">
            <v>INVALID BUDGET - GRAND TOWER</v>
          </cell>
        </row>
        <row r="112">
          <cell r="A112">
            <v>145</v>
          </cell>
          <cell r="B112" t="str">
            <v>HUTSONVILLE</v>
          </cell>
        </row>
        <row r="113">
          <cell r="A113">
            <v>148</v>
          </cell>
          <cell r="B113" t="str">
            <v>INVALID BUDGET - COFFEEN</v>
          </cell>
        </row>
        <row r="114">
          <cell r="A114">
            <v>151</v>
          </cell>
          <cell r="B114" t="str">
            <v>ALT- CIPS</v>
          </cell>
        </row>
        <row r="115">
          <cell r="A115">
            <v>152</v>
          </cell>
          <cell r="B115" t="str">
            <v>ALT- GEN</v>
          </cell>
        </row>
        <row r="116">
          <cell r="A116">
            <v>153</v>
          </cell>
          <cell r="B116" t="str">
            <v>ALT- IHC</v>
          </cell>
        </row>
        <row r="117">
          <cell r="A117">
            <v>154</v>
          </cell>
          <cell r="B117" t="str">
            <v>ALT- AFS</v>
          </cell>
        </row>
        <row r="118">
          <cell r="A118">
            <v>155</v>
          </cell>
          <cell r="B118" t="str">
            <v>INVALID BUDGET</v>
          </cell>
        </row>
        <row r="119">
          <cell r="A119">
            <v>157</v>
          </cell>
          <cell r="B119" t="str">
            <v>GOVERNMENT RELATIONS</v>
          </cell>
        </row>
        <row r="120">
          <cell r="A120">
            <v>158</v>
          </cell>
          <cell r="B120" t="str">
            <v>ALT- GMC</v>
          </cell>
        </row>
        <row r="121">
          <cell r="A121">
            <v>159</v>
          </cell>
          <cell r="B121" t="str">
            <v>ALT- AME</v>
          </cell>
        </row>
        <row r="122">
          <cell r="A122">
            <v>186</v>
          </cell>
          <cell r="B122" t="str">
            <v>FOSSIL FUEL-GENCO</v>
          </cell>
        </row>
        <row r="123">
          <cell r="A123">
            <v>189</v>
          </cell>
          <cell r="B123" t="str">
            <v>APPORTIONMENTS - CIPS</v>
          </cell>
        </row>
        <row r="124">
          <cell r="A124">
            <v>190</v>
          </cell>
          <cell r="B124" t="str">
            <v>APPMNTS - SPECIAL ITEMS - AMS</v>
          </cell>
        </row>
        <row r="125">
          <cell r="A125">
            <v>192</v>
          </cell>
          <cell r="B125" t="str">
            <v>PLT &amp; REG AUTOMATED JOURNALS</v>
          </cell>
        </row>
        <row r="126">
          <cell r="A126">
            <v>193</v>
          </cell>
          <cell r="B126" t="str">
            <v>PLANT &amp; REGULATORY ITEMS - CIPS</v>
          </cell>
        </row>
        <row r="127">
          <cell r="A127">
            <v>194</v>
          </cell>
          <cell r="B127" t="str">
            <v>PLANT &amp; REGULATORY ITEMS - AMS</v>
          </cell>
        </row>
        <row r="128">
          <cell r="A128">
            <v>199</v>
          </cell>
          <cell r="B128" t="str">
            <v>CORPORATE SPECIAL ITEMS</v>
          </cell>
        </row>
        <row r="129">
          <cell r="A129">
            <v>201</v>
          </cell>
          <cell r="B129" t="str">
            <v>DEV - BUS &amp; CORP SVCS</v>
          </cell>
        </row>
        <row r="130">
          <cell r="A130">
            <v>202</v>
          </cell>
          <cell r="B130" t="str">
            <v>DEV - OPERATIONS</v>
          </cell>
        </row>
        <row r="131">
          <cell r="A131">
            <v>203</v>
          </cell>
          <cell r="B131" t="str">
            <v>INVALID - DEV HUMAN RESOURCES</v>
          </cell>
        </row>
        <row r="132">
          <cell r="A132">
            <v>204</v>
          </cell>
          <cell r="B132" t="str">
            <v>DEV - ENERGY DELIVERY</v>
          </cell>
        </row>
        <row r="133">
          <cell r="A133">
            <v>230</v>
          </cell>
          <cell r="B133" t="str">
            <v>ED - ELECTRIC TRAINING</v>
          </cell>
        </row>
        <row r="134">
          <cell r="A134">
            <v>231</v>
          </cell>
          <cell r="B134" t="str">
            <v>IL OPS ADMN DIV IV V VI VII</v>
          </cell>
        </row>
        <row r="135">
          <cell r="A135">
            <v>232</v>
          </cell>
          <cell r="B135" t="str">
            <v>GAS ENGINEERING &amp; SUPPORT</v>
          </cell>
        </row>
        <row r="136">
          <cell r="A136">
            <v>233</v>
          </cell>
          <cell r="B136" t="str">
            <v>ED ELECTRIC STANDARDS</v>
          </cell>
        </row>
        <row r="137">
          <cell r="A137">
            <v>234</v>
          </cell>
          <cell r="B137" t="str">
            <v>ED PERFORMANCE IMPROVEMENT</v>
          </cell>
        </row>
        <row r="138">
          <cell r="A138">
            <v>235</v>
          </cell>
          <cell r="B138" t="str">
            <v>ED STRATEGIC PLANNING INVALID</v>
          </cell>
        </row>
        <row r="139">
          <cell r="A139">
            <v>286</v>
          </cell>
          <cell r="B139" t="str">
            <v>FOSSIL FUEL-CIL</v>
          </cell>
        </row>
        <row r="140">
          <cell r="A140">
            <v>299</v>
          </cell>
          <cell r="B140" t="str">
            <v>ACCOUNTING ENTRIES-CIL</v>
          </cell>
        </row>
        <row r="141">
          <cell r="A141">
            <v>300</v>
          </cell>
          <cell r="B141" t="str">
            <v>AME - EXECUTIVE</v>
          </cell>
        </row>
        <row r="142">
          <cell r="A142">
            <v>301</v>
          </cell>
          <cell r="B142" t="str">
            <v>AME - TRADING-ELECTRICITY</v>
          </cell>
        </row>
        <row r="143">
          <cell r="A143">
            <v>302</v>
          </cell>
          <cell r="B143" t="str">
            <v>AME - MKTG-NATURAL GAS</v>
          </cell>
        </row>
        <row r="144">
          <cell r="A144">
            <v>303</v>
          </cell>
          <cell r="B144" t="str">
            <v>AER SVCS - OPERATION - INVALID</v>
          </cell>
        </row>
        <row r="145">
          <cell r="A145">
            <v>304</v>
          </cell>
          <cell r="B145" t="str">
            <v>AER SVCS - INFO SYST - INVALID</v>
          </cell>
        </row>
        <row r="146">
          <cell r="A146">
            <v>305</v>
          </cell>
          <cell r="B146" t="str">
            <v>AME - HUMAN RESOURCES-INVALID</v>
          </cell>
        </row>
        <row r="147">
          <cell r="A147">
            <v>306</v>
          </cell>
          <cell r="B147" t="str">
            <v>AME - RISK MANAGEMENT-INVALID</v>
          </cell>
        </row>
        <row r="148">
          <cell r="A148">
            <v>307</v>
          </cell>
          <cell r="B148" t="str">
            <v>AME - MRKT - STRUCTURE-INVALID</v>
          </cell>
        </row>
        <row r="149">
          <cell r="A149">
            <v>308</v>
          </cell>
          <cell r="B149" t="str">
            <v>AME - TRAD-NATURAL GAS-INVALID</v>
          </cell>
        </row>
        <row r="150">
          <cell r="A150">
            <v>309</v>
          </cell>
          <cell r="B150" t="str">
            <v>AME - MKTG COMMUNICATIONS</v>
          </cell>
        </row>
        <row r="151">
          <cell r="A151">
            <v>310</v>
          </cell>
          <cell r="B151" t="str">
            <v>AER SVCS - FINANCIAL ANALYSIS</v>
          </cell>
        </row>
        <row r="152">
          <cell r="A152">
            <v>311</v>
          </cell>
          <cell r="B152" t="str">
            <v>AME - GENERAL ITEMS</v>
          </cell>
        </row>
        <row r="153">
          <cell r="A153">
            <v>312</v>
          </cell>
          <cell r="B153" t="str">
            <v>PRICING &amp; ANALYSIS</v>
          </cell>
        </row>
        <row r="154">
          <cell r="A154">
            <v>313</v>
          </cell>
          <cell r="B154" t="str">
            <v>AME - BILLINGS TO IHC-INVALID</v>
          </cell>
        </row>
        <row r="155">
          <cell r="A155">
            <v>340</v>
          </cell>
          <cell r="B155" t="str">
            <v>REGULATED CTG COMMON</v>
          </cell>
        </row>
        <row r="156">
          <cell r="A156">
            <v>341</v>
          </cell>
          <cell r="B156" t="str">
            <v>VENICE CTGs</v>
          </cell>
        </row>
        <row r="157">
          <cell r="A157">
            <v>342</v>
          </cell>
          <cell r="B157" t="str">
            <v>HOWARD BEND CTG</v>
          </cell>
        </row>
        <row r="158">
          <cell r="A158">
            <v>343</v>
          </cell>
          <cell r="B158" t="str">
            <v>MERAMEC CTGs</v>
          </cell>
        </row>
        <row r="159">
          <cell r="A159">
            <v>344</v>
          </cell>
          <cell r="B159" t="str">
            <v>FAIRGROUNDS CTG</v>
          </cell>
        </row>
        <row r="160">
          <cell r="A160">
            <v>345</v>
          </cell>
          <cell r="B160" t="str">
            <v>KIRKSVILLE CTG</v>
          </cell>
        </row>
        <row r="161">
          <cell r="A161">
            <v>346</v>
          </cell>
          <cell r="B161" t="str">
            <v>MOREAU CTG</v>
          </cell>
        </row>
        <row r="162">
          <cell r="A162">
            <v>347</v>
          </cell>
          <cell r="B162" t="str">
            <v>MOBERLY CTG</v>
          </cell>
        </row>
        <row r="163">
          <cell r="A163">
            <v>348</v>
          </cell>
          <cell r="B163" t="str">
            <v>MEXICO CTG</v>
          </cell>
        </row>
        <row r="164">
          <cell r="A164">
            <v>349</v>
          </cell>
          <cell r="B164" t="str">
            <v>VIADUCT CTG</v>
          </cell>
        </row>
        <row r="165">
          <cell r="A165">
            <v>350</v>
          </cell>
          <cell r="B165" t="str">
            <v>GIBSON CITY CTG</v>
          </cell>
        </row>
        <row r="166">
          <cell r="A166">
            <v>351</v>
          </cell>
          <cell r="B166" t="str">
            <v>KINMUNDY CTG</v>
          </cell>
        </row>
        <row r="167">
          <cell r="A167">
            <v>352</v>
          </cell>
          <cell r="B167" t="str">
            <v>PINCKNEYVILLE CTG</v>
          </cell>
        </row>
        <row r="168">
          <cell r="A168">
            <v>353</v>
          </cell>
          <cell r="B168" t="str">
            <v>TUSCOLA CTG</v>
          </cell>
        </row>
        <row r="169">
          <cell r="A169">
            <v>354</v>
          </cell>
          <cell r="B169" t="str">
            <v>GRAND TOWER PLANT</v>
          </cell>
        </row>
        <row r="170">
          <cell r="A170">
            <v>355</v>
          </cell>
          <cell r="B170" t="str">
            <v>ELGIN CTG</v>
          </cell>
        </row>
        <row r="171">
          <cell r="A171">
            <v>356</v>
          </cell>
          <cell r="B171" t="str">
            <v>COLUMBIA CTG</v>
          </cell>
        </row>
        <row r="172">
          <cell r="A172">
            <v>358</v>
          </cell>
          <cell r="B172" t="str">
            <v>JOPPA 7B CTG</v>
          </cell>
        </row>
        <row r="173">
          <cell r="A173">
            <v>359</v>
          </cell>
          <cell r="B173" t="str">
            <v>PENO CREEK CTG</v>
          </cell>
        </row>
        <row r="174">
          <cell r="A174">
            <v>360</v>
          </cell>
          <cell r="B174" t="str">
            <v>DEREGULATED  CTG COMMON</v>
          </cell>
        </row>
        <row r="175">
          <cell r="A175">
            <v>361</v>
          </cell>
          <cell r="B175" t="str">
            <v>AUDRAIN CTG</v>
          </cell>
        </row>
        <row r="176">
          <cell r="A176">
            <v>362</v>
          </cell>
          <cell r="B176" t="str">
            <v>GOOSE CREEK CTG</v>
          </cell>
        </row>
        <row r="177">
          <cell r="A177">
            <v>363</v>
          </cell>
          <cell r="B177" t="str">
            <v>RACCOON CREEK CTG</v>
          </cell>
        </row>
        <row r="178">
          <cell r="A178">
            <v>399</v>
          </cell>
          <cell r="B178" t="str">
            <v>ACCOUNTING ENTRIES - IPC</v>
          </cell>
        </row>
        <row r="179">
          <cell r="A179">
            <v>601</v>
          </cell>
          <cell r="B179" t="str">
            <v>CORP - COMM &amp; ADV-CIL-INVALID</v>
          </cell>
        </row>
        <row r="180">
          <cell r="A180">
            <v>602</v>
          </cell>
          <cell r="B180" t="str">
            <v>SPFLD DIV SUPP SRV-CIL-INVALID</v>
          </cell>
        </row>
        <row r="181">
          <cell r="A181">
            <v>603</v>
          </cell>
          <cell r="B181" t="str">
            <v>TUSCOLA GAS OPERATIONS</v>
          </cell>
        </row>
        <row r="182">
          <cell r="A182">
            <v>604</v>
          </cell>
          <cell r="B182" t="str">
            <v>LINCOLN ELECTRIC OPS</v>
          </cell>
        </row>
        <row r="183">
          <cell r="A183">
            <v>605</v>
          </cell>
          <cell r="B183" t="str">
            <v>SPRINGFIELD ELECTRIC OPS</v>
          </cell>
        </row>
        <row r="184">
          <cell r="A184">
            <v>606</v>
          </cell>
          <cell r="B184" t="str">
            <v>HOMER ELECTRIC OPS</v>
          </cell>
        </row>
        <row r="185">
          <cell r="A185">
            <v>607</v>
          </cell>
          <cell r="B185" t="str">
            <v>LINCOLN GAS OPS</v>
          </cell>
        </row>
        <row r="186">
          <cell r="A186">
            <v>608</v>
          </cell>
          <cell r="B186" t="str">
            <v>SPFLD GAS CONSTRUCTION</v>
          </cell>
        </row>
        <row r="187">
          <cell r="A187">
            <v>609</v>
          </cell>
          <cell r="B187" t="str">
            <v>SPFLD GAS SERVICE</v>
          </cell>
        </row>
        <row r="188">
          <cell r="A188">
            <v>610</v>
          </cell>
          <cell r="B188" t="str">
            <v>SPFLD SUBST SERV-CIL - INVALID</v>
          </cell>
        </row>
        <row r="189">
          <cell r="A189">
            <v>611</v>
          </cell>
          <cell r="B189" t="str">
            <v>AM FM POWER ON-CIL - INVALID</v>
          </cell>
        </row>
        <row r="190">
          <cell r="A190">
            <v>612</v>
          </cell>
          <cell r="B190" t="str">
            <v>PEORIA EL OP ADMIN-CIL-INVALID</v>
          </cell>
        </row>
        <row r="191">
          <cell r="A191">
            <v>613</v>
          </cell>
          <cell r="B191" t="str">
            <v>PEO ELEC OPER SUPP-CIL-INVALID</v>
          </cell>
        </row>
        <row r="192">
          <cell r="A192">
            <v>614</v>
          </cell>
          <cell r="B192" t="str">
            <v>VEGETATION MGT - CIL INVALID</v>
          </cell>
        </row>
        <row r="193">
          <cell r="A193">
            <v>615</v>
          </cell>
          <cell r="B193" t="str">
            <v>METER SERVICES - CIL</v>
          </cell>
        </row>
        <row r="194">
          <cell r="A194">
            <v>616</v>
          </cell>
          <cell r="B194" t="str">
            <v>SUB MTCE &amp; CONST - IL WEST</v>
          </cell>
        </row>
        <row r="195">
          <cell r="A195">
            <v>617</v>
          </cell>
          <cell r="B195" t="str">
            <v>NORTHERN ELECTRIC</v>
          </cell>
        </row>
        <row r="196">
          <cell r="A196">
            <v>618</v>
          </cell>
          <cell r="B196" t="str">
            <v>CENTRAL ELECTRIC</v>
          </cell>
        </row>
        <row r="197">
          <cell r="A197">
            <v>619</v>
          </cell>
          <cell r="B197" t="str">
            <v>PEORIA ELEC UNDERGROUND</v>
          </cell>
        </row>
        <row r="198">
          <cell r="A198">
            <v>620</v>
          </cell>
          <cell r="B198" t="str">
            <v>REG &amp; PRESSURE SERV-CIL INVALD</v>
          </cell>
        </row>
        <row r="199">
          <cell r="A199">
            <v>621</v>
          </cell>
          <cell r="B199" t="str">
            <v>GAS STORAGE FIELDS-CIL INVALID</v>
          </cell>
        </row>
        <row r="200">
          <cell r="A200">
            <v>622</v>
          </cell>
          <cell r="B200" t="str">
            <v>GAS DIV - CNTL DISPT-CIL INVLD</v>
          </cell>
        </row>
        <row r="201">
          <cell r="A201">
            <v>623</v>
          </cell>
          <cell r="B201" t="str">
            <v>GAS CORP METER-CIL INVALID</v>
          </cell>
        </row>
        <row r="202">
          <cell r="A202">
            <v>624</v>
          </cell>
          <cell r="B202" t="str">
            <v>PEORIA GAS SERVICE</v>
          </cell>
        </row>
        <row r="203">
          <cell r="A203">
            <v>625</v>
          </cell>
          <cell r="B203" t="str">
            <v>GAS CORP SERV DISPAT-CIL INVAL</v>
          </cell>
        </row>
        <row r="204">
          <cell r="A204">
            <v>626</v>
          </cell>
          <cell r="B204" t="str">
            <v>LDU - COMPL &amp; RECD-CIL INVALID</v>
          </cell>
        </row>
        <row r="205">
          <cell r="A205">
            <v>627</v>
          </cell>
          <cell r="B205" t="str">
            <v>CORP MOBILE COMM-CIL-INVALID</v>
          </cell>
        </row>
        <row r="206">
          <cell r="A206">
            <v>628</v>
          </cell>
          <cell r="B206" t="str">
            <v>PEORIA GAS CONSTRUCTION</v>
          </cell>
        </row>
        <row r="207">
          <cell r="A207">
            <v>629</v>
          </cell>
          <cell r="B207" t="str">
            <v>DISTRIBUTION OPERATING-Peoria</v>
          </cell>
        </row>
        <row r="208">
          <cell r="A208">
            <v>630</v>
          </cell>
          <cell r="B208" t="str">
            <v>PEORIA MTR READING-CIL-INVALID</v>
          </cell>
        </row>
        <row r="209">
          <cell r="A209">
            <v>631</v>
          </cell>
          <cell r="B209" t="str">
            <v>EDU FINANCE &amp; ADMN-CIL-INVALID</v>
          </cell>
        </row>
        <row r="210">
          <cell r="A210">
            <v>632</v>
          </cell>
          <cell r="B210" t="str">
            <v>CSF - IT FIELD OPERATIONS</v>
          </cell>
        </row>
        <row r="211">
          <cell r="A211">
            <v>633</v>
          </cell>
          <cell r="B211" t="str">
            <v>CRP RATES-REG AFFS-CIL-INVALID</v>
          </cell>
        </row>
        <row r="212">
          <cell r="A212">
            <v>634</v>
          </cell>
          <cell r="B212" t="str">
            <v>CUST ACCTG &amp; REV PROT - IL</v>
          </cell>
        </row>
        <row r="213">
          <cell r="A213">
            <v>635</v>
          </cell>
          <cell r="B213" t="str">
            <v>ALT - CIL</v>
          </cell>
        </row>
        <row r="214">
          <cell r="A214">
            <v>636</v>
          </cell>
          <cell r="B214" t="str">
            <v>MKTG &amp; SALES ADMIN-CIL-INVALID</v>
          </cell>
        </row>
        <row r="215">
          <cell r="A215">
            <v>637</v>
          </cell>
          <cell r="B215" t="str">
            <v>KEY ACCOUNTS - IL</v>
          </cell>
        </row>
        <row r="216">
          <cell r="A216">
            <v>638</v>
          </cell>
          <cell r="B216" t="str">
            <v>CRP LEGI &amp; PUB AFF-CIL-INVALID</v>
          </cell>
        </row>
        <row r="217">
          <cell r="A217">
            <v>639</v>
          </cell>
          <cell r="B217" t="str">
            <v>CUSTOMER CONTACT CENTER - IL</v>
          </cell>
        </row>
        <row r="218">
          <cell r="A218">
            <v>641</v>
          </cell>
          <cell r="B218" t="str">
            <v>CORPORATE MARKETG-CIL-INVALID</v>
          </cell>
        </row>
        <row r="219">
          <cell r="A219">
            <v>642</v>
          </cell>
          <cell r="B219" t="str">
            <v>CILCO ENERGY TRADING-INVALID</v>
          </cell>
        </row>
        <row r="220">
          <cell r="A220">
            <v>643</v>
          </cell>
          <cell r="B220" t="str">
            <v>HALLOCK POWER MODULES</v>
          </cell>
        </row>
        <row r="221">
          <cell r="A221">
            <v>644</v>
          </cell>
          <cell r="B221" t="str">
            <v>KICKAPOO POWER MODULES</v>
          </cell>
        </row>
        <row r="222">
          <cell r="A222">
            <v>646</v>
          </cell>
          <cell r="B222" t="str">
            <v>CAT-MOSSVILLE POWER MODULES</v>
          </cell>
        </row>
        <row r="223">
          <cell r="A223">
            <v>647</v>
          </cell>
          <cell r="B223" t="str">
            <v>CAT-MAPLETON POWER MODULES</v>
          </cell>
        </row>
        <row r="224">
          <cell r="A224">
            <v>648</v>
          </cell>
          <cell r="B224" t="str">
            <v>TAZEWELL ALTORFER POWER MODULE</v>
          </cell>
        </row>
        <row r="225">
          <cell r="A225">
            <v>649</v>
          </cell>
          <cell r="B225" t="str">
            <v>HALLOCK ALT TMP PWR MD-INVALID</v>
          </cell>
        </row>
        <row r="226">
          <cell r="A226">
            <v>650</v>
          </cell>
          <cell r="B226" t="str">
            <v>SPFLD DIV ADMIN-CIL - INVALID</v>
          </cell>
        </row>
        <row r="227">
          <cell r="A227">
            <v>654</v>
          </cell>
          <cell r="B227" t="str">
            <v>WORK STOPPAGE-CIL-INVALID</v>
          </cell>
        </row>
        <row r="228">
          <cell r="A228">
            <v>664</v>
          </cell>
          <cell r="B228" t="str">
            <v>GAS CENT DIST DSGN -CIL-INVALD</v>
          </cell>
        </row>
        <row r="229">
          <cell r="A229">
            <v>665</v>
          </cell>
          <cell r="B229" t="str">
            <v>INFRASERVICES - CIS - INVALID</v>
          </cell>
        </row>
        <row r="230">
          <cell r="A230">
            <v>667</v>
          </cell>
          <cell r="B230" t="str">
            <v>DIVISION III SUPT -CIL</v>
          </cell>
        </row>
        <row r="231">
          <cell r="A231">
            <v>668</v>
          </cell>
          <cell r="B231" t="str">
            <v>IL OPS ADMN DIV I II III</v>
          </cell>
        </row>
        <row r="232">
          <cell r="A232">
            <v>669</v>
          </cell>
          <cell r="B232" t="str">
            <v>DIVISION I SUPPORT STAFF</v>
          </cell>
        </row>
        <row r="233">
          <cell r="A233">
            <v>670</v>
          </cell>
          <cell r="B233" t="str">
            <v>STERLING AVENUE CTG</v>
          </cell>
        </row>
        <row r="234">
          <cell r="A234">
            <v>671</v>
          </cell>
          <cell r="B234" t="str">
            <v>ALT - ARG</v>
          </cell>
        </row>
        <row r="235">
          <cell r="A235">
            <v>680</v>
          </cell>
          <cell r="B235" t="str">
            <v>GENERATION PRECISION QLTY MGMT</v>
          </cell>
        </row>
        <row r="236">
          <cell r="A236">
            <v>802</v>
          </cell>
          <cell r="B236" t="str">
            <v>NUCL - ENG PI - PERF IMPROVE</v>
          </cell>
        </row>
        <row r="237">
          <cell r="A237">
            <v>803</v>
          </cell>
          <cell r="B237" t="str">
            <v>NUCL - PROBABILISTIC RISK ASMT</v>
          </cell>
        </row>
        <row r="238">
          <cell r="A238">
            <v>805</v>
          </cell>
          <cell r="B238" t="str">
            <v>NUCL - BUDGET - COST MGMT</v>
          </cell>
        </row>
        <row r="239">
          <cell r="A239">
            <v>806</v>
          </cell>
          <cell r="B239" t="str">
            <v>NUCL - FUELS</v>
          </cell>
        </row>
        <row r="240">
          <cell r="A240">
            <v>807</v>
          </cell>
          <cell r="B240" t="str">
            <v>CA - SYSTEMS ENGINEERING</v>
          </cell>
        </row>
        <row r="241">
          <cell r="A241">
            <v>808</v>
          </cell>
          <cell r="B241" t="str">
            <v>CA - SYSTEMS ENGINRING INVALID</v>
          </cell>
        </row>
        <row r="242">
          <cell r="A242" t="str">
            <v>01C</v>
          </cell>
          <cell r="B242" t="str">
            <v>STRATEGIC INITIATIVES</v>
          </cell>
        </row>
        <row r="243">
          <cell r="A243" t="str">
            <v>01Z</v>
          </cell>
          <cell r="B243" t="str">
            <v>UE GENERATION-VACANCY FACTOR</v>
          </cell>
        </row>
        <row r="244">
          <cell r="A244" t="str">
            <v>02A</v>
          </cell>
          <cell r="B244" t="str">
            <v>RESOURCE POOL</v>
          </cell>
        </row>
        <row r="245">
          <cell r="A245" t="str">
            <v>02B</v>
          </cell>
          <cell r="B245" t="str">
            <v>CONTRACT PERSONNEL</v>
          </cell>
        </row>
        <row r="246">
          <cell r="A246" t="str">
            <v>02C</v>
          </cell>
          <cell r="B246" t="str">
            <v>EDTS CONSTRUCTION SVCS</v>
          </cell>
        </row>
        <row r="247">
          <cell r="A247" t="str">
            <v>02E</v>
          </cell>
          <cell r="B247" t="str">
            <v>HR - STAFFING</v>
          </cell>
        </row>
        <row r="248">
          <cell r="A248" t="str">
            <v>02F</v>
          </cell>
          <cell r="B248" t="str">
            <v>VEGETATION MGT - IL</v>
          </cell>
        </row>
        <row r="249">
          <cell r="A249" t="str">
            <v>02H</v>
          </cell>
          <cell r="B249" t="str">
            <v>HR - OPERATIONS &amp; COMPLIANCE</v>
          </cell>
        </row>
        <row r="250">
          <cell r="A250" t="str">
            <v>02N</v>
          </cell>
          <cell r="B250" t="str">
            <v>CREDIT &amp; COLLECTIONS - IL</v>
          </cell>
        </row>
        <row r="251">
          <cell r="A251" t="str">
            <v>02P</v>
          </cell>
          <cell r="B251" t="str">
            <v>HR - TOTAL REWARDS</v>
          </cell>
        </row>
        <row r="252">
          <cell r="A252" t="str">
            <v>02Q</v>
          </cell>
          <cell r="B252" t="str">
            <v>INVALID BUDGET</v>
          </cell>
        </row>
        <row r="253">
          <cell r="A253" t="str">
            <v>02R</v>
          </cell>
          <cell r="B253" t="str">
            <v>HR - DIVERSITY</v>
          </cell>
        </row>
        <row r="254">
          <cell r="A254" t="str">
            <v>02T</v>
          </cell>
          <cell r="B254" t="str">
            <v>HR -ORGANIZATION EFFECTIVENESS</v>
          </cell>
        </row>
        <row r="255">
          <cell r="A255" t="str">
            <v>02V</v>
          </cell>
          <cell r="B255" t="str">
            <v>EMPLOYEE COMMUNICATIONS</v>
          </cell>
        </row>
        <row r="256">
          <cell r="A256" t="str">
            <v>02Z</v>
          </cell>
          <cell r="B256" t="str">
            <v>CUSTOMER SVC VACANCY FACTOR</v>
          </cell>
        </row>
        <row r="257">
          <cell r="A257" t="str">
            <v>03A</v>
          </cell>
          <cell r="B257" t="str">
            <v>METER READING - AMS</v>
          </cell>
        </row>
        <row r="258">
          <cell r="A258" t="str">
            <v>03B</v>
          </cell>
          <cell r="B258" t="str">
            <v>TRANSMISSION - CIL</v>
          </cell>
        </row>
        <row r="259">
          <cell r="A259" t="str">
            <v>03C</v>
          </cell>
          <cell r="B259" t="str">
            <v>TRANSMISSION - CIP</v>
          </cell>
        </row>
        <row r="260">
          <cell r="A260" t="str">
            <v>03D</v>
          </cell>
          <cell r="B260" t="str">
            <v>SUB MTCE &amp; CONST - IL EAST</v>
          </cell>
        </row>
        <row r="261">
          <cell r="A261" t="str">
            <v>03F</v>
          </cell>
          <cell r="B261" t="str">
            <v>SUB MTCE &amp; CONST - UEC SOUTH</v>
          </cell>
        </row>
        <row r="262">
          <cell r="A262" t="str">
            <v>03H</v>
          </cell>
          <cell r="B262" t="str">
            <v>SUB MTCE &amp; CONST - UEC WEST</v>
          </cell>
        </row>
        <row r="263">
          <cell r="A263" t="str">
            <v>03M</v>
          </cell>
          <cell r="B263" t="str">
            <v>SUB MTCE &amp; CONST - ENG &amp; ADMIN</v>
          </cell>
        </row>
        <row r="264">
          <cell r="A264" t="str">
            <v>03T</v>
          </cell>
          <cell r="B264" t="str">
            <v>TRANSMISSION - AMS</v>
          </cell>
        </row>
        <row r="265">
          <cell r="A265" t="str">
            <v>03U</v>
          </cell>
          <cell r="B265" t="str">
            <v>METER SERVICES - CIP</v>
          </cell>
        </row>
        <row r="266">
          <cell r="A266" t="str">
            <v>03V</v>
          </cell>
          <cell r="B266" t="str">
            <v>DISTRIBUTION SVCS - AMS</v>
          </cell>
        </row>
        <row r="267">
          <cell r="A267" t="str">
            <v>03W</v>
          </cell>
          <cell r="B267" t="str">
            <v>CUSTOMER SERVICE AMS</v>
          </cell>
        </row>
        <row r="268">
          <cell r="A268" t="str">
            <v>03Z</v>
          </cell>
          <cell r="B268" t="str">
            <v>MISSOURI VAC FACTOR</v>
          </cell>
        </row>
        <row r="269">
          <cell r="A269" t="str">
            <v>04C</v>
          </cell>
          <cell r="B269" t="str">
            <v>FINANCIAL COMMUNICATIONS</v>
          </cell>
        </row>
        <row r="270">
          <cell r="A270" t="str">
            <v>04N</v>
          </cell>
          <cell r="B270" t="str">
            <v>INVALID BUDGET</v>
          </cell>
        </row>
        <row r="271">
          <cell r="A271" t="str">
            <v>04R</v>
          </cell>
          <cell r="B271" t="str">
            <v>REGULATORY ACCOUNTING</v>
          </cell>
        </row>
        <row r="272">
          <cell r="A272" t="str">
            <v>05A</v>
          </cell>
          <cell r="B272" t="str">
            <v>INTERNAL AUDIT</v>
          </cell>
        </row>
        <row r="273">
          <cell r="A273" t="str">
            <v>05B</v>
          </cell>
          <cell r="B273" t="str">
            <v>CORPORATE BUDGETING</v>
          </cell>
        </row>
        <row r="274">
          <cell r="A274" t="str">
            <v>05E</v>
          </cell>
          <cell r="B274" t="str">
            <v>PERFORMANCE MANAGEMENT</v>
          </cell>
        </row>
        <row r="275">
          <cell r="A275" t="str">
            <v>05F</v>
          </cell>
          <cell r="B275" t="str">
            <v>FINANCIAL FORECASTING</v>
          </cell>
        </row>
        <row r="276">
          <cell r="A276" t="str">
            <v>05H</v>
          </cell>
          <cell r="B276" t="str">
            <v>HR - BUSINESS SERVICES</v>
          </cell>
        </row>
        <row r="277">
          <cell r="A277" t="str">
            <v>05J</v>
          </cell>
          <cell r="B277" t="str">
            <v>GATEWAY SUPPORT STAFF</v>
          </cell>
        </row>
        <row r="278">
          <cell r="A278" t="str">
            <v>05M</v>
          </cell>
          <cell r="B278" t="str">
            <v>STOREROOMS-AMS</v>
          </cell>
        </row>
        <row r="279">
          <cell r="A279" t="str">
            <v>05N</v>
          </cell>
          <cell r="B279" t="str">
            <v>STOREROOMS-IL</v>
          </cell>
        </row>
        <row r="280">
          <cell r="A280" t="str">
            <v>05P</v>
          </cell>
          <cell r="B280" t="str">
            <v>INVALID BUDGET</v>
          </cell>
        </row>
        <row r="281">
          <cell r="A281" t="str">
            <v>05Q</v>
          </cell>
          <cell r="B281" t="str">
            <v>PIONEER PARK WRHSE-CIL-INVALID</v>
          </cell>
        </row>
        <row r="282">
          <cell r="A282" t="str">
            <v>05R</v>
          </cell>
          <cell r="B282" t="str">
            <v>AMEREN CILCO STORES</v>
          </cell>
        </row>
        <row r="283">
          <cell r="A283" t="str">
            <v>05T</v>
          </cell>
          <cell r="B283" t="str">
            <v>TAX</v>
          </cell>
        </row>
        <row r="284">
          <cell r="A284" t="str">
            <v>06A</v>
          </cell>
          <cell r="B284" t="str">
            <v>INF - INSERTING &amp; MAIL DELIVRY</v>
          </cell>
        </row>
        <row r="285">
          <cell r="A285" t="str">
            <v>06B</v>
          </cell>
          <cell r="B285" t="str">
            <v>INF - ENTERPRISE COMPUTING SVC</v>
          </cell>
        </row>
        <row r="286">
          <cell r="A286" t="str">
            <v>06C</v>
          </cell>
          <cell r="B286" t="str">
            <v>INF - STL CENTRAL SERVER OPS</v>
          </cell>
        </row>
        <row r="287">
          <cell r="A287" t="str">
            <v>06D</v>
          </cell>
          <cell r="B287" t="str">
            <v>SCP - SECURITY</v>
          </cell>
        </row>
        <row r="288">
          <cell r="A288" t="str">
            <v>06E</v>
          </cell>
          <cell r="B288" t="str">
            <v>SCP - DATA MANAGEMENT</v>
          </cell>
        </row>
        <row r="289">
          <cell r="A289" t="str">
            <v>06F</v>
          </cell>
          <cell r="B289" t="str">
            <v>INF - ENTERPRISE STORAGE</v>
          </cell>
        </row>
        <row r="290">
          <cell r="A290" t="str">
            <v>06G</v>
          </cell>
          <cell r="B290" t="str">
            <v>INF - MVS SYSTEMS</v>
          </cell>
        </row>
        <row r="291">
          <cell r="A291" t="str">
            <v>06H</v>
          </cell>
          <cell r="B291" t="str">
            <v>NEO - ENTERPRISE NETWORKING</v>
          </cell>
        </row>
        <row r="292">
          <cell r="A292" t="str">
            <v>06J</v>
          </cell>
          <cell r="B292" t="str">
            <v>CSF - ASC CUSTOMER SVCS</v>
          </cell>
        </row>
        <row r="293">
          <cell r="A293" t="str">
            <v>06K</v>
          </cell>
          <cell r="B293" t="str">
            <v>INVALID - ENTERPRISE ARCHITECT</v>
          </cell>
        </row>
        <row r="294">
          <cell r="A294" t="str">
            <v>06M</v>
          </cell>
          <cell r="B294" t="str">
            <v>CSF - TELECOM FIELD OPS</v>
          </cell>
        </row>
        <row r="295">
          <cell r="A295" t="str">
            <v>06P</v>
          </cell>
          <cell r="B295" t="str">
            <v>INVALID - BUSINESS CONTINUITY</v>
          </cell>
        </row>
        <row r="296">
          <cell r="A296" t="str">
            <v>06Q</v>
          </cell>
          <cell r="B296" t="str">
            <v>CSF - TRAINING SERVICES</v>
          </cell>
        </row>
        <row r="297">
          <cell r="A297" t="str">
            <v>06R</v>
          </cell>
          <cell r="B297" t="str">
            <v>CSF - SECURITY PROVISIONING</v>
          </cell>
        </row>
        <row r="298">
          <cell r="A298" t="str">
            <v>06T</v>
          </cell>
          <cell r="B298" t="str">
            <v>NEO - MOBILE &amp; SCADA COMM</v>
          </cell>
        </row>
        <row r="299">
          <cell r="A299" t="str">
            <v>06U</v>
          </cell>
          <cell r="B299" t="str">
            <v>NEO - NETWORK OPERATIONS</v>
          </cell>
        </row>
        <row r="300">
          <cell r="A300" t="str">
            <v>06Z</v>
          </cell>
          <cell r="B300" t="str">
            <v>EDTS VACANCY FACTOR</v>
          </cell>
        </row>
        <row r="301">
          <cell r="A301" t="str">
            <v>07C</v>
          </cell>
          <cell r="B301" t="str">
            <v>FLEET SVCS - CIL</v>
          </cell>
        </row>
        <row r="302">
          <cell r="A302" t="str">
            <v>07G</v>
          </cell>
          <cell r="B302" t="str">
            <v>FLEET SERVICES - GEN - INVALID</v>
          </cell>
        </row>
        <row r="303">
          <cell r="A303" t="str">
            <v>07M</v>
          </cell>
          <cell r="B303" t="str">
            <v>STRATEGIC SOURCING</v>
          </cell>
        </row>
        <row r="304">
          <cell r="A304" t="str">
            <v>07N</v>
          </cell>
          <cell r="B304" t="str">
            <v>BUILDING SERVICES-IL</v>
          </cell>
        </row>
        <row r="305">
          <cell r="A305" t="str">
            <v>07P</v>
          </cell>
          <cell r="B305" t="str">
            <v>FLEET SVCS -  CIP</v>
          </cell>
        </row>
        <row r="306">
          <cell r="A306" t="str">
            <v>07Q</v>
          </cell>
          <cell r="B306" t="str">
            <v>RISK MANAGEMENT</v>
          </cell>
        </row>
        <row r="307">
          <cell r="A307" t="str">
            <v>07R</v>
          </cell>
          <cell r="B307" t="str">
            <v>FINANCIAL PLANNING &amp; INSURANCE</v>
          </cell>
        </row>
        <row r="308">
          <cell r="A308" t="str">
            <v>07T</v>
          </cell>
          <cell r="B308" t="str">
            <v>FLEET SVCS - AMS</v>
          </cell>
        </row>
        <row r="309">
          <cell r="A309" t="str">
            <v>07V</v>
          </cell>
          <cell r="B309" t="str">
            <v>BUILDING SERVICES-AMS</v>
          </cell>
        </row>
        <row r="310">
          <cell r="A310" t="str">
            <v>07W</v>
          </cell>
          <cell r="B310" t="str">
            <v>BLDG SVCS-CIL</v>
          </cell>
        </row>
        <row r="311">
          <cell r="A311" t="str">
            <v>07X</v>
          </cell>
          <cell r="B311" t="str">
            <v>PERSIMMON BUILDINGS-CIL</v>
          </cell>
        </row>
        <row r="312">
          <cell r="A312" t="str">
            <v>08C</v>
          </cell>
          <cell r="B312" t="str">
            <v>CUSTOMER SERVICE SYSTEM</v>
          </cell>
        </row>
        <row r="313">
          <cell r="A313" t="str">
            <v>08M</v>
          </cell>
          <cell r="B313" t="str">
            <v>Invalid RMC</v>
          </cell>
        </row>
        <row r="314">
          <cell r="A314" t="str">
            <v>08N</v>
          </cell>
          <cell r="B314" t="str">
            <v>CUSTOMER SVC CTR - CIP INVALID</v>
          </cell>
        </row>
        <row r="315">
          <cell r="A315" t="str">
            <v>08P</v>
          </cell>
          <cell r="B315" t="str">
            <v>SUPPLY CHAIN PROCESS &amp; PERFORM</v>
          </cell>
        </row>
        <row r="316">
          <cell r="A316" t="str">
            <v>09C</v>
          </cell>
          <cell r="B316" t="str">
            <v>EDTS DRAFTING</v>
          </cell>
        </row>
        <row r="317">
          <cell r="A317" t="str">
            <v>09D</v>
          </cell>
          <cell r="B317" t="str">
            <v>TRANSMISSION POLICY</v>
          </cell>
        </row>
        <row r="318">
          <cell r="A318" t="str">
            <v>09E</v>
          </cell>
          <cell r="B318" t="str">
            <v>ELECTRICAL ENGINEERING</v>
          </cell>
        </row>
        <row r="319">
          <cell r="A319" t="str">
            <v>09F</v>
          </cell>
          <cell r="B319" t="str">
            <v>OPERATIONS ANALYSIS - INVALID</v>
          </cell>
        </row>
        <row r="320">
          <cell r="A320" t="str">
            <v>09G</v>
          </cell>
          <cell r="B320" t="str">
            <v>GENERATION PROJECTS - GEN</v>
          </cell>
        </row>
        <row r="321">
          <cell r="A321" t="str">
            <v>09H</v>
          </cell>
          <cell r="B321" t="str">
            <v>DAM SAFETY &amp; HYDRO ENGINEERING</v>
          </cell>
        </row>
        <row r="322">
          <cell r="A322" t="str">
            <v>09M</v>
          </cell>
          <cell r="B322" t="str">
            <v>GENERATION PROJECT ENGINEERING</v>
          </cell>
        </row>
        <row r="323">
          <cell r="A323" t="str">
            <v>09P</v>
          </cell>
          <cell r="B323" t="str">
            <v>ELECTRIC PLANNING</v>
          </cell>
        </row>
        <row r="324">
          <cell r="A324" t="str">
            <v>09Q</v>
          </cell>
          <cell r="B324" t="str">
            <v>GENERATION PROJECT SVCS &amp; BUD</v>
          </cell>
        </row>
        <row r="325">
          <cell r="A325" t="str">
            <v>09R</v>
          </cell>
          <cell r="B325" t="str">
            <v>INVALID BUDGET</v>
          </cell>
        </row>
        <row r="326">
          <cell r="A326" t="str">
            <v>09T</v>
          </cell>
          <cell r="B326" t="str">
            <v>COMMERCIAL OPERATIONS SUPPORT</v>
          </cell>
        </row>
        <row r="327">
          <cell r="A327" t="str">
            <v>09V</v>
          </cell>
          <cell r="B327" t="str">
            <v>NEW GEN &amp; ENV PRJTS &amp; BUD</v>
          </cell>
        </row>
        <row r="328">
          <cell r="A328" t="str">
            <v>09W</v>
          </cell>
          <cell r="B328" t="str">
            <v>GENERATION PROJECT MANAGEMENT</v>
          </cell>
        </row>
        <row r="329">
          <cell r="A329" t="str">
            <v>0CG</v>
          </cell>
          <cell r="B329" t="str">
            <v>CAPE GIRARDEAU</v>
          </cell>
        </row>
        <row r="330">
          <cell r="A330" t="str">
            <v>0CS</v>
          </cell>
          <cell r="B330" t="str">
            <v>SEMO SUPPORT STAFF</v>
          </cell>
        </row>
        <row r="331">
          <cell r="A331" t="str">
            <v>0DX</v>
          </cell>
          <cell r="B331" t="str">
            <v>DEXTER</v>
          </cell>
        </row>
        <row r="332">
          <cell r="A332" t="str">
            <v>0G1</v>
          </cell>
          <cell r="B332" t="str">
            <v>GAS TECH SERVICES CIP</v>
          </cell>
        </row>
        <row r="333">
          <cell r="A333" t="str">
            <v>0G2</v>
          </cell>
          <cell r="B333" t="str">
            <v>GAS TECH SERVICES AMS</v>
          </cell>
        </row>
        <row r="334">
          <cell r="A334" t="str">
            <v>0G3</v>
          </cell>
          <cell r="B334" t="str">
            <v>GAS TECH SERVICES UEC</v>
          </cell>
        </row>
        <row r="335">
          <cell r="A335" t="str">
            <v>0G4</v>
          </cell>
          <cell r="B335" t="str">
            <v>GAS TECH SERVICES CIL</v>
          </cell>
        </row>
        <row r="336">
          <cell r="A336" t="str">
            <v>0G5</v>
          </cell>
          <cell r="B336" t="str">
            <v>GAS TECH SERVICES IPC</v>
          </cell>
        </row>
        <row r="337">
          <cell r="A337" t="str">
            <v>0G6</v>
          </cell>
          <cell r="B337" t="str">
            <v>GAS STORAGE</v>
          </cell>
        </row>
        <row r="338">
          <cell r="A338" t="str">
            <v>0G7</v>
          </cell>
          <cell r="B338" t="str">
            <v>GAS TRAINING &amp; COMPLIANCE</v>
          </cell>
        </row>
        <row r="339">
          <cell r="A339" t="str">
            <v>0HA</v>
          </cell>
          <cell r="B339" t="str">
            <v>HAYTI</v>
          </cell>
        </row>
        <row r="340">
          <cell r="A340" t="str">
            <v>0PM</v>
          </cell>
          <cell r="B340" t="str">
            <v>EDTS ENGINEERING SVCS</v>
          </cell>
        </row>
        <row r="341">
          <cell r="A341" t="str">
            <v>0PT</v>
          </cell>
          <cell r="B341" t="str">
            <v>POTOSI</v>
          </cell>
        </row>
        <row r="342">
          <cell r="A342" t="str">
            <v>12E</v>
          </cell>
          <cell r="B342" t="str">
            <v>INVALID BUDGET</v>
          </cell>
        </row>
        <row r="343">
          <cell r="A343" t="str">
            <v>12R</v>
          </cell>
          <cell r="B343" t="str">
            <v>INVALID BUDGET</v>
          </cell>
        </row>
        <row r="344">
          <cell r="A344" t="str">
            <v>1EB</v>
          </cell>
          <cell r="B344" t="str">
            <v>INVALID - EBUSINESS DEVELOPMT</v>
          </cell>
        </row>
        <row r="345">
          <cell r="A345" t="str">
            <v>1GL</v>
          </cell>
          <cell r="B345" t="str">
            <v>GILMAN</v>
          </cell>
        </row>
        <row r="346">
          <cell r="A346" t="str">
            <v>1PA</v>
          </cell>
          <cell r="B346" t="str">
            <v>PAXTON</v>
          </cell>
        </row>
        <row r="347">
          <cell r="A347" t="str">
            <v>1PS</v>
          </cell>
          <cell r="B347" t="str">
            <v>PAXTON SUPPORT STAFF-INVALID</v>
          </cell>
        </row>
        <row r="348">
          <cell r="A348" t="str">
            <v>24Z</v>
          </cell>
          <cell r="B348" t="str">
            <v>VAC FACTOR IL DIV IV V VI VII</v>
          </cell>
        </row>
        <row r="349">
          <cell r="A349" t="str">
            <v>29C</v>
          </cell>
          <cell r="B349" t="str">
            <v>COMMUNITY RELATIONS MO</v>
          </cell>
        </row>
        <row r="350">
          <cell r="A350" t="str">
            <v>29D</v>
          </cell>
          <cell r="B350" t="str">
            <v>IL COMMTY REL - PBLC AFFAIRS</v>
          </cell>
        </row>
        <row r="351">
          <cell r="A351" t="str">
            <v>29R</v>
          </cell>
          <cell r="B351" t="str">
            <v>REGULATORY POLICY</v>
          </cell>
        </row>
        <row r="352">
          <cell r="A352" t="str">
            <v>2MA</v>
          </cell>
          <cell r="B352" t="str">
            <v>MATTOON</v>
          </cell>
        </row>
        <row r="353">
          <cell r="A353" t="str">
            <v>2MS</v>
          </cell>
          <cell r="B353" t="str">
            <v>DIVISION IV SUPPORT STAFF</v>
          </cell>
        </row>
        <row r="354">
          <cell r="A354" t="str">
            <v>2NP</v>
          </cell>
          <cell r="B354" t="str">
            <v>NORTH PANA</v>
          </cell>
        </row>
        <row r="355">
          <cell r="A355" t="str">
            <v>2PR</v>
          </cell>
          <cell r="B355" t="str">
            <v>PARIS - INVALID</v>
          </cell>
        </row>
        <row r="356">
          <cell r="A356" t="str">
            <v>2TU</v>
          </cell>
          <cell r="B356" t="str">
            <v>TUSCOLA</v>
          </cell>
        </row>
        <row r="357">
          <cell r="A357" t="str">
            <v>3EF</v>
          </cell>
          <cell r="B357" t="str">
            <v>EFFINGHAM</v>
          </cell>
        </row>
        <row r="358">
          <cell r="A358" t="str">
            <v>3MS</v>
          </cell>
          <cell r="B358" t="str">
            <v>DIVISION V SUPPORT STAFF</v>
          </cell>
        </row>
        <row r="359">
          <cell r="A359" t="str">
            <v>3OL</v>
          </cell>
          <cell r="B359" t="str">
            <v>OLNEY</v>
          </cell>
        </row>
        <row r="360">
          <cell r="A360" t="str">
            <v>3OS</v>
          </cell>
          <cell r="B360" t="str">
            <v>OLNEY SUPPORT STAFF-INVALID</v>
          </cell>
        </row>
        <row r="361">
          <cell r="A361" t="str">
            <v>3RB</v>
          </cell>
          <cell r="B361" t="str">
            <v>ROBINSON</v>
          </cell>
        </row>
        <row r="362">
          <cell r="A362" t="str">
            <v>40A</v>
          </cell>
          <cell r="B362" t="str">
            <v>GENERATN CONST MGMT SVCS &amp; BUD</v>
          </cell>
        </row>
        <row r="363">
          <cell r="A363" t="str">
            <v>40B</v>
          </cell>
          <cell r="B363" t="str">
            <v>GENERATION OUTAGE MGMT SVCS</v>
          </cell>
        </row>
        <row r="364">
          <cell r="A364" t="str">
            <v>40C</v>
          </cell>
          <cell r="B364" t="str">
            <v>GENERATION PWR PLT MAINTENANCE</v>
          </cell>
        </row>
        <row r="365">
          <cell r="A365" t="str">
            <v>40D</v>
          </cell>
          <cell r="B365" t="str">
            <v>GENERATION MAINT ENG</v>
          </cell>
        </row>
        <row r="366">
          <cell r="A366" t="str">
            <v>40E</v>
          </cell>
          <cell r="B366" t="str">
            <v>GENERATION TRAIN &amp; DEV SRVCS</v>
          </cell>
        </row>
        <row r="367">
          <cell r="A367" t="str">
            <v>40G</v>
          </cell>
          <cell r="B367" t="str">
            <v>GENERATION CORRECTIVE ACTION</v>
          </cell>
        </row>
        <row r="368">
          <cell r="A368" t="str">
            <v>44A</v>
          </cell>
          <cell r="B368" t="str">
            <v>OSAGE PLANT GENERAL &amp; BUD</v>
          </cell>
        </row>
        <row r="369">
          <cell r="A369" t="str">
            <v>44B</v>
          </cell>
          <cell r="B369" t="str">
            <v>OSAGE PLANT OPERATIONS&amp;ENGINEERING</v>
          </cell>
        </row>
        <row r="370">
          <cell r="A370" t="str">
            <v>44C</v>
          </cell>
          <cell r="B370" t="str">
            <v>OSAGE PLANT MAINTENANCE</v>
          </cell>
        </row>
        <row r="371">
          <cell r="A371" t="str">
            <v>45C</v>
          </cell>
          <cell r="B371" t="str">
            <v>ED FINANCIAL SUPPRT &amp; ANALYSIS</v>
          </cell>
        </row>
        <row r="372">
          <cell r="A372" t="str">
            <v>45P</v>
          </cell>
          <cell r="B372" t="str">
            <v>ED ORDER PROCESSING-UE-INVALID</v>
          </cell>
        </row>
        <row r="373">
          <cell r="A373" t="str">
            <v>45Z</v>
          </cell>
          <cell r="B373" t="str">
            <v>BUSINESS SERVICES - VAC FACTOR</v>
          </cell>
        </row>
        <row r="374">
          <cell r="A374" t="str">
            <v>46A</v>
          </cell>
          <cell r="B374" t="str">
            <v>TAUM SAUK PLANT GENERAL &amp; BUD</v>
          </cell>
        </row>
        <row r="375">
          <cell r="A375" t="str">
            <v>46B</v>
          </cell>
          <cell r="B375" t="str">
            <v>TAUM SAUK OPERATIONS&amp;ENGINEERING</v>
          </cell>
        </row>
        <row r="376">
          <cell r="A376" t="str">
            <v>46C</v>
          </cell>
          <cell r="B376" t="str">
            <v>TAUM SAUK PLANT MAINTENANCE</v>
          </cell>
        </row>
        <row r="377">
          <cell r="A377" t="str">
            <v>48Z</v>
          </cell>
          <cell r="B377" t="str">
            <v>VAC FACTOR IL DIV I II III</v>
          </cell>
        </row>
        <row r="378">
          <cell r="A378" t="str">
            <v>49A</v>
          </cell>
          <cell r="B378" t="str">
            <v>ESH - AIR</v>
          </cell>
        </row>
        <row r="379">
          <cell r="A379" t="str">
            <v>49B</v>
          </cell>
          <cell r="B379" t="str">
            <v>ESH - WASTE</v>
          </cell>
        </row>
        <row r="380">
          <cell r="A380" t="str">
            <v>49C</v>
          </cell>
          <cell r="B380" t="str">
            <v>ESH - WATER</v>
          </cell>
        </row>
        <row r="381">
          <cell r="A381" t="str">
            <v>49D</v>
          </cell>
          <cell r="B381" t="str">
            <v>ESH - SAFETY &amp; HEALTH</v>
          </cell>
        </row>
        <row r="382">
          <cell r="A382" t="str">
            <v>4AN</v>
          </cell>
          <cell r="B382" t="str">
            <v>ANNA</v>
          </cell>
        </row>
        <row r="383">
          <cell r="A383" t="str">
            <v>4AP</v>
          </cell>
          <cell r="B383" t="str">
            <v>ACCOUNTS PAYABLE</v>
          </cell>
        </row>
        <row r="384">
          <cell r="A384" t="str">
            <v>4BE</v>
          </cell>
          <cell r="B384" t="str">
            <v>BENTON</v>
          </cell>
        </row>
        <row r="385">
          <cell r="A385" t="str">
            <v>4BV</v>
          </cell>
          <cell r="B385" t="str">
            <v>BOONVILLE</v>
          </cell>
        </row>
        <row r="386">
          <cell r="A386" t="str">
            <v>4CA</v>
          </cell>
          <cell r="B386" t="str">
            <v>CARBONDALE</v>
          </cell>
        </row>
        <row r="387">
          <cell r="A387" t="str">
            <v>4CL</v>
          </cell>
          <cell r="B387" t="str">
            <v>COLUMBIA</v>
          </cell>
        </row>
        <row r="388">
          <cell r="A388" t="str">
            <v>4GL</v>
          </cell>
          <cell r="B388" t="str">
            <v>GENERAL &amp; ASSET ACCOUNTING</v>
          </cell>
        </row>
        <row r="389">
          <cell r="A389" t="str">
            <v>4GV</v>
          </cell>
          <cell r="B389" t="str">
            <v>GRAVOIS VALLEY SUPPORT STAFF</v>
          </cell>
        </row>
        <row r="390">
          <cell r="A390" t="str">
            <v>4HA</v>
          </cell>
          <cell r="B390" t="str">
            <v>HARRISBURG</v>
          </cell>
        </row>
        <row r="391">
          <cell r="A391" t="str">
            <v>4MA</v>
          </cell>
          <cell r="B391" t="str">
            <v>MARION</v>
          </cell>
        </row>
        <row r="392">
          <cell r="A392" t="str">
            <v>4MB</v>
          </cell>
          <cell r="B392" t="str">
            <v>MOBERLY</v>
          </cell>
        </row>
        <row r="393">
          <cell r="A393" t="str">
            <v>4ME</v>
          </cell>
          <cell r="B393" t="str">
            <v>MEXICO</v>
          </cell>
        </row>
        <row r="394">
          <cell r="A394" t="str">
            <v>4MS</v>
          </cell>
          <cell r="B394" t="str">
            <v>DIVISION VII SUPPORT STAFF</v>
          </cell>
        </row>
        <row r="395">
          <cell r="A395" t="str">
            <v>4MX</v>
          </cell>
          <cell r="B395" t="str">
            <v>LITTLE DIXIE SUPPORT STAFF</v>
          </cell>
        </row>
        <row r="396">
          <cell r="A396" t="str">
            <v>4PL</v>
          </cell>
          <cell r="B396" t="str">
            <v>PLANT ACCOUNTING</v>
          </cell>
        </row>
        <row r="397">
          <cell r="A397" t="str">
            <v>4TR</v>
          </cell>
          <cell r="B397" t="str">
            <v>TWIN RIVERS SUPPORT STAFF</v>
          </cell>
        </row>
        <row r="398">
          <cell r="A398" t="str">
            <v>4TX</v>
          </cell>
          <cell r="B398" t="str">
            <v>TAX COMPLIANCE</v>
          </cell>
        </row>
        <row r="399">
          <cell r="A399" t="str">
            <v>53Z</v>
          </cell>
          <cell r="B399" t="str">
            <v>IL OPS VACANCY FACTOR</v>
          </cell>
        </row>
        <row r="400">
          <cell r="A400" t="str">
            <v>5GE</v>
          </cell>
          <cell r="B400" t="str">
            <v>GERALD - INVALID</v>
          </cell>
        </row>
        <row r="401">
          <cell r="A401" t="str">
            <v>5JE</v>
          </cell>
          <cell r="B401" t="str">
            <v>JEFFERSON CITY - INVALID</v>
          </cell>
        </row>
        <row r="402">
          <cell r="A402" t="str">
            <v>5JS</v>
          </cell>
          <cell r="B402" t="str">
            <v>CAPITAL</v>
          </cell>
        </row>
        <row r="403">
          <cell r="A403" t="str">
            <v>5VE</v>
          </cell>
          <cell r="B403" t="str">
            <v>VERSAILLES - INVALID</v>
          </cell>
        </row>
        <row r="404">
          <cell r="A404" t="str">
            <v>61A</v>
          </cell>
          <cell r="B404" t="str">
            <v>DUCK CREEK PLANT GENERAL &amp; BUD</v>
          </cell>
        </row>
        <row r="405">
          <cell r="A405" t="str">
            <v>61B</v>
          </cell>
          <cell r="B405" t="str">
            <v>DUCK CREEK PLANT OPERATIONS</v>
          </cell>
        </row>
        <row r="406">
          <cell r="A406" t="str">
            <v>61C</v>
          </cell>
          <cell r="B406" t="str">
            <v>DUCK CREEK PLANT MAINTENANCE</v>
          </cell>
        </row>
        <row r="407">
          <cell r="A407" t="str">
            <v>61D</v>
          </cell>
          <cell r="B407" t="str">
            <v>DUCK CREEK PLANT TECH SUPPORT</v>
          </cell>
        </row>
        <row r="408">
          <cell r="A408" t="str">
            <v>61E</v>
          </cell>
          <cell r="B408" t="str">
            <v>DUCK CREEK PLANT ADMIN</v>
          </cell>
        </row>
        <row r="409">
          <cell r="A409" t="str">
            <v>61F</v>
          </cell>
          <cell r="B409" t="str">
            <v>DC CTRL ROOM &amp; TURBINE-INVALID</v>
          </cell>
        </row>
        <row r="410">
          <cell r="A410" t="str">
            <v>61G</v>
          </cell>
          <cell r="B410" t="str">
            <v>DC PLANT SUPPT &amp; WHSE-INVALID</v>
          </cell>
        </row>
        <row r="411">
          <cell r="A411" t="str">
            <v>61J</v>
          </cell>
          <cell r="B411" t="str">
            <v>DC FINANCIAL &amp; ACCTG-INVALID</v>
          </cell>
        </row>
        <row r="412">
          <cell r="A412" t="str">
            <v>61K</v>
          </cell>
          <cell r="B412" t="str">
            <v>DC INTEGRATION COSTS-INVALID</v>
          </cell>
        </row>
        <row r="413">
          <cell r="A413" t="str">
            <v>61P</v>
          </cell>
          <cell r="B413" t="str">
            <v>DUCK CREEK-PLAN &amp;SCHED-INVALID</v>
          </cell>
        </row>
        <row r="414">
          <cell r="A414" t="str">
            <v>62A</v>
          </cell>
          <cell r="B414" t="str">
            <v>EDWARDS PLANT GENERAL &amp; BUD</v>
          </cell>
        </row>
        <row r="415">
          <cell r="A415" t="str">
            <v>62B</v>
          </cell>
          <cell r="B415" t="str">
            <v>EDWARDS PLANT OPERATIONS</v>
          </cell>
        </row>
        <row r="416">
          <cell r="A416" t="str">
            <v>62C</v>
          </cell>
          <cell r="B416" t="str">
            <v>EDWARDS PLANT MAINTENANCE</v>
          </cell>
        </row>
        <row r="417">
          <cell r="A417" t="str">
            <v>62D</v>
          </cell>
          <cell r="B417" t="str">
            <v>EDWARDS PLANT TECH SUPPORT</v>
          </cell>
        </row>
        <row r="418">
          <cell r="A418" t="str">
            <v>62E</v>
          </cell>
          <cell r="B418" t="str">
            <v>EDWARDS PLANT ADMINISTRATION</v>
          </cell>
        </row>
        <row r="419">
          <cell r="A419" t="str">
            <v>62F</v>
          </cell>
          <cell r="B419" t="str">
            <v>EDWARDS CTRL RM &amp; TURB-INVALID</v>
          </cell>
        </row>
        <row r="420">
          <cell r="A420" t="str">
            <v>62G</v>
          </cell>
          <cell r="B420" t="str">
            <v>EDWARDS PLANT SUPPORT-INVALID</v>
          </cell>
        </row>
        <row r="421">
          <cell r="A421" t="str">
            <v>62H</v>
          </cell>
          <cell r="B421" t="str">
            <v>EDWARDS UNIT #1-INVALID</v>
          </cell>
        </row>
        <row r="422">
          <cell r="A422" t="str">
            <v>62J</v>
          </cell>
          <cell r="B422" t="str">
            <v>EDWARDS UNIT #2-INVALID</v>
          </cell>
        </row>
        <row r="423">
          <cell r="A423" t="str">
            <v>62K</v>
          </cell>
          <cell r="B423" t="str">
            <v>EDWARDS UNIT #3-INVALID</v>
          </cell>
        </row>
        <row r="424">
          <cell r="A424" t="str">
            <v>62P</v>
          </cell>
          <cell r="B424" t="str">
            <v>E.D.EDWARD- PLN &amp; SCHD-INVALID</v>
          </cell>
        </row>
        <row r="425">
          <cell r="A425" t="str">
            <v>63A</v>
          </cell>
          <cell r="B425" t="str">
            <v>INDIAN TRAILS COGEN</v>
          </cell>
        </row>
        <row r="426">
          <cell r="A426" t="str">
            <v>64A</v>
          </cell>
          <cell r="B426" t="str">
            <v>MEDINA VALLEY COGEN</v>
          </cell>
        </row>
        <row r="427">
          <cell r="A427" t="str">
            <v>6BT</v>
          </cell>
          <cell r="B427" t="str">
            <v>BEARDSTOWN - INVALID</v>
          </cell>
        </row>
        <row r="428">
          <cell r="A428" t="str">
            <v>6MR</v>
          </cell>
          <cell r="B428" t="str">
            <v>MARION - INVALID</v>
          </cell>
        </row>
        <row r="429">
          <cell r="A429" t="str">
            <v>6MS</v>
          </cell>
          <cell r="B429" t="str">
            <v>CIPS OPS SUPPORT ADMIN - INVAL</v>
          </cell>
        </row>
        <row r="430">
          <cell r="A430" t="str">
            <v>6MT</v>
          </cell>
          <cell r="B430" t="str">
            <v>MATTOON - INVALID</v>
          </cell>
        </row>
        <row r="431">
          <cell r="A431" t="str">
            <v>78A</v>
          </cell>
          <cell r="B431" t="str">
            <v>RUSH ISLAND PLT GENERAL &amp; BUD</v>
          </cell>
        </row>
        <row r="432">
          <cell r="A432" t="str">
            <v>78B</v>
          </cell>
          <cell r="B432" t="str">
            <v>RUSH ISLAND PLANT OPERATIONS</v>
          </cell>
        </row>
        <row r="433">
          <cell r="A433" t="str">
            <v>78C</v>
          </cell>
          <cell r="B433" t="str">
            <v>RUSH ISLAND PLANT MAINTENANCE</v>
          </cell>
        </row>
        <row r="434">
          <cell r="A434" t="str">
            <v>78D</v>
          </cell>
          <cell r="B434" t="str">
            <v>RUSH ISLAND PLANT TECHNICAL SUPPORT</v>
          </cell>
        </row>
        <row r="435">
          <cell r="A435" t="str">
            <v>78E</v>
          </cell>
          <cell r="B435" t="str">
            <v>RUSH ISLAND PLANT ADMINISTRATION</v>
          </cell>
        </row>
        <row r="436">
          <cell r="A436" t="str">
            <v>79A</v>
          </cell>
          <cell r="B436" t="str">
            <v>MERAMEC PLANT GENERAL &amp; BUD</v>
          </cell>
        </row>
        <row r="437">
          <cell r="A437" t="str">
            <v>79B</v>
          </cell>
          <cell r="B437" t="str">
            <v>MERAMEC PLANT OPERATIONS</v>
          </cell>
        </row>
        <row r="438">
          <cell r="A438" t="str">
            <v>79C</v>
          </cell>
          <cell r="B438" t="str">
            <v>MERAMEC PLANT MAINTENANCE</v>
          </cell>
        </row>
        <row r="439">
          <cell r="A439" t="str">
            <v>79D</v>
          </cell>
          <cell r="B439" t="str">
            <v>MERAMEC PLANT TECHNICAL SUPPORT</v>
          </cell>
        </row>
        <row r="440">
          <cell r="A440" t="str">
            <v>79E</v>
          </cell>
          <cell r="B440" t="str">
            <v>MERAMEC PLANT ADMINISTRATION</v>
          </cell>
        </row>
        <row r="441">
          <cell r="A441" t="str">
            <v>7EX</v>
          </cell>
          <cell r="B441" t="str">
            <v>EXCELSIOR SPRINGS</v>
          </cell>
        </row>
        <row r="442">
          <cell r="A442" t="str">
            <v>7JE</v>
          </cell>
          <cell r="B442" t="str">
            <v>JERSEYVILLE</v>
          </cell>
        </row>
        <row r="443">
          <cell r="A443" t="str">
            <v>7KS</v>
          </cell>
          <cell r="B443" t="str">
            <v>GREEN HILLS SUPPORT STAFF</v>
          </cell>
        </row>
        <row r="444">
          <cell r="A444" t="str">
            <v>7KV</v>
          </cell>
          <cell r="B444" t="str">
            <v>KIRKSVILLE</v>
          </cell>
        </row>
        <row r="445">
          <cell r="A445" t="str">
            <v>7PT</v>
          </cell>
          <cell r="B445" t="str">
            <v>PITTSFIELD</v>
          </cell>
        </row>
        <row r="446">
          <cell r="A446" t="str">
            <v>7QS</v>
          </cell>
          <cell r="B446" t="str">
            <v>QUINCY SUPPORT STAFF- INVALID</v>
          </cell>
        </row>
        <row r="447">
          <cell r="A447" t="str">
            <v>7QU</v>
          </cell>
          <cell r="B447" t="str">
            <v>QUINCY</v>
          </cell>
        </row>
        <row r="448">
          <cell r="A448" t="str">
            <v>7VN</v>
          </cell>
          <cell r="B448" t="str">
            <v>VIRDEN</v>
          </cell>
        </row>
        <row r="449">
          <cell r="A449" t="str">
            <v>80A</v>
          </cell>
          <cell r="B449" t="str">
            <v>NUCL - ADMINISTRATION</v>
          </cell>
        </row>
        <row r="450">
          <cell r="A450" t="str">
            <v>80B</v>
          </cell>
          <cell r="B450" t="str">
            <v>NUCL - OPERATIONS</v>
          </cell>
        </row>
        <row r="451">
          <cell r="A451" t="str">
            <v>80C</v>
          </cell>
          <cell r="B451" t="str">
            <v>CA - QUALITY ASSURANCE INVALID</v>
          </cell>
        </row>
        <row r="452">
          <cell r="A452" t="str">
            <v>80D</v>
          </cell>
          <cell r="B452" t="str">
            <v>NUCL - MAINTENANCE I&amp;C</v>
          </cell>
        </row>
        <row r="453">
          <cell r="A453" t="str">
            <v>80E</v>
          </cell>
          <cell r="B453" t="str">
            <v>NUCL - TRAINING - OPERATIONS</v>
          </cell>
        </row>
        <row r="454">
          <cell r="A454" t="str">
            <v>80F</v>
          </cell>
          <cell r="B454" t="str">
            <v>CA - RADIATION PROTECTION RU</v>
          </cell>
        </row>
        <row r="455">
          <cell r="A455" t="str">
            <v>80G</v>
          </cell>
          <cell r="B455" t="str">
            <v>NUCL - MAINTENANCE FACILITIES</v>
          </cell>
        </row>
        <row r="456">
          <cell r="A456" t="str">
            <v>80H</v>
          </cell>
          <cell r="B456" t="str">
            <v>CA - RADIATION &amp; CHEMISTRY</v>
          </cell>
        </row>
        <row r="457">
          <cell r="A457" t="str">
            <v>80I</v>
          </cell>
          <cell r="B457" t="str">
            <v>CSF - CALLAWAY</v>
          </cell>
        </row>
        <row r="458">
          <cell r="A458" t="str">
            <v>80J</v>
          </cell>
          <cell r="B458" t="str">
            <v>CA - MAINTENANCE  RU</v>
          </cell>
        </row>
        <row r="459">
          <cell r="A459" t="str">
            <v>80K</v>
          </cell>
          <cell r="B459" t="str">
            <v>NUCL - LICENSING</v>
          </cell>
        </row>
        <row r="460">
          <cell r="A460" t="str">
            <v>80M</v>
          </cell>
          <cell r="B460" t="str">
            <v>NUCL - MATERIALS MANAGEMENT</v>
          </cell>
        </row>
        <row r="461">
          <cell r="A461" t="str">
            <v>80N</v>
          </cell>
          <cell r="B461" t="str">
            <v>NUCL - SECURITY</v>
          </cell>
        </row>
        <row r="462">
          <cell r="A462" t="str">
            <v>80P</v>
          </cell>
          <cell r="B462" t="str">
            <v>CA - GENERAL PLANT MANAGER RU</v>
          </cell>
        </row>
        <row r="463">
          <cell r="A463" t="str">
            <v>80Q</v>
          </cell>
          <cell r="B463" t="str">
            <v>NUCL- BUSINESS PLAN &amp; COMM</v>
          </cell>
        </row>
        <row r="464">
          <cell r="A464" t="str">
            <v>80R</v>
          </cell>
          <cell r="B464" t="str">
            <v>NUCL - TRAINING-RP-CHEM-ENG</v>
          </cell>
        </row>
        <row r="465">
          <cell r="A465" t="str">
            <v>80S</v>
          </cell>
          <cell r="B465" t="str">
            <v>NUCL - SAFETY</v>
          </cell>
        </row>
        <row r="466">
          <cell r="A466" t="str">
            <v>80T</v>
          </cell>
          <cell r="B466" t="str">
            <v>NUCL - TRAINING - MAINT-I&amp;C</v>
          </cell>
        </row>
        <row r="467">
          <cell r="A467" t="str">
            <v>80U</v>
          </cell>
          <cell r="B467" t="str">
            <v>CA - LICENSING RU</v>
          </cell>
        </row>
        <row r="468">
          <cell r="A468" t="str">
            <v>80V</v>
          </cell>
          <cell r="B468" t="str">
            <v>NUCL - STARS</v>
          </cell>
        </row>
        <row r="469">
          <cell r="A469" t="str">
            <v>80W</v>
          </cell>
          <cell r="B469" t="str">
            <v>NUCL - PERSONNEL DEPT</v>
          </cell>
        </row>
        <row r="470">
          <cell r="A470" t="str">
            <v>80X</v>
          </cell>
          <cell r="B470" t="str">
            <v>NUCL - NUCLEAR STAFF</v>
          </cell>
        </row>
        <row r="471">
          <cell r="A471" t="str">
            <v>80Y</v>
          </cell>
          <cell r="B471" t="str">
            <v>NUCL - TRAINING - GENERAL</v>
          </cell>
        </row>
        <row r="472">
          <cell r="A472" t="str">
            <v>80Z</v>
          </cell>
          <cell r="B472" t="str">
            <v>NUCL - VACNY FACTOR UN-IDFD</v>
          </cell>
        </row>
        <row r="473">
          <cell r="A473" t="str">
            <v>81A</v>
          </cell>
          <cell r="B473" t="str">
            <v>GENERATION QUALITY ENGINEERING</v>
          </cell>
        </row>
        <row r="474">
          <cell r="A474" t="str">
            <v>81B</v>
          </cell>
          <cell r="B474" t="str">
            <v>GENERATION CHEM ENG &amp; LAB SVCS</v>
          </cell>
        </row>
        <row r="475">
          <cell r="A475" t="str">
            <v>81C</v>
          </cell>
          <cell r="B475" t="str">
            <v>GENERATION CHEMICAL TESTING</v>
          </cell>
        </row>
        <row r="476">
          <cell r="A476" t="str">
            <v>81D</v>
          </cell>
          <cell r="B476" t="str">
            <v>GEN PERF MONITOR &amp; ASSESS</v>
          </cell>
        </row>
        <row r="477">
          <cell r="A477" t="str">
            <v>81E</v>
          </cell>
          <cell r="B477" t="str">
            <v>GENERATION PERFORMANCE ENGRNG</v>
          </cell>
        </row>
        <row r="478">
          <cell r="A478" t="str">
            <v>81F</v>
          </cell>
          <cell r="B478" t="str">
            <v>CA - QUALITY ASSURANCE</v>
          </cell>
        </row>
        <row r="479">
          <cell r="A479" t="str">
            <v>81H</v>
          </cell>
          <cell r="B479" t="str">
            <v>GENERATION TECHNOLOGY MGMT</v>
          </cell>
        </row>
        <row r="480">
          <cell r="A480" t="str">
            <v>82A</v>
          </cell>
          <cell r="B480" t="str">
            <v>VENICE PLANT GENERAL-INVALID</v>
          </cell>
        </row>
        <row r="481">
          <cell r="A481" t="str">
            <v>82B</v>
          </cell>
          <cell r="B481" t="str">
            <v>VENICE PLANT OPERATION-INVALID</v>
          </cell>
        </row>
        <row r="482">
          <cell r="A482" t="str">
            <v>82C</v>
          </cell>
          <cell r="B482" t="str">
            <v>VENICE PLANT MAINTENAN-INVALID</v>
          </cell>
        </row>
        <row r="483">
          <cell r="A483" t="str">
            <v>82D</v>
          </cell>
          <cell r="B483" t="str">
            <v>VENICE PLANT TECH TRAI-INVALID</v>
          </cell>
        </row>
        <row r="484">
          <cell r="A484" t="str">
            <v>82E</v>
          </cell>
          <cell r="B484" t="str">
            <v>VENICE PLANT ADMIN-INVALID</v>
          </cell>
        </row>
        <row r="485">
          <cell r="A485" t="str">
            <v>83A</v>
          </cell>
          <cell r="B485" t="str">
            <v>LABADIE PLANT GENERAL &amp; BUD</v>
          </cell>
        </row>
        <row r="486">
          <cell r="A486" t="str">
            <v>83B</v>
          </cell>
          <cell r="B486" t="str">
            <v>LABADIE PLANT OPERATIONS</v>
          </cell>
        </row>
        <row r="487">
          <cell r="A487" t="str">
            <v>83C</v>
          </cell>
          <cell r="B487" t="str">
            <v>LABADIE PLANT MAINTENANCE</v>
          </cell>
        </row>
        <row r="488">
          <cell r="A488" t="str">
            <v>83D</v>
          </cell>
          <cell r="B488" t="str">
            <v>LABADIE PLANT TECHNICAL SUPPORT</v>
          </cell>
        </row>
        <row r="489">
          <cell r="A489" t="str">
            <v>83E</v>
          </cell>
          <cell r="B489" t="str">
            <v>LABADIE PLANT ADMINISTRATION</v>
          </cell>
        </row>
        <row r="490">
          <cell r="A490" t="str">
            <v>84A</v>
          </cell>
          <cell r="B490" t="str">
            <v>KEOKUK PLANT GENERAL &amp; BUD</v>
          </cell>
        </row>
        <row r="491">
          <cell r="A491" t="str">
            <v>84B</v>
          </cell>
          <cell r="B491" t="str">
            <v>KEOKUK PLANT OPERATIONS&amp;ENGINEERING</v>
          </cell>
        </row>
        <row r="492">
          <cell r="A492" t="str">
            <v>84C</v>
          </cell>
          <cell r="B492" t="str">
            <v>KEOKUK PLANT MAINTENANCE</v>
          </cell>
        </row>
        <row r="493">
          <cell r="A493" t="str">
            <v>85A</v>
          </cell>
          <cell r="B493" t="str">
            <v>SIOUX PLANT GENERAL &amp; BUD</v>
          </cell>
        </row>
        <row r="494">
          <cell r="A494" t="str">
            <v>85B</v>
          </cell>
          <cell r="B494" t="str">
            <v>SIOUX PLANT OPERATIONS</v>
          </cell>
        </row>
        <row r="495">
          <cell r="A495" t="str">
            <v>85C</v>
          </cell>
          <cell r="B495" t="str">
            <v>SIOUX PLANT MAINTENANCE</v>
          </cell>
        </row>
        <row r="496">
          <cell r="A496" t="str">
            <v>85D</v>
          </cell>
          <cell r="B496" t="str">
            <v>SIOUX PLANT TECHNICAL SUPPORT</v>
          </cell>
        </row>
        <row r="497">
          <cell r="A497" t="str">
            <v>85E</v>
          </cell>
          <cell r="B497" t="str">
            <v>SIOUX PLANT ADMINISTRATION</v>
          </cell>
        </row>
        <row r="498">
          <cell r="A498" t="str">
            <v>87A</v>
          </cell>
          <cell r="B498" t="str">
            <v>CA - SECURITY-EP RU</v>
          </cell>
        </row>
        <row r="499">
          <cell r="A499" t="str">
            <v>87B</v>
          </cell>
          <cell r="B499" t="str">
            <v>NUCL - PROCEDURE GROUP</v>
          </cell>
        </row>
        <row r="500">
          <cell r="A500" t="str">
            <v>87C</v>
          </cell>
          <cell r="B500" t="str">
            <v>NUCL - EMERGENCY RESPONSE</v>
          </cell>
        </row>
        <row r="501">
          <cell r="A501" t="str">
            <v>88A</v>
          </cell>
          <cell r="B501" t="str">
            <v>NUCL - ENG SYS - BOP</v>
          </cell>
        </row>
        <row r="502">
          <cell r="A502" t="str">
            <v>88B</v>
          </cell>
          <cell r="B502" t="str">
            <v>NUCL - ENG SYS - ELECT - I&amp;C</v>
          </cell>
        </row>
        <row r="503">
          <cell r="A503" t="str">
            <v>88C</v>
          </cell>
          <cell r="B503" t="str">
            <v>NUCL - ENG SYS - NSSS</v>
          </cell>
        </row>
        <row r="504">
          <cell r="A504" t="str">
            <v>88D</v>
          </cell>
          <cell r="B504" t="str">
            <v>NUCL - ENG SYS - REACTOR</v>
          </cell>
        </row>
        <row r="505">
          <cell r="A505" t="str">
            <v>88E</v>
          </cell>
          <cell r="B505" t="str">
            <v>NUCL - ENG SYS - FIX IT NOW</v>
          </cell>
        </row>
        <row r="506">
          <cell r="A506" t="str">
            <v>8AA</v>
          </cell>
          <cell r="B506" t="str">
            <v>NUCL - ENG PROJ - PROJECTS</v>
          </cell>
        </row>
        <row r="507">
          <cell r="A507" t="str">
            <v>8AB</v>
          </cell>
          <cell r="B507" t="str">
            <v>NUCL -  ENG PROJ - MECHANICAL</v>
          </cell>
        </row>
        <row r="508">
          <cell r="A508" t="str">
            <v>8AC</v>
          </cell>
          <cell r="B508" t="str">
            <v>NUCL - SAFETY ANALYSIS</v>
          </cell>
        </row>
        <row r="509">
          <cell r="A509" t="str">
            <v>8AD</v>
          </cell>
          <cell r="B509" t="str">
            <v>NUCL - ENJ PROJ - RECORDS</v>
          </cell>
        </row>
        <row r="510">
          <cell r="A510" t="str">
            <v>8BA</v>
          </cell>
          <cell r="B510" t="str">
            <v>NUCL - AAFFD</v>
          </cell>
        </row>
        <row r="511">
          <cell r="A511" t="str">
            <v>8BE</v>
          </cell>
          <cell r="B511" t="str">
            <v>BEARDSTOWN</v>
          </cell>
        </row>
        <row r="512">
          <cell r="A512" t="str">
            <v>8CA</v>
          </cell>
          <cell r="B512" t="str">
            <v>NUCL - QA QUALITY CONTROL</v>
          </cell>
        </row>
        <row r="513">
          <cell r="A513" t="str">
            <v>8CB</v>
          </cell>
          <cell r="B513" t="str">
            <v>NUCL - QA AUDIT GROUP AND ITR</v>
          </cell>
        </row>
        <row r="514">
          <cell r="A514" t="str">
            <v>8CC</v>
          </cell>
          <cell r="B514" t="str">
            <v>NUCL - INVALID BUDGET</v>
          </cell>
        </row>
        <row r="515">
          <cell r="A515" t="str">
            <v>8CD</v>
          </cell>
          <cell r="B515" t="str">
            <v>NUCL - INVALID BUDGET</v>
          </cell>
        </row>
        <row r="516">
          <cell r="A516" t="str">
            <v>8CE</v>
          </cell>
          <cell r="B516" t="str">
            <v>NUCL - REGIONAL REG AFFAIRS</v>
          </cell>
        </row>
        <row r="517">
          <cell r="A517" t="str">
            <v>8CF</v>
          </cell>
          <cell r="B517" t="str">
            <v>NUCL - QA SUPPLIER QUALITY</v>
          </cell>
        </row>
        <row r="518">
          <cell r="A518" t="str">
            <v>8CG</v>
          </cell>
          <cell r="B518" t="str">
            <v>NUCL - EMPLOYEE CONCERNS</v>
          </cell>
        </row>
        <row r="519">
          <cell r="A519" t="str">
            <v>8CN</v>
          </cell>
          <cell r="B519" t="str">
            <v>CANTON</v>
          </cell>
        </row>
        <row r="520">
          <cell r="A520" t="str">
            <v>8CR</v>
          </cell>
          <cell r="B520" t="str">
            <v>CARTHAGE</v>
          </cell>
        </row>
        <row r="521">
          <cell r="A521" t="str">
            <v>8EA</v>
          </cell>
          <cell r="B521" t="str">
            <v>NUCL - ENJ PROJ - MAJOR MODS</v>
          </cell>
        </row>
        <row r="522">
          <cell r="A522" t="str">
            <v>8EB</v>
          </cell>
          <cell r="B522" t="str">
            <v>NUCL - ENG DES - ELECTRICAL</v>
          </cell>
        </row>
        <row r="523">
          <cell r="A523" t="str">
            <v>8EC</v>
          </cell>
          <cell r="B523" t="str">
            <v>NUCL - ENG DES - CIVIL</v>
          </cell>
        </row>
        <row r="524">
          <cell r="A524" t="str">
            <v>8ED</v>
          </cell>
          <cell r="B524" t="str">
            <v>NUCL - ENG DES - MECHANICAL</v>
          </cell>
        </row>
        <row r="525">
          <cell r="A525" t="str">
            <v>8EE</v>
          </cell>
          <cell r="B525" t="str">
            <v>NUCL - ENG DES - I&amp;C</v>
          </cell>
        </row>
        <row r="526">
          <cell r="A526" t="str">
            <v>8FA</v>
          </cell>
          <cell r="B526" t="str">
            <v>NUCL - HEALTH PHYS-GEN-INVALID</v>
          </cell>
        </row>
        <row r="527">
          <cell r="A527" t="str">
            <v>8FB</v>
          </cell>
          <cell r="B527" t="str">
            <v>NUCL - RAD PROTECTION - OPS</v>
          </cell>
        </row>
        <row r="528">
          <cell r="A528" t="str">
            <v>8FC</v>
          </cell>
          <cell r="B528" t="str">
            <v>NUCL - RAD PROTECTION TECH SUP</v>
          </cell>
        </row>
        <row r="529">
          <cell r="A529" t="str">
            <v>8GA</v>
          </cell>
          <cell r="B529" t="str">
            <v>NUCL - ENG TS - MATERIALS</v>
          </cell>
        </row>
        <row r="530">
          <cell r="A530" t="str">
            <v>8GB</v>
          </cell>
          <cell r="B530" t="str">
            <v>CA - MAJOR PROJ ENG RU INVALID</v>
          </cell>
        </row>
        <row r="531">
          <cell r="A531" t="str">
            <v>8GC</v>
          </cell>
          <cell r="B531" t="str">
            <v>NUCL - ENG PI - CONFIG MGMT</v>
          </cell>
        </row>
        <row r="532">
          <cell r="A532" t="str">
            <v>8GD</v>
          </cell>
          <cell r="B532" t="str">
            <v>NUCL - ENG TS - PERFORMANCE</v>
          </cell>
        </row>
        <row r="533">
          <cell r="A533" t="str">
            <v>8GE</v>
          </cell>
          <cell r="B533" t="str">
            <v>NUCL - ENG TS - PROGRAMS</v>
          </cell>
        </row>
        <row r="534">
          <cell r="A534" t="str">
            <v>8GF</v>
          </cell>
          <cell r="B534" t="str">
            <v>NUCL - ENG TS - RELIABILITY</v>
          </cell>
        </row>
        <row r="535">
          <cell r="A535" t="str">
            <v>8GH</v>
          </cell>
          <cell r="B535" t="str">
            <v>CA - MAJOR PROJECTS ENG RU</v>
          </cell>
        </row>
        <row r="536">
          <cell r="A536" t="str">
            <v>8HA</v>
          </cell>
          <cell r="B536" t="str">
            <v>NUCL - RADWASTE CHEM-INVALID</v>
          </cell>
        </row>
        <row r="537">
          <cell r="A537" t="str">
            <v>8HB</v>
          </cell>
          <cell r="B537" t="str">
            <v>NUCL - RADWASTE</v>
          </cell>
        </row>
        <row r="538">
          <cell r="A538" t="str">
            <v>8HC</v>
          </cell>
          <cell r="B538" t="str">
            <v>NUCL - CHEMISTRY</v>
          </cell>
        </row>
        <row r="539">
          <cell r="A539" t="str">
            <v>8HD</v>
          </cell>
          <cell r="B539" t="str">
            <v>NUCL - RC-C GENERAL-INVALID</v>
          </cell>
        </row>
        <row r="540">
          <cell r="A540" t="str">
            <v>8LA</v>
          </cell>
          <cell r="B540" t="str">
            <v>NUCL - MAINTENANCE ELECTRICAL</v>
          </cell>
        </row>
        <row r="541">
          <cell r="A541" t="str">
            <v>8LB</v>
          </cell>
          <cell r="B541" t="str">
            <v>NUCL - MAINTENANCE MECHANICAL</v>
          </cell>
        </row>
        <row r="542">
          <cell r="A542" t="str">
            <v>8LC</v>
          </cell>
          <cell r="B542" t="str">
            <v>NUCL - OUTAGE SCHEDULING</v>
          </cell>
        </row>
        <row r="543">
          <cell r="A543" t="str">
            <v>8LD</v>
          </cell>
          <cell r="B543" t="str">
            <v>NUCL - MAINTENANCE SUPPORT</v>
          </cell>
        </row>
        <row r="544">
          <cell r="A544" t="str">
            <v>8LE</v>
          </cell>
          <cell r="B544" t="str">
            <v>NUCL - MAINTENANCE GENERAL</v>
          </cell>
        </row>
        <row r="545">
          <cell r="A545" t="str">
            <v>8MA</v>
          </cell>
          <cell r="B545" t="str">
            <v>MACOMB</v>
          </cell>
        </row>
        <row r="546">
          <cell r="A546" t="str">
            <v>8MS</v>
          </cell>
          <cell r="B546" t="str">
            <v>DIVISION II SUPPORT STAFF</v>
          </cell>
        </row>
        <row r="547">
          <cell r="A547" t="str">
            <v>8P2</v>
          </cell>
          <cell r="B547" t="str">
            <v>NUCL - PERSONNEL-INVALID</v>
          </cell>
        </row>
        <row r="548">
          <cell r="A548" t="str">
            <v>8PA</v>
          </cell>
          <cell r="B548" t="str">
            <v>NUCL - INVALID BUDGET</v>
          </cell>
        </row>
        <row r="549">
          <cell r="A549" t="str">
            <v>8PB</v>
          </cell>
          <cell r="B549" t="str">
            <v>NUCL - INVALID BUDGET</v>
          </cell>
        </row>
        <row r="550">
          <cell r="A550" t="str">
            <v>8PC</v>
          </cell>
          <cell r="B550" t="str">
            <v>NUCL - PERFORMANCE IMPROVE DPT</v>
          </cell>
        </row>
        <row r="551">
          <cell r="A551" t="str">
            <v>8PE</v>
          </cell>
          <cell r="B551" t="str">
            <v>PETERSBURG</v>
          </cell>
        </row>
        <row r="552">
          <cell r="A552" t="str">
            <v>8R0</v>
          </cell>
          <cell r="B552" t="str">
            <v>CA - BUSINESS OPERATIONS RU</v>
          </cell>
        </row>
        <row r="553">
          <cell r="A553" t="str">
            <v>8R1</v>
          </cell>
          <cell r="B553" t="str">
            <v>CA - NUCLEAR PERSONNEL</v>
          </cell>
        </row>
        <row r="554">
          <cell r="A554" t="str">
            <v>8R2</v>
          </cell>
          <cell r="B554" t="str">
            <v>CA - OPERATIONS RU</v>
          </cell>
        </row>
        <row r="555">
          <cell r="A555" t="str">
            <v>8R4</v>
          </cell>
          <cell r="B555" t="str">
            <v>CA - PLANT ENGINEERING RU</v>
          </cell>
        </row>
        <row r="556">
          <cell r="A556" t="str">
            <v>8R5</v>
          </cell>
          <cell r="B556" t="str">
            <v>CA - DESIGN ENG RU</v>
          </cell>
        </row>
        <row r="557">
          <cell r="A557" t="str">
            <v>8R6</v>
          </cell>
          <cell r="B557" t="str">
            <v>CA - TECH SUPT ENG</v>
          </cell>
        </row>
        <row r="558">
          <cell r="A558" t="str">
            <v>8R7</v>
          </cell>
          <cell r="B558" t="str">
            <v>NUCL - PROTECTIVE SERVICES</v>
          </cell>
        </row>
        <row r="559">
          <cell r="A559" t="str">
            <v>8R8</v>
          </cell>
          <cell r="B559" t="str">
            <v>CA - TRAINING RU</v>
          </cell>
        </row>
        <row r="560">
          <cell r="A560" t="str">
            <v>8R9</v>
          </cell>
          <cell r="B560" t="str">
            <v>CA - OUTAGE RU</v>
          </cell>
        </row>
        <row r="561">
          <cell r="A561" t="str">
            <v>8RA</v>
          </cell>
          <cell r="B561" t="str">
            <v>CA- ENGINEERING SERVICES RU</v>
          </cell>
        </row>
        <row r="562">
          <cell r="A562" t="str">
            <v>8RB</v>
          </cell>
          <cell r="B562" t="str">
            <v>CA- ENG PERFORMANCE IMPROVE</v>
          </cell>
        </row>
        <row r="563">
          <cell r="A563" t="str">
            <v>8RK</v>
          </cell>
          <cell r="B563" t="str">
            <v>CA - REGULATORY AFFAIRS</v>
          </cell>
        </row>
        <row r="564">
          <cell r="A564" t="str">
            <v>8RV</v>
          </cell>
          <cell r="B564" t="str">
            <v>CA - BUDGET - COST MGMT RU</v>
          </cell>
        </row>
        <row r="565">
          <cell r="A565" t="str">
            <v>8TU</v>
          </cell>
          <cell r="B565" t="str">
            <v>NUCL ADDITIONAL LICENSING UNIT</v>
          </cell>
        </row>
        <row r="566">
          <cell r="A566" t="str">
            <v>8WA</v>
          </cell>
          <cell r="B566" t="str">
            <v>NUCL - WORK MANAGEMENT</v>
          </cell>
        </row>
        <row r="567">
          <cell r="A567" t="str">
            <v>90B</v>
          </cell>
          <cell r="B567" t="str">
            <v>LEGAL &amp; CORP SERVICES-IPC</v>
          </cell>
        </row>
        <row r="568">
          <cell r="A568" t="str">
            <v>90C</v>
          </cell>
          <cell r="B568" t="str">
            <v>ACCOUNTING-IPC</v>
          </cell>
        </row>
        <row r="569">
          <cell r="A569" t="str">
            <v>90D</v>
          </cell>
          <cell r="B569" t="str">
            <v>CONTROLLERS STAFF-IPC</v>
          </cell>
        </row>
        <row r="570">
          <cell r="A570" t="str">
            <v>90E</v>
          </cell>
          <cell r="B570" t="str">
            <v>PERFORMANCE MANAGEMENT-IPC</v>
          </cell>
        </row>
        <row r="571">
          <cell r="A571" t="str">
            <v>90F</v>
          </cell>
          <cell r="B571" t="str">
            <v>HR - OPERATIONS- IPC</v>
          </cell>
        </row>
        <row r="572">
          <cell r="A572" t="str">
            <v>90G</v>
          </cell>
          <cell r="B572" t="str">
            <v>INFO TECH SERVICES-IPC-INVALID</v>
          </cell>
        </row>
        <row r="573">
          <cell r="A573" t="str">
            <v>90J</v>
          </cell>
          <cell r="B573" t="str">
            <v>ED ELE TRAIN - IPC - INVALID</v>
          </cell>
        </row>
        <row r="574">
          <cell r="A574" t="str">
            <v>90K</v>
          </cell>
          <cell r="B574" t="str">
            <v>ALT - IPC</v>
          </cell>
        </row>
        <row r="575">
          <cell r="A575" t="str">
            <v>90L</v>
          </cell>
          <cell r="B575" t="str">
            <v>BUILDING SERVICES-IPC</v>
          </cell>
        </row>
        <row r="576">
          <cell r="A576" t="str">
            <v>90M</v>
          </cell>
          <cell r="B576" t="str">
            <v>CUST FORECASTING &amp; PRICING-IPC</v>
          </cell>
        </row>
        <row r="577">
          <cell r="A577" t="str">
            <v>90N</v>
          </cell>
          <cell r="B577" t="str">
            <v>INVESTMENT RECOVERY-IPC</v>
          </cell>
        </row>
        <row r="578">
          <cell r="A578" t="str">
            <v>90P</v>
          </cell>
          <cell r="B578" t="str">
            <v>IPC CUSTOMER MNGMT INVALID</v>
          </cell>
        </row>
        <row r="579">
          <cell r="A579" t="str">
            <v>90Q</v>
          </cell>
          <cell r="B579" t="str">
            <v>REAL ESTATE-IPC</v>
          </cell>
        </row>
        <row r="580">
          <cell r="A580" t="str">
            <v>90S</v>
          </cell>
          <cell r="B580" t="str">
            <v>RECORDS MANAGEMENT-IPC</v>
          </cell>
        </row>
        <row r="581">
          <cell r="A581" t="str">
            <v>90T</v>
          </cell>
          <cell r="B581" t="str">
            <v>MICROFILM-IPC</v>
          </cell>
        </row>
        <row r="582">
          <cell r="A582" t="str">
            <v>90U</v>
          </cell>
          <cell r="B582" t="str">
            <v>MAIL CENTER-IPC</v>
          </cell>
        </row>
        <row r="583">
          <cell r="A583" t="str">
            <v>90V</v>
          </cell>
          <cell r="B583" t="str">
            <v>GAS SUPPLY IPC - INVALID</v>
          </cell>
        </row>
        <row r="584">
          <cell r="A584" t="str">
            <v>90W</v>
          </cell>
          <cell r="B584" t="str">
            <v>SUBSTATIONS - IPC - INVALID</v>
          </cell>
        </row>
        <row r="585">
          <cell r="A585" t="str">
            <v>90X</v>
          </cell>
          <cell r="B585" t="str">
            <v>SECURITY-IPC</v>
          </cell>
        </row>
        <row r="586">
          <cell r="A586" t="str">
            <v>90Y</v>
          </cell>
          <cell r="B586" t="str">
            <v>PRINTING SERVICES-IPC-INVALID</v>
          </cell>
        </row>
        <row r="587">
          <cell r="A587" t="str">
            <v>91A</v>
          </cell>
          <cell r="B587" t="str">
            <v>IL OPS ADMN</v>
          </cell>
        </row>
        <row r="588">
          <cell r="A588" t="str">
            <v>91B</v>
          </cell>
          <cell r="B588" t="str">
            <v>EMPLOYEE BENEFITS-IPC</v>
          </cell>
        </row>
        <row r="589">
          <cell r="A589" t="str">
            <v>91C</v>
          </cell>
          <cell r="B589" t="str">
            <v>METER SERVICES - IPC</v>
          </cell>
        </row>
        <row r="590">
          <cell r="A590" t="str">
            <v>91D</v>
          </cell>
          <cell r="B590" t="str">
            <v>IPC ELE OPS SUPPORT - INVALID</v>
          </cell>
        </row>
        <row r="591">
          <cell r="A591" t="str">
            <v>91E</v>
          </cell>
          <cell r="B591" t="str">
            <v>IPC MGR FLD ENG RES - INVALID</v>
          </cell>
        </row>
        <row r="592">
          <cell r="A592" t="str">
            <v>91F</v>
          </cell>
          <cell r="B592" t="str">
            <v>GAS SUPPORT IPC - INVALID</v>
          </cell>
        </row>
        <row r="593">
          <cell r="A593" t="str">
            <v>91G</v>
          </cell>
          <cell r="B593" t="str">
            <v>IPC ENRGY DLVRY OPS - INVALID</v>
          </cell>
        </row>
        <row r="594">
          <cell r="A594" t="str">
            <v>91H</v>
          </cell>
          <cell r="B594" t="str">
            <v>TRANSMISSION - IPC</v>
          </cell>
        </row>
        <row r="595">
          <cell r="A595" t="str">
            <v>91J</v>
          </cell>
          <cell r="B595" t="str">
            <v>SUB CTRL &amp; INST IPC - INVALID</v>
          </cell>
        </row>
        <row r="596">
          <cell r="A596" t="str">
            <v>91K</v>
          </cell>
          <cell r="B596" t="str">
            <v>VEGETATION MGT - IPC INVALID</v>
          </cell>
        </row>
        <row r="597">
          <cell r="A597" t="str">
            <v>91L</v>
          </cell>
          <cell r="B597" t="str">
            <v>CHAMPAIGN - URBANA</v>
          </cell>
        </row>
        <row r="598">
          <cell r="A598" t="str">
            <v>91N</v>
          </cell>
          <cell r="B598" t="str">
            <v>JACKSONVILLE</v>
          </cell>
        </row>
        <row r="599">
          <cell r="A599" t="str">
            <v>91P</v>
          </cell>
          <cell r="B599" t="str">
            <v>DISTRIBUTION OPERATING-Decatur</v>
          </cell>
        </row>
        <row r="600">
          <cell r="A600" t="str">
            <v>91Q</v>
          </cell>
          <cell r="B600" t="str">
            <v>IPC OPER SUPPORT - INVALID</v>
          </cell>
        </row>
        <row r="601">
          <cell r="A601" t="str">
            <v>91R</v>
          </cell>
          <cell r="B601" t="str">
            <v>DIVISION I SUPT  - IPC INVALID</v>
          </cell>
        </row>
        <row r="602">
          <cell r="A602" t="str">
            <v>91S</v>
          </cell>
          <cell r="B602" t="str">
            <v>DIVISION III SPT -IPC INVALID</v>
          </cell>
        </row>
        <row r="603">
          <cell r="A603" t="str">
            <v>91T</v>
          </cell>
          <cell r="B603" t="str">
            <v>DIVISION V SPT - IPC INVALID</v>
          </cell>
        </row>
        <row r="604">
          <cell r="A604" t="str">
            <v>91U</v>
          </cell>
          <cell r="B604" t="str">
            <v>DIVISION VI SUPPORT STAFF</v>
          </cell>
        </row>
        <row r="605">
          <cell r="A605" t="str">
            <v>91V</v>
          </cell>
          <cell r="B605" t="str">
            <v>GALESBURG</v>
          </cell>
        </row>
        <row r="606">
          <cell r="A606" t="str">
            <v>91W</v>
          </cell>
          <cell r="B606" t="str">
            <v>ENG SVCS IPC - INVALID</v>
          </cell>
        </row>
        <row r="607">
          <cell r="A607" t="str">
            <v>91X</v>
          </cell>
          <cell r="B607" t="str">
            <v>STOREROOMS - IPC</v>
          </cell>
        </row>
        <row r="608">
          <cell r="A608" t="str">
            <v>91Y</v>
          </cell>
          <cell r="B608" t="str">
            <v>CUST ACCTNG DEPT - IPC INVALID</v>
          </cell>
        </row>
        <row r="609">
          <cell r="A609" t="str">
            <v>92A</v>
          </cell>
          <cell r="B609" t="str">
            <v>MT. VERNON</v>
          </cell>
        </row>
        <row r="610">
          <cell r="A610" t="str">
            <v>92B</v>
          </cell>
          <cell r="B610" t="str">
            <v>SUB MTCE &amp; CONST - IL SOUTH</v>
          </cell>
        </row>
        <row r="611">
          <cell r="A611" t="str">
            <v>92D</v>
          </cell>
          <cell r="B611" t="str">
            <v>LASALLE</v>
          </cell>
        </row>
        <row r="612">
          <cell r="A612" t="str">
            <v>92E</v>
          </cell>
          <cell r="B612" t="str">
            <v>BLOOMINGTON - NORMAL</v>
          </cell>
        </row>
        <row r="613">
          <cell r="A613" t="str">
            <v>92F</v>
          </cell>
          <cell r="B613" t="str">
            <v>ECONOMIC DEVELOP -FIN STMT-IPC</v>
          </cell>
        </row>
        <row r="614">
          <cell r="A614" t="str">
            <v>92G</v>
          </cell>
          <cell r="B614" t="str">
            <v>ASSET MGT - IPC - INVALID</v>
          </cell>
        </row>
        <row r="615">
          <cell r="A615" t="str">
            <v>92H</v>
          </cell>
          <cell r="B615" t="str">
            <v>CORROSION CNTRL IPC - INVALID</v>
          </cell>
        </row>
        <row r="616">
          <cell r="A616" t="str">
            <v>92J</v>
          </cell>
          <cell r="B616" t="str">
            <v>MARYVILLE</v>
          </cell>
        </row>
        <row r="617">
          <cell r="A617" t="str">
            <v>92K</v>
          </cell>
          <cell r="B617" t="str">
            <v>ELEC ENERGY SUPPLY-IPC-INVALID</v>
          </cell>
        </row>
        <row r="618">
          <cell r="A618" t="str">
            <v>92L</v>
          </cell>
          <cell r="B618" t="str">
            <v>FLEET SVCS - IPC</v>
          </cell>
        </row>
        <row r="619">
          <cell r="A619" t="str">
            <v>92M</v>
          </cell>
          <cell r="B619" t="str">
            <v>PURCHASING - IPC</v>
          </cell>
        </row>
        <row r="620">
          <cell r="A620" t="str">
            <v>92P</v>
          </cell>
          <cell r="B620" t="str">
            <v>KEY ACCOUNTS - IPC INVALID</v>
          </cell>
        </row>
        <row r="621">
          <cell r="A621" t="str">
            <v>92Q</v>
          </cell>
          <cell r="B621" t="str">
            <v>DECATUR</v>
          </cell>
        </row>
        <row r="622">
          <cell r="A622" t="str">
            <v>92R</v>
          </cell>
          <cell r="B622" t="str">
            <v>REGULATORY &amp; PUBLIC POLICY-IPC</v>
          </cell>
        </row>
        <row r="623">
          <cell r="A623" t="str">
            <v>92S</v>
          </cell>
          <cell r="B623" t="str">
            <v>ESH - GENERAL-IPC</v>
          </cell>
        </row>
        <row r="624">
          <cell r="A624" t="str">
            <v>92T</v>
          </cell>
          <cell r="B624" t="str">
            <v>HILLSBORO</v>
          </cell>
        </row>
        <row r="625">
          <cell r="A625" t="str">
            <v>92W</v>
          </cell>
          <cell r="B625" t="str">
            <v>CREDIT &amp; COLLECT - IPC INVALID</v>
          </cell>
        </row>
        <row r="626">
          <cell r="A626" t="str">
            <v>92X</v>
          </cell>
          <cell r="B626" t="str">
            <v>CUSTOMER BUSINESS MGMT-IPC</v>
          </cell>
        </row>
        <row r="627">
          <cell r="A627" t="str">
            <v>93A</v>
          </cell>
          <cell r="B627" t="str">
            <v>CNTRACTR ALLY - IPC - INVALID</v>
          </cell>
        </row>
        <row r="628">
          <cell r="A628" t="str">
            <v>93B</v>
          </cell>
          <cell r="B628" t="str">
            <v>BELLEVILLE</v>
          </cell>
        </row>
        <row r="629">
          <cell r="A629" t="str">
            <v>93C</v>
          </cell>
          <cell r="B629" t="str">
            <v>KEWANEE</v>
          </cell>
        </row>
        <row r="630">
          <cell r="A630" t="str">
            <v>93J</v>
          </cell>
          <cell r="B630" t="str">
            <v>PSC-SOUTH PLANT SUPPRT-INVALID</v>
          </cell>
        </row>
        <row r="631">
          <cell r="A631" t="str">
            <v>93L</v>
          </cell>
          <cell r="B631" t="str">
            <v>ACCTS PAYABLE ADMIN-IPC</v>
          </cell>
        </row>
        <row r="632">
          <cell r="A632" t="str">
            <v>93N</v>
          </cell>
          <cell r="B632" t="str">
            <v>FOSSIL PLANT SUPPT-IPC-INVALID</v>
          </cell>
        </row>
        <row r="633">
          <cell r="A633" t="str">
            <v>93R</v>
          </cell>
          <cell r="B633" t="str">
            <v>DDC</v>
          </cell>
        </row>
        <row r="634">
          <cell r="A634" t="str">
            <v>93T</v>
          </cell>
          <cell r="B634" t="str">
            <v>INTEGRAT IMPLEM - IPC INVALID</v>
          </cell>
        </row>
        <row r="635">
          <cell r="A635" t="str">
            <v>93W</v>
          </cell>
          <cell r="B635" t="str">
            <v>SPARTA</v>
          </cell>
        </row>
        <row r="636">
          <cell r="A636" t="str">
            <v>ACCTG OPS</v>
          </cell>
          <cell r="B636" t="str">
            <v>ACCOUNTING OPERATIONS</v>
          </cell>
        </row>
        <row r="637">
          <cell r="A637" t="str">
            <v>ADC</v>
          </cell>
          <cell r="B637" t="str">
            <v>AMEREN DEVELOPMENT CORP</v>
          </cell>
        </row>
        <row r="638">
          <cell r="A638" t="str">
            <v>AED</v>
          </cell>
          <cell r="B638" t="str">
            <v>AED MANAGEMENT</v>
          </cell>
        </row>
        <row r="639">
          <cell r="A639" t="str">
            <v>AEG</v>
          </cell>
          <cell r="B639" t="str">
            <v>AEG SERVICES ROLLUP</v>
          </cell>
        </row>
        <row r="640">
          <cell r="A640" t="str">
            <v>AEGBS</v>
          </cell>
          <cell r="B640" t="str">
            <v>AEG BUSINESS SERVICES</v>
          </cell>
        </row>
        <row r="641">
          <cell r="A641" t="str">
            <v>AEGBSR</v>
          </cell>
          <cell r="B641" t="str">
            <v>AEG BUSINESS SERVICES ROLLUP</v>
          </cell>
        </row>
        <row r="642">
          <cell r="A642" t="str">
            <v>AEGPDS</v>
          </cell>
          <cell r="B642" t="str">
            <v>AEG GENERATION SERVICES</v>
          </cell>
        </row>
        <row r="643">
          <cell r="A643" t="str">
            <v>AEGPDSR</v>
          </cell>
          <cell r="B643" t="str">
            <v>AEG GENERATION SERVICES ROLLUP</v>
          </cell>
        </row>
        <row r="644">
          <cell r="A644" t="str">
            <v>AEGSTM</v>
          </cell>
          <cell r="B644" t="str">
            <v>AEG STEAM PLANT ROLLUP</v>
          </cell>
        </row>
        <row r="645">
          <cell r="A645" t="str">
            <v>AFC</v>
          </cell>
          <cell r="B645" t="str">
            <v>ALLOWANCE FOR FUNDS</v>
          </cell>
        </row>
        <row r="646">
          <cell r="A646" t="str">
            <v>AGBSG</v>
          </cell>
          <cell r="B646" t="str">
            <v>AMEREN GEN BUSINESS SVCS GROUP</v>
          </cell>
        </row>
        <row r="647">
          <cell r="A647" t="str">
            <v>AME</v>
          </cell>
          <cell r="B647" t="str">
            <v>AMEREN ENERGY</v>
          </cell>
        </row>
        <row r="648">
          <cell r="A648" t="str">
            <v>APP</v>
          </cell>
          <cell r="B648" t="str">
            <v>APPORTIONMENTS</v>
          </cell>
        </row>
        <row r="649">
          <cell r="A649" t="str">
            <v>ASM</v>
          </cell>
          <cell r="B649" t="str">
            <v>SAFETY AND RESOURCE MGMT</v>
          </cell>
        </row>
        <row r="650">
          <cell r="A650" t="str">
            <v>BEN</v>
          </cell>
          <cell r="B650" t="str">
            <v>BENEFITS</v>
          </cell>
        </row>
        <row r="651">
          <cell r="A651" t="str">
            <v>BLDSVC</v>
          </cell>
          <cell r="B651" t="str">
            <v>BUILDING SVCS ROLLUP</v>
          </cell>
        </row>
        <row r="652">
          <cell r="A652" t="str">
            <v>BSA</v>
          </cell>
          <cell r="B652" t="str">
            <v>ENERGY DELIVERY BUSINESS SVCS</v>
          </cell>
        </row>
        <row r="653">
          <cell r="A653" t="str">
            <v>BSO</v>
          </cell>
          <cell r="B653" t="str">
            <v>BUSINESS SERVICES OPERATIONS</v>
          </cell>
        </row>
        <row r="654">
          <cell r="A654" t="str">
            <v>BTR</v>
          </cell>
          <cell r="B654" t="str">
            <v>BOONE TRAILS DIVISION</v>
          </cell>
        </row>
        <row r="655">
          <cell r="A655" t="str">
            <v>CAL</v>
          </cell>
          <cell r="B655" t="str">
            <v>CUSTOMER ACCOUNTING IL</v>
          </cell>
        </row>
        <row r="656">
          <cell r="A656" t="str">
            <v>CDC</v>
          </cell>
          <cell r="B656" t="str">
            <v>CREDIT &amp; COLLECTIONS IL</v>
          </cell>
        </row>
        <row r="657">
          <cell r="A657" t="str">
            <v>CFA</v>
          </cell>
          <cell r="B657" t="str">
            <v>COFFEEN - ADMINISTRATION</v>
          </cell>
        </row>
        <row r="658">
          <cell r="A658" t="str">
            <v>CFG</v>
          </cell>
          <cell r="B658" t="str">
            <v>COFFEEN - GENERAL &amp; BUD</v>
          </cell>
        </row>
        <row r="659">
          <cell r="A659" t="str">
            <v>CFM</v>
          </cell>
          <cell r="B659" t="str">
            <v>COFFEEN - MAINTENANCE</v>
          </cell>
        </row>
        <row r="660">
          <cell r="A660" t="str">
            <v>CFO</v>
          </cell>
          <cell r="B660" t="str">
            <v>COFFEEN - OPERATIONS</v>
          </cell>
        </row>
        <row r="661">
          <cell r="A661" t="str">
            <v>CIC</v>
          </cell>
          <cell r="B661" t="str">
            <v>CIC</v>
          </cell>
        </row>
        <row r="662">
          <cell r="A662" t="str">
            <v>CIC01</v>
          </cell>
          <cell r="B662" t="str">
            <v>CIPSCO INVESTMENT CO</v>
          </cell>
        </row>
        <row r="663">
          <cell r="A663" t="str">
            <v>CIL</v>
          </cell>
          <cell r="B663" t="str">
            <v>INVALID BUDGET</v>
          </cell>
        </row>
        <row r="664">
          <cell r="A664" t="str">
            <v>CILGEN</v>
          </cell>
          <cell r="B664" t="str">
            <v>CIL GENERATION ROLLUP</v>
          </cell>
        </row>
        <row r="665">
          <cell r="A665" t="str">
            <v>CIM</v>
          </cell>
          <cell r="B665" t="str">
            <v>CILCORP INVESTMENT MANAGEMENT</v>
          </cell>
        </row>
        <row r="666">
          <cell r="A666" t="str">
            <v>CMC</v>
          </cell>
          <cell r="B666" t="str">
            <v>CUSTOMER CONTACT CENTERS IL</v>
          </cell>
        </row>
        <row r="667">
          <cell r="A667" t="str">
            <v>CNTRL-OTH</v>
          </cell>
          <cell r="B667" t="str">
            <v>CONTROLLER - OTHER</v>
          </cell>
        </row>
        <row r="668">
          <cell r="A668" t="str">
            <v>COF</v>
          </cell>
          <cell r="B668" t="str">
            <v>COFFEEN</v>
          </cell>
        </row>
        <row r="669">
          <cell r="A669" t="str">
            <v>COFR</v>
          </cell>
          <cell r="B669" t="str">
            <v>COFFEEN ROLLUP</v>
          </cell>
        </row>
        <row r="670">
          <cell r="A670" t="str">
            <v>CORP_COMM</v>
          </cell>
          <cell r="B670" t="str">
            <v>CORP COMMUNICATIONS</v>
          </cell>
        </row>
        <row r="671">
          <cell r="A671" t="str">
            <v>CORP_PLANNING</v>
          </cell>
          <cell r="B671" t="str">
            <v>CORP PLANNING</v>
          </cell>
        </row>
        <row r="672">
          <cell r="A672" t="str">
            <v>CORPORATE</v>
          </cell>
          <cell r="B672" t="str">
            <v>CORPORATE</v>
          </cell>
        </row>
        <row r="673">
          <cell r="A673" t="str">
            <v>COZ</v>
          </cell>
          <cell r="B673" t="str">
            <v>CENTRAL OZARKS DIVISION</v>
          </cell>
        </row>
        <row r="674">
          <cell r="A674" t="str">
            <v>CSF</v>
          </cell>
          <cell r="B674" t="str">
            <v>IT CUSTOMER SRVC &amp; FIELD OPS</v>
          </cell>
        </row>
        <row r="675">
          <cell r="A675" t="str">
            <v>D10</v>
          </cell>
          <cell r="B675" t="str">
            <v>CEO DIV</v>
          </cell>
        </row>
        <row r="676">
          <cell r="A676" t="str">
            <v>D12</v>
          </cell>
          <cell r="B676" t="str">
            <v>SVP GEN CONSL LEG &amp; REG POLICY</v>
          </cell>
        </row>
        <row r="677">
          <cell r="A677" t="str">
            <v>D17</v>
          </cell>
          <cell r="B677" t="str">
            <v>AMEREN DEVELOPMENT CORP</v>
          </cell>
        </row>
        <row r="678">
          <cell r="A678" t="str">
            <v>D20</v>
          </cell>
          <cell r="B678" t="str">
            <v>ENERGY DELIVERY</v>
          </cell>
        </row>
        <row r="679">
          <cell r="A679" t="str">
            <v>D30</v>
          </cell>
          <cell r="B679" t="str">
            <v>FINANCE &amp; CORP SVCS</v>
          </cell>
        </row>
        <row r="680">
          <cell r="A680" t="str">
            <v>D40</v>
          </cell>
          <cell r="B680" t="str">
            <v>NUCLEAR GENERATION</v>
          </cell>
        </row>
        <row r="681">
          <cell r="A681" t="str">
            <v>D50</v>
          </cell>
          <cell r="B681" t="str">
            <v>NON-NUCLEAR GENERATION</v>
          </cell>
        </row>
        <row r="682">
          <cell r="A682" t="str">
            <v>D60</v>
          </cell>
          <cell r="B682" t="str">
            <v>SVP - ADMINISTRATION</v>
          </cell>
        </row>
        <row r="683">
          <cell r="A683" t="str">
            <v>D70</v>
          </cell>
          <cell r="B683" t="str">
            <v>EXECUTIVE</v>
          </cell>
        </row>
        <row r="684">
          <cell r="A684" t="str">
            <v>D80</v>
          </cell>
          <cell r="B684" t="str">
            <v>MISC ITEMS</v>
          </cell>
        </row>
        <row r="685">
          <cell r="A685" t="str">
            <v>DCD</v>
          </cell>
          <cell r="B685" t="str">
            <v>DISTRIBUTION OPERATING - MO</v>
          </cell>
        </row>
        <row r="686">
          <cell r="A686" t="str">
            <v>DCI</v>
          </cell>
          <cell r="B686" t="str">
            <v>DISTRIBUTION CONTROL ILLINOIS</v>
          </cell>
        </row>
        <row r="687">
          <cell r="A687" t="str">
            <v>DEP</v>
          </cell>
          <cell r="B687" t="str">
            <v>DEPRECIATION</v>
          </cell>
        </row>
        <row r="688">
          <cell r="A688" t="str">
            <v>DEV</v>
          </cell>
          <cell r="B688" t="str">
            <v>DEVELOPMENT</v>
          </cell>
        </row>
        <row r="689">
          <cell r="A689" t="str">
            <v>DMS</v>
          </cell>
          <cell r="B689" t="str">
            <v>INVALID BUDGET</v>
          </cell>
        </row>
        <row r="690">
          <cell r="A690" t="str">
            <v>DOS</v>
          </cell>
          <cell r="B690" t="str">
            <v>MEREDOSIA</v>
          </cell>
        </row>
        <row r="691">
          <cell r="A691" t="str">
            <v>DOSIA</v>
          </cell>
          <cell r="B691" t="str">
            <v>MEREDOSIA ROLLUP</v>
          </cell>
        </row>
        <row r="692">
          <cell r="A692" t="str">
            <v>DRCE</v>
          </cell>
          <cell r="B692" t="str">
            <v>DEREGULATED CTG COMMON EXP</v>
          </cell>
        </row>
        <row r="693">
          <cell r="A693" t="str">
            <v>DTC</v>
          </cell>
          <cell r="B693" t="str">
            <v>DISTRIBUTION DESIGN CENTER</v>
          </cell>
        </row>
        <row r="694">
          <cell r="A694" t="str">
            <v>DUCK</v>
          </cell>
          <cell r="B694" t="str">
            <v>DUCK CREEK</v>
          </cell>
        </row>
        <row r="695">
          <cell r="A695" t="str">
            <v>DUCKR</v>
          </cell>
          <cell r="B695" t="str">
            <v>DUCK CREEK ROLLUP</v>
          </cell>
        </row>
        <row r="696">
          <cell r="A696" t="str">
            <v>DVM</v>
          </cell>
          <cell r="B696" t="str">
            <v>IL DIV I II III  DISTRIB RU</v>
          </cell>
        </row>
        <row r="697">
          <cell r="A697" t="str">
            <v>DVP</v>
          </cell>
          <cell r="B697" t="str">
            <v>DIVISION I</v>
          </cell>
        </row>
        <row r="698">
          <cell r="A698" t="str">
            <v>DVQ</v>
          </cell>
          <cell r="B698" t="str">
            <v>DIVISION II</v>
          </cell>
        </row>
        <row r="699">
          <cell r="A699" t="str">
            <v>DVR</v>
          </cell>
          <cell r="B699" t="str">
            <v>DIVISION III</v>
          </cell>
        </row>
        <row r="700">
          <cell r="A700" t="str">
            <v>DVS</v>
          </cell>
          <cell r="B700" t="str">
            <v>IL DIV IV V VI VII  DISTRIB RU</v>
          </cell>
        </row>
        <row r="701">
          <cell r="A701" t="str">
            <v>DVU</v>
          </cell>
          <cell r="B701" t="str">
            <v>DIVISION IV</v>
          </cell>
        </row>
        <row r="702">
          <cell r="A702" t="str">
            <v>DVV</v>
          </cell>
          <cell r="B702" t="str">
            <v>DIVISION V</v>
          </cell>
        </row>
        <row r="703">
          <cell r="A703" t="str">
            <v>DVW</v>
          </cell>
          <cell r="B703" t="str">
            <v>DIVISION VI</v>
          </cell>
        </row>
        <row r="704">
          <cell r="A704" t="str">
            <v>DVX</v>
          </cell>
          <cell r="B704" t="str">
            <v>DIVISION VII</v>
          </cell>
        </row>
        <row r="705">
          <cell r="A705" t="str">
            <v>EAIL</v>
          </cell>
          <cell r="B705" t="str">
            <v>EASTERN IL CTG ROLL-UP</v>
          </cell>
        </row>
        <row r="706">
          <cell r="A706" t="str">
            <v>EAS</v>
          </cell>
          <cell r="B706" t="str">
            <v>EMPLOYEE ADMINISTRATIVE SVCS</v>
          </cell>
        </row>
        <row r="707">
          <cell r="A707" t="str">
            <v>EBI</v>
          </cell>
          <cell r="B707" t="str">
            <v>ENERGY DELIVERY BUSINESS IMPRV</v>
          </cell>
        </row>
        <row r="708">
          <cell r="A708" t="str">
            <v>EBX</v>
          </cell>
          <cell r="B708" t="str">
            <v>ENERGY DELIVERY BUSINESS IMPRV</v>
          </cell>
        </row>
        <row r="709">
          <cell r="A709" t="str">
            <v>EDA</v>
          </cell>
          <cell r="B709" t="str">
            <v>EDTS ADMINISTRATION</v>
          </cell>
        </row>
        <row r="710">
          <cell r="A710" t="str">
            <v>EDC</v>
          </cell>
          <cell r="B710" t="str">
            <v>ENERGY DELIVERY BUSINESS SVCS</v>
          </cell>
        </row>
        <row r="711">
          <cell r="A711" t="str">
            <v>EEI</v>
          </cell>
          <cell r="B711" t="str">
            <v>ELECTRIC ENERGY, INC.</v>
          </cell>
        </row>
        <row r="712">
          <cell r="A712" t="str">
            <v>EGJC</v>
          </cell>
          <cell r="B712" t="str">
            <v>ELG, CG, JOPPA, COL ROLL-UP</v>
          </cell>
        </row>
        <row r="713">
          <cell r="A713" t="str">
            <v>ERC</v>
          </cell>
          <cell r="B713" t="str">
            <v>ERC MANAGEMENT</v>
          </cell>
        </row>
        <row r="714">
          <cell r="A714" t="str">
            <v>ES&amp;H</v>
          </cell>
          <cell r="B714" t="str">
            <v>ENVIRONMENTAL SAFETY  HLTH</v>
          </cell>
        </row>
        <row r="715">
          <cell r="A715" t="str">
            <v>ESH</v>
          </cell>
          <cell r="B715" t="str">
            <v>ENVIRONMENTAL, SAFETY &amp; HEALTH</v>
          </cell>
        </row>
        <row r="716">
          <cell r="A716" t="str">
            <v>ETS</v>
          </cell>
          <cell r="B716" t="str">
            <v>ENERGY DELIVERY TECHNICAL SVCS</v>
          </cell>
        </row>
        <row r="717">
          <cell r="A717" t="str">
            <v>ETX</v>
          </cell>
          <cell r="B717" t="str">
            <v>ENERGY DELIVERY TECHNICAL APPS</v>
          </cell>
        </row>
        <row r="718">
          <cell r="A718" t="str">
            <v>EWRD</v>
          </cell>
          <cell r="B718" t="str">
            <v>EDWARDS</v>
          </cell>
        </row>
        <row r="719">
          <cell r="A719" t="str">
            <v>EWRDR</v>
          </cell>
          <cell r="B719" t="str">
            <v>EDWARDS ROLLUP</v>
          </cell>
        </row>
        <row r="720">
          <cell r="A720" t="str">
            <v>EXEC</v>
          </cell>
          <cell r="B720" t="str">
            <v>EXECUTIVE</v>
          </cell>
        </row>
        <row r="721">
          <cell r="A721" t="str">
            <v>F01</v>
          </cell>
          <cell r="B721" t="str">
            <v>UE GENERATION - NON NUCLEAR</v>
          </cell>
        </row>
        <row r="722">
          <cell r="A722" t="str">
            <v>F03</v>
          </cell>
          <cell r="B722" t="str">
            <v>MISSOURI OPERATIONS</v>
          </cell>
        </row>
        <row r="723">
          <cell r="A723" t="str">
            <v>F04</v>
          </cell>
          <cell r="B723" t="str">
            <v>CONTROLLER</v>
          </cell>
        </row>
        <row r="724">
          <cell r="A724" t="str">
            <v>F05</v>
          </cell>
          <cell r="B724" t="str">
            <v>SUPPLY SERVICES</v>
          </cell>
        </row>
        <row r="725">
          <cell r="A725" t="str">
            <v>F06</v>
          </cell>
          <cell r="B725" t="str">
            <v>ENERGY DELIVERY SERVICES</v>
          </cell>
        </row>
        <row r="726">
          <cell r="A726" t="str">
            <v>F08</v>
          </cell>
          <cell r="B726" t="str">
            <v>CORPORATE COMMUNICATIONS</v>
          </cell>
        </row>
        <row r="727">
          <cell r="A727" t="str">
            <v>F09</v>
          </cell>
          <cell r="B727" t="str">
            <v>TREASURER</v>
          </cell>
        </row>
        <row r="728">
          <cell r="A728" t="str">
            <v>F10</v>
          </cell>
          <cell r="B728" t="str">
            <v>OTHER</v>
          </cell>
        </row>
        <row r="729">
          <cell r="A729" t="str">
            <v>F11</v>
          </cell>
          <cell r="B729" t="str">
            <v>FUEL</v>
          </cell>
        </row>
        <row r="730">
          <cell r="A730" t="str">
            <v>F12</v>
          </cell>
          <cell r="B730" t="str">
            <v>UE GENERATION - NUCLEAR</v>
          </cell>
        </row>
        <row r="731">
          <cell r="A731" t="str">
            <v>F13</v>
          </cell>
          <cell r="B731" t="str">
            <v>CORPORATE PLANNING</v>
          </cell>
        </row>
        <row r="732">
          <cell r="A732" t="str">
            <v>F14</v>
          </cell>
          <cell r="B732" t="str">
            <v>FINANCE AND ACCOUNTING - OTHER</v>
          </cell>
        </row>
        <row r="733">
          <cell r="A733" t="str">
            <v>F15</v>
          </cell>
          <cell r="B733" t="str">
            <v>HUMAN RESOURCES</v>
          </cell>
        </row>
        <row r="734">
          <cell r="A734" t="str">
            <v>F17</v>
          </cell>
          <cell r="B734" t="str">
            <v>EXECUTIVE</v>
          </cell>
        </row>
        <row r="735">
          <cell r="A735" t="str">
            <v>F18</v>
          </cell>
          <cell r="B735" t="str">
            <v>AMEREN SERVICES CENTER</v>
          </cell>
        </row>
        <row r="736">
          <cell r="A736" t="str">
            <v>F20</v>
          </cell>
          <cell r="B736" t="str">
            <v>ENVIRONMENTAL SAFETY HEALTH</v>
          </cell>
        </row>
        <row r="737">
          <cell r="A737" t="str">
            <v>F21</v>
          </cell>
          <cell r="B737" t="str">
            <v>GENERAL COUNSEL</v>
          </cell>
        </row>
        <row r="738">
          <cell r="A738" t="str">
            <v>F33</v>
          </cell>
          <cell r="B738" t="str">
            <v>POWER PLANTS - GEN</v>
          </cell>
        </row>
        <row r="739">
          <cell r="A739" t="str">
            <v>F35</v>
          </cell>
          <cell r="B739" t="str">
            <v>AMEREN ENGY RESOURCES - IHC</v>
          </cell>
        </row>
        <row r="740">
          <cell r="A740" t="str">
            <v>F36</v>
          </cell>
          <cell r="B740" t="str">
            <v>AMEREN ENERGY MKTG CO- GMC</v>
          </cell>
        </row>
        <row r="741">
          <cell r="A741" t="str">
            <v>F37</v>
          </cell>
          <cell r="B741" t="str">
            <v>AMEREN ENERGY DEVELOPMENT CO</v>
          </cell>
        </row>
        <row r="742">
          <cell r="A742" t="str">
            <v>F38</v>
          </cell>
          <cell r="B742" t="str">
            <v>AMEREN ENGY FUELS AND SVCS</v>
          </cell>
        </row>
        <row r="743">
          <cell r="A743" t="str">
            <v>F40</v>
          </cell>
          <cell r="B743" t="str">
            <v>AMEREN ENERGY</v>
          </cell>
        </row>
        <row r="744">
          <cell r="A744" t="str">
            <v>F42</v>
          </cell>
          <cell r="B744" t="str">
            <v>AMEREN DEVELOPMENT CORP</v>
          </cell>
        </row>
        <row r="745">
          <cell r="A745" t="str">
            <v>F49</v>
          </cell>
          <cell r="B745" t="str">
            <v>GOVT RELATIONS  &amp; ECONOMIC DEV</v>
          </cell>
        </row>
        <row r="746">
          <cell r="A746" t="str">
            <v>F51</v>
          </cell>
          <cell r="B746" t="str">
            <v>REGULATORY POLICY &amp; PLANNING</v>
          </cell>
        </row>
        <row r="747">
          <cell r="A747" t="str">
            <v>F52</v>
          </cell>
          <cell r="B747" t="str">
            <v>GENERATION TECHNICAL SERVICES</v>
          </cell>
        </row>
        <row r="748">
          <cell r="A748" t="str">
            <v>F53</v>
          </cell>
          <cell r="B748" t="str">
            <v>ILLINOIS OPERATIONS</v>
          </cell>
        </row>
        <row r="749">
          <cell r="A749" t="str">
            <v>F55</v>
          </cell>
          <cell r="B749" t="str">
            <v>STRATEGIC INITIATIVES</v>
          </cell>
        </row>
        <row r="750">
          <cell r="A750" t="str">
            <v>F56</v>
          </cell>
          <cell r="B750" t="str">
            <v>AMEREN CTG OPERATIONS</v>
          </cell>
        </row>
        <row r="751">
          <cell r="A751" t="str">
            <v>F58</v>
          </cell>
          <cell r="B751" t="str">
            <v>GENERATION PRECISION QLTY MGMT</v>
          </cell>
        </row>
        <row r="752">
          <cell r="A752" t="str">
            <v>FIN COM</v>
          </cell>
          <cell r="B752" t="str">
            <v>FINANCIAL COMMUNICATIONS</v>
          </cell>
        </row>
        <row r="753">
          <cell r="A753" t="str">
            <v>FLT</v>
          </cell>
          <cell r="B753" t="str">
            <v>FLEET</v>
          </cell>
        </row>
        <row r="754">
          <cell r="A754" t="str">
            <v>FOSSIL_FUEL</v>
          </cell>
          <cell r="B754" t="str">
            <v>FOSSIL FUEL</v>
          </cell>
        </row>
        <row r="755">
          <cell r="A755" t="str">
            <v>GAS</v>
          </cell>
          <cell r="B755" t="str">
            <v>GAS OPERATIONS SUPPORT</v>
          </cell>
        </row>
        <row r="756">
          <cell r="A756" t="str">
            <v>GAS_SUPPLY</v>
          </cell>
          <cell r="B756" t="str">
            <v>PPLY - GAS SUPPLY</v>
          </cell>
        </row>
        <row r="757">
          <cell r="A757" t="str">
            <v>GCMS</v>
          </cell>
          <cell r="B757" t="str">
            <v>GENERATION CONST &amp; MTCE SVCS</v>
          </cell>
        </row>
        <row r="758">
          <cell r="A758" t="str">
            <v>GEN_COUNSEL</v>
          </cell>
          <cell r="B758" t="str">
            <v>UNSEL - GENERAL COUNSEL</v>
          </cell>
        </row>
        <row r="759">
          <cell r="A759" t="str">
            <v>GEST</v>
          </cell>
          <cell r="B759" t="str">
            <v>GENERATION ENGINEERING SUPPORT</v>
          </cell>
        </row>
        <row r="760">
          <cell r="A760" t="str">
            <v>GM1</v>
          </cell>
          <cell r="B760" t="str">
            <v>AEM TRADING</v>
          </cell>
        </row>
        <row r="761">
          <cell r="A761" t="str">
            <v>GM2</v>
          </cell>
          <cell r="B761" t="str">
            <v>AEM SALES</v>
          </cell>
        </row>
        <row r="762">
          <cell r="A762" t="str">
            <v>GM3</v>
          </cell>
          <cell r="B762" t="str">
            <v>PHYS NATL GAS MKTG-INVALID</v>
          </cell>
        </row>
        <row r="763">
          <cell r="A763" t="str">
            <v>GM4</v>
          </cell>
          <cell r="B763" t="str">
            <v>AEM BUSINESS OPERATIONS</v>
          </cell>
        </row>
        <row r="764">
          <cell r="A764" t="str">
            <v>GM5</v>
          </cell>
          <cell r="B764" t="str">
            <v>ENRGY SLS- MID MKT-CIL INVALID</v>
          </cell>
        </row>
        <row r="765">
          <cell r="A765" t="str">
            <v>GM6</v>
          </cell>
          <cell r="B765" t="str">
            <v>CILCO TRADING-INVALID</v>
          </cell>
        </row>
        <row r="766">
          <cell r="A766" t="str">
            <v>GM7</v>
          </cell>
          <cell r="B766" t="str">
            <v>ENERGY SUPPLY - CSI-INVALID</v>
          </cell>
        </row>
        <row r="767">
          <cell r="A767" t="str">
            <v>GM8</v>
          </cell>
          <cell r="B767" t="str">
            <v>ELECTRIC SUPPLY-CIL-INVALID</v>
          </cell>
        </row>
        <row r="768">
          <cell r="A768" t="str">
            <v>GM9</v>
          </cell>
          <cell r="B768" t="str">
            <v>UNREG MARKETING-CIL-INVALID</v>
          </cell>
        </row>
        <row r="769">
          <cell r="A769" t="str">
            <v>GMC</v>
          </cell>
          <cell r="B769" t="str">
            <v>VP MARKETING-INVALID</v>
          </cell>
        </row>
        <row r="770">
          <cell r="A770" t="str">
            <v>GNS</v>
          </cell>
          <cell r="B770" t="str">
            <v>GAS ENGINEERING &amp; SUPPORT</v>
          </cell>
        </row>
        <row r="771">
          <cell r="A771" t="str">
            <v>GPRE</v>
          </cell>
          <cell r="B771" t="str">
            <v>GENERATION PROJECT MGMT SVCS</v>
          </cell>
        </row>
        <row r="772">
          <cell r="A772" t="str">
            <v>GRV</v>
          </cell>
          <cell r="B772" t="str">
            <v>GRAVOIS VALLEY DIVISION</v>
          </cell>
        </row>
        <row r="773">
          <cell r="A773" t="str">
            <v>GSA</v>
          </cell>
          <cell r="B773" t="str">
            <v>GAS ADMINISTRATION</v>
          </cell>
        </row>
        <row r="774">
          <cell r="A774" t="str">
            <v>GSS</v>
          </cell>
          <cell r="B774" t="str">
            <v>GAS TECH SERVICES MO</v>
          </cell>
        </row>
        <row r="775">
          <cell r="A775" t="str">
            <v>GST</v>
          </cell>
          <cell r="B775" t="str">
            <v>GAS STORAGE</v>
          </cell>
        </row>
        <row r="776">
          <cell r="A776" t="str">
            <v>GTC</v>
          </cell>
          <cell r="B776" t="str">
            <v>GAS TRAINING &amp; COMPLIANCE</v>
          </cell>
        </row>
        <row r="777">
          <cell r="A777" t="str">
            <v>GTPA</v>
          </cell>
          <cell r="B777" t="str">
            <v>GEN TRNG &amp; PERFMCE ASSESSMENT</v>
          </cell>
        </row>
        <row r="778">
          <cell r="A778" t="str">
            <v>GTS</v>
          </cell>
          <cell r="B778" t="str">
            <v>GAS TECH SERVICES</v>
          </cell>
        </row>
        <row r="779">
          <cell r="A779" t="str">
            <v>GTWR</v>
          </cell>
          <cell r="B779" t="str">
            <v>GRAND TOWER ROLLUP</v>
          </cell>
        </row>
        <row r="780">
          <cell r="A780" t="str">
            <v>GTZ</v>
          </cell>
          <cell r="B780" t="str">
            <v>GAS VACANCY FACTOR</v>
          </cell>
        </row>
        <row r="781">
          <cell r="A781" t="str">
            <v>GWY</v>
          </cell>
          <cell r="B781" t="str">
            <v>GATEWAY DIVISION</v>
          </cell>
        </row>
        <row r="782">
          <cell r="A782" t="str">
            <v>HROTH</v>
          </cell>
          <cell r="B782" t="str">
            <v>HUMAN RESOURCES - OTHER</v>
          </cell>
        </row>
        <row r="783">
          <cell r="A783" t="str">
            <v>HUMAN_RES</v>
          </cell>
          <cell r="B783" t="str">
            <v>HUMAN RESOURCES</v>
          </cell>
        </row>
        <row r="784">
          <cell r="A784" t="str">
            <v>HUT</v>
          </cell>
          <cell r="B784" t="str">
            <v>HUTSONVILLE</v>
          </cell>
        </row>
        <row r="785">
          <cell r="A785" t="str">
            <v>HUTR</v>
          </cell>
          <cell r="B785" t="str">
            <v>HUTSONVILLE ROLLUP</v>
          </cell>
        </row>
        <row r="786">
          <cell r="A786" t="str">
            <v>HYD_CTG</v>
          </cell>
          <cell r="B786" t="str">
            <v>HYDRO  PLNTS_CTG ROLLUP</v>
          </cell>
        </row>
        <row r="787">
          <cell r="A787" t="str">
            <v>IAD</v>
          </cell>
          <cell r="B787" t="str">
            <v>ILLINOIS ADMINISTRATION</v>
          </cell>
        </row>
        <row r="788">
          <cell r="A788" t="str">
            <v>IAM</v>
          </cell>
          <cell r="B788" t="str">
            <v>ILLINOIS ADMINISTRATION</v>
          </cell>
        </row>
        <row r="789">
          <cell r="A789" t="str">
            <v>IBA</v>
          </cell>
          <cell r="B789" t="str">
            <v>INTERCOMPANY BILLINGS ADDERS</v>
          </cell>
        </row>
        <row r="790">
          <cell r="A790" t="str">
            <v>ICC</v>
          </cell>
          <cell r="B790" t="str">
            <v>IL CUST CARE CTRS - CUST SVCS</v>
          </cell>
        </row>
        <row r="791">
          <cell r="A791" t="str">
            <v>ICR</v>
          </cell>
          <cell r="B791" t="str">
            <v>ILLINOIS COMMUNITY RELATIONS</v>
          </cell>
        </row>
        <row r="792">
          <cell r="A792" t="str">
            <v>ICX</v>
          </cell>
          <cell r="B792" t="str">
            <v>COMMUNITY RELATIONS IL</v>
          </cell>
        </row>
        <row r="793">
          <cell r="A793" t="str">
            <v>IHC</v>
          </cell>
          <cell r="B793" t="str">
            <v>IHC MANAGEMENT</v>
          </cell>
        </row>
        <row r="794">
          <cell r="A794" t="str">
            <v>IMS</v>
          </cell>
          <cell r="B794" t="str">
            <v>ILLINOIS MATERIAL SUPPLY COMPANY</v>
          </cell>
        </row>
        <row r="795">
          <cell r="A795" t="str">
            <v>INC</v>
          </cell>
          <cell r="B795" t="str">
            <v>INCOME ITEMS</v>
          </cell>
        </row>
        <row r="796">
          <cell r="A796" t="str">
            <v>INF</v>
          </cell>
          <cell r="B796" t="str">
            <v>INFRASTRUCTURE OPERATIONS</v>
          </cell>
        </row>
        <row r="797">
          <cell r="A797" t="str">
            <v>INTERNAL_AUDIT</v>
          </cell>
          <cell r="B797" t="str">
            <v>INTERNAL AUDIT</v>
          </cell>
        </row>
        <row r="798">
          <cell r="A798" t="str">
            <v>IT</v>
          </cell>
          <cell r="B798" t="str">
            <v>NFORMATION TECHNOLOGY</v>
          </cell>
        </row>
        <row r="799">
          <cell r="A799" t="str">
            <v>ITST</v>
          </cell>
          <cell r="B799" t="str">
            <v>INDIAN TRAILS &amp; STERLING RU</v>
          </cell>
        </row>
        <row r="800">
          <cell r="A800" t="str">
            <v>KAL</v>
          </cell>
          <cell r="B800" t="str">
            <v>KEY ACCOUNTS IL</v>
          </cell>
        </row>
        <row r="801">
          <cell r="A801" t="str">
            <v>KEO</v>
          </cell>
          <cell r="B801" t="str">
            <v>KEOKUK PLANT</v>
          </cell>
        </row>
        <row r="802">
          <cell r="A802" t="str">
            <v>LAB</v>
          </cell>
          <cell r="B802" t="str">
            <v>LABADIE PLANT</v>
          </cell>
        </row>
        <row r="803">
          <cell r="A803" t="str">
            <v>LABOR</v>
          </cell>
          <cell r="B803" t="str">
            <v>LABOR &amp; BUSINESS SERVICES</v>
          </cell>
        </row>
        <row r="804">
          <cell r="A804" t="str">
            <v>MAD</v>
          </cell>
          <cell r="B804" t="str">
            <v>MISSOURI ADMIN</v>
          </cell>
        </row>
        <row r="805">
          <cell r="A805" t="str">
            <v>MAJ</v>
          </cell>
          <cell r="B805" t="str">
            <v>MAJOR PWR PLANTS-UEC</v>
          </cell>
        </row>
        <row r="806">
          <cell r="A806" t="str">
            <v>MCC</v>
          </cell>
          <cell r="B806" t="str">
            <v>MISSOURI CUSTOMER CARE</v>
          </cell>
        </row>
        <row r="807">
          <cell r="A807" t="str">
            <v>MCM</v>
          </cell>
          <cell r="B807" t="str">
            <v>COMMUNITY RELATIONS MO</v>
          </cell>
        </row>
        <row r="808">
          <cell r="A808" t="str">
            <v>MCP</v>
          </cell>
          <cell r="B808" t="str">
            <v>MISSOURI COMMUNITY RELATIONS</v>
          </cell>
        </row>
        <row r="809">
          <cell r="A809" t="str">
            <v>MCR</v>
          </cell>
          <cell r="B809" t="str">
            <v>MISSOURI CENTRAL RAILROAD CO</v>
          </cell>
        </row>
        <row r="810">
          <cell r="A810" t="str">
            <v>MCS</v>
          </cell>
          <cell r="B810" t="str">
            <v>CUSTOMER SERVICES MO</v>
          </cell>
        </row>
        <row r="811">
          <cell r="A811" t="str">
            <v>MDI</v>
          </cell>
          <cell r="B811" t="str">
            <v>MISSOURI DISTRIBUTION</v>
          </cell>
        </row>
        <row r="812">
          <cell r="A812" t="str">
            <v>MER</v>
          </cell>
          <cell r="B812" t="str">
            <v>MERAMEC PLANT</v>
          </cell>
        </row>
        <row r="813">
          <cell r="A813" t="str">
            <v>MOC</v>
          </cell>
          <cell r="B813" t="str">
            <v>CREDIT &amp; COLLECTIONS MO</v>
          </cell>
        </row>
        <row r="814">
          <cell r="A814" t="str">
            <v>MOV</v>
          </cell>
          <cell r="B814" t="str">
            <v>MISSOURI VALLEY DIVISION</v>
          </cell>
        </row>
        <row r="815">
          <cell r="A815" t="str">
            <v>MTR</v>
          </cell>
          <cell r="B815" t="str">
            <v>METER SVCS ROLLUP</v>
          </cell>
        </row>
        <row r="816">
          <cell r="A816" t="str">
            <v>MVPM</v>
          </cell>
          <cell r="B816" t="str">
            <v>MEDINA &amp; POWER MODULE ROLL-UP</v>
          </cell>
        </row>
        <row r="817">
          <cell r="A817" t="str">
            <v>NAD</v>
          </cell>
          <cell r="B817" t="str">
            <v>NEWTON - TRNG &amp; BEN ADMN &amp; BUD</v>
          </cell>
        </row>
        <row r="818">
          <cell r="A818" t="str">
            <v>NAR</v>
          </cell>
          <cell r="B818" t="str">
            <v>NEWTON - ADMIN ROLLUP</v>
          </cell>
        </row>
        <row r="819">
          <cell r="A819" t="str">
            <v>NCP</v>
          </cell>
          <cell r="B819" t="str">
            <v>NON-CAPITALIZED PAYROLL EXP APPORT</v>
          </cell>
        </row>
        <row r="820">
          <cell r="A820" t="str">
            <v>NCTG</v>
          </cell>
          <cell r="B820" t="str">
            <v>DEREGULATED CTG UNITS</v>
          </cell>
        </row>
        <row r="821">
          <cell r="A821" t="str">
            <v>NCY</v>
          </cell>
          <cell r="B821" t="str">
            <v>NEWTON - COAL YARD</v>
          </cell>
        </row>
        <row r="822">
          <cell r="A822" t="str">
            <v>NEM</v>
          </cell>
          <cell r="B822" t="str">
            <v>NEWTON - ELECTRICAL MAINTENANCE</v>
          </cell>
        </row>
        <row r="823">
          <cell r="A823" t="str">
            <v>NEO</v>
          </cell>
          <cell r="B823" t="str">
            <v>NETWORK ENGINEERING &amp; OPS</v>
          </cell>
        </row>
        <row r="824">
          <cell r="A824" t="str">
            <v>NEW</v>
          </cell>
          <cell r="B824" t="str">
            <v>NEWTON</v>
          </cell>
        </row>
        <row r="825">
          <cell r="A825" t="str">
            <v>NEWR</v>
          </cell>
          <cell r="B825" t="str">
            <v>NEWTON ROLLUP</v>
          </cell>
        </row>
        <row r="826">
          <cell r="A826" t="str">
            <v>NGEP</v>
          </cell>
          <cell r="B826" t="str">
            <v>NEW GEN &amp; ENV PROJECTS</v>
          </cell>
        </row>
        <row r="827">
          <cell r="A827" t="str">
            <v>NIM</v>
          </cell>
          <cell r="B827" t="str">
            <v>NEWTON - INSTRUMENT MAINTENANCE</v>
          </cell>
        </row>
        <row r="828">
          <cell r="A828" t="str">
            <v>NMM</v>
          </cell>
          <cell r="B828" t="str">
            <v>NEWTON - MECHANICAL MAINTENANCE</v>
          </cell>
        </row>
        <row r="829">
          <cell r="A829" t="str">
            <v>NMR</v>
          </cell>
          <cell r="B829" t="str">
            <v>NEWTON - MTCE ROLLUP</v>
          </cell>
        </row>
        <row r="830">
          <cell r="A830" t="str">
            <v>NOP</v>
          </cell>
          <cell r="B830" t="str">
            <v>NEWTON - OPERATIONS</v>
          </cell>
        </row>
        <row r="831">
          <cell r="A831" t="str">
            <v>NOR</v>
          </cell>
          <cell r="B831" t="str">
            <v>NEWTON - OPS ROLLUP</v>
          </cell>
        </row>
        <row r="832">
          <cell r="A832" t="str">
            <v>NSS</v>
          </cell>
          <cell r="B832" t="str">
            <v>NEWTON - STATION SUPPORT</v>
          </cell>
        </row>
        <row r="833">
          <cell r="A833" t="str">
            <v>NST</v>
          </cell>
          <cell r="B833" t="str">
            <v>NEWTON - STORES</v>
          </cell>
        </row>
        <row r="834">
          <cell r="A834" t="str">
            <v>NTS</v>
          </cell>
          <cell r="B834" t="str">
            <v>NEWTON - TECHNICAL SUPPORT</v>
          </cell>
        </row>
        <row r="835">
          <cell r="A835" t="str">
            <v>NUC</v>
          </cell>
          <cell r="B835" t="str">
            <v>NUCLEAR</v>
          </cell>
        </row>
        <row r="836">
          <cell r="A836" t="str">
            <v>NUC2</v>
          </cell>
          <cell r="B836" t="str">
            <v>NUCL ADDITIONAL LICENSING UNIT</v>
          </cell>
        </row>
        <row r="837">
          <cell r="A837" t="str">
            <v>NXX</v>
          </cell>
          <cell r="B837" t="str">
            <v>NEWTON - ROUTINE (EMPRV)</v>
          </cell>
        </row>
        <row r="838">
          <cell r="A838" t="str">
            <v>OPS</v>
          </cell>
          <cell r="B838" t="str">
            <v>IT - OPERATIONS</v>
          </cell>
        </row>
        <row r="839">
          <cell r="A839" t="str">
            <v>OSAGE</v>
          </cell>
          <cell r="B839" t="str">
            <v>OSAGE PLANT</v>
          </cell>
        </row>
        <row r="840">
          <cell r="A840" t="str">
            <v>OTHER</v>
          </cell>
          <cell r="B840" t="str">
            <v>OTHER</v>
          </cell>
        </row>
        <row r="841">
          <cell r="A841" t="str">
            <v>PNAU</v>
          </cell>
          <cell r="B841" t="str">
            <v>PENO, AUDRAIN CTG ROLL-UP</v>
          </cell>
        </row>
        <row r="842">
          <cell r="A842" t="str">
            <v>PT2</v>
          </cell>
          <cell r="B842" t="str">
            <v>Invalid RMC</v>
          </cell>
        </row>
        <row r="843">
          <cell r="A843" t="str">
            <v>RCTG</v>
          </cell>
          <cell r="B843" t="str">
            <v>REGULATED CTG UNITS</v>
          </cell>
        </row>
        <row r="844">
          <cell r="A844" t="str">
            <v>RDV</v>
          </cell>
          <cell r="B844" t="str">
            <v>RESEARCH &amp; DEVELOPMENT</v>
          </cell>
        </row>
        <row r="845">
          <cell r="A845" t="str">
            <v>REALEST</v>
          </cell>
          <cell r="B845" t="str">
            <v>REAL ESTATE ROLLUP</v>
          </cell>
        </row>
        <row r="846">
          <cell r="A846" t="str">
            <v>REV</v>
          </cell>
          <cell r="B846" t="str">
            <v>REVENUES</v>
          </cell>
        </row>
        <row r="847">
          <cell r="A847" t="str">
            <v>RGCE</v>
          </cell>
          <cell r="B847" t="str">
            <v>REGULATED CTG COMMON EXP</v>
          </cell>
        </row>
        <row r="848">
          <cell r="A848" t="str">
            <v>RLY</v>
          </cell>
          <cell r="B848" t="str">
            <v>RELAY SERVICES</v>
          </cell>
        </row>
        <row r="849">
          <cell r="A849" t="str">
            <v>RUSH</v>
          </cell>
          <cell r="B849" t="str">
            <v>RUSH ISLAND PLANT</v>
          </cell>
        </row>
        <row r="850">
          <cell r="A850" t="str">
            <v>SCP</v>
          </cell>
          <cell r="B850" t="str">
            <v>SECURITY &amp; PLANNING</v>
          </cell>
        </row>
        <row r="851">
          <cell r="A851" t="str">
            <v>SIOUX</v>
          </cell>
          <cell r="B851" t="str">
            <v>SIOUX PLANT</v>
          </cell>
        </row>
        <row r="852">
          <cell r="A852" t="str">
            <v>SMO</v>
          </cell>
          <cell r="B852" t="str">
            <v>SEMO DIVISION</v>
          </cell>
        </row>
        <row r="853">
          <cell r="A853" t="str">
            <v>SRR</v>
          </cell>
          <cell r="B853" t="str">
            <v>SERVICE REQUEST RECLASS</v>
          </cell>
        </row>
        <row r="854">
          <cell r="A854" t="str">
            <v>STORES</v>
          </cell>
          <cell r="B854" t="str">
            <v>STORES ROLLUP</v>
          </cell>
        </row>
        <row r="855">
          <cell r="A855" t="str">
            <v>STORES-CIL</v>
          </cell>
          <cell r="B855" t="str">
            <v>STORES-CIL-ROLLUP</v>
          </cell>
        </row>
        <row r="856">
          <cell r="A856" t="str">
            <v>STORES-IPC</v>
          </cell>
          <cell r="B856" t="str">
            <v>STORES-IPC-ROLLUP</v>
          </cell>
        </row>
        <row r="857">
          <cell r="A857" t="str">
            <v>SUB</v>
          </cell>
          <cell r="B857" t="str">
            <v>SUB MTCE &amp; CONST</v>
          </cell>
        </row>
        <row r="858">
          <cell r="A858" t="str">
            <v>SUPPLY CHAIN MGMT</v>
          </cell>
          <cell r="B858" t="str">
            <v>SUPPLY CHAIN ROLLUP</v>
          </cell>
        </row>
        <row r="859">
          <cell r="A859" t="str">
            <v>TAX</v>
          </cell>
          <cell r="B859" t="str">
            <v>TAXES</v>
          </cell>
        </row>
        <row r="860">
          <cell r="A860" t="str">
            <v>TAX02</v>
          </cell>
          <cell r="B860" t="str">
            <v>TAXES</v>
          </cell>
        </row>
        <row r="861">
          <cell r="A861" t="str">
            <v>TDN</v>
          </cell>
          <cell r="B861" t="str">
            <v>TRANS &amp; DIST DESIGN</v>
          </cell>
        </row>
        <row r="862">
          <cell r="A862" t="str">
            <v>TMSK</v>
          </cell>
          <cell r="B862" t="str">
            <v>TAUM SAUK PLANT</v>
          </cell>
        </row>
        <row r="863">
          <cell r="A863" t="str">
            <v>TREASURY</v>
          </cell>
          <cell r="B863" t="str">
            <v>TREASURY</v>
          </cell>
        </row>
        <row r="864">
          <cell r="A864" t="str">
            <v>TRN</v>
          </cell>
          <cell r="B864" t="str">
            <v>TRANSMISSION - MAINTENANCE</v>
          </cell>
        </row>
        <row r="865">
          <cell r="A865" t="str">
            <v>TRP</v>
          </cell>
          <cell r="B865" t="str">
            <v>TRANS OPS PLNG POLICY &amp;REG</v>
          </cell>
        </row>
        <row r="866">
          <cell r="A866" t="str">
            <v>TRV</v>
          </cell>
          <cell r="B866" t="str">
            <v>TWIN RIVERS DIVISION</v>
          </cell>
        </row>
        <row r="867">
          <cell r="A867" t="str">
            <v>TRX</v>
          </cell>
          <cell r="B867" t="str">
            <v>TRANSMISSION</v>
          </cell>
        </row>
        <row r="868">
          <cell r="A868" t="str">
            <v>UEPP</v>
          </cell>
          <cell r="B868" t="str">
            <v>UE POWER OPS PERSONNEL</v>
          </cell>
        </row>
        <row r="869">
          <cell r="A869" t="str">
            <v>VEN</v>
          </cell>
          <cell r="B869" t="str">
            <v>VENICE PLANT</v>
          </cell>
        </row>
        <row r="870">
          <cell r="A870" t="str">
            <v>VHBM</v>
          </cell>
          <cell r="B870" t="str">
            <v>VEN, HB, MER CTG ROLL-UP</v>
          </cell>
        </row>
        <row r="871">
          <cell r="A871" t="str">
            <v>WEMO</v>
          </cell>
          <cell r="B871" t="str">
            <v>WESTERN MO CTG ROLL-UP</v>
          </cell>
        </row>
        <row r="872">
          <cell r="A872" t="str">
            <v>Z03</v>
          </cell>
          <cell r="B872" t="str">
            <v>F03 INVALID RMCs</v>
          </cell>
        </row>
        <row r="873">
          <cell r="A873" t="str">
            <v>Z06</v>
          </cell>
          <cell r="B873" t="str">
            <v>INVALID RMCs</v>
          </cell>
        </row>
        <row r="874">
          <cell r="A874" t="str">
            <v>Z48</v>
          </cell>
          <cell r="B874" t="str">
            <v>INVALID BUDGETS</v>
          </cell>
        </row>
        <row r="875">
          <cell r="A875" t="str">
            <v>Z49</v>
          </cell>
          <cell r="B875" t="str">
            <v>INVALID BUDGETS</v>
          </cell>
        </row>
      </sheetData>
      <sheetData sheetId="26">
        <row r="2">
          <cell r="A2" t="str">
            <v>31</v>
          </cell>
          <cell r="B2" t="str">
            <v>INDIRECT OVERHEAD LOADING</v>
          </cell>
        </row>
        <row r="3">
          <cell r="A3" t="str">
            <v>32</v>
          </cell>
          <cell r="B3" t="str">
            <v>AFUDC LOADING</v>
          </cell>
        </row>
        <row r="4">
          <cell r="A4" t="str">
            <v>34</v>
          </cell>
          <cell r="B4" t="str">
            <v>PURCHASING RATE-AP LOADING</v>
          </cell>
        </row>
        <row r="5">
          <cell r="A5" t="str">
            <v>35</v>
          </cell>
          <cell r="B5" t="str">
            <v>STORES HDLG &amp; PURCH RATE LDG</v>
          </cell>
        </row>
        <row r="6">
          <cell r="A6" t="str">
            <v>36</v>
          </cell>
          <cell r="B6" t="str">
            <v>T&amp;D MINOR MATERIALS LOADING</v>
          </cell>
        </row>
        <row r="7">
          <cell r="A7" t="str">
            <v>37</v>
          </cell>
          <cell r="B7" t="str">
            <v>T&amp;D TOOLS APPORTIONMENTS</v>
          </cell>
        </row>
        <row r="8">
          <cell r="A8" t="str">
            <v>39</v>
          </cell>
          <cell r="B8" t="str">
            <v>TRANSPORTATION LOADING</v>
          </cell>
        </row>
        <row r="9">
          <cell r="A9" t="str">
            <v>40</v>
          </cell>
          <cell r="B9" t="str">
            <v>MATERIALS-STOCK</v>
          </cell>
        </row>
        <row r="10">
          <cell r="A10" t="str">
            <v>41</v>
          </cell>
          <cell r="B10" t="str">
            <v>MATERIALS-ADJUSTMENTS</v>
          </cell>
        </row>
        <row r="11">
          <cell r="A11" t="str">
            <v>80</v>
          </cell>
          <cell r="B11" t="str">
            <v>INDIVIDUAL EXPENSES</v>
          </cell>
        </row>
        <row r="12">
          <cell r="A12" t="str">
            <v>81</v>
          </cell>
          <cell r="B12" t="str">
            <v>RELOCATION EXPENSES</v>
          </cell>
        </row>
        <row r="13">
          <cell r="A13" t="str">
            <v>90</v>
          </cell>
          <cell r="B13" t="str">
            <v>REVENUE-SYSTEM RETAIL</v>
          </cell>
        </row>
        <row r="14">
          <cell r="A14" t="str">
            <v>91</v>
          </cell>
          <cell r="B14" t="str">
            <v>REVENUE-INTERCHANGE SALES</v>
          </cell>
        </row>
        <row r="15">
          <cell r="A15" t="str">
            <v>92</v>
          </cell>
          <cell r="B15" t="str">
            <v>REVENUE-WHOLESALE</v>
          </cell>
        </row>
        <row r="16">
          <cell r="A16" t="str">
            <v>93</v>
          </cell>
          <cell r="B16" t="str">
            <v>REVENUE-OFF-SYSTEM RETAIL</v>
          </cell>
        </row>
        <row r="17">
          <cell r="A17" t="str">
            <v>98</v>
          </cell>
          <cell r="B17" t="str">
            <v>REVENUE-OTHER &amp; MISC BILLINGS</v>
          </cell>
        </row>
        <row r="18">
          <cell r="A18" t="str">
            <v>99</v>
          </cell>
          <cell r="B18" t="str">
            <v>PROVISION FOR RATE REFUNDS</v>
          </cell>
        </row>
        <row r="19">
          <cell r="A19" t="str">
            <v>3B</v>
          </cell>
          <cell r="B19" t="str">
            <v>PEN BEN I&amp;D SOCSEC LOADING-CAP</v>
          </cell>
        </row>
        <row r="20">
          <cell r="A20" t="str">
            <v>3E</v>
          </cell>
          <cell r="B20" t="str">
            <v>PENSIONS LOADING-NON-CAP</v>
          </cell>
        </row>
        <row r="21">
          <cell r="A21" t="str">
            <v>3F</v>
          </cell>
          <cell r="B21" t="str">
            <v>BENEFITS LOADING-NON-CAP</v>
          </cell>
        </row>
        <row r="22">
          <cell r="A22" t="str">
            <v>3G</v>
          </cell>
          <cell r="B22" t="str">
            <v>SOCSEC INJDAM LOADING-NON-CAP</v>
          </cell>
        </row>
        <row r="23">
          <cell r="A23" t="str">
            <v>3X</v>
          </cell>
          <cell r="B23" t="str">
            <v>UTILITY SHOP LOADING</v>
          </cell>
        </row>
        <row r="24">
          <cell r="A24" t="str">
            <v>3Z</v>
          </cell>
          <cell r="B24" t="str">
            <v>TELECOM LOADING</v>
          </cell>
        </row>
        <row r="25">
          <cell r="A25" t="str">
            <v>AB</v>
          </cell>
          <cell r="B25" t="str">
            <v>BENEFITS TRSF TO NON-CAP</v>
          </cell>
        </row>
        <row r="26">
          <cell r="A26" t="str">
            <v>AC</v>
          </cell>
          <cell r="B26" t="str">
            <v>PEN BEN INJ DAM TRSF TO CAP</v>
          </cell>
        </row>
        <row r="27">
          <cell r="A27" t="str">
            <v>AD</v>
          </cell>
          <cell r="B27" t="str">
            <v>IND OVERHEADS TRSF TO PROJECTS</v>
          </cell>
        </row>
        <row r="28">
          <cell r="A28" t="str">
            <v>AF</v>
          </cell>
          <cell r="B28" t="str">
            <v>AFUDC OFFSET</v>
          </cell>
        </row>
        <row r="29">
          <cell r="A29" t="str">
            <v>AH</v>
          </cell>
          <cell r="B29" t="str">
            <v>SOC SEC TRSF TO CAP</v>
          </cell>
        </row>
        <row r="30">
          <cell r="A30" t="str">
            <v>AI</v>
          </cell>
          <cell r="B30" t="str">
            <v>SOC SEC INJDAM TRSF TO NON-CAP</v>
          </cell>
        </row>
        <row r="31">
          <cell r="A31" t="str">
            <v>AK</v>
          </cell>
          <cell r="B31" t="str">
            <v>PENSIONS TRSF TO NON-CAP</v>
          </cell>
        </row>
        <row r="32">
          <cell r="A32" t="str">
            <v>AM</v>
          </cell>
          <cell r="B32" t="str">
            <v>T&amp;D MINOR MATERIALS OFFSET</v>
          </cell>
        </row>
        <row r="33">
          <cell r="A33" t="str">
            <v>AN</v>
          </cell>
          <cell r="B33" t="str">
            <v>STORES HANDLING OFFSET</v>
          </cell>
        </row>
        <row r="34">
          <cell r="A34" t="str">
            <v>AP</v>
          </cell>
          <cell r="B34" t="str">
            <v>PURCHASING RATE OFFSET</v>
          </cell>
        </row>
        <row r="35">
          <cell r="A35" t="str">
            <v>AR</v>
          </cell>
          <cell r="B35" t="str">
            <v>TELECOM OFFSET</v>
          </cell>
        </row>
        <row r="36">
          <cell r="A36" t="str">
            <v>AS</v>
          </cell>
          <cell r="B36" t="str">
            <v>TOOLS OFFSET</v>
          </cell>
        </row>
        <row r="37">
          <cell r="A37" t="str">
            <v>AT</v>
          </cell>
          <cell r="B37" t="str">
            <v>TRANSPORTATION OFFSET</v>
          </cell>
        </row>
        <row r="38">
          <cell r="A38" t="str">
            <v>AU</v>
          </cell>
          <cell r="B38" t="str">
            <v>UTILITY SHOP OFFSET</v>
          </cell>
        </row>
        <row r="39">
          <cell r="A39" t="str">
            <v>BC</v>
          </cell>
          <cell r="B39" t="str">
            <v>FREIGHT ON DIRECT PURCHASES</v>
          </cell>
        </row>
        <row r="40">
          <cell r="A40" t="str">
            <v>BF</v>
          </cell>
          <cell r="B40" t="str">
            <v>NUCLEAR FUEL PURCHASES</v>
          </cell>
        </row>
        <row r="41">
          <cell r="A41" t="str">
            <v>BH</v>
          </cell>
          <cell r="B41" t="str">
            <v>POSTAGE-CUSTOMER RELATED</v>
          </cell>
        </row>
        <row r="42">
          <cell r="A42" t="str">
            <v>BI</v>
          </cell>
          <cell r="B42" t="str">
            <v>PURCHASES - INSURANCE</v>
          </cell>
        </row>
        <row r="43">
          <cell r="A43" t="str">
            <v>BK</v>
          </cell>
          <cell r="B43" t="str">
            <v>PURCHASES-COMPUTER EQUIP</v>
          </cell>
        </row>
        <row r="44">
          <cell r="A44" t="str">
            <v>BL</v>
          </cell>
          <cell r="B44" t="str">
            <v>PURCHASES-CREDIT CARD</v>
          </cell>
        </row>
        <row r="45">
          <cell r="A45" t="str">
            <v>BM</v>
          </cell>
          <cell r="B45" t="str">
            <v>PURCHASES-EQUIPMENT/PARTS</v>
          </cell>
        </row>
        <row r="46">
          <cell r="A46" t="str">
            <v>BN</v>
          </cell>
          <cell r="B46" t="str">
            <v>PURCHASES-METERS</v>
          </cell>
        </row>
        <row r="47">
          <cell r="A47" t="str">
            <v>BP</v>
          </cell>
          <cell r="B47" t="str">
            <v>PURCHASES-REAL ESTATE</v>
          </cell>
        </row>
        <row r="48">
          <cell r="A48" t="str">
            <v>BQ</v>
          </cell>
          <cell r="B48" t="str">
            <v>PURCHASES-SOFTWARE</v>
          </cell>
        </row>
        <row r="49">
          <cell r="A49" t="str">
            <v>BR</v>
          </cell>
          <cell r="B49" t="str">
            <v>PURCHASES-TELECOM EQUIPMENT</v>
          </cell>
        </row>
        <row r="50">
          <cell r="A50" t="str">
            <v>BT</v>
          </cell>
          <cell r="B50" t="str">
            <v>PURCHASES-TOOLS</v>
          </cell>
        </row>
        <row r="51">
          <cell r="A51" t="str">
            <v>BU</v>
          </cell>
          <cell r="B51" t="str">
            <v>PURCHASES-TRANSFORMERS</v>
          </cell>
        </row>
        <row r="52">
          <cell r="A52" t="str">
            <v>BV</v>
          </cell>
          <cell r="B52" t="str">
            <v>UTILITY SERVICES</v>
          </cell>
        </row>
        <row r="53">
          <cell r="A53" t="str">
            <v>BX</v>
          </cell>
          <cell r="B53" t="str">
            <v>PURCHASES-OTHER</v>
          </cell>
        </row>
        <row r="54">
          <cell r="A54" t="str">
            <v>C1</v>
          </cell>
          <cell r="B54" t="str">
            <v>CONTRIBUTIONS-CHARITABLE TRUST</v>
          </cell>
        </row>
        <row r="55">
          <cell r="A55" t="str">
            <v>C2</v>
          </cell>
          <cell r="B55" t="str">
            <v>CONTRIBUTIONS-OTHER</v>
          </cell>
        </row>
        <row r="56">
          <cell r="A56" t="str">
            <v>CM</v>
          </cell>
          <cell r="B56" t="str">
            <v>CONTRACTOR PROVIDED MATERIALS</v>
          </cell>
        </row>
        <row r="57">
          <cell r="A57" t="str">
            <v>DA</v>
          </cell>
          <cell r="B57" t="str">
            <v>DEPRECIATION &amp; AMORTIZATION</v>
          </cell>
        </row>
        <row r="58">
          <cell r="A58" t="str">
            <v>DC</v>
          </cell>
          <cell r="B58" t="str">
            <v>DEPRECIATION-CAPITAL</v>
          </cell>
        </row>
        <row r="59">
          <cell r="A59" t="str">
            <v>EC</v>
          </cell>
          <cell r="B59" t="str">
            <v>CONTRACT SERVICES</v>
          </cell>
        </row>
        <row r="60">
          <cell r="A60" t="str">
            <v>ED</v>
          </cell>
          <cell r="B60" t="str">
            <v>T&amp;D CONSTRUCTION CONTRACTORS</v>
          </cell>
        </row>
        <row r="61">
          <cell r="A61" t="str">
            <v>EH</v>
          </cell>
          <cell r="B61" t="str">
            <v>COMPUTER HARDWARE MTCE AGREEMENTS</v>
          </cell>
        </row>
        <row r="62">
          <cell r="A62" t="str">
            <v>EI</v>
          </cell>
          <cell r="B62" t="str">
            <v>ACCOUNTING ENTRIES-OTHER</v>
          </cell>
        </row>
        <row r="63">
          <cell r="A63" t="str">
            <v>EL</v>
          </cell>
          <cell r="B63" t="str">
            <v>PROFESSIONAL SERVICES-LEGAL</v>
          </cell>
        </row>
        <row r="64">
          <cell r="A64" t="str">
            <v>ES</v>
          </cell>
          <cell r="B64" t="str">
            <v>SOFTWARE LICENSE AGREEMENTS</v>
          </cell>
        </row>
        <row r="65">
          <cell r="A65" t="str">
            <v>ET</v>
          </cell>
          <cell r="B65" t="str">
            <v>PROFESSIONAL SERVICES-IT</v>
          </cell>
        </row>
        <row r="66">
          <cell r="A66" t="str">
            <v>EX</v>
          </cell>
          <cell r="B66" t="str">
            <v>PROFESSIONAL SERVICES-OTHER</v>
          </cell>
        </row>
        <row r="67">
          <cell r="A67" t="str">
            <v>FA</v>
          </cell>
          <cell r="B67" t="str">
            <v>FAS-106</v>
          </cell>
        </row>
        <row r="68">
          <cell r="A68" t="str">
            <v>FB</v>
          </cell>
          <cell r="B68" t="str">
            <v>FUEL BURNED-BASE LOAD</v>
          </cell>
        </row>
        <row r="69">
          <cell r="A69" t="str">
            <v>FI</v>
          </cell>
          <cell r="B69" t="str">
            <v>FUEL BURNED INTERCHANGE</v>
          </cell>
        </row>
        <row r="70">
          <cell r="A70" t="str">
            <v>GA</v>
          </cell>
          <cell r="B70" t="str">
            <v>GOVERNMENTAL AGENCY FEES</v>
          </cell>
        </row>
        <row r="71">
          <cell r="A71" t="str">
            <v>GL</v>
          </cell>
          <cell r="B71" t="str">
            <v>PROVISION FOR LEGAL FEES</v>
          </cell>
        </row>
        <row r="72">
          <cell r="A72" t="str">
            <v>IB</v>
          </cell>
          <cell r="B72" t="str">
            <v>INTERCOMPANY BILLINGS</v>
          </cell>
        </row>
        <row r="73">
          <cell r="A73" t="str">
            <v>ID</v>
          </cell>
          <cell r="B73" t="str">
            <v>PROVISION FOR INJURIES &amp; DAMAGES</v>
          </cell>
        </row>
        <row r="74">
          <cell r="A74" t="str">
            <v>IE</v>
          </cell>
          <cell r="B74" t="str">
            <v>INTEREST EXPENSE</v>
          </cell>
        </row>
        <row r="75">
          <cell r="A75" t="str">
            <v>L1</v>
          </cell>
          <cell r="B75" t="str">
            <v>LABOR-MGMT-ST (STAT ONLY)</v>
          </cell>
        </row>
        <row r="76">
          <cell r="A76" t="str">
            <v>L2</v>
          </cell>
          <cell r="B76" t="str">
            <v>LABOR-MGMT-OT (STAT ONLY)</v>
          </cell>
        </row>
        <row r="77">
          <cell r="A77" t="str">
            <v>L3</v>
          </cell>
          <cell r="B77" t="str">
            <v>LABOR-UNION-ST (STAT ONLY)</v>
          </cell>
        </row>
        <row r="78">
          <cell r="A78" t="str">
            <v>L4</v>
          </cell>
          <cell r="B78" t="str">
            <v>LABOR-UNION-OT (STAT ONLY)</v>
          </cell>
        </row>
        <row r="79">
          <cell r="A79" t="str">
            <v>LM</v>
          </cell>
          <cell r="B79" t="str">
            <v>LABOR-MGMT</v>
          </cell>
        </row>
        <row r="80">
          <cell r="A80" t="str">
            <v>LO</v>
          </cell>
          <cell r="B80" t="str">
            <v>LABOR-OTHER COMPENSATION</v>
          </cell>
        </row>
        <row r="81">
          <cell r="A81" t="str">
            <v>LS</v>
          </cell>
          <cell r="B81" t="str">
            <v>OTHER LABOR STATISTICS</v>
          </cell>
        </row>
        <row r="82">
          <cell r="A82" t="str">
            <v>LU</v>
          </cell>
          <cell r="B82" t="str">
            <v>LABOR-UNION</v>
          </cell>
        </row>
        <row r="83">
          <cell r="A83" t="str">
            <v>MC</v>
          </cell>
          <cell r="B83" t="str">
            <v>MEMBERSHIPS-CIVIC</v>
          </cell>
        </row>
        <row r="84">
          <cell r="A84" t="str">
            <v>MD</v>
          </cell>
          <cell r="B84" t="str">
            <v>DUES &amp; MEMBERSHIPS-OTHER</v>
          </cell>
        </row>
        <row r="85">
          <cell r="A85" t="str">
            <v>MS</v>
          </cell>
          <cell r="B85" t="str">
            <v>MEMBERSHIPS-SOCIAL</v>
          </cell>
        </row>
        <row r="86">
          <cell r="A86" t="str">
            <v>MT</v>
          </cell>
          <cell r="B86" t="str">
            <v>MEMBERSHIPS-TRADE</v>
          </cell>
        </row>
        <row r="87">
          <cell r="A87" t="str">
            <v>NA</v>
          </cell>
          <cell r="B87" t="str">
            <v>RENTALS-AFFILIATED COMPANIES</v>
          </cell>
        </row>
        <row r="88">
          <cell r="A88" t="str">
            <v>NC</v>
          </cell>
          <cell r="B88" t="str">
            <v>RENTALS-COMMUNICATION RELATED</v>
          </cell>
        </row>
        <row r="89">
          <cell r="A89" t="str">
            <v>NF</v>
          </cell>
          <cell r="B89" t="str">
            <v>NUCLEAR FUEL LEASE</v>
          </cell>
        </row>
        <row r="90">
          <cell r="A90" t="str">
            <v>NP</v>
          </cell>
          <cell r="B90" t="str">
            <v>RENTALS-COMPUTER RELATED</v>
          </cell>
        </row>
        <row r="91">
          <cell r="A91" t="str">
            <v>NS</v>
          </cell>
          <cell r="B91" t="str">
            <v>SOFTWARE-LEASES / RENTALS</v>
          </cell>
        </row>
        <row r="92">
          <cell r="A92" t="str">
            <v>NX</v>
          </cell>
          <cell r="B92" t="str">
            <v>RENTALS/LEASES-OTHER</v>
          </cell>
        </row>
        <row r="93">
          <cell r="A93" t="str">
            <v>PB</v>
          </cell>
          <cell r="B93" t="str">
            <v>PURCHASED POWER-BASE LOAD</v>
          </cell>
        </row>
        <row r="94">
          <cell r="A94" t="str">
            <v>PG</v>
          </cell>
          <cell r="B94" t="str">
            <v>GAS PURCHASED FOR RESALE</v>
          </cell>
        </row>
        <row r="95">
          <cell r="A95" t="str">
            <v>PI</v>
          </cell>
          <cell r="B95" t="str">
            <v>PURCHASED POWER-INTERCHANGE</v>
          </cell>
        </row>
        <row r="96">
          <cell r="A96" t="str">
            <v>PT</v>
          </cell>
          <cell r="B96" t="str">
            <v>PURCHASED POWER-TRANSMISSION</v>
          </cell>
        </row>
        <row r="97">
          <cell r="A97" t="str">
            <v>TA</v>
          </cell>
          <cell r="B97" t="str">
            <v>TAXES-ABOVE THE LINE</v>
          </cell>
        </row>
        <row r="98">
          <cell r="A98" t="str">
            <v>TB</v>
          </cell>
          <cell r="B98" t="str">
            <v>TAXES-BELOW THE LINE</v>
          </cell>
        </row>
        <row r="99">
          <cell r="A99" t="str">
            <v>TE</v>
          </cell>
          <cell r="B99" t="str">
            <v>TRANSMISSION EXPENSE</v>
          </cell>
        </row>
        <row r="100">
          <cell r="A100" t="str">
            <v>TR</v>
          </cell>
          <cell r="B100" t="str">
            <v>TRADERS BILL - A&amp;G</v>
          </cell>
        </row>
        <row r="101">
          <cell r="A101" t="str">
            <v>TT</v>
          </cell>
          <cell r="B101" t="str">
            <v>TRADERS BILL - TRANSMISSION</v>
          </cell>
        </row>
        <row r="102">
          <cell r="A102" t="str">
            <v>UC</v>
          </cell>
          <cell r="B102" t="str">
            <v>PROVISION FOR UNCOLLECTIBLES</v>
          </cell>
        </row>
        <row r="103">
          <cell r="A103" t="str">
            <v>V0</v>
          </cell>
          <cell r="B103" t="str">
            <v>NON-VOLTAGE SPECIFIC CHARGE</v>
          </cell>
        </row>
        <row r="104">
          <cell r="A104" t="str">
            <v>V1</v>
          </cell>
          <cell r="B104" t="str">
            <v>SECONDARY VOLTAGE</v>
          </cell>
        </row>
        <row r="105">
          <cell r="A105" t="str">
            <v>V2</v>
          </cell>
          <cell r="B105" t="str">
            <v>PRIMARY VOLTAGE</v>
          </cell>
        </row>
        <row r="106">
          <cell r="A106" t="str">
            <v>V3</v>
          </cell>
          <cell r="B106" t="str">
            <v>HIGH VOLTAGE</v>
          </cell>
        </row>
        <row r="107">
          <cell r="A107" t="str">
            <v>V4</v>
          </cell>
          <cell r="B107" t="str">
            <v>&gt;=100KV VOLTAGE</v>
          </cell>
        </row>
        <row r="108">
          <cell r="A108" t="str">
            <v>V5</v>
          </cell>
          <cell r="B108" t="str">
            <v>0-800 KWH VOLTAGE</v>
          </cell>
        </row>
        <row r="109">
          <cell r="A109" t="str">
            <v>V6</v>
          </cell>
          <cell r="B109" t="str">
            <v>&gt;800 KWH VOLTAGE</v>
          </cell>
        </row>
        <row r="110">
          <cell r="A110" t="str">
            <v>VF</v>
          </cell>
          <cell r="B110" t="str">
            <v>VEHICLES-FUEL</v>
          </cell>
        </row>
        <row r="111">
          <cell r="A111" t="str">
            <v>VP</v>
          </cell>
          <cell r="B111" t="str">
            <v>VEHICLES-PURCHASES</v>
          </cell>
        </row>
        <row r="112">
          <cell r="A112" t="str">
            <v>VX</v>
          </cell>
          <cell r="B112" t="str">
            <v>VEHICLES-OTHER</v>
          </cell>
        </row>
        <row r="113">
          <cell r="A113" t="str">
            <v>WB</v>
          </cell>
          <cell r="B113" t="str">
            <v>BENEFITS EXPENSE</v>
          </cell>
        </row>
        <row r="114">
          <cell r="A114" t="str">
            <v>WC</v>
          </cell>
          <cell r="B114" t="str">
            <v>WORKER'S COMPENSATION</v>
          </cell>
        </row>
        <row r="115">
          <cell r="A115" t="str">
            <v>WE</v>
          </cell>
          <cell r="B115" t="str">
            <v>WESTINGHOUSE CREDITS</v>
          </cell>
        </row>
        <row r="116">
          <cell r="A116" t="str">
            <v>WP</v>
          </cell>
          <cell r="B116" t="str">
            <v>PENSION EXPENSE</v>
          </cell>
        </row>
        <row r="117">
          <cell r="A117" t="str">
            <v>XA</v>
          </cell>
          <cell r="B117" t="str">
            <v>OTHER</v>
          </cell>
        </row>
        <row r="118">
          <cell r="A118" t="str">
            <v>XD</v>
          </cell>
          <cell r="B118" t="str">
            <v>RES ENERGY EFFICIENCY FUND</v>
          </cell>
        </row>
      </sheetData>
      <sheetData sheetId="27">
        <row r="2">
          <cell r="A2" t="str">
            <v>001</v>
          </cell>
          <cell r="B2" t="str">
            <v>CORPORATE COMMUNICATIONS</v>
          </cell>
          <cell r="C2" t="str">
            <v>CORPORATE COMMUNICATIONS</v>
          </cell>
        </row>
        <row r="3">
          <cell r="A3" t="str">
            <v>002</v>
          </cell>
          <cell r="B3" t="str">
            <v>EAS - PAYROLL &amp; EMPLOYEE SVCS</v>
          </cell>
          <cell r="C3" t="str">
            <v>AMEREN SERVICES CENTER</v>
          </cell>
        </row>
        <row r="4">
          <cell r="A4" t="str">
            <v>003</v>
          </cell>
          <cell r="B4" t="str">
            <v>CUSTOMER ACCOUNTING</v>
          </cell>
          <cell r="C4" t="str">
            <v>ENERGY DELIVERY SERVICES</v>
          </cell>
        </row>
        <row r="5">
          <cell r="A5" t="str">
            <v>004</v>
          </cell>
          <cell r="B5" t="str">
            <v>ACCOUNTING</v>
          </cell>
          <cell r="C5" t="str">
            <v>CONTROLLER</v>
          </cell>
        </row>
        <row r="6">
          <cell r="A6" t="str">
            <v>005</v>
          </cell>
          <cell r="B6" t="str">
            <v>CONTROLLERS STAFF</v>
          </cell>
          <cell r="C6" t="str">
            <v>CONTROLLER</v>
          </cell>
        </row>
        <row r="7">
          <cell r="A7" t="str">
            <v>006</v>
          </cell>
          <cell r="B7" t="str">
            <v>INF - DATA CENTER OPERATIONS</v>
          </cell>
          <cell r="C7" t="str">
            <v>AMEREN SERVICES CENTER</v>
          </cell>
        </row>
        <row r="8">
          <cell r="A8" t="str">
            <v>007</v>
          </cell>
          <cell r="B8" t="str">
            <v>INVALID BUDGET</v>
          </cell>
          <cell r="C8" t="str">
            <v>MISSOURI OPERATIONS</v>
          </cell>
        </row>
        <row r="9">
          <cell r="A9" t="str">
            <v>008</v>
          </cell>
          <cell r="B9" t="str">
            <v>CUSTOMER SERVICE CTR MO</v>
          </cell>
          <cell r="C9" t="str">
            <v>MISSOURI OPERATIONS</v>
          </cell>
        </row>
        <row r="10">
          <cell r="A10" t="str">
            <v>009</v>
          </cell>
          <cell r="B10" t="str">
            <v>INVALID BUDGET</v>
          </cell>
          <cell r="C10" t="str">
            <v>ENERGY DELIVERY SERVICES</v>
          </cell>
        </row>
        <row r="11">
          <cell r="A11" t="str">
            <v>010</v>
          </cell>
          <cell r="B11" t="str">
            <v>INVALID BUDGET</v>
          </cell>
          <cell r="C11" t="str">
            <v>MISSOURI OPERATIONS</v>
          </cell>
        </row>
        <row r="12">
          <cell r="A12" t="str">
            <v>011</v>
          </cell>
          <cell r="B12" t="str">
            <v>ALT - UEC</v>
          </cell>
          <cell r="C12" t="str">
            <v>EXECUTIVE</v>
          </cell>
        </row>
        <row r="13">
          <cell r="A13" t="str">
            <v>012</v>
          </cell>
          <cell r="B13" t="str">
            <v>CORPORATE PLANNING</v>
          </cell>
          <cell r="C13" t="str">
            <v>CORPORATE PLANNING</v>
          </cell>
        </row>
        <row r="14">
          <cell r="A14" t="str">
            <v>013</v>
          </cell>
          <cell r="B14" t="str">
            <v>C&amp;C  FIELD COLLECTION OFFICE</v>
          </cell>
          <cell r="C14" t="str">
            <v>MISSOURI OPERATIONS</v>
          </cell>
        </row>
        <row r="15">
          <cell r="A15" t="str">
            <v>014</v>
          </cell>
          <cell r="B15" t="str">
            <v>ALTON DISTRICT</v>
          </cell>
          <cell r="C15" t="str">
            <v>ILLINOIS OPERATIONS</v>
          </cell>
        </row>
        <row r="16">
          <cell r="A16" t="str">
            <v>015</v>
          </cell>
          <cell r="B16" t="str">
            <v>E. ST. LOUIS DISTRICT</v>
          </cell>
          <cell r="C16" t="str">
            <v>ILLINOIS OPERATIONS</v>
          </cell>
        </row>
        <row r="17">
          <cell r="A17" t="str">
            <v>016</v>
          </cell>
          <cell r="B17" t="str">
            <v>ECONOMIC DEVELOPMENT</v>
          </cell>
          <cell r="C17" t="str">
            <v>GOVT RELATIONS  &amp; ECONOMIC DEV</v>
          </cell>
        </row>
        <row r="18">
          <cell r="A18" t="str">
            <v>017</v>
          </cell>
          <cell r="B18" t="str">
            <v>EMPLOYEE BENEFITS</v>
          </cell>
          <cell r="C18" t="str">
            <v>HUMAN RESOURCES</v>
          </cell>
        </row>
        <row r="19">
          <cell r="A19" t="str">
            <v>019</v>
          </cell>
          <cell r="B19" t="str">
            <v>BENEFIT PLANS</v>
          </cell>
          <cell r="C19" t="str">
            <v>HUMAN RESOURCES</v>
          </cell>
        </row>
        <row r="20">
          <cell r="A20" t="str">
            <v>020</v>
          </cell>
          <cell r="B20" t="str">
            <v>ED PRODUCTS &amp; SERVICES</v>
          </cell>
          <cell r="C20" t="str">
            <v>ENERGY DELIVERY SERVICES</v>
          </cell>
        </row>
        <row r="21">
          <cell r="A21" t="str">
            <v>021</v>
          </cell>
          <cell r="B21" t="str">
            <v>VEGETATION MGT - UEC</v>
          </cell>
          <cell r="C21" t="str">
            <v>ENERGY DELIVERY SERVICES</v>
          </cell>
        </row>
        <row r="22">
          <cell r="A22" t="str">
            <v>022</v>
          </cell>
          <cell r="B22" t="str">
            <v>ALT - AMS</v>
          </cell>
          <cell r="C22" t="str">
            <v>EXECUTIVE</v>
          </cell>
        </row>
        <row r="23">
          <cell r="A23" t="str">
            <v>023</v>
          </cell>
          <cell r="B23" t="str">
            <v>CREDIT &amp; COLLECTION MO</v>
          </cell>
          <cell r="C23" t="str">
            <v>MISSOURI OPERATIONS</v>
          </cell>
        </row>
        <row r="24">
          <cell r="A24" t="str">
            <v>024</v>
          </cell>
          <cell r="B24" t="str">
            <v>LEGAL</v>
          </cell>
          <cell r="C24" t="str">
            <v>GENERAL COUNSEL</v>
          </cell>
        </row>
        <row r="25">
          <cell r="A25" t="str">
            <v>025</v>
          </cell>
          <cell r="B25" t="str">
            <v>ED - CUSTOMER TRAINING</v>
          </cell>
          <cell r="C25" t="str">
            <v>ENERGY DELIVERY SERVICES</v>
          </cell>
        </row>
        <row r="26">
          <cell r="A26" t="str">
            <v>026</v>
          </cell>
          <cell r="B26" t="str">
            <v>ED - SAFETY</v>
          </cell>
          <cell r="C26" t="str">
            <v>ENERGY DELIVERY SERVICES</v>
          </cell>
        </row>
        <row r="27">
          <cell r="A27" t="str">
            <v>027</v>
          </cell>
          <cell r="B27" t="str">
            <v>DORSETT</v>
          </cell>
          <cell r="C27" t="str">
            <v>MISSOURI OPERATIONS</v>
          </cell>
        </row>
        <row r="28">
          <cell r="A28" t="str">
            <v>028</v>
          </cell>
          <cell r="B28" t="str">
            <v>ED DISTRIB ENGINEERING</v>
          </cell>
          <cell r="C28" t="str">
            <v>ENERGY DELIVERY SERVICES</v>
          </cell>
        </row>
        <row r="29">
          <cell r="A29" t="str">
            <v>029</v>
          </cell>
          <cell r="B29" t="str">
            <v>ED DRAFTING</v>
          </cell>
          <cell r="C29" t="str">
            <v>ENERGY DELIVERY SERVICES</v>
          </cell>
        </row>
        <row r="30">
          <cell r="A30" t="str">
            <v>030</v>
          </cell>
          <cell r="B30" t="str">
            <v>DISTRIBUTION OPERATING - MO</v>
          </cell>
          <cell r="C30" t="str">
            <v>MISSOURI OPERATIONS</v>
          </cell>
        </row>
        <row r="31">
          <cell r="A31" t="str">
            <v>031</v>
          </cell>
          <cell r="B31" t="str">
            <v>METER SERVICES - UEC</v>
          </cell>
          <cell r="C31" t="str">
            <v>ENERGY DELIVERY SERVICES</v>
          </cell>
        </row>
        <row r="32">
          <cell r="A32" t="str">
            <v>033</v>
          </cell>
          <cell r="B32" t="str">
            <v>SUB MTCE &amp; CONST - UEC NORTH</v>
          </cell>
          <cell r="C32" t="str">
            <v>ENERGY DELIVERY SERVICES</v>
          </cell>
        </row>
        <row r="33">
          <cell r="A33" t="str">
            <v>034</v>
          </cell>
          <cell r="B33" t="str">
            <v>NUCLEAR FUEL</v>
          </cell>
          <cell r="C33" t="str">
            <v>FUEL</v>
          </cell>
        </row>
        <row r="34">
          <cell r="A34" t="str">
            <v>035</v>
          </cell>
          <cell r="B34" t="str">
            <v>METRO CONTRACTORS - INVALID</v>
          </cell>
          <cell r="C34" t="str">
            <v>ENERGY DELIVERY SERVICES</v>
          </cell>
        </row>
        <row r="35">
          <cell r="A35" t="str">
            <v>036</v>
          </cell>
          <cell r="B35" t="str">
            <v>UNDERGROUND</v>
          </cell>
          <cell r="C35" t="str">
            <v>MISSOURI OPERATIONS</v>
          </cell>
        </row>
        <row r="36">
          <cell r="A36" t="str">
            <v>037</v>
          </cell>
          <cell r="B36" t="str">
            <v>TRANSMISSION - UEC</v>
          </cell>
          <cell r="C36" t="str">
            <v>ENERGY DELIVERY SERVICES</v>
          </cell>
        </row>
        <row r="37">
          <cell r="A37" t="str">
            <v>038</v>
          </cell>
          <cell r="B37" t="str">
            <v>CLAIMS</v>
          </cell>
          <cell r="C37" t="str">
            <v>GENERAL COUNSEL</v>
          </cell>
        </row>
        <row r="38">
          <cell r="A38" t="str">
            <v>039</v>
          </cell>
          <cell r="B38" t="str">
            <v>SECURITY</v>
          </cell>
          <cell r="C38" t="str">
            <v>GENERAL COUNSEL</v>
          </cell>
        </row>
        <row r="39">
          <cell r="A39" t="str">
            <v>040</v>
          </cell>
          <cell r="B39" t="str">
            <v>INVALID BUDGET - PPM</v>
          </cell>
          <cell r="C39" t="str">
            <v>GENERATION TECHNICAL SERVICES</v>
          </cell>
        </row>
        <row r="40">
          <cell r="A40" t="str">
            <v>042</v>
          </cell>
          <cell r="B40" t="str">
            <v>TRANSMISSION OPERATIONS</v>
          </cell>
          <cell r="C40" t="str">
            <v>ENERGY DELIVERY SERVICES</v>
          </cell>
        </row>
        <row r="41">
          <cell r="A41" t="str">
            <v>043</v>
          </cell>
          <cell r="B41" t="str">
            <v>NATL GAS SUP, TRANSP &amp; CNTRL</v>
          </cell>
          <cell r="C41" t="str">
            <v>AMEREN ENGY FUELS AND SVCS</v>
          </cell>
        </row>
        <row r="42">
          <cell r="A42" t="str">
            <v>044</v>
          </cell>
          <cell r="B42" t="str">
            <v>INVALID BUDGET - OSAGE</v>
          </cell>
          <cell r="C42" t="str">
            <v>UE GENERATION - NON NUCLEAR</v>
          </cell>
        </row>
        <row r="43">
          <cell r="A43" t="str">
            <v>046</v>
          </cell>
          <cell r="B43" t="str">
            <v>INVALID BUDGET - TAUM SAUK</v>
          </cell>
          <cell r="C43" t="str">
            <v>UE GENERATION - NON NUCLEAR</v>
          </cell>
        </row>
        <row r="44">
          <cell r="A44" t="str">
            <v>047</v>
          </cell>
          <cell r="B44" t="str">
            <v>RESEARCH AND DEVELOPMENT</v>
          </cell>
          <cell r="C44" t="str">
            <v>ENERGY DELIVERY SERVICES</v>
          </cell>
        </row>
        <row r="45">
          <cell r="A45" t="str">
            <v>048</v>
          </cell>
          <cell r="B45" t="str">
            <v>TRANSMISSION SVCS BUSINESS CTR</v>
          </cell>
          <cell r="C45" t="str">
            <v>ENERGY DELIVERY SERVICES</v>
          </cell>
        </row>
        <row r="46">
          <cell r="A46" t="str">
            <v>049</v>
          </cell>
          <cell r="B46" t="str">
            <v>ESH - GENERAL</v>
          </cell>
          <cell r="C46" t="str">
            <v>ENVIRONMENTAL SAFETY HEALTH</v>
          </cell>
        </row>
        <row r="47">
          <cell r="A47" t="str">
            <v>050</v>
          </cell>
          <cell r="B47" t="str">
            <v>STOREROOMS - MO</v>
          </cell>
          <cell r="C47" t="str">
            <v>SUPPLY SERVICES</v>
          </cell>
        </row>
        <row r="48">
          <cell r="A48" t="str">
            <v>052</v>
          </cell>
          <cell r="B48" t="str">
            <v>MACKENZIE</v>
          </cell>
          <cell r="C48" t="str">
            <v>MISSOURI OPERATIONS</v>
          </cell>
        </row>
        <row r="49">
          <cell r="A49" t="str">
            <v>053</v>
          </cell>
          <cell r="B49" t="str">
            <v>ELLISVILLE DISTRICT</v>
          </cell>
          <cell r="C49" t="str">
            <v>MISSOURI OPERATIONS</v>
          </cell>
        </row>
        <row r="50">
          <cell r="A50" t="str">
            <v>055</v>
          </cell>
          <cell r="B50" t="str">
            <v>BERKELEY</v>
          </cell>
          <cell r="C50" t="str">
            <v>MISSOURI OPERATIONS</v>
          </cell>
        </row>
        <row r="51">
          <cell r="A51" t="str">
            <v>056</v>
          </cell>
          <cell r="B51" t="str">
            <v>GERALDINE</v>
          </cell>
          <cell r="C51" t="str">
            <v>MISSOURI OPERATIONS</v>
          </cell>
        </row>
        <row r="52">
          <cell r="A52" t="str">
            <v>057</v>
          </cell>
          <cell r="B52" t="str">
            <v>LABOR STRATEGY</v>
          </cell>
          <cell r="C52" t="str">
            <v>HUMAN RESOURCES</v>
          </cell>
        </row>
        <row r="53">
          <cell r="A53" t="str">
            <v>058</v>
          </cell>
          <cell r="B53" t="str">
            <v>SECRETARY'S</v>
          </cell>
          <cell r="C53" t="str">
            <v>GENERAL COUNSEL</v>
          </cell>
        </row>
        <row r="54">
          <cell r="A54" t="str">
            <v>059</v>
          </cell>
          <cell r="B54" t="str">
            <v>INVALID BUDGET</v>
          </cell>
          <cell r="C54" t="str">
            <v>ENERGY DELIVERY SERVICES</v>
          </cell>
        </row>
        <row r="55">
          <cell r="A55" t="str">
            <v>060</v>
          </cell>
          <cell r="B55" t="str">
            <v>SCP - PLANNING</v>
          </cell>
          <cell r="C55" t="str">
            <v>AMEREN SERVICES CENTER</v>
          </cell>
        </row>
        <row r="56">
          <cell r="A56" t="str">
            <v>061</v>
          </cell>
          <cell r="B56" t="str">
            <v>REAL ESTATE</v>
          </cell>
          <cell r="C56" t="str">
            <v>SUPPLY SERVICES</v>
          </cell>
        </row>
        <row r="57">
          <cell r="A57" t="str">
            <v>062</v>
          </cell>
          <cell r="B57" t="str">
            <v>INVALID BUDGET</v>
          </cell>
          <cell r="C57" t="str">
            <v>ENERGY DELIVERY SERVICES</v>
          </cell>
        </row>
        <row r="58">
          <cell r="A58" t="str">
            <v>063</v>
          </cell>
          <cell r="B58" t="str">
            <v>LAKESIDE</v>
          </cell>
          <cell r="C58" t="str">
            <v>MISSOURI OPERATIONS</v>
          </cell>
        </row>
        <row r="59">
          <cell r="A59" t="str">
            <v>064</v>
          </cell>
          <cell r="B59" t="str">
            <v>EAS - PERSONNEL ADMINISTRATION</v>
          </cell>
          <cell r="C59" t="str">
            <v>AMEREN SERVICES CENTER</v>
          </cell>
        </row>
        <row r="60">
          <cell r="A60" t="str">
            <v>065</v>
          </cell>
          <cell r="B60" t="str">
            <v>NEO - TELEPHONE SERVICES</v>
          </cell>
          <cell r="C60" t="str">
            <v>AMEREN SERVICES CENTER</v>
          </cell>
        </row>
        <row r="61">
          <cell r="A61" t="str">
            <v>066</v>
          </cell>
          <cell r="B61" t="str">
            <v>MoOPS ADMIN</v>
          </cell>
          <cell r="C61" t="str">
            <v>MISSOURI OPERATIONS</v>
          </cell>
        </row>
        <row r="62">
          <cell r="A62" t="str">
            <v>068</v>
          </cell>
          <cell r="B62" t="str">
            <v>FRANKLIN DISTRICT</v>
          </cell>
          <cell r="C62" t="str">
            <v>MISSOURI OPERATIONS</v>
          </cell>
        </row>
        <row r="63">
          <cell r="A63" t="str">
            <v>069</v>
          </cell>
          <cell r="B63" t="str">
            <v>ST CHARLES</v>
          </cell>
          <cell r="C63" t="str">
            <v>MISSOURI OPERATIONS</v>
          </cell>
        </row>
        <row r="64">
          <cell r="A64" t="str">
            <v>070</v>
          </cell>
          <cell r="B64" t="str">
            <v>JEFFERSON</v>
          </cell>
          <cell r="C64" t="str">
            <v>MISSOURI OPERATIONS</v>
          </cell>
        </row>
        <row r="65">
          <cell r="A65" t="str">
            <v>071</v>
          </cell>
          <cell r="B65" t="str">
            <v>ST FRANCOIS</v>
          </cell>
          <cell r="C65" t="str">
            <v>MISSOURI OPERATIONS</v>
          </cell>
        </row>
        <row r="66">
          <cell r="A66" t="str">
            <v>072</v>
          </cell>
          <cell r="B66" t="str">
            <v>BUILDING SERVICES-MO</v>
          </cell>
          <cell r="C66" t="str">
            <v>SUPPLY SERVICES</v>
          </cell>
        </row>
        <row r="67">
          <cell r="A67" t="str">
            <v>073</v>
          </cell>
          <cell r="B67" t="str">
            <v>FLEET SVCS - UEC</v>
          </cell>
          <cell r="C67" t="str">
            <v>ENERGY DELIVERY SERVICES</v>
          </cell>
        </row>
        <row r="68">
          <cell r="A68" t="str">
            <v>074</v>
          </cell>
          <cell r="B68" t="str">
            <v>PURCHASING</v>
          </cell>
          <cell r="C68" t="str">
            <v>SUPPLY SERVICES</v>
          </cell>
        </row>
        <row r="69">
          <cell r="A69" t="str">
            <v>075</v>
          </cell>
          <cell r="B69" t="str">
            <v>BANKING AND INVESTOR SERVICES</v>
          </cell>
          <cell r="C69" t="str">
            <v>TREASURER</v>
          </cell>
        </row>
        <row r="70">
          <cell r="A70" t="str">
            <v>076</v>
          </cell>
          <cell r="B70" t="str">
            <v>TREASURY TECHNOLOGY SERVICES</v>
          </cell>
          <cell r="C70" t="str">
            <v>AMEREN SERVICES CENTER</v>
          </cell>
        </row>
        <row r="71">
          <cell r="A71" t="str">
            <v>077</v>
          </cell>
          <cell r="B71" t="str">
            <v>INVALID BUDGET</v>
          </cell>
          <cell r="C71" t="str">
            <v>ENERGY DELIVERY SERVICES</v>
          </cell>
        </row>
        <row r="72">
          <cell r="A72" t="str">
            <v>078</v>
          </cell>
          <cell r="B72" t="str">
            <v>INVALID BUDGET - RUSH ISLAND</v>
          </cell>
          <cell r="C72" t="str">
            <v>UE GENERATION - NON NUCLEAR</v>
          </cell>
        </row>
        <row r="73">
          <cell r="A73" t="str">
            <v>079</v>
          </cell>
          <cell r="B73" t="str">
            <v>INVALID BUDGET - MERAMEC</v>
          </cell>
          <cell r="C73" t="str">
            <v>UE GENERATION - NON NUCLEAR</v>
          </cell>
        </row>
        <row r="74">
          <cell r="A74" t="str">
            <v>081</v>
          </cell>
          <cell r="B74" t="str">
            <v>INVALID BUDGET - LAB SERVICES</v>
          </cell>
          <cell r="C74" t="str">
            <v>GENERATION TECHNICAL SERVICES</v>
          </cell>
        </row>
        <row r="75">
          <cell r="A75" t="str">
            <v>082</v>
          </cell>
          <cell r="B75" t="str">
            <v>INVALID BUDGET - VENICE</v>
          </cell>
          <cell r="C75" t="str">
            <v>AMEREN CTG OPERATIONS</v>
          </cell>
        </row>
        <row r="76">
          <cell r="A76" t="str">
            <v>083</v>
          </cell>
          <cell r="B76" t="str">
            <v>INVALID BUDGET - LABADIE</v>
          </cell>
          <cell r="C76" t="str">
            <v>UE GENERATION - NON NUCLEAR</v>
          </cell>
        </row>
        <row r="77">
          <cell r="A77" t="str">
            <v>084</v>
          </cell>
          <cell r="B77" t="str">
            <v>INVALID BUDGET - KEOKUK</v>
          </cell>
          <cell r="C77" t="str">
            <v>UE GENERATION - NON NUCLEAR</v>
          </cell>
        </row>
        <row r="78">
          <cell r="A78" t="str">
            <v>085</v>
          </cell>
          <cell r="B78" t="str">
            <v>INVALID BUDGET - SIOUX</v>
          </cell>
          <cell r="C78" t="str">
            <v>UE GENERATION - NON NUCLEAR</v>
          </cell>
        </row>
        <row r="79">
          <cell r="A79" t="str">
            <v>086</v>
          </cell>
          <cell r="B79" t="str">
            <v>FOSSIL FUEL BURNED</v>
          </cell>
          <cell r="C79" t="str">
            <v>FUEL</v>
          </cell>
        </row>
        <row r="80">
          <cell r="A80" t="str">
            <v>087</v>
          </cell>
          <cell r="B80" t="str">
            <v>FOSSIL FUELS</v>
          </cell>
          <cell r="C80" t="str">
            <v>AMEREN ENGY FUELS AND SVCS</v>
          </cell>
        </row>
        <row r="81">
          <cell r="A81" t="str">
            <v>088</v>
          </cell>
          <cell r="B81" t="str">
            <v>PERSONNEL TRNG &amp; OFFICE &amp; BUD</v>
          </cell>
          <cell r="C81" t="str">
            <v>UE GENERATION - NON NUCLEAR</v>
          </cell>
        </row>
        <row r="82">
          <cell r="A82" t="str">
            <v>089</v>
          </cell>
          <cell r="B82" t="str">
            <v>APPORTIONMENTS - UEC</v>
          </cell>
          <cell r="C82" t="str">
            <v>OTHER</v>
          </cell>
        </row>
        <row r="83">
          <cell r="A83" t="str">
            <v>090</v>
          </cell>
          <cell r="B83" t="str">
            <v>SYSTEM RELAY SERVICES</v>
          </cell>
          <cell r="C83" t="str">
            <v>ENERGY DELIVERY SERVICES</v>
          </cell>
        </row>
        <row r="84">
          <cell r="A84" t="str">
            <v>091</v>
          </cell>
          <cell r="B84" t="str">
            <v>SYS RELAY SERVICES-AMS INVALID</v>
          </cell>
          <cell r="C84" t="str">
            <v>ENERGY DELIVERY SERVICES</v>
          </cell>
        </row>
        <row r="85">
          <cell r="A85" t="str">
            <v>092</v>
          </cell>
          <cell r="B85" t="str">
            <v>SPECIAL ITEMS-ACCOUNTING DEPT</v>
          </cell>
          <cell r="C85" t="str">
            <v>OTHER</v>
          </cell>
        </row>
        <row r="86">
          <cell r="A86" t="str">
            <v>093</v>
          </cell>
          <cell r="B86" t="str">
            <v>WENTZVILLE</v>
          </cell>
          <cell r="C86" t="str">
            <v>MISSOURI OPERATIONS</v>
          </cell>
        </row>
        <row r="87">
          <cell r="A87" t="str">
            <v>094</v>
          </cell>
          <cell r="B87" t="str">
            <v>INVALID BUDGET</v>
          </cell>
          <cell r="C87" t="str">
            <v>MISSOURI OPERATIONS</v>
          </cell>
        </row>
        <row r="88">
          <cell r="A88" t="str">
            <v>095</v>
          </cell>
          <cell r="B88" t="str">
            <v>INVALID BUDGET</v>
          </cell>
          <cell r="C88" t="str">
            <v>MISSOURI OPERATIONS</v>
          </cell>
        </row>
        <row r="89">
          <cell r="A89" t="str">
            <v>096</v>
          </cell>
          <cell r="B89" t="str">
            <v>MEMBERSHIPS</v>
          </cell>
          <cell r="C89" t="str">
            <v>GOVT RELATIONS  &amp; ECONOMIC DEV</v>
          </cell>
        </row>
        <row r="90">
          <cell r="A90" t="str">
            <v>097</v>
          </cell>
          <cell r="B90" t="str">
            <v>INVALID BUDGET</v>
          </cell>
          <cell r="C90" t="str">
            <v>MISSOURI OPERATIONS</v>
          </cell>
        </row>
        <row r="91">
          <cell r="A91" t="str">
            <v>098</v>
          </cell>
          <cell r="B91" t="str">
            <v>OVERHEADS CAPITALIZED - UEC</v>
          </cell>
          <cell r="C91" t="str">
            <v>OTHER</v>
          </cell>
        </row>
        <row r="92">
          <cell r="A92" t="str">
            <v>099</v>
          </cell>
          <cell r="B92" t="str">
            <v>CORPORATE SPECIAL ITEMS - UEC</v>
          </cell>
          <cell r="C92" t="str">
            <v>OTHER</v>
          </cell>
        </row>
        <row r="93">
          <cell r="A93">
            <v>106</v>
          </cell>
          <cell r="B93" t="str">
            <v>INVALID BUDGET</v>
          </cell>
          <cell r="C93" t="str">
            <v>ENERGY DELIVERY SERVICES</v>
          </cell>
        </row>
        <row r="94">
          <cell r="A94">
            <v>107</v>
          </cell>
          <cell r="B94" t="str">
            <v>DISTRIBUTION OPERATING-Mattoon</v>
          </cell>
          <cell r="C94" t="str">
            <v>ILLINOIS OPERATIONS</v>
          </cell>
        </row>
        <row r="95">
          <cell r="A95">
            <v>111</v>
          </cell>
          <cell r="B95" t="str">
            <v>INVALID BUDGET</v>
          </cell>
          <cell r="C95" t="str">
            <v>ILLINOIS OPERATIONS</v>
          </cell>
        </row>
        <row r="96">
          <cell r="A96">
            <v>112</v>
          </cell>
          <cell r="B96" t="str">
            <v>INVALID BUDGET</v>
          </cell>
          <cell r="C96" t="str">
            <v>ILLINOIS OPERATIONS</v>
          </cell>
        </row>
        <row r="97">
          <cell r="A97">
            <v>113</v>
          </cell>
          <cell r="B97" t="str">
            <v>INVALID BUDGET</v>
          </cell>
          <cell r="C97" t="str">
            <v>ILLINOIS OPERATIONS</v>
          </cell>
        </row>
        <row r="98">
          <cell r="A98">
            <v>114</v>
          </cell>
          <cell r="B98" t="str">
            <v>INVALID BUDGET</v>
          </cell>
          <cell r="C98" t="str">
            <v>ILLINOIS OPERATIONS</v>
          </cell>
        </row>
        <row r="99">
          <cell r="A99">
            <v>115</v>
          </cell>
          <cell r="B99" t="str">
            <v>INVALID BUDGET</v>
          </cell>
          <cell r="C99" t="str">
            <v>ILLINOIS OPERATIONS</v>
          </cell>
        </row>
        <row r="100">
          <cell r="A100">
            <v>116</v>
          </cell>
          <cell r="B100" t="str">
            <v>INVALID BUDGET</v>
          </cell>
          <cell r="C100" t="str">
            <v>ILLINOIS OPERATIONS</v>
          </cell>
        </row>
        <row r="101">
          <cell r="A101">
            <v>117</v>
          </cell>
          <cell r="B101" t="str">
            <v>INVALID BUDGET</v>
          </cell>
          <cell r="C101" t="str">
            <v>ILLINOIS OPERATIONS</v>
          </cell>
        </row>
        <row r="102">
          <cell r="A102">
            <v>118</v>
          </cell>
          <cell r="B102" t="str">
            <v>INVALID BUDGET</v>
          </cell>
          <cell r="C102" t="str">
            <v>ILLINOIS OPERATIONS</v>
          </cell>
        </row>
        <row r="103">
          <cell r="A103">
            <v>130</v>
          </cell>
          <cell r="B103" t="str">
            <v>BUSINESS SERVICES - AEG &amp; BUD</v>
          </cell>
          <cell r="C103" t="str">
            <v>POWER PLANTS - GEN</v>
          </cell>
        </row>
        <row r="104">
          <cell r="A104">
            <v>131</v>
          </cell>
          <cell r="B104" t="str">
            <v>EFFINGHAM RESOURCE CENTER</v>
          </cell>
          <cell r="C104" t="str">
            <v>GENERATION TECHNICAL SERVICES</v>
          </cell>
        </row>
        <row r="105">
          <cell r="A105">
            <v>132</v>
          </cell>
          <cell r="B105" t="str">
            <v>PRODUCTION SVCS - AEG-INVALID</v>
          </cell>
          <cell r="C105" t="str">
            <v>POWER PLANTS - GEN</v>
          </cell>
        </row>
        <row r="106">
          <cell r="A106">
            <v>133</v>
          </cell>
          <cell r="B106" t="str">
            <v>PEORIA RESOURCE CENTER</v>
          </cell>
          <cell r="C106" t="str">
            <v>GENERATION TECHNICAL SERVICES</v>
          </cell>
        </row>
        <row r="107">
          <cell r="A107">
            <v>134</v>
          </cell>
          <cell r="B107" t="str">
            <v>AEG RESOURCE CENTER-INVALID</v>
          </cell>
          <cell r="C107" t="str">
            <v>POWER PLANTS - GEN</v>
          </cell>
        </row>
        <row r="108">
          <cell r="A108">
            <v>136</v>
          </cell>
          <cell r="B108" t="str">
            <v>INVALID BUDGET - NEWTON</v>
          </cell>
          <cell r="C108" t="str">
            <v>POWER PLANTS - GEN</v>
          </cell>
        </row>
        <row r="109">
          <cell r="A109">
            <v>140</v>
          </cell>
          <cell r="B109" t="str">
            <v>MEREDOSIA</v>
          </cell>
          <cell r="C109" t="str">
            <v>POWER PLANTS - GEN</v>
          </cell>
        </row>
        <row r="110">
          <cell r="A110">
            <v>143</v>
          </cell>
          <cell r="B110" t="str">
            <v>INVALID BUDGET - GRAND TOWER</v>
          </cell>
          <cell r="C110" t="str">
            <v>AMEREN CTG OPERATIONS</v>
          </cell>
        </row>
        <row r="111">
          <cell r="A111">
            <v>145</v>
          </cell>
          <cell r="B111" t="str">
            <v>HUTSONVILLE</v>
          </cell>
          <cell r="C111" t="str">
            <v>POWER PLANTS - GEN</v>
          </cell>
        </row>
        <row r="112">
          <cell r="A112">
            <v>148</v>
          </cell>
          <cell r="B112" t="str">
            <v>INVALID BUDGET - COFFEEN</v>
          </cell>
          <cell r="C112" t="str">
            <v>POWER PLANTS - GEN</v>
          </cell>
        </row>
        <row r="113">
          <cell r="A113">
            <v>151</v>
          </cell>
          <cell r="B113" t="str">
            <v>ALT- CIPS</v>
          </cell>
          <cell r="C113" t="str">
            <v>EXECUTIVE</v>
          </cell>
        </row>
        <row r="114">
          <cell r="A114">
            <v>152</v>
          </cell>
          <cell r="B114" t="str">
            <v>ALT- GEN</v>
          </cell>
          <cell r="C114" t="str">
            <v>EXECUTIVE</v>
          </cell>
        </row>
        <row r="115">
          <cell r="A115">
            <v>153</v>
          </cell>
          <cell r="B115" t="str">
            <v>ALT- IHC</v>
          </cell>
          <cell r="C115" t="str">
            <v>EXECUTIVE</v>
          </cell>
        </row>
        <row r="116">
          <cell r="A116">
            <v>154</v>
          </cell>
          <cell r="B116" t="str">
            <v>ALT- AFS</v>
          </cell>
          <cell r="C116" t="str">
            <v>EXECUTIVE</v>
          </cell>
        </row>
        <row r="117">
          <cell r="A117">
            <v>155</v>
          </cell>
          <cell r="B117" t="str">
            <v>INVALID BUDGET</v>
          </cell>
          <cell r="C117" t="str">
            <v>CORPORATE PLANNING</v>
          </cell>
        </row>
        <row r="118">
          <cell r="A118">
            <v>157</v>
          </cell>
          <cell r="B118" t="str">
            <v>GOVERNMENT RELATIONS</v>
          </cell>
          <cell r="C118" t="str">
            <v>GOVT RELATIONS  &amp; ECONOMIC DEV</v>
          </cell>
        </row>
        <row r="119">
          <cell r="A119">
            <v>158</v>
          </cell>
          <cell r="B119" t="str">
            <v>ALT- GMC</v>
          </cell>
          <cell r="C119" t="str">
            <v>EXECUTIVE</v>
          </cell>
        </row>
        <row r="120">
          <cell r="A120">
            <v>159</v>
          </cell>
          <cell r="B120" t="str">
            <v>ALT- AME</v>
          </cell>
          <cell r="C120" t="str">
            <v>EXECUTIVE</v>
          </cell>
        </row>
        <row r="121">
          <cell r="A121">
            <v>186</v>
          </cell>
          <cell r="B121" t="str">
            <v>FOSSIL FUEL-GENCO</v>
          </cell>
          <cell r="C121" t="str">
            <v>FUEL</v>
          </cell>
        </row>
        <row r="122">
          <cell r="A122">
            <v>189</v>
          </cell>
          <cell r="B122" t="str">
            <v>APPORTIONMENTS - CIPS</v>
          </cell>
          <cell r="C122" t="str">
            <v>OTHER</v>
          </cell>
        </row>
        <row r="123">
          <cell r="A123">
            <v>190</v>
          </cell>
          <cell r="B123" t="str">
            <v>APPMNTS - SPECIAL ITEMS - AMS</v>
          </cell>
          <cell r="C123" t="str">
            <v>OTHER</v>
          </cell>
        </row>
        <row r="124">
          <cell r="A124">
            <v>192</v>
          </cell>
          <cell r="B124" t="str">
            <v>PLT &amp; REG AUTOMATED JOURNALS</v>
          </cell>
          <cell r="C124" t="str">
            <v>OTHER</v>
          </cell>
        </row>
        <row r="125">
          <cell r="A125">
            <v>193</v>
          </cell>
          <cell r="B125" t="str">
            <v>PLANT &amp; REGULATORY ITEMS - CIPS</v>
          </cell>
          <cell r="C125" t="str">
            <v>OTHER</v>
          </cell>
        </row>
        <row r="126">
          <cell r="A126">
            <v>194</v>
          </cell>
          <cell r="B126" t="str">
            <v>PLANT &amp; REGULATORY ITEMS - AMS</v>
          </cell>
          <cell r="C126" t="str">
            <v>OTHER</v>
          </cell>
        </row>
        <row r="127">
          <cell r="A127">
            <v>199</v>
          </cell>
          <cell r="B127" t="str">
            <v>CORPORATE SPECIAL ITEMS</v>
          </cell>
          <cell r="C127" t="str">
            <v>OTHER</v>
          </cell>
        </row>
        <row r="128">
          <cell r="A128">
            <v>201</v>
          </cell>
          <cell r="B128" t="str">
            <v>DEV - BUS &amp; CORP SVCS</v>
          </cell>
          <cell r="C128" t="str">
            <v>AMEREN SERVICES CENTER</v>
          </cell>
        </row>
        <row r="129">
          <cell r="A129">
            <v>202</v>
          </cell>
          <cell r="B129" t="str">
            <v>DEV - OPERATIONS</v>
          </cell>
          <cell r="C129" t="str">
            <v>AMEREN SERVICES CENTER</v>
          </cell>
        </row>
        <row r="130">
          <cell r="A130">
            <v>203</v>
          </cell>
          <cell r="B130" t="str">
            <v>INVALID - DEV HUMAN RESOURCES</v>
          </cell>
          <cell r="C130" t="str">
            <v>AMEREN SERVICES CENTER</v>
          </cell>
        </row>
        <row r="131">
          <cell r="A131">
            <v>204</v>
          </cell>
          <cell r="B131" t="str">
            <v>DEV - ENERGY DELIVERY</v>
          </cell>
          <cell r="C131" t="str">
            <v>AMEREN SERVICES CENTER</v>
          </cell>
        </row>
        <row r="132">
          <cell r="A132">
            <v>230</v>
          </cell>
          <cell r="B132" t="str">
            <v>ED - ELECTRIC TRAINING</v>
          </cell>
          <cell r="C132" t="str">
            <v>ENERGY DELIVERY SERVICES</v>
          </cell>
        </row>
        <row r="133">
          <cell r="A133">
            <v>231</v>
          </cell>
          <cell r="B133" t="str">
            <v>IL OPS ADMN DIV IV V VI VII</v>
          </cell>
          <cell r="C133" t="str">
            <v>ILLINOIS OPERATIONS</v>
          </cell>
        </row>
        <row r="134">
          <cell r="A134">
            <v>232</v>
          </cell>
          <cell r="B134" t="str">
            <v>GAS ENGINEERING &amp; SUPPORT</v>
          </cell>
          <cell r="C134" t="str">
            <v>ILLINOIS OPERATIONS</v>
          </cell>
        </row>
        <row r="135">
          <cell r="A135">
            <v>233</v>
          </cell>
          <cell r="B135" t="str">
            <v>ED ELECTRIC STANDARDS</v>
          </cell>
          <cell r="C135" t="str">
            <v>ENERGY DELIVERY SERVICES</v>
          </cell>
        </row>
        <row r="136">
          <cell r="A136">
            <v>234</v>
          </cell>
          <cell r="B136" t="str">
            <v>ED PERFORMANCE IMPROVEMENT</v>
          </cell>
          <cell r="C136" t="str">
            <v>ENERGY DELIVERY SERVICES</v>
          </cell>
        </row>
        <row r="137">
          <cell r="A137">
            <v>235</v>
          </cell>
          <cell r="B137" t="str">
            <v>ED STRATEGIC PLANNING INVALID</v>
          </cell>
          <cell r="C137" t="str">
            <v>ENERGY DELIVERY SERVICES</v>
          </cell>
        </row>
        <row r="138">
          <cell r="A138">
            <v>286</v>
          </cell>
          <cell r="B138" t="str">
            <v>FOSSIL FUEL-CIL</v>
          </cell>
          <cell r="C138" t="str">
            <v>FUEL</v>
          </cell>
        </row>
        <row r="139">
          <cell r="A139">
            <v>299</v>
          </cell>
          <cell r="B139" t="str">
            <v>ACCOUNTING ENTRIES-CIL</v>
          </cell>
          <cell r="C139" t="str">
            <v>OTHER</v>
          </cell>
        </row>
        <row r="140">
          <cell r="A140">
            <v>300</v>
          </cell>
          <cell r="B140" t="str">
            <v>AME - EXECUTIVE</v>
          </cell>
          <cell r="C140" t="str">
            <v>AMEREN ENERGY</v>
          </cell>
        </row>
        <row r="141">
          <cell r="A141">
            <v>301</v>
          </cell>
          <cell r="B141" t="str">
            <v>AME - TRADING-ELECTRICITY</v>
          </cell>
          <cell r="C141" t="str">
            <v>AMEREN ENERGY</v>
          </cell>
        </row>
        <row r="142">
          <cell r="A142">
            <v>302</v>
          </cell>
          <cell r="B142" t="str">
            <v>AME - MKTG-NATURAL GAS</v>
          </cell>
          <cell r="C142" t="str">
            <v>AMEREN ENERGY</v>
          </cell>
        </row>
        <row r="143">
          <cell r="A143">
            <v>303</v>
          </cell>
          <cell r="B143" t="str">
            <v>AER SVCS - OPERATION - INVALID</v>
          </cell>
          <cell r="C143" t="str">
            <v>CONTROLLER</v>
          </cell>
        </row>
        <row r="144">
          <cell r="A144">
            <v>304</v>
          </cell>
          <cell r="B144" t="str">
            <v>AER SVCS - INFO SYST - INVALID</v>
          </cell>
          <cell r="C144" t="str">
            <v>CONTROLLER</v>
          </cell>
        </row>
        <row r="145">
          <cell r="A145">
            <v>305</v>
          </cell>
          <cell r="B145" t="str">
            <v>AME - HUMAN RESOURCES-INVALID</v>
          </cell>
          <cell r="C145" t="str">
            <v>AMEREN ENERGY</v>
          </cell>
        </row>
        <row r="146">
          <cell r="A146">
            <v>306</v>
          </cell>
          <cell r="B146" t="str">
            <v>AME - RISK MANAGEMENT-INVALID</v>
          </cell>
          <cell r="C146" t="str">
            <v>AMEREN ENERGY</v>
          </cell>
        </row>
        <row r="147">
          <cell r="A147">
            <v>307</v>
          </cell>
          <cell r="B147" t="str">
            <v>AME - MRKT - STRUCTURE-INVALID</v>
          </cell>
          <cell r="C147" t="str">
            <v>AMEREN ENERGY</v>
          </cell>
        </row>
        <row r="148">
          <cell r="A148">
            <v>308</v>
          </cell>
          <cell r="B148" t="str">
            <v>AME - TRAD-NATURAL GAS-INVALID</v>
          </cell>
          <cell r="C148" t="str">
            <v>AMEREN ENERGY</v>
          </cell>
        </row>
        <row r="149">
          <cell r="A149">
            <v>309</v>
          </cell>
          <cell r="B149" t="str">
            <v>AME - MKTG COMMUNICATIONS</v>
          </cell>
          <cell r="C149" t="str">
            <v>AMEREN ENERGY</v>
          </cell>
        </row>
        <row r="150">
          <cell r="A150">
            <v>310</v>
          </cell>
          <cell r="B150" t="str">
            <v>AER SVCS - FINANCIAL ANALYSIS</v>
          </cell>
          <cell r="C150" t="str">
            <v>CONTROLLER</v>
          </cell>
        </row>
        <row r="151">
          <cell r="A151">
            <v>311</v>
          </cell>
          <cell r="B151" t="str">
            <v>AME - GENERAL ITEMS</v>
          </cell>
          <cell r="C151" t="str">
            <v>AMEREN ENERGY</v>
          </cell>
        </row>
        <row r="152">
          <cell r="A152">
            <v>312</v>
          </cell>
          <cell r="B152" t="str">
            <v>PRICING &amp; ANALYSIS</v>
          </cell>
          <cell r="C152" t="str">
            <v>CORPORATE PLANNING</v>
          </cell>
        </row>
        <row r="153">
          <cell r="A153">
            <v>313</v>
          </cell>
          <cell r="B153" t="str">
            <v>AME - BILLINGS TO IHC-INVALID</v>
          </cell>
          <cell r="C153" t="str">
            <v>AMEREN ENERGY</v>
          </cell>
        </row>
        <row r="154">
          <cell r="A154">
            <v>340</v>
          </cell>
          <cell r="B154" t="str">
            <v>REGULATED CTG COMMON</v>
          </cell>
          <cell r="C154" t="str">
            <v>AMEREN CTG OPERATIONS</v>
          </cell>
        </row>
        <row r="155">
          <cell r="A155">
            <v>341</v>
          </cell>
          <cell r="B155" t="str">
            <v>VENICE CTGs</v>
          </cell>
          <cell r="C155" t="str">
            <v>AMEREN CTG OPERATIONS</v>
          </cell>
        </row>
        <row r="156">
          <cell r="A156">
            <v>342</v>
          </cell>
          <cell r="B156" t="str">
            <v>HOWARD BEND CTG</v>
          </cell>
          <cell r="C156" t="str">
            <v>AMEREN CTG OPERATIONS</v>
          </cell>
        </row>
        <row r="157">
          <cell r="A157">
            <v>343</v>
          </cell>
          <cell r="B157" t="str">
            <v>MERAMEC CTGs</v>
          </cell>
          <cell r="C157" t="str">
            <v>AMEREN CTG OPERATIONS</v>
          </cell>
        </row>
        <row r="158">
          <cell r="A158">
            <v>344</v>
          </cell>
          <cell r="B158" t="str">
            <v>FAIRGROUNDS CTG</v>
          </cell>
          <cell r="C158" t="str">
            <v>AMEREN CTG OPERATIONS</v>
          </cell>
        </row>
        <row r="159">
          <cell r="A159">
            <v>345</v>
          </cell>
          <cell r="B159" t="str">
            <v>KIRKSVILLE CTG</v>
          </cell>
          <cell r="C159" t="str">
            <v>AMEREN CTG OPERATIONS</v>
          </cell>
        </row>
        <row r="160">
          <cell r="A160">
            <v>346</v>
          </cell>
          <cell r="B160" t="str">
            <v>MOREAU CTG</v>
          </cell>
          <cell r="C160" t="str">
            <v>AMEREN CTG OPERATIONS</v>
          </cell>
        </row>
        <row r="161">
          <cell r="A161">
            <v>347</v>
          </cell>
          <cell r="B161" t="str">
            <v>MOBERLY CTG</v>
          </cell>
          <cell r="C161" t="str">
            <v>AMEREN CTG OPERATIONS</v>
          </cell>
        </row>
        <row r="162">
          <cell r="A162">
            <v>348</v>
          </cell>
          <cell r="B162" t="str">
            <v>MEXICO CTG</v>
          </cell>
          <cell r="C162" t="str">
            <v>AMEREN CTG OPERATIONS</v>
          </cell>
        </row>
        <row r="163">
          <cell r="A163">
            <v>349</v>
          </cell>
          <cell r="B163" t="str">
            <v>VIADUCT CTG</v>
          </cell>
          <cell r="C163" t="str">
            <v>AMEREN CTG OPERATIONS</v>
          </cell>
        </row>
        <row r="164">
          <cell r="A164">
            <v>350</v>
          </cell>
          <cell r="B164" t="str">
            <v>GIBSON CITY CTG</v>
          </cell>
          <cell r="C164" t="str">
            <v>AMEREN CTG OPERATIONS</v>
          </cell>
        </row>
        <row r="165">
          <cell r="A165">
            <v>351</v>
          </cell>
          <cell r="B165" t="str">
            <v>KINMUNDY CTG</v>
          </cell>
          <cell r="C165" t="str">
            <v>AMEREN CTG OPERATIONS</v>
          </cell>
        </row>
        <row r="166">
          <cell r="A166">
            <v>352</v>
          </cell>
          <cell r="B166" t="str">
            <v>PINCKNEYVILLE CTG</v>
          </cell>
          <cell r="C166" t="str">
            <v>AMEREN CTG OPERATIONS</v>
          </cell>
        </row>
        <row r="167">
          <cell r="A167">
            <v>353</v>
          </cell>
          <cell r="B167" t="str">
            <v>TUSCOLA CTG</v>
          </cell>
          <cell r="C167" t="str">
            <v>AMEREN CTG OPERATIONS</v>
          </cell>
        </row>
        <row r="168">
          <cell r="A168">
            <v>354</v>
          </cell>
          <cell r="B168" t="str">
            <v>GRAND TOWER PLANT</v>
          </cell>
          <cell r="C168" t="str">
            <v>AMEREN CTG OPERATIONS</v>
          </cell>
        </row>
        <row r="169">
          <cell r="A169">
            <v>355</v>
          </cell>
          <cell r="B169" t="str">
            <v>ELGIN CTG</v>
          </cell>
          <cell r="C169" t="str">
            <v>AMEREN CTG OPERATIONS</v>
          </cell>
        </row>
        <row r="170">
          <cell r="A170">
            <v>356</v>
          </cell>
          <cell r="B170" t="str">
            <v>COLUMBIA CTG</v>
          </cell>
          <cell r="C170" t="str">
            <v>AMEREN CTG OPERATIONS</v>
          </cell>
        </row>
        <row r="171">
          <cell r="A171">
            <v>358</v>
          </cell>
          <cell r="B171" t="str">
            <v>JOPPA 7B CTG</v>
          </cell>
          <cell r="C171" t="str">
            <v>AMEREN CTG OPERATIONS</v>
          </cell>
        </row>
        <row r="172">
          <cell r="A172">
            <v>359</v>
          </cell>
          <cell r="B172" t="str">
            <v>PENO CREEK CTG</v>
          </cell>
          <cell r="C172" t="str">
            <v>AMEREN CTG OPERATIONS</v>
          </cell>
        </row>
        <row r="173">
          <cell r="A173">
            <v>360</v>
          </cell>
          <cell r="B173" t="str">
            <v>DEREGULATED  CTG COMMON</v>
          </cell>
          <cell r="C173" t="str">
            <v>AMEREN CTG OPERATIONS</v>
          </cell>
        </row>
        <row r="174">
          <cell r="A174">
            <v>361</v>
          </cell>
          <cell r="B174" t="str">
            <v>AUDRAIN CTG</v>
          </cell>
          <cell r="C174" t="str">
            <v>AMEREN CTG OPERATIONS</v>
          </cell>
        </row>
        <row r="175">
          <cell r="A175">
            <v>362</v>
          </cell>
          <cell r="B175" t="str">
            <v>GOOSE CREEK CTG</v>
          </cell>
          <cell r="C175" t="str">
            <v>AMEREN CTG OPERATIONS</v>
          </cell>
        </row>
        <row r="176">
          <cell r="A176">
            <v>363</v>
          </cell>
          <cell r="B176" t="str">
            <v>RACCOON CREEK CTG</v>
          </cell>
          <cell r="C176" t="str">
            <v>AMEREN CTG OPERATIONS</v>
          </cell>
        </row>
        <row r="177">
          <cell r="A177">
            <v>399</v>
          </cell>
          <cell r="B177" t="str">
            <v>ACCOUNTING ENTRIES - IPC</v>
          </cell>
          <cell r="C177" t="str">
            <v>OTHER</v>
          </cell>
        </row>
        <row r="178">
          <cell r="A178">
            <v>601</v>
          </cell>
          <cell r="B178" t="str">
            <v>CORP - COMM &amp; ADV-CIL-INVALID</v>
          </cell>
          <cell r="C178" t="str">
            <v>CORPORATE COMMUNICATIONS</v>
          </cell>
        </row>
        <row r="179">
          <cell r="A179">
            <v>602</v>
          </cell>
          <cell r="B179" t="str">
            <v>SPFLD DIV SUPP SRV-CIL-INVALID</v>
          </cell>
          <cell r="C179" t="str">
            <v>ILLINOIS OPERATIONS</v>
          </cell>
        </row>
        <row r="180">
          <cell r="A180">
            <v>603</v>
          </cell>
          <cell r="B180" t="str">
            <v>TUSCOLA GAS OPERATIONS</v>
          </cell>
          <cell r="C180" t="str">
            <v>ILLINOIS OPERATIONS</v>
          </cell>
        </row>
        <row r="181">
          <cell r="A181">
            <v>604</v>
          </cell>
          <cell r="B181" t="str">
            <v>LINCOLN ELECTRIC OPS</v>
          </cell>
          <cell r="C181" t="str">
            <v>ILLINOIS OPERATIONS</v>
          </cell>
        </row>
        <row r="182">
          <cell r="A182">
            <v>605</v>
          </cell>
          <cell r="B182" t="str">
            <v>SPRINGFIELD ELECTRIC OPS</v>
          </cell>
          <cell r="C182" t="str">
            <v>ILLINOIS OPERATIONS</v>
          </cell>
        </row>
        <row r="183">
          <cell r="A183">
            <v>606</v>
          </cell>
          <cell r="B183" t="str">
            <v>HOMER ELECTRIC OPS</v>
          </cell>
          <cell r="C183" t="str">
            <v>ILLINOIS OPERATIONS</v>
          </cell>
        </row>
        <row r="184">
          <cell r="A184">
            <v>607</v>
          </cell>
          <cell r="B184" t="str">
            <v>LINCOLN GAS OPS</v>
          </cell>
          <cell r="C184" t="str">
            <v>ILLINOIS OPERATIONS</v>
          </cell>
        </row>
        <row r="185">
          <cell r="A185">
            <v>608</v>
          </cell>
          <cell r="B185" t="str">
            <v>SPFLD GAS CONSTRUCTION</v>
          </cell>
          <cell r="C185" t="str">
            <v>ILLINOIS OPERATIONS</v>
          </cell>
        </row>
        <row r="186">
          <cell r="A186">
            <v>609</v>
          </cell>
          <cell r="B186" t="str">
            <v>SPFLD GAS SERVICE</v>
          </cell>
          <cell r="C186" t="str">
            <v>ILLINOIS OPERATIONS</v>
          </cell>
        </row>
        <row r="187">
          <cell r="A187">
            <v>610</v>
          </cell>
          <cell r="B187" t="str">
            <v>SPFLD SUBST SERV-CIL - INVALID</v>
          </cell>
          <cell r="C187" t="str">
            <v>ENERGY DELIVERY SERVICES</v>
          </cell>
        </row>
        <row r="188">
          <cell r="A188">
            <v>611</v>
          </cell>
          <cell r="B188" t="str">
            <v>AM FM POWER ON-CIL - INVALID</v>
          </cell>
          <cell r="C188" t="str">
            <v>ENERGY DELIVERY SERVICES</v>
          </cell>
        </row>
        <row r="189">
          <cell r="A189">
            <v>612</v>
          </cell>
          <cell r="B189" t="str">
            <v>PEORIA EL OP ADMIN-CIL-INVALID</v>
          </cell>
          <cell r="C189" t="str">
            <v>ILLINOIS OPERATIONS</v>
          </cell>
        </row>
        <row r="190">
          <cell r="A190">
            <v>613</v>
          </cell>
          <cell r="B190" t="str">
            <v>PEO ELEC OPER SUPP-CIL-INVALID</v>
          </cell>
          <cell r="C190" t="str">
            <v>ILLINOIS OPERATIONS</v>
          </cell>
        </row>
        <row r="191">
          <cell r="A191">
            <v>614</v>
          </cell>
          <cell r="B191" t="str">
            <v>VEGETATION MGT - CIL INVALID</v>
          </cell>
          <cell r="C191" t="str">
            <v>ENERGY DELIVERY SERVICES</v>
          </cell>
        </row>
        <row r="192">
          <cell r="A192">
            <v>615</v>
          </cell>
          <cell r="B192" t="str">
            <v>METER SERVICES - CIL</v>
          </cell>
          <cell r="C192" t="str">
            <v>ENERGY DELIVERY SERVICES</v>
          </cell>
        </row>
        <row r="193">
          <cell r="A193">
            <v>616</v>
          </cell>
          <cell r="B193" t="str">
            <v>SUB MTCE &amp; CONST - IL WEST</v>
          </cell>
          <cell r="C193" t="str">
            <v>ENERGY DELIVERY SERVICES</v>
          </cell>
        </row>
        <row r="194">
          <cell r="A194">
            <v>617</v>
          </cell>
          <cell r="B194" t="str">
            <v>NORTHERN ELECTRIC</v>
          </cell>
          <cell r="C194" t="str">
            <v>ILLINOIS OPERATIONS</v>
          </cell>
        </row>
        <row r="195">
          <cell r="A195">
            <v>618</v>
          </cell>
          <cell r="B195" t="str">
            <v>CENTRAL ELECTRIC</v>
          </cell>
          <cell r="C195" t="str">
            <v>ILLINOIS OPERATIONS</v>
          </cell>
        </row>
        <row r="196">
          <cell r="A196">
            <v>619</v>
          </cell>
          <cell r="B196" t="str">
            <v>PEORIA ELEC UNDERGROUND</v>
          </cell>
          <cell r="C196" t="str">
            <v>ILLINOIS OPERATIONS</v>
          </cell>
        </row>
        <row r="197">
          <cell r="A197">
            <v>620</v>
          </cell>
          <cell r="B197" t="str">
            <v>REG &amp; PRESSURE SERV-CIL INVALD</v>
          </cell>
          <cell r="C197" t="str">
            <v>ENERGY DELIVERY SERVICES</v>
          </cell>
        </row>
        <row r="198">
          <cell r="A198">
            <v>621</v>
          </cell>
          <cell r="B198" t="str">
            <v>GAS STORAGE FIELDS-CIL INVALID</v>
          </cell>
          <cell r="C198" t="str">
            <v>ENERGY DELIVERY SERVICES</v>
          </cell>
        </row>
        <row r="199">
          <cell r="A199">
            <v>622</v>
          </cell>
          <cell r="B199" t="str">
            <v>GAS DIV - CNTL DISPT-CIL INVLD</v>
          </cell>
          <cell r="C199" t="str">
            <v>ENERGY DELIVERY SERVICES</v>
          </cell>
        </row>
        <row r="200">
          <cell r="A200">
            <v>623</v>
          </cell>
          <cell r="B200" t="str">
            <v>GAS CORP METER-CIL INVALID</v>
          </cell>
          <cell r="C200" t="str">
            <v>ENERGY DELIVERY SERVICES</v>
          </cell>
        </row>
        <row r="201">
          <cell r="A201">
            <v>624</v>
          </cell>
          <cell r="B201" t="str">
            <v>PEORIA GAS SERVICE</v>
          </cell>
          <cell r="C201" t="str">
            <v>ILLINOIS OPERATIONS</v>
          </cell>
        </row>
        <row r="202">
          <cell r="A202">
            <v>625</v>
          </cell>
          <cell r="B202" t="str">
            <v>GAS CORP SERV DISPAT-CIL INVAL</v>
          </cell>
          <cell r="C202" t="str">
            <v>ILLINOIS OPERATIONS</v>
          </cell>
        </row>
        <row r="203">
          <cell r="A203">
            <v>626</v>
          </cell>
          <cell r="B203" t="str">
            <v>LDU - COMPL &amp; RECD-CIL INVALID</v>
          </cell>
          <cell r="C203" t="str">
            <v>ILLINOIS OPERATIONS</v>
          </cell>
        </row>
        <row r="204">
          <cell r="A204">
            <v>627</v>
          </cell>
          <cell r="B204" t="str">
            <v>CORP MOBILE COMM-CIL-INVALID</v>
          </cell>
          <cell r="C204" t="str">
            <v>ENERGY DELIVERY SERVICES</v>
          </cell>
        </row>
        <row r="205">
          <cell r="A205">
            <v>628</v>
          </cell>
          <cell r="B205" t="str">
            <v>PEORIA GAS CONSTRUCTION</v>
          </cell>
          <cell r="C205" t="str">
            <v>ILLINOIS OPERATIONS</v>
          </cell>
        </row>
        <row r="206">
          <cell r="A206">
            <v>629</v>
          </cell>
          <cell r="B206" t="str">
            <v>DISTRIBUTION OPERATING-Peoria</v>
          </cell>
          <cell r="C206" t="str">
            <v>ILLINOIS OPERATIONS</v>
          </cell>
        </row>
        <row r="207">
          <cell r="A207">
            <v>630</v>
          </cell>
          <cell r="B207" t="str">
            <v>PEORIA MTR READING-CIL-INVALID</v>
          </cell>
          <cell r="C207" t="str">
            <v>ENERGY DELIVERY SERVICES</v>
          </cell>
        </row>
        <row r="208">
          <cell r="A208">
            <v>631</v>
          </cell>
          <cell r="B208" t="str">
            <v>EDU FINANCE &amp; ADMN-CIL-INVALID</v>
          </cell>
          <cell r="C208" t="str">
            <v>CONTROLLER</v>
          </cell>
        </row>
        <row r="209">
          <cell r="A209">
            <v>632</v>
          </cell>
          <cell r="B209" t="str">
            <v>CSF - IT FIELD OPERATIONS</v>
          </cell>
          <cell r="C209" t="str">
            <v>AMEREN SERVICES CENTER</v>
          </cell>
        </row>
        <row r="210">
          <cell r="A210">
            <v>633</v>
          </cell>
          <cell r="B210" t="str">
            <v>CRP RATES-REG AFFS-CIL-INVALID</v>
          </cell>
          <cell r="C210" t="str">
            <v>REGULATORY POLICY &amp; PLANNING</v>
          </cell>
        </row>
        <row r="211">
          <cell r="A211">
            <v>634</v>
          </cell>
          <cell r="B211" t="str">
            <v>CUST ACCTG &amp; REV PROT - IL</v>
          </cell>
          <cell r="C211" t="str">
            <v>ILLINOIS OPERATIONS</v>
          </cell>
        </row>
        <row r="212">
          <cell r="A212">
            <v>635</v>
          </cell>
          <cell r="B212" t="str">
            <v>ALT - CIL</v>
          </cell>
          <cell r="C212" t="str">
            <v>EXECUTIVE</v>
          </cell>
        </row>
        <row r="213">
          <cell r="A213">
            <v>636</v>
          </cell>
          <cell r="B213" t="str">
            <v>MKTG &amp; SALES ADMIN-CIL-INVALID</v>
          </cell>
          <cell r="C213" t="str">
            <v>EXECUTIVE</v>
          </cell>
        </row>
        <row r="214">
          <cell r="A214">
            <v>637</v>
          </cell>
          <cell r="B214" t="str">
            <v>KEY ACCOUNTS - IL</v>
          </cell>
          <cell r="C214" t="str">
            <v>ILLINOIS OPERATIONS</v>
          </cell>
        </row>
        <row r="215">
          <cell r="A215">
            <v>638</v>
          </cell>
          <cell r="B215" t="str">
            <v>CRP LEGI &amp; PUB AFF-CIL-INVALID</v>
          </cell>
          <cell r="C215" t="str">
            <v>CORPORATE COMMUNICATIONS</v>
          </cell>
        </row>
        <row r="216">
          <cell r="A216">
            <v>639</v>
          </cell>
          <cell r="B216" t="str">
            <v>CUSTOMER CONTACT CENTER - IL</v>
          </cell>
          <cell r="C216" t="str">
            <v>ILLINOIS OPERATIONS</v>
          </cell>
        </row>
        <row r="217">
          <cell r="A217">
            <v>641</v>
          </cell>
          <cell r="B217" t="str">
            <v>CORPORATE MARKETG-CIL-INVALID</v>
          </cell>
          <cell r="C217" t="str">
            <v>ENERGY DELIVERY SERVICES</v>
          </cell>
        </row>
        <row r="218">
          <cell r="A218">
            <v>642</v>
          </cell>
          <cell r="B218" t="str">
            <v>CILCO ENERGY TRADING-INVALID</v>
          </cell>
          <cell r="C218" t="str">
            <v>AMEREN ENGY FUELS AND SVCS</v>
          </cell>
        </row>
        <row r="219">
          <cell r="A219">
            <v>643</v>
          </cell>
          <cell r="B219" t="str">
            <v>HALLOCK POWER MODULES</v>
          </cell>
          <cell r="C219" t="str">
            <v>AMEREN CTG OPERATIONS</v>
          </cell>
        </row>
        <row r="220">
          <cell r="A220">
            <v>644</v>
          </cell>
          <cell r="B220" t="str">
            <v>KICKAPOO POWER MODULES</v>
          </cell>
          <cell r="C220" t="str">
            <v>AMEREN CTG OPERATIONS</v>
          </cell>
        </row>
        <row r="221">
          <cell r="A221">
            <v>646</v>
          </cell>
          <cell r="B221" t="str">
            <v>CAT-MOSSVILLE POWER MODULES</v>
          </cell>
          <cell r="C221" t="str">
            <v>AMEREN CTG OPERATIONS</v>
          </cell>
        </row>
        <row r="222">
          <cell r="A222">
            <v>647</v>
          </cell>
          <cell r="B222" t="str">
            <v>CAT-MAPLETON POWER MODULES</v>
          </cell>
          <cell r="C222" t="str">
            <v>AMEREN CTG OPERATIONS</v>
          </cell>
        </row>
        <row r="223">
          <cell r="A223">
            <v>648</v>
          </cell>
          <cell r="B223" t="str">
            <v>TAZEWELL ALTORFER POWER MODULE</v>
          </cell>
          <cell r="C223" t="str">
            <v>AMEREN CTG OPERATIONS</v>
          </cell>
        </row>
        <row r="224">
          <cell r="A224">
            <v>649</v>
          </cell>
          <cell r="B224" t="str">
            <v>HALLOCK ALT TMP PWR MD-INVALID</v>
          </cell>
          <cell r="C224" t="str">
            <v>AMEREN CTG OPERATIONS</v>
          </cell>
        </row>
        <row r="225">
          <cell r="A225">
            <v>650</v>
          </cell>
          <cell r="B225" t="str">
            <v>SPFLD DIV ADMIN-CIL - INVALID</v>
          </cell>
          <cell r="C225" t="str">
            <v>ILLINOIS OPERATIONS</v>
          </cell>
        </row>
        <row r="226">
          <cell r="A226">
            <v>654</v>
          </cell>
          <cell r="B226" t="str">
            <v>WORK STOPPAGE-CIL-INVALID</v>
          </cell>
          <cell r="C226" t="str">
            <v>OTHER</v>
          </cell>
        </row>
        <row r="227">
          <cell r="A227">
            <v>664</v>
          </cell>
          <cell r="B227" t="str">
            <v>GAS CENT DIST DSGN -CIL-INVALD</v>
          </cell>
          <cell r="C227" t="str">
            <v>ILLINOIS OPERATIONS</v>
          </cell>
        </row>
        <row r="228">
          <cell r="A228">
            <v>665</v>
          </cell>
          <cell r="B228" t="str">
            <v>INFRASERVICES - CIS - INVALID</v>
          </cell>
          <cell r="C228" t="str">
            <v>ENERGY DELIVERY SERVICES</v>
          </cell>
        </row>
        <row r="229">
          <cell r="A229">
            <v>667</v>
          </cell>
          <cell r="B229" t="str">
            <v>DIVISION III SUPT -CIL</v>
          </cell>
          <cell r="C229" t="str">
            <v>ILLINOIS OPERATIONS</v>
          </cell>
        </row>
        <row r="230">
          <cell r="A230">
            <v>668</v>
          </cell>
          <cell r="B230" t="str">
            <v>IL OPS ADMN DIV I II III</v>
          </cell>
          <cell r="C230" t="str">
            <v>ILLINOIS OPERATIONS</v>
          </cell>
        </row>
        <row r="231">
          <cell r="A231">
            <v>669</v>
          </cell>
          <cell r="B231" t="str">
            <v>DIVISION I SUPPORT STAFF</v>
          </cell>
          <cell r="C231" t="str">
            <v>ILLINOIS OPERATIONS</v>
          </cell>
        </row>
        <row r="232">
          <cell r="A232">
            <v>670</v>
          </cell>
          <cell r="B232" t="str">
            <v>STERLING AVENUE CTG</v>
          </cell>
          <cell r="C232" t="str">
            <v>AMEREN CTG OPERATIONS</v>
          </cell>
        </row>
        <row r="233">
          <cell r="A233">
            <v>671</v>
          </cell>
          <cell r="B233" t="str">
            <v>ALT - ARG</v>
          </cell>
          <cell r="C233" t="str">
            <v>EXECUTIVE</v>
          </cell>
        </row>
        <row r="234">
          <cell r="A234">
            <v>680</v>
          </cell>
          <cell r="B234" t="str">
            <v>GENERATION PRECISION QLTY MGMT</v>
          </cell>
          <cell r="C234" t="str">
            <v>GENERATION PRECISION QLTY MGMT</v>
          </cell>
        </row>
        <row r="235">
          <cell r="A235">
            <v>802</v>
          </cell>
          <cell r="B235" t="str">
            <v>NUCL - ENG PI - PERF IMPROVE</v>
          </cell>
          <cell r="C235" t="str">
            <v>UE GENERATION - NUCLEAR</v>
          </cell>
        </row>
        <row r="236">
          <cell r="A236">
            <v>803</v>
          </cell>
          <cell r="B236" t="str">
            <v>NUCL - PROBABILISTIC RISK ASMT</v>
          </cell>
          <cell r="C236" t="str">
            <v>UE GENERATION - NUCLEAR</v>
          </cell>
        </row>
        <row r="237">
          <cell r="A237">
            <v>805</v>
          </cell>
          <cell r="B237" t="str">
            <v>NUCL - BUDGET - COST MGMT</v>
          </cell>
          <cell r="C237" t="str">
            <v>UE GENERATION - NUCLEAR</v>
          </cell>
        </row>
        <row r="238">
          <cell r="A238">
            <v>806</v>
          </cell>
          <cell r="B238" t="str">
            <v>NUCL - FUELS</v>
          </cell>
          <cell r="C238" t="str">
            <v>UE GENERATION - NUCLEAR</v>
          </cell>
        </row>
        <row r="239">
          <cell r="A239">
            <v>808</v>
          </cell>
          <cell r="B239" t="str">
            <v>CA - SYSTEMS ENGINRING INVALID</v>
          </cell>
          <cell r="C239" t="str">
            <v>UE GENERATION - NUCLEAR</v>
          </cell>
        </row>
        <row r="240">
          <cell r="A240" t="str">
            <v>01C</v>
          </cell>
          <cell r="B240" t="str">
            <v>STRATEGIC INITIATIVES</v>
          </cell>
          <cell r="C240" t="str">
            <v>STRATEGIC INITIATIVES</v>
          </cell>
        </row>
        <row r="241">
          <cell r="A241" t="str">
            <v>02A</v>
          </cell>
          <cell r="B241" t="str">
            <v>RESOURCE POOL</v>
          </cell>
          <cell r="C241" t="str">
            <v>HUMAN RESOURCES</v>
          </cell>
        </row>
        <row r="242">
          <cell r="A242" t="str">
            <v>02B</v>
          </cell>
          <cell r="B242" t="str">
            <v>CONTRACT PERSONNEL</v>
          </cell>
          <cell r="C242" t="str">
            <v>HUMAN RESOURCES</v>
          </cell>
        </row>
        <row r="243">
          <cell r="A243" t="str">
            <v>02C</v>
          </cell>
          <cell r="B243" t="str">
            <v>EDTS CONSTRUCTION SVCS</v>
          </cell>
          <cell r="C243" t="str">
            <v>ENERGY DELIVERY SERVICES</v>
          </cell>
        </row>
        <row r="244">
          <cell r="A244" t="str">
            <v>02E</v>
          </cell>
          <cell r="B244" t="str">
            <v>HR - STAFFING</v>
          </cell>
          <cell r="C244" t="str">
            <v>HUMAN RESOURCES</v>
          </cell>
        </row>
        <row r="245">
          <cell r="A245" t="str">
            <v>02F</v>
          </cell>
          <cell r="B245" t="str">
            <v>VEGETATION MGT - IL</v>
          </cell>
          <cell r="C245" t="str">
            <v>ENERGY DELIVERY SERVICES</v>
          </cell>
        </row>
        <row r="246">
          <cell r="A246" t="str">
            <v>02H</v>
          </cell>
          <cell r="B246" t="str">
            <v>HR - OPERATIONS &amp; COMPLIANCE</v>
          </cell>
          <cell r="C246" t="str">
            <v>HUMAN RESOURCES</v>
          </cell>
        </row>
        <row r="247">
          <cell r="A247" t="str">
            <v>02N</v>
          </cell>
          <cell r="B247" t="str">
            <v>CREDIT &amp; COLLECTIONS - IL</v>
          </cell>
          <cell r="C247" t="str">
            <v>ILLINOIS OPERATIONS</v>
          </cell>
        </row>
        <row r="248">
          <cell r="A248" t="str">
            <v>02P</v>
          </cell>
          <cell r="B248" t="str">
            <v>HR - TOTAL REWARDS</v>
          </cell>
          <cell r="C248" t="str">
            <v>HUMAN RESOURCES</v>
          </cell>
        </row>
        <row r="249">
          <cell r="A249" t="str">
            <v>02Q</v>
          </cell>
          <cell r="B249" t="str">
            <v>INVALID BUDGET</v>
          </cell>
          <cell r="C249" t="str">
            <v>HUMAN RESOURCES</v>
          </cell>
        </row>
        <row r="250">
          <cell r="A250" t="str">
            <v>02R</v>
          </cell>
          <cell r="B250" t="str">
            <v>HR - DIVERSITY</v>
          </cell>
          <cell r="C250" t="str">
            <v>HUMAN RESOURCES</v>
          </cell>
        </row>
        <row r="251">
          <cell r="A251" t="str">
            <v>02T</v>
          </cell>
          <cell r="B251" t="str">
            <v>HR -ORGANIZATION EFFECTIVENESS</v>
          </cell>
          <cell r="C251" t="str">
            <v>HUMAN RESOURCES</v>
          </cell>
        </row>
        <row r="252">
          <cell r="A252" t="str">
            <v>02V</v>
          </cell>
          <cell r="B252" t="str">
            <v>EMPLOYEE COMMUNICATIONS</v>
          </cell>
          <cell r="C252" t="str">
            <v>CORPORATE COMMUNICATIONS</v>
          </cell>
        </row>
        <row r="253">
          <cell r="A253" t="str">
            <v>02Z</v>
          </cell>
          <cell r="B253" t="str">
            <v>CUSTOMER SVC VACANCY FACTOR</v>
          </cell>
          <cell r="C253" t="str">
            <v>MISSOURI OPERATIONS</v>
          </cell>
        </row>
        <row r="254">
          <cell r="A254" t="str">
            <v>03A</v>
          </cell>
          <cell r="B254" t="str">
            <v>METER READING - AMS</v>
          </cell>
          <cell r="C254" t="str">
            <v>ENERGY DELIVERY SERVICES</v>
          </cell>
        </row>
        <row r="255">
          <cell r="A255" t="str">
            <v>03B</v>
          </cell>
          <cell r="B255" t="str">
            <v>TRANSMISSION - CIL</v>
          </cell>
          <cell r="C255" t="str">
            <v>ENERGY DELIVERY SERVICES</v>
          </cell>
        </row>
        <row r="256">
          <cell r="A256" t="str">
            <v>03C</v>
          </cell>
          <cell r="B256" t="str">
            <v>TRANSMISSION - CIP</v>
          </cell>
          <cell r="C256" t="str">
            <v>ENERGY DELIVERY SERVICES</v>
          </cell>
        </row>
        <row r="257">
          <cell r="A257" t="str">
            <v>03D</v>
          </cell>
          <cell r="B257" t="str">
            <v>SUB MTCE &amp; CONST - IL EAST</v>
          </cell>
          <cell r="C257" t="str">
            <v>ENERGY DELIVERY SERVICES</v>
          </cell>
        </row>
        <row r="258">
          <cell r="A258" t="str">
            <v>03F</v>
          </cell>
          <cell r="B258" t="str">
            <v>SUB MTCE &amp; CONST - UEC SOUTH</v>
          </cell>
          <cell r="C258" t="str">
            <v>ENERGY DELIVERY SERVICES</v>
          </cell>
        </row>
        <row r="259">
          <cell r="A259" t="str">
            <v>03H</v>
          </cell>
          <cell r="B259" t="str">
            <v>SUB MTCE &amp; CONST - UEC WEST</v>
          </cell>
          <cell r="C259" t="str">
            <v>ENERGY DELIVERY SERVICES</v>
          </cell>
        </row>
        <row r="260">
          <cell r="A260" t="str">
            <v>03M</v>
          </cell>
          <cell r="B260" t="str">
            <v>SUB MTCE &amp; CONST - ENG &amp; ADMIN</v>
          </cell>
          <cell r="C260" t="str">
            <v>ENERGY DELIVERY SERVICES</v>
          </cell>
        </row>
        <row r="261">
          <cell r="A261" t="str">
            <v>03T</v>
          </cell>
          <cell r="B261" t="str">
            <v>TRANSMISSION - AMS</v>
          </cell>
          <cell r="C261" t="str">
            <v>ENERGY DELIVERY SERVICES</v>
          </cell>
        </row>
        <row r="262">
          <cell r="A262" t="str">
            <v>03U</v>
          </cell>
          <cell r="B262" t="str">
            <v>METER SERVICES - CIP</v>
          </cell>
          <cell r="C262" t="str">
            <v>ENERGY DELIVERY SERVICES</v>
          </cell>
        </row>
        <row r="263">
          <cell r="A263" t="str">
            <v>03V</v>
          </cell>
          <cell r="B263" t="str">
            <v>DISTRIBUTION SVCS - AMS</v>
          </cell>
          <cell r="C263" t="str">
            <v>ENERGY DELIVERY SERVICES</v>
          </cell>
        </row>
        <row r="264">
          <cell r="A264" t="str">
            <v>03W</v>
          </cell>
          <cell r="B264" t="str">
            <v>CUSTOMER SERVICE AMS</v>
          </cell>
          <cell r="C264" t="str">
            <v>MISSOURI OPERATIONS</v>
          </cell>
        </row>
        <row r="265">
          <cell r="A265" t="str">
            <v>03Z</v>
          </cell>
          <cell r="B265" t="str">
            <v>MISSOURI VAC FACTOR</v>
          </cell>
          <cell r="C265" t="str">
            <v>MISSOURI OPERATIONS</v>
          </cell>
        </row>
        <row r="266">
          <cell r="A266" t="str">
            <v>04C</v>
          </cell>
          <cell r="B266" t="str">
            <v>FINANCIAL COMMUNICATIONS</v>
          </cell>
          <cell r="C266" t="str">
            <v>CONTROLLER</v>
          </cell>
        </row>
        <row r="267">
          <cell r="A267" t="str">
            <v>04N</v>
          </cell>
          <cell r="B267" t="str">
            <v>INVALID BUDGET</v>
          </cell>
          <cell r="C267" t="str">
            <v>CONTROLLER</v>
          </cell>
        </row>
        <row r="268">
          <cell r="A268" t="str">
            <v>04R</v>
          </cell>
          <cell r="B268" t="str">
            <v>REGULATORY ACCOUNTING</v>
          </cell>
          <cell r="C268" t="str">
            <v>CONTROLLER</v>
          </cell>
        </row>
        <row r="269">
          <cell r="A269" t="str">
            <v>05A</v>
          </cell>
          <cell r="B269" t="str">
            <v>INTERNAL AUDIT</v>
          </cell>
          <cell r="C269" t="str">
            <v>FINANCE AND ACCOUNTING - OTHER</v>
          </cell>
        </row>
        <row r="270">
          <cell r="A270" t="str">
            <v>05B</v>
          </cell>
          <cell r="B270" t="str">
            <v>CORPORATE BUDGETING</v>
          </cell>
          <cell r="C270" t="str">
            <v>CONTROLLER</v>
          </cell>
        </row>
        <row r="271">
          <cell r="A271" t="str">
            <v>05E</v>
          </cell>
          <cell r="B271" t="str">
            <v>PERFORMANCE MANAGEMENT</v>
          </cell>
          <cell r="C271" t="str">
            <v>CONTROLLER</v>
          </cell>
        </row>
        <row r="272">
          <cell r="A272" t="str">
            <v>05F</v>
          </cell>
          <cell r="B272" t="str">
            <v>FINANCIAL FORECASTING</v>
          </cell>
          <cell r="C272" t="str">
            <v>CORPORATE PLANNING</v>
          </cell>
        </row>
        <row r="273">
          <cell r="A273" t="str">
            <v>05H</v>
          </cell>
          <cell r="B273" t="str">
            <v>HR - BUSINESS SERVICES</v>
          </cell>
          <cell r="C273" t="str">
            <v>HUMAN RESOURCES</v>
          </cell>
        </row>
        <row r="274">
          <cell r="A274" t="str">
            <v>05J</v>
          </cell>
          <cell r="B274" t="str">
            <v>GATEWAY SUPPORT STAFF</v>
          </cell>
          <cell r="C274" t="str">
            <v>MISSOURI OPERATIONS</v>
          </cell>
        </row>
        <row r="275">
          <cell r="A275" t="str">
            <v>05M</v>
          </cell>
          <cell r="B275" t="str">
            <v>STOREROOMS-AMS</v>
          </cell>
          <cell r="C275" t="str">
            <v>SUPPLY SERVICES</v>
          </cell>
        </row>
        <row r="276">
          <cell r="A276" t="str">
            <v>05N</v>
          </cell>
          <cell r="B276" t="str">
            <v>STOREROOMS-IL</v>
          </cell>
          <cell r="C276" t="str">
            <v>SUPPLY SERVICES</v>
          </cell>
        </row>
        <row r="277">
          <cell r="A277" t="str">
            <v>05P</v>
          </cell>
          <cell r="B277" t="str">
            <v>INVALID BUDGET</v>
          </cell>
          <cell r="C277" t="str">
            <v>CONTROLLER</v>
          </cell>
        </row>
        <row r="278">
          <cell r="A278" t="str">
            <v>05Q</v>
          </cell>
          <cell r="B278" t="str">
            <v>PIONEER PARK WRHSE-CIL-INVALID</v>
          </cell>
          <cell r="C278" t="str">
            <v>SUPPLY SERVICES</v>
          </cell>
        </row>
        <row r="279">
          <cell r="A279" t="str">
            <v>05R</v>
          </cell>
          <cell r="B279" t="str">
            <v>AMEREN CILCO STORES</v>
          </cell>
          <cell r="C279" t="str">
            <v>SUPPLY SERVICES</v>
          </cell>
        </row>
        <row r="280">
          <cell r="A280" t="str">
            <v>05T</v>
          </cell>
          <cell r="B280" t="str">
            <v>TAX</v>
          </cell>
          <cell r="C280" t="str">
            <v>FINANCE AND ACCOUNTING - OTHER</v>
          </cell>
        </row>
        <row r="281">
          <cell r="A281" t="str">
            <v>06A</v>
          </cell>
          <cell r="B281" t="str">
            <v>INF - INSERTING &amp; MAIL DELIVRY</v>
          </cell>
          <cell r="C281" t="str">
            <v>AMEREN SERVICES CENTER</v>
          </cell>
        </row>
        <row r="282">
          <cell r="A282" t="str">
            <v>06B</v>
          </cell>
          <cell r="B282" t="str">
            <v>INF - ENTERPRISE COMPUTING SVC</v>
          </cell>
          <cell r="C282" t="str">
            <v>AMEREN SERVICES CENTER</v>
          </cell>
        </row>
        <row r="283">
          <cell r="A283" t="str">
            <v>06C</v>
          </cell>
          <cell r="B283" t="str">
            <v>INF - STL CENTRAL SERVER OPS</v>
          </cell>
          <cell r="C283" t="str">
            <v>AMEREN SERVICES CENTER</v>
          </cell>
        </row>
        <row r="284">
          <cell r="A284" t="str">
            <v>06D</v>
          </cell>
          <cell r="B284" t="str">
            <v>SCP - SECURITY</v>
          </cell>
          <cell r="C284" t="str">
            <v>AMEREN SERVICES CENTER</v>
          </cell>
        </row>
        <row r="285">
          <cell r="A285" t="str">
            <v>06E</v>
          </cell>
          <cell r="B285" t="str">
            <v>SCP - DATA MANAGEMENT</v>
          </cell>
          <cell r="C285" t="str">
            <v>AMEREN SERVICES CENTER</v>
          </cell>
        </row>
        <row r="286">
          <cell r="A286" t="str">
            <v>06F</v>
          </cell>
          <cell r="B286" t="str">
            <v>INF - ENTERPRISE STORAGE</v>
          </cell>
          <cell r="C286" t="str">
            <v>AMEREN SERVICES CENTER</v>
          </cell>
        </row>
        <row r="287">
          <cell r="A287" t="str">
            <v>06G</v>
          </cell>
          <cell r="B287" t="str">
            <v>INF - MVS SYSTEMS</v>
          </cell>
          <cell r="C287" t="str">
            <v>AMEREN SERVICES CENTER</v>
          </cell>
        </row>
        <row r="288">
          <cell r="A288" t="str">
            <v>06H</v>
          </cell>
          <cell r="B288" t="str">
            <v>NEO - ENTERPRISE NETWORKING</v>
          </cell>
          <cell r="C288" t="str">
            <v>AMEREN SERVICES CENTER</v>
          </cell>
        </row>
        <row r="289">
          <cell r="A289" t="str">
            <v>06J</v>
          </cell>
          <cell r="B289" t="str">
            <v>CSF - ASC CUSTOMER SVCS</v>
          </cell>
          <cell r="C289" t="str">
            <v>AMEREN SERVICES CENTER</v>
          </cell>
        </row>
        <row r="290">
          <cell r="A290" t="str">
            <v>06K</v>
          </cell>
          <cell r="B290" t="str">
            <v>INVALID - ENTERPRISE ARCHITECT</v>
          </cell>
          <cell r="C290" t="str">
            <v>AMEREN SERVICES CENTER</v>
          </cell>
        </row>
        <row r="291">
          <cell r="A291" t="str">
            <v>06M</v>
          </cell>
          <cell r="B291" t="str">
            <v>CSF - TELECOM FIELD OPS</v>
          </cell>
          <cell r="C291" t="str">
            <v>AMEREN SERVICES CENTER</v>
          </cell>
        </row>
        <row r="292">
          <cell r="A292" t="str">
            <v>06P</v>
          </cell>
          <cell r="B292" t="str">
            <v>INVALID - BUSINESS CONTINUITY</v>
          </cell>
          <cell r="C292" t="str">
            <v>AMEREN SERVICES CENTER</v>
          </cell>
        </row>
        <row r="293">
          <cell r="A293" t="str">
            <v>06Q</v>
          </cell>
          <cell r="B293" t="str">
            <v>CSF - TRAINING SERVICES</v>
          </cell>
          <cell r="C293" t="str">
            <v>AMEREN SERVICES CENTER</v>
          </cell>
        </row>
        <row r="294">
          <cell r="A294" t="str">
            <v>06R</v>
          </cell>
          <cell r="B294" t="str">
            <v>CSF - SECURITY PROVISIONING</v>
          </cell>
          <cell r="C294" t="str">
            <v>AMEREN SERVICES CENTER</v>
          </cell>
        </row>
        <row r="295">
          <cell r="A295" t="str">
            <v>06T</v>
          </cell>
          <cell r="B295" t="str">
            <v>NEO - MOBILE &amp; SCADA COMM</v>
          </cell>
          <cell r="C295" t="str">
            <v>AMEREN SERVICES CENTER</v>
          </cell>
        </row>
        <row r="296">
          <cell r="A296" t="str">
            <v>06U</v>
          </cell>
          <cell r="B296" t="str">
            <v>NEO - NETWORK OPERATIONS</v>
          </cell>
          <cell r="C296" t="str">
            <v>AMEREN SERVICES CENTER</v>
          </cell>
        </row>
        <row r="297">
          <cell r="A297" t="str">
            <v>06Z</v>
          </cell>
          <cell r="B297" t="str">
            <v>EDTS VACANCY FACTOR</v>
          </cell>
          <cell r="C297" t="str">
            <v>ENERGY DELIVERY SERVICES</v>
          </cell>
        </row>
        <row r="298">
          <cell r="A298" t="str">
            <v>07C</v>
          </cell>
          <cell r="B298" t="str">
            <v>FLEET SVCS - CIL</v>
          </cell>
          <cell r="C298" t="str">
            <v>ENERGY DELIVERY SERVICES</v>
          </cell>
        </row>
        <row r="299">
          <cell r="A299" t="str">
            <v>07G</v>
          </cell>
          <cell r="B299" t="str">
            <v>FLEET SERVICES - GEN - INVALID</v>
          </cell>
          <cell r="C299" t="str">
            <v>ENERGY DELIVERY SERVICES</v>
          </cell>
        </row>
        <row r="300">
          <cell r="A300" t="str">
            <v>07M</v>
          </cell>
          <cell r="B300" t="str">
            <v>STRATEGIC SOURCING</v>
          </cell>
          <cell r="C300" t="str">
            <v>SUPPLY SERVICES</v>
          </cell>
        </row>
        <row r="301">
          <cell r="A301" t="str">
            <v>07N</v>
          </cell>
          <cell r="B301" t="str">
            <v>BUILDING SERVICES-IL</v>
          </cell>
          <cell r="C301" t="str">
            <v>SUPPLY SERVICES</v>
          </cell>
        </row>
        <row r="302">
          <cell r="A302" t="str">
            <v>07P</v>
          </cell>
          <cell r="B302" t="str">
            <v>FLEET SVCS -  CIP</v>
          </cell>
          <cell r="C302" t="str">
            <v>ENERGY DELIVERY SERVICES</v>
          </cell>
        </row>
        <row r="303">
          <cell r="A303" t="str">
            <v>07Q</v>
          </cell>
          <cell r="B303" t="str">
            <v>RISK MANAGEMENT</v>
          </cell>
          <cell r="C303" t="str">
            <v>TREASURER</v>
          </cell>
        </row>
        <row r="304">
          <cell r="A304" t="str">
            <v>07R</v>
          </cell>
          <cell r="B304" t="str">
            <v>FINANCIAL PLANNING &amp; INSURANCE</v>
          </cell>
          <cell r="C304" t="str">
            <v>TREASURER</v>
          </cell>
        </row>
        <row r="305">
          <cell r="A305" t="str">
            <v>07T</v>
          </cell>
          <cell r="B305" t="str">
            <v>FLEET SVCS - AMS</v>
          </cell>
          <cell r="C305" t="str">
            <v>ENERGY DELIVERY SERVICES</v>
          </cell>
        </row>
        <row r="306">
          <cell r="A306" t="str">
            <v>07V</v>
          </cell>
          <cell r="B306" t="str">
            <v>BUILDING SERVICES-AMS</v>
          </cell>
          <cell r="C306" t="str">
            <v>SUPPLY SERVICES</v>
          </cell>
        </row>
        <row r="307">
          <cell r="A307" t="str">
            <v>07W</v>
          </cell>
          <cell r="B307" t="str">
            <v>BLDG SVCS-CIL</v>
          </cell>
          <cell r="C307" t="str">
            <v>SUPPLY SERVICES</v>
          </cell>
        </row>
        <row r="308">
          <cell r="A308" t="str">
            <v>07X</v>
          </cell>
          <cell r="B308" t="str">
            <v>PERSIMMON BUILDINGS-CIL</v>
          </cell>
          <cell r="C308" t="str">
            <v>SUPPLY SERVICES</v>
          </cell>
        </row>
        <row r="309">
          <cell r="A309" t="str">
            <v>08C</v>
          </cell>
          <cell r="B309" t="str">
            <v>CUSTOMER SERVICE SYSTEM</v>
          </cell>
          <cell r="C309" t="str">
            <v>ENERGY DELIVERY SERVICES</v>
          </cell>
        </row>
        <row r="310">
          <cell r="A310" t="str">
            <v>08M</v>
          </cell>
          <cell r="B310" t="str">
            <v>Invalid RMC</v>
          </cell>
          <cell r="C310" t="str">
            <v>OTHER</v>
          </cell>
        </row>
        <row r="311">
          <cell r="A311" t="str">
            <v>08N</v>
          </cell>
          <cell r="B311" t="str">
            <v>CUSTOMER SVC CTR - CIP INVALID</v>
          </cell>
          <cell r="C311" t="str">
            <v>ILLINOIS OPERATIONS</v>
          </cell>
        </row>
        <row r="312">
          <cell r="A312" t="str">
            <v>08P</v>
          </cell>
          <cell r="B312" t="str">
            <v>SUPPLY CHAIN PROCESS &amp; PERFORM</v>
          </cell>
          <cell r="C312" t="str">
            <v>SUPPLY SERVICES</v>
          </cell>
        </row>
        <row r="313">
          <cell r="A313" t="str">
            <v>09C</v>
          </cell>
          <cell r="B313" t="str">
            <v>EDTS DRAFTING</v>
          </cell>
          <cell r="C313" t="str">
            <v>ENERGY DELIVERY SERVICES</v>
          </cell>
        </row>
        <row r="314">
          <cell r="A314" t="str">
            <v>09D</v>
          </cell>
          <cell r="B314" t="str">
            <v>TRANSMISSION POLICY</v>
          </cell>
          <cell r="C314" t="str">
            <v>ENERGY DELIVERY SERVICES</v>
          </cell>
        </row>
        <row r="315">
          <cell r="A315" t="str">
            <v>09E</v>
          </cell>
          <cell r="B315" t="str">
            <v>ELECTRICAL ENGINEERING</v>
          </cell>
          <cell r="C315" t="str">
            <v>ENERGY DELIVERY SERVICES</v>
          </cell>
        </row>
        <row r="316">
          <cell r="A316" t="str">
            <v>09F</v>
          </cell>
          <cell r="B316" t="str">
            <v>OPERATIONS ANALYSIS - INVALID</v>
          </cell>
          <cell r="C316" t="str">
            <v>CONTROLLER</v>
          </cell>
        </row>
        <row r="317">
          <cell r="A317" t="str">
            <v>09G</v>
          </cell>
          <cell r="B317" t="str">
            <v>GENERATION PROJECTS - GEN</v>
          </cell>
          <cell r="C317" t="str">
            <v>POWER PLANTS - GEN</v>
          </cell>
        </row>
        <row r="318">
          <cell r="A318" t="str">
            <v>09H</v>
          </cell>
          <cell r="B318" t="str">
            <v>DAM SAFETY &amp; HYDRO ENGINEERING</v>
          </cell>
          <cell r="C318" t="str">
            <v>GENERATION TECHNICAL SERVICES</v>
          </cell>
        </row>
        <row r="319">
          <cell r="A319" t="str">
            <v>09M</v>
          </cell>
          <cell r="B319" t="str">
            <v>GENERATION PROJECT ENGINEERING</v>
          </cell>
          <cell r="C319" t="str">
            <v>GENERATION TECHNICAL SERVICES</v>
          </cell>
        </row>
        <row r="320">
          <cell r="A320" t="str">
            <v>09P</v>
          </cell>
          <cell r="B320" t="str">
            <v>ELECTRIC PLANNING</v>
          </cell>
          <cell r="C320" t="str">
            <v>ENERGY DELIVERY SERVICES</v>
          </cell>
        </row>
        <row r="321">
          <cell r="A321" t="str">
            <v>09Q</v>
          </cell>
          <cell r="B321" t="str">
            <v>GENERATION PROJECT SVCS &amp; BUD</v>
          </cell>
          <cell r="C321" t="str">
            <v>GENERATION TECHNICAL SERVICES</v>
          </cell>
        </row>
        <row r="322">
          <cell r="A322" t="str">
            <v>09T</v>
          </cell>
          <cell r="B322" t="str">
            <v>COMMERCIAL OPERATIONS SUPPORT</v>
          </cell>
          <cell r="C322" t="str">
            <v>CORPORATE PLANNING</v>
          </cell>
        </row>
        <row r="323">
          <cell r="A323" t="str">
            <v>09V</v>
          </cell>
          <cell r="B323" t="str">
            <v>NEW GEN &amp; ENV PRJTS &amp; BUD</v>
          </cell>
          <cell r="C323" t="str">
            <v>GENERATION TECHNICAL SERVICES</v>
          </cell>
        </row>
        <row r="324">
          <cell r="A324" t="str">
            <v>09W</v>
          </cell>
          <cell r="B324" t="str">
            <v>GENERATION PROJECT MANAGEMENT</v>
          </cell>
          <cell r="C324" t="str">
            <v>GENERATION TECHNICAL SERVICES</v>
          </cell>
        </row>
        <row r="325">
          <cell r="A325" t="str">
            <v>0CG</v>
          </cell>
          <cell r="B325" t="str">
            <v>CAPE GIRARDEAU</v>
          </cell>
          <cell r="C325" t="str">
            <v>MISSOURI OPERATIONS</v>
          </cell>
        </row>
        <row r="326">
          <cell r="A326" t="str">
            <v>0CS</v>
          </cell>
          <cell r="B326" t="str">
            <v>SEMO SUPPORT STAFF</v>
          </cell>
          <cell r="C326" t="str">
            <v>MISSOURI OPERATIONS</v>
          </cell>
        </row>
        <row r="327">
          <cell r="A327" t="str">
            <v>0DX</v>
          </cell>
          <cell r="B327" t="str">
            <v>DEXTER</v>
          </cell>
          <cell r="C327" t="str">
            <v>MISSOURI OPERATIONS</v>
          </cell>
        </row>
        <row r="328">
          <cell r="A328" t="str">
            <v>0G1</v>
          </cell>
          <cell r="B328" t="str">
            <v>GAS TECH SERVICES CIP</v>
          </cell>
          <cell r="C328" t="str">
            <v>ILLINOIS OPERATIONS</v>
          </cell>
        </row>
        <row r="329">
          <cell r="A329" t="str">
            <v>0G2</v>
          </cell>
          <cell r="B329" t="str">
            <v>GAS TECH SERVICES AMS</v>
          </cell>
          <cell r="C329" t="str">
            <v>ILLINOIS OPERATIONS</v>
          </cell>
        </row>
        <row r="330">
          <cell r="A330" t="str">
            <v>0G3</v>
          </cell>
          <cell r="B330" t="str">
            <v>GAS TECH SERVICES UEC</v>
          </cell>
          <cell r="C330" t="str">
            <v>MISSOURI OPERATIONS</v>
          </cell>
        </row>
        <row r="331">
          <cell r="A331" t="str">
            <v>0G4</v>
          </cell>
          <cell r="B331" t="str">
            <v>GAS TECH SERVICES CIL</v>
          </cell>
          <cell r="C331" t="str">
            <v>ILLINOIS OPERATIONS</v>
          </cell>
        </row>
        <row r="332">
          <cell r="A332" t="str">
            <v>0G5</v>
          </cell>
          <cell r="B332" t="str">
            <v>GAS TECH SERVICES IPC</v>
          </cell>
          <cell r="C332" t="str">
            <v>ILLINOIS OPERATIONS</v>
          </cell>
        </row>
        <row r="333">
          <cell r="A333" t="str">
            <v>0G6</v>
          </cell>
          <cell r="B333" t="str">
            <v>GAS STORAGE</v>
          </cell>
          <cell r="C333" t="str">
            <v>ILLINOIS OPERATIONS</v>
          </cell>
        </row>
        <row r="334">
          <cell r="A334" t="str">
            <v>0G7</v>
          </cell>
          <cell r="B334" t="str">
            <v>GAS TRAINING &amp; COMPLIANCE</v>
          </cell>
          <cell r="C334" t="str">
            <v>ILLINOIS OPERATIONS</v>
          </cell>
        </row>
        <row r="335">
          <cell r="A335" t="str">
            <v>0HA</v>
          </cell>
          <cell r="B335" t="str">
            <v>HAYTI</v>
          </cell>
          <cell r="C335" t="str">
            <v>MISSOURI OPERATIONS</v>
          </cell>
        </row>
        <row r="336">
          <cell r="A336" t="str">
            <v>0PM</v>
          </cell>
          <cell r="B336" t="str">
            <v>EDTS ENGINEERING SVCS</v>
          </cell>
          <cell r="C336" t="str">
            <v>ENERGY DELIVERY SERVICES</v>
          </cell>
        </row>
        <row r="337">
          <cell r="A337" t="str">
            <v>0PT</v>
          </cell>
          <cell r="B337" t="str">
            <v>POTOSI</v>
          </cell>
          <cell r="C337" t="str">
            <v>MISSOURI OPERATIONS</v>
          </cell>
        </row>
        <row r="338">
          <cell r="A338" t="str">
            <v>12E</v>
          </cell>
          <cell r="B338" t="str">
            <v>INVALID BUDGET</v>
          </cell>
          <cell r="C338" t="str">
            <v>CORPORATE PLANNING</v>
          </cell>
        </row>
        <row r="339">
          <cell r="A339" t="str">
            <v>12R</v>
          </cell>
          <cell r="B339" t="str">
            <v>INVALID BUDGET</v>
          </cell>
          <cell r="C339" t="str">
            <v>OTHER</v>
          </cell>
        </row>
        <row r="340">
          <cell r="A340" t="str">
            <v>1EB</v>
          </cell>
          <cell r="B340" t="str">
            <v>INVALID - EBUSINESS DEVELOPMT</v>
          </cell>
          <cell r="C340" t="str">
            <v>AMEREN SERVICES CENTER</v>
          </cell>
        </row>
        <row r="341">
          <cell r="A341" t="str">
            <v>1GL</v>
          </cell>
          <cell r="B341" t="str">
            <v>GILMAN</v>
          </cell>
          <cell r="C341" t="str">
            <v>ILLINOIS OPERATIONS</v>
          </cell>
        </row>
        <row r="342">
          <cell r="A342" t="str">
            <v>1PA</v>
          </cell>
          <cell r="B342" t="str">
            <v>PAXTON</v>
          </cell>
          <cell r="C342" t="str">
            <v>ILLINOIS OPERATIONS</v>
          </cell>
        </row>
        <row r="343">
          <cell r="A343" t="str">
            <v>1PS</v>
          </cell>
          <cell r="B343" t="str">
            <v>PAXTON SUPPORT STAFF-INVALID</v>
          </cell>
          <cell r="C343" t="str">
            <v>ILLINOIS OPERATIONS</v>
          </cell>
        </row>
        <row r="344">
          <cell r="A344" t="str">
            <v>24Z</v>
          </cell>
          <cell r="B344" t="str">
            <v>VAC FACTOR IL DIV IV V VI VII</v>
          </cell>
          <cell r="C344" t="str">
            <v>ILLINOIS OPERATIONS</v>
          </cell>
        </row>
        <row r="345">
          <cell r="A345" t="str">
            <v>29C</v>
          </cell>
          <cell r="B345" t="str">
            <v>COMMUNITY RELATIONS MO</v>
          </cell>
          <cell r="C345" t="str">
            <v>MISSOURI OPERATIONS</v>
          </cell>
        </row>
        <row r="346">
          <cell r="A346" t="str">
            <v>29D</v>
          </cell>
          <cell r="B346" t="str">
            <v>IL COMMTY REL - PBLC AFFAIRS</v>
          </cell>
          <cell r="C346" t="str">
            <v>ILLINOIS OPERATIONS</v>
          </cell>
        </row>
        <row r="347">
          <cell r="A347" t="str">
            <v>29R</v>
          </cell>
          <cell r="B347" t="str">
            <v>REGULATORY POLICY</v>
          </cell>
          <cell r="C347" t="str">
            <v>REGULATORY POLICY &amp; PLANNING</v>
          </cell>
        </row>
        <row r="348">
          <cell r="A348" t="str">
            <v>2MA</v>
          </cell>
          <cell r="B348" t="str">
            <v>MATTOON</v>
          </cell>
          <cell r="C348" t="str">
            <v>ILLINOIS OPERATIONS</v>
          </cell>
        </row>
        <row r="349">
          <cell r="A349" t="str">
            <v>2MS</v>
          </cell>
          <cell r="B349" t="str">
            <v>DIVISION IV SUPPORT STAFF</v>
          </cell>
          <cell r="C349" t="str">
            <v>ILLINOIS OPERATIONS</v>
          </cell>
        </row>
        <row r="350">
          <cell r="A350" t="str">
            <v>2NP</v>
          </cell>
          <cell r="B350" t="str">
            <v>NORTH PANA</v>
          </cell>
          <cell r="C350" t="str">
            <v>ILLINOIS OPERATIONS</v>
          </cell>
        </row>
        <row r="351">
          <cell r="A351" t="str">
            <v>2PR</v>
          </cell>
          <cell r="B351" t="str">
            <v>PARIS - INVALID</v>
          </cell>
          <cell r="C351" t="str">
            <v>ILLINOIS OPERATIONS</v>
          </cell>
        </row>
        <row r="352">
          <cell r="A352" t="str">
            <v>2TU</v>
          </cell>
          <cell r="B352" t="str">
            <v>TUSCOLA</v>
          </cell>
          <cell r="C352" t="str">
            <v>ILLINOIS OPERATIONS</v>
          </cell>
        </row>
        <row r="353">
          <cell r="A353" t="str">
            <v>3EF</v>
          </cell>
          <cell r="B353" t="str">
            <v>EFFINGHAM</v>
          </cell>
          <cell r="C353" t="str">
            <v>ILLINOIS OPERATIONS</v>
          </cell>
        </row>
        <row r="354">
          <cell r="A354" t="str">
            <v>3MS</v>
          </cell>
          <cell r="B354" t="str">
            <v>DIVISION V SUPPORT STAFF</v>
          </cell>
          <cell r="C354" t="str">
            <v>ILLINOIS OPERATIONS</v>
          </cell>
        </row>
        <row r="355">
          <cell r="A355" t="str">
            <v>3OL</v>
          </cell>
          <cell r="B355" t="str">
            <v>OLNEY</v>
          </cell>
          <cell r="C355" t="str">
            <v>ILLINOIS OPERATIONS</v>
          </cell>
        </row>
        <row r="356">
          <cell r="A356" t="str">
            <v>3OS</v>
          </cell>
          <cell r="B356" t="str">
            <v>OLNEY SUPPORT STAFF-INVALID</v>
          </cell>
          <cell r="C356" t="str">
            <v>ILLINOIS OPERATIONS</v>
          </cell>
        </row>
        <row r="357">
          <cell r="A357" t="str">
            <v>3RB</v>
          </cell>
          <cell r="B357" t="str">
            <v>ROBINSON</v>
          </cell>
          <cell r="C357" t="str">
            <v>ILLINOIS OPERATIONS</v>
          </cell>
        </row>
        <row r="358">
          <cell r="A358" t="str">
            <v>40A</v>
          </cell>
          <cell r="B358" t="str">
            <v>GENERATN CONST MGMT SVCS &amp; BUD</v>
          </cell>
          <cell r="C358" t="str">
            <v>GENERATION TECHNICAL SERVICES</v>
          </cell>
        </row>
        <row r="359">
          <cell r="A359" t="str">
            <v>40B</v>
          </cell>
          <cell r="B359" t="str">
            <v>GENERATION OUTAGE MGMT SVCS</v>
          </cell>
          <cell r="C359" t="str">
            <v>GENERATION TECHNICAL SERVICES</v>
          </cell>
        </row>
        <row r="360">
          <cell r="A360" t="str">
            <v>40C</v>
          </cell>
          <cell r="B360" t="str">
            <v>GENERATION PWR PLT MAINTENANCE</v>
          </cell>
          <cell r="C360" t="str">
            <v>GENERATION TECHNICAL SERVICES</v>
          </cell>
        </row>
        <row r="361">
          <cell r="A361" t="str">
            <v>40D</v>
          </cell>
          <cell r="B361" t="str">
            <v>GENERATION MAINT ENG</v>
          </cell>
          <cell r="C361" t="str">
            <v>GENERATION TECHNICAL SERVICES</v>
          </cell>
        </row>
        <row r="362">
          <cell r="A362" t="str">
            <v>40E</v>
          </cell>
          <cell r="B362" t="str">
            <v>GENERATION TRAIN &amp; DEV SRVCS</v>
          </cell>
          <cell r="C362" t="str">
            <v>GENERATION TECHNICAL SERVICES</v>
          </cell>
        </row>
        <row r="363">
          <cell r="A363" t="str">
            <v>40G</v>
          </cell>
          <cell r="B363" t="str">
            <v>GENERATION CORRECTIVE ACTION</v>
          </cell>
          <cell r="C363" t="str">
            <v>GENERATION PRECISION QLTY MGMT</v>
          </cell>
        </row>
        <row r="364">
          <cell r="A364" t="str">
            <v>44A</v>
          </cell>
          <cell r="B364" t="str">
            <v>OSAGE PLANT GENERAL &amp; BUD</v>
          </cell>
          <cell r="C364" t="str">
            <v>UE GENERATION - NON NUCLEAR</v>
          </cell>
        </row>
        <row r="365">
          <cell r="A365" t="str">
            <v>44B</v>
          </cell>
          <cell r="B365" t="str">
            <v>OSAGE PLANT OPERATIONS&amp;ENGINEERING</v>
          </cell>
          <cell r="C365" t="str">
            <v>UE GENERATION - NON NUCLEAR</v>
          </cell>
        </row>
        <row r="366">
          <cell r="A366" t="str">
            <v>44C</v>
          </cell>
          <cell r="B366" t="str">
            <v>OSAGE PLANT MAINTENANCE</v>
          </cell>
          <cell r="C366" t="str">
            <v>UE GENERATION - NON NUCLEAR</v>
          </cell>
        </row>
        <row r="367">
          <cell r="A367" t="str">
            <v>45C</v>
          </cell>
          <cell r="B367" t="str">
            <v>ED FINANCIAL SUPPRT &amp; ANALYSIS</v>
          </cell>
          <cell r="C367" t="str">
            <v>ENERGY DELIVERY SERVICES</v>
          </cell>
        </row>
        <row r="368">
          <cell r="A368" t="str">
            <v>45P</v>
          </cell>
          <cell r="B368" t="str">
            <v>ED ORDER PROCESSING-UE-INVALID</v>
          </cell>
          <cell r="C368" t="str">
            <v>MISSOURI OPERATIONS</v>
          </cell>
        </row>
        <row r="369">
          <cell r="A369" t="str">
            <v>45Z</v>
          </cell>
          <cell r="B369" t="str">
            <v>BUSINESS SERVICES - VAC FACTOR</v>
          </cell>
          <cell r="C369" t="str">
            <v>ENERGY DELIVERY SERVICES</v>
          </cell>
        </row>
        <row r="370">
          <cell r="A370" t="str">
            <v>46A</v>
          </cell>
          <cell r="B370" t="str">
            <v>TAUM SAUK PLANT GENERAL &amp; BUD</v>
          </cell>
          <cell r="C370" t="str">
            <v>UE GENERATION - NON NUCLEAR</v>
          </cell>
        </row>
        <row r="371">
          <cell r="A371" t="str">
            <v>46B</v>
          </cell>
          <cell r="B371" t="str">
            <v>TAUM SAUK OPERATIONS&amp;ENGINEERING</v>
          </cell>
          <cell r="C371" t="str">
            <v>UE GENERATION - NON NUCLEAR</v>
          </cell>
        </row>
        <row r="372">
          <cell r="A372" t="str">
            <v>46C</v>
          </cell>
          <cell r="B372" t="str">
            <v>TAUM SAUK PLANT MAINTENANCE</v>
          </cell>
          <cell r="C372" t="str">
            <v>UE GENERATION - NON NUCLEAR</v>
          </cell>
        </row>
        <row r="373">
          <cell r="A373" t="str">
            <v>48Z</v>
          </cell>
          <cell r="B373" t="str">
            <v>VAC FACTOR IL DIV I II III</v>
          </cell>
          <cell r="C373" t="str">
            <v>ILLINOIS OPERATIONS</v>
          </cell>
        </row>
        <row r="374">
          <cell r="A374" t="str">
            <v>49A</v>
          </cell>
          <cell r="B374" t="str">
            <v>ESH - AIR</v>
          </cell>
          <cell r="C374" t="str">
            <v>ENVIRONMENTAL SAFETY HEALTH</v>
          </cell>
        </row>
        <row r="375">
          <cell r="A375" t="str">
            <v>49B</v>
          </cell>
          <cell r="B375" t="str">
            <v>ESH - WASTE</v>
          </cell>
          <cell r="C375" t="str">
            <v>ENVIRONMENTAL SAFETY HEALTH</v>
          </cell>
        </row>
        <row r="376">
          <cell r="A376" t="str">
            <v>49C</v>
          </cell>
          <cell r="B376" t="str">
            <v>ESH - WATER</v>
          </cell>
          <cell r="C376" t="str">
            <v>ENVIRONMENTAL SAFETY HEALTH</v>
          </cell>
        </row>
        <row r="377">
          <cell r="A377" t="str">
            <v>49D</v>
          </cell>
          <cell r="B377" t="str">
            <v>ESH - SAFETY &amp; HEALTH</v>
          </cell>
          <cell r="C377" t="str">
            <v>ENVIRONMENTAL SAFETY HEALTH</v>
          </cell>
        </row>
        <row r="378">
          <cell r="A378" t="str">
            <v>4AN</v>
          </cell>
          <cell r="B378" t="str">
            <v>ANNA</v>
          </cell>
          <cell r="C378" t="str">
            <v>ILLINOIS OPERATIONS</v>
          </cell>
        </row>
        <row r="379">
          <cell r="A379" t="str">
            <v>4AP</v>
          </cell>
          <cell r="B379" t="str">
            <v>ACCOUNTS PAYABLE</v>
          </cell>
          <cell r="C379" t="str">
            <v>AMEREN SERVICES CENTER</v>
          </cell>
        </row>
        <row r="380">
          <cell r="A380" t="str">
            <v>4BE</v>
          </cell>
          <cell r="B380" t="str">
            <v>BENTON</v>
          </cell>
          <cell r="C380" t="str">
            <v>ILLINOIS OPERATIONS</v>
          </cell>
        </row>
        <row r="381">
          <cell r="A381" t="str">
            <v>4BV</v>
          </cell>
          <cell r="B381" t="str">
            <v>BOONVILLE</v>
          </cell>
          <cell r="C381" t="str">
            <v>MISSOURI OPERATIONS</v>
          </cell>
        </row>
        <row r="382">
          <cell r="A382" t="str">
            <v>4CA</v>
          </cell>
          <cell r="B382" t="str">
            <v>CARBONDALE</v>
          </cell>
          <cell r="C382" t="str">
            <v>ILLINOIS OPERATIONS</v>
          </cell>
        </row>
        <row r="383">
          <cell r="A383" t="str">
            <v>4CL</v>
          </cell>
          <cell r="B383" t="str">
            <v>COLUMBIA</v>
          </cell>
          <cell r="C383" t="str">
            <v>MISSOURI OPERATIONS</v>
          </cell>
        </row>
        <row r="384">
          <cell r="A384" t="str">
            <v>4GL</v>
          </cell>
          <cell r="B384" t="str">
            <v>GENERAL &amp; ASSET ACCOUNTING</v>
          </cell>
          <cell r="C384" t="str">
            <v>CONTROLLER</v>
          </cell>
        </row>
        <row r="385">
          <cell r="A385" t="str">
            <v>4GV</v>
          </cell>
          <cell r="B385" t="str">
            <v>GRAVOIS VALLEY SUPPORT STAFF</v>
          </cell>
          <cell r="C385" t="str">
            <v>MISSOURI OPERATIONS</v>
          </cell>
        </row>
        <row r="386">
          <cell r="A386" t="str">
            <v>4HA</v>
          </cell>
          <cell r="B386" t="str">
            <v>HARRISBURG</v>
          </cell>
          <cell r="C386" t="str">
            <v>ILLINOIS OPERATIONS</v>
          </cell>
        </row>
        <row r="387">
          <cell r="A387" t="str">
            <v>4MA</v>
          </cell>
          <cell r="B387" t="str">
            <v>MARION</v>
          </cell>
          <cell r="C387" t="str">
            <v>ILLINOIS OPERATIONS</v>
          </cell>
        </row>
        <row r="388">
          <cell r="A388" t="str">
            <v>4MB</v>
          </cell>
          <cell r="B388" t="str">
            <v>MOBERLY</v>
          </cell>
          <cell r="C388" t="str">
            <v>MISSOURI OPERATIONS</v>
          </cell>
        </row>
        <row r="389">
          <cell r="A389" t="str">
            <v>4ME</v>
          </cell>
          <cell r="B389" t="str">
            <v>MEXICO</v>
          </cell>
          <cell r="C389" t="str">
            <v>MISSOURI OPERATIONS</v>
          </cell>
        </row>
        <row r="390">
          <cell r="A390" t="str">
            <v>4MS</v>
          </cell>
          <cell r="B390" t="str">
            <v>DIVISION VII SUPPORT STAFF</v>
          </cell>
          <cell r="C390" t="str">
            <v>ILLINOIS OPERATIONS</v>
          </cell>
        </row>
        <row r="391">
          <cell r="A391" t="str">
            <v>4MX</v>
          </cell>
          <cell r="B391" t="str">
            <v>LITTLE DIXIE SUPPORT STAFF</v>
          </cell>
          <cell r="C391" t="str">
            <v>MISSOURI OPERATIONS</v>
          </cell>
        </row>
        <row r="392">
          <cell r="A392" t="str">
            <v>4PL</v>
          </cell>
          <cell r="B392" t="str">
            <v>PLANT ACCOUNTING</v>
          </cell>
          <cell r="C392" t="str">
            <v>AMEREN SERVICES CENTER</v>
          </cell>
        </row>
        <row r="393">
          <cell r="A393" t="str">
            <v>4TR</v>
          </cell>
          <cell r="B393" t="str">
            <v>TWIN RIVERS SUPPORT STAFF</v>
          </cell>
          <cell r="C393" t="str">
            <v>MISSOURI OPERATIONS</v>
          </cell>
        </row>
        <row r="394">
          <cell r="A394" t="str">
            <v>4TX</v>
          </cell>
          <cell r="B394" t="str">
            <v>TAX COMPLIANCE</v>
          </cell>
          <cell r="C394" t="str">
            <v>AMEREN SERVICES CENTER</v>
          </cell>
        </row>
        <row r="395">
          <cell r="A395" t="str">
            <v>53Z</v>
          </cell>
          <cell r="B395" t="str">
            <v>IL OPS VACANCY FACTOR</v>
          </cell>
          <cell r="C395" t="str">
            <v>ILLINOIS OPERATIONS</v>
          </cell>
        </row>
        <row r="396">
          <cell r="A396" t="str">
            <v>5GE</v>
          </cell>
          <cell r="B396" t="str">
            <v>GERALD - INVALID</v>
          </cell>
          <cell r="C396" t="str">
            <v>MISSOURI OPERATIONS</v>
          </cell>
        </row>
        <row r="397">
          <cell r="A397" t="str">
            <v>5JE</v>
          </cell>
          <cell r="B397" t="str">
            <v>JEFFERSON CITY - INVALID</v>
          </cell>
          <cell r="C397" t="str">
            <v>MISSOURI OPERATIONS</v>
          </cell>
        </row>
        <row r="398">
          <cell r="A398" t="str">
            <v>5JS</v>
          </cell>
          <cell r="B398" t="str">
            <v>CAPITAL</v>
          </cell>
          <cell r="C398" t="str">
            <v>MISSOURI OPERATIONS</v>
          </cell>
        </row>
        <row r="399">
          <cell r="A399" t="str">
            <v>5VE</v>
          </cell>
          <cell r="B399" t="str">
            <v>VERSAILLES - INVALID</v>
          </cell>
          <cell r="C399" t="str">
            <v>MISSOURI OPERATIONS</v>
          </cell>
        </row>
        <row r="400">
          <cell r="A400" t="str">
            <v>61A</v>
          </cell>
          <cell r="B400" t="str">
            <v>DUCK CREEK PLANT GENERAL &amp; BUD</v>
          </cell>
          <cell r="C400" t="str">
            <v>POWER PLANTS - GEN</v>
          </cell>
        </row>
        <row r="401">
          <cell r="A401" t="str">
            <v>61B</v>
          </cell>
          <cell r="B401" t="str">
            <v>DUCK CREEK PLANT OPERATIONS</v>
          </cell>
          <cell r="C401" t="str">
            <v>POWER PLANTS - GEN</v>
          </cell>
        </row>
        <row r="402">
          <cell r="A402" t="str">
            <v>61C</v>
          </cell>
          <cell r="B402" t="str">
            <v>DUCK CREEK PLANT MAINTENANCE</v>
          </cell>
          <cell r="C402" t="str">
            <v>POWER PLANTS - GEN</v>
          </cell>
        </row>
        <row r="403">
          <cell r="A403" t="str">
            <v>61D</v>
          </cell>
          <cell r="B403" t="str">
            <v>DUCK CREEK PLANT TECH SUPPORT</v>
          </cell>
          <cell r="C403" t="str">
            <v>POWER PLANTS - GEN</v>
          </cell>
        </row>
        <row r="404">
          <cell r="A404" t="str">
            <v>61E</v>
          </cell>
          <cell r="B404" t="str">
            <v>DUCK CREEK PLANT ADMIN</v>
          </cell>
          <cell r="C404" t="str">
            <v>POWER PLANTS - GEN</v>
          </cell>
        </row>
        <row r="405">
          <cell r="A405" t="str">
            <v>61F</v>
          </cell>
          <cell r="B405" t="str">
            <v>DC CTRL ROOM &amp; TURBINE-INVALID</v>
          </cell>
          <cell r="C405" t="str">
            <v>POWER PLANTS - GEN</v>
          </cell>
        </row>
        <row r="406">
          <cell r="A406" t="str">
            <v>61G</v>
          </cell>
          <cell r="B406" t="str">
            <v>DC PLANT SUPPT &amp; WHSE-INVALID</v>
          </cell>
          <cell r="C406" t="str">
            <v>POWER PLANTS - GEN</v>
          </cell>
        </row>
        <row r="407">
          <cell r="A407" t="str">
            <v>61J</v>
          </cell>
          <cell r="B407" t="str">
            <v>DC FINANCIAL &amp; ACCTG-INVALID</v>
          </cell>
          <cell r="C407" t="str">
            <v>POWER PLANTS - GEN</v>
          </cell>
        </row>
        <row r="408">
          <cell r="A408" t="str">
            <v>61K</v>
          </cell>
          <cell r="B408" t="str">
            <v>DC INTEGRATION COSTS-INVALID</v>
          </cell>
          <cell r="C408" t="str">
            <v>POWER PLANTS - GEN</v>
          </cell>
        </row>
        <row r="409">
          <cell r="A409" t="str">
            <v>61P</v>
          </cell>
          <cell r="B409" t="str">
            <v>DUCK CREEK-PLAN &amp;SCHED-INVALID</v>
          </cell>
          <cell r="C409" t="str">
            <v>POWER PLANTS - GEN</v>
          </cell>
        </row>
        <row r="410">
          <cell r="A410" t="str">
            <v>62A</v>
          </cell>
          <cell r="B410" t="str">
            <v>EDWARDS PLANT GENERAL &amp; BUD</v>
          </cell>
          <cell r="C410" t="str">
            <v>POWER PLANTS - GEN</v>
          </cell>
        </row>
        <row r="411">
          <cell r="A411" t="str">
            <v>62B</v>
          </cell>
          <cell r="B411" t="str">
            <v>EDWARDS PLANT OPERATIONS</v>
          </cell>
          <cell r="C411" t="str">
            <v>POWER PLANTS - GEN</v>
          </cell>
        </row>
        <row r="412">
          <cell r="A412" t="str">
            <v>62C</v>
          </cell>
          <cell r="B412" t="str">
            <v>EDWARDS PLANT MAINTENANCE</v>
          </cell>
          <cell r="C412" t="str">
            <v>POWER PLANTS - GEN</v>
          </cell>
        </row>
        <row r="413">
          <cell r="A413" t="str">
            <v>62D</v>
          </cell>
          <cell r="B413" t="str">
            <v>EDWARDS PLANT TECH SUPPORT</v>
          </cell>
          <cell r="C413" t="str">
            <v>POWER PLANTS - GEN</v>
          </cell>
        </row>
        <row r="414">
          <cell r="A414" t="str">
            <v>62E</v>
          </cell>
          <cell r="B414" t="str">
            <v>EDWARDS PLANT ADMINISTRATION</v>
          </cell>
          <cell r="C414" t="str">
            <v>POWER PLANTS - GEN</v>
          </cell>
        </row>
        <row r="415">
          <cell r="A415" t="str">
            <v>62F</v>
          </cell>
          <cell r="B415" t="str">
            <v>EDWARDS CTRL RM &amp; TURB-INVALID</v>
          </cell>
          <cell r="C415" t="str">
            <v>POWER PLANTS - GEN</v>
          </cell>
        </row>
        <row r="416">
          <cell r="A416" t="str">
            <v>62G</v>
          </cell>
          <cell r="B416" t="str">
            <v>EDWARDS PLANT SUPPORT-INVALID</v>
          </cell>
          <cell r="C416" t="str">
            <v>POWER PLANTS - GEN</v>
          </cell>
        </row>
        <row r="417">
          <cell r="A417" t="str">
            <v>62H</v>
          </cell>
          <cell r="B417" t="str">
            <v>EDWARDS UNIT #1-INVALID</v>
          </cell>
          <cell r="C417" t="str">
            <v>POWER PLANTS - GEN</v>
          </cell>
        </row>
        <row r="418">
          <cell r="A418" t="str">
            <v>62J</v>
          </cell>
          <cell r="B418" t="str">
            <v>EDWARDS UNIT #2-INVALID</v>
          </cell>
          <cell r="C418" t="str">
            <v>POWER PLANTS - GEN</v>
          </cell>
        </row>
        <row r="419">
          <cell r="A419" t="str">
            <v>62K</v>
          </cell>
          <cell r="B419" t="str">
            <v>EDWARDS UNIT #3-INVALID</v>
          </cell>
          <cell r="C419" t="str">
            <v>POWER PLANTS - GEN</v>
          </cell>
        </row>
        <row r="420">
          <cell r="A420" t="str">
            <v>62P</v>
          </cell>
          <cell r="B420" t="str">
            <v>E.D.EDWARD- PLN &amp; SCHD-INVALID</v>
          </cell>
          <cell r="C420" t="str">
            <v>POWER PLANTS - GEN</v>
          </cell>
        </row>
        <row r="421">
          <cell r="A421" t="str">
            <v>63A</v>
          </cell>
          <cell r="B421" t="str">
            <v>INDIAN TRAILS COGEN</v>
          </cell>
          <cell r="C421" t="str">
            <v>AMEREN CTG OPERATIONS</v>
          </cell>
        </row>
        <row r="422">
          <cell r="A422" t="str">
            <v>64A</v>
          </cell>
          <cell r="B422" t="str">
            <v>MEDINA VALLEY COGEN</v>
          </cell>
          <cell r="C422" t="str">
            <v>AMEREN CTG OPERATIONS</v>
          </cell>
        </row>
        <row r="423">
          <cell r="A423" t="str">
            <v>6BT</v>
          </cell>
          <cell r="B423" t="str">
            <v>BEARDSTOWN - INVALID</v>
          </cell>
          <cell r="C423" t="str">
            <v>ENERGY DELIVERY SERVICES</v>
          </cell>
        </row>
        <row r="424">
          <cell r="A424" t="str">
            <v>6MR</v>
          </cell>
          <cell r="B424" t="str">
            <v>MARION - INVALID</v>
          </cell>
          <cell r="C424" t="str">
            <v>ENERGY DELIVERY SERVICES</v>
          </cell>
        </row>
        <row r="425">
          <cell r="A425" t="str">
            <v>6MS</v>
          </cell>
          <cell r="B425" t="str">
            <v>CIPS OPS SUPPORT ADMIN - INVAL</v>
          </cell>
          <cell r="C425" t="str">
            <v>ENERGY DELIVERY SERVICES</v>
          </cell>
        </row>
        <row r="426">
          <cell r="A426" t="str">
            <v>6MT</v>
          </cell>
          <cell r="B426" t="str">
            <v>MATTOON - INVALID</v>
          </cell>
          <cell r="C426" t="str">
            <v>ENERGY DELIVERY SERVICES</v>
          </cell>
        </row>
        <row r="427">
          <cell r="A427" t="str">
            <v>78A</v>
          </cell>
          <cell r="B427" t="str">
            <v>RUSH ISLAND PLT GENERAL &amp; BUD</v>
          </cell>
          <cell r="C427" t="str">
            <v>UE GENERATION - NON NUCLEAR</v>
          </cell>
        </row>
        <row r="428">
          <cell r="A428" t="str">
            <v>78B</v>
          </cell>
          <cell r="B428" t="str">
            <v>RUSH ISLAND PLANT OPERATIONS</v>
          </cell>
          <cell r="C428" t="str">
            <v>UE GENERATION - NON NUCLEAR</v>
          </cell>
        </row>
        <row r="429">
          <cell r="A429" t="str">
            <v>78C</v>
          </cell>
          <cell r="B429" t="str">
            <v>RUSH ISLAND PLANT MAINTENANCE</v>
          </cell>
          <cell r="C429" t="str">
            <v>UE GENERATION - NON NUCLEAR</v>
          </cell>
        </row>
        <row r="430">
          <cell r="A430" t="str">
            <v>78D</v>
          </cell>
          <cell r="B430" t="str">
            <v>RUSH ISLAND PLANT TECHNICAL SUPPORT</v>
          </cell>
          <cell r="C430" t="str">
            <v>UE GENERATION - NON NUCLEAR</v>
          </cell>
        </row>
        <row r="431">
          <cell r="A431" t="str">
            <v>78E</v>
          </cell>
          <cell r="B431" t="str">
            <v>RUSH ISLAND PLANT ADMINISTRATION</v>
          </cell>
          <cell r="C431" t="str">
            <v>UE GENERATION - NON NUCLEAR</v>
          </cell>
        </row>
        <row r="432">
          <cell r="A432" t="str">
            <v>79A</v>
          </cell>
          <cell r="B432" t="str">
            <v>MERAMEC PLANT GENERAL &amp; BUD</v>
          </cell>
          <cell r="C432" t="str">
            <v>UE GENERATION - NON NUCLEAR</v>
          </cell>
        </row>
        <row r="433">
          <cell r="A433" t="str">
            <v>79B</v>
          </cell>
          <cell r="B433" t="str">
            <v>MERAMEC PLANT OPERATIONS</v>
          </cell>
          <cell r="C433" t="str">
            <v>UE GENERATION - NON NUCLEAR</v>
          </cell>
        </row>
        <row r="434">
          <cell r="A434" t="str">
            <v>79C</v>
          </cell>
          <cell r="B434" t="str">
            <v>MERAMEC PLANT MAINTENANCE</v>
          </cell>
          <cell r="C434" t="str">
            <v>UE GENERATION - NON NUCLEAR</v>
          </cell>
        </row>
        <row r="435">
          <cell r="A435" t="str">
            <v>79D</v>
          </cell>
          <cell r="B435" t="str">
            <v>MERAMEC PLANT TECHNICAL SUPPORT</v>
          </cell>
          <cell r="C435" t="str">
            <v>UE GENERATION - NON NUCLEAR</v>
          </cell>
        </row>
        <row r="436">
          <cell r="A436" t="str">
            <v>79E</v>
          </cell>
          <cell r="B436" t="str">
            <v>MERAMEC PLANT ADMINISTRATION</v>
          </cell>
          <cell r="C436" t="str">
            <v>UE GENERATION - NON NUCLEAR</v>
          </cell>
        </row>
        <row r="437">
          <cell r="A437" t="str">
            <v>7EX</v>
          </cell>
          <cell r="B437" t="str">
            <v>EXCELSIOR SPRINGS</v>
          </cell>
          <cell r="C437" t="str">
            <v>MISSOURI OPERATIONS</v>
          </cell>
        </row>
        <row r="438">
          <cell r="A438" t="str">
            <v>7JE</v>
          </cell>
          <cell r="B438" t="str">
            <v>JERSEYVILLE</v>
          </cell>
          <cell r="C438" t="str">
            <v>ILLINOIS OPERATIONS</v>
          </cell>
        </row>
        <row r="439">
          <cell r="A439" t="str">
            <v>7KS</v>
          </cell>
          <cell r="B439" t="str">
            <v>GREEN HILLS SUPPORT STAFF</v>
          </cell>
          <cell r="C439" t="str">
            <v>MISSOURI OPERATIONS</v>
          </cell>
        </row>
        <row r="440">
          <cell r="A440" t="str">
            <v>7KV</v>
          </cell>
          <cell r="B440" t="str">
            <v>KIRKSVILLE</v>
          </cell>
          <cell r="C440" t="str">
            <v>MISSOURI OPERATIONS</v>
          </cell>
        </row>
        <row r="441">
          <cell r="A441" t="str">
            <v>7PT</v>
          </cell>
          <cell r="B441" t="str">
            <v>PITTSFIELD</v>
          </cell>
          <cell r="C441" t="str">
            <v>ILLINOIS OPERATIONS</v>
          </cell>
        </row>
        <row r="442">
          <cell r="A442" t="str">
            <v>7QS</v>
          </cell>
          <cell r="B442" t="str">
            <v>QUINCY SUPPORT STAFF- INVALID</v>
          </cell>
          <cell r="C442" t="str">
            <v>ILLINOIS OPERATIONS</v>
          </cell>
        </row>
        <row r="443">
          <cell r="A443" t="str">
            <v>7QU</v>
          </cell>
          <cell r="B443" t="str">
            <v>QUINCY</v>
          </cell>
          <cell r="C443" t="str">
            <v>ILLINOIS OPERATIONS</v>
          </cell>
        </row>
        <row r="444">
          <cell r="A444" t="str">
            <v>7VN</v>
          </cell>
          <cell r="B444" t="str">
            <v>VIRDEN</v>
          </cell>
          <cell r="C444" t="str">
            <v>ILLINOIS OPERATIONS</v>
          </cell>
        </row>
        <row r="445">
          <cell r="A445" t="str">
            <v>80A</v>
          </cell>
          <cell r="B445" t="str">
            <v>NUCL - ADMINISTRATION</v>
          </cell>
          <cell r="C445" t="str">
            <v>UE GENERATION - NUCLEAR</v>
          </cell>
        </row>
        <row r="446">
          <cell r="A446" t="str">
            <v>80B</v>
          </cell>
          <cell r="B446" t="str">
            <v>NUCL - OPERATIONS</v>
          </cell>
          <cell r="C446" t="str">
            <v>UE GENERATION - NUCLEAR</v>
          </cell>
        </row>
        <row r="447">
          <cell r="A447" t="str">
            <v>80C</v>
          </cell>
          <cell r="B447" t="str">
            <v>CA - QUALITY ASSURANCE INVALID</v>
          </cell>
          <cell r="C447" t="str">
            <v>UE GENERATION - NUCLEAR</v>
          </cell>
        </row>
        <row r="448">
          <cell r="A448" t="str">
            <v>80D</v>
          </cell>
          <cell r="B448" t="str">
            <v>NUCL - MAINTENANCE I&amp;C</v>
          </cell>
          <cell r="C448" t="str">
            <v>UE GENERATION - NUCLEAR</v>
          </cell>
        </row>
        <row r="449">
          <cell r="A449" t="str">
            <v>80E</v>
          </cell>
          <cell r="B449" t="str">
            <v>NUCL - TRAINING - OPERATIONS</v>
          </cell>
          <cell r="C449" t="str">
            <v>UE GENERATION - NUCLEAR</v>
          </cell>
        </row>
        <row r="450">
          <cell r="A450" t="str">
            <v>80G</v>
          </cell>
          <cell r="B450" t="str">
            <v>NUCL - MAINTENANCE FACILITIES</v>
          </cell>
          <cell r="C450" t="str">
            <v>UE GENERATION - NUCLEAR</v>
          </cell>
        </row>
        <row r="451">
          <cell r="A451" t="str">
            <v>80I</v>
          </cell>
          <cell r="B451" t="str">
            <v>CSF - CALLAWAY</v>
          </cell>
          <cell r="C451" t="str">
            <v>AMEREN SERVICES CENTER</v>
          </cell>
        </row>
        <row r="452">
          <cell r="A452" t="str">
            <v>80K</v>
          </cell>
          <cell r="B452" t="str">
            <v>NUCL - LICENSING</v>
          </cell>
          <cell r="C452" t="str">
            <v>UE GENERATION - NUCLEAR</v>
          </cell>
        </row>
        <row r="453">
          <cell r="A453" t="str">
            <v>80M</v>
          </cell>
          <cell r="B453" t="str">
            <v>NUCL - MATERIALS MANAGEMENT</v>
          </cell>
          <cell r="C453" t="str">
            <v>UE GENERATION - NUCLEAR</v>
          </cell>
        </row>
        <row r="454">
          <cell r="A454" t="str">
            <v>80N</v>
          </cell>
          <cell r="B454" t="str">
            <v>NUCL - SECURITY</v>
          </cell>
          <cell r="C454" t="str">
            <v>UE GENERATION - NUCLEAR</v>
          </cell>
        </row>
        <row r="455">
          <cell r="A455" t="str">
            <v>80Q</v>
          </cell>
          <cell r="B455" t="str">
            <v>NUCL- BUSINESS PLAN &amp; COMM</v>
          </cell>
          <cell r="C455" t="str">
            <v>UE GENERATION - NUCLEAR</v>
          </cell>
        </row>
        <row r="456">
          <cell r="A456" t="str">
            <v>80R</v>
          </cell>
          <cell r="B456" t="str">
            <v>NUCL - TRAINING-RP-CHEM-ENG</v>
          </cell>
          <cell r="C456" t="str">
            <v>UE GENERATION - NUCLEAR</v>
          </cell>
        </row>
        <row r="457">
          <cell r="A457" t="str">
            <v>80S</v>
          </cell>
          <cell r="B457" t="str">
            <v>NUCL - SAFETY</v>
          </cell>
          <cell r="C457" t="str">
            <v>UE GENERATION - NUCLEAR</v>
          </cell>
        </row>
        <row r="458">
          <cell r="A458" t="str">
            <v>80T</v>
          </cell>
          <cell r="B458" t="str">
            <v>NUCL - TRAINING - MAINT-I&amp;C</v>
          </cell>
          <cell r="C458" t="str">
            <v>UE GENERATION - NUCLEAR</v>
          </cell>
        </row>
        <row r="459">
          <cell r="A459" t="str">
            <v>80V</v>
          </cell>
          <cell r="B459" t="str">
            <v>NUCL - STARS</v>
          </cell>
          <cell r="C459" t="str">
            <v>UE GENERATION - NUCLEAR</v>
          </cell>
        </row>
        <row r="460">
          <cell r="A460" t="str">
            <v>80W</v>
          </cell>
          <cell r="B460" t="str">
            <v>NUCL - PERSONNEL DEPT</v>
          </cell>
          <cell r="C460" t="str">
            <v>UE GENERATION - NUCLEAR</v>
          </cell>
        </row>
        <row r="461">
          <cell r="A461" t="str">
            <v>80X</v>
          </cell>
          <cell r="B461" t="str">
            <v>NUCL - NUCLEAR STAFF</v>
          </cell>
          <cell r="C461" t="str">
            <v>UE GENERATION - NUCLEAR</v>
          </cell>
        </row>
        <row r="462">
          <cell r="A462" t="str">
            <v>80Y</v>
          </cell>
          <cell r="B462" t="str">
            <v>NUCL - TRAINING - GENERAL</v>
          </cell>
          <cell r="C462" t="str">
            <v>UE GENERATION - NUCLEAR</v>
          </cell>
        </row>
        <row r="463">
          <cell r="A463" t="str">
            <v>80Z</v>
          </cell>
          <cell r="B463" t="str">
            <v>NUCL - VACNY FACTOR UN-IDFD</v>
          </cell>
          <cell r="C463" t="str">
            <v>UE GENERATION - NUCLEAR</v>
          </cell>
        </row>
        <row r="464">
          <cell r="A464" t="str">
            <v>81A</v>
          </cell>
          <cell r="B464" t="str">
            <v>GENERATION QUALITY ENGINEERING</v>
          </cell>
          <cell r="C464" t="str">
            <v>GENERATION TECHNICAL SERVICES</v>
          </cell>
        </row>
        <row r="465">
          <cell r="A465" t="str">
            <v>81B</v>
          </cell>
          <cell r="B465" t="str">
            <v>GENERATION CHEM ENG &amp; LAB SVCS</v>
          </cell>
          <cell r="C465" t="str">
            <v>GENERATION TECHNICAL SERVICES</v>
          </cell>
        </row>
        <row r="466">
          <cell r="A466" t="str">
            <v>81C</v>
          </cell>
          <cell r="B466" t="str">
            <v>GENERATION CHEMICAL TESTING</v>
          </cell>
          <cell r="C466" t="str">
            <v>GENERATION TECHNICAL SERVICES</v>
          </cell>
        </row>
        <row r="467">
          <cell r="A467" t="str">
            <v>81D</v>
          </cell>
          <cell r="B467" t="str">
            <v>GEN PERF MONITOR &amp; ASSESS</v>
          </cell>
          <cell r="C467" t="str">
            <v>GENERATION TECHNICAL SERVICES</v>
          </cell>
        </row>
        <row r="468">
          <cell r="A468" t="str">
            <v>81E</v>
          </cell>
          <cell r="B468" t="str">
            <v>GENERATION PERFORMANCE ENGRNG</v>
          </cell>
          <cell r="C468" t="str">
            <v>GENERATION TECHNICAL SERVICES</v>
          </cell>
        </row>
        <row r="469">
          <cell r="A469" t="str">
            <v>81H</v>
          </cell>
          <cell r="B469" t="str">
            <v>GENERATION TECHNOLOGY MGMT</v>
          </cell>
          <cell r="C469" t="str">
            <v>GENERATION TECHNICAL SERVICES</v>
          </cell>
        </row>
        <row r="470">
          <cell r="A470" t="str">
            <v>82A</v>
          </cell>
          <cell r="B470" t="str">
            <v>VENICE PLANT GENERAL-INVALID</v>
          </cell>
          <cell r="C470" t="str">
            <v>AMEREN CTG OPERATIONS</v>
          </cell>
        </row>
        <row r="471">
          <cell r="A471" t="str">
            <v>82B</v>
          </cell>
          <cell r="B471" t="str">
            <v>VENICE PLANT OPERATION-INVALID</v>
          </cell>
          <cell r="C471" t="str">
            <v>AMEREN CTG OPERATIONS</v>
          </cell>
        </row>
        <row r="472">
          <cell r="A472" t="str">
            <v>82C</v>
          </cell>
          <cell r="B472" t="str">
            <v>VENICE PLANT MAINTENAN-INVALID</v>
          </cell>
          <cell r="C472" t="str">
            <v>AMEREN CTG OPERATIONS</v>
          </cell>
        </row>
        <row r="473">
          <cell r="A473" t="str">
            <v>82D</v>
          </cell>
          <cell r="B473" t="str">
            <v>VENICE PLANT TECH TRAI-INVALID</v>
          </cell>
          <cell r="C473" t="str">
            <v>AMEREN CTG OPERATIONS</v>
          </cell>
        </row>
        <row r="474">
          <cell r="A474" t="str">
            <v>82E</v>
          </cell>
          <cell r="B474" t="str">
            <v>VENICE PLANT ADMIN-INVALID</v>
          </cell>
          <cell r="C474" t="str">
            <v>AMEREN CTG OPERATIONS</v>
          </cell>
        </row>
        <row r="475">
          <cell r="A475" t="str">
            <v>83A</v>
          </cell>
          <cell r="B475" t="str">
            <v>LABADIE PLANT GENERAL &amp; BUD</v>
          </cell>
          <cell r="C475" t="str">
            <v>UE GENERATION - NON NUCLEAR</v>
          </cell>
        </row>
        <row r="476">
          <cell r="A476" t="str">
            <v>83B</v>
          </cell>
          <cell r="B476" t="str">
            <v>LABADIE PLANT OPERATIONS</v>
          </cell>
          <cell r="C476" t="str">
            <v>UE GENERATION - NON NUCLEAR</v>
          </cell>
        </row>
        <row r="477">
          <cell r="A477" t="str">
            <v>83C</v>
          </cell>
          <cell r="B477" t="str">
            <v>LABADIE PLANT MAINTENANCE</v>
          </cell>
          <cell r="C477" t="str">
            <v>UE GENERATION - NON NUCLEAR</v>
          </cell>
        </row>
        <row r="478">
          <cell r="A478" t="str">
            <v>83D</v>
          </cell>
          <cell r="B478" t="str">
            <v>LABADIE PLANT TECHNICAL SUPPORT</v>
          </cell>
          <cell r="C478" t="str">
            <v>UE GENERATION - NON NUCLEAR</v>
          </cell>
        </row>
        <row r="479">
          <cell r="A479" t="str">
            <v>83E</v>
          </cell>
          <cell r="B479" t="str">
            <v>LABADIE PLANT ADMINISTRATION</v>
          </cell>
          <cell r="C479" t="str">
            <v>UE GENERATION - NON NUCLEAR</v>
          </cell>
        </row>
        <row r="480">
          <cell r="A480" t="str">
            <v>84A</v>
          </cell>
          <cell r="B480" t="str">
            <v>KEOKUK PLANT GENERAL &amp; BUD</v>
          </cell>
          <cell r="C480" t="str">
            <v>UE GENERATION - NON NUCLEAR</v>
          </cell>
        </row>
        <row r="481">
          <cell r="A481" t="str">
            <v>84B</v>
          </cell>
          <cell r="B481" t="str">
            <v>KEOKUK PLANT OPERATIONS&amp;ENGINEERING</v>
          </cell>
          <cell r="C481" t="str">
            <v>UE GENERATION - NON NUCLEAR</v>
          </cell>
        </row>
        <row r="482">
          <cell r="A482" t="str">
            <v>84C</v>
          </cell>
          <cell r="B482" t="str">
            <v>KEOKUK PLANT MAINTENANCE</v>
          </cell>
          <cell r="C482" t="str">
            <v>UE GENERATION - NON NUCLEAR</v>
          </cell>
        </row>
        <row r="483">
          <cell r="A483" t="str">
            <v>85A</v>
          </cell>
          <cell r="B483" t="str">
            <v>SIOUX PLANT GENERAL &amp; BUD</v>
          </cell>
          <cell r="C483" t="str">
            <v>UE GENERATION - NON NUCLEAR</v>
          </cell>
        </row>
        <row r="484">
          <cell r="A484" t="str">
            <v>85B</v>
          </cell>
          <cell r="B484" t="str">
            <v>SIOUX PLANT OPERATIONS</v>
          </cell>
          <cell r="C484" t="str">
            <v>UE GENERATION - NON NUCLEAR</v>
          </cell>
        </row>
        <row r="485">
          <cell r="A485" t="str">
            <v>85C</v>
          </cell>
          <cell r="B485" t="str">
            <v>SIOUX PLANT MAINTENANCE</v>
          </cell>
          <cell r="C485" t="str">
            <v>UE GENERATION - NON NUCLEAR</v>
          </cell>
        </row>
        <row r="486">
          <cell r="A486" t="str">
            <v>85D</v>
          </cell>
          <cell r="B486" t="str">
            <v>SIOUX PLANT TECHNICAL SUPPORT</v>
          </cell>
          <cell r="C486" t="str">
            <v>UE GENERATION - NON NUCLEAR</v>
          </cell>
        </row>
        <row r="487">
          <cell r="A487" t="str">
            <v>85E</v>
          </cell>
          <cell r="B487" t="str">
            <v>SIOUX PLANT ADMINISTRATION</v>
          </cell>
          <cell r="C487" t="str">
            <v>UE GENERATION - NON NUCLEAR</v>
          </cell>
        </row>
        <row r="488">
          <cell r="A488" t="str">
            <v>87C</v>
          </cell>
          <cell r="B488" t="str">
            <v>NUCL - EMERGENCY RESPONSE</v>
          </cell>
          <cell r="C488" t="str">
            <v>UE GENERATION - NUCLEAR</v>
          </cell>
        </row>
        <row r="489">
          <cell r="A489" t="str">
            <v>88A</v>
          </cell>
          <cell r="B489" t="str">
            <v>NUCL - ENG SYS - BOP</v>
          </cell>
          <cell r="C489" t="str">
            <v>UE GENERATION - NUCLEAR</v>
          </cell>
        </row>
        <row r="490">
          <cell r="A490" t="str">
            <v>88B</v>
          </cell>
          <cell r="B490" t="str">
            <v>NUCL - ENG SYS - ELECT - I&amp;C</v>
          </cell>
          <cell r="C490" t="str">
            <v>UE GENERATION - NUCLEAR</v>
          </cell>
        </row>
        <row r="491">
          <cell r="A491" t="str">
            <v>88C</v>
          </cell>
          <cell r="B491" t="str">
            <v>NUCL - ENG SYS - NSSS</v>
          </cell>
          <cell r="C491" t="str">
            <v>UE GENERATION - NUCLEAR</v>
          </cell>
        </row>
        <row r="492">
          <cell r="A492" t="str">
            <v>88D</v>
          </cell>
          <cell r="B492" t="str">
            <v>NUCL - ENG SYS - REACTOR</v>
          </cell>
          <cell r="C492" t="str">
            <v>UE GENERATION - NUCLEAR</v>
          </cell>
        </row>
        <row r="493">
          <cell r="A493" t="str">
            <v>88E</v>
          </cell>
          <cell r="B493" t="str">
            <v>NUCL - ENG SYS - FIX IT NOW</v>
          </cell>
          <cell r="C493" t="str">
            <v>UE GENERATION - NUCLEAR</v>
          </cell>
        </row>
        <row r="494">
          <cell r="A494" t="str">
            <v>8AA</v>
          </cell>
          <cell r="B494" t="str">
            <v>NUCL - ENG PROJ - PROJECTS</v>
          </cell>
          <cell r="C494" t="str">
            <v>UE GENERATION - NUCLEAR</v>
          </cell>
        </row>
        <row r="495">
          <cell r="A495" t="str">
            <v>8AB</v>
          </cell>
          <cell r="B495" t="str">
            <v>NUCL -  ENG PROJ - MECHANICAL</v>
          </cell>
          <cell r="C495" t="str">
            <v>UE GENERATION - NUCLEAR</v>
          </cell>
        </row>
        <row r="496">
          <cell r="A496" t="str">
            <v>8AC</v>
          </cell>
          <cell r="B496" t="str">
            <v>NUCL - SAFETY ANALYSIS</v>
          </cell>
          <cell r="C496" t="str">
            <v>UE GENERATION - NUCLEAR</v>
          </cell>
        </row>
        <row r="497">
          <cell r="A497" t="str">
            <v>8AD</v>
          </cell>
          <cell r="B497" t="str">
            <v>NUCL - ENJ PROJ - RECORDS</v>
          </cell>
          <cell r="C497" t="str">
            <v>UE GENERATION - NUCLEAR</v>
          </cell>
        </row>
        <row r="498">
          <cell r="A498" t="str">
            <v>8BA</v>
          </cell>
          <cell r="B498" t="str">
            <v>NUCL - AAFFD</v>
          </cell>
          <cell r="C498" t="str">
            <v>UE GENERATION - NUCLEAR</v>
          </cell>
        </row>
        <row r="499">
          <cell r="A499" t="str">
            <v>8BE</v>
          </cell>
          <cell r="B499" t="str">
            <v>BEARDSTOWN</v>
          </cell>
          <cell r="C499" t="str">
            <v>ILLINOIS OPERATIONS</v>
          </cell>
        </row>
        <row r="500">
          <cell r="A500" t="str">
            <v>8CA</v>
          </cell>
          <cell r="B500" t="str">
            <v>NUCL - QA QUALITY CONTROL</v>
          </cell>
          <cell r="C500" t="str">
            <v>UE GENERATION - NUCLEAR</v>
          </cell>
        </row>
        <row r="501">
          <cell r="A501" t="str">
            <v>8CB</v>
          </cell>
          <cell r="B501" t="str">
            <v>NUCL - QA AUDIT GROUP AND ITR</v>
          </cell>
          <cell r="C501" t="str">
            <v>UE GENERATION - NUCLEAR</v>
          </cell>
        </row>
        <row r="502">
          <cell r="A502" t="str">
            <v>8CC</v>
          </cell>
          <cell r="B502" t="str">
            <v>NUCL - INVALID BUDGET</v>
          </cell>
          <cell r="C502" t="str">
            <v>UE GENERATION - NUCLEAR</v>
          </cell>
        </row>
        <row r="503">
          <cell r="A503" t="str">
            <v>8CD</v>
          </cell>
          <cell r="B503" t="str">
            <v>NUCL - INVALID BUDGET</v>
          </cell>
          <cell r="C503" t="str">
            <v>UE GENERATION - NUCLEAR</v>
          </cell>
        </row>
        <row r="504">
          <cell r="A504" t="str">
            <v>8CE</v>
          </cell>
          <cell r="B504" t="str">
            <v>NUCL - REGIONAL REG AFFAIRS</v>
          </cell>
          <cell r="C504" t="str">
            <v>UE GENERATION - NUCLEAR</v>
          </cell>
        </row>
        <row r="505">
          <cell r="A505" t="str">
            <v>8CF</v>
          </cell>
          <cell r="B505" t="str">
            <v>NUCL - QA SUPPLIER QUALITY</v>
          </cell>
          <cell r="C505" t="str">
            <v>UE GENERATION - NUCLEAR</v>
          </cell>
        </row>
        <row r="506">
          <cell r="A506" t="str">
            <v>8CG</v>
          </cell>
          <cell r="B506" t="str">
            <v>NUCL - EMPLOYEE CONCERNS</v>
          </cell>
          <cell r="C506" t="str">
            <v>UE GENERATION - NUCLEAR</v>
          </cell>
        </row>
        <row r="507">
          <cell r="A507" t="str">
            <v>8CN</v>
          </cell>
          <cell r="B507" t="str">
            <v>CANTON</v>
          </cell>
          <cell r="C507" t="str">
            <v>ILLINOIS OPERATIONS</v>
          </cell>
        </row>
        <row r="508">
          <cell r="A508" t="str">
            <v>8CR</v>
          </cell>
          <cell r="B508" t="str">
            <v>CARTHAGE</v>
          </cell>
          <cell r="C508" t="str">
            <v>ILLINOIS OPERATIONS</v>
          </cell>
        </row>
        <row r="509">
          <cell r="A509" t="str">
            <v>8EA</v>
          </cell>
          <cell r="B509" t="str">
            <v>NUCL - ENJ PROJ - MAJOR MODS</v>
          </cell>
          <cell r="C509" t="str">
            <v>UE GENERATION - NUCLEAR</v>
          </cell>
        </row>
        <row r="510">
          <cell r="A510" t="str">
            <v>8EB</v>
          </cell>
          <cell r="B510" t="str">
            <v>NUCL - ENG DES - ELECTRICAL</v>
          </cell>
          <cell r="C510" t="str">
            <v>UE GENERATION - NUCLEAR</v>
          </cell>
        </row>
        <row r="511">
          <cell r="A511" t="str">
            <v>8EC</v>
          </cell>
          <cell r="B511" t="str">
            <v>NUCL - ENG DES - CIVIL</v>
          </cell>
          <cell r="C511" t="str">
            <v>UE GENERATION - NUCLEAR</v>
          </cell>
        </row>
        <row r="512">
          <cell r="A512" t="str">
            <v>8ED</v>
          </cell>
          <cell r="B512" t="str">
            <v>NUCL - ENG DES - MECHANICAL</v>
          </cell>
          <cell r="C512" t="str">
            <v>UE GENERATION - NUCLEAR</v>
          </cell>
        </row>
        <row r="513">
          <cell r="A513" t="str">
            <v>8EE</v>
          </cell>
          <cell r="B513" t="str">
            <v>NUCL - ENG DES - I&amp;C</v>
          </cell>
          <cell r="C513" t="str">
            <v>UE GENERATION - NUCLEAR</v>
          </cell>
        </row>
        <row r="514">
          <cell r="A514" t="str">
            <v>8FA</v>
          </cell>
          <cell r="B514" t="str">
            <v>NUCL - HEALTH PHYS-GEN-INVALID</v>
          </cell>
          <cell r="C514" t="str">
            <v>UE GENERATION - NUCLEAR</v>
          </cell>
        </row>
        <row r="515">
          <cell r="A515" t="str">
            <v>8FB</v>
          </cell>
          <cell r="B515" t="str">
            <v>NUCL - RAD PROTECTION - OPS</v>
          </cell>
          <cell r="C515" t="str">
            <v>UE GENERATION - NUCLEAR</v>
          </cell>
        </row>
        <row r="516">
          <cell r="A516" t="str">
            <v>8FC</v>
          </cell>
          <cell r="B516" t="str">
            <v>NUCL - RAD PROTECTION TECH SUP</v>
          </cell>
          <cell r="C516" t="str">
            <v>UE GENERATION - NUCLEAR</v>
          </cell>
        </row>
        <row r="517">
          <cell r="A517" t="str">
            <v>8GA</v>
          </cell>
          <cell r="B517" t="str">
            <v>NUCL - ENG TS - MATERIALS</v>
          </cell>
          <cell r="C517" t="str">
            <v>UE GENERATION - NUCLEAR</v>
          </cell>
        </row>
        <row r="518">
          <cell r="A518" t="str">
            <v>8GB</v>
          </cell>
          <cell r="B518" t="str">
            <v>CA - MAJOR PROJ ENG RU INVALID</v>
          </cell>
          <cell r="C518" t="str">
            <v>UE GENERATION - NUCLEAR</v>
          </cell>
        </row>
        <row r="519">
          <cell r="A519" t="str">
            <v>8GC</v>
          </cell>
          <cell r="B519" t="str">
            <v>NUCL - ENG PI - CONFIG MGMT</v>
          </cell>
          <cell r="C519" t="str">
            <v>UE GENERATION - NUCLEAR</v>
          </cell>
        </row>
        <row r="520">
          <cell r="A520" t="str">
            <v>8GD</v>
          </cell>
          <cell r="B520" t="str">
            <v>NUCL - ENG TS - PERFORMANCE</v>
          </cell>
          <cell r="C520" t="str">
            <v>UE GENERATION - NUCLEAR</v>
          </cell>
        </row>
        <row r="521">
          <cell r="A521" t="str">
            <v>8GE</v>
          </cell>
          <cell r="B521" t="str">
            <v>NUCL - ENG TS - PROGRAMS</v>
          </cell>
          <cell r="C521" t="str">
            <v>UE GENERATION - NUCLEAR</v>
          </cell>
        </row>
        <row r="522">
          <cell r="A522" t="str">
            <v>8GF</v>
          </cell>
          <cell r="B522" t="str">
            <v>NUCL - ENG TS - RELIABILITY</v>
          </cell>
          <cell r="C522" t="str">
            <v>UE GENERATION - NUCLEAR</v>
          </cell>
        </row>
        <row r="523">
          <cell r="A523" t="str">
            <v>8HA</v>
          </cell>
          <cell r="B523" t="str">
            <v>NUCL - RADWASTE CHEM-INVALID</v>
          </cell>
          <cell r="C523" t="str">
            <v>UE GENERATION - NUCLEAR</v>
          </cell>
        </row>
        <row r="524">
          <cell r="A524" t="str">
            <v>8HB</v>
          </cell>
          <cell r="B524" t="str">
            <v>NUCL - RADWASTE</v>
          </cell>
          <cell r="C524" t="str">
            <v>UE GENERATION - NUCLEAR</v>
          </cell>
        </row>
        <row r="525">
          <cell r="A525" t="str">
            <v>8HC</v>
          </cell>
          <cell r="B525" t="str">
            <v>NUCL - CHEMISTRY</v>
          </cell>
          <cell r="C525" t="str">
            <v>UE GENERATION - NUCLEAR</v>
          </cell>
        </row>
        <row r="526">
          <cell r="A526" t="str">
            <v>8HD</v>
          </cell>
          <cell r="B526" t="str">
            <v>NUCL - RC-C GENERAL-INVALID</v>
          </cell>
          <cell r="C526" t="str">
            <v>UE GENERATION - NUCLEAR</v>
          </cell>
        </row>
        <row r="527">
          <cell r="A527" t="str">
            <v>8LA</v>
          </cell>
          <cell r="B527" t="str">
            <v>NUCL - MAINTENANCE ELECTRICAL</v>
          </cell>
          <cell r="C527" t="str">
            <v>UE GENERATION - NUCLEAR</v>
          </cell>
        </row>
        <row r="528">
          <cell r="A528" t="str">
            <v>8LB</v>
          </cell>
          <cell r="B528" t="str">
            <v>NUCL - MAINTENANCE MECHANICAL</v>
          </cell>
          <cell r="C528" t="str">
            <v>UE GENERATION - NUCLEAR</v>
          </cell>
        </row>
        <row r="529">
          <cell r="A529" t="str">
            <v>8LC</v>
          </cell>
          <cell r="B529" t="str">
            <v>NUCL - OUTAGE SCHEDULING</v>
          </cell>
          <cell r="C529" t="str">
            <v>UE GENERATION - NUCLEAR</v>
          </cell>
        </row>
        <row r="530">
          <cell r="A530" t="str">
            <v>8LD</v>
          </cell>
          <cell r="B530" t="str">
            <v>NUCL - MAINTENANCE SUPPORT</v>
          </cell>
          <cell r="C530" t="str">
            <v>UE GENERATION - NUCLEAR</v>
          </cell>
        </row>
        <row r="531">
          <cell r="A531" t="str">
            <v>8LE</v>
          </cell>
          <cell r="B531" t="str">
            <v>NUCL - MAINTENANCE GENERAL</v>
          </cell>
          <cell r="C531" t="str">
            <v>UE GENERATION - NUCLEAR</v>
          </cell>
        </row>
        <row r="532">
          <cell r="A532" t="str">
            <v>8MA</v>
          </cell>
          <cell r="B532" t="str">
            <v>MACOMB</v>
          </cell>
          <cell r="C532" t="str">
            <v>ILLINOIS OPERATIONS</v>
          </cell>
        </row>
        <row r="533">
          <cell r="A533" t="str">
            <v>8MS</v>
          </cell>
          <cell r="B533" t="str">
            <v>DIVISION II SUPPORT STAFF</v>
          </cell>
          <cell r="C533" t="str">
            <v>ILLINOIS OPERATIONS</v>
          </cell>
        </row>
        <row r="534">
          <cell r="A534" t="str">
            <v>8P2</v>
          </cell>
          <cell r="B534" t="str">
            <v>NUCL - PERSONNEL-INVALID</v>
          </cell>
          <cell r="C534" t="str">
            <v>UE GENERATION - NUCLEAR</v>
          </cell>
        </row>
        <row r="535">
          <cell r="A535" t="str">
            <v>8PA</v>
          </cell>
          <cell r="B535" t="str">
            <v>NUCL - INVALID BUDGET</v>
          </cell>
          <cell r="C535" t="str">
            <v>UE GENERATION - NUCLEAR</v>
          </cell>
        </row>
        <row r="536">
          <cell r="A536" t="str">
            <v>8PB</v>
          </cell>
          <cell r="B536" t="str">
            <v>NUCL - INVALID BUDGET</v>
          </cell>
          <cell r="C536" t="str">
            <v>UE GENERATION - NUCLEAR</v>
          </cell>
        </row>
        <row r="537">
          <cell r="A537" t="str">
            <v>8PC</v>
          </cell>
          <cell r="B537" t="str">
            <v>NUCL - PERFORMANCE IMPROVE DPT</v>
          </cell>
          <cell r="C537" t="str">
            <v>UE GENERATION - NUCLEAR</v>
          </cell>
        </row>
        <row r="538">
          <cell r="A538" t="str">
            <v>8PE</v>
          </cell>
          <cell r="B538" t="str">
            <v>PETERSBURG</v>
          </cell>
          <cell r="C538" t="str">
            <v>ILLINOIS OPERATIONS</v>
          </cell>
        </row>
        <row r="539">
          <cell r="A539" t="str">
            <v>8R7</v>
          </cell>
          <cell r="B539" t="str">
            <v>NUCL - PROTECTIVE SERVICES</v>
          </cell>
          <cell r="C539" t="str">
            <v>UE GENERATION - NUCLEAR</v>
          </cell>
        </row>
        <row r="540">
          <cell r="A540" t="str">
            <v>8WA</v>
          </cell>
          <cell r="B540" t="str">
            <v>NUCL - WORK MANAGEMENT</v>
          </cell>
          <cell r="C540" t="str">
            <v>UE GENERATION - NUCLEAR</v>
          </cell>
        </row>
        <row r="541">
          <cell r="A541" t="str">
            <v>90B</v>
          </cell>
          <cell r="B541" t="str">
            <v>LEGAL &amp; CORP SERVICES-IPC</v>
          </cell>
          <cell r="C541" t="str">
            <v>GENERAL COUNSEL</v>
          </cell>
        </row>
        <row r="542">
          <cell r="A542" t="str">
            <v>90C</v>
          </cell>
          <cell r="B542" t="str">
            <v>ACCOUNTING-IPC</v>
          </cell>
          <cell r="C542" t="str">
            <v>CONTROLLER</v>
          </cell>
        </row>
        <row r="543">
          <cell r="A543" t="str">
            <v>90D</v>
          </cell>
          <cell r="B543" t="str">
            <v>CONTROLLERS STAFF-IPC</v>
          </cell>
          <cell r="C543" t="str">
            <v>CONTROLLER</v>
          </cell>
        </row>
        <row r="544">
          <cell r="A544" t="str">
            <v>90E</v>
          </cell>
          <cell r="B544" t="str">
            <v>PERFORMANCE MANAGEMENT-IPC</v>
          </cell>
          <cell r="C544" t="str">
            <v>CONTROLLER</v>
          </cell>
        </row>
        <row r="545">
          <cell r="A545" t="str">
            <v>90F</v>
          </cell>
          <cell r="B545" t="str">
            <v>HR - OPERATIONS- IPC</v>
          </cell>
          <cell r="C545" t="str">
            <v>HUMAN RESOURCES</v>
          </cell>
        </row>
        <row r="546">
          <cell r="A546" t="str">
            <v>90G</v>
          </cell>
          <cell r="B546" t="str">
            <v>INFO TECH SERVICES-IPC-INVALID</v>
          </cell>
          <cell r="C546" t="str">
            <v>AMEREN SERVICES CENTER</v>
          </cell>
        </row>
        <row r="547">
          <cell r="A547" t="str">
            <v>90J</v>
          </cell>
          <cell r="B547" t="str">
            <v>ED ELE TRAIN - IPC - INVALID</v>
          </cell>
          <cell r="C547" t="str">
            <v>ENERGY DELIVERY SERVICES</v>
          </cell>
        </row>
        <row r="548">
          <cell r="A548" t="str">
            <v>90K</v>
          </cell>
          <cell r="B548" t="str">
            <v>ALT - IPC</v>
          </cell>
          <cell r="C548" t="str">
            <v>EXECUTIVE</v>
          </cell>
        </row>
        <row r="549">
          <cell r="A549" t="str">
            <v>90L</v>
          </cell>
          <cell r="B549" t="str">
            <v>BUILDING SERVICES-IPC</v>
          </cell>
          <cell r="C549" t="str">
            <v>SUPPLY SERVICES</v>
          </cell>
        </row>
        <row r="550">
          <cell r="A550" t="str">
            <v>90M</v>
          </cell>
          <cell r="B550" t="str">
            <v>CUST FORECASTING &amp; PRICING-IPC</v>
          </cell>
          <cell r="C550" t="str">
            <v>GOVT RELATIONS  &amp; ECONOMIC DEV</v>
          </cell>
        </row>
        <row r="551">
          <cell r="A551" t="str">
            <v>90N</v>
          </cell>
          <cell r="B551" t="str">
            <v>INVESTMENT RECOVERY-IPC</v>
          </cell>
          <cell r="C551" t="str">
            <v>SUPPLY SERVICES</v>
          </cell>
        </row>
        <row r="552">
          <cell r="A552" t="str">
            <v>90P</v>
          </cell>
          <cell r="B552" t="str">
            <v>IPC CUSTOMER MNGMT INVALID</v>
          </cell>
          <cell r="C552" t="str">
            <v>ILLINOIS OPERATIONS</v>
          </cell>
        </row>
        <row r="553">
          <cell r="A553" t="str">
            <v>90Q</v>
          </cell>
          <cell r="B553" t="str">
            <v>REAL ESTATE-IPC</v>
          </cell>
          <cell r="C553" t="str">
            <v>SUPPLY SERVICES</v>
          </cell>
        </row>
        <row r="554">
          <cell r="A554" t="str">
            <v>90S</v>
          </cell>
          <cell r="B554" t="str">
            <v>RECORDS MANAGEMENT-IPC</v>
          </cell>
          <cell r="C554" t="str">
            <v>TREASURER</v>
          </cell>
        </row>
        <row r="555">
          <cell r="A555" t="str">
            <v>90T</v>
          </cell>
          <cell r="B555" t="str">
            <v>MICROFILM-IPC</v>
          </cell>
          <cell r="C555" t="str">
            <v>TREASURER</v>
          </cell>
        </row>
        <row r="556">
          <cell r="A556" t="str">
            <v>90U</v>
          </cell>
          <cell r="B556" t="str">
            <v>MAIL CENTER-IPC</v>
          </cell>
          <cell r="C556" t="str">
            <v>TREASURER</v>
          </cell>
        </row>
        <row r="557">
          <cell r="A557" t="str">
            <v>90V</v>
          </cell>
          <cell r="B557" t="str">
            <v>GAS SUPPLY IPC - INVALID</v>
          </cell>
          <cell r="C557" t="str">
            <v>ILLINOIS OPERATIONS</v>
          </cell>
        </row>
        <row r="558">
          <cell r="A558" t="str">
            <v>90W</v>
          </cell>
          <cell r="B558" t="str">
            <v>SUBSTATIONS - IPC - INVALID</v>
          </cell>
          <cell r="C558" t="str">
            <v>ENERGY DELIVERY SERVICES</v>
          </cell>
        </row>
        <row r="559">
          <cell r="A559" t="str">
            <v>90X</v>
          </cell>
          <cell r="B559" t="str">
            <v>SECURITY-IPC</v>
          </cell>
          <cell r="C559" t="str">
            <v>GENERAL COUNSEL</v>
          </cell>
        </row>
        <row r="560">
          <cell r="A560" t="str">
            <v>90Y</v>
          </cell>
          <cell r="B560" t="str">
            <v>PRINTING SERVICES-IPC-INVALID</v>
          </cell>
          <cell r="C560" t="str">
            <v>AMEREN SERVICES CENTER</v>
          </cell>
        </row>
        <row r="561">
          <cell r="A561" t="str">
            <v>91A</v>
          </cell>
          <cell r="B561" t="str">
            <v>IL OPS ADMN</v>
          </cell>
          <cell r="C561" t="str">
            <v>ILLINOIS OPERATIONS</v>
          </cell>
        </row>
        <row r="562">
          <cell r="A562" t="str">
            <v>91B</v>
          </cell>
          <cell r="B562" t="str">
            <v>EMPLOYEE BENEFITS-IPC</v>
          </cell>
          <cell r="C562" t="str">
            <v>HUMAN RESOURCES</v>
          </cell>
        </row>
        <row r="563">
          <cell r="A563" t="str">
            <v>91C</v>
          </cell>
          <cell r="B563" t="str">
            <v>METER SERVICES - IPC</v>
          </cell>
          <cell r="C563" t="str">
            <v>ENERGY DELIVERY SERVICES</v>
          </cell>
        </row>
        <row r="564">
          <cell r="A564" t="str">
            <v>91D</v>
          </cell>
          <cell r="B564" t="str">
            <v>IPC ELE OPS SUPPORT - INVALID</v>
          </cell>
          <cell r="C564" t="str">
            <v>ILLINOIS OPERATIONS</v>
          </cell>
        </row>
        <row r="565">
          <cell r="A565" t="str">
            <v>91E</v>
          </cell>
          <cell r="B565" t="str">
            <v>IPC MGR FLD ENG RES - INVALID</v>
          </cell>
          <cell r="C565" t="str">
            <v>ILLINOIS OPERATIONS</v>
          </cell>
        </row>
        <row r="566">
          <cell r="A566" t="str">
            <v>91F</v>
          </cell>
          <cell r="B566" t="str">
            <v>GAS SUPPORT IPC - INVALID</v>
          </cell>
          <cell r="C566" t="str">
            <v>ILLINOIS OPERATIONS</v>
          </cell>
        </row>
        <row r="567">
          <cell r="A567" t="str">
            <v>91G</v>
          </cell>
          <cell r="B567" t="str">
            <v>IPC ENRGY DLVRY OPS - INVALID</v>
          </cell>
          <cell r="C567" t="str">
            <v>ILLINOIS OPERATIONS</v>
          </cell>
        </row>
        <row r="568">
          <cell r="A568" t="str">
            <v>91H</v>
          </cell>
          <cell r="B568" t="str">
            <v>TRANSMISSION - IPC</v>
          </cell>
          <cell r="C568" t="str">
            <v>ENERGY DELIVERY SERVICES</v>
          </cell>
        </row>
        <row r="569">
          <cell r="A569" t="str">
            <v>91J</v>
          </cell>
          <cell r="B569" t="str">
            <v>SUB CTRL &amp; INST IPC - INVALID</v>
          </cell>
          <cell r="C569" t="str">
            <v>ENERGY DELIVERY SERVICES</v>
          </cell>
        </row>
        <row r="570">
          <cell r="A570" t="str">
            <v>91K</v>
          </cell>
          <cell r="B570" t="str">
            <v>VEGETATION MGT - IPC INVALID</v>
          </cell>
          <cell r="C570" t="str">
            <v>ENERGY DELIVERY SERVICES</v>
          </cell>
        </row>
        <row r="571">
          <cell r="A571" t="str">
            <v>91L</v>
          </cell>
          <cell r="B571" t="str">
            <v>CHAMPAIGN - URBANA</v>
          </cell>
          <cell r="C571" t="str">
            <v>ILLINOIS OPERATIONS</v>
          </cell>
        </row>
        <row r="572">
          <cell r="A572" t="str">
            <v>91N</v>
          </cell>
          <cell r="B572" t="str">
            <v>JACKSONVILLE</v>
          </cell>
          <cell r="C572" t="str">
            <v>ILLINOIS OPERATIONS</v>
          </cell>
        </row>
        <row r="573">
          <cell r="A573" t="str">
            <v>91P</v>
          </cell>
          <cell r="B573" t="str">
            <v>DISTRIBUTION OPERATING-Decatur</v>
          </cell>
          <cell r="C573" t="str">
            <v>ILLINOIS OPERATIONS</v>
          </cell>
        </row>
        <row r="574">
          <cell r="A574" t="str">
            <v>91Q</v>
          </cell>
          <cell r="B574" t="str">
            <v>IPC OPER SUPPORT - INVALID</v>
          </cell>
          <cell r="C574" t="str">
            <v>ILLINOIS OPERATIONS</v>
          </cell>
        </row>
        <row r="575">
          <cell r="A575" t="str">
            <v>91R</v>
          </cell>
          <cell r="B575" t="str">
            <v>DIVISION I SUPT  - IPC INVALID</v>
          </cell>
          <cell r="C575" t="str">
            <v>ILLINOIS OPERATIONS</v>
          </cell>
        </row>
        <row r="576">
          <cell r="A576" t="str">
            <v>91S</v>
          </cell>
          <cell r="B576" t="str">
            <v>DIVISION III SPT -IPC INVALID</v>
          </cell>
          <cell r="C576" t="str">
            <v>ILLINOIS OPERATIONS</v>
          </cell>
        </row>
        <row r="577">
          <cell r="A577" t="str">
            <v>91T</v>
          </cell>
          <cell r="B577" t="str">
            <v>DIVISION V SPT - IPC INVALID</v>
          </cell>
          <cell r="C577" t="str">
            <v>ILLINOIS OPERATIONS</v>
          </cell>
        </row>
        <row r="578">
          <cell r="A578" t="str">
            <v>91U</v>
          </cell>
          <cell r="B578" t="str">
            <v>DIVISION VI SUPPORT STAFF</v>
          </cell>
          <cell r="C578" t="str">
            <v>ILLINOIS OPERATIONS</v>
          </cell>
        </row>
        <row r="579">
          <cell r="A579" t="str">
            <v>91V</v>
          </cell>
          <cell r="B579" t="str">
            <v>GALESBURG</v>
          </cell>
          <cell r="C579" t="str">
            <v>ILLINOIS OPERATIONS</v>
          </cell>
        </row>
        <row r="580">
          <cell r="A580" t="str">
            <v>91W</v>
          </cell>
          <cell r="B580" t="str">
            <v>ENG SVCS IPC - INVALID</v>
          </cell>
          <cell r="C580" t="str">
            <v>ENERGY DELIVERY SERVICES</v>
          </cell>
        </row>
        <row r="581">
          <cell r="A581" t="str">
            <v>91X</v>
          </cell>
          <cell r="B581" t="str">
            <v>STOREROOMS - IPC</v>
          </cell>
          <cell r="C581" t="str">
            <v>SUPPLY SERVICES</v>
          </cell>
        </row>
        <row r="582">
          <cell r="A582" t="str">
            <v>91Y</v>
          </cell>
          <cell r="B582" t="str">
            <v>CUST ACCTNG DEPT - IPC INVALID</v>
          </cell>
          <cell r="C582" t="str">
            <v>ILLINOIS OPERATIONS</v>
          </cell>
        </row>
        <row r="583">
          <cell r="A583" t="str">
            <v>92A</v>
          </cell>
          <cell r="B583" t="str">
            <v>MT. VERNON</v>
          </cell>
          <cell r="C583" t="str">
            <v>ILLINOIS OPERATIONS</v>
          </cell>
        </row>
        <row r="584">
          <cell r="A584" t="str">
            <v>92B</v>
          </cell>
          <cell r="B584" t="str">
            <v>SUB MTCE &amp; CONST - IL SOUTH</v>
          </cell>
          <cell r="C584" t="str">
            <v>ENERGY DELIVERY SERVICES</v>
          </cell>
        </row>
        <row r="585">
          <cell r="A585" t="str">
            <v>92D</v>
          </cell>
          <cell r="B585" t="str">
            <v>LASALLE</v>
          </cell>
          <cell r="C585" t="str">
            <v>ILLINOIS OPERATIONS</v>
          </cell>
        </row>
        <row r="586">
          <cell r="A586" t="str">
            <v>92E</v>
          </cell>
          <cell r="B586" t="str">
            <v>BLOOMINGTON - NORMAL</v>
          </cell>
          <cell r="C586" t="str">
            <v>ILLINOIS OPERATIONS</v>
          </cell>
        </row>
        <row r="587">
          <cell r="A587" t="str">
            <v>92F</v>
          </cell>
          <cell r="B587" t="str">
            <v>ECONOMIC DEVELOP -FIN STMT-IPC</v>
          </cell>
          <cell r="C587" t="str">
            <v>GOVT RELATIONS  &amp; ECONOMIC DEV</v>
          </cell>
        </row>
        <row r="588">
          <cell r="A588" t="str">
            <v>92G</v>
          </cell>
          <cell r="B588" t="str">
            <v>ASSET MGT - IPC - INVALID</v>
          </cell>
          <cell r="C588" t="str">
            <v>ENERGY DELIVERY SERVICES</v>
          </cell>
        </row>
        <row r="589">
          <cell r="A589" t="str">
            <v>92H</v>
          </cell>
          <cell r="B589" t="str">
            <v>CORROSION CNTRL IPC - INVALID</v>
          </cell>
          <cell r="C589" t="str">
            <v>ILLINOIS OPERATIONS</v>
          </cell>
        </row>
        <row r="590">
          <cell r="A590" t="str">
            <v>92J</v>
          </cell>
          <cell r="B590" t="str">
            <v>MARYVILLE</v>
          </cell>
          <cell r="C590" t="str">
            <v>ILLINOIS OPERATIONS</v>
          </cell>
        </row>
        <row r="591">
          <cell r="A591" t="str">
            <v>92K</v>
          </cell>
          <cell r="B591" t="str">
            <v>ELEC ENERGY SUPPLY-IPC-INVALID</v>
          </cell>
          <cell r="C591" t="str">
            <v>ENERGY DELIVERY SERVICES</v>
          </cell>
        </row>
        <row r="592">
          <cell r="A592" t="str">
            <v>92L</v>
          </cell>
          <cell r="B592" t="str">
            <v>FLEET SVCS - IPC</v>
          </cell>
          <cell r="C592" t="str">
            <v>ENERGY DELIVERY SERVICES</v>
          </cell>
        </row>
        <row r="593">
          <cell r="A593" t="str">
            <v>92M</v>
          </cell>
          <cell r="B593" t="str">
            <v>PURCHASING - IPC</v>
          </cell>
          <cell r="C593" t="str">
            <v>SUPPLY SERVICES</v>
          </cell>
        </row>
        <row r="594">
          <cell r="A594" t="str">
            <v>92P</v>
          </cell>
          <cell r="B594" t="str">
            <v>KEY ACCOUNTS - IPC INVALID</v>
          </cell>
          <cell r="C594" t="str">
            <v>ILLINOIS OPERATIONS</v>
          </cell>
        </row>
        <row r="595">
          <cell r="A595" t="str">
            <v>92Q</v>
          </cell>
          <cell r="B595" t="str">
            <v>DECATUR</v>
          </cell>
          <cell r="C595" t="str">
            <v>ILLINOIS OPERATIONS</v>
          </cell>
        </row>
        <row r="596">
          <cell r="A596" t="str">
            <v>92R</v>
          </cell>
          <cell r="B596" t="str">
            <v>REGULATORY &amp; PUBLIC POLICY-IPC</v>
          </cell>
          <cell r="C596" t="str">
            <v>GOVT RELATIONS  &amp; ECONOMIC DEV</v>
          </cell>
        </row>
        <row r="597">
          <cell r="A597" t="str">
            <v>92S</v>
          </cell>
          <cell r="B597" t="str">
            <v>ESH - GENERAL-IPC</v>
          </cell>
          <cell r="C597" t="str">
            <v>ENVIRONMENTAL SAFETY HEALTH</v>
          </cell>
        </row>
        <row r="598">
          <cell r="A598" t="str">
            <v>92T</v>
          </cell>
          <cell r="B598" t="str">
            <v>HILLSBORO</v>
          </cell>
          <cell r="C598" t="str">
            <v>ILLINOIS OPERATIONS</v>
          </cell>
        </row>
        <row r="599">
          <cell r="A599" t="str">
            <v>92W</v>
          </cell>
          <cell r="B599" t="str">
            <v>CREDIT &amp; COLLECT - IPC INVALID</v>
          </cell>
          <cell r="C599" t="str">
            <v>ILLINOIS OPERATIONS</v>
          </cell>
        </row>
        <row r="600">
          <cell r="A600" t="str">
            <v>92X</v>
          </cell>
          <cell r="B600" t="str">
            <v>CUSTOMER BUSINESS MGMT-IPC</v>
          </cell>
          <cell r="C600" t="str">
            <v>GOVT RELATIONS  &amp; ECONOMIC DEV</v>
          </cell>
        </row>
        <row r="601">
          <cell r="A601" t="str">
            <v>93A</v>
          </cell>
          <cell r="B601" t="str">
            <v>CNTRACTR ALLY - IPC - INVALID</v>
          </cell>
          <cell r="C601" t="str">
            <v>ENERGY DELIVERY SERVICES</v>
          </cell>
        </row>
        <row r="602">
          <cell r="A602" t="str">
            <v>93B</v>
          </cell>
          <cell r="B602" t="str">
            <v>BELLEVILLE</v>
          </cell>
          <cell r="C602" t="str">
            <v>ILLINOIS OPERATIONS</v>
          </cell>
        </row>
        <row r="603">
          <cell r="A603" t="str">
            <v>93C</v>
          </cell>
          <cell r="B603" t="str">
            <v>KEWANEE</v>
          </cell>
          <cell r="C603" t="str">
            <v>ILLINOIS OPERATIONS</v>
          </cell>
        </row>
        <row r="604">
          <cell r="A604" t="str">
            <v>93J</v>
          </cell>
          <cell r="B604" t="str">
            <v>PSC-SOUTH PLANT SUPPRT-INVALID</v>
          </cell>
          <cell r="C604" t="str">
            <v>GENERATION TECHNICAL SERVICES</v>
          </cell>
        </row>
        <row r="605">
          <cell r="A605" t="str">
            <v>93L</v>
          </cell>
          <cell r="B605" t="str">
            <v>ACCTS PAYABLE ADMIN-IPC</v>
          </cell>
          <cell r="C605" t="str">
            <v>CONTROLLER</v>
          </cell>
        </row>
        <row r="606">
          <cell r="A606" t="str">
            <v>93N</v>
          </cell>
          <cell r="B606" t="str">
            <v>FOSSIL PLANT SUPPT-IPC-INVALID</v>
          </cell>
          <cell r="C606" t="str">
            <v>GENERATION TECHNICAL SERVICES</v>
          </cell>
        </row>
        <row r="607">
          <cell r="A607" t="str">
            <v>93R</v>
          </cell>
          <cell r="B607" t="str">
            <v>DDC</v>
          </cell>
          <cell r="C607" t="str">
            <v>ILLINOIS OPERATIONS</v>
          </cell>
        </row>
        <row r="608">
          <cell r="A608" t="str">
            <v>93T</v>
          </cell>
          <cell r="B608" t="str">
            <v>INTEGRAT IMPLEM - IPC INVALID</v>
          </cell>
          <cell r="C608" t="str">
            <v>ENERGY DELIVERY SERVICES</v>
          </cell>
        </row>
        <row r="609">
          <cell r="A609" t="str">
            <v>93W</v>
          </cell>
          <cell r="B609" t="str">
            <v>SPARTA</v>
          </cell>
          <cell r="C609" t="str">
            <v>ILLINOIS OPERATIONS</v>
          </cell>
        </row>
        <row r="610">
          <cell r="A610" t="str">
            <v>AED</v>
          </cell>
          <cell r="B610" t="str">
            <v>AED MANAGEMENT</v>
          </cell>
          <cell r="C610" t="str">
            <v>AMEREN ENERGY DEVELOPMENT CO</v>
          </cell>
        </row>
        <row r="611">
          <cell r="A611" t="str">
            <v>AFC</v>
          </cell>
          <cell r="B611" t="str">
            <v>ALLOWANCE FOR FUNDS</v>
          </cell>
          <cell r="C611" t="str">
            <v>OTHER</v>
          </cell>
        </row>
        <row r="612">
          <cell r="A612" t="str">
            <v>APP</v>
          </cell>
          <cell r="B612" t="str">
            <v>APPORTIONMENTS</v>
          </cell>
          <cell r="C612" t="str">
            <v>OTHER</v>
          </cell>
        </row>
        <row r="613">
          <cell r="A613" t="str">
            <v>CFA</v>
          </cell>
          <cell r="B613" t="str">
            <v>COFFEEN - ADMINISTRATION</v>
          </cell>
          <cell r="C613" t="str">
            <v>POWER PLANTS - GEN</v>
          </cell>
        </row>
        <row r="614">
          <cell r="A614" t="str">
            <v>CFG</v>
          </cell>
          <cell r="B614" t="str">
            <v>COFFEEN - GENERAL &amp; BUD</v>
          </cell>
          <cell r="C614" t="str">
            <v>POWER PLANTS - GEN</v>
          </cell>
        </row>
        <row r="615">
          <cell r="A615" t="str">
            <v>CFM</v>
          </cell>
          <cell r="B615" t="str">
            <v>COFFEEN - MAINTENANCE</v>
          </cell>
          <cell r="C615" t="str">
            <v>POWER PLANTS - GEN</v>
          </cell>
        </row>
        <row r="616">
          <cell r="A616" t="str">
            <v>CFO</v>
          </cell>
          <cell r="B616" t="str">
            <v>COFFEEN - OPERATIONS</v>
          </cell>
          <cell r="C616" t="str">
            <v>POWER PLANTS - GEN</v>
          </cell>
        </row>
        <row r="617">
          <cell r="A617" t="str">
            <v>CIC</v>
          </cell>
          <cell r="B617" t="str">
            <v>CIC</v>
          </cell>
          <cell r="C617" t="str">
            <v>OTHER</v>
          </cell>
        </row>
        <row r="618">
          <cell r="A618" t="str">
            <v>CIL</v>
          </cell>
          <cell r="B618" t="str">
            <v>INVALID BUDGET</v>
          </cell>
          <cell r="C618" t="str">
            <v>OTHER</v>
          </cell>
        </row>
        <row r="619">
          <cell r="A619" t="str">
            <v>CIM</v>
          </cell>
          <cell r="B619" t="str">
            <v>CILCORP INVESTMENT MANAGEMENT</v>
          </cell>
          <cell r="C619" t="str">
            <v>OTHER</v>
          </cell>
        </row>
        <row r="620">
          <cell r="A620" t="str">
            <v>DEP</v>
          </cell>
          <cell r="B620" t="str">
            <v>DEPRECIATION</v>
          </cell>
          <cell r="C620" t="str">
            <v>OTHER</v>
          </cell>
        </row>
        <row r="621">
          <cell r="A621" t="str">
            <v>DMS</v>
          </cell>
          <cell r="B621" t="str">
            <v>INVALID BUDGET</v>
          </cell>
          <cell r="C621" t="str">
            <v>ENERGY DELIVERY SERVICES</v>
          </cell>
        </row>
        <row r="622">
          <cell r="A622" t="str">
            <v>EEI</v>
          </cell>
          <cell r="B622" t="str">
            <v>ELECTRIC ENERGY, INC.</v>
          </cell>
          <cell r="C622" t="str">
            <v>OTHER</v>
          </cell>
        </row>
        <row r="623">
          <cell r="A623" t="str">
            <v>ERC</v>
          </cell>
          <cell r="B623" t="str">
            <v>ERC MANAGEMENT</v>
          </cell>
          <cell r="C623" t="str">
            <v>AMEREN ENGY FUELS AND SVCS</v>
          </cell>
        </row>
        <row r="624">
          <cell r="A624" t="str">
            <v>GM1</v>
          </cell>
          <cell r="B624" t="str">
            <v>AEM TRADING</v>
          </cell>
          <cell r="C624" t="str">
            <v>AMEREN ENERGY MKTG CO- GMC</v>
          </cell>
        </row>
        <row r="625">
          <cell r="A625" t="str">
            <v>GM2</v>
          </cell>
          <cell r="B625" t="str">
            <v>AEM SALES</v>
          </cell>
          <cell r="C625" t="str">
            <v>AMEREN ENERGY MKTG CO- GMC</v>
          </cell>
        </row>
        <row r="626">
          <cell r="A626" t="str">
            <v>GM3</v>
          </cell>
          <cell r="B626" t="str">
            <v>PHYS NATL GAS MKTG-INVALID</v>
          </cell>
          <cell r="C626" t="str">
            <v>AMEREN ENERGY MKTG CO- GMC</v>
          </cell>
        </row>
        <row r="627">
          <cell r="A627" t="str">
            <v>GM4</v>
          </cell>
          <cell r="B627" t="str">
            <v>AEM BUSINESS OPERATIONS</v>
          </cell>
          <cell r="C627" t="str">
            <v>AMEREN ENERGY MKTG CO- GMC</v>
          </cell>
        </row>
        <row r="628">
          <cell r="A628" t="str">
            <v>GM5</v>
          </cell>
          <cell r="B628" t="str">
            <v>ENRGY SLS- MID MKT-CIL INVALID</v>
          </cell>
          <cell r="C628" t="str">
            <v>AMEREN ENERGY MKTG CO- GMC</v>
          </cell>
        </row>
        <row r="629">
          <cell r="A629" t="str">
            <v>GM6</v>
          </cell>
          <cell r="B629" t="str">
            <v>CILCO TRADING-INVALID</v>
          </cell>
          <cell r="C629" t="str">
            <v>AMEREN ENERGY MKTG CO- GMC</v>
          </cell>
        </row>
        <row r="630">
          <cell r="A630" t="str">
            <v>GM7</v>
          </cell>
          <cell r="B630" t="str">
            <v>ENERGY SUPPLY - CSI-INVALID</v>
          </cell>
          <cell r="C630" t="str">
            <v>AMEREN ENERGY MKTG CO- GMC</v>
          </cell>
        </row>
        <row r="631">
          <cell r="A631" t="str">
            <v>GM8</v>
          </cell>
          <cell r="B631" t="str">
            <v>ELECTRIC SUPPLY-CIL-INVALID</v>
          </cell>
          <cell r="C631" t="str">
            <v>AMEREN ENERGY MKTG CO- GMC</v>
          </cell>
        </row>
        <row r="632">
          <cell r="A632" t="str">
            <v>GM9</v>
          </cell>
          <cell r="B632" t="str">
            <v>UNREG MARKETING-CIL-INVALID</v>
          </cell>
          <cell r="C632" t="str">
            <v>AMEREN ENERGY MKTG CO- GMC</v>
          </cell>
        </row>
        <row r="633">
          <cell r="A633" t="str">
            <v>GMC</v>
          </cell>
          <cell r="B633" t="str">
            <v>VP MARKETING-INVALID</v>
          </cell>
          <cell r="C633" t="str">
            <v>AMEREN ENERGY MKTG CO- GMC</v>
          </cell>
        </row>
        <row r="634">
          <cell r="A634" t="str">
            <v>GTZ</v>
          </cell>
          <cell r="B634" t="str">
            <v>GAS VACANCY FACTOR</v>
          </cell>
          <cell r="C634" t="str">
            <v>ILLINOIS OPERATIONS</v>
          </cell>
        </row>
        <row r="635">
          <cell r="A635" t="str">
            <v>IBA</v>
          </cell>
          <cell r="B635" t="str">
            <v>INTERCOMPANY BILLINGS ADDERS</v>
          </cell>
          <cell r="C635" t="str">
            <v>OTHER</v>
          </cell>
        </row>
        <row r="636">
          <cell r="A636" t="str">
            <v>IHC</v>
          </cell>
          <cell r="B636" t="str">
            <v>IHC MANAGEMENT</v>
          </cell>
          <cell r="C636" t="str">
            <v>AMEREN ENGY RESOURCES - IHC</v>
          </cell>
        </row>
        <row r="637">
          <cell r="A637" t="str">
            <v>IMS</v>
          </cell>
          <cell r="B637" t="str">
            <v>ILLINOIS MATERIAL SUPPLY COMPANY</v>
          </cell>
          <cell r="C637" t="str">
            <v>AMEREN ENGY RESOURCES - IHC</v>
          </cell>
        </row>
        <row r="638">
          <cell r="A638" t="str">
            <v>INC</v>
          </cell>
          <cell r="B638" t="str">
            <v>INCOME ITEMS</v>
          </cell>
          <cell r="C638" t="str">
            <v>OTHER</v>
          </cell>
        </row>
        <row r="639">
          <cell r="A639" t="str">
            <v>MCR</v>
          </cell>
          <cell r="B639" t="str">
            <v>MISSOURI CENTRAL RAILROAD CO</v>
          </cell>
          <cell r="C639" t="str">
            <v>AMEREN ENGY FUELS AND SVCS</v>
          </cell>
        </row>
        <row r="640">
          <cell r="A640" t="str">
            <v>NAD</v>
          </cell>
          <cell r="B640" t="str">
            <v>NEWTON - TRNG &amp; BEN ADMN &amp; BUD</v>
          </cell>
          <cell r="C640" t="str">
            <v>POWER PLANTS - GEN</v>
          </cell>
        </row>
        <row r="641">
          <cell r="A641" t="str">
            <v>NCP</v>
          </cell>
          <cell r="B641" t="str">
            <v>NON-CAPITALIZED PAYROLL EXP APPORT</v>
          </cell>
          <cell r="C641" t="str">
            <v>OTHER</v>
          </cell>
        </row>
        <row r="642">
          <cell r="A642" t="str">
            <v>NCY</v>
          </cell>
          <cell r="B642" t="str">
            <v>NEWTON - COAL YARD</v>
          </cell>
          <cell r="C642" t="str">
            <v>POWER PLANTS - GEN</v>
          </cell>
        </row>
        <row r="643">
          <cell r="A643" t="str">
            <v>NEM</v>
          </cell>
          <cell r="B643" t="str">
            <v>NEWTON - ELECTRICAL MAINTENANCE</v>
          </cell>
          <cell r="C643" t="str">
            <v>POWER PLANTS - GEN</v>
          </cell>
        </row>
        <row r="644">
          <cell r="A644" t="str">
            <v>NIM</v>
          </cell>
          <cell r="B644" t="str">
            <v>NEWTON - INSTRUMENT MAINTENANCE</v>
          </cell>
          <cell r="C644" t="str">
            <v>POWER PLANTS - GEN</v>
          </cell>
        </row>
        <row r="645">
          <cell r="A645" t="str">
            <v>NMM</v>
          </cell>
          <cell r="B645" t="str">
            <v>NEWTON - MECHANICAL MAINTENANCE</v>
          </cell>
          <cell r="C645" t="str">
            <v>POWER PLANTS - GEN</v>
          </cell>
        </row>
        <row r="646">
          <cell r="A646" t="str">
            <v>NOP</v>
          </cell>
          <cell r="B646" t="str">
            <v>NEWTON - OPERATIONS</v>
          </cell>
          <cell r="C646" t="str">
            <v>POWER PLANTS - GEN</v>
          </cell>
        </row>
        <row r="647">
          <cell r="A647" t="str">
            <v>NSS</v>
          </cell>
          <cell r="B647" t="str">
            <v>NEWTON - STATION SUPPORT</v>
          </cell>
          <cell r="C647" t="str">
            <v>POWER PLANTS - GEN</v>
          </cell>
        </row>
        <row r="648">
          <cell r="A648" t="str">
            <v>NST</v>
          </cell>
          <cell r="B648" t="str">
            <v>NEWTON - STORES</v>
          </cell>
          <cell r="C648" t="str">
            <v>POWER PLANTS - GEN</v>
          </cell>
        </row>
        <row r="649">
          <cell r="A649" t="str">
            <v>NTS</v>
          </cell>
          <cell r="B649" t="str">
            <v>NEWTON - TECHNICAL SUPPORT</v>
          </cell>
          <cell r="C649" t="str">
            <v>POWER PLANTS - GEN</v>
          </cell>
        </row>
        <row r="650">
          <cell r="A650" t="str">
            <v>NXX</v>
          </cell>
          <cell r="B650" t="str">
            <v>NEWTON - ROUTINE (EMPRV)</v>
          </cell>
          <cell r="C650" t="str">
            <v>POWER PLANTS - GEN</v>
          </cell>
        </row>
        <row r="651">
          <cell r="A651" t="str">
            <v>PT2</v>
          </cell>
          <cell r="B651" t="str">
            <v>Invalid RMC</v>
          </cell>
          <cell r="C651" t="str">
            <v>OTHER</v>
          </cell>
        </row>
        <row r="652">
          <cell r="A652" t="str">
            <v>REV</v>
          </cell>
          <cell r="B652" t="str">
            <v>REVENUES</v>
          </cell>
          <cell r="C652" t="str">
            <v>OTHER</v>
          </cell>
        </row>
        <row r="653">
          <cell r="A653" t="str">
            <v>SRR</v>
          </cell>
          <cell r="B653" t="str">
            <v>SERVICE REQUEST RECLASS</v>
          </cell>
          <cell r="C653" t="str">
            <v>OTHER</v>
          </cell>
        </row>
        <row r="654">
          <cell r="A654" t="str">
            <v>TAX</v>
          </cell>
          <cell r="B654" t="str">
            <v>TAXES</v>
          </cell>
          <cell r="C654" t="str">
            <v>OTHER</v>
          </cell>
        </row>
      </sheetData>
      <sheetData sheetId="28" refreshError="1"/>
      <sheetData sheetId="29">
        <row r="5">
          <cell r="C5" t="str">
            <v>Project#</v>
          </cell>
        </row>
      </sheetData>
      <sheetData sheetId="30" refreshError="1"/>
      <sheetData sheetId="31">
        <row r="5">
          <cell r="C5" t="str">
            <v>Project#</v>
          </cell>
          <cell r="D5" t="str">
            <v>AllocFactor</v>
          </cell>
        </row>
        <row r="6">
          <cell r="C6">
            <v>12732</v>
          </cell>
          <cell r="D6" t="str">
            <v>CIP</v>
          </cell>
        </row>
        <row r="7">
          <cell r="C7">
            <v>12737</v>
          </cell>
          <cell r="D7" t="str">
            <v>CIP</v>
          </cell>
        </row>
        <row r="8">
          <cell r="C8">
            <v>12756</v>
          </cell>
          <cell r="D8" t="str">
            <v>CIP</v>
          </cell>
        </row>
        <row r="9">
          <cell r="C9">
            <v>12815</v>
          </cell>
          <cell r="D9" t="str">
            <v>CIP</v>
          </cell>
        </row>
        <row r="10">
          <cell r="C10">
            <v>12899</v>
          </cell>
          <cell r="D10" t="str">
            <v>CIP</v>
          </cell>
        </row>
        <row r="11">
          <cell r="C11">
            <v>14489</v>
          </cell>
          <cell r="D11" t="str">
            <v>CIP</v>
          </cell>
        </row>
        <row r="12">
          <cell r="C12">
            <v>14503</v>
          </cell>
          <cell r="D12" t="str">
            <v>CIP</v>
          </cell>
        </row>
        <row r="13">
          <cell r="C13">
            <v>14506</v>
          </cell>
          <cell r="D13" t="str">
            <v>CIL</v>
          </cell>
        </row>
        <row r="14">
          <cell r="C14">
            <v>14552</v>
          </cell>
          <cell r="D14" t="str">
            <v>CIL</v>
          </cell>
        </row>
        <row r="15">
          <cell r="C15">
            <v>14554</v>
          </cell>
          <cell r="D15" t="str">
            <v>CIL</v>
          </cell>
        </row>
        <row r="16">
          <cell r="C16">
            <v>14617</v>
          </cell>
          <cell r="D16" t="str">
            <v>CIL</v>
          </cell>
        </row>
        <row r="17">
          <cell r="C17">
            <v>15277</v>
          </cell>
          <cell r="D17" t="str">
            <v>IPC</v>
          </cell>
        </row>
        <row r="18">
          <cell r="C18">
            <v>15452</v>
          </cell>
          <cell r="D18" t="str">
            <v>CIP</v>
          </cell>
        </row>
        <row r="19">
          <cell r="C19">
            <v>15782</v>
          </cell>
          <cell r="D19" t="str">
            <v>IPC</v>
          </cell>
        </row>
        <row r="20">
          <cell r="C20">
            <v>15931</v>
          </cell>
          <cell r="D20" t="str">
            <v>CIP</v>
          </cell>
        </row>
        <row r="21">
          <cell r="C21">
            <v>15936</v>
          </cell>
          <cell r="D21" t="str">
            <v>CIP</v>
          </cell>
        </row>
        <row r="22">
          <cell r="C22">
            <v>15989</v>
          </cell>
          <cell r="D22" t="str">
            <v>CIP</v>
          </cell>
        </row>
        <row r="23">
          <cell r="C23">
            <v>15993</v>
          </cell>
          <cell r="D23" t="str">
            <v>CIP</v>
          </cell>
        </row>
        <row r="24">
          <cell r="C24">
            <v>15996</v>
          </cell>
          <cell r="D24" t="str">
            <v>CIP</v>
          </cell>
        </row>
        <row r="25">
          <cell r="C25">
            <v>16095</v>
          </cell>
          <cell r="D25" t="str">
            <v>CIP</v>
          </cell>
        </row>
        <row r="26">
          <cell r="C26">
            <v>16107</v>
          </cell>
          <cell r="D26" t="str">
            <v>CIP</v>
          </cell>
        </row>
        <row r="27">
          <cell r="C27">
            <v>16108</v>
          </cell>
          <cell r="D27" t="str">
            <v>CIP</v>
          </cell>
        </row>
        <row r="28">
          <cell r="C28">
            <v>16109</v>
          </cell>
          <cell r="D28" t="str">
            <v>CIP</v>
          </cell>
        </row>
        <row r="29">
          <cell r="C29">
            <v>16114</v>
          </cell>
          <cell r="D29" t="str">
            <v>CIP</v>
          </cell>
        </row>
        <row r="30">
          <cell r="C30">
            <v>16116</v>
          </cell>
          <cell r="D30" t="str">
            <v>IPC</v>
          </cell>
        </row>
        <row r="31">
          <cell r="C31">
            <v>16143</v>
          </cell>
          <cell r="D31" t="str">
            <v>CIP</v>
          </cell>
        </row>
        <row r="32">
          <cell r="C32">
            <v>16162</v>
          </cell>
          <cell r="D32" t="str">
            <v>CIP</v>
          </cell>
        </row>
        <row r="33">
          <cell r="C33">
            <v>16190</v>
          </cell>
          <cell r="D33" t="str">
            <v>CIP</v>
          </cell>
        </row>
        <row r="34">
          <cell r="C34">
            <v>16282</v>
          </cell>
          <cell r="D34" t="str">
            <v>IPC</v>
          </cell>
        </row>
        <row r="35">
          <cell r="C35">
            <v>16283</v>
          </cell>
          <cell r="D35" t="str">
            <v>IPC</v>
          </cell>
        </row>
        <row r="36">
          <cell r="C36">
            <v>16284</v>
          </cell>
          <cell r="D36" t="str">
            <v>IPC</v>
          </cell>
        </row>
        <row r="37">
          <cell r="C37">
            <v>16303</v>
          </cell>
          <cell r="D37" t="str">
            <v>IPC</v>
          </cell>
        </row>
        <row r="38">
          <cell r="C38">
            <v>16304</v>
          </cell>
          <cell r="D38" t="str">
            <v>IPC</v>
          </cell>
        </row>
        <row r="39">
          <cell r="C39">
            <v>16306</v>
          </cell>
          <cell r="D39" t="str">
            <v>IPC</v>
          </cell>
        </row>
        <row r="40">
          <cell r="C40">
            <v>16310</v>
          </cell>
          <cell r="D40" t="str">
            <v>IPC</v>
          </cell>
        </row>
        <row r="41">
          <cell r="C41">
            <v>16322</v>
          </cell>
          <cell r="D41" t="str">
            <v>IPC</v>
          </cell>
        </row>
        <row r="42">
          <cell r="C42">
            <v>16331</v>
          </cell>
          <cell r="D42" t="str">
            <v>IPC</v>
          </cell>
        </row>
        <row r="43">
          <cell r="C43">
            <v>16336</v>
          </cell>
          <cell r="D43" t="str">
            <v>IPC</v>
          </cell>
        </row>
        <row r="44">
          <cell r="C44">
            <v>16337</v>
          </cell>
          <cell r="D44" t="str">
            <v>IPC</v>
          </cell>
        </row>
        <row r="45">
          <cell r="C45">
            <v>16342</v>
          </cell>
          <cell r="D45" t="str">
            <v>IPC</v>
          </cell>
        </row>
        <row r="46">
          <cell r="C46">
            <v>16347</v>
          </cell>
          <cell r="D46" t="str">
            <v>IPC</v>
          </cell>
        </row>
        <row r="47">
          <cell r="C47">
            <v>16348</v>
          </cell>
          <cell r="D47" t="str">
            <v>IPC</v>
          </cell>
        </row>
        <row r="48">
          <cell r="C48">
            <v>16349</v>
          </cell>
          <cell r="D48" t="str">
            <v>IPC</v>
          </cell>
        </row>
        <row r="49">
          <cell r="C49">
            <v>16354</v>
          </cell>
          <cell r="D49" t="str">
            <v>IPC</v>
          </cell>
        </row>
        <row r="50">
          <cell r="C50">
            <v>16355</v>
          </cell>
          <cell r="D50" t="str">
            <v>IPC</v>
          </cell>
        </row>
        <row r="51">
          <cell r="C51">
            <v>16357</v>
          </cell>
          <cell r="D51" t="str">
            <v>IPC</v>
          </cell>
        </row>
        <row r="52">
          <cell r="C52">
            <v>16360</v>
          </cell>
          <cell r="D52" t="str">
            <v>IPC</v>
          </cell>
        </row>
        <row r="53">
          <cell r="C53">
            <v>16361</v>
          </cell>
          <cell r="D53" t="str">
            <v>IPC</v>
          </cell>
        </row>
        <row r="54">
          <cell r="C54">
            <v>16362</v>
          </cell>
          <cell r="D54" t="str">
            <v>IPC</v>
          </cell>
        </row>
        <row r="55">
          <cell r="C55">
            <v>16365</v>
          </cell>
          <cell r="D55" t="str">
            <v>IPC</v>
          </cell>
        </row>
        <row r="56">
          <cell r="C56">
            <v>16366</v>
          </cell>
          <cell r="D56" t="str">
            <v>IPC</v>
          </cell>
        </row>
        <row r="57">
          <cell r="C57">
            <v>16367</v>
          </cell>
          <cell r="D57" t="str">
            <v>IPC</v>
          </cell>
        </row>
        <row r="58">
          <cell r="C58">
            <v>16374</v>
          </cell>
          <cell r="D58" t="str">
            <v>IPC</v>
          </cell>
        </row>
        <row r="59">
          <cell r="C59">
            <v>16375</v>
          </cell>
          <cell r="D59" t="str">
            <v>IPC</v>
          </cell>
        </row>
        <row r="60">
          <cell r="C60">
            <v>16379</v>
          </cell>
          <cell r="D60" t="str">
            <v>IPC</v>
          </cell>
        </row>
        <row r="61">
          <cell r="C61">
            <v>16380</v>
          </cell>
          <cell r="D61" t="str">
            <v>IPC</v>
          </cell>
        </row>
        <row r="62">
          <cell r="C62">
            <v>16381</v>
          </cell>
          <cell r="D62" t="str">
            <v>IPC</v>
          </cell>
        </row>
        <row r="63">
          <cell r="C63">
            <v>16384</v>
          </cell>
          <cell r="D63" t="str">
            <v>IPC</v>
          </cell>
        </row>
        <row r="64">
          <cell r="C64">
            <v>16470</v>
          </cell>
          <cell r="D64" t="str">
            <v>CIP</v>
          </cell>
        </row>
        <row r="65">
          <cell r="C65">
            <v>16508</v>
          </cell>
          <cell r="D65" t="str">
            <v>CIL</v>
          </cell>
        </row>
        <row r="66">
          <cell r="C66">
            <v>16521</v>
          </cell>
          <cell r="D66" t="str">
            <v>IPC</v>
          </cell>
        </row>
        <row r="67">
          <cell r="C67">
            <v>16533</v>
          </cell>
          <cell r="D67" t="str">
            <v>CIL</v>
          </cell>
        </row>
        <row r="68">
          <cell r="C68">
            <v>16534</v>
          </cell>
          <cell r="D68" t="str">
            <v>CIL</v>
          </cell>
        </row>
        <row r="69">
          <cell r="C69">
            <v>16535</v>
          </cell>
          <cell r="D69" t="str">
            <v>CIL</v>
          </cell>
        </row>
        <row r="70">
          <cell r="C70">
            <v>16536</v>
          </cell>
          <cell r="D70" t="str">
            <v>CIL</v>
          </cell>
        </row>
        <row r="71">
          <cell r="C71">
            <v>16543</v>
          </cell>
          <cell r="D71" t="str">
            <v>IPC</v>
          </cell>
        </row>
        <row r="72">
          <cell r="C72">
            <v>16544</v>
          </cell>
          <cell r="D72" t="str">
            <v>IPC</v>
          </cell>
        </row>
        <row r="73">
          <cell r="C73">
            <v>16558</v>
          </cell>
          <cell r="D73" t="str">
            <v>CIL</v>
          </cell>
        </row>
        <row r="74">
          <cell r="C74">
            <v>16567</v>
          </cell>
          <cell r="D74" t="str">
            <v>IPC</v>
          </cell>
        </row>
        <row r="75">
          <cell r="C75">
            <v>16575</v>
          </cell>
          <cell r="D75" t="str">
            <v>CIP</v>
          </cell>
        </row>
        <row r="76">
          <cell r="C76">
            <v>16590</v>
          </cell>
          <cell r="D76" t="str">
            <v>CIP</v>
          </cell>
        </row>
        <row r="77">
          <cell r="C77">
            <v>16609</v>
          </cell>
          <cell r="D77" t="str">
            <v>IPC</v>
          </cell>
        </row>
        <row r="78">
          <cell r="C78">
            <v>16610</v>
          </cell>
          <cell r="D78" t="str">
            <v>CIP</v>
          </cell>
        </row>
        <row r="79">
          <cell r="C79">
            <v>16653</v>
          </cell>
          <cell r="D79" t="str">
            <v>IPC</v>
          </cell>
        </row>
        <row r="80">
          <cell r="C80">
            <v>16654</v>
          </cell>
          <cell r="D80" t="str">
            <v>IPC</v>
          </cell>
        </row>
        <row r="81">
          <cell r="C81">
            <v>16655</v>
          </cell>
          <cell r="D81" t="str">
            <v>IPC</v>
          </cell>
        </row>
        <row r="82">
          <cell r="C82">
            <v>16656</v>
          </cell>
          <cell r="D82" t="str">
            <v>IPC</v>
          </cell>
        </row>
        <row r="83">
          <cell r="C83">
            <v>16802</v>
          </cell>
          <cell r="D83" t="str">
            <v>IPC</v>
          </cell>
        </row>
        <row r="84">
          <cell r="C84">
            <v>16828</v>
          </cell>
          <cell r="D84" t="str">
            <v>IPC</v>
          </cell>
        </row>
        <row r="85">
          <cell r="C85">
            <v>16831</v>
          </cell>
          <cell r="D85" t="str">
            <v>IPC</v>
          </cell>
        </row>
        <row r="86">
          <cell r="C86">
            <v>16848</v>
          </cell>
          <cell r="D86" t="str">
            <v>CIL</v>
          </cell>
        </row>
        <row r="87">
          <cell r="C87">
            <v>16852</v>
          </cell>
          <cell r="D87" t="str">
            <v>CIL</v>
          </cell>
        </row>
        <row r="88">
          <cell r="C88">
            <v>16922</v>
          </cell>
          <cell r="D88" t="str">
            <v>CIP</v>
          </cell>
        </row>
        <row r="89">
          <cell r="C89">
            <v>16934</v>
          </cell>
          <cell r="D89" t="str">
            <v>IPC</v>
          </cell>
        </row>
        <row r="90">
          <cell r="C90">
            <v>16937</v>
          </cell>
          <cell r="D90" t="str">
            <v>IPC</v>
          </cell>
        </row>
        <row r="91">
          <cell r="C91">
            <v>16938</v>
          </cell>
          <cell r="D91" t="str">
            <v>IPC</v>
          </cell>
        </row>
        <row r="92">
          <cell r="C92">
            <v>16939</v>
          </cell>
          <cell r="D92" t="str">
            <v>IPC</v>
          </cell>
        </row>
        <row r="93">
          <cell r="C93">
            <v>16953</v>
          </cell>
          <cell r="D93" t="str">
            <v>CIL</v>
          </cell>
        </row>
        <row r="94">
          <cell r="C94">
            <v>16956</v>
          </cell>
          <cell r="D94" t="str">
            <v>IPC</v>
          </cell>
        </row>
        <row r="95">
          <cell r="C95">
            <v>16957</v>
          </cell>
          <cell r="D95" t="str">
            <v>IPC</v>
          </cell>
        </row>
        <row r="96">
          <cell r="C96">
            <v>16959</v>
          </cell>
          <cell r="D96" t="str">
            <v>IPC</v>
          </cell>
        </row>
        <row r="97">
          <cell r="C97">
            <v>16983</v>
          </cell>
          <cell r="D97" t="str">
            <v>CIL</v>
          </cell>
        </row>
        <row r="98">
          <cell r="C98">
            <v>16984</v>
          </cell>
          <cell r="D98" t="str">
            <v>CIL</v>
          </cell>
        </row>
        <row r="99">
          <cell r="C99">
            <v>16996</v>
          </cell>
          <cell r="D99" t="str">
            <v>CIL</v>
          </cell>
        </row>
        <row r="100">
          <cell r="C100">
            <v>17030</v>
          </cell>
          <cell r="D100" t="str">
            <v>IPC</v>
          </cell>
        </row>
        <row r="101">
          <cell r="C101">
            <v>17032</v>
          </cell>
          <cell r="D101" t="str">
            <v>IPC</v>
          </cell>
        </row>
        <row r="102">
          <cell r="C102">
            <v>17042</v>
          </cell>
          <cell r="D102" t="str">
            <v>IPC</v>
          </cell>
        </row>
        <row r="103">
          <cell r="C103">
            <v>17044</v>
          </cell>
          <cell r="D103" t="str">
            <v>IPC</v>
          </cell>
        </row>
        <row r="104">
          <cell r="C104">
            <v>17045</v>
          </cell>
          <cell r="D104" t="str">
            <v>IPC</v>
          </cell>
        </row>
        <row r="105">
          <cell r="C105">
            <v>17049</v>
          </cell>
          <cell r="D105" t="str">
            <v>CIL</v>
          </cell>
        </row>
        <row r="106">
          <cell r="C106">
            <v>17055</v>
          </cell>
          <cell r="D106" t="str">
            <v>IPC</v>
          </cell>
        </row>
        <row r="107">
          <cell r="C107">
            <v>17059</v>
          </cell>
          <cell r="D107" t="str">
            <v>CIL</v>
          </cell>
        </row>
        <row r="108">
          <cell r="C108">
            <v>17060</v>
          </cell>
          <cell r="D108" t="str">
            <v>CIL</v>
          </cell>
        </row>
        <row r="109">
          <cell r="C109">
            <v>17221</v>
          </cell>
          <cell r="D109" t="str">
            <v>IPC</v>
          </cell>
        </row>
        <row r="110">
          <cell r="C110">
            <v>17226</v>
          </cell>
          <cell r="D110" t="str">
            <v>IPC</v>
          </cell>
        </row>
        <row r="111">
          <cell r="C111">
            <v>17232</v>
          </cell>
          <cell r="D111" t="str">
            <v>IPC</v>
          </cell>
        </row>
        <row r="112">
          <cell r="C112">
            <v>17233</v>
          </cell>
          <cell r="D112" t="str">
            <v>IPC</v>
          </cell>
        </row>
        <row r="113">
          <cell r="C113">
            <v>17287</v>
          </cell>
          <cell r="D113" t="str">
            <v>IPC</v>
          </cell>
        </row>
        <row r="114">
          <cell r="C114">
            <v>17309</v>
          </cell>
          <cell r="D114" t="str">
            <v>IPC</v>
          </cell>
        </row>
        <row r="115">
          <cell r="C115">
            <v>17310</v>
          </cell>
          <cell r="D115" t="str">
            <v>IPC</v>
          </cell>
        </row>
        <row r="116">
          <cell r="C116">
            <v>17311</v>
          </cell>
          <cell r="D116" t="str">
            <v>IPC</v>
          </cell>
        </row>
        <row r="117">
          <cell r="C117">
            <v>17328</v>
          </cell>
          <cell r="D117" t="str">
            <v>IPC</v>
          </cell>
        </row>
        <row r="118">
          <cell r="C118">
            <v>17409</v>
          </cell>
          <cell r="D118" t="str">
            <v>IPC</v>
          </cell>
        </row>
        <row r="119">
          <cell r="C119">
            <v>17415</v>
          </cell>
          <cell r="D119" t="str">
            <v>IPC</v>
          </cell>
        </row>
        <row r="120">
          <cell r="C120">
            <v>17521</v>
          </cell>
          <cell r="D120" t="str">
            <v>IPC</v>
          </cell>
        </row>
        <row r="121">
          <cell r="C121">
            <v>17561</v>
          </cell>
          <cell r="D121" t="str">
            <v>IPC</v>
          </cell>
        </row>
        <row r="122">
          <cell r="C122">
            <v>17565</v>
          </cell>
          <cell r="D122" t="str">
            <v>IPC</v>
          </cell>
        </row>
        <row r="123">
          <cell r="C123">
            <v>18063</v>
          </cell>
          <cell r="D123" t="str">
            <v>CIP</v>
          </cell>
        </row>
        <row r="124">
          <cell r="C124">
            <v>18166</v>
          </cell>
          <cell r="D124" t="str">
            <v>IPC</v>
          </cell>
        </row>
        <row r="125">
          <cell r="C125">
            <v>18261</v>
          </cell>
          <cell r="D125" t="str">
            <v>IPC</v>
          </cell>
        </row>
        <row r="126">
          <cell r="C126">
            <v>18314</v>
          </cell>
          <cell r="D126" t="str">
            <v>IPC</v>
          </cell>
        </row>
        <row r="127">
          <cell r="C127">
            <v>18315</v>
          </cell>
          <cell r="D127" t="str">
            <v>IPC</v>
          </cell>
        </row>
        <row r="128">
          <cell r="C128">
            <v>18317</v>
          </cell>
          <cell r="D128" t="str">
            <v>IPC</v>
          </cell>
        </row>
        <row r="129">
          <cell r="C129">
            <v>18447</v>
          </cell>
          <cell r="D129" t="str">
            <v>IPC</v>
          </cell>
        </row>
        <row r="130">
          <cell r="C130">
            <v>18502</v>
          </cell>
          <cell r="D130" t="str">
            <v>IPC</v>
          </cell>
        </row>
        <row r="131">
          <cell r="C131">
            <v>18503</v>
          </cell>
          <cell r="D131" t="str">
            <v>IPC</v>
          </cell>
        </row>
        <row r="132">
          <cell r="C132">
            <v>18629</v>
          </cell>
          <cell r="D132" t="str">
            <v>IPC</v>
          </cell>
        </row>
        <row r="133">
          <cell r="C133">
            <v>18634</v>
          </cell>
          <cell r="D133" t="str">
            <v>IPC</v>
          </cell>
        </row>
        <row r="134">
          <cell r="C134">
            <v>18650</v>
          </cell>
          <cell r="D134" t="str">
            <v>IPC</v>
          </cell>
        </row>
        <row r="135">
          <cell r="C135">
            <v>18679</v>
          </cell>
          <cell r="D135" t="str">
            <v>IPC</v>
          </cell>
        </row>
        <row r="136">
          <cell r="C136">
            <v>18688</v>
          </cell>
          <cell r="D136" t="str">
            <v>IPC</v>
          </cell>
        </row>
        <row r="137">
          <cell r="C137">
            <v>18692</v>
          </cell>
          <cell r="D137" t="str">
            <v>IPC</v>
          </cell>
        </row>
        <row r="138">
          <cell r="C138">
            <v>18708</v>
          </cell>
          <cell r="D138" t="str">
            <v>IPC</v>
          </cell>
        </row>
        <row r="139">
          <cell r="C139">
            <v>18710</v>
          </cell>
          <cell r="D139" t="str">
            <v>IPC</v>
          </cell>
        </row>
        <row r="140">
          <cell r="C140">
            <v>18732</v>
          </cell>
          <cell r="D140" t="str">
            <v>IPC</v>
          </cell>
        </row>
        <row r="141">
          <cell r="C141">
            <v>18742</v>
          </cell>
          <cell r="D141" t="str">
            <v>IPC</v>
          </cell>
        </row>
        <row r="142">
          <cell r="C142">
            <v>18758</v>
          </cell>
          <cell r="D142" t="str">
            <v>IPC</v>
          </cell>
        </row>
        <row r="143">
          <cell r="C143">
            <v>18946</v>
          </cell>
          <cell r="D143" t="str">
            <v>CIP</v>
          </cell>
        </row>
        <row r="144">
          <cell r="C144">
            <v>18947</v>
          </cell>
          <cell r="D144" t="str">
            <v>IPC</v>
          </cell>
        </row>
        <row r="145">
          <cell r="C145">
            <v>19097</v>
          </cell>
          <cell r="D145" t="str">
            <v>CIL</v>
          </cell>
        </row>
        <row r="146">
          <cell r="C146">
            <v>19099</v>
          </cell>
          <cell r="D146" t="str">
            <v>IPC</v>
          </cell>
        </row>
        <row r="147">
          <cell r="C147">
            <v>19104</v>
          </cell>
          <cell r="D147" t="str">
            <v>IPC</v>
          </cell>
        </row>
        <row r="148">
          <cell r="C148">
            <v>19115</v>
          </cell>
          <cell r="D148" t="str">
            <v>IPC</v>
          </cell>
        </row>
        <row r="149">
          <cell r="C149">
            <v>19116</v>
          </cell>
          <cell r="D149" t="str">
            <v>IPC</v>
          </cell>
        </row>
        <row r="150">
          <cell r="C150">
            <v>19118</v>
          </cell>
          <cell r="D150" t="str">
            <v>IPC</v>
          </cell>
        </row>
        <row r="151">
          <cell r="C151">
            <v>19126</v>
          </cell>
          <cell r="D151" t="str">
            <v>IPC</v>
          </cell>
        </row>
        <row r="152">
          <cell r="C152">
            <v>19127</v>
          </cell>
          <cell r="D152" t="str">
            <v>IPC</v>
          </cell>
        </row>
        <row r="153">
          <cell r="C153">
            <v>19130</v>
          </cell>
          <cell r="D153" t="str">
            <v>CIP</v>
          </cell>
        </row>
        <row r="154">
          <cell r="C154">
            <v>19137</v>
          </cell>
          <cell r="D154" t="str">
            <v>IPC</v>
          </cell>
        </row>
        <row r="155">
          <cell r="C155">
            <v>19216</v>
          </cell>
          <cell r="D155" t="str">
            <v>IPC</v>
          </cell>
        </row>
        <row r="156">
          <cell r="C156">
            <v>19217</v>
          </cell>
          <cell r="D156" t="str">
            <v>IPC</v>
          </cell>
        </row>
        <row r="157">
          <cell r="C157">
            <v>19218</v>
          </cell>
          <cell r="D157" t="str">
            <v>IPC</v>
          </cell>
        </row>
        <row r="158">
          <cell r="C158">
            <v>19234</v>
          </cell>
          <cell r="D158" t="str">
            <v>IPC</v>
          </cell>
        </row>
        <row r="159">
          <cell r="C159">
            <v>19249</v>
          </cell>
          <cell r="D159" t="str">
            <v>CIP</v>
          </cell>
        </row>
        <row r="160">
          <cell r="C160">
            <v>19267</v>
          </cell>
          <cell r="D160" t="str">
            <v>IPC</v>
          </cell>
        </row>
        <row r="161">
          <cell r="C161">
            <v>19272</v>
          </cell>
          <cell r="D161" t="str">
            <v>CIP</v>
          </cell>
        </row>
        <row r="162">
          <cell r="C162">
            <v>19300</v>
          </cell>
          <cell r="D162" t="str">
            <v>IPC</v>
          </cell>
        </row>
        <row r="163">
          <cell r="C163">
            <v>19314</v>
          </cell>
          <cell r="D163" t="str">
            <v>CIP</v>
          </cell>
        </row>
        <row r="164">
          <cell r="C164">
            <v>19315</v>
          </cell>
          <cell r="D164" t="str">
            <v>CIP</v>
          </cell>
        </row>
        <row r="165">
          <cell r="C165">
            <v>19343</v>
          </cell>
          <cell r="D165" t="str">
            <v>CIL</v>
          </cell>
        </row>
        <row r="166">
          <cell r="C166">
            <v>19350</v>
          </cell>
          <cell r="D166" t="str">
            <v>IPC</v>
          </cell>
        </row>
        <row r="167">
          <cell r="C167">
            <v>19354</v>
          </cell>
          <cell r="D167" t="str">
            <v>CIP</v>
          </cell>
        </row>
        <row r="168">
          <cell r="C168">
            <v>19403</v>
          </cell>
          <cell r="D168" t="str">
            <v>CIP</v>
          </cell>
        </row>
        <row r="169">
          <cell r="C169">
            <v>19455</v>
          </cell>
          <cell r="D169" t="str">
            <v>CIP</v>
          </cell>
        </row>
        <row r="170">
          <cell r="C170">
            <v>19458</v>
          </cell>
          <cell r="D170" t="str">
            <v>CIL</v>
          </cell>
        </row>
        <row r="171">
          <cell r="C171">
            <v>19511</v>
          </cell>
          <cell r="D171" t="str">
            <v>IPC</v>
          </cell>
        </row>
        <row r="172">
          <cell r="C172">
            <v>19514</v>
          </cell>
          <cell r="D172" t="str">
            <v>IPC</v>
          </cell>
        </row>
        <row r="173">
          <cell r="C173">
            <v>19520</v>
          </cell>
          <cell r="D173" t="str">
            <v>IPC</v>
          </cell>
        </row>
        <row r="174">
          <cell r="C174">
            <v>19553</v>
          </cell>
          <cell r="D174" t="str">
            <v>IPC</v>
          </cell>
        </row>
        <row r="175">
          <cell r="C175">
            <v>19586</v>
          </cell>
          <cell r="D175" t="str">
            <v>IPC</v>
          </cell>
        </row>
        <row r="176">
          <cell r="C176">
            <v>19587</v>
          </cell>
          <cell r="D176" t="str">
            <v>CIP</v>
          </cell>
        </row>
        <row r="177">
          <cell r="C177">
            <v>19593</v>
          </cell>
          <cell r="D177" t="str">
            <v>CIL</v>
          </cell>
        </row>
        <row r="178">
          <cell r="C178">
            <v>19626</v>
          </cell>
          <cell r="D178" t="str">
            <v>IPC</v>
          </cell>
        </row>
        <row r="179">
          <cell r="C179">
            <v>19743</v>
          </cell>
          <cell r="D179" t="str">
            <v>CIP</v>
          </cell>
        </row>
        <row r="180">
          <cell r="C180">
            <v>19761</v>
          </cell>
          <cell r="D180" t="str">
            <v>CIP</v>
          </cell>
        </row>
        <row r="181">
          <cell r="C181">
            <v>19780</v>
          </cell>
          <cell r="D181" t="str">
            <v>IPC</v>
          </cell>
        </row>
        <row r="182">
          <cell r="C182">
            <v>19867</v>
          </cell>
          <cell r="D182" t="str">
            <v>IPC</v>
          </cell>
        </row>
        <row r="183">
          <cell r="C183">
            <v>19877</v>
          </cell>
          <cell r="D183" t="str">
            <v>IPC</v>
          </cell>
        </row>
        <row r="184">
          <cell r="C184">
            <v>19884</v>
          </cell>
          <cell r="D184" t="str">
            <v>IPC</v>
          </cell>
        </row>
        <row r="185">
          <cell r="C185">
            <v>19923</v>
          </cell>
          <cell r="D185" t="str">
            <v>IPC</v>
          </cell>
        </row>
        <row r="186">
          <cell r="C186">
            <v>19924</v>
          </cell>
          <cell r="D186" t="str">
            <v>IPC</v>
          </cell>
        </row>
        <row r="187">
          <cell r="C187">
            <v>19932</v>
          </cell>
          <cell r="D187" t="str">
            <v>IPC</v>
          </cell>
        </row>
        <row r="188">
          <cell r="C188">
            <v>19938</v>
          </cell>
          <cell r="D188" t="str">
            <v>IPC</v>
          </cell>
        </row>
        <row r="189">
          <cell r="C189">
            <v>20007</v>
          </cell>
          <cell r="D189" t="str">
            <v>IPC</v>
          </cell>
        </row>
        <row r="190">
          <cell r="C190">
            <v>20008</v>
          </cell>
          <cell r="D190" t="str">
            <v>IPC</v>
          </cell>
        </row>
        <row r="191">
          <cell r="C191">
            <v>20009</v>
          </cell>
          <cell r="D191" t="str">
            <v>IPC</v>
          </cell>
        </row>
        <row r="192">
          <cell r="C192">
            <v>20021</v>
          </cell>
          <cell r="D192" t="str">
            <v>IPC</v>
          </cell>
        </row>
        <row r="193">
          <cell r="C193">
            <v>20023</v>
          </cell>
          <cell r="D193" t="str">
            <v>IPC</v>
          </cell>
        </row>
        <row r="194">
          <cell r="C194">
            <v>20048</v>
          </cell>
          <cell r="D194" t="str">
            <v>IPC</v>
          </cell>
        </row>
        <row r="195">
          <cell r="C195">
            <v>20051</v>
          </cell>
          <cell r="D195" t="str">
            <v>IPC</v>
          </cell>
        </row>
        <row r="196">
          <cell r="C196">
            <v>20065</v>
          </cell>
          <cell r="D196" t="str">
            <v>IPC</v>
          </cell>
        </row>
        <row r="197">
          <cell r="C197">
            <v>20087</v>
          </cell>
          <cell r="D197" t="str">
            <v>CIP</v>
          </cell>
        </row>
        <row r="198">
          <cell r="C198">
            <v>20116</v>
          </cell>
          <cell r="D198" t="str">
            <v>CIP</v>
          </cell>
        </row>
        <row r="199">
          <cell r="C199">
            <v>20131</v>
          </cell>
          <cell r="D199" t="str">
            <v>CIL</v>
          </cell>
        </row>
        <row r="200">
          <cell r="C200">
            <v>20132</v>
          </cell>
          <cell r="D200" t="str">
            <v>CIL</v>
          </cell>
        </row>
        <row r="201">
          <cell r="C201">
            <v>20274</v>
          </cell>
          <cell r="D201" t="str">
            <v>IPC</v>
          </cell>
        </row>
        <row r="202">
          <cell r="C202">
            <v>20352</v>
          </cell>
          <cell r="D202" t="str">
            <v>CIP</v>
          </cell>
        </row>
        <row r="203">
          <cell r="C203">
            <v>20419</v>
          </cell>
          <cell r="D203" t="str">
            <v>CIL</v>
          </cell>
        </row>
        <row r="204">
          <cell r="C204">
            <v>20769</v>
          </cell>
          <cell r="D204" t="str">
            <v>CIP</v>
          </cell>
        </row>
        <row r="205">
          <cell r="C205">
            <v>20848</v>
          </cell>
          <cell r="D205" t="str">
            <v>CIL</v>
          </cell>
        </row>
        <row r="206">
          <cell r="C206">
            <v>20898</v>
          </cell>
          <cell r="D206" t="str">
            <v>IPC</v>
          </cell>
        </row>
        <row r="207">
          <cell r="C207">
            <v>20939</v>
          </cell>
          <cell r="D207" t="str">
            <v>IPC</v>
          </cell>
        </row>
        <row r="208">
          <cell r="C208">
            <v>20946</v>
          </cell>
          <cell r="D208" t="str">
            <v>CIP</v>
          </cell>
        </row>
        <row r="209">
          <cell r="C209">
            <v>20989</v>
          </cell>
          <cell r="D209" t="str">
            <v>IPC</v>
          </cell>
        </row>
        <row r="210">
          <cell r="C210">
            <v>20995</v>
          </cell>
          <cell r="D210" t="str">
            <v>CIP</v>
          </cell>
        </row>
        <row r="211">
          <cell r="C211">
            <v>21034</v>
          </cell>
          <cell r="D211" t="str">
            <v>CIP</v>
          </cell>
        </row>
        <row r="212">
          <cell r="C212">
            <v>21046</v>
          </cell>
          <cell r="D212" t="str">
            <v>IPC</v>
          </cell>
        </row>
        <row r="213">
          <cell r="C213">
            <v>21058</v>
          </cell>
          <cell r="D213" t="str">
            <v>IPC</v>
          </cell>
        </row>
        <row r="214">
          <cell r="C214">
            <v>21086</v>
          </cell>
          <cell r="D214" t="str">
            <v>IPC</v>
          </cell>
        </row>
        <row r="215">
          <cell r="C215">
            <v>21114</v>
          </cell>
          <cell r="D215" t="str">
            <v>CIL</v>
          </cell>
        </row>
        <row r="216">
          <cell r="C216">
            <v>21248</v>
          </cell>
          <cell r="D216" t="str">
            <v>IPC</v>
          </cell>
        </row>
        <row r="217">
          <cell r="C217">
            <v>21296</v>
          </cell>
          <cell r="D217" t="str">
            <v>IPC</v>
          </cell>
        </row>
        <row r="218">
          <cell r="C218">
            <v>21308</v>
          </cell>
          <cell r="D218" t="str">
            <v>CIP</v>
          </cell>
        </row>
        <row r="219">
          <cell r="C219">
            <v>21346</v>
          </cell>
          <cell r="D219" t="str">
            <v>CIP</v>
          </cell>
        </row>
        <row r="220">
          <cell r="C220" t="str">
            <v>0K396</v>
          </cell>
          <cell r="D220" t="str">
            <v>CIP</v>
          </cell>
        </row>
        <row r="221">
          <cell r="C221" t="str">
            <v>0K398</v>
          </cell>
          <cell r="D221" t="str">
            <v>CIL</v>
          </cell>
        </row>
        <row r="222">
          <cell r="C222" t="str">
            <v>0K399</v>
          </cell>
          <cell r="D222" t="str">
            <v>IPC</v>
          </cell>
        </row>
        <row r="223">
          <cell r="C223" t="str">
            <v>0K405</v>
          </cell>
          <cell r="D223" t="str">
            <v>IPC</v>
          </cell>
        </row>
        <row r="224">
          <cell r="C224" t="str">
            <v>0K476</v>
          </cell>
          <cell r="D224" t="str">
            <v>IPC</v>
          </cell>
        </row>
        <row r="225">
          <cell r="C225" t="str">
            <v>0K487</v>
          </cell>
          <cell r="D225" t="str">
            <v>CIL</v>
          </cell>
        </row>
        <row r="226">
          <cell r="C226" t="str">
            <v>A2545</v>
          </cell>
          <cell r="D226" t="str">
            <v>017C</v>
          </cell>
        </row>
        <row r="227">
          <cell r="C227" t="str">
            <v>A2546</v>
          </cell>
          <cell r="D227" t="str">
            <v>002O</v>
          </cell>
        </row>
        <row r="228">
          <cell r="C228" t="str">
            <v>A2548</v>
          </cell>
          <cell r="D228" t="str">
            <v>004A</v>
          </cell>
        </row>
        <row r="229">
          <cell r="C229" t="str">
            <v>A2549</v>
          </cell>
          <cell r="D229" t="str">
            <v>002M</v>
          </cell>
        </row>
        <row r="230">
          <cell r="C230" t="str">
            <v>A2552</v>
          </cell>
          <cell r="D230" t="str">
            <v>001A</v>
          </cell>
        </row>
        <row r="231">
          <cell r="C231" t="str">
            <v>A2553</v>
          </cell>
          <cell r="D231" t="str">
            <v>001A</v>
          </cell>
        </row>
        <row r="232">
          <cell r="C232" t="str">
            <v>A2554</v>
          </cell>
          <cell r="D232" t="str">
            <v>010A</v>
          </cell>
        </row>
        <row r="233">
          <cell r="C233" t="str">
            <v>A2555</v>
          </cell>
          <cell r="D233" t="str">
            <v>003B</v>
          </cell>
        </row>
        <row r="234">
          <cell r="C234" t="str">
            <v>A2557</v>
          </cell>
          <cell r="D234" t="str">
            <v>CIP</v>
          </cell>
        </row>
        <row r="235">
          <cell r="C235" t="str">
            <v>A2558</v>
          </cell>
          <cell r="D235" t="str">
            <v>CIL</v>
          </cell>
        </row>
        <row r="236">
          <cell r="C236" t="str">
            <v>A2564</v>
          </cell>
          <cell r="D236" t="str">
            <v>011A</v>
          </cell>
        </row>
        <row r="237">
          <cell r="C237" t="str">
            <v>A2566</v>
          </cell>
          <cell r="D237" t="str">
            <v>018A</v>
          </cell>
        </row>
        <row r="238">
          <cell r="C238" t="str">
            <v>A2567</v>
          </cell>
          <cell r="D238" t="str">
            <v>002M</v>
          </cell>
        </row>
        <row r="239">
          <cell r="C239" t="str">
            <v>A2569</v>
          </cell>
          <cell r="D239" t="str">
            <v>002L</v>
          </cell>
        </row>
        <row r="240">
          <cell r="C240" t="str">
            <v>A2570</v>
          </cell>
          <cell r="D240" t="str">
            <v>002L</v>
          </cell>
        </row>
        <row r="241">
          <cell r="C241" t="str">
            <v>A2573</v>
          </cell>
          <cell r="D241" t="str">
            <v>002K</v>
          </cell>
        </row>
        <row r="242">
          <cell r="C242" t="str">
            <v>A2577</v>
          </cell>
          <cell r="D242" t="str">
            <v>002L</v>
          </cell>
        </row>
        <row r="243">
          <cell r="C243" t="str">
            <v>A2578</v>
          </cell>
          <cell r="D243" t="str">
            <v>IPC</v>
          </cell>
        </row>
        <row r="244">
          <cell r="C244" t="str">
            <v>A2587</v>
          </cell>
          <cell r="D244" t="str">
            <v>010A</v>
          </cell>
        </row>
        <row r="245">
          <cell r="C245" t="str">
            <v>A2590</v>
          </cell>
          <cell r="D245" t="str">
            <v>IPC</v>
          </cell>
        </row>
        <row r="246">
          <cell r="C246" t="str">
            <v>A2591</v>
          </cell>
          <cell r="D246" t="str">
            <v>IPC</v>
          </cell>
        </row>
        <row r="247">
          <cell r="C247" t="str">
            <v>A2593</v>
          </cell>
          <cell r="D247" t="str">
            <v>IPC</v>
          </cell>
        </row>
        <row r="248">
          <cell r="C248" t="str">
            <v>A2594</v>
          </cell>
          <cell r="D248" t="str">
            <v>IPC</v>
          </cell>
        </row>
        <row r="249">
          <cell r="C249" t="str">
            <v>A2596</v>
          </cell>
          <cell r="D249" t="str">
            <v>IPC</v>
          </cell>
        </row>
        <row r="250">
          <cell r="C250" t="str">
            <v>A2597</v>
          </cell>
          <cell r="D250" t="str">
            <v>IPC</v>
          </cell>
        </row>
        <row r="251">
          <cell r="C251" t="str">
            <v>A2599</v>
          </cell>
          <cell r="D251" t="str">
            <v>IPC</v>
          </cell>
        </row>
        <row r="252">
          <cell r="C252" t="str">
            <v>A2600</v>
          </cell>
          <cell r="D252" t="str">
            <v>IPC</v>
          </cell>
        </row>
        <row r="253">
          <cell r="C253" t="str">
            <v>A2602</v>
          </cell>
          <cell r="D253" t="str">
            <v>IPC</v>
          </cell>
        </row>
        <row r="254">
          <cell r="C254" t="str">
            <v>A2603</v>
          </cell>
          <cell r="D254" t="str">
            <v>IPC</v>
          </cell>
        </row>
        <row r="255">
          <cell r="C255" t="str">
            <v>A2604</v>
          </cell>
          <cell r="D255" t="str">
            <v>IPC</v>
          </cell>
        </row>
        <row r="256">
          <cell r="C256" t="str">
            <v>A2605</v>
          </cell>
          <cell r="D256" t="str">
            <v>IPC</v>
          </cell>
        </row>
        <row r="257">
          <cell r="C257" t="str">
            <v>A2606</v>
          </cell>
          <cell r="D257" t="str">
            <v>IPC</v>
          </cell>
        </row>
        <row r="258">
          <cell r="C258" t="str">
            <v>A2607</v>
          </cell>
          <cell r="D258" t="str">
            <v>IPC</v>
          </cell>
        </row>
        <row r="259">
          <cell r="C259" t="str">
            <v>A2609</v>
          </cell>
          <cell r="D259" t="str">
            <v>IPC</v>
          </cell>
        </row>
        <row r="260">
          <cell r="C260" t="str">
            <v>A2610</v>
          </cell>
          <cell r="D260" t="str">
            <v>IPC</v>
          </cell>
        </row>
        <row r="261">
          <cell r="C261" t="str">
            <v>A2611</v>
          </cell>
          <cell r="D261" t="str">
            <v>IPC</v>
          </cell>
        </row>
        <row r="262">
          <cell r="C262" t="str">
            <v>A2612</v>
          </cell>
          <cell r="D262" t="str">
            <v>IPC</v>
          </cell>
        </row>
        <row r="263">
          <cell r="C263" t="str">
            <v>A2613</v>
          </cell>
          <cell r="D263" t="str">
            <v>IPC</v>
          </cell>
        </row>
        <row r="264">
          <cell r="C264" t="str">
            <v>A2614</v>
          </cell>
          <cell r="D264" t="str">
            <v>IPC</v>
          </cell>
        </row>
        <row r="265">
          <cell r="C265" t="str">
            <v>A2615</v>
          </cell>
          <cell r="D265" t="str">
            <v>IPC</v>
          </cell>
        </row>
        <row r="266">
          <cell r="C266" t="str">
            <v>A2617</v>
          </cell>
          <cell r="D266" t="str">
            <v>IPC</v>
          </cell>
        </row>
        <row r="267">
          <cell r="C267" t="str">
            <v>A2621</v>
          </cell>
          <cell r="D267" t="str">
            <v>IPC</v>
          </cell>
        </row>
        <row r="268">
          <cell r="C268" t="str">
            <v>A2622</v>
          </cell>
          <cell r="D268" t="str">
            <v>IPC</v>
          </cell>
        </row>
        <row r="269">
          <cell r="C269" t="str">
            <v>A2623</v>
          </cell>
          <cell r="D269" t="str">
            <v>IPC</v>
          </cell>
        </row>
        <row r="270">
          <cell r="C270" t="str">
            <v>A2627</v>
          </cell>
          <cell r="D270" t="str">
            <v>IPC</v>
          </cell>
        </row>
        <row r="271">
          <cell r="C271" t="str">
            <v>A2628</v>
          </cell>
          <cell r="D271" t="str">
            <v>IPC</v>
          </cell>
        </row>
        <row r="272">
          <cell r="C272" t="str">
            <v>A2631</v>
          </cell>
          <cell r="D272" t="str">
            <v>IPC</v>
          </cell>
        </row>
        <row r="273">
          <cell r="C273" t="str">
            <v>A2632</v>
          </cell>
          <cell r="D273" t="str">
            <v>IPC</v>
          </cell>
        </row>
        <row r="274">
          <cell r="C274" t="str">
            <v>A2633</v>
          </cell>
          <cell r="D274" t="str">
            <v>IPC</v>
          </cell>
        </row>
        <row r="275">
          <cell r="C275" t="str">
            <v>A2634</v>
          </cell>
          <cell r="D275" t="str">
            <v>CIP</v>
          </cell>
        </row>
        <row r="276">
          <cell r="C276" t="str">
            <v>A2635</v>
          </cell>
          <cell r="D276" t="str">
            <v>CIL</v>
          </cell>
        </row>
        <row r="277">
          <cell r="C277" t="str">
            <v>A2636</v>
          </cell>
          <cell r="D277" t="str">
            <v>002O</v>
          </cell>
        </row>
        <row r="278">
          <cell r="C278" t="str">
            <v>A2638</v>
          </cell>
          <cell r="D278" t="str">
            <v>IPC</v>
          </cell>
        </row>
        <row r="279">
          <cell r="C279" t="str">
            <v>A2649</v>
          </cell>
          <cell r="D279" t="str">
            <v>IPC</v>
          </cell>
        </row>
        <row r="280">
          <cell r="C280" t="str">
            <v>A2650</v>
          </cell>
          <cell r="D280" t="str">
            <v>001A</v>
          </cell>
        </row>
        <row r="281">
          <cell r="C281" t="str">
            <v>A2652</v>
          </cell>
          <cell r="D281" t="str">
            <v>CIL</v>
          </cell>
        </row>
        <row r="282">
          <cell r="C282" t="str">
            <v>A2653</v>
          </cell>
          <cell r="D282" t="str">
            <v>CIL</v>
          </cell>
        </row>
        <row r="283">
          <cell r="C283" t="str">
            <v>A2654</v>
          </cell>
          <cell r="D283" t="str">
            <v>CIP</v>
          </cell>
        </row>
        <row r="284">
          <cell r="C284" t="str">
            <v>A2655</v>
          </cell>
          <cell r="D284" t="str">
            <v>002M</v>
          </cell>
        </row>
        <row r="285">
          <cell r="C285" t="str">
            <v>A2660</v>
          </cell>
          <cell r="D285" t="str">
            <v>008A</v>
          </cell>
        </row>
        <row r="286">
          <cell r="C286" t="str">
            <v>A2661</v>
          </cell>
          <cell r="D286" t="str">
            <v>007A</v>
          </cell>
        </row>
        <row r="287">
          <cell r="C287" t="str">
            <v>A2662</v>
          </cell>
          <cell r="D287" t="str">
            <v>001A</v>
          </cell>
        </row>
        <row r="288">
          <cell r="C288" t="str">
            <v>A2664</v>
          </cell>
          <cell r="D288" t="str">
            <v>002M</v>
          </cell>
        </row>
        <row r="289">
          <cell r="C289" t="str">
            <v>A2665</v>
          </cell>
          <cell r="D289" t="str">
            <v>002M</v>
          </cell>
        </row>
        <row r="290">
          <cell r="C290" t="str">
            <v>A2666</v>
          </cell>
          <cell r="D290" t="str">
            <v>012B</v>
          </cell>
        </row>
        <row r="291">
          <cell r="C291" t="str">
            <v>A2669</v>
          </cell>
          <cell r="D291" t="str">
            <v>017A</v>
          </cell>
        </row>
        <row r="292">
          <cell r="C292" t="str">
            <v>A2670</v>
          </cell>
          <cell r="D292" t="str">
            <v>IPC</v>
          </cell>
        </row>
        <row r="293">
          <cell r="C293" t="str">
            <v>A2672</v>
          </cell>
          <cell r="D293" t="str">
            <v>IPC</v>
          </cell>
        </row>
        <row r="294">
          <cell r="C294" t="str">
            <v>A2679</v>
          </cell>
          <cell r="D294" t="str">
            <v>IPC</v>
          </cell>
        </row>
        <row r="295">
          <cell r="C295" t="str">
            <v>A2680</v>
          </cell>
          <cell r="D295" t="str">
            <v>002L</v>
          </cell>
        </row>
        <row r="296">
          <cell r="C296" t="str">
            <v>A2686</v>
          </cell>
          <cell r="D296" t="str">
            <v>CIP</v>
          </cell>
        </row>
        <row r="297">
          <cell r="C297" t="str">
            <v>A2694</v>
          </cell>
          <cell r="D297" t="str">
            <v>008C</v>
          </cell>
        </row>
        <row r="298">
          <cell r="C298" t="str">
            <v>A2695</v>
          </cell>
          <cell r="D298" t="str">
            <v>011A</v>
          </cell>
        </row>
        <row r="299">
          <cell r="C299" t="str">
            <v>A2696</v>
          </cell>
          <cell r="D299" t="str">
            <v>IPC</v>
          </cell>
        </row>
        <row r="300">
          <cell r="C300" t="str">
            <v>A2700</v>
          </cell>
          <cell r="D300" t="str">
            <v>011A</v>
          </cell>
        </row>
        <row r="301">
          <cell r="C301" t="str">
            <v>A2701</v>
          </cell>
          <cell r="D301" t="str">
            <v>011A</v>
          </cell>
        </row>
        <row r="302">
          <cell r="C302" t="str">
            <v>A2702</v>
          </cell>
          <cell r="D302" t="str">
            <v>011A</v>
          </cell>
        </row>
        <row r="303">
          <cell r="C303" t="str">
            <v>A2705</v>
          </cell>
          <cell r="D303" t="str">
            <v>CIL</v>
          </cell>
        </row>
        <row r="304">
          <cell r="C304" t="str">
            <v>A2707</v>
          </cell>
          <cell r="D304" t="str">
            <v>012B</v>
          </cell>
        </row>
        <row r="305">
          <cell r="C305" t="str">
            <v>A2708</v>
          </cell>
          <cell r="D305" t="str">
            <v>012B</v>
          </cell>
        </row>
        <row r="306">
          <cell r="C306" t="str">
            <v>A2709</v>
          </cell>
          <cell r="D306" t="str">
            <v>012B</v>
          </cell>
        </row>
        <row r="307">
          <cell r="C307" t="str">
            <v>A2710</v>
          </cell>
          <cell r="D307" t="str">
            <v>012B</v>
          </cell>
        </row>
        <row r="308">
          <cell r="C308" t="str">
            <v>A2712</v>
          </cell>
          <cell r="D308" t="str">
            <v>CIL</v>
          </cell>
        </row>
        <row r="309">
          <cell r="C309" t="str">
            <v>A2713</v>
          </cell>
          <cell r="D309" t="str">
            <v>CIP</v>
          </cell>
        </row>
        <row r="310">
          <cell r="C310" t="str">
            <v>A2714</v>
          </cell>
          <cell r="D310" t="str">
            <v>IPC</v>
          </cell>
        </row>
        <row r="311">
          <cell r="C311" t="str">
            <v>A2715</v>
          </cell>
          <cell r="D311" t="str">
            <v>IPC</v>
          </cell>
        </row>
        <row r="312">
          <cell r="C312" t="str">
            <v>A2716</v>
          </cell>
          <cell r="D312" t="str">
            <v>002M</v>
          </cell>
        </row>
        <row r="313">
          <cell r="C313" t="str">
            <v>A2717</v>
          </cell>
          <cell r="D313" t="str">
            <v>IPC</v>
          </cell>
        </row>
        <row r="314">
          <cell r="C314" t="str">
            <v>A2718</v>
          </cell>
          <cell r="D314" t="str">
            <v>002M</v>
          </cell>
        </row>
        <row r="315">
          <cell r="C315" t="str">
            <v>A2719</v>
          </cell>
          <cell r="D315" t="str">
            <v>IPC</v>
          </cell>
        </row>
        <row r="316">
          <cell r="C316" t="str">
            <v>A2720</v>
          </cell>
          <cell r="D316" t="str">
            <v>CIP</v>
          </cell>
        </row>
        <row r="317">
          <cell r="C317" t="str">
            <v>A2721</v>
          </cell>
          <cell r="D317" t="str">
            <v>001A</v>
          </cell>
        </row>
        <row r="318">
          <cell r="C318" t="str">
            <v>A2722</v>
          </cell>
          <cell r="D318" t="str">
            <v>CIL</v>
          </cell>
        </row>
        <row r="319">
          <cell r="C319" t="str">
            <v>A2723</v>
          </cell>
          <cell r="D319" t="str">
            <v>IPC</v>
          </cell>
        </row>
        <row r="320">
          <cell r="C320" t="str">
            <v>A2731</v>
          </cell>
          <cell r="D320" t="str">
            <v>CIL</v>
          </cell>
        </row>
        <row r="321">
          <cell r="C321" t="str">
            <v>A2733</v>
          </cell>
          <cell r="D321" t="str">
            <v>002L</v>
          </cell>
        </row>
        <row r="322">
          <cell r="C322" t="str">
            <v>A2734</v>
          </cell>
          <cell r="D322" t="str">
            <v>004A</v>
          </cell>
        </row>
        <row r="323">
          <cell r="C323" t="str">
            <v>A2735</v>
          </cell>
          <cell r="D323" t="str">
            <v>010A</v>
          </cell>
        </row>
        <row r="324">
          <cell r="C324" t="str">
            <v>A2740</v>
          </cell>
          <cell r="D324" t="str">
            <v>017B</v>
          </cell>
        </row>
        <row r="325">
          <cell r="C325" t="str">
            <v>A2742</v>
          </cell>
          <cell r="D325" t="str">
            <v>004A</v>
          </cell>
        </row>
        <row r="326">
          <cell r="C326" t="str">
            <v>A2743</v>
          </cell>
          <cell r="D326" t="str">
            <v>002M</v>
          </cell>
        </row>
        <row r="327">
          <cell r="C327" t="str">
            <v>A2744</v>
          </cell>
          <cell r="D327" t="str">
            <v>002L</v>
          </cell>
        </row>
        <row r="328">
          <cell r="C328" t="str">
            <v>A2745</v>
          </cell>
          <cell r="D328" t="str">
            <v>010A</v>
          </cell>
        </row>
        <row r="329">
          <cell r="C329" t="str">
            <v>A2746</v>
          </cell>
          <cell r="D329" t="str">
            <v>018A</v>
          </cell>
        </row>
        <row r="330">
          <cell r="C330" t="str">
            <v>A2808</v>
          </cell>
          <cell r="D330" t="str">
            <v>011A</v>
          </cell>
        </row>
        <row r="331">
          <cell r="C331" t="str">
            <v>A2823</v>
          </cell>
          <cell r="D331" t="str">
            <v>002M</v>
          </cell>
        </row>
        <row r="332">
          <cell r="C332" t="str">
            <v>A2826</v>
          </cell>
          <cell r="D332" t="str">
            <v>002M</v>
          </cell>
        </row>
        <row r="333">
          <cell r="C333" t="str">
            <v>A2832</v>
          </cell>
          <cell r="D333" t="str">
            <v>IPC</v>
          </cell>
        </row>
        <row r="334">
          <cell r="C334" t="str">
            <v>A2833</v>
          </cell>
          <cell r="D334" t="str">
            <v>CIP</v>
          </cell>
        </row>
        <row r="335">
          <cell r="C335" t="str">
            <v>A2834</v>
          </cell>
          <cell r="D335" t="str">
            <v>CIL</v>
          </cell>
        </row>
        <row r="336">
          <cell r="C336" t="str">
            <v>A2836</v>
          </cell>
          <cell r="D336" t="str">
            <v>012B</v>
          </cell>
        </row>
        <row r="337">
          <cell r="C337" t="str">
            <v>A2839</v>
          </cell>
          <cell r="D337" t="str">
            <v>002L</v>
          </cell>
        </row>
        <row r="338">
          <cell r="C338" t="str">
            <v>A2856</v>
          </cell>
          <cell r="D338" t="str">
            <v>002L</v>
          </cell>
        </row>
        <row r="339">
          <cell r="C339" t="str">
            <v>A2858</v>
          </cell>
          <cell r="D339" t="str">
            <v>002M</v>
          </cell>
        </row>
        <row r="340">
          <cell r="C340" t="str">
            <v>A2863</v>
          </cell>
          <cell r="D340" t="str">
            <v>002M</v>
          </cell>
        </row>
        <row r="341">
          <cell r="C341" t="str">
            <v>A2866</v>
          </cell>
          <cell r="D341" t="str">
            <v>002L</v>
          </cell>
        </row>
        <row r="342">
          <cell r="C342" t="str">
            <v>A2869</v>
          </cell>
          <cell r="D342" t="str">
            <v>002L</v>
          </cell>
        </row>
        <row r="343">
          <cell r="C343" t="str">
            <v>A2870</v>
          </cell>
          <cell r="D343" t="str">
            <v>017B</v>
          </cell>
        </row>
        <row r="344">
          <cell r="C344" t="str">
            <v>A2874</v>
          </cell>
          <cell r="D344" t="str">
            <v>002D</v>
          </cell>
        </row>
        <row r="345">
          <cell r="C345" t="str">
            <v>A2880</v>
          </cell>
          <cell r="D345" t="str">
            <v>002O</v>
          </cell>
        </row>
        <row r="346">
          <cell r="C346" t="str">
            <v>A2882</v>
          </cell>
          <cell r="D346" t="str">
            <v>002L</v>
          </cell>
        </row>
        <row r="347">
          <cell r="C347" t="str">
            <v>A2883</v>
          </cell>
          <cell r="D347" t="str">
            <v>004A</v>
          </cell>
        </row>
        <row r="348">
          <cell r="C348" t="str">
            <v>A2909</v>
          </cell>
          <cell r="D348" t="str">
            <v>001A</v>
          </cell>
        </row>
        <row r="349">
          <cell r="C349" t="str">
            <v>A2910</v>
          </cell>
          <cell r="D349" t="str">
            <v>002M</v>
          </cell>
        </row>
        <row r="350">
          <cell r="C350" t="str">
            <v>A2911</v>
          </cell>
          <cell r="D350" t="str">
            <v>011A</v>
          </cell>
        </row>
        <row r="351">
          <cell r="C351" t="str">
            <v>A2927</v>
          </cell>
          <cell r="D351" t="str">
            <v>008C</v>
          </cell>
        </row>
        <row r="352">
          <cell r="C352" t="str">
            <v>A2929</v>
          </cell>
          <cell r="D352" t="str">
            <v>001A</v>
          </cell>
        </row>
        <row r="353">
          <cell r="C353" t="str">
            <v>A2963</v>
          </cell>
          <cell r="D353" t="str">
            <v>010A</v>
          </cell>
        </row>
        <row r="354">
          <cell r="C354" t="str">
            <v>A2964</v>
          </cell>
          <cell r="D354" t="str">
            <v>002O</v>
          </cell>
        </row>
        <row r="355">
          <cell r="C355" t="str">
            <v>A2972</v>
          </cell>
          <cell r="D355" t="str">
            <v>010A</v>
          </cell>
        </row>
        <row r="356">
          <cell r="C356" t="str">
            <v>AXACL</v>
          </cell>
          <cell r="D356" t="str">
            <v>CIL</v>
          </cell>
        </row>
        <row r="357">
          <cell r="C357" t="str">
            <v>AXAIP</v>
          </cell>
          <cell r="D357" t="str">
            <v>IPC</v>
          </cell>
        </row>
        <row r="358">
          <cell r="C358" t="str">
            <v>C0091</v>
          </cell>
          <cell r="D358" t="str">
            <v>CIP</v>
          </cell>
        </row>
        <row r="359">
          <cell r="C359" t="str">
            <v>C0223</v>
          </cell>
          <cell r="D359" t="str">
            <v>CIP</v>
          </cell>
        </row>
        <row r="360">
          <cell r="C360" t="str">
            <v>C0224</v>
          </cell>
          <cell r="D360" t="str">
            <v>CIP</v>
          </cell>
        </row>
        <row r="361">
          <cell r="C361" t="str">
            <v>C0226</v>
          </cell>
          <cell r="D361" t="str">
            <v>CIP</v>
          </cell>
        </row>
        <row r="362">
          <cell r="C362" t="str">
            <v>C0227</v>
          </cell>
          <cell r="D362" t="str">
            <v>CIP</v>
          </cell>
        </row>
        <row r="363">
          <cell r="C363" t="str">
            <v>C0228</v>
          </cell>
          <cell r="D363" t="str">
            <v>CIP</v>
          </cell>
        </row>
        <row r="364">
          <cell r="C364" t="str">
            <v>C0230</v>
          </cell>
          <cell r="D364" t="str">
            <v>CIP</v>
          </cell>
        </row>
        <row r="365">
          <cell r="C365" t="str">
            <v>C0231</v>
          </cell>
          <cell r="D365" t="str">
            <v>CIP</v>
          </cell>
        </row>
        <row r="366">
          <cell r="C366" t="str">
            <v>C0290</v>
          </cell>
          <cell r="D366" t="str">
            <v>CIP</v>
          </cell>
        </row>
        <row r="367">
          <cell r="C367" t="str">
            <v>C0291</v>
          </cell>
          <cell r="D367" t="str">
            <v>CIP</v>
          </cell>
        </row>
        <row r="368">
          <cell r="C368" t="str">
            <v>C0292</v>
          </cell>
          <cell r="D368" t="str">
            <v>CIP</v>
          </cell>
        </row>
        <row r="369">
          <cell r="C369" t="str">
            <v>C0293</v>
          </cell>
          <cell r="D369" t="str">
            <v>CIP</v>
          </cell>
        </row>
        <row r="370">
          <cell r="C370" t="str">
            <v>C0294</v>
          </cell>
          <cell r="D370" t="str">
            <v>CIP</v>
          </cell>
        </row>
        <row r="371">
          <cell r="C371" t="str">
            <v>C0995</v>
          </cell>
          <cell r="D371" t="str">
            <v>CIP</v>
          </cell>
        </row>
        <row r="372">
          <cell r="C372" t="str">
            <v>C0996</v>
          </cell>
          <cell r="D372" t="str">
            <v>CIP</v>
          </cell>
        </row>
        <row r="373">
          <cell r="C373" t="str">
            <v>C1190</v>
          </cell>
          <cell r="D373" t="str">
            <v>CIL</v>
          </cell>
        </row>
        <row r="374">
          <cell r="C374" t="str">
            <v>C1191</v>
          </cell>
          <cell r="D374" t="str">
            <v>CIL</v>
          </cell>
        </row>
        <row r="375">
          <cell r="C375" t="str">
            <v>C1192</v>
          </cell>
          <cell r="D375" t="str">
            <v>CIL</v>
          </cell>
        </row>
        <row r="376">
          <cell r="C376" t="str">
            <v>C1194</v>
          </cell>
          <cell r="D376" t="str">
            <v>CIL</v>
          </cell>
        </row>
        <row r="377">
          <cell r="C377" t="str">
            <v>C1195</v>
          </cell>
          <cell r="D377" t="str">
            <v>CIL</v>
          </cell>
        </row>
        <row r="378">
          <cell r="C378" t="str">
            <v>C1196</v>
          </cell>
          <cell r="D378" t="str">
            <v>CIL</v>
          </cell>
        </row>
        <row r="379">
          <cell r="C379" t="str">
            <v>C1197</v>
          </cell>
          <cell r="D379" t="str">
            <v>CIL</v>
          </cell>
        </row>
        <row r="380">
          <cell r="C380" t="str">
            <v>C1198</v>
          </cell>
          <cell r="D380" t="str">
            <v>CIL</v>
          </cell>
        </row>
        <row r="381">
          <cell r="C381" t="str">
            <v>C1227</v>
          </cell>
          <cell r="D381" t="str">
            <v>CIL</v>
          </cell>
        </row>
        <row r="382">
          <cell r="C382" t="str">
            <v>C1228</v>
          </cell>
          <cell r="D382" t="str">
            <v>CIL</v>
          </cell>
        </row>
        <row r="383">
          <cell r="C383" t="str">
            <v>C1235</v>
          </cell>
          <cell r="D383" t="str">
            <v>CIL</v>
          </cell>
        </row>
        <row r="384">
          <cell r="C384" t="str">
            <v>C2119</v>
          </cell>
          <cell r="D384" t="str">
            <v>CIL</v>
          </cell>
        </row>
        <row r="385">
          <cell r="C385" t="str">
            <v>C2224</v>
          </cell>
          <cell r="D385" t="str">
            <v>CIL</v>
          </cell>
        </row>
        <row r="386">
          <cell r="C386" t="str">
            <v>C2226</v>
          </cell>
          <cell r="D386" t="str">
            <v>CIL</v>
          </cell>
        </row>
        <row r="387">
          <cell r="C387" t="str">
            <v>C2227</v>
          </cell>
          <cell r="D387" t="str">
            <v>CIL</v>
          </cell>
        </row>
        <row r="388">
          <cell r="C388" t="str">
            <v>C2231</v>
          </cell>
          <cell r="D388" t="str">
            <v>CIL</v>
          </cell>
        </row>
        <row r="389">
          <cell r="C389" t="str">
            <v>C2236</v>
          </cell>
          <cell r="D389" t="str">
            <v>CIL</v>
          </cell>
        </row>
        <row r="390">
          <cell r="C390" t="str">
            <v>C3162</v>
          </cell>
          <cell r="D390" t="str">
            <v>IPC</v>
          </cell>
        </row>
        <row r="391">
          <cell r="C391" t="str">
            <v>C3170</v>
          </cell>
          <cell r="D391" t="str">
            <v>IPC</v>
          </cell>
        </row>
        <row r="392">
          <cell r="C392" t="str">
            <v>C3190</v>
          </cell>
          <cell r="D392" t="str">
            <v>IPC</v>
          </cell>
        </row>
        <row r="393">
          <cell r="C393" t="str">
            <v>C3191</v>
          </cell>
          <cell r="D393" t="str">
            <v>IPC</v>
          </cell>
        </row>
        <row r="394">
          <cell r="C394" t="str">
            <v>C3192</v>
          </cell>
          <cell r="D394" t="str">
            <v>IPC</v>
          </cell>
        </row>
        <row r="395">
          <cell r="C395" t="str">
            <v>C3193</v>
          </cell>
          <cell r="D395" t="str">
            <v>IPC</v>
          </cell>
        </row>
        <row r="396">
          <cell r="C396" t="str">
            <v>C3201</v>
          </cell>
          <cell r="D396" t="str">
            <v>IPC</v>
          </cell>
        </row>
        <row r="397">
          <cell r="C397" t="str">
            <v>C3202</v>
          </cell>
          <cell r="D397" t="str">
            <v>IPC</v>
          </cell>
        </row>
        <row r="398">
          <cell r="C398" t="str">
            <v>C3215</v>
          </cell>
          <cell r="D398" t="str">
            <v>IPC</v>
          </cell>
        </row>
        <row r="399">
          <cell r="C399" t="str">
            <v>C3216</v>
          </cell>
          <cell r="D399" t="str">
            <v>IPC</v>
          </cell>
        </row>
        <row r="400">
          <cell r="C400" t="str">
            <v>C3217</v>
          </cell>
          <cell r="D400" t="str">
            <v>IPC</v>
          </cell>
        </row>
        <row r="401">
          <cell r="C401" t="str">
            <v>C3218</v>
          </cell>
          <cell r="D401" t="str">
            <v>IPC</v>
          </cell>
        </row>
        <row r="402">
          <cell r="C402" t="str">
            <v>C3219</v>
          </cell>
          <cell r="D402" t="str">
            <v>IPC</v>
          </cell>
        </row>
        <row r="403">
          <cell r="C403" t="str">
            <v>C3220</v>
          </cell>
          <cell r="D403" t="str">
            <v>IPC</v>
          </cell>
        </row>
        <row r="404">
          <cell r="C404" t="str">
            <v>C3221</v>
          </cell>
          <cell r="D404" t="str">
            <v>IPC</v>
          </cell>
        </row>
        <row r="405">
          <cell r="C405" t="str">
            <v>C3222</v>
          </cell>
          <cell r="D405" t="str">
            <v>IPC</v>
          </cell>
        </row>
        <row r="406">
          <cell r="C406" t="str">
            <v>C3223</v>
          </cell>
          <cell r="D406" t="str">
            <v>IPC</v>
          </cell>
        </row>
        <row r="407">
          <cell r="C407" t="str">
            <v>C3224</v>
          </cell>
          <cell r="D407" t="str">
            <v>IPC</v>
          </cell>
        </row>
        <row r="408">
          <cell r="C408" t="str">
            <v>C3226</v>
          </cell>
          <cell r="D408" t="str">
            <v>IPC</v>
          </cell>
        </row>
        <row r="409">
          <cell r="C409" t="str">
            <v>C3227</v>
          </cell>
          <cell r="D409" t="str">
            <v>IPC</v>
          </cell>
        </row>
        <row r="410">
          <cell r="C410" t="str">
            <v>C3228</v>
          </cell>
          <cell r="D410" t="str">
            <v>IPC</v>
          </cell>
        </row>
        <row r="411">
          <cell r="C411" t="str">
            <v>C3231</v>
          </cell>
          <cell r="D411" t="str">
            <v>IPC</v>
          </cell>
        </row>
        <row r="412">
          <cell r="C412" t="str">
            <v>C3232</v>
          </cell>
          <cell r="D412" t="str">
            <v>IPC</v>
          </cell>
        </row>
        <row r="413">
          <cell r="C413" t="str">
            <v>C3233</v>
          </cell>
          <cell r="D413" t="str">
            <v>IPC</v>
          </cell>
        </row>
        <row r="414">
          <cell r="C414" t="str">
            <v>C3242</v>
          </cell>
          <cell r="D414" t="str">
            <v>IPC</v>
          </cell>
        </row>
        <row r="415">
          <cell r="C415" t="str">
            <v>C3293</v>
          </cell>
          <cell r="D415" t="str">
            <v>CIP</v>
          </cell>
        </row>
        <row r="416">
          <cell r="C416" t="str">
            <v>C3295</v>
          </cell>
          <cell r="D416" t="str">
            <v>CIP</v>
          </cell>
        </row>
        <row r="417">
          <cell r="C417" t="str">
            <v>C3296</v>
          </cell>
          <cell r="D417" t="str">
            <v>CIP</v>
          </cell>
        </row>
        <row r="418">
          <cell r="C418" t="str">
            <v>IPC01</v>
          </cell>
          <cell r="D418" t="str">
            <v>IPC</v>
          </cell>
        </row>
      </sheetData>
      <sheetData sheetId="32">
        <row r="5">
          <cell r="C5" t="str">
            <v>A0004</v>
          </cell>
          <cell r="D5" t="str">
            <v>CT</v>
          </cell>
        </row>
        <row r="6">
          <cell r="C6" t="str">
            <v>A0079</v>
          </cell>
          <cell r="D6" t="str">
            <v>CT</v>
          </cell>
        </row>
        <row r="7">
          <cell r="C7" t="str">
            <v>A0084</v>
          </cell>
          <cell r="D7" t="str">
            <v>CT</v>
          </cell>
        </row>
        <row r="8">
          <cell r="C8" t="str">
            <v>A0125</v>
          </cell>
          <cell r="D8" t="str">
            <v>IS</v>
          </cell>
        </row>
        <row r="9">
          <cell r="C9" t="str">
            <v>A0142</v>
          </cell>
          <cell r="D9" t="str">
            <v>CP</v>
          </cell>
        </row>
        <row r="10">
          <cell r="C10" t="str">
            <v>A0149</v>
          </cell>
          <cell r="D10" t="str">
            <v>GC</v>
          </cell>
        </row>
        <row r="11">
          <cell r="C11" t="str">
            <v>A0151</v>
          </cell>
          <cell r="D11" t="str">
            <v>HR</v>
          </cell>
        </row>
        <row r="12">
          <cell r="C12" t="str">
            <v>A0163</v>
          </cell>
          <cell r="D12" t="str">
            <v>SS</v>
          </cell>
        </row>
        <row r="13">
          <cell r="C13" t="str">
            <v>A0166</v>
          </cell>
          <cell r="D13" t="str">
            <v>IR</v>
          </cell>
        </row>
        <row r="14">
          <cell r="C14" t="str">
            <v>A0192</v>
          </cell>
          <cell r="D14" t="str">
            <v>FA</v>
          </cell>
        </row>
        <row r="15">
          <cell r="C15" t="str">
            <v>A0193</v>
          </cell>
          <cell r="D15" t="str">
            <v>ES</v>
          </cell>
        </row>
        <row r="16">
          <cell r="C16" t="str">
            <v>A0215</v>
          </cell>
          <cell r="D16" t="str">
            <v>GC</v>
          </cell>
        </row>
        <row r="17">
          <cell r="C17" t="str">
            <v>A0233</v>
          </cell>
          <cell r="D17" t="str">
            <v>IS</v>
          </cell>
        </row>
        <row r="18">
          <cell r="C18" t="str">
            <v>A0237</v>
          </cell>
          <cell r="D18" t="str">
            <v>HR</v>
          </cell>
        </row>
        <row r="19">
          <cell r="C19" t="str">
            <v>A0243</v>
          </cell>
          <cell r="D19" t="str">
            <v>IS</v>
          </cell>
        </row>
        <row r="20">
          <cell r="C20" t="str">
            <v>A0254</v>
          </cell>
          <cell r="D20" t="str">
            <v>HR</v>
          </cell>
        </row>
        <row r="21">
          <cell r="C21" t="str">
            <v>A0255</v>
          </cell>
          <cell r="D21" t="str">
            <v>GC</v>
          </cell>
        </row>
        <row r="22">
          <cell r="C22" t="str">
            <v>A0259</v>
          </cell>
          <cell r="D22" t="str">
            <v>Corp-Indirect</v>
          </cell>
        </row>
        <row r="23">
          <cell r="C23" t="str">
            <v>A0316</v>
          </cell>
          <cell r="D23" t="str">
            <v>FS</v>
          </cell>
        </row>
        <row r="24">
          <cell r="C24" t="str">
            <v>A0322</v>
          </cell>
          <cell r="D24" t="str">
            <v>EC</v>
          </cell>
        </row>
        <row r="25">
          <cell r="C25" t="str">
            <v>A0326</v>
          </cell>
          <cell r="D25" t="str">
            <v>TR</v>
          </cell>
        </row>
        <row r="26">
          <cell r="C26" t="str">
            <v>A0350</v>
          </cell>
          <cell r="D26" t="str">
            <v>Corp-Indirect</v>
          </cell>
        </row>
        <row r="27">
          <cell r="C27" t="str">
            <v>A0351</v>
          </cell>
          <cell r="D27" t="str">
            <v>HR</v>
          </cell>
        </row>
        <row r="28">
          <cell r="C28" t="str">
            <v>A0371</v>
          </cell>
          <cell r="D28" t="str">
            <v>EC</v>
          </cell>
        </row>
        <row r="29">
          <cell r="C29" t="str">
            <v>A0379</v>
          </cell>
          <cell r="D29" t="str">
            <v>GC</v>
          </cell>
        </row>
        <row r="30">
          <cell r="C30" t="str">
            <v>A0399</v>
          </cell>
          <cell r="D30" t="str">
            <v>Corp-Indirect</v>
          </cell>
        </row>
        <row r="31">
          <cell r="C31" t="str">
            <v>A0401</v>
          </cell>
          <cell r="D31" t="str">
            <v>GC</v>
          </cell>
        </row>
        <row r="32">
          <cell r="C32" t="str">
            <v>A0406</v>
          </cell>
          <cell r="D32" t="str">
            <v>GC</v>
          </cell>
        </row>
        <row r="33">
          <cell r="C33" t="str">
            <v>A0419</v>
          </cell>
          <cell r="D33" t="str">
            <v>HR</v>
          </cell>
        </row>
        <row r="34">
          <cell r="C34" t="str">
            <v>A0425</v>
          </cell>
          <cell r="D34" t="str">
            <v>HR</v>
          </cell>
        </row>
        <row r="35">
          <cell r="C35" t="str">
            <v>A0448</v>
          </cell>
          <cell r="D35" t="str">
            <v>PI</v>
          </cell>
        </row>
        <row r="36">
          <cell r="C36" t="str">
            <v>A0465</v>
          </cell>
          <cell r="D36" t="str">
            <v>EC</v>
          </cell>
        </row>
        <row r="37">
          <cell r="C37" t="str">
            <v>A0468</v>
          </cell>
          <cell r="D37" t="str">
            <v>FA</v>
          </cell>
        </row>
        <row r="38">
          <cell r="C38" t="str">
            <v>A0471</v>
          </cell>
          <cell r="D38" t="str">
            <v>EC</v>
          </cell>
        </row>
        <row r="39">
          <cell r="C39" t="str">
            <v>A0496</v>
          </cell>
          <cell r="D39" t="str">
            <v>IS</v>
          </cell>
        </row>
        <row r="40">
          <cell r="C40" t="str">
            <v>A0536</v>
          </cell>
          <cell r="D40" t="str">
            <v>Corp-Indirect</v>
          </cell>
        </row>
        <row r="41">
          <cell r="C41" t="str">
            <v>A0548</v>
          </cell>
          <cell r="D41" t="str">
            <v>IS</v>
          </cell>
        </row>
        <row r="42">
          <cell r="C42" t="str">
            <v>A0555</v>
          </cell>
          <cell r="D42" t="str">
            <v>DT</v>
          </cell>
        </row>
        <row r="43">
          <cell r="C43" t="str">
            <v>A0559</v>
          </cell>
          <cell r="D43" t="str">
            <v>TR</v>
          </cell>
        </row>
        <row r="44">
          <cell r="C44" t="str">
            <v>A0567</v>
          </cell>
          <cell r="D44" t="str">
            <v>Corp-Indirect</v>
          </cell>
        </row>
        <row r="45">
          <cell r="C45" t="str">
            <v>A0596</v>
          </cell>
          <cell r="D45" t="str">
            <v>DT</v>
          </cell>
        </row>
        <row r="46">
          <cell r="C46" t="str">
            <v>A0600</v>
          </cell>
          <cell r="D46" t="str">
            <v>EC</v>
          </cell>
        </row>
        <row r="47">
          <cell r="C47" t="str">
            <v>A0622</v>
          </cell>
          <cell r="D47" t="str">
            <v>TR</v>
          </cell>
        </row>
        <row r="48">
          <cell r="C48" t="str">
            <v>A0623</v>
          </cell>
          <cell r="D48" t="str">
            <v>TR</v>
          </cell>
        </row>
        <row r="49">
          <cell r="C49" t="str">
            <v>A0624</v>
          </cell>
          <cell r="D49" t="str">
            <v>TR</v>
          </cell>
        </row>
        <row r="50">
          <cell r="C50" t="str">
            <v>A0629</v>
          </cell>
          <cell r="D50" t="str">
            <v>EC</v>
          </cell>
        </row>
        <row r="51">
          <cell r="C51" t="str">
            <v>A0631</v>
          </cell>
          <cell r="D51" t="str">
            <v>EC</v>
          </cell>
        </row>
        <row r="52">
          <cell r="C52" t="str">
            <v>A0723</v>
          </cell>
          <cell r="D52" t="str">
            <v>FP</v>
          </cell>
        </row>
        <row r="53">
          <cell r="C53" t="str">
            <v>A0736</v>
          </cell>
          <cell r="D53" t="str">
            <v>FS</v>
          </cell>
        </row>
        <row r="54">
          <cell r="C54" t="str">
            <v>A0742</v>
          </cell>
          <cell r="D54" t="str">
            <v>IS</v>
          </cell>
        </row>
        <row r="55">
          <cell r="C55" t="str">
            <v>A0750</v>
          </cell>
          <cell r="D55" t="str">
            <v>HR</v>
          </cell>
        </row>
        <row r="56">
          <cell r="C56" t="str">
            <v>A0803</v>
          </cell>
          <cell r="D56" t="str">
            <v>Corp-Indirect</v>
          </cell>
        </row>
        <row r="57">
          <cell r="C57" t="str">
            <v>A0819</v>
          </cell>
          <cell r="D57" t="str">
            <v>Corp-Indirect</v>
          </cell>
        </row>
        <row r="58">
          <cell r="C58" t="str">
            <v>A0850</v>
          </cell>
          <cell r="D58" t="str">
            <v>HR</v>
          </cell>
        </row>
        <row r="59">
          <cell r="C59" t="str">
            <v>A0866</v>
          </cell>
          <cell r="D59" t="str">
            <v>Corp-Indirect</v>
          </cell>
        </row>
        <row r="60">
          <cell r="C60" t="str">
            <v>A0894</v>
          </cell>
          <cell r="D60" t="str">
            <v>Corp-Indirect</v>
          </cell>
        </row>
        <row r="61">
          <cell r="C61" t="str">
            <v>A0974</v>
          </cell>
          <cell r="D61" t="str">
            <v>IS</v>
          </cell>
        </row>
        <row r="62">
          <cell r="C62" t="str">
            <v>A0986</v>
          </cell>
          <cell r="D62" t="str">
            <v>IS</v>
          </cell>
        </row>
        <row r="63">
          <cell r="C63" t="str">
            <v>A1047</v>
          </cell>
          <cell r="D63" t="str">
            <v>IS</v>
          </cell>
        </row>
        <row r="64">
          <cell r="C64" t="str">
            <v>A1055</v>
          </cell>
          <cell r="D64" t="str">
            <v>IS</v>
          </cell>
        </row>
        <row r="65">
          <cell r="C65" t="str">
            <v>A1056</v>
          </cell>
          <cell r="D65" t="str">
            <v>IS</v>
          </cell>
        </row>
        <row r="66">
          <cell r="C66" t="str">
            <v>A1057</v>
          </cell>
          <cell r="D66" t="str">
            <v>IS</v>
          </cell>
        </row>
        <row r="67">
          <cell r="C67" t="str">
            <v>A1059</v>
          </cell>
          <cell r="D67" t="str">
            <v>IS</v>
          </cell>
        </row>
        <row r="68">
          <cell r="C68" t="str">
            <v>A2078</v>
          </cell>
          <cell r="D68" t="str">
            <v>CC</v>
          </cell>
        </row>
        <row r="69">
          <cell r="C69" t="str">
            <v>A2122</v>
          </cell>
          <cell r="D69" t="str">
            <v>IS</v>
          </cell>
        </row>
        <row r="70">
          <cell r="C70" t="str">
            <v>A2167</v>
          </cell>
          <cell r="D70" t="str">
            <v>EC</v>
          </cell>
        </row>
        <row r="71">
          <cell r="C71" t="str">
            <v>A2209</v>
          </cell>
          <cell r="D71" t="str">
            <v>IS</v>
          </cell>
        </row>
        <row r="72">
          <cell r="C72" t="str">
            <v>A2301</v>
          </cell>
          <cell r="D72" t="str">
            <v>IS</v>
          </cell>
        </row>
        <row r="73">
          <cell r="C73" t="str">
            <v>A2302</v>
          </cell>
          <cell r="D73" t="str">
            <v>Corp-Indirect</v>
          </cell>
        </row>
        <row r="74">
          <cell r="C74" t="str">
            <v>A2321</v>
          </cell>
          <cell r="D74" t="str">
            <v>GC</v>
          </cell>
        </row>
        <row r="75">
          <cell r="C75" t="str">
            <v>A2347</v>
          </cell>
          <cell r="D75" t="str">
            <v>AS</v>
          </cell>
        </row>
        <row r="76">
          <cell r="C76" t="str">
            <v>A2397</v>
          </cell>
          <cell r="D76" t="str">
            <v>IS</v>
          </cell>
        </row>
        <row r="77">
          <cell r="C77" t="str">
            <v>A2506</v>
          </cell>
          <cell r="D77" t="str">
            <v>TR</v>
          </cell>
        </row>
        <row r="78">
          <cell r="C78" t="str">
            <v>AXA11</v>
          </cell>
          <cell r="D78" t="str">
            <v>Corp-Indirect</v>
          </cell>
        </row>
        <row r="79">
          <cell r="C79" t="str">
            <v>AXB11</v>
          </cell>
          <cell r="D79" t="str">
            <v>Corp-Indirect</v>
          </cell>
        </row>
      </sheetData>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ACT"/>
      <sheetName val="insidenew (2)"/>
      <sheetName val="insidenew"/>
      <sheetName val="inside"/>
      <sheetName val="Oct-00"/>
    </sheetNames>
    <sheetDataSet>
      <sheetData sheetId="0" refreshError="1">
        <row r="5">
          <cell r="B5" t="str">
            <v>S&amp;U-Q</v>
          </cell>
        </row>
        <row r="6">
          <cell r="B6">
            <v>1</v>
          </cell>
        </row>
        <row r="7">
          <cell r="B7">
            <v>125</v>
          </cell>
        </row>
        <row r="8">
          <cell r="B8">
            <v>1</v>
          </cell>
        </row>
        <row r="9">
          <cell r="B9">
            <v>126</v>
          </cell>
        </row>
        <row r="10">
          <cell r="B10">
            <v>-1</v>
          </cell>
        </row>
        <row r="11">
          <cell r="B11">
            <v>1</v>
          </cell>
        </row>
        <row r="12">
          <cell r="B12">
            <v>0</v>
          </cell>
        </row>
        <row r="13">
          <cell r="B13">
            <v>5</v>
          </cell>
        </row>
        <row r="14">
          <cell r="B14">
            <v>1</v>
          </cell>
        </row>
        <row r="15">
          <cell r="B15">
            <v>110</v>
          </cell>
        </row>
        <row r="16">
          <cell r="B16">
            <v>2</v>
          </cell>
        </row>
        <row r="17">
          <cell r="B17">
            <v>10000000</v>
          </cell>
        </row>
        <row r="18">
          <cell r="B18">
            <v>10000000</v>
          </cell>
        </row>
        <row r="19">
          <cell r="B19">
            <v>10000000</v>
          </cell>
        </row>
        <row r="20">
          <cell r="B20">
            <v>10000000</v>
          </cell>
        </row>
        <row r="21">
          <cell r="B21">
            <v>10000000</v>
          </cell>
        </row>
        <row r="22">
          <cell r="B22">
            <v>9997435</v>
          </cell>
        </row>
        <row r="23">
          <cell r="B23">
            <v>9995145.5873849988</v>
          </cell>
        </row>
        <row r="24">
          <cell r="B24">
            <v>9993046.6068116482</v>
          </cell>
        </row>
        <row r="25">
          <cell r="B25">
            <v>9991057.9905368928</v>
          </cell>
        </row>
        <row r="26">
          <cell r="B26">
            <v>9989114.7297577336</v>
          </cell>
        </row>
        <row r="27">
          <cell r="B27">
            <v>9987171.8469427954</v>
          </cell>
        </row>
        <row r="28">
          <cell r="B28">
            <v>9985164.4254015591</v>
          </cell>
        </row>
        <row r="29">
          <cell r="B29">
            <v>9983082.5186188631</v>
          </cell>
        </row>
        <row r="30">
          <cell r="B30">
            <v>9980931.1643361002</v>
          </cell>
        </row>
        <row r="31">
          <cell r="B31">
            <v>9978695.4357552882</v>
          </cell>
        </row>
        <row r="32">
          <cell r="B32">
            <v>9976375.3890664745</v>
          </cell>
        </row>
        <row r="33">
          <cell r="B33">
            <v>9973971.0825977083</v>
          </cell>
        </row>
        <row r="34">
          <cell r="B34">
            <v>9971467.6158559769</v>
          </cell>
        </row>
        <row r="35">
          <cell r="B35">
            <v>9968870.0485420469</v>
          </cell>
        </row>
        <row r="36">
          <cell r="B36">
            <v>9966158.5158888437</v>
          </cell>
        </row>
        <row r="37">
          <cell r="B37">
            <v>9963338.0930288471</v>
          </cell>
        </row>
        <row r="38">
          <cell r="B38">
            <v>9960383.9632842634</v>
          </cell>
        </row>
        <row r="39">
          <cell r="B39">
            <v>9957296.2442556452</v>
          </cell>
        </row>
        <row r="40">
          <cell r="B40">
            <v>9954065.1016243845</v>
          </cell>
        </row>
        <row r="41">
          <cell r="B41">
            <v>9950670.7654247303</v>
          </cell>
        </row>
        <row r="42">
          <cell r="B42">
            <v>9947103.4499553256</v>
          </cell>
        </row>
        <row r="43">
          <cell r="B43">
            <v>9943343.444851242</v>
          </cell>
        </row>
        <row r="44">
          <cell r="B44">
            <v>9939385.9941601902</v>
          </cell>
        </row>
        <row r="45">
          <cell r="B45">
            <v>9935196.5429636519</v>
          </cell>
        </row>
        <row r="46">
          <cell r="B46">
            <v>9930765.4453054909</v>
          </cell>
        </row>
        <row r="47">
          <cell r="B47">
            <v>9926053.2971016932</v>
          </cell>
        </row>
        <row r="48">
          <cell r="B48">
            <v>9921045.6032133047</v>
          </cell>
        </row>
        <row r="49">
          <cell r="B49">
            <v>9915713.0412015785</v>
          </cell>
        </row>
        <row r="50">
          <cell r="B50">
            <v>9910021.4219159298</v>
          </cell>
        </row>
        <row r="51">
          <cell r="B51">
            <v>9903936.6687628739</v>
          </cell>
        </row>
        <row r="52">
          <cell r="B52">
            <v>9897320.8390681408</v>
          </cell>
        </row>
        <row r="53">
          <cell r="B53">
            <v>9890348.1765370183</v>
          </cell>
        </row>
        <row r="54">
          <cell r="B54">
            <v>9882925.4702305272</v>
          </cell>
        </row>
        <row r="55">
          <cell r="B55">
            <v>9874959.8323015217</v>
          </cell>
        </row>
        <row r="56">
          <cell r="B56">
            <v>9866343.9298478384</v>
          </cell>
        </row>
        <row r="57">
          <cell r="B57">
            <v>9856956.1035985891</v>
          </cell>
        </row>
        <row r="58">
          <cell r="B58">
            <v>9846675.2983825356</v>
          </cell>
        </row>
        <row r="59">
          <cell r="B59">
            <v>9835341.7751140967</v>
          </cell>
        </row>
        <row r="60">
          <cell r="B60">
            <v>9822772.2083255015</v>
          </cell>
        </row>
        <row r="61">
          <cell r="B61">
            <v>9808769.8465425335</v>
          </cell>
        </row>
        <row r="62">
          <cell r="B62">
            <v>9793110.145482529</v>
          </cell>
        </row>
        <row r="63">
          <cell r="B63">
            <v>9775541.3058815338</v>
          </cell>
        </row>
        <row r="64">
          <cell r="B64">
            <v>9755858.2534621414</v>
          </cell>
        </row>
        <row r="65">
          <cell r="B65">
            <v>9733888.0606753435</v>
          </cell>
        </row>
        <row r="66">
          <cell r="B66">
            <v>9709465.7355311085</v>
          </cell>
        </row>
        <row r="67">
          <cell r="B67">
            <v>9682492.8397178035</v>
          </cell>
        </row>
        <row r="68">
          <cell r="B68">
            <v>9652878.9353675265</v>
          </cell>
        </row>
        <row r="69">
          <cell r="B69">
            <v>9620527.3116156422</v>
          </cell>
        </row>
        <row r="70">
          <cell r="B70">
            <v>9585320.9919187836</v>
          </cell>
        </row>
        <row r="71">
          <cell r="B71">
            <v>9547099.5244635064</v>
          </cell>
        </row>
        <row r="72">
          <cell r="B72">
            <v>9505703.3009254318</v>
          </cell>
        </row>
        <row r="73">
          <cell r="B73">
            <v>9460926.6855264232</v>
          </cell>
        </row>
        <row r="74">
          <cell r="B74">
            <v>9412477.2799698412</v>
          </cell>
        </row>
        <row r="75">
          <cell r="B75">
            <v>9359950.9505089689</v>
          </cell>
        </row>
        <row r="76">
          <cell r="B76">
            <v>9302831.8498334885</v>
          </cell>
        </row>
        <row r="77">
          <cell r="B77">
            <v>9240507.5278555285</v>
          </cell>
        </row>
        <row r="78">
          <cell r="B78">
            <v>9172284.8607773706</v>
          </cell>
        </row>
        <row r="79">
          <cell r="B79">
            <v>9097333.5350375287</v>
          </cell>
        </row>
        <row r="80">
          <cell r="B80">
            <v>9014729.7465393879</v>
          </cell>
        </row>
        <row r="81">
          <cell r="B81">
            <v>8923442.0857610572</v>
          </cell>
        </row>
        <row r="82">
          <cell r="B82">
            <v>8822357.3338135555</v>
          </cell>
        </row>
        <row r="83">
          <cell r="B83">
            <v>8710331.0403887909</v>
          </cell>
        </row>
        <row r="84">
          <cell r="B84">
            <v>8586274.1505460534</v>
          </cell>
        </row>
        <row r="85">
          <cell r="B85">
            <v>8449189.9905955102</v>
          </cell>
        </row>
        <row r="86">
          <cell r="B86">
            <v>8298211.4146535592</v>
          </cell>
        </row>
        <row r="87">
          <cell r="B87">
            <v>8132599.8603456113</v>
          </cell>
        </row>
        <row r="88">
          <cell r="B88">
            <v>7951722.7068516649</v>
          </cell>
        </row>
        <row r="89">
          <cell r="B89">
            <v>7754802.269877837</v>
          </cell>
        </row>
        <row r="90">
          <cell r="B90">
            <v>7540920.945873471</v>
          </cell>
        </row>
        <row r="91">
          <cell r="B91">
            <v>7309116.8064577933</v>
          </cell>
        </row>
        <row r="92">
          <cell r="B92">
            <v>7058454.3001387268</v>
          </cell>
        </row>
        <row r="93">
          <cell r="B93">
            <v>6788214.3188036149</v>
          </cell>
        </row>
        <row r="94">
          <cell r="B94">
            <v>6498255.7441759184</v>
          </cell>
        </row>
        <row r="95">
          <cell r="B95">
            <v>6189143.4658090863</v>
          </cell>
        </row>
        <row r="96">
          <cell r="B96">
            <v>5862127.6925061317</v>
          </cell>
        </row>
        <row r="97">
          <cell r="B97">
            <v>5519149.2565368293</v>
          </cell>
        </row>
        <row r="98">
          <cell r="B98">
            <v>5162780.548616875</v>
          </cell>
        </row>
        <row r="99">
          <cell r="B99">
            <v>4796194.7343720589</v>
          </cell>
        </row>
        <row r="100">
          <cell r="B100">
            <v>4423060.3764273813</v>
          </cell>
        </row>
        <row r="101">
          <cell r="B101">
            <v>4047423.1278385334</v>
          </cell>
        </row>
        <row r="102">
          <cell r="B102">
            <v>3673534.3215581928</v>
          </cell>
        </row>
        <row r="103">
          <cell r="B103">
            <v>3304821.6817033971</v>
          </cell>
        </row>
        <row r="104">
          <cell r="B104">
            <v>2945025.7452163482</v>
          </cell>
        </row>
        <row r="105">
          <cell r="B105">
            <v>2597500.927177838</v>
          </cell>
        </row>
        <row r="106">
          <cell r="B106">
            <v>2264744.1746503301</v>
          </cell>
        </row>
        <row r="107">
          <cell r="B107">
            <v>1949880.1891649566</v>
          </cell>
        </row>
        <row r="108">
          <cell r="B108">
            <v>1656140.4880682016</v>
          </cell>
        </row>
        <row r="109">
          <cell r="B109">
            <v>1386115.0621911217</v>
          </cell>
        </row>
        <row r="110">
          <cell r="B110">
            <v>1141754.0656473245</v>
          </cell>
        </row>
        <row r="111">
          <cell r="B111">
            <v>923104.16593663208</v>
          </cell>
        </row>
        <row r="112">
          <cell r="B112">
            <v>730865.41561991361</v>
          </cell>
        </row>
        <row r="113">
          <cell r="B113">
            <v>566350.16859282565</v>
          </cell>
        </row>
        <row r="114">
          <cell r="B114">
            <v>428727.92715002189</v>
          </cell>
        </row>
        <row r="115">
          <cell r="B115">
            <v>316250.72673428652</v>
          </cell>
        </row>
        <row r="116">
          <cell r="B116">
            <v>226540.04120693484</v>
          </cell>
        </row>
        <row r="117">
          <cell r="B117">
            <v>156950.11210874136</v>
          </cell>
        </row>
        <row r="118">
          <cell r="B118">
            <v>104661.31903409759</v>
          </cell>
        </row>
        <row r="119">
          <cell r="B119">
            <v>66776.590407389638</v>
          </cell>
        </row>
        <row r="120">
          <cell r="B120">
            <v>40435.095236205838</v>
          </cell>
        </row>
        <row r="121">
          <cell r="B121">
            <v>22934.482754761681</v>
          </cell>
        </row>
        <row r="122">
          <cell r="B122">
            <v>11956.353623850266</v>
          </cell>
        </row>
        <row r="123">
          <cell r="B123">
            <v>5572.6711005954394</v>
          </cell>
        </row>
        <row r="124">
          <cell r="B124">
            <v>2226.7641407380793</v>
          </cell>
        </row>
        <row r="125">
          <cell r="B125">
            <v>712.3952909614892</v>
          </cell>
        </row>
        <row r="126">
          <cell r="B126">
            <v>160.39971793407955</v>
          </cell>
        </row>
        <row r="127">
          <cell r="B127">
            <v>0</v>
          </cell>
        </row>
        <row r="128">
          <cell r="B128">
            <v>0</v>
          </cell>
        </row>
        <row r="129">
          <cell r="B129">
            <v>0</v>
          </cell>
        </row>
        <row r="130">
          <cell r="B130">
            <v>0</v>
          </cell>
        </row>
        <row r="131">
          <cell r="B131">
            <v>0</v>
          </cell>
        </row>
        <row r="132">
          <cell r="B132">
            <v>0</v>
          </cell>
        </row>
        <row r="133">
          <cell r="B133">
            <v>0</v>
          </cell>
        </row>
        <row r="134">
          <cell r="B134">
            <v>0</v>
          </cell>
        </row>
        <row r="135">
          <cell r="B135">
            <v>0</v>
          </cell>
        </row>
        <row r="136">
          <cell r="B136">
            <v>0</v>
          </cell>
        </row>
        <row r="137">
          <cell r="B137">
            <v>0</v>
          </cell>
        </row>
        <row r="138">
          <cell r="B138">
            <v>0</v>
          </cell>
        </row>
        <row r="139">
          <cell r="B139">
            <v>0</v>
          </cell>
        </row>
        <row r="140">
          <cell r="B140">
            <v>0</v>
          </cell>
        </row>
        <row r="141">
          <cell r="B141">
            <v>0</v>
          </cell>
        </row>
        <row r="146">
          <cell r="B146" t="str">
            <v>S&amp;U-Q</v>
          </cell>
        </row>
        <row r="147">
          <cell r="B147">
            <v>1</v>
          </cell>
        </row>
        <row r="148">
          <cell r="B148">
            <v>125</v>
          </cell>
        </row>
        <row r="149">
          <cell r="B149">
            <v>1</v>
          </cell>
        </row>
        <row r="150">
          <cell r="B150">
            <v>126</v>
          </cell>
        </row>
        <row r="151">
          <cell r="B151">
            <v>-1</v>
          </cell>
        </row>
        <row r="152">
          <cell r="B152">
            <v>1</v>
          </cell>
        </row>
        <row r="153">
          <cell r="B153">
            <v>0</v>
          </cell>
        </row>
        <row r="154">
          <cell r="B154">
            <v>5</v>
          </cell>
        </row>
        <row r="155">
          <cell r="B155">
            <v>1</v>
          </cell>
        </row>
        <row r="156">
          <cell r="B156">
            <v>110</v>
          </cell>
        </row>
        <row r="157">
          <cell r="B157">
            <v>2</v>
          </cell>
        </row>
        <row r="158">
          <cell r="B158">
            <v>10000000</v>
          </cell>
        </row>
        <row r="159">
          <cell r="B159">
            <v>10000000</v>
          </cell>
        </row>
        <row r="160">
          <cell r="B160">
            <v>10000000</v>
          </cell>
        </row>
        <row r="161">
          <cell r="B161">
            <v>10000000</v>
          </cell>
        </row>
        <row r="162">
          <cell r="B162">
            <v>10000000</v>
          </cell>
        </row>
        <row r="163">
          <cell r="B163">
            <v>9996580</v>
          </cell>
        </row>
        <row r="164">
          <cell r="B164">
            <v>9993401.0875599999</v>
          </cell>
        </row>
        <row r="165">
          <cell r="B165">
            <v>9990383.0804315563</v>
          </cell>
        </row>
        <row r="166">
          <cell r="B166">
            <v>9987445.9078059085</v>
          </cell>
        </row>
        <row r="167">
          <cell r="B167">
            <v>9984529.5736008286</v>
          </cell>
        </row>
        <row r="168">
          <cell r="B168">
            <v>9981604.1064357646</v>
          </cell>
        </row>
        <row r="169">
          <cell r="B169">
            <v>9978629.5884120464</v>
          </cell>
        </row>
        <row r="170">
          <cell r="B170">
            <v>9975596.0850171689</v>
          </cell>
        </row>
        <row r="171">
          <cell r="B171">
            <v>9972503.6502308138</v>
          </cell>
        </row>
        <row r="172">
          <cell r="B172">
            <v>9969342.3665736914</v>
          </cell>
        </row>
        <row r="173">
          <cell r="B173">
            <v>9966102.3303045556</v>
          </cell>
        </row>
        <row r="174">
          <cell r="B174">
            <v>9962783.618228564</v>
          </cell>
        </row>
        <row r="175">
          <cell r="B175">
            <v>9959366.3834475111</v>
          </cell>
        </row>
        <row r="176">
          <cell r="B176">
            <v>9955850.727114154</v>
          </cell>
        </row>
        <row r="177">
          <cell r="B177">
            <v>9952216.8415987585</v>
          </cell>
        </row>
        <row r="178">
          <cell r="B178">
            <v>9948464.8558494765</v>
          </cell>
        </row>
        <row r="179">
          <cell r="B179">
            <v>9944565.0576259848</v>
          </cell>
        </row>
        <row r="180">
          <cell r="B180">
            <v>9940507.6750824731</v>
          </cell>
        </row>
        <row r="181">
          <cell r="B181">
            <v>9936292.8998282384</v>
          </cell>
        </row>
        <row r="182">
          <cell r="B182">
            <v>9931881.1857807152</v>
          </cell>
        </row>
        <row r="183">
          <cell r="B183">
            <v>9927272.7929105125</v>
          </cell>
        </row>
        <row r="184">
          <cell r="B184">
            <v>9922428.2837875709</v>
          </cell>
        </row>
        <row r="185">
          <cell r="B185">
            <v>9917338.0780779887</v>
          </cell>
        </row>
        <row r="186">
          <cell r="B186">
            <v>9911962.8808396701</v>
          </cell>
        </row>
        <row r="187">
          <cell r="B187">
            <v>9906293.2380718291</v>
          </cell>
        </row>
        <row r="188">
          <cell r="B188">
            <v>9900280.1180763189</v>
          </cell>
        </row>
        <row r="189">
          <cell r="B189">
            <v>9893894.4374001604</v>
          </cell>
        </row>
        <row r="190">
          <cell r="B190">
            <v>9887097.3319216669</v>
          </cell>
        </row>
        <row r="191">
          <cell r="B191">
            <v>9879840.2024800368</v>
          </cell>
        </row>
        <row r="192">
          <cell r="B192">
            <v>9872084.5279210899</v>
          </cell>
        </row>
        <row r="193">
          <cell r="B193">
            <v>9863594.5352270789</v>
          </cell>
        </row>
        <row r="194">
          <cell r="B194">
            <v>9854648.2549836282</v>
          </cell>
        </row>
        <row r="195">
          <cell r="B195">
            <v>9845128.6647693142</v>
          </cell>
        </row>
        <row r="196">
          <cell r="B196">
            <v>9834899.576086618</v>
          </cell>
        </row>
        <row r="197">
          <cell r="B197">
            <v>9823805.809364792</v>
          </cell>
        </row>
        <row r="198">
          <cell r="B198">
            <v>9811643.9377727993</v>
          </cell>
        </row>
        <row r="199">
          <cell r="B199">
            <v>9798201.9855780508</v>
          </cell>
        </row>
        <row r="200">
          <cell r="B200">
            <v>9783240.1311460733</v>
          </cell>
        </row>
        <row r="201">
          <cell r="B201">
            <v>9766461.8743211571</v>
          </cell>
        </row>
        <row r="202">
          <cell r="B202">
            <v>9747593.0699799675</v>
          </cell>
        </row>
        <row r="203">
          <cell r="B203">
            <v>9726314.0743082017</v>
          </cell>
        </row>
        <row r="204">
          <cell r="B204">
            <v>9702280.3522305861</v>
          </cell>
        </row>
        <row r="205">
          <cell r="B205">
            <v>9675210.9900478628</v>
          </cell>
        </row>
        <row r="206">
          <cell r="B206">
            <v>9644850.1779610924</v>
          </cell>
        </row>
        <row r="207">
          <cell r="B207">
            <v>9610967.8192859162</v>
          </cell>
        </row>
        <row r="208">
          <cell r="B208">
            <v>9573398.5460803267</v>
          </cell>
        </row>
        <row r="209">
          <cell r="B209">
            <v>9532003.1707670745</v>
          </cell>
        </row>
        <row r="210">
          <cell r="B210">
            <v>9486678.4956900775</v>
          </cell>
        </row>
        <row r="211">
          <cell r="B211">
            <v>9437347.7675124891</v>
          </cell>
        </row>
        <row r="212">
          <cell r="B212">
            <v>9383932.3791483678</v>
          </cell>
        </row>
        <row r="213">
          <cell r="B213">
            <v>9326399.4897318091</v>
          </cell>
        </row>
        <row r="214">
          <cell r="B214">
            <v>9264677.3779087644</v>
          </cell>
        </row>
        <row r="215">
          <cell r="B215">
            <v>9198536.8461078741</v>
          </cell>
        </row>
        <row r="216">
          <cell r="B216">
            <v>9127533.3401927669</v>
          </cell>
        </row>
        <row r="217">
          <cell r="B217">
            <v>9051008.1006685905</v>
          </cell>
        </row>
        <row r="218">
          <cell r="B218">
            <v>8968118.9684826676</v>
          </cell>
        </row>
        <row r="219">
          <cell r="B219">
            <v>8877863.8191838581</v>
          </cell>
        </row>
        <row r="220">
          <cell r="B220">
            <v>8779026.5612848848</v>
          </cell>
        </row>
        <row r="221">
          <cell r="B221">
            <v>8670245.6431640033</v>
          </cell>
        </row>
        <row r="222">
          <cell r="B222">
            <v>8550006.6765846051</v>
          </cell>
        </row>
        <row r="223">
          <cell r="B223">
            <v>8416694.9724832978</v>
          </cell>
        </row>
        <row r="224">
          <cell r="B224">
            <v>8268737.8915620139</v>
          </cell>
        </row>
        <row r="225">
          <cell r="B225">
            <v>8104983.8063575197</v>
          </cell>
        </row>
        <row r="226">
          <cell r="B226">
            <v>7924818.1213259976</v>
          </cell>
        </row>
        <row r="227">
          <cell r="B227">
            <v>7728147.9100090507</v>
          </cell>
        </row>
        <row r="228">
          <cell r="B228">
            <v>7515391.9980465015</v>
          </cell>
        </row>
        <row r="229">
          <cell r="B229">
            <v>7287269.789337798</v>
          </cell>
        </row>
        <row r="230">
          <cell r="B230">
            <v>7044093.5964675955</v>
          </cell>
        </row>
        <row r="231">
          <cell r="B231">
            <v>6785716.2433491638</v>
          </cell>
        </row>
        <row r="232">
          <cell r="B232">
            <v>6511654.7357127778</v>
          </cell>
        </row>
        <row r="233">
          <cell r="B233">
            <v>6221254.469464195</v>
          </cell>
        </row>
        <row r="234">
          <cell r="B234">
            <v>5913999.1537262974</v>
          </cell>
        </row>
        <row r="235">
          <cell r="B235">
            <v>5590160.3880665526</v>
          </cell>
        </row>
        <row r="236">
          <cell r="B236">
            <v>5250960.6360394498</v>
          </cell>
        </row>
        <row r="237">
          <cell r="B237">
            <v>4898489.9033453017</v>
          </cell>
        </row>
        <row r="238">
          <cell r="B238">
            <v>4535658.7562045157</v>
          </cell>
        </row>
        <row r="239">
          <cell r="B239">
            <v>4166075.1381139471</v>
          </cell>
        </row>
        <row r="240">
          <cell r="B240">
            <v>3793961.3067776095</v>
          </cell>
        </row>
        <row r="241">
          <cell r="B241">
            <v>3423955.2303341231</v>
          </cell>
        </row>
        <row r="242">
          <cell r="B242">
            <v>3060855.0500228805</v>
          </cell>
        </row>
        <row r="243">
          <cell r="B243">
            <v>2709358.6994984532</v>
          </cell>
        </row>
        <row r="244">
          <cell r="B244">
            <v>2372937.62978173</v>
          </cell>
        </row>
        <row r="245">
          <cell r="B245">
            <v>2055272.4692828499</v>
          </cell>
        </row>
        <row r="246">
          <cell r="B246">
            <v>1759163.1988158619</v>
          </cell>
        </row>
        <row r="247">
          <cell r="B247">
            <v>1486740.9450104365</v>
          </cell>
        </row>
        <row r="248">
          <cell r="B248">
            <v>1239485.5186685859</v>
          </cell>
        </row>
        <row r="249">
          <cell r="B249">
            <v>1018591.8464445826</v>
          </cell>
        </row>
        <row r="250">
          <cell r="B250">
            <v>824590.8433707474</v>
          </cell>
        </row>
        <row r="251">
          <cell r="B251">
            <v>657193.13003058219</v>
          </cell>
        </row>
        <row r="252">
          <cell r="B252">
            <v>513988.11822439823</v>
          </cell>
        </row>
        <row r="253">
          <cell r="B253">
            <v>393670.69558172172</v>
          </cell>
        </row>
        <row r="254">
          <cell r="B254">
            <v>295868.72265418113</v>
          </cell>
        </row>
        <row r="255">
          <cell r="B255">
            <v>217772.9898347194</v>
          </cell>
        </row>
        <row r="256">
          <cell r="B256">
            <v>156621.68097016067</v>
          </cell>
        </row>
        <row r="257">
          <cell r="B257">
            <v>109767.67862121324</v>
          </cell>
        </row>
        <row r="258">
          <cell r="B258">
            <v>74731.482120501285</v>
          </cell>
        </row>
        <row r="259">
          <cell r="B259">
            <v>49241.619809947981</v>
          </cell>
        </row>
        <row r="260">
          <cell r="B260">
            <v>31265.868015086853</v>
          </cell>
        </row>
        <row r="261">
          <cell r="B261">
            <v>18975.192766620177</v>
          </cell>
        </row>
        <row r="262">
          <cell r="B262">
            <v>10867.946781117875</v>
          </cell>
        </row>
        <row r="263">
          <cell r="B263">
            <v>5765.1088610328188</v>
          </cell>
        </row>
        <row r="264">
          <cell r="B264">
            <v>2756.0391165610445</v>
          </cell>
        </row>
        <row r="265">
          <cell r="B265">
            <v>1139.5725659938939</v>
          </cell>
        </row>
        <row r="266">
          <cell r="B266">
            <v>381.45140416026811</v>
          </cell>
        </row>
        <row r="267">
          <cell r="B267">
            <v>91.466324946569898</v>
          </cell>
        </row>
        <row r="268">
          <cell r="B268">
            <v>0</v>
          </cell>
        </row>
        <row r="269">
          <cell r="B269">
            <v>0</v>
          </cell>
        </row>
        <row r="270">
          <cell r="B270">
            <v>0</v>
          </cell>
        </row>
        <row r="271">
          <cell r="B271">
            <v>0</v>
          </cell>
        </row>
        <row r="272">
          <cell r="B272">
            <v>0</v>
          </cell>
        </row>
        <row r="273">
          <cell r="B273">
            <v>0</v>
          </cell>
        </row>
        <row r="274">
          <cell r="B274">
            <v>0</v>
          </cell>
        </row>
        <row r="275">
          <cell r="B275">
            <v>0</v>
          </cell>
        </row>
        <row r="276">
          <cell r="B276">
            <v>0</v>
          </cell>
        </row>
        <row r="277">
          <cell r="B277">
            <v>0</v>
          </cell>
        </row>
        <row r="278">
          <cell r="B278">
            <v>0</v>
          </cell>
        </row>
        <row r="279">
          <cell r="B279">
            <v>0</v>
          </cell>
        </row>
        <row r="280">
          <cell r="B280">
            <v>0</v>
          </cell>
        </row>
        <row r="281">
          <cell r="B281">
            <v>0</v>
          </cell>
        </row>
        <row r="282">
          <cell r="B282">
            <v>0</v>
          </cell>
        </row>
      </sheetData>
      <sheetData sheetId="1" refreshError="1"/>
      <sheetData sheetId="2" refreshError="1"/>
      <sheetData sheetId="3" refreshError="1"/>
      <sheetData sheetId="4"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
      <sheetName val="Rate"/>
      <sheetName val="Rate Base(2)"/>
      <sheetName val="Income"/>
      <sheetName val="Income (2)"/>
      <sheetName val="Tax"/>
      <sheetName val="TaxCalc"/>
      <sheetName val="Deficiency"/>
      <sheetName val="Deficiency (2)"/>
      <sheetName val="Tax Claimed"/>
      <sheetName val="Plant"/>
      <sheetName val="Plant (2)"/>
      <sheetName val="Reserve"/>
      <sheetName val="Reserve (2)"/>
      <sheetName val="Mat&amp;Sup"/>
      <sheetName val="Prepay"/>
      <sheetName val="Cust.Deposits"/>
      <sheetName val="AccumDef"/>
      <sheetName val="AccumDef(1)"/>
      <sheetName val="AccumDef2"/>
      <sheetName val="AccumDef3"/>
      <sheetName val="FuncAccum"/>
      <sheetName val="FuncAccum2"/>
      <sheetName val="Revenues"/>
      <sheetName val="KWH"/>
      <sheetName val="LaborRatio"/>
      <sheetName val="FunctionalLaborRatio"/>
      <sheetName val="O&amp;M"/>
      <sheetName val="Functional O&amp;M"/>
      <sheetName val="ProdExp"/>
      <sheetName val="EPRI-old"/>
      <sheetName val="EPRI"/>
      <sheetName val="Deprc"/>
      <sheetName val="Deprc-GenPlt"/>
      <sheetName val="OtherTax"/>
      <sheetName val="OtherTax-GenPlt"/>
      <sheetName val="OtherTax-FICA adj."/>
      <sheetName val="REPPCF"/>
      <sheetName val="TaxDed"/>
      <sheetName val="AccAddDeprc"/>
      <sheetName val="AllocDef"/>
      <sheetName val="AllocDef(1)"/>
      <sheetName val="Prov&amp;Amort"/>
      <sheetName val="Prov&amp;Amort2"/>
      <sheetName val="Prov&amp;Amort3"/>
      <sheetName val="FuncProvAmort"/>
      <sheetName val="StateTaxAlloc"/>
      <sheetName val="ITC"/>
      <sheetName val="PeakDemand"/>
      <sheetName val="FunctionalGen.Plant"/>
      <sheetName val="FunctionalNetPlant"/>
      <sheetName val="FunctionalA&amp;G Cost"/>
      <sheetName val="Mis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AmerenUE</v>
          </cell>
        </row>
        <row r="2">
          <cell r="A2" t="str">
            <v>PLANT IN SERVICE</v>
          </cell>
        </row>
        <row r="3">
          <cell r="A3">
            <v>36068</v>
          </cell>
        </row>
        <row r="5">
          <cell r="A5" t="str">
            <v>input 11/21/98</v>
          </cell>
          <cell r="G5" t="str">
            <v>ELECTRIC</v>
          </cell>
        </row>
        <row r="6">
          <cell r="G6" t="str">
            <v>ULTIMATE CONSUMERS</v>
          </cell>
          <cell r="I6" t="str">
            <v xml:space="preserve">ELECTRIC </v>
          </cell>
          <cell r="J6" t="str">
            <v xml:space="preserve">ELECTRIC </v>
          </cell>
          <cell r="K6" t="str">
            <v>GAS OPERATIONS</v>
          </cell>
        </row>
        <row r="7">
          <cell r="C7" t="str">
            <v>BOOK</v>
          </cell>
          <cell r="D7" t="str">
            <v xml:space="preserve">PRO FORMA </v>
          </cell>
          <cell r="F7" t="str">
            <v xml:space="preserve">ELECTRIC </v>
          </cell>
          <cell r="I7" t="str">
            <v>SALES FOR</v>
          </cell>
          <cell r="J7" t="str">
            <v xml:space="preserve">SYSTEM </v>
          </cell>
          <cell r="M7" t="str">
            <v>STEAM</v>
          </cell>
        </row>
        <row r="8">
          <cell r="C8" t="str">
            <v>TOTAL</v>
          </cell>
          <cell r="D8" t="str">
            <v>ADJUSTMENT</v>
          </cell>
          <cell r="E8" t="str">
            <v>TOTAL</v>
          </cell>
          <cell r="F8" t="str">
            <v>POWER POOL</v>
          </cell>
          <cell r="G8" t="str">
            <v>MISSOURI</v>
          </cell>
          <cell r="H8" t="str">
            <v>ILLINOIS</v>
          </cell>
          <cell r="I8" t="str">
            <v>RESALE</v>
          </cell>
          <cell r="J8" t="str">
            <v>GENERAL</v>
          </cell>
          <cell r="K8" t="str">
            <v>MISSOURI</v>
          </cell>
          <cell r="L8" t="str">
            <v>ILLINOIS</v>
          </cell>
          <cell r="M8" t="str">
            <v>HEATING</v>
          </cell>
        </row>
        <row r="9">
          <cell r="A9" t="str">
            <v>INTANGIBLE PLANT</v>
          </cell>
        </row>
        <row r="10">
          <cell r="A10" t="str">
            <v xml:space="preserve">   ACCOUNT 301</v>
          </cell>
          <cell r="C10">
            <v>142566</v>
          </cell>
          <cell r="D10">
            <v>0</v>
          </cell>
          <cell r="E10">
            <v>142566</v>
          </cell>
          <cell r="F10">
            <v>0</v>
          </cell>
          <cell r="G10">
            <v>0</v>
          </cell>
          <cell r="H10">
            <v>0</v>
          </cell>
          <cell r="I10">
            <v>0</v>
          </cell>
          <cell r="J10">
            <v>137576</v>
          </cell>
          <cell r="K10">
            <v>4049</v>
          </cell>
          <cell r="L10">
            <v>898</v>
          </cell>
          <cell r="M10">
            <v>43</v>
          </cell>
        </row>
        <row r="11">
          <cell r="A11" t="str">
            <v xml:space="preserve">   ACCOUNT 302</v>
          </cell>
          <cell r="C11">
            <v>19443</v>
          </cell>
          <cell r="D11">
            <v>0</v>
          </cell>
          <cell r="E11">
            <v>19443</v>
          </cell>
          <cell r="F11">
            <v>16204</v>
          </cell>
          <cell r="G11">
            <v>0</v>
          </cell>
          <cell r="H11">
            <v>0</v>
          </cell>
          <cell r="I11">
            <v>0</v>
          </cell>
          <cell r="J11">
            <v>3126</v>
          </cell>
          <cell r="K11">
            <v>92</v>
          </cell>
          <cell r="L11">
            <v>20</v>
          </cell>
          <cell r="M11">
            <v>1</v>
          </cell>
        </row>
        <row r="13">
          <cell r="A13" t="str">
            <v>TOTAL INTANGIBLE PLANT</v>
          </cell>
          <cell r="C13">
            <v>162009</v>
          </cell>
          <cell r="D13">
            <v>0</v>
          </cell>
          <cell r="E13">
            <v>162009</v>
          </cell>
          <cell r="F13">
            <v>16204</v>
          </cell>
          <cell r="G13">
            <v>0</v>
          </cell>
          <cell r="H13">
            <v>0</v>
          </cell>
          <cell r="I13">
            <v>0</v>
          </cell>
          <cell r="J13">
            <v>140702</v>
          </cell>
          <cell r="K13">
            <v>4141</v>
          </cell>
          <cell r="L13">
            <v>918</v>
          </cell>
          <cell r="M13">
            <v>44</v>
          </cell>
        </row>
        <row r="15">
          <cell r="A15" t="str">
            <v>PRODUCTION PLANT</v>
          </cell>
        </row>
        <row r="16">
          <cell r="A16" t="str">
            <v xml:space="preserve">   NUCLEAR (1)</v>
          </cell>
          <cell r="C16">
            <v>2880154981</v>
          </cell>
          <cell r="D16">
            <v>0</v>
          </cell>
          <cell r="E16">
            <v>2880154981</v>
          </cell>
          <cell r="F16">
            <v>0</v>
          </cell>
          <cell r="G16">
            <v>2511495143</v>
          </cell>
          <cell r="H16">
            <v>219467810</v>
          </cell>
          <cell r="I16">
            <v>149192028</v>
          </cell>
          <cell r="J16">
            <v>0</v>
          </cell>
          <cell r="K16">
            <v>0</v>
          </cell>
          <cell r="L16">
            <v>0</v>
          </cell>
          <cell r="M16">
            <v>0</v>
          </cell>
        </row>
        <row r="17">
          <cell r="A17" t="str">
            <v xml:space="preserve">   CALLAWAY POST OPERATIONAL (2)</v>
          </cell>
          <cell r="C17">
            <v>116730946</v>
          </cell>
          <cell r="D17">
            <v>0</v>
          </cell>
          <cell r="E17">
            <v>116730946</v>
          </cell>
          <cell r="F17">
            <v>0</v>
          </cell>
          <cell r="G17">
            <v>110182340</v>
          </cell>
          <cell r="H17">
            <v>0</v>
          </cell>
          <cell r="I17">
            <v>6548606</v>
          </cell>
          <cell r="J17">
            <v>0</v>
          </cell>
          <cell r="K17">
            <v>0</v>
          </cell>
          <cell r="L17">
            <v>0</v>
          </cell>
          <cell r="M17">
            <v>0</v>
          </cell>
        </row>
        <row r="18">
          <cell r="A18" t="str">
            <v xml:space="preserve">   CALLAWAY DISALLOWANCES (3)</v>
          </cell>
          <cell r="C18">
            <v>-385592670</v>
          </cell>
          <cell r="D18">
            <v>0</v>
          </cell>
          <cell r="E18">
            <v>-385592670</v>
          </cell>
          <cell r="F18">
            <v>0</v>
          </cell>
          <cell r="G18">
            <v>-339358670</v>
          </cell>
          <cell r="H18">
            <v>-28005000</v>
          </cell>
          <cell r="I18">
            <v>-18229000</v>
          </cell>
          <cell r="J18">
            <v>0</v>
          </cell>
          <cell r="K18">
            <v>0</v>
          </cell>
          <cell r="L18">
            <v>0</v>
          </cell>
          <cell r="M18">
            <v>0</v>
          </cell>
        </row>
        <row r="19">
          <cell r="A19" t="str">
            <v xml:space="preserve">   STEAM</v>
          </cell>
          <cell r="C19">
            <v>1955733952</v>
          </cell>
          <cell r="D19">
            <v>0</v>
          </cell>
          <cell r="E19">
            <v>1955733952</v>
          </cell>
          <cell r="F19">
            <v>1955733952</v>
          </cell>
          <cell r="G19">
            <v>0</v>
          </cell>
          <cell r="H19">
            <v>0</v>
          </cell>
          <cell r="I19">
            <v>0</v>
          </cell>
          <cell r="J19">
            <v>0</v>
          </cell>
          <cell r="K19">
            <v>0</v>
          </cell>
          <cell r="L19">
            <v>0</v>
          </cell>
          <cell r="M19">
            <v>0</v>
          </cell>
        </row>
        <row r="20">
          <cell r="A20" t="str">
            <v xml:space="preserve">   HYDRAULIC</v>
          </cell>
          <cell r="C20">
            <v>145184090</v>
          </cell>
          <cell r="D20">
            <v>0</v>
          </cell>
          <cell r="E20">
            <v>145184090</v>
          </cell>
          <cell r="F20">
            <v>145184090</v>
          </cell>
          <cell r="G20">
            <v>0</v>
          </cell>
          <cell r="H20">
            <v>0</v>
          </cell>
          <cell r="I20">
            <v>0</v>
          </cell>
          <cell r="J20">
            <v>0</v>
          </cell>
          <cell r="K20">
            <v>0</v>
          </cell>
          <cell r="L20">
            <v>0</v>
          </cell>
          <cell r="M20">
            <v>0</v>
          </cell>
        </row>
        <row r="21">
          <cell r="A21" t="str">
            <v xml:space="preserve">   OTHER</v>
          </cell>
          <cell r="C21">
            <v>41163653</v>
          </cell>
          <cell r="D21">
            <v>0</v>
          </cell>
          <cell r="E21">
            <v>41163653</v>
          </cell>
          <cell r="F21">
            <v>41163653</v>
          </cell>
          <cell r="G21">
            <v>0</v>
          </cell>
          <cell r="H21">
            <v>0</v>
          </cell>
          <cell r="I21">
            <v>0</v>
          </cell>
          <cell r="J21">
            <v>0</v>
          </cell>
          <cell r="K21">
            <v>0</v>
          </cell>
          <cell r="L21">
            <v>0</v>
          </cell>
          <cell r="M21">
            <v>0</v>
          </cell>
        </row>
        <row r="22">
          <cell r="A22" t="str">
            <v xml:space="preserve">   TOTAL PRODUCTION PLANT</v>
          </cell>
          <cell r="C22">
            <v>4753374952</v>
          </cell>
          <cell r="D22">
            <v>0</v>
          </cell>
          <cell r="E22">
            <v>4753374952</v>
          </cell>
          <cell r="F22">
            <v>2142081695</v>
          </cell>
          <cell r="G22">
            <v>2282318813</v>
          </cell>
          <cell r="H22">
            <v>191462810</v>
          </cell>
          <cell r="I22">
            <v>137511634</v>
          </cell>
          <cell r="J22">
            <v>0</v>
          </cell>
          <cell r="K22">
            <v>0</v>
          </cell>
          <cell r="L22">
            <v>0</v>
          </cell>
          <cell r="M22">
            <v>0</v>
          </cell>
        </row>
        <row r="24">
          <cell r="A24" t="str">
            <v>TRANSMISSION PLANT</v>
          </cell>
          <cell r="C24">
            <v>431578884</v>
          </cell>
          <cell r="D24">
            <v>0</v>
          </cell>
          <cell r="E24">
            <v>431578884</v>
          </cell>
          <cell r="F24">
            <v>431578884</v>
          </cell>
          <cell r="G24">
            <v>0</v>
          </cell>
          <cell r="H24">
            <v>0</v>
          </cell>
          <cell r="I24">
            <v>0</v>
          </cell>
          <cell r="J24">
            <v>0</v>
          </cell>
          <cell r="K24">
            <v>0</v>
          </cell>
          <cell r="L24">
            <v>0</v>
          </cell>
          <cell r="M24">
            <v>0</v>
          </cell>
        </row>
        <row r="25">
          <cell r="A25" t="str">
            <v xml:space="preserve">   Transmission Plant - FUTURE USE PLANT</v>
          </cell>
          <cell r="C25">
            <v>1219466</v>
          </cell>
          <cell r="D25">
            <v>0</v>
          </cell>
          <cell r="E25">
            <v>1219466</v>
          </cell>
          <cell r="F25">
            <v>1219466</v>
          </cell>
          <cell r="G25">
            <v>0</v>
          </cell>
          <cell r="H25">
            <v>0</v>
          </cell>
          <cell r="I25">
            <v>0</v>
          </cell>
          <cell r="J25">
            <v>0</v>
          </cell>
          <cell r="K25">
            <v>0</v>
          </cell>
          <cell r="L25">
            <v>0</v>
          </cell>
          <cell r="M25">
            <v>0</v>
          </cell>
        </row>
        <row r="26">
          <cell r="A26" t="str">
            <v xml:space="preserve">   TOTAL TRANSMISSION PLANT</v>
          </cell>
          <cell r="C26">
            <v>432798350</v>
          </cell>
          <cell r="D26">
            <v>0</v>
          </cell>
          <cell r="E26">
            <v>432798350</v>
          </cell>
          <cell r="F26">
            <v>432798350</v>
          </cell>
          <cell r="G26">
            <v>0</v>
          </cell>
          <cell r="H26">
            <v>0</v>
          </cell>
          <cell r="I26">
            <v>0</v>
          </cell>
          <cell r="J26">
            <v>0</v>
          </cell>
          <cell r="K26">
            <v>0</v>
          </cell>
          <cell r="L26">
            <v>0</v>
          </cell>
          <cell r="M26">
            <v>0</v>
          </cell>
        </row>
        <row r="28">
          <cell r="A28" t="str">
            <v>DISTRIBUTION PLANT</v>
          </cell>
        </row>
        <row r="29">
          <cell r="A29" t="str">
            <v xml:space="preserve">   MISSOURI</v>
          </cell>
          <cell r="C29">
            <v>2574684485</v>
          </cell>
          <cell r="D29">
            <v>0</v>
          </cell>
          <cell r="E29">
            <v>2574684485</v>
          </cell>
          <cell r="F29">
            <v>0</v>
          </cell>
          <cell r="G29">
            <v>2558313059</v>
          </cell>
          <cell r="H29">
            <v>0</v>
          </cell>
          <cell r="I29">
            <v>16371426</v>
          </cell>
          <cell r="J29">
            <v>0</v>
          </cell>
          <cell r="K29">
            <v>0</v>
          </cell>
          <cell r="L29">
            <v>0</v>
          </cell>
          <cell r="M29">
            <v>0</v>
          </cell>
        </row>
        <row r="30">
          <cell r="A30" t="str">
            <v xml:space="preserve">   Missouri - FUTURE USE PLANT</v>
          </cell>
          <cell r="C30">
            <v>2176771</v>
          </cell>
          <cell r="D30">
            <v>0</v>
          </cell>
          <cell r="E30">
            <v>2176771</v>
          </cell>
          <cell r="F30">
            <v>0</v>
          </cell>
          <cell r="G30">
            <v>2176771</v>
          </cell>
          <cell r="H30">
            <v>0</v>
          </cell>
          <cell r="I30">
            <v>0</v>
          </cell>
          <cell r="J30">
            <v>0</v>
          </cell>
          <cell r="K30">
            <v>0</v>
          </cell>
          <cell r="L30">
            <v>0</v>
          </cell>
          <cell r="M30">
            <v>0</v>
          </cell>
        </row>
        <row r="31">
          <cell r="A31" t="str">
            <v xml:space="preserve">   ILLINOIS (4)</v>
          </cell>
          <cell r="C31">
            <v>138148255</v>
          </cell>
          <cell r="D31">
            <v>16832691</v>
          </cell>
          <cell r="E31">
            <v>154980946</v>
          </cell>
          <cell r="F31">
            <v>0</v>
          </cell>
          <cell r="G31">
            <v>0</v>
          </cell>
          <cell r="H31">
            <v>154980946</v>
          </cell>
          <cell r="I31">
            <v>0</v>
          </cell>
          <cell r="J31">
            <v>0</v>
          </cell>
          <cell r="K31">
            <v>0</v>
          </cell>
          <cell r="L31">
            <v>0</v>
          </cell>
          <cell r="M31">
            <v>0</v>
          </cell>
        </row>
        <row r="32">
          <cell r="A32" t="str">
            <v xml:space="preserve">   IOWA</v>
          </cell>
          <cell r="C32">
            <v>0</v>
          </cell>
          <cell r="D32">
            <v>0</v>
          </cell>
          <cell r="E32">
            <v>0</v>
          </cell>
          <cell r="F32">
            <v>0</v>
          </cell>
          <cell r="G32">
            <v>0</v>
          </cell>
          <cell r="H32">
            <v>0</v>
          </cell>
          <cell r="I32">
            <v>0</v>
          </cell>
          <cell r="J32">
            <v>0</v>
          </cell>
          <cell r="K32">
            <v>0</v>
          </cell>
          <cell r="L32">
            <v>0</v>
          </cell>
          <cell r="M32">
            <v>0</v>
          </cell>
        </row>
        <row r="33">
          <cell r="A33" t="str">
            <v xml:space="preserve">   TOTAL DISTRIBUTION PLANT</v>
          </cell>
          <cell r="C33">
            <v>2715009511</v>
          </cell>
          <cell r="D33">
            <v>16832691</v>
          </cell>
          <cell r="E33">
            <v>2731842202</v>
          </cell>
          <cell r="F33">
            <v>0</v>
          </cell>
          <cell r="G33">
            <v>2560489830</v>
          </cell>
          <cell r="H33">
            <v>154980946</v>
          </cell>
          <cell r="I33">
            <v>16371426</v>
          </cell>
          <cell r="J33">
            <v>0</v>
          </cell>
          <cell r="K33">
            <v>0</v>
          </cell>
          <cell r="L33">
            <v>0</v>
          </cell>
          <cell r="M33">
            <v>0</v>
          </cell>
        </row>
        <row r="35">
          <cell r="A35" t="str">
            <v>GENERAL PLANT</v>
          </cell>
        </row>
        <row r="36">
          <cell r="A36" t="str">
            <v xml:space="preserve">   MISSOURI</v>
          </cell>
          <cell r="C36">
            <v>418505937</v>
          </cell>
          <cell r="D36">
            <v>0</v>
          </cell>
          <cell r="E36">
            <v>418505937</v>
          </cell>
          <cell r="F36">
            <v>0</v>
          </cell>
          <cell r="G36">
            <v>0</v>
          </cell>
          <cell r="H36">
            <v>0</v>
          </cell>
          <cell r="I36">
            <v>0</v>
          </cell>
          <cell r="J36">
            <v>412866725</v>
          </cell>
          <cell r="K36">
            <v>4638741</v>
          </cell>
          <cell r="L36">
            <v>950319</v>
          </cell>
          <cell r="M36">
            <v>50152</v>
          </cell>
        </row>
        <row r="37">
          <cell r="A37" t="str">
            <v xml:space="preserve">   ILLINOIS</v>
          </cell>
          <cell r="C37">
            <v>13264533</v>
          </cell>
          <cell r="D37">
            <v>0</v>
          </cell>
          <cell r="E37">
            <v>13264533</v>
          </cell>
          <cell r="F37">
            <v>0</v>
          </cell>
          <cell r="G37">
            <v>0</v>
          </cell>
          <cell r="H37">
            <v>0</v>
          </cell>
          <cell r="I37">
            <v>0</v>
          </cell>
          <cell r="J37">
            <v>12991753</v>
          </cell>
          <cell r="K37">
            <v>0</v>
          </cell>
          <cell r="L37">
            <v>272780</v>
          </cell>
          <cell r="M37">
            <v>0</v>
          </cell>
        </row>
        <row r="38">
          <cell r="A38" t="str">
            <v xml:space="preserve">   IOWA</v>
          </cell>
          <cell r="C38">
            <v>409705</v>
          </cell>
          <cell r="D38">
            <v>0</v>
          </cell>
          <cell r="E38">
            <v>409705</v>
          </cell>
          <cell r="F38">
            <v>0</v>
          </cell>
          <cell r="G38">
            <v>0</v>
          </cell>
          <cell r="H38">
            <v>0</v>
          </cell>
          <cell r="I38">
            <v>0</v>
          </cell>
          <cell r="J38">
            <v>409705</v>
          </cell>
          <cell r="K38">
            <v>0</v>
          </cell>
          <cell r="L38">
            <v>0</v>
          </cell>
          <cell r="M38">
            <v>0</v>
          </cell>
        </row>
        <row r="39">
          <cell r="A39" t="str">
            <v xml:space="preserve">   TOTAL GENERAL PLANT</v>
          </cell>
          <cell r="C39">
            <v>432180175</v>
          </cell>
          <cell r="D39">
            <v>0</v>
          </cell>
          <cell r="E39">
            <v>432180175</v>
          </cell>
          <cell r="F39">
            <v>0</v>
          </cell>
          <cell r="G39">
            <v>0</v>
          </cell>
          <cell r="H39">
            <v>0</v>
          </cell>
          <cell r="I39">
            <v>0</v>
          </cell>
          <cell r="J39">
            <v>426268183</v>
          </cell>
          <cell r="K39">
            <v>4638741</v>
          </cell>
          <cell r="L39">
            <v>1223099</v>
          </cell>
          <cell r="M39">
            <v>50152</v>
          </cell>
        </row>
        <row r="41">
          <cell r="A41" t="str">
            <v>FUTURE USE PLANT</v>
          </cell>
          <cell r="C41">
            <v>3396237</v>
          </cell>
          <cell r="D41">
            <v>0</v>
          </cell>
          <cell r="E41">
            <v>3396237</v>
          </cell>
          <cell r="F41">
            <v>1219466</v>
          </cell>
          <cell r="G41">
            <v>2176771</v>
          </cell>
          <cell r="H41">
            <v>0</v>
          </cell>
          <cell r="I41">
            <v>0</v>
          </cell>
          <cell r="J41">
            <v>0</v>
          </cell>
          <cell r="K41">
            <v>0</v>
          </cell>
          <cell r="L41">
            <v>0</v>
          </cell>
          <cell r="M41">
            <v>0</v>
          </cell>
        </row>
        <row r="42">
          <cell r="A42" t="str">
            <v>Less: Assigned Future Use Plant</v>
          </cell>
          <cell r="C42">
            <v>-3396237</v>
          </cell>
          <cell r="D42">
            <v>0</v>
          </cell>
          <cell r="E42">
            <v>-3396237</v>
          </cell>
          <cell r="F42">
            <v>-1219466</v>
          </cell>
          <cell r="G42">
            <v>-2176771</v>
          </cell>
          <cell r="H42">
            <v>0</v>
          </cell>
          <cell r="I42">
            <v>0</v>
          </cell>
          <cell r="J42">
            <v>0</v>
          </cell>
          <cell r="K42">
            <v>0</v>
          </cell>
          <cell r="L42">
            <v>0</v>
          </cell>
          <cell r="M42">
            <v>0</v>
          </cell>
        </row>
        <row r="44">
          <cell r="A44" t="str">
            <v>TOTAL PLANT IN SERVICE</v>
          </cell>
          <cell r="C44">
            <v>8333524997</v>
          </cell>
          <cell r="D44">
            <v>16832691</v>
          </cell>
          <cell r="E44">
            <v>8350357688</v>
          </cell>
          <cell r="F44">
            <v>2574896249</v>
          </cell>
          <cell r="G44">
            <v>4842808643</v>
          </cell>
          <cell r="H44">
            <v>346443756</v>
          </cell>
          <cell r="I44">
            <v>153883060</v>
          </cell>
          <cell r="J44">
            <v>426408885</v>
          </cell>
          <cell r="K44">
            <v>4642882</v>
          </cell>
          <cell r="L44">
            <v>1224017</v>
          </cell>
          <cell r="M44">
            <v>50196</v>
          </cell>
        </row>
        <row r="46">
          <cell r="A46" t="str">
            <v>ALLOCATION TO HEATING &amp; GAS</v>
          </cell>
          <cell r="C46">
            <v>-5917095</v>
          </cell>
          <cell r="D46">
            <v>0</v>
          </cell>
          <cell r="E46">
            <v>-5917095</v>
          </cell>
          <cell r="F46">
            <v>0</v>
          </cell>
          <cell r="G46">
            <v>0</v>
          </cell>
          <cell r="H46">
            <v>0</v>
          </cell>
          <cell r="I46">
            <v>0</v>
          </cell>
          <cell r="J46">
            <v>0</v>
          </cell>
          <cell r="K46">
            <v>-4642882</v>
          </cell>
          <cell r="L46">
            <v>-1224017</v>
          </cell>
          <cell r="M46">
            <v>-50196</v>
          </cell>
        </row>
        <row r="48">
          <cell r="A48" t="str">
            <v>TOTAL ELECTRIC PLANT IN SERVICE</v>
          </cell>
          <cell r="C48">
            <v>8327607902</v>
          </cell>
          <cell r="D48">
            <v>16832691</v>
          </cell>
          <cell r="E48">
            <v>8344440593</v>
          </cell>
          <cell r="F48">
            <v>2574896249</v>
          </cell>
          <cell r="G48">
            <v>4842808643</v>
          </cell>
          <cell r="H48">
            <v>346443756</v>
          </cell>
          <cell r="I48">
            <v>153883060</v>
          </cell>
          <cell r="J48">
            <v>426408885</v>
          </cell>
          <cell r="K48">
            <v>0</v>
          </cell>
          <cell r="L48">
            <v>0</v>
          </cell>
          <cell r="M48">
            <v>0</v>
          </cell>
        </row>
        <row r="51">
          <cell r="A51" t="str">
            <v>(1) Includes $385,592,670 of disallowances ordered by various jurisdictions. Allocated on fixed allocation factor.</v>
          </cell>
        </row>
        <row r="52">
          <cell r="A52" t="str">
            <v>(2) The Callaway Post Operational Costs applicable to Illinois jurisdiction were written off 12/97.  Allocated on fixed allocation factor, excluding Illinois.</v>
          </cell>
        </row>
        <row r="53">
          <cell r="A53" t="str">
            <v>(3) Directly assigned.</v>
          </cell>
        </row>
        <row r="54">
          <cell r="A54" t="str">
            <v>(4) Forecasted Distribution Plant additions, net {$ 10,349,691}; Software costs capitalized-Illinois Distribution for New Acctg. system {$177,000},  Delivery Services startup costs {$3,529,000}, and Phase II of new Cust Serv. system {$2,047,000} .</v>
          </cell>
        </row>
        <row r="55">
          <cell r="A55" t="str">
            <v xml:space="preserve">       Additional hardware for Delivery Services {$114,000}, Phase II of Cust. Serv. system {$616,000}.</v>
          </cell>
        </row>
        <row r="56">
          <cell r="C56" t="str">
            <v>BAL. AT</v>
          </cell>
          <cell r="F56" t="str">
            <v>AVG. BAL. AT</v>
          </cell>
        </row>
        <row r="57">
          <cell r="A57" t="str">
            <v>FUTURE USE PLANT:</v>
          </cell>
          <cell r="C57">
            <v>36068</v>
          </cell>
          <cell r="F57">
            <v>36068</v>
          </cell>
        </row>
        <row r="58">
          <cell r="A58" t="str">
            <v xml:space="preserve">     POWER POOL</v>
          </cell>
          <cell r="C58">
            <v>1219466</v>
          </cell>
          <cell r="F58">
            <v>1219466</v>
          </cell>
        </row>
        <row r="59">
          <cell r="A59" t="str">
            <v xml:space="preserve">     MO. DISTRIBUTION</v>
          </cell>
          <cell r="C59">
            <v>2176771</v>
          </cell>
          <cell r="F59">
            <v>2176771</v>
          </cell>
        </row>
        <row r="60">
          <cell r="A60" t="str">
            <v xml:space="preserve">     SYSTEM GENERAL</v>
          </cell>
          <cell r="C60">
            <v>0</v>
          </cell>
          <cell r="F60">
            <v>0</v>
          </cell>
        </row>
        <row r="62">
          <cell r="A62" t="str">
            <v xml:space="preserve">     TOTAL</v>
          </cell>
          <cell r="C62">
            <v>3396237</v>
          </cell>
          <cell r="F62">
            <v>3396237</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lon IT SFAs"/>
      <sheetName val="Sheet2"/>
      <sheetName val="Programs &amp; Projects"/>
      <sheetName val="Rates"/>
    </sheetNames>
    <sheetDataSet>
      <sheetData sheetId="0"/>
      <sheetData sheetId="1">
        <row r="1">
          <cell r="P1" t="str">
            <v>Process</v>
          </cell>
        </row>
        <row r="2">
          <cell r="P2" t="str">
            <v>Renewal</v>
          </cell>
        </row>
        <row r="3">
          <cell r="P3" t="str">
            <v>Innovate</v>
          </cell>
        </row>
        <row r="4">
          <cell r="P4" t="str">
            <v>Transform</v>
          </cell>
        </row>
      </sheetData>
      <sheetData sheetId="2"/>
      <sheetData sheetId="3"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lon IT SFAs"/>
      <sheetName val="Sheet2"/>
      <sheetName val="Programs &amp; Projects"/>
      <sheetName val="Instructions"/>
      <sheetName val="Examples"/>
    </sheetNames>
    <sheetDataSet>
      <sheetData sheetId="0"/>
      <sheetData sheetId="1">
        <row r="1">
          <cell r="O1" t="str">
            <v>Clewett</v>
          </cell>
        </row>
        <row r="2">
          <cell r="O2" t="str">
            <v>Hill</v>
          </cell>
        </row>
        <row r="3">
          <cell r="O3" t="str">
            <v>Lasky</v>
          </cell>
        </row>
        <row r="4">
          <cell r="O4" t="str">
            <v>Peery</v>
          </cell>
        </row>
        <row r="5">
          <cell r="O5" t="str">
            <v>Walters</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BA183"/>
  <sheetViews>
    <sheetView tabSelected="1" zoomScaleNormal="100" zoomScaleSheetLayoutView="80" workbookViewId="0">
      <pane xSplit="2" ySplit="4" topLeftCell="AK5" activePane="bottomRight" state="frozen"/>
      <selection pane="topRight"/>
      <selection pane="bottomLeft"/>
      <selection pane="bottomRight" activeCell="BA15" sqref="BA15"/>
    </sheetView>
  </sheetViews>
  <sheetFormatPr defaultColWidth="9.1796875" defaultRowHeight="14.5" zeroHeight="1" outlineLevelRow="1" x14ac:dyDescent="0.35"/>
  <cols>
    <col min="1" max="1" width="3.1796875" style="1" customWidth="1"/>
    <col min="2" max="2" width="50" style="40" customWidth="1"/>
    <col min="3" max="5" width="11.1796875" style="40" bestFit="1" customWidth="1"/>
    <col min="6" max="8" width="12.7265625" style="40" bestFit="1" customWidth="1"/>
    <col min="9" max="13" width="13.54296875" style="40" bestFit="1" customWidth="1"/>
    <col min="14" max="14" width="13.54296875" style="40" bestFit="1" customWidth="1" collapsed="1"/>
    <col min="15" max="15" width="13.81640625" style="40" bestFit="1" customWidth="1"/>
    <col min="16" max="22" width="13.54296875" style="40" bestFit="1" customWidth="1"/>
    <col min="23" max="23" width="14.26953125" style="40" bestFit="1" customWidth="1"/>
    <col min="24" max="25" width="13.54296875" style="40" bestFit="1" customWidth="1"/>
    <col min="26" max="26" width="13.54296875" style="40" bestFit="1" customWidth="1" collapsed="1"/>
    <col min="27" max="27" width="13.81640625" style="40" bestFit="1" customWidth="1"/>
    <col min="28" max="33" width="13.54296875" style="40" bestFit="1" customWidth="1"/>
    <col min="34" max="34" width="14.54296875" style="40" bestFit="1" customWidth="1"/>
    <col min="35" max="38" width="15.54296875" style="40" bestFit="1" customWidth="1"/>
    <col min="39" max="39" width="14.81640625" style="40" bestFit="1" customWidth="1"/>
    <col min="40" max="40" width="14.26953125" style="40" bestFit="1" customWidth="1"/>
    <col min="41" max="45" width="15.54296875" style="40" bestFit="1" customWidth="1"/>
    <col min="46" max="50" width="14.54296875" style="40" bestFit="1" customWidth="1"/>
    <col min="51" max="51" width="13.81640625" style="40" bestFit="1" customWidth="1"/>
    <col min="52" max="52" width="13.54296875" style="40" bestFit="1" customWidth="1"/>
    <col min="53" max="53" width="13.81640625" style="40" bestFit="1" customWidth="1"/>
    <col min="54" max="16384" width="9.1796875" style="40"/>
  </cols>
  <sheetData>
    <row r="1" spans="1:52" s="2" customFormat="1" ht="15.5" x14ac:dyDescent="0.35">
      <c r="A1" s="50" t="s">
        <v>80</v>
      </c>
      <c r="V1" s="143"/>
      <c r="AL1" s="143"/>
    </row>
    <row r="2" spans="1:52" ht="15.5" x14ac:dyDescent="0.35">
      <c r="A2" s="50" t="s">
        <v>7</v>
      </c>
      <c r="B2" s="36"/>
      <c r="C2" s="116"/>
      <c r="D2" s="55"/>
      <c r="E2" s="55"/>
      <c r="F2" s="176"/>
      <c r="G2" s="55"/>
      <c r="H2" s="55"/>
      <c r="I2" s="55"/>
      <c r="J2" s="55"/>
      <c r="K2" s="55"/>
      <c r="O2" s="43"/>
      <c r="R2" s="43"/>
      <c r="S2" s="43"/>
      <c r="U2" s="43"/>
      <c r="V2" s="43"/>
      <c r="W2" s="43"/>
      <c r="X2" s="43"/>
      <c r="AA2" s="43"/>
      <c r="AB2" s="43"/>
      <c r="AC2" s="43"/>
      <c r="AG2" s="43"/>
      <c r="AK2" s="267"/>
      <c r="AL2" s="43"/>
      <c r="AM2" s="43"/>
      <c r="AN2" s="43"/>
      <c r="AO2" s="43"/>
    </row>
    <row r="3" spans="1:52" x14ac:dyDescent="0.35">
      <c r="A3" s="101"/>
      <c r="F3" s="43"/>
      <c r="AE3" s="2"/>
      <c r="AF3" s="2"/>
      <c r="AG3" s="2"/>
      <c r="AH3" s="2"/>
      <c r="AI3" s="2"/>
      <c r="AJ3" s="2"/>
      <c r="AK3" s="2"/>
      <c r="AL3" s="2"/>
      <c r="AM3" s="2"/>
      <c r="AN3" s="2"/>
      <c r="AO3" s="2"/>
      <c r="AP3" s="2"/>
      <c r="AQ3" s="2"/>
      <c r="AR3" s="2"/>
      <c r="AS3" s="2"/>
      <c r="AT3" s="2"/>
      <c r="AU3" s="2"/>
      <c r="AV3" s="2"/>
      <c r="AW3" s="2"/>
      <c r="AX3" s="2"/>
      <c r="AY3" s="2"/>
      <c r="AZ3" s="2"/>
    </row>
    <row r="4" spans="1:52" x14ac:dyDescent="0.35">
      <c r="A4" s="6"/>
      <c r="C4" s="12">
        <v>43435</v>
      </c>
      <c r="D4" s="12">
        <v>43466</v>
      </c>
      <c r="E4" s="12">
        <v>43497</v>
      </c>
      <c r="F4" s="12">
        <v>43525</v>
      </c>
      <c r="G4" s="12">
        <v>43556</v>
      </c>
      <c r="H4" s="12">
        <v>43586</v>
      </c>
      <c r="I4" s="12">
        <v>43617</v>
      </c>
      <c r="J4" s="12">
        <v>43647</v>
      </c>
      <c r="K4" s="12">
        <v>43678</v>
      </c>
      <c r="L4" s="12">
        <v>43709</v>
      </c>
      <c r="M4" s="12">
        <v>43739</v>
      </c>
      <c r="N4" s="12">
        <v>43770</v>
      </c>
      <c r="O4" s="12">
        <v>43800</v>
      </c>
      <c r="P4" s="12">
        <v>43831</v>
      </c>
      <c r="Q4" s="12">
        <v>43862</v>
      </c>
      <c r="R4" s="12">
        <v>43891</v>
      </c>
      <c r="S4" s="12">
        <v>43922</v>
      </c>
      <c r="T4" s="12">
        <v>43952</v>
      </c>
      <c r="U4" s="12">
        <v>43983</v>
      </c>
      <c r="V4" s="12">
        <v>44013</v>
      </c>
      <c r="W4" s="12">
        <v>44044</v>
      </c>
      <c r="X4" s="12">
        <v>44075</v>
      </c>
      <c r="Y4" s="12">
        <v>44105</v>
      </c>
      <c r="Z4" s="12">
        <v>44136</v>
      </c>
      <c r="AA4" s="12">
        <v>44166</v>
      </c>
      <c r="AB4" s="12">
        <v>44197</v>
      </c>
      <c r="AC4" s="12">
        <v>44228</v>
      </c>
      <c r="AD4" s="12">
        <v>44256</v>
      </c>
      <c r="AE4" s="12">
        <v>44287</v>
      </c>
      <c r="AF4" s="12">
        <v>44317</v>
      </c>
      <c r="AG4" s="12">
        <v>44348</v>
      </c>
      <c r="AH4" s="12">
        <v>44378</v>
      </c>
      <c r="AI4" s="12">
        <v>44409</v>
      </c>
      <c r="AJ4" s="12">
        <v>44440</v>
      </c>
      <c r="AK4" s="12">
        <v>44470</v>
      </c>
      <c r="AL4" s="12">
        <v>44501</v>
      </c>
      <c r="AM4" s="12">
        <v>44531</v>
      </c>
      <c r="AN4" s="12">
        <v>44562</v>
      </c>
      <c r="AO4" s="12">
        <v>44593</v>
      </c>
      <c r="AP4" s="12">
        <v>44621</v>
      </c>
      <c r="AQ4" s="12">
        <v>44652</v>
      </c>
      <c r="AR4" s="12">
        <v>44682</v>
      </c>
      <c r="AS4" s="12">
        <v>44713</v>
      </c>
      <c r="AT4" s="12">
        <v>44743</v>
      </c>
      <c r="AU4" s="12">
        <v>44774</v>
      </c>
      <c r="AV4" s="12">
        <v>44805</v>
      </c>
      <c r="AW4" s="12">
        <v>44835</v>
      </c>
      <c r="AX4" s="12">
        <v>44866</v>
      </c>
      <c r="AY4" s="12">
        <v>44896</v>
      </c>
      <c r="AZ4" s="12">
        <v>44927</v>
      </c>
    </row>
    <row r="5" spans="1:52" s="2" customFormat="1" ht="15" customHeight="1" x14ac:dyDescent="0.35">
      <c r="A5" s="277" t="s">
        <v>0</v>
      </c>
      <c r="B5" s="7"/>
      <c r="C5" s="31"/>
      <c r="D5" s="31"/>
      <c r="E5" s="31"/>
      <c r="F5" s="31"/>
      <c r="G5" s="31"/>
      <c r="H5" s="31"/>
      <c r="I5" s="31"/>
      <c r="J5" s="31"/>
      <c r="K5" s="31"/>
      <c r="L5" s="31"/>
      <c r="M5" s="31"/>
      <c r="N5" s="31"/>
      <c r="O5" s="9"/>
      <c r="P5" s="31"/>
      <c r="Q5" s="31"/>
      <c r="R5" s="31"/>
      <c r="S5" s="31"/>
      <c r="T5" s="31"/>
      <c r="U5" s="31"/>
      <c r="V5" s="31"/>
      <c r="W5" s="31"/>
      <c r="X5" s="31"/>
      <c r="Y5" s="31"/>
      <c r="Z5" s="31"/>
      <c r="AA5" s="31"/>
      <c r="AB5" s="31"/>
      <c r="AC5" s="31"/>
      <c r="AD5" s="173">
        <f>'MEEIA 3 adjs'!BA2+'MEEIA 3 adjs'!BE12</f>
        <v>-21982.399999997611</v>
      </c>
      <c r="AE5" s="31"/>
      <c r="AF5" s="31"/>
      <c r="AG5" s="31"/>
      <c r="AH5" s="31"/>
      <c r="AI5" s="31"/>
      <c r="AJ5" s="31"/>
      <c r="AK5" s="31"/>
      <c r="AL5" s="239">
        <f>'MEEIA 3 adjs'!BH10+'MEEIA 3 adjs'!BJ10</f>
        <v>-60592.04</v>
      </c>
      <c r="AM5" s="31"/>
      <c r="AN5" s="31"/>
      <c r="AO5" s="242">
        <v>-696083.55703392881</v>
      </c>
      <c r="AP5" s="31"/>
      <c r="AQ5" s="31"/>
      <c r="AR5" s="31"/>
      <c r="AS5" s="31"/>
      <c r="AT5" s="31"/>
      <c r="AU5" s="31"/>
      <c r="AV5" s="31"/>
      <c r="AW5" s="31"/>
      <c r="AX5" s="31"/>
      <c r="AY5" s="31"/>
      <c r="AZ5" s="31"/>
    </row>
    <row r="6" spans="1:52" s="4" customFormat="1" ht="15" customHeight="1" x14ac:dyDescent="0.35">
      <c r="A6" s="277"/>
      <c r="B6" s="7" t="s">
        <v>9</v>
      </c>
      <c r="C6" s="23">
        <v>472906.7</v>
      </c>
      <c r="D6" s="23">
        <v>121950.46</v>
      </c>
      <c r="E6" s="23">
        <v>306057.09999999998</v>
      </c>
      <c r="F6" s="23">
        <v>3254515.75</v>
      </c>
      <c r="G6" s="23">
        <v>1441686.8700000006</v>
      </c>
      <c r="H6" s="23">
        <v>2646810.4000000004</v>
      </c>
      <c r="I6" s="23">
        <v>3090012.3199999994</v>
      </c>
      <c r="J6" s="23">
        <v>3806682.3899999997</v>
      </c>
      <c r="K6" s="23">
        <v>5667444.0099999998</v>
      </c>
      <c r="L6" s="24">
        <v>4665040.7600000016</v>
      </c>
      <c r="M6" s="24">
        <v>4693766.1500000032</v>
      </c>
      <c r="N6" s="23">
        <v>7981786.3300000001</v>
      </c>
      <c r="O6" s="24">
        <v>14289408.219999997</v>
      </c>
      <c r="P6" s="24">
        <v>2300282.3399999994</v>
      </c>
      <c r="Q6" s="23">
        <v>3266635.3100000005</v>
      </c>
      <c r="R6" s="23">
        <v>4668387.1399999997</v>
      </c>
      <c r="S6" s="23">
        <v>3355052.560000001</v>
      </c>
      <c r="T6" s="23">
        <v>3504036.8800000004</v>
      </c>
      <c r="U6" s="23">
        <v>4570550.08</v>
      </c>
      <c r="V6" s="23">
        <v>4337551.2399999993</v>
      </c>
      <c r="W6" s="23">
        <v>5132057.5999999996</v>
      </c>
      <c r="X6" s="23">
        <v>6881005.1299999999</v>
      </c>
      <c r="Y6" s="23">
        <v>5075926.8299999991</v>
      </c>
      <c r="Z6" s="23">
        <v>8226323.5899999999</v>
      </c>
      <c r="AA6" s="23">
        <v>17050986.669999998</v>
      </c>
      <c r="AB6" s="23">
        <v>3390691.4000000004</v>
      </c>
      <c r="AC6" s="23">
        <v>3040542.4899999993</v>
      </c>
      <c r="AD6" s="23">
        <v>6776151.4500000002</v>
      </c>
      <c r="AE6" s="192">
        <f>3593026.47+'PAYS interest calculation'!C15</f>
        <v>3593096.5983472401</v>
      </c>
      <c r="AF6" s="192">
        <f>3249647.22+'PAYS interest calculation'!D15</f>
        <v>3249816.752362628</v>
      </c>
      <c r="AG6" s="209">
        <f>6100963.25+'PAYS interest calculation'!E15</f>
        <v>6101138.4180074409</v>
      </c>
      <c r="AH6" s="209">
        <f>5073828.74+'PAYS interest calculation'!F15</f>
        <v>5074049.6564757768</v>
      </c>
      <c r="AI6" s="192">
        <f>6150373.04+'PAYS interest calculation'!G15</f>
        <v>6150752.0389186945</v>
      </c>
      <c r="AJ6" s="192">
        <f>4538294.08+'PAYS interest calculation'!H15</f>
        <v>4538886.177325543</v>
      </c>
      <c r="AK6" s="192">
        <f>5907219.36+'PAYS interest calculation'!I15</f>
        <v>5908069.5179605344</v>
      </c>
      <c r="AL6" s="192">
        <f>11096066.47+'PAYS interest calculation'!J15</f>
        <v>11097280.277224224</v>
      </c>
      <c r="AM6" s="192">
        <f>21855224.8+'PAYS interest calculation'!K15</f>
        <v>21856497.240487527</v>
      </c>
      <c r="AN6" s="192">
        <f>-1207424.55+'PAYS interest calculation'!L15</f>
        <v>-1206005.0706461675</v>
      </c>
      <c r="AO6" s="192">
        <f>3291300.03+'PAYS interest calculation'!M15</f>
        <v>3292003.067914797</v>
      </c>
      <c r="AP6" s="209">
        <f>3839817.3+'PAYS interest calculation'!N15+(-1*'PAYS interest calculation'!N7)</f>
        <v>3848947.3665742185</v>
      </c>
      <c r="AQ6" s="209">
        <f>4451070.5+'PAYS interest calculation'!O15</f>
        <v>4452149.213101591</v>
      </c>
      <c r="AR6" s="209">
        <f>3308454.75+'PAYS interest calculation'!P15</f>
        <v>3309739.301438381</v>
      </c>
      <c r="AS6" s="209">
        <f>6746528.94+'PAYS interest calculation'!Q15</f>
        <v>6747915.2307812814</v>
      </c>
      <c r="AT6" s="209">
        <f>3532913.25+'PAYS interest calculation'!R15</f>
        <v>3534427.1880222401</v>
      </c>
      <c r="AU6" s="209">
        <f>5675518.56+'PAYS interest calculation'!S15</f>
        <v>5677135.2112908112</v>
      </c>
      <c r="AV6" s="209">
        <f>6239208.9+'PAYS interest calculation'!T15</f>
        <v>6241030.1127156857</v>
      </c>
      <c r="AW6" s="209">
        <f>4202063.07+'PAYS interest calculation'!U15</f>
        <v>4203952.8957806081</v>
      </c>
      <c r="AX6" s="272">
        <f>SUM('[115]PCR (M3)'!AW15:AW18)</f>
        <v>9725464.5178327132</v>
      </c>
      <c r="AY6" s="272">
        <f>SUM('[115]PCR (M3)'!AX15:AX18)</f>
        <v>17105984.664153121</v>
      </c>
      <c r="AZ6" s="272">
        <f>SUM('[115]PCR (M3)'!AY15:AY18)</f>
        <v>3493374.4381509479</v>
      </c>
    </row>
    <row r="7" spans="1:52" s="4" customFormat="1" x14ac:dyDescent="0.35">
      <c r="A7" s="277"/>
      <c r="B7" s="7" t="s">
        <v>10</v>
      </c>
      <c r="C7" s="24">
        <v>0</v>
      </c>
      <c r="D7" s="24">
        <v>0</v>
      </c>
      <c r="E7" s="24">
        <v>0</v>
      </c>
      <c r="F7" s="24">
        <v>0</v>
      </c>
      <c r="G7" s="24">
        <v>0</v>
      </c>
      <c r="H7" s="24">
        <v>453008.63</v>
      </c>
      <c r="I7" s="24">
        <v>6131398.7699999996</v>
      </c>
      <c r="J7" s="24">
        <v>7440020.2300000004</v>
      </c>
      <c r="K7" s="24">
        <v>7787637.1200000001</v>
      </c>
      <c r="L7" s="23">
        <v>7415530.5499999998</v>
      </c>
      <c r="M7" s="24">
        <v>6393806.0300000003</v>
      </c>
      <c r="N7" s="24">
        <v>5729648.6699999999</v>
      </c>
      <c r="O7" s="23">
        <v>7016994.2000000002</v>
      </c>
      <c r="P7" s="24">
        <v>7580344.1500000004</v>
      </c>
      <c r="Q7" s="24">
        <v>6780583.4199999999</v>
      </c>
      <c r="R7" s="24">
        <v>5258818.8899999997</v>
      </c>
      <c r="S7" s="24">
        <v>4379338.6900000004</v>
      </c>
      <c r="T7" s="24">
        <v>4010923.17</v>
      </c>
      <c r="U7" s="24">
        <v>4897738.25</v>
      </c>
      <c r="V7" s="24">
        <v>6248757.4000000004</v>
      </c>
      <c r="W7" s="24">
        <v>6053644.0300000003</v>
      </c>
      <c r="X7" s="24">
        <v>5708518.8099999996</v>
      </c>
      <c r="Y7" s="24">
        <v>4362797.6900000004</v>
      </c>
      <c r="Z7" s="24">
        <v>4453895.6900000004</v>
      </c>
      <c r="AA7" s="24">
        <v>5320333.05</v>
      </c>
      <c r="AB7" s="24">
        <v>6316759.2699999996</v>
      </c>
      <c r="AC7" s="24">
        <v>7583892.4100000001</v>
      </c>
      <c r="AD7" s="24">
        <v>7418563.8899999997</v>
      </c>
      <c r="AE7" s="24">
        <v>5953301.3499999996</v>
      </c>
      <c r="AF7" s="24">
        <v>5846801.6900000004</v>
      </c>
      <c r="AG7" s="24">
        <v>6866409.0999999996</v>
      </c>
      <c r="AH7" s="24">
        <v>8666483.5800000001</v>
      </c>
      <c r="AI7" s="24">
        <v>8626819.1899999995</v>
      </c>
      <c r="AJ7" s="24">
        <v>8648916.9199999999</v>
      </c>
      <c r="AK7" s="24">
        <v>6801979.5499999998</v>
      </c>
      <c r="AL7" s="24">
        <v>6087767.6399999997</v>
      </c>
      <c r="AM7" s="24">
        <v>7335343.4299999997</v>
      </c>
      <c r="AN7" s="24">
        <v>8532489.0299999993</v>
      </c>
      <c r="AO7" s="24">
        <v>8009630.25</v>
      </c>
      <c r="AP7" s="24">
        <v>5791599.6900000004</v>
      </c>
      <c r="AQ7" s="24">
        <v>4647344.92</v>
      </c>
      <c r="AR7" s="24">
        <v>4780045.8499999996</v>
      </c>
      <c r="AS7" s="24">
        <v>5750871.1299999999</v>
      </c>
      <c r="AT7" s="24">
        <v>7180666.5599999996</v>
      </c>
      <c r="AU7" s="24">
        <v>6958397.0999999996</v>
      </c>
      <c r="AV7" s="24">
        <v>6191523.1299999999</v>
      </c>
      <c r="AW7" s="24">
        <v>4873657.1900000004</v>
      </c>
      <c r="AX7" s="127">
        <f>SUM('[115]PCR (M3)'!AW35:AW39)</f>
        <v>4688452.2579990318</v>
      </c>
      <c r="AY7" s="127">
        <f>SUM('[115]PCR (M3)'!AX35:AX39)</f>
        <v>5910753.6063412614</v>
      </c>
      <c r="AZ7" s="127">
        <f>SUM('[115]PCR (M3)'!AY35:AY39)</f>
        <v>6929874.8793754708</v>
      </c>
    </row>
    <row r="8" spans="1:52" s="4" customFormat="1" x14ac:dyDescent="0.35">
      <c r="A8" s="277"/>
      <c r="B8" s="7" t="s">
        <v>11</v>
      </c>
      <c r="C8" s="9">
        <f t="shared" ref="C8" si="0">IF(OR(C6="",C7=""),"",C6-C7)</f>
        <v>472906.7</v>
      </c>
      <c r="D8" s="9">
        <f t="shared" ref="D8:AE8" si="1">IF(OR(D6="",D7=""),"",D6-D7)</f>
        <v>121950.46</v>
      </c>
      <c r="E8" s="9">
        <f t="shared" si="1"/>
        <v>306057.09999999998</v>
      </c>
      <c r="F8" s="9">
        <f t="shared" si="1"/>
        <v>3254515.75</v>
      </c>
      <c r="G8" s="9">
        <f t="shared" si="1"/>
        <v>1441686.8700000006</v>
      </c>
      <c r="H8" s="9">
        <f>IF(OR(H6="",H7=""),"",H6-H7)</f>
        <v>2193801.7700000005</v>
      </c>
      <c r="I8" s="10">
        <f t="shared" si="1"/>
        <v>-3041386.45</v>
      </c>
      <c r="J8" s="10">
        <f t="shared" si="1"/>
        <v>-3633337.8400000008</v>
      </c>
      <c r="K8" s="10">
        <f t="shared" si="1"/>
        <v>-2120193.1100000003</v>
      </c>
      <c r="L8" s="10">
        <f t="shared" si="1"/>
        <v>-2750489.7899999982</v>
      </c>
      <c r="M8" s="10">
        <f t="shared" si="1"/>
        <v>-1700039.8799999971</v>
      </c>
      <c r="N8" s="10">
        <f t="shared" si="1"/>
        <v>2252137.66</v>
      </c>
      <c r="O8" s="10">
        <f>IF(OR(O6="",O7=""),"",O6-O7)</f>
        <v>7272414.0199999968</v>
      </c>
      <c r="P8" s="10">
        <f t="shared" si="1"/>
        <v>-5280061.8100000005</v>
      </c>
      <c r="Q8" s="10">
        <f t="shared" si="1"/>
        <v>-3513948.1099999994</v>
      </c>
      <c r="R8" s="10">
        <f t="shared" si="1"/>
        <v>-590431.75</v>
      </c>
      <c r="S8" s="10">
        <f t="shared" si="1"/>
        <v>-1024286.1299999994</v>
      </c>
      <c r="T8" s="10">
        <f>IF(OR(T6="",T7=""),"",T6-T7)</f>
        <v>-506886.28999999957</v>
      </c>
      <c r="U8" s="10">
        <f t="shared" si="1"/>
        <v>-327188.16999999993</v>
      </c>
      <c r="V8" s="10">
        <f t="shared" si="1"/>
        <v>-1911206.1600000011</v>
      </c>
      <c r="W8" s="10">
        <f>IF(OR(W6="",W7=""),"",W6-W7)</f>
        <v>-921586.43000000063</v>
      </c>
      <c r="X8" s="10">
        <f>IF(OR(X6="",X7=""),"",X6-X7)</f>
        <v>1172486.3200000003</v>
      </c>
      <c r="Y8" s="10">
        <f t="shared" si="1"/>
        <v>713129.13999999873</v>
      </c>
      <c r="Z8" s="10">
        <f t="shared" si="1"/>
        <v>3772427.8999999994</v>
      </c>
      <c r="AA8" s="10">
        <f t="shared" si="1"/>
        <v>11730653.619999997</v>
      </c>
      <c r="AB8" s="10">
        <f t="shared" si="1"/>
        <v>-2926067.8699999992</v>
      </c>
      <c r="AC8" s="10">
        <f t="shared" si="1"/>
        <v>-4543349.9200000009</v>
      </c>
      <c r="AD8" s="10">
        <f>IF(OR(AD6="",AD7=""),"",AD6-AD7)</f>
        <v>-642412.43999999948</v>
      </c>
      <c r="AE8" s="10">
        <f t="shared" si="1"/>
        <v>-2360204.7516527595</v>
      </c>
      <c r="AF8" s="10">
        <f t="shared" ref="AF8" si="2">IF(OR(AF6="",AF7=""),"",AF6-AF7)</f>
        <v>-2596984.9376373724</v>
      </c>
      <c r="AG8" s="10">
        <f t="shared" ref="AG8:AW8" si="3">IF(OR(AG6="",AG7=""),"",AG6-AG7)</f>
        <v>-765270.68199255876</v>
      </c>
      <c r="AH8" s="10">
        <f t="shared" si="3"/>
        <v>-3592433.9235242233</v>
      </c>
      <c r="AI8" s="10">
        <f t="shared" si="3"/>
        <v>-2476067.151081305</v>
      </c>
      <c r="AJ8" s="10">
        <f t="shared" si="3"/>
        <v>-4110030.7426744569</v>
      </c>
      <c r="AK8" s="10">
        <f t="shared" si="3"/>
        <v>-893910.03203946538</v>
      </c>
      <c r="AL8" s="10">
        <f>IF(OR(AL6="",AL7=""),"",AL6-AL7)</f>
        <v>5009512.6372242244</v>
      </c>
      <c r="AM8" s="10">
        <f t="shared" si="3"/>
        <v>14521153.810487527</v>
      </c>
      <c r="AN8" s="10">
        <f t="shared" si="3"/>
        <v>-9738494.1006461661</v>
      </c>
      <c r="AO8" s="10">
        <f>IF(OR(AO6="",AO7=""),"",AO6-AO7)</f>
        <v>-4717627.182085203</v>
      </c>
      <c r="AP8" s="10">
        <f t="shared" si="3"/>
        <v>-1942652.3234257819</v>
      </c>
      <c r="AQ8" s="10">
        <f t="shared" si="3"/>
        <v>-195195.70689840894</v>
      </c>
      <c r="AR8" s="10">
        <f t="shared" si="3"/>
        <v>-1470306.5485616187</v>
      </c>
      <c r="AS8" s="10">
        <f t="shared" si="3"/>
        <v>997044.10078128148</v>
      </c>
      <c r="AT8" s="10">
        <f t="shared" si="3"/>
        <v>-3646239.3719777595</v>
      </c>
      <c r="AU8" s="10">
        <f t="shared" si="3"/>
        <v>-1281261.8887091884</v>
      </c>
      <c r="AV8" s="10">
        <f t="shared" si="3"/>
        <v>49506.982715685852</v>
      </c>
      <c r="AW8" s="10">
        <f t="shared" si="3"/>
        <v>-669704.29421939235</v>
      </c>
      <c r="AX8" s="10">
        <f t="shared" ref="AX8:AY8" si="4">IF(OR(AX6="",AX7=""),"",AX6-AX7)</f>
        <v>5037012.2598336814</v>
      </c>
      <c r="AY8" s="10">
        <f t="shared" si="4"/>
        <v>11195231.05781186</v>
      </c>
      <c r="AZ8" s="10">
        <f t="shared" ref="AZ8" si="5">IF(OR(AZ6="",AZ7=""),"",AZ6-AZ7)</f>
        <v>-3436500.4412245229</v>
      </c>
    </row>
    <row r="9" spans="1:52" s="4" customFormat="1" x14ac:dyDescent="0.35">
      <c r="A9" s="277"/>
      <c r="B9" s="7" t="s">
        <v>4</v>
      </c>
      <c r="C9" s="25">
        <v>0</v>
      </c>
      <c r="D9" s="25">
        <v>0</v>
      </c>
      <c r="E9" s="25">
        <v>0</v>
      </c>
      <c r="F9" s="25">
        <v>2.7878150000000001E-2</v>
      </c>
      <c r="G9" s="25">
        <v>2.6622739999999999E-2</v>
      </c>
      <c r="H9" s="25">
        <v>2.677361E-2</v>
      </c>
      <c r="I9" s="25">
        <v>2.6500570000000001E-2</v>
      </c>
      <c r="J9" s="25">
        <v>2.594869E-2</v>
      </c>
      <c r="K9" s="25">
        <v>2.3511899999999999E-2</v>
      </c>
      <c r="L9" s="25">
        <v>2.21687E-2</v>
      </c>
      <c r="M9" s="25">
        <v>2.113932E-2</v>
      </c>
      <c r="N9" s="25">
        <v>1.8159890000000001E-2</v>
      </c>
      <c r="O9" s="25">
        <v>1.9151990000000001E-2</v>
      </c>
      <c r="P9" s="25">
        <v>1.8890779999999999E-2</v>
      </c>
      <c r="Q9" s="25">
        <v>1.8035829999999999E-2</v>
      </c>
      <c r="R9" s="25">
        <v>1.888592E-2</v>
      </c>
      <c r="S9" s="25">
        <v>9.3845999999999999E-3</v>
      </c>
      <c r="T9" s="25">
        <v>1.2906700000000001E-3</v>
      </c>
      <c r="U9" s="25">
        <v>1.2563100000000001E-3</v>
      </c>
      <c r="V9" s="25">
        <v>1.9366299999999999E-3</v>
      </c>
      <c r="W9" s="25">
        <v>1.3658500000000001E-3</v>
      </c>
      <c r="X9" s="25">
        <v>1.23916E-3</v>
      </c>
      <c r="Y9" s="25">
        <v>2E-3</v>
      </c>
      <c r="Z9" s="25">
        <v>2.5244400000000002E-3</v>
      </c>
      <c r="AA9" s="25">
        <v>2.8469900000000002E-3</v>
      </c>
      <c r="AB9" s="25">
        <v>2.0613900000000002E-3</v>
      </c>
      <c r="AC9" s="25">
        <v>2.3221700000000001E-3</v>
      </c>
      <c r="AD9" s="25">
        <v>2.1367399999999998E-3</v>
      </c>
      <c r="AE9" s="25">
        <v>2.2512299999999999E-3</v>
      </c>
      <c r="AF9" s="25">
        <v>2.2427200000000001E-3</v>
      </c>
      <c r="AG9" s="25">
        <v>2.01659E-3</v>
      </c>
      <c r="AH9" s="25">
        <v>1.3954900000000001E-3</v>
      </c>
      <c r="AI9" s="25">
        <v>2.0509899999999999E-3</v>
      </c>
      <c r="AJ9" s="25">
        <v>1.9323299999999999E-3</v>
      </c>
      <c r="AK9" s="25">
        <v>1.5E-3</v>
      </c>
      <c r="AL9" s="25">
        <v>1.5320900000000001E-3</v>
      </c>
      <c r="AM9" s="25">
        <v>2.6046400000000001E-3</v>
      </c>
      <c r="AN9" s="25">
        <v>2.3444999999999998E-3</v>
      </c>
      <c r="AO9" s="25">
        <v>2.9584899999999998E-3</v>
      </c>
      <c r="AP9" s="25">
        <v>6.8829599999999996E-3</v>
      </c>
      <c r="AQ9" s="25">
        <v>6.0041599999999997E-3</v>
      </c>
      <c r="AR9" s="25">
        <v>9.4970499999999999E-3</v>
      </c>
      <c r="AS9" s="25">
        <v>1.4858659999999999E-2</v>
      </c>
      <c r="AT9" s="25">
        <v>2.0566899999999999E-2</v>
      </c>
      <c r="AU9" s="25">
        <v>2.564054E-2</v>
      </c>
      <c r="AV9" s="25">
        <v>2.8416960000000002E-2</v>
      </c>
      <c r="AW9" s="25">
        <v>3.4701200000000001E-2</v>
      </c>
      <c r="AX9" s="273">
        <v>3.4701200000000001E-2</v>
      </c>
      <c r="AY9" s="273">
        <v>3.4701200000000001E-2</v>
      </c>
      <c r="AZ9" s="273">
        <v>3.4701200000000001E-2</v>
      </c>
    </row>
    <row r="10" spans="1:52" s="4" customFormat="1" x14ac:dyDescent="0.35">
      <c r="A10" s="277"/>
      <c r="B10" s="7" t="s">
        <v>5</v>
      </c>
      <c r="C10" s="10">
        <f>IF(OR(C9="",C8=""),"",ROUND((C9*C8)/12,2))</f>
        <v>0</v>
      </c>
      <c r="D10" s="10">
        <f>IF(OR(D9="",D8="",C13=""),"",ROUND(((C13+D8)*D9)/12,2))</f>
        <v>0</v>
      </c>
      <c r="E10" s="10">
        <f t="shared" ref="E10:K10" si="6">IF(OR(E9="",E8="",D13=""),"",ROUND(((D13+E8)*E9)/12,2))</f>
        <v>0</v>
      </c>
      <c r="F10" s="10">
        <f t="shared" si="6"/>
        <v>9653.81</v>
      </c>
      <c r="G10" s="10">
        <f t="shared" si="6"/>
        <v>12438.97</v>
      </c>
      <c r="H10" s="10">
        <f t="shared" si="6"/>
        <v>17431.88</v>
      </c>
      <c r="I10" s="10">
        <f t="shared" si="6"/>
        <v>10576.06</v>
      </c>
      <c r="J10" s="10">
        <f t="shared" si="6"/>
        <v>2521.9899999999998</v>
      </c>
      <c r="K10" s="10">
        <f t="shared" si="6"/>
        <v>-1864.05</v>
      </c>
      <c r="L10" s="10">
        <f t="shared" ref="L10" si="7">IF(OR(L9="",L8="",K13=""),"",ROUND(((K13+L8)*L9)/12,2))</f>
        <v>-6842.24</v>
      </c>
      <c r="M10" s="10">
        <f t="shared" ref="M10" si="8">IF(OR(M9="",M8="",L13=""),"",ROUND(((L13+M8)*M9)/12,2))</f>
        <v>-9531.39</v>
      </c>
      <c r="N10" s="10">
        <f t="shared" ref="N10" si="9">IF(OR(N9="",N8="",M13=""),"",ROUND(((M13+N8)*N9)/12,2))</f>
        <v>-4794.22</v>
      </c>
      <c r="O10" s="10">
        <f t="shared" ref="O10" si="10">IF(OR(O9="",O8="",N13=""),"",ROUND(((N13+O8)*O9)/12,2))</f>
        <v>6542.98</v>
      </c>
      <c r="P10" s="10">
        <f t="shared" ref="P10" si="11">IF(OR(P9="",P8="",O13=""),"",ROUND(((O13+P8)*P9)/12,2))</f>
        <v>-1848</v>
      </c>
      <c r="Q10" s="10">
        <f t="shared" ref="Q10" si="12">IF(OR(Q9="",Q8="",P13=""),"",ROUND(((P13+Q8)*Q9)/12,2))</f>
        <v>-7048.55</v>
      </c>
      <c r="R10" s="10">
        <f t="shared" ref="R10" si="13">IF(OR(R9="",R8="",Q13=""),"",ROUND(((Q13+R8)*R9)/12,2))</f>
        <v>-8321.11</v>
      </c>
      <c r="S10" s="10">
        <f t="shared" ref="S10" si="14">IF(OR(S9="",S8="",R13=""),"",ROUND(((R13+S8)*S9)/12,2))</f>
        <v>-4942.3900000000003</v>
      </c>
      <c r="T10" s="10">
        <f t="shared" ref="T10" si="15">IF(OR(T9="",T8="",S13=""),"",ROUND(((S13+T8)*T9)/12,2))</f>
        <v>-734.78</v>
      </c>
      <c r="U10" s="10">
        <f t="shared" ref="U10" si="16">IF(OR(U9="",U8="",T13=""),"",ROUND(((T13+U8)*U9)/12,2))</f>
        <v>-749.55</v>
      </c>
      <c r="V10" s="10">
        <f t="shared" ref="V10" si="17">IF(OR(V9="",V8="",U13=""),"",ROUND(((U13+V8)*V9)/12,2))</f>
        <v>-1464.01</v>
      </c>
      <c r="W10" s="10">
        <f t="shared" ref="W10" si="18">IF(OR(W9="",W8="",V13=""),"",ROUND(((V13+W8)*W9)/12,2))</f>
        <v>-1137.5899999999999</v>
      </c>
      <c r="X10" s="10">
        <f t="shared" ref="X10" si="19">IF(OR(X9="",X8="",W13=""),"",ROUND(((W13+X8)*X9)/12,2))</f>
        <v>-911.11</v>
      </c>
      <c r="Y10" s="10">
        <f t="shared" ref="Y10" si="20">IF(OR(Y9="",Y8="",X13=""),"",ROUND(((X13+Y8)*Y9)/12,2))</f>
        <v>-1351.83</v>
      </c>
      <c r="Z10" s="10">
        <f t="shared" ref="Z10" si="21">IF(OR(Z9="",Z8="",Y13=""),"",ROUND(((Y13+Z8)*Z9)/12,2))</f>
        <v>-912.99</v>
      </c>
      <c r="AA10" s="10">
        <f>IF(OR(AA9="",AA8="",Z13=""),"",ROUND(((Z13+AA8)*AA9)/12,2))</f>
        <v>1753.23</v>
      </c>
      <c r="AB10" s="10">
        <f>IF(OR(AB9="",AB8="",AA13=""),"",ROUND(((AA13+AB8)*AB9)/12,2))</f>
        <v>767.1</v>
      </c>
      <c r="AC10" s="10">
        <f t="shared" ref="AC10" si="22">IF(OR(AC9="",AC8="",AB13=""),"",ROUND(((AB13+AC8)*AC9)/12,2))</f>
        <v>-14.91</v>
      </c>
      <c r="AD10" s="10">
        <f>IF(OR(AD9="",AD8="",AC13=""),"",ROUND(((AC13+AD8+AD5)*AD9)/12,2))+'MEEIA 3 adjs'!BE12</f>
        <v>-623.98999999999546</v>
      </c>
      <c r="AE10" s="10">
        <f>IF(OR(AE9="",AE8="",AD13=""),"",ROUND(((AD13+AE8)*AE9)/12,2))</f>
        <v>-581.91</v>
      </c>
      <c r="AF10" s="10">
        <f>IF(OR(AF9="",AF8="",AE13=""),"",ROUND(((AE13+AF8)*AF9)/12,2))</f>
        <v>-1065.17</v>
      </c>
      <c r="AG10" s="10">
        <f t="shared" ref="AG10:AZ10" si="23">IF(OR(AG9="",AG8="",AF13=""),"",ROUND(((AF13+AG8)*AG9)/12,2))</f>
        <v>-1086.56</v>
      </c>
      <c r="AH10" s="10">
        <f t="shared" si="23"/>
        <v>-1169.8</v>
      </c>
      <c r="AI10" s="10">
        <f t="shared" si="23"/>
        <v>-2142.6799999999998</v>
      </c>
      <c r="AJ10" s="10">
        <f t="shared" si="23"/>
        <v>-2680.89</v>
      </c>
      <c r="AK10" s="10">
        <f t="shared" si="23"/>
        <v>-2193.15</v>
      </c>
      <c r="AL10" s="10">
        <f>IF(OR(AL9="",AL8="",AK13=""),"",ROUND(((AK13+AL8+AL5)*AL9)/12,2))+'MEEIA 3 adjs'!BW20</f>
        <v>-1732.83</v>
      </c>
      <c r="AM10" s="10">
        <f>IF(OR(AM9="",AM8="",AL13=""),"",ROUND(((AL13+AM8)*AM9)/12,2))</f>
        <v>416.97</v>
      </c>
      <c r="AN10" s="10">
        <f t="shared" si="23"/>
        <v>-1527.25</v>
      </c>
      <c r="AO10" s="10">
        <f>IF(OR(AO9="",AO8="",AN13=""),"",ROUND(((AN13+AO5+AO8)*AO9)/12,2))</f>
        <v>-3262.3</v>
      </c>
      <c r="AP10" s="10">
        <f t="shared" si="23"/>
        <v>-8705.91</v>
      </c>
      <c r="AQ10" s="10">
        <f t="shared" si="23"/>
        <v>-7696.38</v>
      </c>
      <c r="AR10" s="10">
        <f t="shared" si="23"/>
        <v>-13343.43</v>
      </c>
      <c r="AS10" s="10">
        <f t="shared" si="23"/>
        <v>-19658.490000000002</v>
      </c>
      <c r="AT10" s="10">
        <f t="shared" si="23"/>
        <v>-33493.69</v>
      </c>
      <c r="AU10" s="10">
        <f t="shared" si="23"/>
        <v>-44565.49</v>
      </c>
      <c r="AV10" s="10">
        <f t="shared" si="23"/>
        <v>-49379.45</v>
      </c>
      <c r="AW10" s="10">
        <f t="shared" si="23"/>
        <v>-62378.84</v>
      </c>
      <c r="AX10" s="10">
        <f t="shared" si="23"/>
        <v>-47993.36</v>
      </c>
      <c r="AY10" s="10">
        <f t="shared" si="23"/>
        <v>-15758.15</v>
      </c>
      <c r="AZ10" s="10">
        <f t="shared" si="23"/>
        <v>-25741.279999999999</v>
      </c>
    </row>
    <row r="11" spans="1:52" s="4" customFormat="1" x14ac:dyDescent="0.35">
      <c r="A11" s="277"/>
      <c r="B11" s="8" t="s">
        <v>6</v>
      </c>
      <c r="C11" s="10">
        <f>C10</f>
        <v>0</v>
      </c>
      <c r="D11" s="10">
        <f>D10</f>
        <v>0</v>
      </c>
      <c r="E11" s="10">
        <f>IF(OR(D11="",E10=""),"",D11+E10)</f>
        <v>0</v>
      </c>
      <c r="F11" s="10">
        <f t="shared" ref="F11:AF11" si="24">IF(OR(E11="",F10=""),"",E11+F10)</f>
        <v>9653.81</v>
      </c>
      <c r="G11" s="10">
        <f t="shared" si="24"/>
        <v>22092.78</v>
      </c>
      <c r="H11" s="10">
        <f t="shared" si="24"/>
        <v>39524.660000000003</v>
      </c>
      <c r="I11" s="10">
        <f t="shared" si="24"/>
        <v>50100.72</v>
      </c>
      <c r="J11" s="10">
        <f t="shared" si="24"/>
        <v>52622.71</v>
      </c>
      <c r="K11" s="10">
        <f t="shared" si="24"/>
        <v>50758.659999999996</v>
      </c>
      <c r="L11" s="10">
        <f t="shared" si="24"/>
        <v>43916.42</v>
      </c>
      <c r="M11" s="10">
        <f t="shared" si="24"/>
        <v>34385.03</v>
      </c>
      <c r="N11" s="10">
        <f t="shared" si="24"/>
        <v>29590.809999999998</v>
      </c>
      <c r="O11" s="10">
        <f>IF(OR(N11="",O10=""),"",N11+O10)</f>
        <v>36133.789999999994</v>
      </c>
      <c r="P11" s="10">
        <f t="shared" si="24"/>
        <v>34285.789999999994</v>
      </c>
      <c r="Q11" s="10">
        <f t="shared" si="24"/>
        <v>27237.239999999994</v>
      </c>
      <c r="R11" s="10">
        <f t="shared" si="24"/>
        <v>18916.129999999994</v>
      </c>
      <c r="S11" s="10">
        <f t="shared" si="24"/>
        <v>13973.739999999994</v>
      </c>
      <c r="T11" s="10">
        <f>IF(OR(S11="",T10=""),"",S11+T10)</f>
        <v>13238.959999999994</v>
      </c>
      <c r="U11" s="10">
        <f t="shared" si="24"/>
        <v>12489.409999999994</v>
      </c>
      <c r="V11" s="10">
        <f t="shared" si="24"/>
        <v>11025.399999999994</v>
      </c>
      <c r="W11" s="10">
        <f t="shared" si="24"/>
        <v>9887.809999999994</v>
      </c>
      <c r="X11" s="10">
        <f>IF(OR(W11="",X10=""),"",W11+X10+X5)</f>
        <v>8976.6999999999935</v>
      </c>
      <c r="Y11" s="10">
        <f t="shared" si="24"/>
        <v>7624.8699999999935</v>
      </c>
      <c r="Z11" s="10">
        <f t="shared" si="24"/>
        <v>6711.8799999999937</v>
      </c>
      <c r="AA11" s="10">
        <f t="shared" si="24"/>
        <v>8465.1099999999933</v>
      </c>
      <c r="AB11" s="10">
        <f t="shared" si="24"/>
        <v>9232.2099999999937</v>
      </c>
      <c r="AC11" s="10">
        <f t="shared" si="24"/>
        <v>9217.2999999999938</v>
      </c>
      <c r="AD11" s="10">
        <f t="shared" si="24"/>
        <v>8593.3099999999977</v>
      </c>
      <c r="AE11" s="10">
        <f t="shared" si="24"/>
        <v>8011.3999999999978</v>
      </c>
      <c r="AF11" s="10">
        <f t="shared" si="24"/>
        <v>6946.2299999999977</v>
      </c>
      <c r="AG11" s="10">
        <f t="shared" ref="AG11" si="25">IF(OR(AF11="",AG10=""),"",AF11+AG10)</f>
        <v>5859.6699999999983</v>
      </c>
      <c r="AH11" s="10">
        <f t="shared" ref="AH11" si="26">IF(OR(AG11="",AH10=""),"",AG11+AH10)</f>
        <v>4689.8699999999981</v>
      </c>
      <c r="AI11" s="10">
        <f t="shared" ref="AI11" si="27">IF(OR(AH11="",AI10=""),"",AH11+AI10)</f>
        <v>2547.1899999999982</v>
      </c>
      <c r="AJ11" s="10">
        <f t="shared" ref="AJ11" si="28">IF(OR(AI11="",AJ10=""),"",AI11+AJ10)</f>
        <v>-133.70000000000164</v>
      </c>
      <c r="AK11" s="10">
        <f t="shared" ref="AK11" si="29">IF(OR(AJ11="",AK10=""),"",AJ11+AK10)</f>
        <v>-2326.8500000000017</v>
      </c>
      <c r="AL11" s="10">
        <f>IF(OR(AK11="",AL10=""),"",AK11+AL10)</f>
        <v>-4059.6800000000017</v>
      </c>
      <c r="AM11" s="10">
        <f t="shared" ref="AM11" si="30">IF(OR(AL11="",AM10=""),"",AL11+AM10)</f>
        <v>-3642.7100000000019</v>
      </c>
      <c r="AN11" s="10">
        <f t="shared" ref="AN11" si="31">IF(OR(AM11="",AN10=""),"",AM11+AN10)</f>
        <v>-5169.9600000000019</v>
      </c>
      <c r="AO11" s="10">
        <f>IF(OR(AN11="",AO10=""),"",AN11+AO10)</f>
        <v>-8432.260000000002</v>
      </c>
      <c r="AP11" s="10">
        <f t="shared" ref="AP11" si="32">IF(OR(AO11="",AP10=""),"",AO11+AP10)</f>
        <v>-17138.170000000002</v>
      </c>
      <c r="AQ11" s="10">
        <f t="shared" ref="AQ11" si="33">IF(OR(AP11="",AQ10=""),"",AP11+AQ10)</f>
        <v>-24834.550000000003</v>
      </c>
      <c r="AR11" s="10">
        <f t="shared" ref="AR11" si="34">IF(OR(AQ11="",AR10=""),"",AQ11+AR10)</f>
        <v>-38177.980000000003</v>
      </c>
      <c r="AS11" s="10">
        <f t="shared" ref="AS11" si="35">IF(OR(AR11="",AS10=""),"",AR11+AS10)</f>
        <v>-57836.47</v>
      </c>
      <c r="AT11" s="10">
        <f t="shared" ref="AT11" si="36">IF(OR(AS11="",AT10=""),"",AS11+AT10)</f>
        <v>-91330.16</v>
      </c>
      <c r="AU11" s="10">
        <f t="shared" ref="AU11" si="37">IF(OR(AT11="",AU10=""),"",AT11+AU10)</f>
        <v>-135895.65</v>
      </c>
      <c r="AV11" s="10">
        <f t="shared" ref="AV11" si="38">IF(OR(AU11="",AV10=""),"",AU11+AV10)</f>
        <v>-185275.09999999998</v>
      </c>
      <c r="AW11" s="10">
        <f t="shared" ref="AW11:AZ11" si="39">IF(OR(AV11="",AW10=""),"",AV11+AW10)</f>
        <v>-247653.93999999997</v>
      </c>
      <c r="AX11" s="10">
        <f t="shared" si="39"/>
        <v>-295647.3</v>
      </c>
      <c r="AY11" s="10">
        <f t="shared" si="39"/>
        <v>-311405.45</v>
      </c>
      <c r="AZ11" s="10">
        <f t="shared" si="39"/>
        <v>-337146.73</v>
      </c>
    </row>
    <row r="12" spans="1:52" s="4" customFormat="1" x14ac:dyDescent="0.35">
      <c r="A12" s="277"/>
      <c r="B12" s="7" t="s">
        <v>12</v>
      </c>
      <c r="C12" s="10">
        <f>IF(OR(C10="",C8=""),"",C8+C10)</f>
        <v>472906.7</v>
      </c>
      <c r="D12" s="10">
        <f>IF(OR(D10="",D8=""),"",D8+D10)</f>
        <v>121950.46</v>
      </c>
      <c r="E12" s="10">
        <f>IF(OR(E10="",E8=""),"",E8+E10)</f>
        <v>306057.09999999998</v>
      </c>
      <c r="F12" s="10">
        <f t="shared" ref="F12:H12" si="40">IF(OR(F10="",F8=""),"",F8+F10)</f>
        <v>3264169.56</v>
      </c>
      <c r="G12" s="10">
        <f>IF(OR(G10="",G8=""),"",G8+G10)</f>
        <v>1454125.8400000005</v>
      </c>
      <c r="H12" s="10">
        <f t="shared" si="40"/>
        <v>2211233.6500000004</v>
      </c>
      <c r="I12" s="10">
        <f>IF(OR(I10="",I8=""),"",I8+I10)</f>
        <v>-3030810.39</v>
      </c>
      <c r="J12" s="10">
        <f t="shared" ref="J12:M12" si="41">IF(OR(J10="",J8=""),"",J8+J10)</f>
        <v>-3630815.8500000006</v>
      </c>
      <c r="K12" s="10">
        <f>IF(OR(K10="",K8=""),"",K8+K10)</f>
        <v>-2122057.16</v>
      </c>
      <c r="L12" s="10">
        <f t="shared" si="41"/>
        <v>-2757332.0299999984</v>
      </c>
      <c r="M12" s="10">
        <f t="shared" si="41"/>
        <v>-1709571.269999997</v>
      </c>
      <c r="N12" s="10">
        <f>IF(OR(N10="",N8=""),"",N8+N10)</f>
        <v>2247343.44</v>
      </c>
      <c r="O12" s="10">
        <f>IF(OR(O10="",O8=""),"",O8+O10)</f>
        <v>7278956.9999999972</v>
      </c>
      <c r="P12" s="10">
        <f t="shared" ref="P12:X12" si="42">IF(OR(P10="",P8=""),"",P8+P10)</f>
        <v>-5281909.8100000005</v>
      </c>
      <c r="Q12" s="10">
        <f t="shared" si="42"/>
        <v>-3520996.6599999992</v>
      </c>
      <c r="R12" s="10">
        <f t="shared" si="42"/>
        <v>-598752.86</v>
      </c>
      <c r="S12" s="10">
        <f t="shared" si="42"/>
        <v>-1029228.5199999994</v>
      </c>
      <c r="T12" s="10">
        <f>IF(OR(T10="",T8=""),"",T8+T10)</f>
        <v>-507621.0699999996</v>
      </c>
      <c r="U12" s="10">
        <f t="shared" si="42"/>
        <v>-327937.71999999991</v>
      </c>
      <c r="V12" s="10">
        <f>IF(OR(V10="",V8=""),"",V8+V10)</f>
        <v>-1912670.1700000011</v>
      </c>
      <c r="W12" s="10">
        <f t="shared" si="42"/>
        <v>-922724.0200000006</v>
      </c>
      <c r="X12" s="10">
        <f t="shared" si="42"/>
        <v>1171575.2100000002</v>
      </c>
      <c r="Y12" s="10">
        <f>IF(OR(Y10="",Y8=""),"",Y8+Y10)</f>
        <v>711777.30999999878</v>
      </c>
      <c r="Z12" s="10">
        <f t="shared" ref="Z12:AE12" si="43">IF(OR(Z10="",Z8=""),"",Z8+Z10)</f>
        <v>3771514.9099999992</v>
      </c>
      <c r="AA12" s="10">
        <f t="shared" si="43"/>
        <v>11732406.849999998</v>
      </c>
      <c r="AB12" s="10">
        <f t="shared" si="43"/>
        <v>-2925300.7699999991</v>
      </c>
      <c r="AC12" s="10">
        <f t="shared" si="43"/>
        <v>-4543364.830000001</v>
      </c>
      <c r="AD12" s="10">
        <f>IF(OR(AD10="",AD8=""),"",AD8+AD10)+'MEEIA 3 adjs'!BA2</f>
        <v>-664526.86999999708</v>
      </c>
      <c r="AE12" s="10">
        <f t="shared" si="43"/>
        <v>-2360786.6616527596</v>
      </c>
      <c r="AF12" s="10">
        <f t="shared" ref="AF12" si="44">IF(OR(AF10="",AF8=""),"",AF8+AF10)</f>
        <v>-2598050.1076373723</v>
      </c>
      <c r="AG12" s="10">
        <f t="shared" ref="AG12:AW12" si="45">IF(OR(AG10="",AG8=""),"",AG8+AG10)</f>
        <v>-766357.24199255882</v>
      </c>
      <c r="AH12" s="10">
        <f t="shared" si="45"/>
        <v>-3593603.7235242231</v>
      </c>
      <c r="AI12" s="10">
        <f t="shared" si="45"/>
        <v>-2478209.8310813052</v>
      </c>
      <c r="AJ12" s="10">
        <f t="shared" si="45"/>
        <v>-4112711.632674457</v>
      </c>
      <c r="AK12" s="10">
        <f>IF(OR(AK10="",AK8=""),"",AK8+AK10)</f>
        <v>-896103.18203946541</v>
      </c>
      <c r="AL12" s="10">
        <f>IF(OR(AL10="",AL8=""),"",AL8+AL10)+'MEEIA 3 adjs'!BH10</f>
        <v>4947312.0972242244</v>
      </c>
      <c r="AM12" s="10">
        <f t="shared" si="45"/>
        <v>14521570.780487528</v>
      </c>
      <c r="AN12" s="10">
        <f>IF(OR(AN10="",AN8=""),"",AN8+AN10)</f>
        <v>-9740021.3506461661</v>
      </c>
      <c r="AO12" s="10">
        <f>IF(OR(AO10="",AO8=""),"",AO8+AO10)</f>
        <v>-4720889.4820852028</v>
      </c>
      <c r="AP12" s="10">
        <f t="shared" si="45"/>
        <v>-1951358.2334257818</v>
      </c>
      <c r="AQ12" s="10">
        <f t="shared" si="45"/>
        <v>-202892.08689840895</v>
      </c>
      <c r="AR12" s="10">
        <f t="shared" si="45"/>
        <v>-1483649.9785616186</v>
      </c>
      <c r="AS12" s="10">
        <f t="shared" si="45"/>
        <v>977385.61078128149</v>
      </c>
      <c r="AT12" s="10">
        <f t="shared" si="45"/>
        <v>-3679733.0619777595</v>
      </c>
      <c r="AU12" s="10">
        <f t="shared" si="45"/>
        <v>-1325827.3787091884</v>
      </c>
      <c r="AV12" s="10">
        <f t="shared" si="45"/>
        <v>127.53271568585478</v>
      </c>
      <c r="AW12" s="10">
        <f t="shared" si="45"/>
        <v>-732083.13421939232</v>
      </c>
      <c r="AX12" s="10">
        <f t="shared" ref="AX12:AY12" si="46">IF(OR(AX10="",AX8=""),"",AX8+AX10)</f>
        <v>4989018.8998336811</v>
      </c>
      <c r="AY12" s="10">
        <f t="shared" si="46"/>
        <v>11179472.90781186</v>
      </c>
      <c r="AZ12" s="10">
        <f t="shared" ref="AZ12" si="47">IF(OR(AZ10="",AZ8=""),"",AZ8+AZ10)</f>
        <v>-3462241.7212245227</v>
      </c>
    </row>
    <row r="13" spans="1:52" s="4" customFormat="1" x14ac:dyDescent="0.35">
      <c r="A13" s="277"/>
      <c r="B13" s="11" t="s">
        <v>3</v>
      </c>
      <c r="C13" s="110">
        <f>C12</f>
        <v>472906.7</v>
      </c>
      <c r="D13" s="110">
        <f>IF(OR(D12="",C13=""),"",D12+C13)</f>
        <v>594857.16</v>
      </c>
      <c r="E13" s="110">
        <f>IF(OR(E12="",D13=""),"",E12+D13)</f>
        <v>900914.26</v>
      </c>
      <c r="F13" s="10">
        <f>IF(OR(F12="",E13=""),"",F12+E13)</f>
        <v>4165083.8200000003</v>
      </c>
      <c r="G13" s="10">
        <f t="shared" ref="G13:AF13" si="48">IF(OR(G12="",F13=""),"",G12+F13)</f>
        <v>5619209.6600000011</v>
      </c>
      <c r="H13" s="10">
        <f t="shared" si="48"/>
        <v>7830443.3100000015</v>
      </c>
      <c r="I13" s="10">
        <f t="shared" si="48"/>
        <v>4799632.9200000018</v>
      </c>
      <c r="J13" s="10">
        <f t="shared" si="48"/>
        <v>1168817.0700000012</v>
      </c>
      <c r="K13" s="10">
        <f>IF(OR(K12="",J13=""),"",K12+J13)</f>
        <v>-953240.08999999892</v>
      </c>
      <c r="L13" s="10">
        <f t="shared" si="48"/>
        <v>-3710572.1199999973</v>
      </c>
      <c r="M13" s="10">
        <f t="shared" si="48"/>
        <v>-5420143.3899999941</v>
      </c>
      <c r="N13" s="10">
        <f>IF(OR(N12="",M13=""),"",N12+M13)</f>
        <v>-3172799.9499999941</v>
      </c>
      <c r="O13" s="10">
        <f>IF(OR(O12="",N13=""),"",O12+N13+O5)</f>
        <v>4106157.0500000031</v>
      </c>
      <c r="P13" s="10">
        <f t="shared" si="48"/>
        <v>-1175752.7599999974</v>
      </c>
      <c r="Q13" s="10">
        <f t="shared" si="48"/>
        <v>-4696749.4199999962</v>
      </c>
      <c r="R13" s="10">
        <f t="shared" si="48"/>
        <v>-5295502.2799999965</v>
      </c>
      <c r="S13" s="10">
        <f t="shared" si="48"/>
        <v>-6324730.7999999961</v>
      </c>
      <c r="T13" s="10">
        <f>IF(OR(T12="",S13=""),"",T12+S13)</f>
        <v>-6832351.8699999955</v>
      </c>
      <c r="U13" s="10">
        <f t="shared" si="48"/>
        <v>-7160289.5899999952</v>
      </c>
      <c r="V13" s="10">
        <f>IF(OR(V12="",U13=""),"",V12+U13)</f>
        <v>-9072959.7599999961</v>
      </c>
      <c r="W13" s="10">
        <f t="shared" si="48"/>
        <v>-9995683.7799999975</v>
      </c>
      <c r="X13" s="10">
        <f>IF(OR(X12="",W13=""),"",X12+W13+X5)</f>
        <v>-8824108.5699999966</v>
      </c>
      <c r="Y13" s="10">
        <f t="shared" si="48"/>
        <v>-8112331.2599999979</v>
      </c>
      <c r="Z13" s="10">
        <f t="shared" si="48"/>
        <v>-4340816.3499999987</v>
      </c>
      <c r="AA13" s="10">
        <f t="shared" si="48"/>
        <v>7391590.4999999991</v>
      </c>
      <c r="AB13" s="9">
        <f t="shared" si="48"/>
        <v>4466289.7300000004</v>
      </c>
      <c r="AC13" s="9">
        <f t="shared" si="48"/>
        <v>-77075.100000000559</v>
      </c>
      <c r="AD13" s="10">
        <f>IF(OR(AD12="",AC13=""),"",AD12+AC13)</f>
        <v>-741601.96999999764</v>
      </c>
      <c r="AE13" s="10">
        <f t="shared" si="48"/>
        <v>-3102388.6316527575</v>
      </c>
      <c r="AF13" s="10">
        <f t="shared" si="48"/>
        <v>-5700438.7392901294</v>
      </c>
      <c r="AG13" s="10">
        <f t="shared" ref="AG13" si="49">IF(OR(AG12="",AF13=""),"",AG12+AF13)</f>
        <v>-6466795.9812826887</v>
      </c>
      <c r="AH13" s="10">
        <f t="shared" ref="AH13" si="50">IF(OR(AH12="",AG13=""),"",AH12+AG13)</f>
        <v>-10060399.704806913</v>
      </c>
      <c r="AI13" s="10">
        <f t="shared" ref="AI13" si="51">IF(OR(AI12="",AH13=""),"",AI12+AH13)</f>
        <v>-12538609.535888217</v>
      </c>
      <c r="AJ13" s="10">
        <f t="shared" ref="AJ13" si="52">IF(OR(AJ12="",AI13=""),"",AJ12+AI13)</f>
        <v>-16651321.168562675</v>
      </c>
      <c r="AK13" s="10">
        <f t="shared" ref="AK13" si="53">IF(OR(AK12="",AJ13=""),"",AK12+AJ13)</f>
        <v>-17547424.350602139</v>
      </c>
      <c r="AL13" s="10">
        <f>IF(OR(AL12="",AK13=""),"",AL12+AK13)</f>
        <v>-12600112.253377914</v>
      </c>
      <c r="AM13" s="10">
        <f t="shared" ref="AM13" si="54">IF(OR(AM12="",AL13=""),"",AM12+AL13)</f>
        <v>1921458.5271096136</v>
      </c>
      <c r="AN13" s="10">
        <f t="shared" ref="AN13" si="55">IF(OR(AN12="",AM13=""),"",AN12+AM13)</f>
        <v>-7818562.8235365525</v>
      </c>
      <c r="AO13" s="10">
        <f>IF(OR(AO12="",AN13=""),"",AO12+AN13+AO5)</f>
        <v>-13235535.862655682</v>
      </c>
      <c r="AP13" s="10">
        <f t="shared" ref="AP13" si="56">IF(OR(AP12="",AO13=""),"",AP12+AO13)</f>
        <v>-15186894.096081464</v>
      </c>
      <c r="AQ13" s="10">
        <f t="shared" ref="AQ13" si="57">IF(OR(AQ12="",AP13=""),"",AQ12+AP13)</f>
        <v>-15389786.182979872</v>
      </c>
      <c r="AR13" s="10">
        <f t="shared" ref="AR13" si="58">IF(OR(AR12="",AQ13=""),"",AR12+AQ13)</f>
        <v>-16873436.161541492</v>
      </c>
      <c r="AS13" s="10">
        <f t="shared" ref="AS13" si="59">IF(OR(AS12="",AR13=""),"",AS12+AR13)</f>
        <v>-15896050.55076021</v>
      </c>
      <c r="AT13" s="10">
        <f t="shared" ref="AT13" si="60">IF(OR(AT12="",AS13=""),"",AT12+AS13)</f>
        <v>-19575783.612737969</v>
      </c>
      <c r="AU13" s="10">
        <f t="shared" ref="AU13" si="61">IF(OR(AU12="",AT13=""),"",AU12+AT13)</f>
        <v>-20901610.991447158</v>
      </c>
      <c r="AV13" s="10">
        <f t="shared" ref="AV13" si="62">IF(OR(AV12="",AU13=""),"",AV12+AU13)</f>
        <v>-20901483.458731472</v>
      </c>
      <c r="AW13" s="10">
        <f t="shared" ref="AW13:AZ13" si="63">IF(OR(AW12="",AV13=""),"",AW12+AV13)</f>
        <v>-21633566.592950866</v>
      </c>
      <c r="AX13" s="10">
        <f t="shared" si="63"/>
        <v>-16644547.693117185</v>
      </c>
      <c r="AY13" s="10">
        <f t="shared" si="63"/>
        <v>-5465074.7853053249</v>
      </c>
      <c r="AZ13" s="10">
        <f t="shared" si="63"/>
        <v>-8927316.5065298472</v>
      </c>
    </row>
    <row r="14" spans="1:52" s="5" customFormat="1" ht="8.25" customHeight="1" x14ac:dyDescent="0.35">
      <c r="A14" s="44"/>
      <c r="B14" s="13"/>
      <c r="C14" s="109"/>
      <c r="D14" s="109"/>
      <c r="E14" s="109"/>
      <c r="F14" s="107"/>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row>
    <row r="15" spans="1:52" s="5" customFormat="1" ht="15" customHeight="1" x14ac:dyDescent="0.35">
      <c r="A15" s="274" t="s">
        <v>25</v>
      </c>
      <c r="B15" s="17"/>
      <c r="C15" s="111"/>
      <c r="D15" s="111"/>
      <c r="E15" s="111"/>
      <c r="F15" s="9"/>
      <c r="G15" s="9"/>
      <c r="H15" s="9"/>
      <c r="I15" s="9"/>
      <c r="J15" s="9"/>
      <c r="K15" s="9"/>
      <c r="L15" s="9"/>
      <c r="M15" s="9"/>
      <c r="N15" s="127">
        <f>N26+N36+N46+N56+N66</f>
        <v>157.77999999999946</v>
      </c>
      <c r="O15" s="9"/>
      <c r="P15" s="9"/>
      <c r="Q15" s="9"/>
      <c r="R15" s="9"/>
      <c r="S15" s="9"/>
      <c r="T15" s="9"/>
      <c r="U15" s="9"/>
      <c r="V15" s="9"/>
      <c r="W15" s="9"/>
      <c r="X15" s="9"/>
      <c r="Y15" s="9"/>
      <c r="Z15" s="127">
        <f>Z26+Z36+Z46+Z56+Z66</f>
        <v>835.41999999999939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s="3" customFormat="1" ht="15" customHeight="1" x14ac:dyDescent="0.35">
      <c r="A16" s="274"/>
      <c r="B16" s="17" t="s">
        <v>28</v>
      </c>
      <c r="C16" s="105"/>
      <c r="D16" s="105"/>
      <c r="E16" s="105"/>
      <c r="F16" s="21">
        <f>IF(F67="","",SUM(F67,F57,F47,F37,F27))</f>
        <v>0.71203150918887492</v>
      </c>
      <c r="G16" s="21">
        <f t="shared" ref="F16:AE19" si="64">IF(G67="","",SUM(G67,G57,G47,G37,G27))</f>
        <v>4695.4207688607348</v>
      </c>
      <c r="H16" s="21">
        <f t="shared" si="64"/>
        <v>39935.570121927383</v>
      </c>
      <c r="I16" s="21">
        <f t="shared" si="64"/>
        <v>291676.37356246018</v>
      </c>
      <c r="J16" s="21">
        <f t="shared" si="64"/>
        <v>544866.33457860805</v>
      </c>
      <c r="K16" s="21">
        <f t="shared" si="64"/>
        <v>663040.94756639062</v>
      </c>
      <c r="L16" s="21">
        <f t="shared" si="64"/>
        <v>547744.67638274864</v>
      </c>
      <c r="M16" s="21">
        <f t="shared" si="64"/>
        <v>270067.89072131994</v>
      </c>
      <c r="N16" s="21">
        <f t="shared" si="64"/>
        <v>449448.83291898982</v>
      </c>
      <c r="O16" s="21">
        <f t="shared" si="64"/>
        <v>672384.11562352558</v>
      </c>
      <c r="P16" s="21">
        <f t="shared" si="64"/>
        <v>860299.05315340089</v>
      </c>
      <c r="Q16" s="21">
        <f t="shared" si="64"/>
        <v>921069.68539476907</v>
      </c>
      <c r="R16" s="21">
        <f t="shared" si="64"/>
        <v>727242.36549864151</v>
      </c>
      <c r="S16" s="21">
        <f t="shared" si="64"/>
        <v>330495.27100759087</v>
      </c>
      <c r="T16" s="21">
        <f t="shared" si="64"/>
        <v>448514.38010054693</v>
      </c>
      <c r="U16" s="21">
        <f t="shared" si="64"/>
        <v>1166466.8526526124</v>
      </c>
      <c r="V16" s="21">
        <f t="shared" si="64"/>
        <v>1596902.1714481553</v>
      </c>
      <c r="W16" s="21">
        <f>IF(W67="","",SUM(W67,W57,W47,W37,W27))</f>
        <v>1748272.4117888492</v>
      </c>
      <c r="X16" s="21">
        <f t="shared" si="64"/>
        <v>1519471.01623757</v>
      </c>
      <c r="Y16" s="21">
        <f t="shared" si="64"/>
        <v>764880.45368540613</v>
      </c>
      <c r="Z16" s="21">
        <f t="shared" ref="Z16:Z20" si="65">IF(Z67="","",SUM(Z67,Z57,Z47,Z37,Z27))</f>
        <v>908807.65228987066</v>
      </c>
      <c r="AA16" s="21">
        <f t="shared" si="64"/>
        <v>1120062.8565557792</v>
      </c>
      <c r="AB16" s="21">
        <f t="shared" si="64"/>
        <v>1377220.6643166305</v>
      </c>
      <c r="AC16" s="21">
        <f t="shared" si="64"/>
        <v>1195166.5723548159</v>
      </c>
      <c r="AD16" s="21">
        <f t="shared" si="64"/>
        <v>1300632.3993987506</v>
      </c>
      <c r="AE16" s="21">
        <f t="shared" si="64"/>
        <v>1205822.8207733985</v>
      </c>
      <c r="AF16" s="21">
        <f t="shared" ref="AF16" si="66">IF(AF67="","",SUM(AF67,AF57,AF47,AF37,AF27))</f>
        <v>1472551.2785682739</v>
      </c>
      <c r="AG16" s="21">
        <f t="shared" ref="AG16:AW16" si="67">IF(AG67="","",SUM(AG67,AG57,AG47,AG37,AG27))</f>
        <v>3602609.9103061222</v>
      </c>
      <c r="AH16" s="21">
        <f t="shared" si="67"/>
        <v>4524979.9029475963</v>
      </c>
      <c r="AI16" s="21">
        <f t="shared" si="67"/>
        <v>4557691.9623519126</v>
      </c>
      <c r="AJ16" s="21">
        <f t="shared" si="67"/>
        <v>3395133.6257571932</v>
      </c>
      <c r="AK16" s="21">
        <f t="shared" si="67"/>
        <v>1618999.5517252116</v>
      </c>
      <c r="AL16" s="21">
        <f t="shared" si="67"/>
        <v>1693340.1593012405</v>
      </c>
      <c r="AM16" s="21">
        <f t="shared" si="67"/>
        <v>2043834.5150522972</v>
      </c>
      <c r="AN16" s="21">
        <f t="shared" si="67"/>
        <v>2546894.0685010902</v>
      </c>
      <c r="AO16" s="21">
        <f t="shared" si="67"/>
        <v>2089616.4766016018</v>
      </c>
      <c r="AP16" s="21">
        <f t="shared" si="67"/>
        <v>912247.85076541686</v>
      </c>
      <c r="AQ16" s="21">
        <f t="shared" si="67"/>
        <v>846334.21711913729</v>
      </c>
      <c r="AR16" s="21">
        <f t="shared" si="67"/>
        <v>1066637.678205363</v>
      </c>
      <c r="AS16" s="21">
        <f>IF(AS67="","",SUM(AS67,AS57,AS47,AS37,AS27))</f>
        <v>2863352.6421243409</v>
      </c>
      <c r="AT16" s="21">
        <f t="shared" si="67"/>
        <v>3675557.5237109675</v>
      </c>
      <c r="AU16" s="21">
        <f t="shared" si="67"/>
        <v>3342039.9312423691</v>
      </c>
      <c r="AV16" s="21">
        <f t="shared" si="67"/>
        <v>2373846.5851787962</v>
      </c>
      <c r="AW16" s="21">
        <f t="shared" si="67"/>
        <v>1051178.3111241481</v>
      </c>
      <c r="AX16" s="21">
        <f t="shared" ref="AX16:AY16" si="68">IF(AX67="","",SUM(AX67,AX57,AX47,AX37,AX27))</f>
        <v>1119498.4024657719</v>
      </c>
      <c r="AY16" s="21">
        <f t="shared" si="68"/>
        <v>1475210.3244533557</v>
      </c>
      <c r="AZ16" s="21">
        <f t="shared" ref="AZ16" si="69">IF(AZ67="","",SUM(AZ67,AZ57,AZ47,AZ37,AZ27))</f>
        <v>1631822.4313082616</v>
      </c>
    </row>
    <row r="17" spans="1:53" s="5" customFormat="1" ht="15" customHeight="1" x14ac:dyDescent="0.35">
      <c r="A17" s="274"/>
      <c r="B17" s="18" t="s">
        <v>26</v>
      </c>
      <c r="C17" s="105"/>
      <c r="D17" s="105"/>
      <c r="E17" s="105"/>
      <c r="F17" s="21">
        <f t="shared" si="64"/>
        <v>0</v>
      </c>
      <c r="G17" s="21">
        <f t="shared" si="64"/>
        <v>0</v>
      </c>
      <c r="H17" s="21">
        <f t="shared" si="64"/>
        <v>42385.43</v>
      </c>
      <c r="I17" s="21">
        <f t="shared" si="64"/>
        <v>557603.83999999997</v>
      </c>
      <c r="J17" s="21">
        <f t="shared" si="64"/>
        <v>676036.05</v>
      </c>
      <c r="K17" s="21">
        <f t="shared" si="64"/>
        <v>706998.16999999993</v>
      </c>
      <c r="L17" s="21">
        <f t="shared" si="64"/>
        <v>670246.85</v>
      </c>
      <c r="M17" s="21">
        <f t="shared" si="64"/>
        <v>574404.17000000004</v>
      </c>
      <c r="N17" s="21">
        <f t="shared" si="64"/>
        <v>514881.99</v>
      </c>
      <c r="O17" s="21">
        <f t="shared" si="64"/>
        <v>639874.60000000009</v>
      </c>
      <c r="P17" s="21">
        <f t="shared" si="64"/>
        <v>693023.25</v>
      </c>
      <c r="Q17" s="21">
        <f t="shared" si="64"/>
        <v>705379.12999999989</v>
      </c>
      <c r="R17" s="21">
        <f t="shared" si="64"/>
        <v>656045.5</v>
      </c>
      <c r="S17" s="21">
        <f t="shared" si="64"/>
        <v>537519.55000000005</v>
      </c>
      <c r="T17" s="21">
        <f t="shared" si="64"/>
        <v>488973.88</v>
      </c>
      <c r="U17" s="21">
        <f t="shared" si="64"/>
        <v>614590.80000000005</v>
      </c>
      <c r="V17" s="21">
        <f t="shared" si="64"/>
        <v>791820.69</v>
      </c>
      <c r="W17" s="21">
        <f t="shared" si="64"/>
        <v>759797.67</v>
      </c>
      <c r="X17" s="21">
        <f t="shared" si="64"/>
        <v>707202.3</v>
      </c>
      <c r="Y17" s="21">
        <f t="shared" si="64"/>
        <v>523078.24999999994</v>
      </c>
      <c r="Z17" s="21">
        <f t="shared" si="65"/>
        <v>540041.11</v>
      </c>
      <c r="AA17" s="21">
        <f t="shared" si="64"/>
        <v>664038.72</v>
      </c>
      <c r="AB17" s="21">
        <f t="shared" si="64"/>
        <v>811016.92</v>
      </c>
      <c r="AC17" s="21">
        <f>IF(AC68="","",SUM(AC68,AC58,AC48,AC38,AC28))</f>
        <v>2076902.76</v>
      </c>
      <c r="AD17" s="21">
        <f t="shared" si="64"/>
        <v>2924297.21</v>
      </c>
      <c r="AE17" s="21">
        <f t="shared" si="64"/>
        <v>2229866.6</v>
      </c>
      <c r="AF17" s="21">
        <f t="shared" ref="AF17" si="70">IF(AF68="","",SUM(AF68,AF58,AF48,AF38,AF28))</f>
        <v>2168254.38</v>
      </c>
      <c r="AG17" s="21">
        <f t="shared" ref="AG17:AW17" si="71">IF(AG68="","",SUM(AG68,AG58,AG48,AG38,AG28))</f>
        <v>2621890.16</v>
      </c>
      <c r="AH17" s="21">
        <f t="shared" si="71"/>
        <v>3329515.52</v>
      </c>
      <c r="AI17" s="21">
        <f t="shared" si="71"/>
        <v>3339633.92</v>
      </c>
      <c r="AJ17" s="21">
        <f t="shared" si="71"/>
        <v>3328981</v>
      </c>
      <c r="AK17" s="21">
        <f t="shared" si="71"/>
        <v>2544745.08</v>
      </c>
      <c r="AL17" s="21">
        <f t="shared" si="71"/>
        <v>2313567.6800000002</v>
      </c>
      <c r="AM17" s="21">
        <f t="shared" si="71"/>
        <v>2791286.27</v>
      </c>
      <c r="AN17" s="21">
        <f t="shared" si="71"/>
        <v>3345196.33</v>
      </c>
      <c r="AO17" s="21">
        <f t="shared" si="71"/>
        <v>2693584.13</v>
      </c>
      <c r="AP17" s="21">
        <f t="shared" si="71"/>
        <v>1313029.4300000002</v>
      </c>
      <c r="AQ17" s="21">
        <f t="shared" si="71"/>
        <v>1059088.8899999999</v>
      </c>
      <c r="AR17" s="21">
        <f t="shared" si="71"/>
        <v>1067990.67</v>
      </c>
      <c r="AS17" s="21">
        <f t="shared" si="71"/>
        <v>1283730.6599999999</v>
      </c>
      <c r="AT17" s="21">
        <f t="shared" si="71"/>
        <v>1612267.41</v>
      </c>
      <c r="AU17" s="21">
        <f t="shared" si="71"/>
        <v>1561342.09</v>
      </c>
      <c r="AV17" s="21">
        <f t="shared" si="71"/>
        <v>1380925.98</v>
      </c>
      <c r="AW17" s="21">
        <f t="shared" si="71"/>
        <v>1082294.4100000001</v>
      </c>
      <c r="AX17" s="21">
        <f t="shared" ref="AX17:AY17" si="72">IF(AX68="","",SUM(AX68,AX58,AX48,AX38,AX28))</f>
        <v>1038318.0213648995</v>
      </c>
      <c r="AY17" s="21">
        <f t="shared" si="72"/>
        <v>1325242.4322548576</v>
      </c>
      <c r="AZ17" s="21">
        <f t="shared" ref="AZ17" si="73">IF(AZ68="","",SUM(AZ68,AZ58,AZ48,AZ38,AZ28))</f>
        <v>1563708.798637151</v>
      </c>
    </row>
    <row r="18" spans="1:53" s="5" customFormat="1" ht="15" customHeight="1" x14ac:dyDescent="0.35">
      <c r="A18" s="274"/>
      <c r="B18" s="18" t="s">
        <v>51</v>
      </c>
      <c r="C18" s="105"/>
      <c r="D18" s="105"/>
      <c r="E18" s="105"/>
      <c r="F18" s="21">
        <f t="shared" ref="F18:M18" si="74">IF(F69="","",SUM(F69,F59,F49,F39,F29))</f>
        <v>0</v>
      </c>
      <c r="G18" s="21">
        <f t="shared" si="74"/>
        <v>0</v>
      </c>
      <c r="H18" s="21">
        <f t="shared" si="74"/>
        <v>0</v>
      </c>
      <c r="I18" s="21">
        <f t="shared" si="74"/>
        <v>0</v>
      </c>
      <c r="J18" s="21">
        <f t="shared" si="74"/>
        <v>0</v>
      </c>
      <c r="K18" s="21">
        <f t="shared" si="74"/>
        <v>0</v>
      </c>
      <c r="L18" s="21">
        <f t="shared" si="74"/>
        <v>0</v>
      </c>
      <c r="M18" s="21">
        <f t="shared" si="74"/>
        <v>0</v>
      </c>
      <c r="N18" s="21">
        <f>IF(N69="","",SUM(N69,N59,N49,N39,N29))</f>
        <v>0</v>
      </c>
      <c r="O18" s="21">
        <f>IF(O69="","",SUM(O69,O59,O49,O39,O29))</f>
        <v>0</v>
      </c>
      <c r="P18" s="21">
        <f t="shared" si="64"/>
        <v>0</v>
      </c>
      <c r="Q18" s="21">
        <f t="shared" si="64"/>
        <v>196554.22</v>
      </c>
      <c r="R18" s="21">
        <f>IF(R69="","",SUM(R69,R59,R49,R39,R29))</f>
        <v>181274.15000000002</v>
      </c>
      <c r="S18" s="21">
        <f t="shared" si="64"/>
        <v>149642.01999999999</v>
      </c>
      <c r="T18" s="21">
        <f>IF(T69="","",SUM(T69,T59,T49,T39,T29))</f>
        <v>136362.22</v>
      </c>
      <c r="U18" s="21">
        <f t="shared" si="64"/>
        <v>171212.22</v>
      </c>
      <c r="V18" s="21">
        <f t="shared" si="64"/>
        <v>216757.82</v>
      </c>
      <c r="W18" s="21">
        <f t="shared" si="64"/>
        <v>209115.01</v>
      </c>
      <c r="X18" s="21">
        <f t="shared" si="64"/>
        <v>195955.65999999997</v>
      </c>
      <c r="Y18" s="21">
        <f t="shared" si="64"/>
        <v>147507.93</v>
      </c>
      <c r="Z18" s="21">
        <f t="shared" si="65"/>
        <v>151406.02000000002</v>
      </c>
      <c r="AA18" s="21">
        <f t="shared" si="64"/>
        <v>183380.12</v>
      </c>
      <c r="AB18" s="21">
        <f t="shared" si="64"/>
        <v>220797.02</v>
      </c>
      <c r="AC18" s="21">
        <f t="shared" si="64"/>
        <v>-269418.96999999997</v>
      </c>
      <c r="AD18" s="21">
        <f t="shared" si="64"/>
        <v>-372580.93</v>
      </c>
      <c r="AE18" s="21">
        <f t="shared" si="64"/>
        <v>-266557.01</v>
      </c>
      <c r="AF18" s="21">
        <f t="shared" ref="AF18" si="75">IF(AF69="","",SUM(AF69,AF59,AF49,AF39,AF29))</f>
        <v>-255479.12</v>
      </c>
      <c r="AG18" s="21">
        <f t="shared" ref="AG18:AW18" si="76">IF(AG69="","",SUM(AG69,AG59,AG49,AG39,AG29))</f>
        <v>-321252.77</v>
      </c>
      <c r="AH18" s="21">
        <f>IF(AH69="","",SUM(AH69,AH59,AH49,AH39,AH29))</f>
        <v>-412310.44999999995</v>
      </c>
      <c r="AI18" s="21">
        <f t="shared" si="76"/>
        <v>-417357.26</v>
      </c>
      <c r="AJ18" s="21">
        <f t="shared" si="76"/>
        <v>-413042.95</v>
      </c>
      <c r="AK18" s="21">
        <f t="shared" si="76"/>
        <v>-303496.26</v>
      </c>
      <c r="AL18" s="21">
        <f t="shared" si="76"/>
        <v>-281268.86</v>
      </c>
      <c r="AM18" s="21">
        <f t="shared" si="76"/>
        <v>-341119.99</v>
      </c>
      <c r="AN18" s="21">
        <f t="shared" si="76"/>
        <v>-424246.17</v>
      </c>
      <c r="AO18" s="21">
        <f t="shared" si="76"/>
        <v>-37488.600000000006</v>
      </c>
      <c r="AP18" s="21">
        <f t="shared" si="76"/>
        <v>-16454.500000000015</v>
      </c>
      <c r="AQ18" s="21">
        <f t="shared" si="76"/>
        <v>-60641.26999999999</v>
      </c>
      <c r="AR18" s="21">
        <f t="shared" si="76"/>
        <v>8124.2599999999948</v>
      </c>
      <c r="AS18" s="21">
        <f t="shared" si="76"/>
        <v>-761.50999999999476</v>
      </c>
      <c r="AT18" s="21">
        <f t="shared" si="76"/>
        <v>-28136.840000000011</v>
      </c>
      <c r="AU18" s="21">
        <f t="shared" si="76"/>
        <v>-22606.089999999997</v>
      </c>
      <c r="AV18" s="21">
        <f t="shared" si="76"/>
        <v>-3873.9199999999837</v>
      </c>
      <c r="AW18" s="21">
        <f t="shared" si="76"/>
        <v>12650.119999999995</v>
      </c>
      <c r="AX18" s="21">
        <f t="shared" ref="AX18:AY18" si="77">IF(AX69="","",SUM(AX69,AX59,AX49,AX39,AX29))</f>
        <v>10627.419999999998</v>
      </c>
      <c r="AY18" s="21">
        <f t="shared" si="77"/>
        <v>-15944.279999999984</v>
      </c>
      <c r="AZ18" s="21">
        <f t="shared" ref="AZ18" si="78">IF(AZ69="","",SUM(AZ69,AZ59,AZ49,AZ39,AZ29))</f>
        <v>-33512.109999999986</v>
      </c>
    </row>
    <row r="19" spans="1:53" s="5" customFormat="1" ht="15" customHeight="1" x14ac:dyDescent="0.35">
      <c r="A19" s="274"/>
      <c r="B19" s="18" t="s">
        <v>52</v>
      </c>
      <c r="C19" s="105"/>
      <c r="D19" s="105"/>
      <c r="E19" s="105"/>
      <c r="F19" s="21">
        <f t="shared" ref="F19:L19" si="79">IF(F70="","",SUM(F70,F60,F50,F40,F30))</f>
        <v>0</v>
      </c>
      <c r="G19" s="21">
        <f>IF(G70="","",SUM(G70,G60,G50,G40,G30))</f>
        <v>0</v>
      </c>
      <c r="H19" s="21">
        <f t="shared" si="79"/>
        <v>42385.43</v>
      </c>
      <c r="I19" s="21">
        <f t="shared" si="79"/>
        <v>557603.83999999997</v>
      </c>
      <c r="J19" s="21">
        <f t="shared" si="79"/>
        <v>676036.05</v>
      </c>
      <c r="K19" s="21">
        <f t="shared" si="79"/>
        <v>706998.16999999993</v>
      </c>
      <c r="L19" s="21">
        <f t="shared" si="79"/>
        <v>670246.85</v>
      </c>
      <c r="M19" s="21">
        <f>IF(M70="","",SUM(M70,M60,M50,M40,M30))</f>
        <v>574404.17000000004</v>
      </c>
      <c r="N19" s="21">
        <f>IF(N70="","",SUM(N70,N60,N50,N40,N30))</f>
        <v>514881.99</v>
      </c>
      <c r="O19" s="21">
        <f>IF(O70="","",SUM(O70,O60,O50,O40,O30))</f>
        <v>639874.60000000009</v>
      </c>
      <c r="P19" s="21">
        <f t="shared" si="64"/>
        <v>693023.25</v>
      </c>
      <c r="Q19" s="21">
        <f>IF(Q70="","",SUM(Q70,Q60,Q50,Q40,Q30))</f>
        <v>901933.35</v>
      </c>
      <c r="R19" s="21">
        <f t="shared" si="64"/>
        <v>837319.65</v>
      </c>
      <c r="S19" s="21">
        <f t="shared" si="64"/>
        <v>687161.57000000007</v>
      </c>
      <c r="T19" s="21">
        <f t="shared" si="64"/>
        <v>625336.1</v>
      </c>
      <c r="U19" s="21">
        <f t="shared" si="64"/>
        <v>785803.02</v>
      </c>
      <c r="V19" s="21">
        <f t="shared" si="64"/>
        <v>1008578.51</v>
      </c>
      <c r="W19" s="21">
        <f t="shared" si="64"/>
        <v>968912.67999999993</v>
      </c>
      <c r="X19" s="21">
        <f t="shared" si="64"/>
        <v>903157.96</v>
      </c>
      <c r="Y19" s="21">
        <f t="shared" si="64"/>
        <v>670586.17999999993</v>
      </c>
      <c r="Z19" s="21">
        <f t="shared" si="65"/>
        <v>691447.12999999989</v>
      </c>
      <c r="AA19" s="21">
        <f t="shared" si="64"/>
        <v>847418.84</v>
      </c>
      <c r="AB19" s="21">
        <f t="shared" si="64"/>
        <v>1031813.9400000001</v>
      </c>
      <c r="AC19" s="21">
        <f t="shared" si="64"/>
        <v>1807483.79</v>
      </c>
      <c r="AD19" s="21">
        <f t="shared" si="64"/>
        <v>2551716.2800000003</v>
      </c>
      <c r="AE19" s="21">
        <f t="shared" si="64"/>
        <v>1963309.5900000003</v>
      </c>
      <c r="AF19" s="21">
        <f t="shared" ref="AF19" si="80">IF(AF70="","",SUM(AF70,AF60,AF50,AF40,AF30))</f>
        <v>1912775.2599999998</v>
      </c>
      <c r="AG19" s="21">
        <f t="shared" ref="AG19:AW19" si="81">IF(AG70="","",SUM(AG70,AG60,AG50,AG40,AG30))</f>
        <v>2300637.39</v>
      </c>
      <c r="AH19" s="21">
        <f t="shared" si="81"/>
        <v>2917205.0700000003</v>
      </c>
      <c r="AI19" s="21">
        <f t="shared" si="81"/>
        <v>2922276.66</v>
      </c>
      <c r="AJ19" s="21">
        <f t="shared" si="81"/>
        <v>2915938.05</v>
      </c>
      <c r="AK19" s="21">
        <f t="shared" si="81"/>
        <v>2241248.8199999998</v>
      </c>
      <c r="AL19" s="21">
        <f t="shared" si="81"/>
        <v>2032298.8200000003</v>
      </c>
      <c r="AM19" s="21">
        <f t="shared" si="81"/>
        <v>2450166.2800000003</v>
      </c>
      <c r="AN19" s="21">
        <f t="shared" si="81"/>
        <v>2920950.16</v>
      </c>
      <c r="AO19" s="21">
        <f t="shared" si="81"/>
        <v>2656095.5300000003</v>
      </c>
      <c r="AP19" s="21">
        <f t="shared" si="81"/>
        <v>1296574.93</v>
      </c>
      <c r="AQ19" s="21">
        <f t="shared" si="81"/>
        <v>998447.61999999988</v>
      </c>
      <c r="AR19" s="21">
        <f t="shared" si="81"/>
        <v>1076114.93</v>
      </c>
      <c r="AS19" s="21">
        <f t="shared" si="81"/>
        <v>1282969.1499999999</v>
      </c>
      <c r="AT19" s="21">
        <f t="shared" si="81"/>
        <v>1584130.5699999998</v>
      </c>
      <c r="AU19" s="21">
        <f t="shared" si="81"/>
        <v>1538736</v>
      </c>
      <c r="AV19" s="21">
        <f t="shared" si="81"/>
        <v>1377052.06</v>
      </c>
      <c r="AW19" s="21">
        <f t="shared" si="81"/>
        <v>1094944.53</v>
      </c>
      <c r="AX19" s="21">
        <f t="shared" ref="AX19:AY19" si="82">IF(AX70="","",SUM(AX70,AX60,AX50,AX40,AX30))</f>
        <v>1048945.4413648995</v>
      </c>
      <c r="AY19" s="21">
        <f t="shared" si="82"/>
        <v>1309298.1522548576</v>
      </c>
      <c r="AZ19" s="21">
        <f t="shared" ref="AZ19" si="83">IF(AZ70="","",SUM(AZ70,AZ60,AZ50,AZ40,AZ30))</f>
        <v>1530196.6886371509</v>
      </c>
    </row>
    <row r="20" spans="1:53" s="5" customFormat="1" x14ac:dyDescent="0.35">
      <c r="A20" s="274"/>
      <c r="B20" s="18" t="s">
        <v>13</v>
      </c>
      <c r="C20" s="105"/>
      <c r="D20" s="105"/>
      <c r="E20" s="105"/>
      <c r="F20" s="21">
        <f t="shared" ref="F20:M21" si="84">IF(F71="","",SUM(F71,F61,F51,F41,F31))</f>
        <v>0.71203150918887492</v>
      </c>
      <c r="G20" s="21">
        <f>IF(G71="","",SUM(G71,G61,G51,G41,G31))</f>
        <v>4695.4207688607348</v>
      </c>
      <c r="H20" s="21">
        <f t="shared" si="84"/>
        <v>-2449.8598780726179</v>
      </c>
      <c r="I20" s="21">
        <f t="shared" si="84"/>
        <v>-265927.46643753978</v>
      </c>
      <c r="J20" s="21">
        <f t="shared" si="84"/>
        <v>-131169.715421392</v>
      </c>
      <c r="K20" s="21">
        <f t="shared" si="84"/>
        <v>-43957.222433609393</v>
      </c>
      <c r="L20" s="21">
        <f t="shared" si="84"/>
        <v>-122502.17361725139</v>
      </c>
      <c r="M20" s="21">
        <f t="shared" si="84"/>
        <v>-304336.2792786801</v>
      </c>
      <c r="N20" s="21">
        <f>IF(N71="","",SUM(N71,N61,N51,N41,N31))</f>
        <v>-65433.157081010191</v>
      </c>
      <c r="O20" s="21">
        <f t="shared" ref="O20:AE21" si="85">IF(O71="","",SUM(O71,O61,O51,O41,O31))</f>
        <v>32509.51562352556</v>
      </c>
      <c r="P20" s="21">
        <f t="shared" si="85"/>
        <v>167275.80315340095</v>
      </c>
      <c r="Q20" s="21">
        <f>IF(Q71="","",SUM(Q71,Q61,Q51,Q41,Q31))</f>
        <v>19136.33539476915</v>
      </c>
      <c r="R20" s="21">
        <f t="shared" si="85"/>
        <v>-110077.28450135858</v>
      </c>
      <c r="S20" s="21">
        <f t="shared" si="85"/>
        <v>-356666.29899240914</v>
      </c>
      <c r="T20" s="21">
        <f t="shared" si="85"/>
        <v>-176821.71989945308</v>
      </c>
      <c r="U20" s="21">
        <f t="shared" si="85"/>
        <v>380663.8326526123</v>
      </c>
      <c r="V20" s="21">
        <f t="shared" si="85"/>
        <v>588323.66144815541</v>
      </c>
      <c r="W20" s="21">
        <f t="shared" si="85"/>
        <v>779359.73178884923</v>
      </c>
      <c r="X20" s="21">
        <f t="shared" si="85"/>
        <v>616313.05623756989</v>
      </c>
      <c r="Y20" s="21">
        <f t="shared" si="85"/>
        <v>94294.273685406195</v>
      </c>
      <c r="Z20" s="21">
        <f t="shared" si="65"/>
        <v>217360.52228987066</v>
      </c>
      <c r="AA20" s="21">
        <f t="shared" si="85"/>
        <v>272644.01655577932</v>
      </c>
      <c r="AB20" s="21">
        <f t="shared" si="85"/>
        <v>345406.72431663051</v>
      </c>
      <c r="AC20" s="21">
        <f t="shared" si="85"/>
        <v>-612317.2176451839</v>
      </c>
      <c r="AD20" s="21">
        <f t="shared" si="85"/>
        <v>-1251083.8806012496</v>
      </c>
      <c r="AE20" s="21">
        <f t="shared" si="85"/>
        <v>-757486.76922660158</v>
      </c>
      <c r="AF20" s="21">
        <f t="shared" ref="AF20" si="86">IF(AF71="","",SUM(AF71,AF61,AF51,AF41,AF31))</f>
        <v>-440223.98143172619</v>
      </c>
      <c r="AG20" s="21">
        <f t="shared" ref="AG20:AW20" si="87">IF(AG71="","",SUM(AG71,AG61,AG51,AG41,AG31))</f>
        <v>1301972.520306122</v>
      </c>
      <c r="AH20" s="21">
        <f t="shared" si="87"/>
        <v>1607774.8329475964</v>
      </c>
      <c r="AI20" s="21">
        <f t="shared" si="87"/>
        <v>1635415.3023519127</v>
      </c>
      <c r="AJ20" s="21">
        <f t="shared" si="87"/>
        <v>479195.57575719332</v>
      </c>
      <c r="AK20" s="21">
        <f t="shared" si="87"/>
        <v>-622249.26827478828</v>
      </c>
      <c r="AL20" s="21">
        <f t="shared" si="87"/>
        <v>-338958.66069875972</v>
      </c>
      <c r="AM20" s="21">
        <f t="shared" si="87"/>
        <v>-406331.76494770299</v>
      </c>
      <c r="AN20" s="21">
        <f t="shared" si="87"/>
        <v>-374056.09149891004</v>
      </c>
      <c r="AO20" s="21">
        <f t="shared" si="87"/>
        <v>-566479.05339839845</v>
      </c>
      <c r="AP20" s="21">
        <f t="shared" si="87"/>
        <v>-384327.07923458319</v>
      </c>
      <c r="AQ20" s="21">
        <f t="shared" si="87"/>
        <v>-152113.4028808627</v>
      </c>
      <c r="AR20" s="21">
        <f t="shared" si="87"/>
        <v>-9477.251794636868</v>
      </c>
      <c r="AS20" s="21">
        <f t="shared" si="87"/>
        <v>1580383.492124341</v>
      </c>
      <c r="AT20" s="21">
        <f t="shared" si="87"/>
        <v>2091426.9537109674</v>
      </c>
      <c r="AU20" s="21">
        <f t="shared" si="87"/>
        <v>1803303.9312423691</v>
      </c>
      <c r="AV20" s="21">
        <f t="shared" si="87"/>
        <v>996794.52517879615</v>
      </c>
      <c r="AW20" s="21">
        <f t="shared" si="87"/>
        <v>-43766.218875852443</v>
      </c>
      <c r="AX20" s="21">
        <f t="shared" ref="AX20:AY20" si="88">IF(AX71="","",SUM(AX71,AX61,AX51,AX41,AX31))</f>
        <v>70552.9611008723</v>
      </c>
      <c r="AY20" s="21">
        <f t="shared" si="88"/>
        <v>165912.17219849819</v>
      </c>
      <c r="AZ20" s="21">
        <f t="shared" ref="AZ20" si="89">IF(AZ71="","",SUM(AZ71,AZ61,AZ51,AZ41,AZ31))</f>
        <v>101625.74267111046</v>
      </c>
    </row>
    <row r="21" spans="1:53" s="5" customFormat="1" x14ac:dyDescent="0.35">
      <c r="A21" s="274"/>
      <c r="B21" s="19" t="s">
        <v>8</v>
      </c>
      <c r="C21" s="105"/>
      <c r="D21" s="105"/>
      <c r="E21" s="105"/>
      <c r="F21" s="21">
        <f t="shared" si="84"/>
        <v>0</v>
      </c>
      <c r="G21" s="21">
        <f t="shared" si="84"/>
        <v>10.42</v>
      </c>
      <c r="H21" s="21">
        <f t="shared" si="84"/>
        <v>5.0299999999999994</v>
      </c>
      <c r="I21" s="21">
        <f t="shared" si="84"/>
        <v>-582.26</v>
      </c>
      <c r="J21" s="21">
        <f t="shared" si="84"/>
        <v>-855.06</v>
      </c>
      <c r="K21" s="21">
        <f t="shared" si="84"/>
        <v>-862.55</v>
      </c>
      <c r="L21" s="21">
        <f t="shared" si="84"/>
        <v>-1041.1799999999998</v>
      </c>
      <c r="M21" s="21">
        <f t="shared" si="84"/>
        <v>-1530.79</v>
      </c>
      <c r="N21" s="21">
        <f>IF(N72="","",SUM(N72,N62,N52,N42,N32))</f>
        <v>-1258.5900000000006</v>
      </c>
      <c r="O21" s="21">
        <f t="shared" si="85"/>
        <v>-1443.8799999999999</v>
      </c>
      <c r="P21" s="21">
        <f t="shared" si="85"/>
        <v>-1163.1299999999999</v>
      </c>
      <c r="Q21" s="21">
        <f t="shared" si="85"/>
        <v>-1083.47</v>
      </c>
      <c r="R21" s="21">
        <f t="shared" si="85"/>
        <v>-1000.1500000000001</v>
      </c>
      <c r="S21" s="21">
        <f t="shared" si="85"/>
        <v>-634.92999999999995</v>
      </c>
      <c r="T21" s="21">
        <f t="shared" si="85"/>
        <v>-90.31</v>
      </c>
      <c r="U21" s="21">
        <f t="shared" si="85"/>
        <v>-33.789999999999992</v>
      </c>
      <c r="V21" s="21">
        <f t="shared" si="85"/>
        <v>70.47999999999999</v>
      </c>
      <c r="W21" s="21">
        <f t="shared" si="85"/>
        <v>163.1</v>
      </c>
      <c r="X21" s="21">
        <f t="shared" si="85"/>
        <v>233.22</v>
      </c>
      <c r="Y21" s="21">
        <f t="shared" si="85"/>
        <v>424.84000000000003</v>
      </c>
      <c r="Z21" s="21">
        <f>IF(Z72="","",SUM(Z72,Z62,Z52,Z42,Z32))</f>
        <v>1480.5299999999993</v>
      </c>
      <c r="AA21" s="21">
        <f>IF(AA72="","",SUM(AA72,AA62,AA52,AA42,AA32))</f>
        <v>835.87</v>
      </c>
      <c r="AB21" s="21">
        <f t="shared" si="85"/>
        <v>702.63</v>
      </c>
      <c r="AC21" s="21">
        <f t="shared" si="85"/>
        <v>621.02</v>
      </c>
      <c r="AD21" s="21">
        <f t="shared" si="85"/>
        <v>282.43</v>
      </c>
      <c r="AE21" s="21">
        <f t="shared" si="85"/>
        <v>105.50999999999999</v>
      </c>
      <c r="AF21" s="21">
        <f t="shared" ref="AF21" si="90">IF(AF72="","",SUM(AF72,AF62,AF52,AF42,AF32))</f>
        <v>-24.899999999999991</v>
      </c>
      <c r="AG21" s="21">
        <f t="shared" ref="AG21:AW21" si="91">IF(AG72="","",SUM(AG72,AG62,AG52,AG42,AG32))</f>
        <v>142.43</v>
      </c>
      <c r="AH21" s="21">
        <f t="shared" si="91"/>
        <v>237.6</v>
      </c>
      <c r="AI21" s="21">
        <f t="shared" si="91"/>
        <v>557.42999999999995</v>
      </c>
      <c r="AJ21" s="21">
        <f t="shared" si="91"/>
        <v>535.91999999999996</v>
      </c>
      <c r="AK21" s="21">
        <f t="shared" si="91"/>
        <v>300.35000000000002</v>
      </c>
      <c r="AL21" s="21">
        <f t="shared" si="91"/>
        <v>227.64</v>
      </c>
      <c r="AM21" s="21">
        <f t="shared" si="91"/>
        <v>224.82999999999998</v>
      </c>
      <c r="AN21" s="21">
        <f t="shared" si="91"/>
        <v>46.440000000000026</v>
      </c>
      <c r="AO21" s="21">
        <f t="shared" si="91"/>
        <v>-90.289999999999992</v>
      </c>
      <c r="AP21" s="21">
        <f t="shared" si="91"/>
        <v>-440.00000000000011</v>
      </c>
      <c r="AQ21" s="21">
        <f t="shared" si="91"/>
        <v>-490.49</v>
      </c>
      <c r="AR21" s="21">
        <f t="shared" si="91"/>
        <v>-777.29</v>
      </c>
      <c r="AS21" s="21">
        <f t="shared" si="91"/>
        <v>738.84</v>
      </c>
      <c r="AT21" s="21">
        <f t="shared" si="91"/>
        <v>4560.24</v>
      </c>
      <c r="AU21" s="21">
        <f t="shared" si="91"/>
        <v>9499.7900000000009</v>
      </c>
      <c r="AV21" s="21">
        <f t="shared" si="91"/>
        <v>12902.26</v>
      </c>
      <c r="AW21" s="21">
        <f t="shared" si="91"/>
        <v>15702.85</v>
      </c>
      <c r="AX21" s="272">
        <f t="shared" ref="AX21:AY21" si="92">IF(AX72="","",SUM(AX72,AX62,AX52,AX42,AX32))</f>
        <v>15983</v>
      </c>
      <c r="AY21" s="272">
        <f t="shared" si="92"/>
        <v>16462.89</v>
      </c>
      <c r="AZ21" s="272">
        <f t="shared" ref="AZ21" si="93">IF(AZ72="","",SUM(AZ72,AZ62,AZ52,AZ42,AZ32))</f>
        <v>16707.47</v>
      </c>
    </row>
    <row r="22" spans="1:53" s="5" customFormat="1" x14ac:dyDescent="0.35">
      <c r="A22" s="274"/>
      <c r="B22" s="19" t="s">
        <v>27</v>
      </c>
      <c r="C22" s="105"/>
      <c r="D22" s="105"/>
      <c r="E22" s="104"/>
      <c r="F22" s="16">
        <f>IF(F21="","",E22+F21)</f>
        <v>0</v>
      </c>
      <c r="G22" s="16">
        <f>IF(G21="","",F22+G21)</f>
        <v>10.42</v>
      </c>
      <c r="H22" s="16">
        <f t="shared" ref="H22:AF22" si="94">IF(H21="","",G22+H21)</f>
        <v>15.45</v>
      </c>
      <c r="I22" s="16">
        <f t="shared" si="94"/>
        <v>-566.80999999999995</v>
      </c>
      <c r="J22" s="16">
        <f t="shared" si="94"/>
        <v>-1421.87</v>
      </c>
      <c r="K22" s="16">
        <f t="shared" si="94"/>
        <v>-2284.42</v>
      </c>
      <c r="L22" s="16">
        <f t="shared" si="94"/>
        <v>-3325.6</v>
      </c>
      <c r="M22" s="16">
        <f t="shared" si="94"/>
        <v>-4856.3899999999994</v>
      </c>
      <c r="N22" s="16">
        <f t="shared" si="94"/>
        <v>-6114.98</v>
      </c>
      <c r="O22" s="16">
        <f t="shared" si="94"/>
        <v>-7558.86</v>
      </c>
      <c r="P22" s="16">
        <f t="shared" si="94"/>
        <v>-8721.99</v>
      </c>
      <c r="Q22" s="16">
        <f t="shared" si="94"/>
        <v>-9805.4599999999991</v>
      </c>
      <c r="R22" s="16">
        <f t="shared" si="94"/>
        <v>-10805.609999999999</v>
      </c>
      <c r="S22" s="16">
        <f t="shared" si="94"/>
        <v>-11440.539999999999</v>
      </c>
      <c r="T22" s="16">
        <f t="shared" si="94"/>
        <v>-11530.849999999999</v>
      </c>
      <c r="U22" s="16">
        <f t="shared" si="94"/>
        <v>-11564.64</v>
      </c>
      <c r="V22" s="16">
        <f t="shared" si="94"/>
        <v>-11494.16</v>
      </c>
      <c r="W22" s="16">
        <f t="shared" si="94"/>
        <v>-11331.06</v>
      </c>
      <c r="X22" s="16">
        <f t="shared" si="94"/>
        <v>-11097.84</v>
      </c>
      <c r="Y22" s="16">
        <f t="shared" si="94"/>
        <v>-10673</v>
      </c>
      <c r="Z22" s="16">
        <f>IF(Z21="","",Y22+Z21)</f>
        <v>-9192.4700000000012</v>
      </c>
      <c r="AA22" s="16">
        <f>IF(AA21="","",Z22+AA21)</f>
        <v>-8356.6</v>
      </c>
      <c r="AB22" s="16">
        <f t="shared" si="94"/>
        <v>-7653.97</v>
      </c>
      <c r="AC22" s="16">
        <f t="shared" si="94"/>
        <v>-7032.9500000000007</v>
      </c>
      <c r="AD22" s="16">
        <f t="shared" si="94"/>
        <v>-6750.52</v>
      </c>
      <c r="AE22" s="16">
        <f t="shared" si="94"/>
        <v>-6645.01</v>
      </c>
      <c r="AF22" s="16">
        <f t="shared" si="94"/>
        <v>-6669.91</v>
      </c>
      <c r="AG22" s="16">
        <f t="shared" ref="AG22" si="95">IF(AG21="","",AF22+AG21)</f>
        <v>-6527.48</v>
      </c>
      <c r="AH22" s="16">
        <f t="shared" ref="AH22" si="96">IF(AH21="","",AG22+AH21)</f>
        <v>-6289.8799999999992</v>
      </c>
      <c r="AI22" s="16">
        <f t="shared" ref="AI22" si="97">IF(AI21="","",AH22+AI21)</f>
        <v>-5732.4499999999989</v>
      </c>
      <c r="AJ22" s="16">
        <f t="shared" ref="AJ22" si="98">IF(AJ21="","",AI22+AJ21)</f>
        <v>-5196.5299999999988</v>
      </c>
      <c r="AK22" s="16">
        <f t="shared" ref="AK22" si="99">IF(AK21="","",AJ22+AK21)</f>
        <v>-4896.1799999999985</v>
      </c>
      <c r="AL22" s="16">
        <f t="shared" ref="AL22" si="100">IF(AL21="","",AK22+AL21)</f>
        <v>-4668.5399999999981</v>
      </c>
      <c r="AM22" s="16">
        <f t="shared" ref="AM22" si="101">IF(AM21="","",AL22+AM21)</f>
        <v>-4443.7099999999982</v>
      </c>
      <c r="AN22" s="16">
        <f t="shared" ref="AN22" si="102">IF(AN21="","",AM22+AN21)</f>
        <v>-4397.2699999999986</v>
      </c>
      <c r="AO22" s="16">
        <f t="shared" ref="AO22" si="103">IF(AO21="","",AN22+AO21)</f>
        <v>-4487.5599999999986</v>
      </c>
      <c r="AP22" s="16">
        <f t="shared" ref="AP22" si="104">IF(AP21="","",AO22+AP21)</f>
        <v>-4927.5599999999986</v>
      </c>
      <c r="AQ22" s="16">
        <f t="shared" ref="AQ22" si="105">IF(AQ21="","",AP22+AQ21)</f>
        <v>-5418.0499999999984</v>
      </c>
      <c r="AR22" s="16">
        <f t="shared" ref="AR22" si="106">IF(AR21="","",AQ22+AR21)</f>
        <v>-6195.3399999999983</v>
      </c>
      <c r="AS22" s="16">
        <f t="shared" ref="AS22" si="107">IF(AS21="","",AR22+AS21)</f>
        <v>-5456.4999999999982</v>
      </c>
      <c r="AT22" s="16">
        <f t="shared" ref="AT22" si="108">IF(AT21="","",AS22+AT21)</f>
        <v>-896.2599999999984</v>
      </c>
      <c r="AU22" s="16">
        <f t="shared" ref="AU22" si="109">IF(AU21="","",AT22+AU21)</f>
        <v>8603.5300000000025</v>
      </c>
      <c r="AV22" s="16">
        <f t="shared" ref="AV22" si="110">IF(AV21="","",AU22+AV21)</f>
        <v>21505.79</v>
      </c>
      <c r="AW22" s="16">
        <f t="shared" ref="AW22:AZ22" si="111">IF(AW21="","",AV22+AW21)</f>
        <v>37208.639999999999</v>
      </c>
      <c r="AX22" s="16">
        <f t="shared" si="111"/>
        <v>53191.64</v>
      </c>
      <c r="AY22" s="16">
        <f t="shared" si="111"/>
        <v>69654.53</v>
      </c>
      <c r="AZ22" s="16">
        <f t="shared" si="111"/>
        <v>86362</v>
      </c>
    </row>
    <row r="23" spans="1:53" s="5" customFormat="1" x14ac:dyDescent="0.35">
      <c r="A23" s="274"/>
      <c r="B23" s="18" t="s">
        <v>14</v>
      </c>
      <c r="C23" s="105"/>
      <c r="D23" s="105"/>
      <c r="E23" s="105"/>
      <c r="F23" s="21">
        <f t="shared" ref="F23:AE24" si="112">IF(F73="","",SUM(F73,F63,F53,F43,F33))</f>
        <v>0.71203150918887492</v>
      </c>
      <c r="G23" s="21">
        <f t="shared" si="112"/>
        <v>4705.8407688607349</v>
      </c>
      <c r="H23" s="21">
        <f t="shared" si="112"/>
        <v>-2444.8298780726182</v>
      </c>
      <c r="I23" s="21">
        <f t="shared" si="112"/>
        <v>-266509.72643753979</v>
      </c>
      <c r="J23" s="21">
        <f t="shared" si="112"/>
        <v>-132024.775421392</v>
      </c>
      <c r="K23" s="21">
        <f t="shared" si="112"/>
        <v>-44819.772433609396</v>
      </c>
      <c r="L23" s="21">
        <f t="shared" si="112"/>
        <v>-123543.3536172514</v>
      </c>
      <c r="M23" s="21">
        <f t="shared" si="112"/>
        <v>-305867.06927868014</v>
      </c>
      <c r="N23" s="21">
        <f t="shared" si="112"/>
        <v>-66691.747081010195</v>
      </c>
      <c r="O23" s="21">
        <f>IF(O73="","",SUM(O73,O63,O53,O43,O33))</f>
        <v>31065.635623525563</v>
      </c>
      <c r="P23" s="21">
        <f t="shared" si="112"/>
        <v>166112.67315340095</v>
      </c>
      <c r="Q23" s="21">
        <f t="shared" si="112"/>
        <v>18052.865394769135</v>
      </c>
      <c r="R23" s="21">
        <f t="shared" si="112"/>
        <v>-111077.43450135857</v>
      </c>
      <c r="S23" s="21">
        <f t="shared" si="112"/>
        <v>-357301.22899240913</v>
      </c>
      <c r="T23" s="21">
        <f t="shared" si="112"/>
        <v>-176912.02989945305</v>
      </c>
      <c r="U23" s="21">
        <f t="shared" si="112"/>
        <v>380630.04265261232</v>
      </c>
      <c r="V23" s="21">
        <f t="shared" si="112"/>
        <v>588394.14144815551</v>
      </c>
      <c r="W23" s="21">
        <f t="shared" si="112"/>
        <v>779522.83178884932</v>
      </c>
      <c r="X23" s="21">
        <f t="shared" si="112"/>
        <v>616546.27623756987</v>
      </c>
      <c r="Y23" s="21">
        <f t="shared" si="112"/>
        <v>94719.113685406206</v>
      </c>
      <c r="Z23" s="21">
        <f>IF(Z73="","",SUM(Z73,Z63,Z53,Z43,Z33))</f>
        <v>218841.05228987065</v>
      </c>
      <c r="AA23" s="21">
        <f t="shared" si="112"/>
        <v>273479.88655577932</v>
      </c>
      <c r="AB23" s="21">
        <f t="shared" si="112"/>
        <v>346109.35431663052</v>
      </c>
      <c r="AC23" s="21">
        <f t="shared" si="112"/>
        <v>-611696.19764518389</v>
      </c>
      <c r="AD23" s="21">
        <f t="shared" si="112"/>
        <v>-1250801.4506012495</v>
      </c>
      <c r="AE23" s="21">
        <f t="shared" si="112"/>
        <v>-757381.25922660169</v>
      </c>
      <c r="AF23" s="21">
        <f t="shared" ref="AF23" si="113">IF(AF73="","",SUM(AF73,AF63,AF53,AF43,AF33))</f>
        <v>-440248.88143172616</v>
      </c>
      <c r="AG23" s="21">
        <f t="shared" ref="AG23:AW23" si="114">IF(AG73="","",SUM(AG73,AG63,AG53,AG43,AG33))</f>
        <v>1302114.9503061222</v>
      </c>
      <c r="AH23" s="21">
        <f t="shared" si="114"/>
        <v>1608012.4329475963</v>
      </c>
      <c r="AI23" s="21">
        <f t="shared" si="114"/>
        <v>1635972.7323519127</v>
      </c>
      <c r="AJ23" s="21">
        <f t="shared" si="114"/>
        <v>479731.4957571933</v>
      </c>
      <c r="AK23" s="21">
        <f t="shared" si="114"/>
        <v>-621948.91827478819</v>
      </c>
      <c r="AL23" s="21">
        <f t="shared" si="114"/>
        <v>-338731.02069875965</v>
      </c>
      <c r="AM23" s="21">
        <f t="shared" si="114"/>
        <v>-406106.93494770303</v>
      </c>
      <c r="AN23" s="21">
        <f t="shared" si="114"/>
        <v>-374009.65149891004</v>
      </c>
      <c r="AO23" s="21">
        <f t="shared" si="114"/>
        <v>-566569.34339839849</v>
      </c>
      <c r="AP23" s="21">
        <f t="shared" si="114"/>
        <v>-384767.07923458319</v>
      </c>
      <c r="AQ23" s="21">
        <f t="shared" si="114"/>
        <v>-152603.89288086267</v>
      </c>
      <c r="AR23" s="21">
        <f t="shared" si="114"/>
        <v>-10254.541794636869</v>
      </c>
      <c r="AS23" s="21">
        <f t="shared" si="114"/>
        <v>1581122.3321243408</v>
      </c>
      <c r="AT23" s="21">
        <f t="shared" si="114"/>
        <v>2095987.1937109674</v>
      </c>
      <c r="AU23" s="21">
        <f t="shared" si="114"/>
        <v>1812803.7212423692</v>
      </c>
      <c r="AV23" s="21">
        <f t="shared" si="114"/>
        <v>1009696.7851787962</v>
      </c>
      <c r="AW23" s="21">
        <f t="shared" si="114"/>
        <v>-28063.368875852437</v>
      </c>
      <c r="AX23" s="21">
        <f t="shared" ref="AX23:AY23" si="115">IF(AX73="","",SUM(AX73,AX63,AX53,AX43,AX33))</f>
        <v>86535.9611008723</v>
      </c>
      <c r="AY23" s="21">
        <f t="shared" si="115"/>
        <v>182375.06219849817</v>
      </c>
      <c r="AZ23" s="21">
        <f t="shared" ref="AZ23" si="116">IF(AZ73="","",SUM(AZ73,AZ63,AZ53,AZ43,AZ33))</f>
        <v>118333.21267111046</v>
      </c>
    </row>
    <row r="24" spans="1:53" s="5" customFormat="1" x14ac:dyDescent="0.35">
      <c r="A24" s="274"/>
      <c r="B24" s="20" t="s">
        <v>2</v>
      </c>
      <c r="C24" s="105"/>
      <c r="D24" s="105"/>
      <c r="E24" s="105"/>
      <c r="F24" s="21">
        <f>IF(F74="","",SUM(F74,F64,F54,F44,F34))</f>
        <v>0.71203150918887492</v>
      </c>
      <c r="G24" s="21">
        <f t="shared" si="112"/>
        <v>4706.5528003699237</v>
      </c>
      <c r="H24" s="21">
        <f t="shared" si="112"/>
        <v>2261.7229222973056</v>
      </c>
      <c r="I24" s="21">
        <f t="shared" si="112"/>
        <v>-264248.00351524254</v>
      </c>
      <c r="J24" s="21">
        <f t="shared" si="112"/>
        <v>-396272.77893663448</v>
      </c>
      <c r="K24" s="21">
        <f t="shared" si="112"/>
        <v>-441092.55137024395</v>
      </c>
      <c r="L24" s="21">
        <f t="shared" si="112"/>
        <v>-564635.90498749528</v>
      </c>
      <c r="M24" s="21">
        <f t="shared" si="112"/>
        <v>-870502.97426617541</v>
      </c>
      <c r="N24" s="21">
        <f t="shared" si="112"/>
        <v>-937194.72134718567</v>
      </c>
      <c r="O24" s="21">
        <f>IF(O74="","",SUM(O74,O64,O54,O44,O34))</f>
        <v>-906129.08572366007</v>
      </c>
      <c r="P24" s="21">
        <f t="shared" si="112"/>
        <v>-740016.41257025907</v>
      </c>
      <c r="Q24" s="21">
        <f t="shared" si="112"/>
        <v>-525409.32717548998</v>
      </c>
      <c r="R24" s="21">
        <f t="shared" si="112"/>
        <v>-455212.61167684849</v>
      </c>
      <c r="S24" s="21">
        <f t="shared" si="112"/>
        <v>-662871.82066925766</v>
      </c>
      <c r="T24" s="21">
        <f t="shared" si="112"/>
        <v>-703421.63056871074</v>
      </c>
      <c r="U24" s="21">
        <f t="shared" si="112"/>
        <v>-151579.36791609845</v>
      </c>
      <c r="V24" s="21">
        <f t="shared" si="112"/>
        <v>653572.59353205701</v>
      </c>
      <c r="W24" s="21">
        <f t="shared" si="112"/>
        <v>1642210.4353209063</v>
      </c>
      <c r="X24" s="21">
        <f t="shared" si="112"/>
        <v>2454712.3715584762</v>
      </c>
      <c r="Y24" s="21">
        <f t="shared" si="112"/>
        <v>2696939.4152438822</v>
      </c>
      <c r="Z24" s="21">
        <f>IF(Z74="","",SUM(Z74,Z64,Z54,Z44,Z34))</f>
        <v>3067186.4875337528</v>
      </c>
      <c r="AA24" s="21">
        <f t="shared" si="112"/>
        <v>3524046.4940895322</v>
      </c>
      <c r="AB24" s="21">
        <f t="shared" si="112"/>
        <v>4090952.8684061626</v>
      </c>
      <c r="AC24" s="21">
        <f t="shared" si="112"/>
        <v>3209837.7007609787</v>
      </c>
      <c r="AD24" s="21">
        <f t="shared" si="112"/>
        <v>1586455.3201597293</v>
      </c>
      <c r="AE24" s="21">
        <f t="shared" si="112"/>
        <v>562517.05093312752</v>
      </c>
      <c r="AF24" s="21">
        <f t="shared" ref="AF24" si="117">IF(AF74="","",SUM(AF74,AF64,AF54,AF44,AF34))</f>
        <v>-133210.95049859863</v>
      </c>
      <c r="AG24" s="21">
        <f t="shared" ref="AG24:AW24" si="118">IF(AG74="","",SUM(AG74,AG64,AG54,AG44,AG34))</f>
        <v>847651.22980752343</v>
      </c>
      <c r="AH24" s="21">
        <f t="shared" si="118"/>
        <v>2043353.2127551197</v>
      </c>
      <c r="AI24" s="21">
        <f t="shared" si="118"/>
        <v>3261968.6851070323</v>
      </c>
      <c r="AJ24" s="21">
        <f t="shared" si="118"/>
        <v>3328657.2308642259</v>
      </c>
      <c r="AK24" s="21">
        <f t="shared" si="118"/>
        <v>2403212.0525894375</v>
      </c>
      <c r="AL24" s="21">
        <f t="shared" si="118"/>
        <v>1783212.1718906779</v>
      </c>
      <c r="AM24" s="21">
        <f t="shared" si="118"/>
        <v>1035985.2469429747</v>
      </c>
      <c r="AN24" s="21">
        <f t="shared" si="118"/>
        <v>237729.42544406466</v>
      </c>
      <c r="AO24" s="21">
        <f t="shared" si="118"/>
        <v>-366328.51795433403</v>
      </c>
      <c r="AP24" s="21">
        <f t="shared" si="118"/>
        <v>-767550.09718891722</v>
      </c>
      <c r="AQ24" s="21">
        <f t="shared" si="118"/>
        <v>-980795.26006977982</v>
      </c>
      <c r="AR24" s="21">
        <f t="shared" si="118"/>
        <v>-982925.54186441668</v>
      </c>
      <c r="AS24" s="21">
        <f t="shared" si="118"/>
        <v>597435.28025992424</v>
      </c>
      <c r="AT24" s="21">
        <f t="shared" si="118"/>
        <v>2665285.6339708916</v>
      </c>
      <c r="AU24" s="21">
        <f t="shared" si="118"/>
        <v>4455483.2652132604</v>
      </c>
      <c r="AV24" s="21">
        <f t="shared" si="118"/>
        <v>5461306.1303920569</v>
      </c>
      <c r="AW24" s="21">
        <f t="shared" si="118"/>
        <v>5445892.8815162042</v>
      </c>
      <c r="AX24" s="21">
        <f t="shared" ref="AX24:AY24" si="119">IF(AX74="","",SUM(AX74,AX64,AX54,AX44,AX34))</f>
        <v>5543056.2626170767</v>
      </c>
      <c r="AY24" s="21">
        <f t="shared" si="119"/>
        <v>5709487.0448155757</v>
      </c>
      <c r="AZ24" s="21">
        <f t="shared" ref="AZ24" si="120">IF(AZ74="","",SUM(AZ74,AZ64,AZ54,AZ44,AZ34))</f>
        <v>5794308.1474866858</v>
      </c>
    </row>
    <row r="25" spans="1:53" s="5" customFormat="1" ht="8.25" customHeight="1" x14ac:dyDescent="0.35">
      <c r="A25" s="44"/>
      <c r="B25" s="13"/>
      <c r="C25" s="109"/>
      <c r="D25" s="109"/>
      <c r="E25" s="109"/>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row>
    <row r="26" spans="1:53" s="5" customFormat="1" ht="15" hidden="1" customHeight="1" outlineLevel="1" x14ac:dyDescent="0.35">
      <c r="A26" s="274" t="s">
        <v>20</v>
      </c>
      <c r="B26" s="17"/>
      <c r="C26" s="104"/>
      <c r="D26" s="104"/>
      <c r="E26" s="104"/>
      <c r="F26" s="9"/>
      <c r="G26" s="9"/>
      <c r="H26" s="9"/>
      <c r="I26" s="9"/>
      <c r="J26" s="9"/>
      <c r="K26" s="9"/>
      <c r="L26" s="9"/>
      <c r="M26" s="9"/>
      <c r="N26" s="124">
        <f>'MEEIA 3 adjs'!L13</f>
        <v>8.9999999999918145E-2</v>
      </c>
      <c r="O26" s="9"/>
      <c r="P26" s="9"/>
      <c r="Q26" s="9"/>
      <c r="R26" s="9"/>
      <c r="S26" s="9"/>
      <c r="T26" s="9"/>
      <c r="U26" s="9"/>
      <c r="V26" s="9"/>
      <c r="W26" s="9"/>
      <c r="X26" s="9"/>
      <c r="Y26" s="9"/>
      <c r="Z26" s="124">
        <f>'MEEIA 3 adjs'!AA35</f>
        <v>481.7</v>
      </c>
      <c r="AA26" s="9"/>
      <c r="AB26" s="9"/>
      <c r="AC26" s="9"/>
      <c r="AD26" s="9"/>
      <c r="AE26" s="9"/>
      <c r="AF26" s="9"/>
      <c r="AG26" s="9"/>
      <c r="AH26" s="9"/>
      <c r="AI26" s="9"/>
      <c r="AJ26" s="9"/>
      <c r="AK26" s="9"/>
      <c r="AL26" s="9"/>
      <c r="AM26" s="9"/>
      <c r="AN26" s="9"/>
      <c r="AO26" s="9"/>
      <c r="AP26" s="9"/>
      <c r="AQ26" s="9"/>
      <c r="AR26" s="9"/>
      <c r="AS26" s="9"/>
      <c r="AT26" s="9"/>
      <c r="AU26" s="9"/>
      <c r="AV26" s="9"/>
      <c r="AW26" s="141">
        <f>'MEEIA 3 adjs'!CV21</f>
        <v>-112267.82500485214</v>
      </c>
      <c r="AX26" s="9"/>
      <c r="AY26" s="9"/>
      <c r="AZ26" s="9"/>
    </row>
    <row r="27" spans="1:53" s="3" customFormat="1" ht="15" hidden="1" customHeight="1" outlineLevel="1" x14ac:dyDescent="0.35">
      <c r="A27" s="274"/>
      <c r="B27" s="17" t="s">
        <v>28</v>
      </c>
      <c r="C27" s="104"/>
      <c r="D27" s="104"/>
      <c r="E27" s="104"/>
      <c r="F27" s="22">
        <f>IF('M3 Allocations - TD'!D5="","",'M3 Allocations - TD'!D31)</f>
        <v>0</v>
      </c>
      <c r="G27" s="22">
        <f>IF('M3 Allocations - TD'!E5="","",'M3 Allocations - TD'!E31)</f>
        <v>3542.7066619947968</v>
      </c>
      <c r="H27" s="22">
        <f>IF('M3 Allocations - TD'!F5="","",'M3 Allocations - TD'!F31)</f>
        <v>26593.748856903429</v>
      </c>
      <c r="I27" s="22">
        <f>IF('M3 Allocations - TD'!G5="","",'M3 Allocations - TD'!G31)</f>
        <v>243363.92907678595</v>
      </c>
      <c r="J27" s="22">
        <f>IF('M3 Allocations - TD'!H5="","",'M3 Allocations - TD'!H31)</f>
        <v>441129.8099540461</v>
      </c>
      <c r="K27" s="22">
        <f>IF('M3 Allocations - TD'!I5="","",'M3 Allocations - TD'!I31)</f>
        <v>538055.00088770315</v>
      </c>
      <c r="L27" s="22">
        <f>IF('M3 Allocations - TD'!J5="","",'M3 Allocations - TD'!J31)</f>
        <v>375001.00963366695</v>
      </c>
      <c r="M27" s="22">
        <f>IF('M3 Allocations - TD'!K5="","",'M3 Allocations - TD'!K31)</f>
        <v>137834.38057719183</v>
      </c>
      <c r="N27" s="22">
        <f>IF('M3 Allocations - TD'!L5="","",'M3 Allocations - TD'!L31)</f>
        <v>274809.55657286098</v>
      </c>
      <c r="O27" s="22">
        <f>IF('M3 Allocations - TD'!M5="","",'M3 Allocations - TD'!M31)</f>
        <v>467843.25553902646</v>
      </c>
      <c r="P27" s="22">
        <f>IF('M3 Allocations - TD'!N5="","",'M3 Allocations - TD'!N31)</f>
        <v>544296.07292371744</v>
      </c>
      <c r="Q27" s="22">
        <f>IF('M3 Allocations - TD'!O5="","",'M3 Allocations - TD'!O31)</f>
        <v>676189.22029010952</v>
      </c>
      <c r="R27" s="22">
        <f>IF('M3 Allocations - TD'!P5="","",'M3 Allocations - TD'!P31)</f>
        <v>463090.51540533279</v>
      </c>
      <c r="S27" s="22">
        <f>IF('M3 Allocations - TD'!Q5="","",'M3 Allocations - TD'!Q31)</f>
        <v>212999.83668866704</v>
      </c>
      <c r="T27" s="22">
        <f>IF('M3 Allocations - TD'!R5="","",'M3 Allocations - TD'!R31)</f>
        <v>239315.41925638349</v>
      </c>
      <c r="U27" s="22">
        <f>IF('M3 Allocations - TD'!S5="","",'M3 Allocations - TD'!S31)</f>
        <v>745964.63979628112</v>
      </c>
      <c r="V27" s="22">
        <f>IF('M3 Allocations - TD'!T5="","",'M3 Allocations - TD'!T31)</f>
        <v>1021961.1417325244</v>
      </c>
      <c r="W27" s="22">
        <f>IF('M3 Allocations - TD'!U5="","",'M3 Allocations - TD'!U31)</f>
        <v>1221140.287913003</v>
      </c>
      <c r="X27" s="22">
        <f>IF('M3 Allocations - TD'!V5="","",'M3 Allocations - TD'!V31)</f>
        <v>1038934.5439936385</v>
      </c>
      <c r="Y27" s="22">
        <f>IF('M3 Allocations - TD'!W5="","",'M3 Allocations - TD'!W31)</f>
        <v>456853.18990942289</v>
      </c>
      <c r="Z27" s="22">
        <f>IF('M3 Allocations - TD'!X5="","",'M3 Allocations - TD'!X31)</f>
        <v>609473.30327174987</v>
      </c>
      <c r="AA27" s="22">
        <f>IF('M3 Allocations - TD'!Y5="","",'M3 Allocations - TD'!Y31)</f>
        <v>767580.56672561402</v>
      </c>
      <c r="AB27" s="22">
        <f>IF('M3 Allocations - TD'!Z5="","",'M3 Allocations - TD'!Z31)</f>
        <v>793063.84804214339</v>
      </c>
      <c r="AC27" s="22">
        <f>IF('M3 Allocations - TD'!AA5="","",'M3 Allocations - TD'!AA31)</f>
        <v>764854.30430963449</v>
      </c>
      <c r="AD27" s="22">
        <f>IF('M3 Allocations - TD'!AB5="","",'M3 Allocations - TD'!AB31)</f>
        <v>819560.20806617534</v>
      </c>
      <c r="AE27" s="22">
        <f>IF('M3 Allocations - TD'!AC5="","",'M3 Allocations - TD'!AC31)</f>
        <v>733166.25858200283</v>
      </c>
      <c r="AF27" s="22">
        <f>IF('M3 Allocations - TD'!AD5="","",'M3 Allocations - TD'!AD31)</f>
        <v>808585.44290839287</v>
      </c>
      <c r="AG27" s="22">
        <f>IF('M3 Allocations - TD'!AE5="","",'M3 Allocations - TD'!AE31)</f>
        <v>2229150.475396621</v>
      </c>
      <c r="AH27" s="22">
        <f>IF('M3 Allocations - TD'!AF5="","",'M3 Allocations - TD'!AF31)</f>
        <v>2728598.0253418689</v>
      </c>
      <c r="AI27" s="22">
        <f>IF('M3 Allocations - TD'!AG5="","",'M3 Allocations - TD'!AG31)</f>
        <v>2843181.2454154654</v>
      </c>
      <c r="AJ27" s="22">
        <f>IF('M3 Allocations - TD'!AH5="","",'M3 Allocations - TD'!AH31)</f>
        <v>2152415.8892408246</v>
      </c>
      <c r="AK27" s="22">
        <f>IF('M3 Allocations - TD'!AI5="","",'M3 Allocations - TD'!AI31)</f>
        <v>886771.1903804827</v>
      </c>
      <c r="AL27" s="22">
        <f>IF('M3 Allocations - TD'!AJ5="","",'M3 Allocations - TD'!AJ31)</f>
        <v>1017970.7346454827</v>
      </c>
      <c r="AM27" s="22">
        <f>IF('M3 Allocations - TD'!AK5="","",'M3 Allocations - TD'!AK31)</f>
        <v>1252923.0225376603</v>
      </c>
      <c r="AN27" s="22">
        <f>IF('M3 Allocations - TD'!AL5="","",'M3 Allocations - TD'!AL31)</f>
        <v>1434652.1574546397</v>
      </c>
      <c r="AO27" s="22">
        <f>IF('M3 Allocations - TD'!AM5="","",'M3 Allocations - TD'!AM31)</f>
        <v>1242256.6900827016</v>
      </c>
      <c r="AP27" s="22">
        <f>IF('M3 Allocations - TD'!AN5="","",'M3 Allocations - TD'!AN31)</f>
        <v>466704.19082447694</v>
      </c>
      <c r="AQ27" s="22">
        <f>IF('M3 Allocations - TD'!AO5="","",'M3 Allocations - TD'!AO31)</f>
        <v>411086.64598257263</v>
      </c>
      <c r="AR27" s="22">
        <f>IF('M3 Allocations - TD'!AP5="","",'M3 Allocations - TD'!AP31)</f>
        <v>460606.66199414816</v>
      </c>
      <c r="AS27" s="22">
        <f>IF('M3 Allocations - TD'!AQ5="","",'M3 Allocations - TD'!AQ31)</f>
        <v>1458035.3553365585</v>
      </c>
      <c r="AT27" s="22">
        <f>IF('M3 Allocations - TD'!AR5="","",'M3 Allocations - TD'!AR31)</f>
        <v>1865399.5827007205</v>
      </c>
      <c r="AU27" s="22">
        <f>IF('M3 Allocations - TD'!AS5="","",'M3 Allocations - TD'!AS31)</f>
        <v>1789207.583547906</v>
      </c>
      <c r="AV27" s="22">
        <f>IF('M3 Allocations - TD'!AT5="","",'M3 Allocations - TD'!AT31)</f>
        <v>1230661.6176145528</v>
      </c>
      <c r="AW27" s="22">
        <f>IF('M3 Allocations - TD'!AU5="","",'M3 Allocations - TD'!AU31)</f>
        <v>448108.96181830607</v>
      </c>
      <c r="AX27" s="22">
        <f>IF('M3 Allocations - TD'!AV5="","",'M3 Allocations - TD'!AV31)</f>
        <v>513287.7753165249</v>
      </c>
      <c r="AY27" s="22">
        <f>IF('M3 Allocations - TD'!AW5="","",'M3 Allocations - TD'!AW31)</f>
        <v>667158.91637326952</v>
      </c>
      <c r="AZ27" s="22">
        <f>IF('M3 Allocations - TD'!AX5="","",'M3 Allocations - TD'!AX31)</f>
        <v>696119.34220677242</v>
      </c>
      <c r="BA27" s="246"/>
    </row>
    <row r="28" spans="1:53" s="5" customFormat="1" ht="15" hidden="1" customHeight="1" outlineLevel="1" x14ac:dyDescent="0.35">
      <c r="A28" s="274"/>
      <c r="B28" s="18" t="s">
        <v>26</v>
      </c>
      <c r="C28" s="104"/>
      <c r="D28" s="104"/>
      <c r="E28" s="104"/>
      <c r="F28" s="22">
        <f>IF('M3 Allocations - TD'!D51="","",'M3 Allocations - TD'!D69)</f>
        <v>0</v>
      </c>
      <c r="G28" s="22">
        <f>IF('M3 Allocations - TD'!E51="","",'M3 Allocations - TD'!E69)</f>
        <v>0</v>
      </c>
      <c r="H28" s="22">
        <f>IF('M3 Allocations - TD'!F51="","",'M3 Allocations - TD'!F69)</f>
        <v>28636.335868779192</v>
      </c>
      <c r="I28" s="22">
        <f>IF('M3 Allocations - TD'!G51="","",'M3 Allocations - TD'!G69)</f>
        <v>344669.92129031231</v>
      </c>
      <c r="J28" s="22">
        <f>IF('M3 Allocations - TD'!H51="","",'M3 Allocations - TD'!H69)</f>
        <v>437739.69493695599</v>
      </c>
      <c r="K28" s="22">
        <f>IF('M3 Allocations - TD'!I51="","",'M3 Allocations - TD'!I69)</f>
        <v>461093.89388914994</v>
      </c>
      <c r="L28" s="22">
        <f>IF('M3 Allocations - TD'!J51="","",'M3 Allocations - TD'!J69)</f>
        <v>425531.99443758972</v>
      </c>
      <c r="M28" s="22">
        <f>IF('M3 Allocations - TD'!K51="","",'M3 Allocations - TD'!K69)</f>
        <v>350101.97926152864</v>
      </c>
      <c r="N28" s="22">
        <f>IF('M3 Allocations - TD'!L51="","",'M3 Allocations - TD'!L69)</f>
        <v>315194.78964232601</v>
      </c>
      <c r="O28" s="22">
        <f>IF('M3 Allocations - TD'!M51="","",'M3 Allocations - TD'!M69)</f>
        <v>423499.84124645527</v>
      </c>
      <c r="P28" s="22">
        <f>IF('M3 Allocations - TD'!N51="","",'M3 Allocations - TD'!N69)</f>
        <v>467459.76087976695</v>
      </c>
      <c r="Q28" s="22">
        <f>IF('M3 Allocations - TD'!O51="","",'M3 Allocations - TD'!O69)</f>
        <v>474323.05163473397</v>
      </c>
      <c r="R28" s="22">
        <f>IF('M3 Allocations - TD'!P51="","",'M3 Allocations - TD'!P69)</f>
        <v>428810.25716296653</v>
      </c>
      <c r="S28" s="22">
        <f>IF('M3 Allocations - TD'!Q51="","",'M3 Allocations - TD'!Q69)</f>
        <v>339346.33491655142</v>
      </c>
      <c r="T28" s="22">
        <f>IF('M3 Allocations - TD'!R51="","",'M3 Allocations - TD'!R69)</f>
        <v>302925.05162387801</v>
      </c>
      <c r="U28" s="22">
        <f>IF('M3 Allocations - TD'!S51="","",'M3 Allocations - TD'!S69)</f>
        <v>399589.74786578171</v>
      </c>
      <c r="V28" s="22">
        <f>IF('M3 Allocations - TD'!T51="","",'M3 Allocations - TD'!T69)</f>
        <v>536049.73122413771</v>
      </c>
      <c r="W28" s="22">
        <f>IF('M3 Allocations - TD'!U51="","",'M3 Allocations - TD'!U69)</f>
        <v>503311.04413038632</v>
      </c>
      <c r="X28" s="22">
        <f>IF('M3 Allocations - TD'!V51="","",'M3 Allocations - TD'!V69)</f>
        <v>453730.11803544633</v>
      </c>
      <c r="Y28" s="22">
        <f>IF('M3 Allocations - TD'!W51="","",'M3 Allocations - TD'!W69)</f>
        <v>307694.93026905361</v>
      </c>
      <c r="Z28" s="22">
        <f>IF('M3 Allocations - TD'!X51="","",'M3 Allocations - TD'!X69)</f>
        <v>328619.27667869348</v>
      </c>
      <c r="AA28" s="22">
        <f>IF('M3 Allocations - TD'!Y51="","",'M3 Allocations - TD'!Y69)</f>
        <v>435339.54516653361</v>
      </c>
      <c r="AB28" s="22">
        <f>IF('M3 Allocations - TD'!Z51="","",'M3 Allocations - TD'!Z69)</f>
        <v>565868.64496161381</v>
      </c>
      <c r="AC28" s="22">
        <f>IF('M3 Allocations - TD'!AA51="","",'M3 Allocations - TD'!AA69)</f>
        <v>1375644.4768897495</v>
      </c>
      <c r="AD28" s="22">
        <f>IF('M3 Allocations - TD'!AB51="","",'M3 Allocations - TD'!AB69)</f>
        <v>1787809.7846895901</v>
      </c>
      <c r="AE28" s="22">
        <f>IF('M3 Allocations - TD'!AC51="","",'M3 Allocations - TD'!AC69)</f>
        <v>1208966.210998087</v>
      </c>
      <c r="AF28" s="22">
        <f>IF('M3 Allocations - TD'!AD51="","",'M3 Allocations - TD'!AD69)</f>
        <v>1135096.7258818494</v>
      </c>
      <c r="AG28" s="22">
        <f>IF('M3 Allocations - TD'!AE51="","",'M3 Allocations - TD'!AE69)</f>
        <v>1483131.5421443433</v>
      </c>
      <c r="AH28" s="22">
        <f>IF('M3 Allocations - TD'!AF51="","",'M3 Allocations - TD'!AF69)</f>
        <v>1957827.6512690852</v>
      </c>
      <c r="AI28" s="22">
        <f>IF('M3 Allocations - TD'!AG51="","",'M3 Allocations - TD'!AG69)</f>
        <v>1996815.833049651</v>
      </c>
      <c r="AJ28" s="22">
        <f>IF('M3 Allocations - TD'!AH51="","",'M3 Allocations - TD'!AH69)</f>
        <v>1962236.8311878431</v>
      </c>
      <c r="AK28" s="22">
        <f>IF('M3 Allocations - TD'!AI51="","",'M3 Allocations - TD'!AI69)</f>
        <v>1361448.9893388003</v>
      </c>
      <c r="AL28" s="22">
        <f>IF('M3 Allocations - TD'!AJ51="","",'M3 Allocations - TD'!AJ69)</f>
        <v>1278047.5437683114</v>
      </c>
      <c r="AM28" s="22">
        <f>IF('M3 Allocations - TD'!AK51="","",'M3 Allocations - TD'!AK69)</f>
        <v>1599362.0545714868</v>
      </c>
      <c r="AN28" s="22">
        <f>IF('M3 Allocations - TD'!AL51="","",'M3 Allocations - TD'!AL69)</f>
        <v>2061688.4651608262</v>
      </c>
      <c r="AO28" s="22">
        <f>IF('M3 Allocations - TD'!AM51="","",'M3 Allocations - TD'!AM69)</f>
        <v>1660014.398272939</v>
      </c>
      <c r="AP28" s="22">
        <f>IF('M3 Allocations - TD'!AN51="","",'M3 Allocations - TD'!AN69)</f>
        <v>727343.38262135477</v>
      </c>
      <c r="AQ28" s="22">
        <f>IF('M3 Allocations - TD'!AO51="","",'M3 Allocations - TD'!AO69)</f>
        <v>558489.16557480057</v>
      </c>
      <c r="AR28" s="22">
        <f>IF('M3 Allocations - TD'!AP51="","",'M3 Allocations - TD'!AP69)</f>
        <v>521512.93435668247</v>
      </c>
      <c r="AS28" s="22">
        <f>IF('M3 Allocations - TD'!AQ51="","",'M3 Allocations - TD'!AQ69)</f>
        <v>661161.70778882992</v>
      </c>
      <c r="AT28" s="22">
        <f>IF('M3 Allocations - TD'!AR51="","",'M3 Allocations - TD'!AR69)</f>
        <v>907955.1483625297</v>
      </c>
      <c r="AU28" s="22">
        <f>IF('M3 Allocations - TD'!AS51="","",'M3 Allocations - TD'!AS69)</f>
        <v>865613.78677226591</v>
      </c>
      <c r="AV28" s="22">
        <f>IF('M3 Allocations - TD'!AT51="","",'M3 Allocations - TD'!AT69)</f>
        <v>722180.00996221579</v>
      </c>
      <c r="AW28" s="22">
        <f>IF('M3 Allocations - TD'!AU51="","",'M3 Allocations - TD'!AU69)</f>
        <v>521401.47348380275</v>
      </c>
      <c r="AX28" s="22">
        <f>IF('M3 Allocations - TD'!AV51="","",'M3 Allocations - TD'!AV69)</f>
        <v>510012.15674883407</v>
      </c>
      <c r="AY28" s="22">
        <f>IF('M3 Allocations - TD'!AW51="","",'M3 Allocations - TD'!AW69)</f>
        <v>730768.62713599822</v>
      </c>
      <c r="AZ28" s="22">
        <f>IF('M3 Allocations - TD'!AX51="","",'M3 Allocations - TD'!AX69)</f>
        <v>902154.9870620399</v>
      </c>
      <c r="BA28" s="246"/>
    </row>
    <row r="29" spans="1:53" s="5" customFormat="1" ht="15" hidden="1" customHeight="1" outlineLevel="1" x14ac:dyDescent="0.35">
      <c r="A29" s="274"/>
      <c r="B29" s="18" t="s">
        <v>51</v>
      </c>
      <c r="C29" s="104"/>
      <c r="D29" s="104"/>
      <c r="E29" s="104"/>
      <c r="F29" s="22">
        <f>IF(F28="","",0)</f>
        <v>0</v>
      </c>
      <c r="G29" s="22">
        <f t="shared" ref="G29:P29" si="121">IF(G28="","",0)</f>
        <v>0</v>
      </c>
      <c r="H29" s="22">
        <f t="shared" si="121"/>
        <v>0</v>
      </c>
      <c r="I29" s="22">
        <f t="shared" si="121"/>
        <v>0</v>
      </c>
      <c r="J29" s="22">
        <f t="shared" si="121"/>
        <v>0</v>
      </c>
      <c r="K29" s="22">
        <f t="shared" si="121"/>
        <v>0</v>
      </c>
      <c r="L29" s="22">
        <f t="shared" si="121"/>
        <v>0</v>
      </c>
      <c r="M29" s="22">
        <f t="shared" si="121"/>
        <v>0</v>
      </c>
      <c r="N29" s="22">
        <f>IF(N28="","",0)</f>
        <v>0</v>
      </c>
      <c r="O29" s="22">
        <f t="shared" si="121"/>
        <v>0</v>
      </c>
      <c r="P29" s="22">
        <f t="shared" si="121"/>
        <v>0</v>
      </c>
      <c r="Q29" s="22">
        <f>IF(Q28="","",-'M3 TD amort'!C8)</f>
        <v>115732.97</v>
      </c>
      <c r="R29" s="22">
        <f>IF(R28="","",-'M3 TD amort'!D8)</f>
        <v>104574.51</v>
      </c>
      <c r="S29" s="22">
        <f>IF(S28="","",-'M3 TD amort'!E8)</f>
        <v>82818.98</v>
      </c>
      <c r="T29" s="22">
        <f>IF(T28="","",-'M3 TD amort'!F8)</f>
        <v>74005.649999999994</v>
      </c>
      <c r="U29" s="22">
        <f>IF(U28="","",-'M3 TD amort'!G8)</f>
        <v>97941.18</v>
      </c>
      <c r="V29" s="22">
        <f>IF(V28="","",-'M3 TD amort'!H8)</f>
        <v>131594.67000000001</v>
      </c>
      <c r="W29" s="22">
        <f>IF(W28="","",-'M3 TD amort'!I8)</f>
        <v>123527.13</v>
      </c>
      <c r="X29" s="22">
        <f>IF(X28="","",-'M3 TD amort'!J8)</f>
        <v>111322.95</v>
      </c>
      <c r="Y29" s="22">
        <f>IF(Y28="","",-'M3 TD amort'!K8)</f>
        <v>75219.710000000006</v>
      </c>
      <c r="Z29" s="22">
        <f>IF(Z28="","",-'M3 TD amort'!L8)</f>
        <v>80241.5</v>
      </c>
      <c r="AA29" s="22">
        <f>IF(AA28="","",-'M3 TD amort'!M8)</f>
        <v>106401.64</v>
      </c>
      <c r="AB29" s="22">
        <f>IF(AB28="","",-'M3 TD amort'!N8)</f>
        <v>138469.78</v>
      </c>
      <c r="AC29" s="22">
        <f>IF(AC28="","",-'M3 TD amort'!O8)</f>
        <v>-214209.84</v>
      </c>
      <c r="AD29" s="22">
        <f>IF(AD28="","",-'M3 TD amort'!P8)</f>
        <v>-278064.93</v>
      </c>
      <c r="AE29" s="22">
        <f>IF(AE28="","",-'M3 TD amort'!Q8)</f>
        <v>-187629.17</v>
      </c>
      <c r="AF29" s="22">
        <f>IF(AF28="","",-'M3 TD amort'!R8)</f>
        <v>-176283.71</v>
      </c>
      <c r="AG29" s="22">
        <f>IF(AG28="","",-'M3 TD amort'!S8)</f>
        <v>-231223.27</v>
      </c>
      <c r="AH29" s="22">
        <f>IF(AH28="","",-'M3 TD amort'!T8)</f>
        <v>-305423.73</v>
      </c>
      <c r="AI29" s="22">
        <f>IF(AI28="","",-'M3 TD amort'!U8)</f>
        <v>-311615.01</v>
      </c>
      <c r="AJ29" s="22">
        <f>IF(AJ28="","",-'M3 TD amort'!V8)</f>
        <v>-306092.45</v>
      </c>
      <c r="AK29" s="22">
        <f>IF(AK28="","",-'M3 TD amort'!W8)</f>
        <v>-211968.1</v>
      </c>
      <c r="AL29" s="22">
        <f>IF(AL28="","",-'M3 TD amort'!X8)</f>
        <v>-198628.63</v>
      </c>
      <c r="AM29" s="22">
        <f>IF(AM28="","",-'M3 TD amort'!Y8)</f>
        <v>-248528.93</v>
      </c>
      <c r="AN29" s="22">
        <f>IF(AN28="","",-'M3 TD amort'!Z8)</f>
        <v>-321239.03999999998</v>
      </c>
      <c r="AO29" s="22">
        <f>IF(AO28="","",-'M3 TD amort'!AA8)</f>
        <v>-270175.45</v>
      </c>
      <c r="AP29" s="22">
        <f>IF(AP28="","",-'M3 TD amort'!AB8)</f>
        <v>-118232.21</v>
      </c>
      <c r="AQ29" s="22">
        <f>IF(AQ28="","",-'M3 TD amort'!AC8)</f>
        <v>-90604.87</v>
      </c>
      <c r="AR29" s="22">
        <f>IF(AR28="","",-'M3 TD amort'!AD8)</f>
        <v>-84722.21</v>
      </c>
      <c r="AS29" s="22">
        <f>IF(AS28="","",-'M3 TD amort'!AE8)</f>
        <v>-107685.96</v>
      </c>
      <c r="AT29" s="22">
        <f>IF(AT28="","",-'M3 TD amort'!AF8)</f>
        <v>-148122.69</v>
      </c>
      <c r="AU29" s="22">
        <f>IF(AU28="","",-'M3 TD amort'!AG8)</f>
        <v>-141095.97</v>
      </c>
      <c r="AV29" s="22">
        <f>IF(AV28="","",-'M3 TD amort'!AH8)</f>
        <v>-117508.65</v>
      </c>
      <c r="AW29" s="22">
        <f>IF(AW28="","",-'M3 TD amort'!AI8)</f>
        <v>-84587.71</v>
      </c>
      <c r="AX29" s="22">
        <f>IF(AX28="","",-'M3 TD amort'!AJ8)</f>
        <v>-82166.47</v>
      </c>
      <c r="AY29" s="22">
        <f>IF(AY28="","",-'M3 TD amort'!AK8)</f>
        <v>-118093.79</v>
      </c>
      <c r="AZ29" s="22">
        <f>IF(AZ28="","",-'M3 TD amort'!AL8)</f>
        <v>-145990.39999999999</v>
      </c>
    </row>
    <row r="30" spans="1:53" s="5" customFormat="1" ht="15" hidden="1" customHeight="1" outlineLevel="1" x14ac:dyDescent="0.35">
      <c r="A30" s="274"/>
      <c r="B30" s="18" t="s">
        <v>52</v>
      </c>
      <c r="C30" s="104"/>
      <c r="D30" s="104"/>
      <c r="E30" s="104"/>
      <c r="F30" s="9">
        <f t="shared" ref="F30:M30" si="122">IF(OR(F29="",F28=""),"",F28+F29)</f>
        <v>0</v>
      </c>
      <c r="G30" s="9">
        <f t="shared" si="122"/>
        <v>0</v>
      </c>
      <c r="H30" s="9">
        <f t="shared" si="122"/>
        <v>28636.335868779192</v>
      </c>
      <c r="I30" s="9">
        <f t="shared" si="122"/>
        <v>344669.92129031231</v>
      </c>
      <c r="J30" s="9">
        <f t="shared" si="122"/>
        <v>437739.69493695599</v>
      </c>
      <c r="K30" s="9">
        <f t="shared" si="122"/>
        <v>461093.89388914994</v>
      </c>
      <c r="L30" s="9">
        <f t="shared" si="122"/>
        <v>425531.99443758972</v>
      </c>
      <c r="M30" s="9">
        <f t="shared" si="122"/>
        <v>350101.97926152864</v>
      </c>
      <c r="N30" s="9">
        <f>IF(OR(N29="",N28=""),"",N28+N29)</f>
        <v>315194.78964232601</v>
      </c>
      <c r="O30" s="9">
        <f>IF(OR(O29="",O28=""),"",O28+O29)</f>
        <v>423499.84124645527</v>
      </c>
      <c r="P30" s="9">
        <f t="shared" ref="P30:AE30" si="123">IF(OR(P29="",P28=""),"",P28+P29)</f>
        <v>467459.76087976695</v>
      </c>
      <c r="Q30" s="9">
        <f t="shared" si="123"/>
        <v>590056.021634734</v>
      </c>
      <c r="R30" s="9">
        <f t="shared" si="123"/>
        <v>533384.76716296654</v>
      </c>
      <c r="S30" s="9">
        <f t="shared" si="123"/>
        <v>422165.3149165514</v>
      </c>
      <c r="T30" s="9">
        <f t="shared" si="123"/>
        <v>376930.70162387798</v>
      </c>
      <c r="U30" s="9">
        <f t="shared" si="123"/>
        <v>497530.9278657817</v>
      </c>
      <c r="V30" s="9">
        <f t="shared" si="123"/>
        <v>667644.40122413775</v>
      </c>
      <c r="W30" s="9">
        <f t="shared" si="123"/>
        <v>626838.17413038632</v>
      </c>
      <c r="X30" s="9">
        <f t="shared" si="123"/>
        <v>565053.06803544634</v>
      </c>
      <c r="Y30" s="9">
        <f t="shared" si="123"/>
        <v>382914.64026905363</v>
      </c>
      <c r="Z30" s="9">
        <f>IF(OR(Z29="",Z28=""),"",Z28+Z29)</f>
        <v>408860.77667869348</v>
      </c>
      <c r="AA30" s="9">
        <f t="shared" si="123"/>
        <v>541741.18516653357</v>
      </c>
      <c r="AB30" s="9">
        <f t="shared" si="123"/>
        <v>704338.42496161384</v>
      </c>
      <c r="AC30" s="9">
        <f t="shared" si="123"/>
        <v>1161434.6368897494</v>
      </c>
      <c r="AD30" s="9">
        <f t="shared" si="123"/>
        <v>1509744.8546895902</v>
      </c>
      <c r="AE30" s="9">
        <f t="shared" si="123"/>
        <v>1021337.0409980869</v>
      </c>
      <c r="AF30" s="9">
        <f t="shared" ref="AF30:AW30" si="124">IF(OR(AF29="",AF28=""),"",AF28+AF29)</f>
        <v>958813.01588184945</v>
      </c>
      <c r="AG30" s="9">
        <f t="shared" si="124"/>
        <v>1251908.2721443432</v>
      </c>
      <c r="AH30" s="9">
        <f t="shared" si="124"/>
        <v>1652403.9212690853</v>
      </c>
      <c r="AI30" s="9">
        <f t="shared" si="124"/>
        <v>1685200.823049651</v>
      </c>
      <c r="AJ30" s="9">
        <f t="shared" si="124"/>
        <v>1656144.3811878432</v>
      </c>
      <c r="AK30" s="9">
        <f t="shared" si="124"/>
        <v>1149480.8893388002</v>
      </c>
      <c r="AL30" s="9">
        <f t="shared" si="124"/>
        <v>1079418.9137683115</v>
      </c>
      <c r="AM30" s="9">
        <f t="shared" si="124"/>
        <v>1350833.1245714868</v>
      </c>
      <c r="AN30" s="9">
        <f t="shared" si="124"/>
        <v>1740449.4251608262</v>
      </c>
      <c r="AO30" s="9">
        <f t="shared" si="124"/>
        <v>1389838.9482729391</v>
      </c>
      <c r="AP30" s="9">
        <f t="shared" si="124"/>
        <v>609111.17262135481</v>
      </c>
      <c r="AQ30" s="9">
        <f t="shared" si="124"/>
        <v>467884.29557480058</v>
      </c>
      <c r="AR30" s="9">
        <f t="shared" si="124"/>
        <v>436790.72435668245</v>
      </c>
      <c r="AS30" s="9">
        <f t="shared" si="124"/>
        <v>553475.74778882996</v>
      </c>
      <c r="AT30" s="9">
        <f t="shared" si="124"/>
        <v>759832.45836252975</v>
      </c>
      <c r="AU30" s="9">
        <f t="shared" si="124"/>
        <v>724517.81677226594</v>
      </c>
      <c r="AV30" s="9">
        <f>IF(OR(AV29="",AV28=""),"",AV28+AV29)</f>
        <v>604671.35996221576</v>
      </c>
      <c r="AW30" s="9">
        <f t="shared" si="124"/>
        <v>436813.76348380273</v>
      </c>
      <c r="AX30" s="9">
        <f>IF(OR(AX29="",AX28=""),"",AX28+AX29)</f>
        <v>427845.68674883409</v>
      </c>
      <c r="AY30" s="9">
        <f t="shared" ref="AY30" si="125">IF(OR(AY29="",AY28=""),"",AY28+AY29)</f>
        <v>612674.83713599818</v>
      </c>
      <c r="AZ30" s="9">
        <f t="shared" ref="AZ30" si="126">IF(OR(AZ29="",AZ28=""),"",AZ28+AZ29)</f>
        <v>756164.58706203988</v>
      </c>
    </row>
    <row r="31" spans="1:53" s="5" customFormat="1" hidden="1" outlineLevel="1" x14ac:dyDescent="0.35">
      <c r="A31" s="274"/>
      <c r="B31" s="18" t="s">
        <v>13</v>
      </c>
      <c r="C31" s="104"/>
      <c r="D31" s="104"/>
      <c r="E31" s="104"/>
      <c r="F31" s="9">
        <f t="shared" ref="F31:L31" si="127">IF(OR(F28="",F27=""),"",F27-F28)</f>
        <v>0</v>
      </c>
      <c r="G31" s="9">
        <f>IF(OR(G28="",G27=""),"",G27-G28)</f>
        <v>3542.7066619947968</v>
      </c>
      <c r="H31" s="9">
        <f t="shared" si="127"/>
        <v>-2042.587011875763</v>
      </c>
      <c r="I31" s="9">
        <f t="shared" si="127"/>
        <v>-101305.99221352636</v>
      </c>
      <c r="J31" s="9">
        <f t="shared" si="127"/>
        <v>3390.1150170901092</v>
      </c>
      <c r="K31" s="9">
        <f t="shared" si="127"/>
        <v>76961.106998553209</v>
      </c>
      <c r="L31" s="9">
        <f t="shared" si="127"/>
        <v>-50530.984803922765</v>
      </c>
      <c r="M31" s="9">
        <f>IF(OR(M28="",M27=""),"",M27-M28)</f>
        <v>-212267.59868433682</v>
      </c>
      <c r="N31" s="9">
        <f>IF(OR(N30="",N27=""),"",N27-N30)</f>
        <v>-40385.23306946503</v>
      </c>
      <c r="O31" s="9">
        <f t="shared" ref="O31:AE31" si="128">IF(OR(O30="",O27=""),"",O27-O30)</f>
        <v>44343.414292571193</v>
      </c>
      <c r="P31" s="9">
        <f t="shared" si="128"/>
        <v>76836.312043950486</v>
      </c>
      <c r="Q31" s="9">
        <f t="shared" si="128"/>
        <v>86133.198655375512</v>
      </c>
      <c r="R31" s="9">
        <f t="shared" si="128"/>
        <v>-70294.251757633756</v>
      </c>
      <c r="S31" s="9">
        <f t="shared" si="128"/>
        <v>-209165.47822788436</v>
      </c>
      <c r="T31" s="9">
        <f t="shared" si="128"/>
        <v>-137615.28236749448</v>
      </c>
      <c r="U31" s="9">
        <f t="shared" si="128"/>
        <v>248433.71193049941</v>
      </c>
      <c r="V31" s="9">
        <f t="shared" si="128"/>
        <v>354316.74050838663</v>
      </c>
      <c r="W31" s="9">
        <f t="shared" si="128"/>
        <v>594302.11378261668</v>
      </c>
      <c r="X31" s="9">
        <f t="shared" si="128"/>
        <v>473881.47595819214</v>
      </c>
      <c r="Y31" s="9">
        <f t="shared" si="128"/>
        <v>73938.549640369252</v>
      </c>
      <c r="Z31" s="9">
        <f>IF(OR(Z30="",Z27=""),"",Z27-Z30)</f>
        <v>200612.52659305639</v>
      </c>
      <c r="AA31" s="9">
        <f t="shared" si="128"/>
        <v>225839.38155908044</v>
      </c>
      <c r="AB31" s="9">
        <f t="shared" si="128"/>
        <v>88725.423080529552</v>
      </c>
      <c r="AC31" s="9">
        <f t="shared" si="128"/>
        <v>-396580.33258011495</v>
      </c>
      <c r="AD31" s="9">
        <f t="shared" si="128"/>
        <v>-690184.64662341482</v>
      </c>
      <c r="AE31" s="9">
        <f t="shared" si="128"/>
        <v>-288170.78241608408</v>
      </c>
      <c r="AF31" s="9">
        <f t="shared" ref="AF31:AU31" si="129">IF(OR(AF30="",AF27=""),"",AF27-AF30)</f>
        <v>-150227.57297345658</v>
      </c>
      <c r="AG31" s="9">
        <f t="shared" si="129"/>
        <v>977242.2032522778</v>
      </c>
      <c r="AH31" s="9">
        <f t="shared" si="129"/>
        <v>1076194.1040727836</v>
      </c>
      <c r="AI31" s="9">
        <f t="shared" si="129"/>
        <v>1157980.4223658144</v>
      </c>
      <c r="AJ31" s="9">
        <f t="shared" si="129"/>
        <v>496271.50805298146</v>
      </c>
      <c r="AK31" s="9">
        <f t="shared" si="129"/>
        <v>-262709.69895831752</v>
      </c>
      <c r="AL31" s="9">
        <f t="shared" si="129"/>
        <v>-61448.179122828762</v>
      </c>
      <c r="AM31" s="9">
        <f t="shared" si="129"/>
        <v>-97910.102033826523</v>
      </c>
      <c r="AN31" s="9">
        <f t="shared" si="129"/>
        <v>-305797.26770618651</v>
      </c>
      <c r="AO31" s="9">
        <f t="shared" si="129"/>
        <v>-147582.25819023745</v>
      </c>
      <c r="AP31" s="9">
        <f t="shared" si="129"/>
        <v>-142406.98179687787</v>
      </c>
      <c r="AQ31" s="9">
        <f t="shared" si="129"/>
        <v>-56797.649592227943</v>
      </c>
      <c r="AR31" s="9">
        <f t="shared" si="129"/>
        <v>23815.937637465715</v>
      </c>
      <c r="AS31" s="9">
        <f t="shared" si="129"/>
        <v>904559.60754772858</v>
      </c>
      <c r="AT31" s="9">
        <f t="shared" si="129"/>
        <v>1105567.1243381908</v>
      </c>
      <c r="AU31" s="9">
        <f t="shared" si="129"/>
        <v>1064689.7667756402</v>
      </c>
      <c r="AV31" s="9">
        <f>IF(OR(AV30="",AV27=""),"",AV27-AV30)</f>
        <v>625990.25765233708</v>
      </c>
      <c r="AW31" s="141">
        <f>IF(OR(AW30="",AW27=""),"",AW27-AW30)+AW26</f>
        <v>-100972.62667034881</v>
      </c>
      <c r="AX31" s="9">
        <f>IF(OR(AX30="",AX27=""),"",AX27-AX30)</f>
        <v>85442.088567690807</v>
      </c>
      <c r="AY31" s="9">
        <f t="shared" ref="AY31" si="130">IF(OR(AY30="",AY27=""),"",AY27-AY30)</f>
        <v>54484.079237271333</v>
      </c>
      <c r="AZ31" s="9">
        <f t="shared" ref="AZ31" si="131">IF(OR(AZ30="",AZ27=""),"",AZ27-AZ30)</f>
        <v>-60045.244855267461</v>
      </c>
      <c r="BA31" s="238"/>
    </row>
    <row r="32" spans="1:53" s="5" customFormat="1" hidden="1" outlineLevel="1" x14ac:dyDescent="0.35">
      <c r="A32" s="274"/>
      <c r="B32" s="19" t="s">
        <v>8</v>
      </c>
      <c r="C32" s="104"/>
      <c r="D32" s="104"/>
      <c r="E32" s="104"/>
      <c r="F32" s="9">
        <f>IF(OR(F9="",F31=""),"",ROUND((F31+E34)*F9/12,2))</f>
        <v>0</v>
      </c>
      <c r="G32" s="9">
        <f t="shared" ref="G32:L32" si="132">IF(OR(G9="",G31=""),"",ROUND((G31+F34)*G9/12,2))</f>
        <v>7.86</v>
      </c>
      <c r="H32" s="9">
        <f t="shared" si="132"/>
        <v>3.36</v>
      </c>
      <c r="I32" s="9">
        <f>IF(OR(I9="",I31=""),"",ROUND((I31+H34)*I9/12,2))</f>
        <v>-220.38</v>
      </c>
      <c r="J32" s="9">
        <f>IF(OR(J9="",J31=""),"",ROUND((J31+I34)*J9/12,2))</f>
        <v>-208.94</v>
      </c>
      <c r="K32" s="9">
        <f>IF(OR(K9="",K31=""),"",ROUND((K31+J34)*K9/12,2))</f>
        <v>-38.94</v>
      </c>
      <c r="L32" s="9">
        <f t="shared" si="132"/>
        <v>-130.13999999999999</v>
      </c>
      <c r="M32" s="9">
        <f>IF(OR(M9="",M31=""),"",ROUND((M31+L34)*M9/12,2))</f>
        <v>-498.25</v>
      </c>
      <c r="N32" s="126">
        <f>IF(OR(N9="",N31=""),"",ROUND((N31+M34)*N9/12,2))+N26</f>
        <v>-489.81000000000006</v>
      </c>
      <c r="O32" s="9">
        <f t="shared" ref="O32" si="133">IF(OR(O9="",O31=""),"",ROUND((O31+N34)*O9/12,2))</f>
        <v>-446.67</v>
      </c>
      <c r="P32" s="9">
        <f t="shared" ref="P32" si="134">IF(OR(P9="",P31=""),"",ROUND((P31+O34)*P9/12,2))</f>
        <v>-320.33</v>
      </c>
      <c r="Q32" s="9">
        <f t="shared" ref="Q32:R32" si="135">IF(OR(Q9="",Q31=""),"",ROUND((Q31+P34)*Q9/12,2))</f>
        <v>-176.85</v>
      </c>
      <c r="R32" s="9">
        <f t="shared" si="135"/>
        <v>-113.95</v>
      </c>
      <c r="S32" s="9">
        <f t="shared" ref="S32" si="136">IF(OR(S9="",S31=""),"",ROUND((S31+R34)*S9/12,2))</f>
        <v>-138.51</v>
      </c>
      <c r="T32" s="9">
        <f t="shared" ref="T32" si="137">IF(OR(T9="",T31=""),"",ROUND((T31+S34)*T9/12,2))</f>
        <v>-24.96</v>
      </c>
      <c r="U32" s="9">
        <f t="shared" ref="U32" si="138">IF(OR(U9="",U31=""),"",ROUND((U31+T34)*U9/12,2))</f>
        <v>9.4600000000000009</v>
      </c>
      <c r="V32" s="9">
        <f t="shared" ref="V32" si="139">IF(OR(V9="",V31=""),"",ROUND((V31+U34)*V9/12,2))</f>
        <v>87.57</v>
      </c>
      <c r="W32" s="9">
        <f t="shared" ref="W32:X32" si="140">IF(OR(W9="",W31=""),"",ROUND((W31+V34)*W9/12,2))</f>
        <v>144.4</v>
      </c>
      <c r="X32" s="9">
        <f t="shared" si="140"/>
        <v>192.71</v>
      </c>
      <c r="Y32" s="9">
        <f>IF(OR(Y9="",Y31=""),"",ROUND((Y31+X34)*Y9/12,2))</f>
        <v>341.94</v>
      </c>
      <c r="Z32" s="9">
        <f>IF(OR(Z9="",Z31=""),"",ROUND((Z29+Z31+Y34+Z26)*Z9/12,2))+Z26</f>
        <v>988.38</v>
      </c>
      <c r="AA32" s="9">
        <f>IF(OR(AA9="",AA31=""),"",ROUND((AA29+AA31+Z34)*AA9/12,2))</f>
        <v>650.36</v>
      </c>
      <c r="AB32" s="9">
        <f>IF(OR(AB9="",AB31=""),"",ROUND((AB29+AB31+AA34)*AB9/12,2))</f>
        <v>510.04</v>
      </c>
      <c r="AC32" s="9">
        <f t="shared" ref="AC32:AE32" si="141">IF(OR(AC9="",AC31=""),"",ROUND((AC29+AC31+AB34)*AC9/12,2))</f>
        <v>456.47</v>
      </c>
      <c r="AD32" s="9">
        <f t="shared" si="141"/>
        <v>247.69</v>
      </c>
      <c r="AE32" s="9">
        <f t="shared" si="141"/>
        <v>171.75</v>
      </c>
      <c r="AF32" s="9">
        <f t="shared" ref="AF32" si="142">IF(OR(AF9="",AF31=""),"",ROUND((AF29+AF31+AE34)*AF9/12,2))</f>
        <v>110.11</v>
      </c>
      <c r="AG32" s="9">
        <f t="shared" ref="AG32" si="143">IF(OR(AG9="",AG31=""),"",ROUND((AG29+AG31+AF34)*AG9/12,2))</f>
        <v>224.39</v>
      </c>
      <c r="AH32" s="9">
        <f t="shared" ref="AH32" si="144">IF(OR(AH9="",AH31=""),"",ROUND((AH29+AH31+AG34)*AH9/12,2))</f>
        <v>244.94</v>
      </c>
      <c r="AI32" s="9">
        <f t="shared" ref="AI32" si="145">IF(OR(AI9="",AI31=""),"",ROUND((AI29+AI31+AH34)*AI9/12,2))</f>
        <v>504.7</v>
      </c>
      <c r="AJ32" s="9">
        <f t="shared" ref="AJ32" si="146">IF(OR(AJ9="",AJ31=""),"",ROUND((AJ29+AJ31+AI34)*AJ9/12,2))</f>
        <v>506.2</v>
      </c>
      <c r="AK32" s="9">
        <f t="shared" ref="AK32" si="147">IF(OR(AK9="",AK31=""),"",ROUND((AK29+AK31+AJ34)*AK9/12,2))</f>
        <v>333.67</v>
      </c>
      <c r="AL32" s="9">
        <f t="shared" ref="AL32" si="148">IF(OR(AL9="",AL31=""),"",ROUND((AL29+AL31+AK34)*AL9/12,2))</f>
        <v>307.64999999999998</v>
      </c>
      <c r="AM32" s="9">
        <f t="shared" ref="AM32" si="149">IF(OR(AM9="",AM31=""),"",ROUND((AM29+AM31+AL34)*AM9/12,2))</f>
        <v>447.9</v>
      </c>
      <c r="AN32" s="9">
        <f t="shared" ref="AN32" si="150">IF(OR(AN9="",AN31=""),"",ROUND((AN29+AN31+AM34)*AN9/12,2))</f>
        <v>280.74</v>
      </c>
      <c r="AO32" s="9">
        <f t="shared" ref="AO32" si="151">IF(OR(AO9="",AO31=""),"",ROUND((AO29+AO31+AN34)*AO9/12,2))</f>
        <v>251.34</v>
      </c>
      <c r="AP32" s="9">
        <f t="shared" ref="AP32" si="152">IF(OR(AP9="",AP31=""),"",ROUND((AP29+AP31+AO34)*AP9/12,2))</f>
        <v>435.39</v>
      </c>
      <c r="AQ32" s="9">
        <f t="shared" ref="AQ32" si="153">IF(OR(AQ9="",AQ31=""),"",ROUND((AQ29+AQ31+AP34)*AQ9/12,2))</f>
        <v>306.26</v>
      </c>
      <c r="AR32" s="9">
        <f t="shared" ref="AR32" si="154">IF(OR(AR9="",AR31=""),"",ROUND((AR29+AR31+AQ34)*AR9/12,2))</f>
        <v>436.47</v>
      </c>
      <c r="AS32" s="9">
        <f t="shared" ref="AS32" si="155">IF(OR(AS9="",AS31=""),"",ROUND((AS29+AS31+AR34)*AS9/12,2))</f>
        <v>1670.13</v>
      </c>
      <c r="AT32" s="9">
        <f t="shared" ref="AT32" si="156">IF(OR(AT9="",AT31=""),"",ROUND((AT29+AT31+AS34)*AT9/12,2))</f>
        <v>3955.58</v>
      </c>
      <c r="AU32" s="9">
        <f t="shared" ref="AU32" si="157">IF(OR(AU9="",AU31=""),"",ROUND((AU29+AU31+AT34)*AU9/12,2))</f>
        <v>6913.29</v>
      </c>
      <c r="AV32" s="9">
        <f>IF(OR(AV9="",AV31=""),"",ROUND((AV29+AV31+AU34)*AV9/12,2))</f>
        <v>8882.3700000000008</v>
      </c>
      <c r="AW32" s="9">
        <f t="shared" ref="AW32:AZ32" si="158">IF(OR(AW9="",AW31=""),"",ROUND((AW29+AW31+AV34)*AW9/12,2))</f>
        <v>10335.74</v>
      </c>
      <c r="AX32" s="9">
        <f>IF(OR(AX9="",AX31=""),"",ROUND((AX29+AX31+AW34)*AX9/12,2))</f>
        <v>10375.1</v>
      </c>
      <c r="AY32" s="9">
        <f t="shared" si="158"/>
        <v>10221.16</v>
      </c>
      <c r="AZ32" s="9">
        <f t="shared" si="158"/>
        <v>9654.91</v>
      </c>
      <c r="BA32" s="238"/>
    </row>
    <row r="33" spans="1:53" s="5" customFormat="1" hidden="1" outlineLevel="1" x14ac:dyDescent="0.35">
      <c r="A33" s="274"/>
      <c r="B33" s="18" t="s">
        <v>14</v>
      </c>
      <c r="C33" s="104"/>
      <c r="D33" s="104"/>
      <c r="E33" s="104"/>
      <c r="F33" s="9">
        <f t="shared" ref="F33:M33" si="159">IF(OR(F31="",F32=""),"",F31+F32)</f>
        <v>0</v>
      </c>
      <c r="G33" s="9">
        <f>IF(OR(G31="",G32=""),"",G31+G32)</f>
        <v>3550.566661994797</v>
      </c>
      <c r="H33" s="9">
        <f t="shared" si="159"/>
        <v>-2039.2270118757631</v>
      </c>
      <c r="I33" s="9">
        <f t="shared" si="159"/>
        <v>-101526.37221352637</v>
      </c>
      <c r="J33" s="9">
        <f t="shared" si="159"/>
        <v>3181.1750170901091</v>
      </c>
      <c r="K33" s="9">
        <f t="shared" si="159"/>
        <v>76922.166998553206</v>
      </c>
      <c r="L33" s="9">
        <f t="shared" si="159"/>
        <v>-50661.124803922765</v>
      </c>
      <c r="M33" s="9">
        <f t="shared" si="159"/>
        <v>-212765.84868433682</v>
      </c>
      <c r="N33" s="9">
        <f>IF(OR(N31="",N32=""),"",N31+N32)</f>
        <v>-40875.043069465028</v>
      </c>
      <c r="O33" s="9">
        <f>IF(OR(O31="",O32=""),"",O31+O32)</f>
        <v>43896.744292571195</v>
      </c>
      <c r="P33" s="9">
        <f t="shared" ref="P33:AE33" si="160">IF(OR(P31="",P32=""),"",P31+P32)</f>
        <v>76515.982043950484</v>
      </c>
      <c r="Q33" s="9">
        <f>IF(OR(Q31="",Q32=""),"",Q31+Q32)</f>
        <v>85956.348655375506</v>
      </c>
      <c r="R33" s="9">
        <f t="shared" si="160"/>
        <v>-70408.201757633753</v>
      </c>
      <c r="S33" s="9">
        <f t="shared" si="160"/>
        <v>-209303.98822788437</v>
      </c>
      <c r="T33" s="9">
        <f t="shared" si="160"/>
        <v>-137640.24236749447</v>
      </c>
      <c r="U33" s="9">
        <f t="shared" si="160"/>
        <v>248443.1719304994</v>
      </c>
      <c r="V33" s="9">
        <f t="shared" si="160"/>
        <v>354404.31050838664</v>
      </c>
      <c r="W33" s="9">
        <f t="shared" si="160"/>
        <v>594446.5137826167</v>
      </c>
      <c r="X33" s="9">
        <f t="shared" si="160"/>
        <v>474074.18595819216</v>
      </c>
      <c r="Y33" s="9">
        <f t="shared" si="160"/>
        <v>74280.489640369255</v>
      </c>
      <c r="Z33" s="9">
        <f>IF(OR(Z31="",Z32=""),"",Z31+Z32)</f>
        <v>201600.9065930564</v>
      </c>
      <c r="AA33" s="9">
        <f t="shared" si="160"/>
        <v>226489.74155908043</v>
      </c>
      <c r="AB33" s="9">
        <f t="shared" si="160"/>
        <v>89235.463080529546</v>
      </c>
      <c r="AC33" s="9">
        <f t="shared" si="160"/>
        <v>-396123.86258011498</v>
      </c>
      <c r="AD33" s="9">
        <f t="shared" si="160"/>
        <v>-689936.95662341488</v>
      </c>
      <c r="AE33" s="9">
        <f t="shared" si="160"/>
        <v>-287999.03241608408</v>
      </c>
      <c r="AF33" s="9">
        <f t="shared" ref="AF33:AU33" si="161">IF(OR(AF31="",AF32=""),"",AF31+AF32)</f>
        <v>-150117.4629734566</v>
      </c>
      <c r="AG33" s="9">
        <f t="shared" si="161"/>
        <v>977466.59325227782</v>
      </c>
      <c r="AH33" s="9">
        <f t="shared" si="161"/>
        <v>1076439.0440727836</v>
      </c>
      <c r="AI33" s="9">
        <f t="shared" si="161"/>
        <v>1158485.1223658144</v>
      </c>
      <c r="AJ33" s="9">
        <f t="shared" si="161"/>
        <v>496777.70805298147</v>
      </c>
      <c r="AK33" s="9">
        <f t="shared" si="161"/>
        <v>-262376.02895831753</v>
      </c>
      <c r="AL33" s="9">
        <f t="shared" si="161"/>
        <v>-61140.529122828761</v>
      </c>
      <c r="AM33" s="9">
        <f t="shared" si="161"/>
        <v>-97462.202033826528</v>
      </c>
      <c r="AN33" s="9">
        <f t="shared" si="161"/>
        <v>-305516.52770618652</v>
      </c>
      <c r="AO33" s="9">
        <f t="shared" si="161"/>
        <v>-147330.91819023745</v>
      </c>
      <c r="AP33" s="9">
        <f t="shared" si="161"/>
        <v>-141971.59179687785</v>
      </c>
      <c r="AQ33" s="9">
        <f t="shared" si="161"/>
        <v>-56491.389592227941</v>
      </c>
      <c r="AR33" s="9">
        <f t="shared" si="161"/>
        <v>24252.407637465716</v>
      </c>
      <c r="AS33" s="9">
        <f t="shared" si="161"/>
        <v>906229.73754772858</v>
      </c>
      <c r="AT33" s="9">
        <f t="shared" si="161"/>
        <v>1109522.7043381908</v>
      </c>
      <c r="AU33" s="9">
        <f t="shared" si="161"/>
        <v>1071603.0567756402</v>
      </c>
      <c r="AV33" s="9">
        <f>IF(OR(AV31="",AV32=""),"",AV31+AV32)</f>
        <v>634872.62765233708</v>
      </c>
      <c r="AW33" s="9">
        <f>IF(OR(AW31="",AW32=""),"",AW31+AW32)</f>
        <v>-90636.886670348802</v>
      </c>
      <c r="AX33" s="9">
        <f>IF(OR(AX31="",AX32=""),"",AX31+AX32)</f>
        <v>95817.188567690813</v>
      </c>
      <c r="AY33" s="9">
        <f t="shared" ref="AY33" si="162">IF(OR(AY31="",AY32=""),"",AY31+AY32)</f>
        <v>64705.239237271337</v>
      </c>
      <c r="AZ33" s="9">
        <f t="shared" ref="AZ33" si="163">IF(OR(AZ31="",AZ32=""),"",AZ31+AZ32)</f>
        <v>-50390.334855267458</v>
      </c>
    </row>
    <row r="34" spans="1:53" s="5" customFormat="1" hidden="1" outlineLevel="1" x14ac:dyDescent="0.35">
      <c r="A34" s="274"/>
      <c r="B34" s="20" t="s">
        <v>15</v>
      </c>
      <c r="C34" s="104"/>
      <c r="D34" s="104"/>
      <c r="E34" s="104"/>
      <c r="F34" s="9">
        <f>IF(OR(F33=""),"",F33)</f>
        <v>0</v>
      </c>
      <c r="G34" s="9">
        <f>IF(OR(G33="",F34=""),"",G33+F34)</f>
        <v>3550.566661994797</v>
      </c>
      <c r="H34" s="9">
        <f t="shared" ref="H34:K34" si="164">IF(OR(H33="",G34=""),"",H33+G34)</f>
        <v>1511.3396501190339</v>
      </c>
      <c r="I34" s="9">
        <f t="shared" si="164"/>
        <v>-100015.03256340734</v>
      </c>
      <c r="J34" s="9">
        <f t="shared" si="164"/>
        <v>-96833.857546317231</v>
      </c>
      <c r="K34" s="9">
        <f t="shared" si="164"/>
        <v>-19911.690547764025</v>
      </c>
      <c r="L34" s="9">
        <f>IF(OR(L33="",K34=""),"",L33+K34)</f>
        <v>-70572.81535168679</v>
      </c>
      <c r="M34" s="9">
        <f>IF(OR(M33="",L34=""),"",M33+L34)</f>
        <v>-283338.66403602361</v>
      </c>
      <c r="N34" s="9">
        <f>IF(OR(N33="",M34=""),"",N33+N29+M34)</f>
        <v>-324213.70710548863</v>
      </c>
      <c r="O34" s="9">
        <f>IF(OR(O33="",N34=""),"",O33+O29+N34)</f>
        <v>-280316.96281291742</v>
      </c>
      <c r="P34" s="9">
        <f t="shared" ref="P34:AE34" si="165">IF(OR(P33="",O34=""),"",P33+P29+O34)</f>
        <v>-203800.98076896695</v>
      </c>
      <c r="Q34" s="9">
        <f t="shared" si="165"/>
        <v>-2111.6621135914465</v>
      </c>
      <c r="R34" s="9">
        <f t="shared" si="165"/>
        <v>32054.646128774795</v>
      </c>
      <c r="S34" s="9">
        <f t="shared" si="165"/>
        <v>-94430.362099109581</v>
      </c>
      <c r="T34" s="9">
        <f t="shared" si="165"/>
        <v>-158064.95446660405</v>
      </c>
      <c r="U34" s="9">
        <f t="shared" si="165"/>
        <v>188319.39746389538</v>
      </c>
      <c r="V34" s="9">
        <f t="shared" si="165"/>
        <v>674318.377972282</v>
      </c>
      <c r="W34" s="9">
        <f t="shared" si="165"/>
        <v>1392292.0217548986</v>
      </c>
      <c r="X34" s="9">
        <f t="shared" si="165"/>
        <v>1977689.1577130908</v>
      </c>
      <c r="Y34" s="9">
        <f t="shared" si="165"/>
        <v>2127189.35735346</v>
      </c>
      <c r="Z34" s="9">
        <f>IF(OR(Z33="",Y34=""),"",Z33+Z29+Y34)</f>
        <v>2409031.7639465164</v>
      </c>
      <c r="AA34" s="9">
        <f t="shared" si="165"/>
        <v>2741923.1455055969</v>
      </c>
      <c r="AB34" s="9">
        <f t="shared" si="165"/>
        <v>2969628.3885861263</v>
      </c>
      <c r="AC34" s="9">
        <f t="shared" si="165"/>
        <v>2359294.6860060114</v>
      </c>
      <c r="AD34" s="9">
        <f t="shared" si="165"/>
        <v>1391292.7993825965</v>
      </c>
      <c r="AE34" s="9">
        <f t="shared" si="165"/>
        <v>915664.59696651238</v>
      </c>
      <c r="AF34" s="9">
        <f t="shared" ref="AF34" si="166">IF(OR(AF33="",AE34=""),"",AF33+AF29+AE34)</f>
        <v>589263.42399305583</v>
      </c>
      <c r="AG34" s="9">
        <f t="shared" ref="AG34" si="167">IF(OR(AG33="",AF34=""),"",AG33+AG29+AF34)</f>
        <v>1335506.7472453336</v>
      </c>
      <c r="AH34" s="9">
        <f t="shared" ref="AH34" si="168">IF(OR(AH33="",AG34=""),"",AH33+AH29+AG34)</f>
        <v>2106522.0613181172</v>
      </c>
      <c r="AI34" s="9">
        <f t="shared" ref="AI34" si="169">IF(OR(AI33="",AH34=""),"",AI33+AI29+AH34)</f>
        <v>2953392.1736839316</v>
      </c>
      <c r="AJ34" s="9">
        <f t="shared" ref="AJ34" si="170">IF(OR(AJ33="",AI34=""),"",AJ33+AJ29+AI34)</f>
        <v>3144077.431736913</v>
      </c>
      <c r="AK34" s="9">
        <f t="shared" ref="AK34" si="171">IF(OR(AK33="",AJ34=""),"",AK33+AK29+AJ34)</f>
        <v>2669733.3027785956</v>
      </c>
      <c r="AL34" s="9">
        <f t="shared" ref="AL34" si="172">IF(OR(AL33="",AK34=""),"",AL33+AL29+AK34)</f>
        <v>2409964.1436557667</v>
      </c>
      <c r="AM34" s="9">
        <f t="shared" ref="AM34" si="173">IF(OR(AM33="",AL34=""),"",AM33+AM29+AL34)</f>
        <v>2063973.0116219402</v>
      </c>
      <c r="AN34" s="9">
        <f t="shared" ref="AN34" si="174">IF(OR(AN33="",AM34=""),"",AN33+AN29+AM34)</f>
        <v>1437217.4439157536</v>
      </c>
      <c r="AO34" s="9">
        <f t="shared" ref="AO34" si="175">IF(OR(AO33="",AN34=""),"",AO33+AO29+AN34)</f>
        <v>1019711.0757255162</v>
      </c>
      <c r="AP34" s="9">
        <f t="shared" ref="AP34" si="176">IF(OR(AP33="",AO34=""),"",AP33+AP29+AO34)</f>
        <v>759507.27392863831</v>
      </c>
      <c r="AQ34" s="9">
        <f t="shared" ref="AQ34" si="177">IF(OR(AQ33="",AP34=""),"",AQ33+AQ29+AP34)</f>
        <v>612411.01433641044</v>
      </c>
      <c r="AR34" s="9">
        <f t="shared" ref="AR34" si="178">IF(OR(AR33="",AQ34=""),"",AR33+AR29+AQ34)</f>
        <v>551941.21197387611</v>
      </c>
      <c r="AS34" s="9">
        <f t="shared" ref="AS34" si="179">IF(OR(AS33="",AR34=""),"",AS33+AS29+AR34)</f>
        <v>1350484.9895216047</v>
      </c>
      <c r="AT34" s="9">
        <f t="shared" ref="AT34" si="180">IF(OR(AT33="",AS34=""),"",AT33+AT29+AS34)</f>
        <v>2311885.0038597956</v>
      </c>
      <c r="AU34" s="9">
        <f t="shared" ref="AU34" si="181">IF(OR(AU33="",AT34=""),"",AU33+AU29+AT34)</f>
        <v>3242392.0906354357</v>
      </c>
      <c r="AV34" s="9">
        <f>IF(OR(AV33="",AU34=""),"",AV33+AV29+AU34)</f>
        <v>3759756.0682877726</v>
      </c>
      <c r="AW34" s="9">
        <f t="shared" ref="AW34:AZ34" si="182">IF(OR(AW33="",AV34=""),"",AW33+AW29+AV34)</f>
        <v>3584531.4716174239</v>
      </c>
      <c r="AX34" s="9">
        <f>IF(OR(AX33="",AW34=""),"",AX33+AX29+AW34)</f>
        <v>3598182.1901851147</v>
      </c>
      <c r="AY34" s="9">
        <f t="shared" si="182"/>
        <v>3544793.639422386</v>
      </c>
      <c r="AZ34" s="9">
        <f t="shared" si="182"/>
        <v>3348412.9045671187</v>
      </c>
    </row>
    <row r="35" spans="1:53" s="5" customFormat="1" ht="8.25" hidden="1" customHeight="1" outlineLevel="1" x14ac:dyDescent="0.35">
      <c r="A35" s="44"/>
      <c r="B35" s="13"/>
      <c r="C35" s="109"/>
      <c r="D35" s="109"/>
      <c r="E35" s="109"/>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row>
    <row r="36" spans="1:53" s="5" customFormat="1" ht="15" hidden="1" customHeight="1" outlineLevel="1" x14ac:dyDescent="0.35">
      <c r="A36" s="274" t="s">
        <v>21</v>
      </c>
      <c r="B36" s="17"/>
      <c r="C36" s="104"/>
      <c r="D36" s="104"/>
      <c r="E36" s="104"/>
      <c r="F36" s="9"/>
      <c r="G36" s="9"/>
      <c r="H36" s="9"/>
      <c r="I36" s="9"/>
      <c r="J36" s="9"/>
      <c r="K36" s="9"/>
      <c r="L36" s="9"/>
      <c r="M36" s="9"/>
      <c r="N36" s="124">
        <f>'MEEIA 3 adjs'!L23</f>
        <v>1.999999999998181E-2</v>
      </c>
      <c r="O36" s="9"/>
      <c r="P36" s="9"/>
      <c r="Q36" s="9"/>
      <c r="R36" s="9"/>
      <c r="S36" s="9"/>
      <c r="T36" s="9"/>
      <c r="U36" s="9"/>
      <c r="V36" s="9"/>
      <c r="W36" s="9"/>
      <c r="X36" s="9"/>
      <c r="Y36" s="9"/>
      <c r="Z36" s="124">
        <f>'MEEIA 3 adjs'!AA45</f>
        <v>78.53</v>
      </c>
      <c r="AA36" s="9"/>
      <c r="AB36" s="9"/>
      <c r="AC36" s="9"/>
      <c r="AD36" s="9"/>
      <c r="AE36" s="9"/>
      <c r="AF36" s="9"/>
      <c r="AG36" s="9"/>
      <c r="AH36" s="9"/>
      <c r="AI36" s="9"/>
      <c r="AJ36" s="9"/>
      <c r="AK36" s="9"/>
      <c r="AL36" s="9"/>
      <c r="AM36" s="9"/>
      <c r="AN36" s="9"/>
      <c r="AO36" s="9"/>
      <c r="AP36" s="9"/>
      <c r="AQ36" s="9"/>
      <c r="AR36" s="9"/>
      <c r="AS36" s="9"/>
      <c r="AT36" s="9"/>
      <c r="AU36" s="9"/>
      <c r="AV36" s="9"/>
      <c r="AW36" s="141">
        <f>'MEEIA 3 adjs'!CV31</f>
        <v>26657.471334484057</v>
      </c>
      <c r="AX36" s="9"/>
      <c r="AY36" s="9"/>
      <c r="AZ36" s="9"/>
    </row>
    <row r="37" spans="1:53" s="3" customFormat="1" ht="15" hidden="1" customHeight="1" outlineLevel="1" x14ac:dyDescent="0.35">
      <c r="A37" s="274"/>
      <c r="B37" s="17" t="s">
        <v>28</v>
      </c>
      <c r="C37" s="104"/>
      <c r="D37" s="104"/>
      <c r="E37" s="104"/>
      <c r="F37" s="22">
        <f>IF('M3 Allocations - TD'!D6="","",'M3 Allocations - TD'!D32)</f>
        <v>0.34412602678174997</v>
      </c>
      <c r="G37" s="22">
        <f>IF('M3 Allocations - TD'!E6="","",'M3 Allocations - TD'!E32)</f>
        <v>593.85341007321881</v>
      </c>
      <c r="H37" s="22">
        <f>IF('M3 Allocations - TD'!F6="","",'M3 Allocations - TD'!F32)</f>
        <v>8368.5225960071712</v>
      </c>
      <c r="I37" s="22">
        <f>IF('M3 Allocations - TD'!G6="","",'M3 Allocations - TD'!G32)</f>
        <v>23641.814181406706</v>
      </c>
      <c r="J37" s="22">
        <f>IF('M3 Allocations - TD'!H6="","",'M3 Allocations - TD'!H32)</f>
        <v>47663.861231335664</v>
      </c>
      <c r="K37" s="22">
        <f>IF('M3 Allocations - TD'!I6="","",'M3 Allocations - TD'!I32)</f>
        <v>53414.007632337976</v>
      </c>
      <c r="L37" s="22">
        <f>IF('M3 Allocations - TD'!J6="","",'M3 Allocations - TD'!J32)</f>
        <v>71963.570102025027</v>
      </c>
      <c r="M37" s="22">
        <f>IF('M3 Allocations - TD'!K6="","",'M3 Allocations - TD'!K32)</f>
        <v>61965.410188273323</v>
      </c>
      <c r="N37" s="22">
        <f>IF('M3 Allocations - TD'!L6="","",'M3 Allocations - TD'!L32)</f>
        <v>64700.998849587129</v>
      </c>
      <c r="O37" s="22">
        <f>IF('M3 Allocations - TD'!M6="","",'M3 Allocations - TD'!M32)</f>
        <v>81956.189294724609</v>
      </c>
      <c r="P37" s="22">
        <f>IF('M3 Allocations - TD'!N6="","",'M3 Allocations - TD'!N32)</f>
        <v>113990.99327753842</v>
      </c>
      <c r="Q37" s="22">
        <f>IF('M3 Allocations - TD'!O6="","",'M3 Allocations - TD'!O32)</f>
        <v>88043.147483850829</v>
      </c>
      <c r="R37" s="22">
        <f>IF('M3 Allocations - TD'!P6="","",'M3 Allocations - TD'!P32)</f>
        <v>103641.60510926238</v>
      </c>
      <c r="S37" s="22">
        <f>IF('M3 Allocations - TD'!Q6="","",'M3 Allocations - TD'!Q32)</f>
        <v>44495.668454394727</v>
      </c>
      <c r="T37" s="22">
        <f>IF('M3 Allocations - TD'!R6="","",'M3 Allocations - TD'!R32)</f>
        <v>72447.479306892477</v>
      </c>
      <c r="U37" s="22">
        <f>IF('M3 Allocations - TD'!S6="","",'M3 Allocations - TD'!S32)</f>
        <v>100242.14080653639</v>
      </c>
      <c r="V37" s="22">
        <f>IF('M3 Allocations - TD'!T6="","",'M3 Allocations - TD'!T32)</f>
        <v>144814.88878280437</v>
      </c>
      <c r="W37" s="22">
        <f>IF('M3 Allocations - TD'!U6="","",'M3 Allocations - TD'!U32)</f>
        <v>113846.66455304027</v>
      </c>
      <c r="X37" s="22">
        <f>IF('M3 Allocations - TD'!V6="","",'M3 Allocations - TD'!V32)</f>
        <v>127713.0610159208</v>
      </c>
      <c r="Y37" s="22">
        <f>IF('M3 Allocations - TD'!W6="","",'M3 Allocations - TD'!W32)</f>
        <v>102944.20736329375</v>
      </c>
      <c r="Z37" s="22">
        <f>IF('M3 Allocations - TD'!X6="","",'M3 Allocations - TD'!X32)</f>
        <v>98619.753088261379</v>
      </c>
      <c r="AA37" s="22">
        <f>IF('M3 Allocations - TD'!Y6="","",'M3 Allocations - TD'!Y32)</f>
        <v>116491.49867964754</v>
      </c>
      <c r="AB37" s="22">
        <f>IF('M3 Allocations - TD'!Z6="","",'M3 Allocations - TD'!Z32)</f>
        <v>196559.66519683803</v>
      </c>
      <c r="AC37" s="22">
        <f>IF('M3 Allocations - TD'!AA6="","",'M3 Allocations - TD'!AA32)</f>
        <v>143190.44336244816</v>
      </c>
      <c r="AD37" s="22">
        <f>IF('M3 Allocations - TD'!AB6="","",'M3 Allocations - TD'!AB32)</f>
        <v>165885.95699877734</v>
      </c>
      <c r="AE37" s="22">
        <f>IF('M3 Allocations - TD'!AC6="","",'M3 Allocations - TD'!AC32)</f>
        <v>168014.93999895826</v>
      </c>
      <c r="AF37" s="22">
        <f>IF('M3 Allocations - TD'!AD6="","",'M3 Allocations - TD'!AD32)</f>
        <v>224708.57117023846</v>
      </c>
      <c r="AG37" s="22">
        <f>IF('M3 Allocations - TD'!AE6="","",'M3 Allocations - TD'!AE32)</f>
        <v>334985.01191056194</v>
      </c>
      <c r="AH37" s="22">
        <f>IF('M3 Allocations - TD'!AF6="","",'M3 Allocations - TD'!AF32)</f>
        <v>449867.18718954525</v>
      </c>
      <c r="AI37" s="22">
        <f>IF('M3 Allocations - TD'!AG6="","",'M3 Allocations - TD'!AG32)</f>
        <v>392143.15877642907</v>
      </c>
      <c r="AJ37" s="22">
        <f>IF('M3 Allocations - TD'!AH6="","",'M3 Allocations - TD'!AH32)</f>
        <v>337751.81199888035</v>
      </c>
      <c r="AK37" s="22">
        <f>IF('M3 Allocations - TD'!AI6="","",'M3 Allocations - TD'!AI32)</f>
        <v>247793.76914859904</v>
      </c>
      <c r="AL37" s="22">
        <f>IF('M3 Allocations - TD'!AJ6="","",'M3 Allocations - TD'!AJ32)</f>
        <v>222262.13845546212</v>
      </c>
      <c r="AM37" s="22">
        <f>IF('M3 Allocations - TD'!AK6="","",'M3 Allocations - TD'!AK32)</f>
        <v>249509.48642011534</v>
      </c>
      <c r="AN37" s="22">
        <f>IF('M3 Allocations - TD'!AL6="","",'M3 Allocations - TD'!AL32)</f>
        <v>321944.69044732186</v>
      </c>
      <c r="AO37" s="22">
        <f>IF('M3 Allocations - TD'!AM6="","",'M3 Allocations - TD'!AM32)</f>
        <v>246962.75301226831</v>
      </c>
      <c r="AP37" s="22">
        <f>IF('M3 Allocations - TD'!AN6="","",'M3 Allocations - TD'!AN32)</f>
        <v>100845.58616926862</v>
      </c>
      <c r="AQ37" s="22">
        <f>IF('M3 Allocations - TD'!AO6="","",'M3 Allocations - TD'!AO32)</f>
        <v>127422.49440160212</v>
      </c>
      <c r="AR37" s="22">
        <f>IF('M3 Allocations - TD'!AP6="","",'M3 Allocations - TD'!AP32)</f>
        <v>191471.00601967305</v>
      </c>
      <c r="AS37" s="22">
        <f>IF('M3 Allocations - TD'!AQ6="","",'M3 Allocations - TD'!AQ32)</f>
        <v>262682.7688338983</v>
      </c>
      <c r="AT37" s="22">
        <f>IF('M3 Allocations - TD'!AR6="","",'M3 Allocations - TD'!AR32)</f>
        <v>354188.78297288192</v>
      </c>
      <c r="AU37" s="22">
        <f>IF('M3 Allocations - TD'!AS6="","",'M3 Allocations - TD'!AS32)</f>
        <v>291793.54141646903</v>
      </c>
      <c r="AV37" s="22">
        <f>IF('M3 Allocations - TD'!AT6="","",'M3 Allocations - TD'!AT32)</f>
        <v>288002.90399346605</v>
      </c>
      <c r="AW37" s="22">
        <f>IF('M3 Allocations - TD'!AU6="","",'M3 Allocations - TD'!AU32)</f>
        <v>176158.92806469859</v>
      </c>
      <c r="AX37" s="22">
        <f>IF('M3 Allocations - TD'!AV6="","",'M3 Allocations - TD'!AV32)</f>
        <v>154363.61309340104</v>
      </c>
      <c r="AY37" s="22">
        <f>IF('M3 Allocations - TD'!AW6="","",'M3 Allocations - TD'!AW32)</f>
        <v>184031.96632591443</v>
      </c>
      <c r="AZ37" s="22">
        <f>IF('M3 Allocations - TD'!AX6="","",'M3 Allocations - TD'!AX32)</f>
        <v>207246.80988707975</v>
      </c>
    </row>
    <row r="38" spans="1:53" s="5" customFormat="1" ht="15" hidden="1" customHeight="1" outlineLevel="1" x14ac:dyDescent="0.35">
      <c r="A38" s="274"/>
      <c r="B38" s="18" t="s">
        <v>26</v>
      </c>
      <c r="C38" s="104"/>
      <c r="D38" s="104"/>
      <c r="E38" s="104"/>
      <c r="F38" s="22">
        <f>IF('M3 Allocations - TD'!D52="","",'M3 Allocations - TD'!D70)</f>
        <v>0</v>
      </c>
      <c r="G38" s="22">
        <f>IF('M3 Allocations - TD'!E52="","",'M3 Allocations - TD'!E70)</f>
        <v>0</v>
      </c>
      <c r="H38" s="22">
        <f>IF('M3 Allocations - TD'!F52="","",'M3 Allocations - TD'!F70)</f>
        <v>4662.874879564878</v>
      </c>
      <c r="I38" s="22">
        <f>IF('M3 Allocations - TD'!G52="","",'M3 Allocations - TD'!G70)</f>
        <v>60575.806014450071</v>
      </c>
      <c r="J38" s="22">
        <f>IF('M3 Allocations - TD'!H52="","",'M3 Allocations - TD'!H70)</f>
        <v>69235.226705339766</v>
      </c>
      <c r="K38" s="22">
        <f>IF('M3 Allocations - TD'!I52="","",'M3 Allocations - TD'!I70)</f>
        <v>71132.268141530934</v>
      </c>
      <c r="L38" s="22">
        <f>IF('M3 Allocations - TD'!J52="","",'M3 Allocations - TD'!J70)</f>
        <v>68766.003213137257</v>
      </c>
      <c r="M38" s="22">
        <f>IF('M3 Allocations - TD'!K52="","",'M3 Allocations - TD'!K70)</f>
        <v>61936.863591354115</v>
      </c>
      <c r="N38" s="22">
        <f>IF('M3 Allocations - TD'!L52="","",'M3 Allocations - TD'!L70)</f>
        <v>55314.675500358826</v>
      </c>
      <c r="O38" s="22">
        <f>IF('M3 Allocations - TD'!M52="","",'M3 Allocations - TD'!M70)</f>
        <v>64772.869833744619</v>
      </c>
      <c r="P38" s="22">
        <f>IF('M3 Allocations - TD'!N52="","",'M3 Allocations - TD'!N70)</f>
        <v>69020.979330338465</v>
      </c>
      <c r="Q38" s="22">
        <f>IF('M3 Allocations - TD'!O52="","",'M3 Allocations - TD'!O70)</f>
        <v>72477.677451482814</v>
      </c>
      <c r="R38" s="22">
        <f>IF('M3 Allocations - TD'!P52="","",'M3 Allocations - TD'!P70)</f>
        <v>71928.028717536567</v>
      </c>
      <c r="S38" s="22">
        <f>IF('M3 Allocations - TD'!Q52="","",'M3 Allocations - TD'!Q70)</f>
        <v>55453.451619799707</v>
      </c>
      <c r="T38" s="22">
        <f>IF('M3 Allocations - TD'!R52="","",'M3 Allocations - TD'!R70)</f>
        <v>50391.746026202469</v>
      </c>
      <c r="U38" s="22">
        <f>IF('M3 Allocations - TD'!S52="","",'M3 Allocations - TD'!S70)</f>
        <v>63389.498728401399</v>
      </c>
      <c r="V38" s="22">
        <f>IF('M3 Allocations - TD'!T52="","",'M3 Allocations - TD'!T70)</f>
        <v>78881.855890584935</v>
      </c>
      <c r="W38" s="22">
        <f>IF('M3 Allocations - TD'!U52="","",'M3 Allocations - TD'!U70)</f>
        <v>76955.02703194521</v>
      </c>
      <c r="X38" s="22">
        <f>IF('M3 Allocations - TD'!V52="","",'M3 Allocations - TD'!V70)</f>
        <v>73755.388306573834</v>
      </c>
      <c r="Y38" s="22">
        <f>IF('M3 Allocations - TD'!W52="","",'M3 Allocations - TD'!W70)</f>
        <v>59772.834718849517</v>
      </c>
      <c r="Z38" s="22">
        <f>IF('M3 Allocations - TD'!X52="","",'M3 Allocations - TD'!X70)</f>
        <v>59572.876185864705</v>
      </c>
      <c r="AA38" s="22">
        <f>IF('M3 Allocations - TD'!Y52="","",'M3 Allocations - TD'!Y70)</f>
        <v>68599.470346323797</v>
      </c>
      <c r="AB38" s="22">
        <f>IF('M3 Allocations - TD'!Z52="","",'M3 Allocations - TD'!Z70)</f>
        <v>81564.73791205966</v>
      </c>
      <c r="AC38" s="22">
        <f>IF('M3 Allocations - TD'!AA52="","",'M3 Allocations - TD'!AA70)</f>
        <v>242664.75286538465</v>
      </c>
      <c r="AD38" s="22">
        <f>IF('M3 Allocations - TD'!AB52="","",'M3 Allocations - TD'!AB70)</f>
        <v>375919.83719992841</v>
      </c>
      <c r="AE38" s="22">
        <f>IF('M3 Allocations - TD'!AC52="","",'M3 Allocations - TD'!AC70)</f>
        <v>300075.62636462261</v>
      </c>
      <c r="AF38" s="22">
        <f>IF('M3 Allocations - TD'!AD52="","",'M3 Allocations - TD'!AD70)</f>
        <v>293923.98139317043</v>
      </c>
      <c r="AG38" s="22">
        <f>IF('M3 Allocations - TD'!AE52="","",'M3 Allocations - TD'!AE70)</f>
        <v>350815.31218641665</v>
      </c>
      <c r="AH38" s="22">
        <f>IF('M3 Allocations - TD'!AF52="","",'M3 Allocations - TD'!AF70)</f>
        <v>415012.49945076351</v>
      </c>
      <c r="AI38" s="22">
        <f>IF('M3 Allocations - TD'!AG52="","",'M3 Allocations - TD'!AG70)</f>
        <v>415043.37829811877</v>
      </c>
      <c r="AJ38" s="22">
        <f>IF('M3 Allocations - TD'!AH52="","",'M3 Allocations - TD'!AH70)</f>
        <v>419425.17682734353</v>
      </c>
      <c r="AK38" s="22">
        <f>IF('M3 Allocations - TD'!AI52="","",'M3 Allocations - TD'!AI70)</f>
        <v>350351.57477839955</v>
      </c>
      <c r="AL38" s="22">
        <f>IF('M3 Allocations - TD'!AJ52="","",'M3 Allocations - TD'!AJ70)</f>
        <v>312397.32107489841</v>
      </c>
      <c r="AM38" s="22">
        <f>IF('M3 Allocations - TD'!AK52="","",'M3 Allocations - TD'!AK70)</f>
        <v>355639.37645809754</v>
      </c>
      <c r="AN38" s="22">
        <f>IF('M3 Allocations - TD'!AL52="","",'M3 Allocations - TD'!AL70)</f>
        <v>419510.42236398638</v>
      </c>
      <c r="AO38" s="22">
        <f>IF('M3 Allocations - TD'!AM52="","",'M3 Allocations - TD'!AM70)</f>
        <v>345889.73802590865</v>
      </c>
      <c r="AP38" s="22">
        <f>IF('M3 Allocations - TD'!AN52="","",'M3 Allocations - TD'!AN70)</f>
        <v>199586.56344967708</v>
      </c>
      <c r="AQ38" s="22">
        <f>IF('M3 Allocations - TD'!AO52="","",'M3 Allocations - TD'!AO70)</f>
        <v>176831.15319493209</v>
      </c>
      <c r="AR38" s="22">
        <f>IF('M3 Allocations - TD'!AP52="","",'M3 Allocations - TD'!AP70)</f>
        <v>171543.19774187819</v>
      </c>
      <c r="AS38" s="22">
        <f>IF('M3 Allocations - TD'!AQ52="","",'M3 Allocations - TD'!AQ70)</f>
        <v>199615.15184616181</v>
      </c>
      <c r="AT38" s="22">
        <f>IF('M3 Allocations - TD'!AR52="","",'M3 Allocations - TD'!AR70)</f>
        <v>238634.42662698543</v>
      </c>
      <c r="AU38" s="22">
        <f>IF('M3 Allocations - TD'!AS52="","",'M3 Allocations - TD'!AS70)</f>
        <v>233703.41244781748</v>
      </c>
      <c r="AV38" s="22">
        <f>IF('M3 Allocations - TD'!AT52="","",'M3 Allocations - TD'!AT70)</f>
        <v>214332.64423371092</v>
      </c>
      <c r="AW38" s="22">
        <f>IF('M3 Allocations - TD'!AU52="","",'M3 Allocations - TD'!AU70)</f>
        <v>176304.098950004</v>
      </c>
      <c r="AX38" s="22">
        <f>IF('M3 Allocations - TD'!AV52="","",'M3 Allocations - TD'!AV70)</f>
        <v>163092.23156527209</v>
      </c>
      <c r="AY38" s="22">
        <f>IF('M3 Allocations - TD'!AW52="","",'M3 Allocations - TD'!AW70)</f>
        <v>197048.25495423991</v>
      </c>
      <c r="AZ38" s="22">
        <f>IF('M3 Allocations - TD'!AX52="","",'M3 Allocations - TD'!AX70)</f>
        <v>232324.50873144556</v>
      </c>
    </row>
    <row r="39" spans="1:53" s="5" customFormat="1" ht="15" hidden="1" customHeight="1" outlineLevel="1" x14ac:dyDescent="0.35">
      <c r="A39" s="274"/>
      <c r="B39" s="18" t="s">
        <v>51</v>
      </c>
      <c r="C39" s="104"/>
      <c r="D39" s="104"/>
      <c r="E39" s="104"/>
      <c r="F39" s="22">
        <f>IF(F38="","",0)</f>
        <v>0</v>
      </c>
      <c r="G39" s="22">
        <f t="shared" ref="G39" si="183">IF(G38="","",0)</f>
        <v>0</v>
      </c>
      <c r="H39" s="22">
        <f t="shared" ref="H39" si="184">IF(H38="","",0)</f>
        <v>0</v>
      </c>
      <c r="I39" s="22">
        <f t="shared" ref="I39" si="185">IF(I38="","",0)</f>
        <v>0</v>
      </c>
      <c r="J39" s="22">
        <f t="shared" ref="J39" si="186">IF(J38="","",0)</f>
        <v>0</v>
      </c>
      <c r="K39" s="22">
        <f t="shared" ref="K39" si="187">IF(K38="","",0)</f>
        <v>0</v>
      </c>
      <c r="L39" s="22">
        <f t="shared" ref="L39" si="188">IF(L38="","",0)</f>
        <v>0</v>
      </c>
      <c r="M39" s="22">
        <f t="shared" ref="M39" si="189">IF(M38="","",0)</f>
        <v>0</v>
      </c>
      <c r="N39" s="22">
        <f t="shared" ref="N39" si="190">IF(N38="","",0)</f>
        <v>0</v>
      </c>
      <c r="O39" s="22">
        <f t="shared" ref="O39" si="191">IF(O38="","",0)</f>
        <v>0</v>
      </c>
      <c r="P39" s="22">
        <f t="shared" ref="P39" si="192">IF(P38="","",0)</f>
        <v>0</v>
      </c>
      <c r="Q39" s="22">
        <f>IF(Q38="","",-'M3 TD amort'!C15)</f>
        <v>17996.03</v>
      </c>
      <c r="R39" s="22">
        <f>IF(R38="","",-'M3 TD amort'!D15)</f>
        <v>17828.82</v>
      </c>
      <c r="S39" s="22">
        <f>IF(S38="","",-'M3 TD amort'!E15)</f>
        <v>13698.34</v>
      </c>
      <c r="T39" s="22">
        <f>IF(T38="","",-'M3 TD amort'!F15)</f>
        <v>12419.68</v>
      </c>
      <c r="U39" s="22">
        <f>IF(U38="","",-'M3 TD amort'!G15)</f>
        <v>15595.43</v>
      </c>
      <c r="V39" s="22">
        <f>IF(V38="","",-'M3 TD amort'!H15)</f>
        <v>19419.18</v>
      </c>
      <c r="W39" s="22">
        <f>IF(W38="","",-'M3 TD amort'!I15)</f>
        <v>18927.88</v>
      </c>
      <c r="X39" s="22">
        <f>IF(X38="","",-'M3 TD amort'!J15)</f>
        <v>18118.43</v>
      </c>
      <c r="Y39" s="22">
        <f>IF(Y38="","",-'M3 TD amort'!K15)</f>
        <v>14686.23</v>
      </c>
      <c r="Z39" s="22">
        <f>IF(Z38="","",-'M3 TD amort'!L15)</f>
        <v>14677.84</v>
      </c>
      <c r="AA39" s="22">
        <f>IF(AA38="","",-'M3 TD amort'!M15)</f>
        <v>16957.169999999998</v>
      </c>
      <c r="AB39" s="22">
        <f>IF(AB38="","",-'M3 TD amort'!N15)</f>
        <v>20227.96</v>
      </c>
      <c r="AC39" s="22">
        <f>IF(AC38="","",-'M3 TD amort'!O15)</f>
        <v>-27075.87</v>
      </c>
      <c r="AD39" s="22">
        <f>IF(AD38="","",-'M3 TD amort'!P15)</f>
        <v>-41869.919999999998</v>
      </c>
      <c r="AE39" s="22">
        <f>IF(AE38="","",-'M3 TD amort'!Q15)</f>
        <v>-33303.57</v>
      </c>
      <c r="AF39" s="22">
        <f>IF(AF38="","",-'M3 TD amort'!R15)</f>
        <v>-32560.29</v>
      </c>
      <c r="AG39" s="22">
        <f>IF(AG38="","",-'M3 TD amort'!S15)</f>
        <v>-38841.39</v>
      </c>
      <c r="AH39" s="22">
        <f>IF(AH38="","",-'M3 TD amort'!T15)</f>
        <v>-45977.98</v>
      </c>
      <c r="AI39" s="22">
        <f>IF(AI38="","",-'M3 TD amort'!U15)</f>
        <v>-45995.38</v>
      </c>
      <c r="AJ39" s="22">
        <f>IF(AJ38="","",-'M3 TD amort'!V15)</f>
        <v>-46474.38</v>
      </c>
      <c r="AK39" s="22">
        <f>IF(AK38="","",-'M3 TD amort'!W15)</f>
        <v>-38765.449999999997</v>
      </c>
      <c r="AL39" s="22">
        <f>IF(AL38="","",-'M3 TD amort'!X15)</f>
        <v>-34659.79</v>
      </c>
      <c r="AM39" s="22">
        <f>IF(AM38="","",-'M3 TD amort'!Y15)</f>
        <v>-39489.65</v>
      </c>
      <c r="AN39" s="22">
        <f>IF(AN38="","",-'M3 TD amort'!Z15)</f>
        <v>-46633.93</v>
      </c>
      <c r="AO39" s="22">
        <f>IF(AO38="","",-'M3 TD amort'!AA15)</f>
        <v>59971.88</v>
      </c>
      <c r="AP39" s="22">
        <f>IF(AP38="","",-'M3 TD amort'!AB15)</f>
        <v>34460.21</v>
      </c>
      <c r="AQ39" s="22">
        <f>IF(AQ38="","",-'M3 TD amort'!AC15)</f>
        <v>30482.11</v>
      </c>
      <c r="AR39" s="22">
        <f>IF(AR38="","",-'M3 TD amort'!AD15)</f>
        <v>29523.43</v>
      </c>
      <c r="AS39" s="22">
        <f>IF(AS38="","",-'M3 TD amort'!AE15)</f>
        <v>34337.879999999997</v>
      </c>
      <c r="AT39" s="22">
        <f>IF(AT38="","",-'M3 TD amort'!AF15)</f>
        <v>41091.919999999998</v>
      </c>
      <c r="AU39" s="22">
        <f>IF(AU38="","",-'M3 TD amort'!AG15)</f>
        <v>40250.86</v>
      </c>
      <c r="AV39" s="22">
        <f>IF(AV38="","",-'M3 TD amort'!AH15)</f>
        <v>36905.46</v>
      </c>
      <c r="AW39" s="22">
        <f>IF(AW38="","",-'M3 TD amort'!AI15)</f>
        <v>30354.95</v>
      </c>
      <c r="AX39" s="22">
        <f>IF(AX38="","",-'M3 TD amort'!AJ15)</f>
        <v>28213.58</v>
      </c>
      <c r="AY39" s="22">
        <f>IF(AY38="","",-'M3 TD amort'!AK15)</f>
        <v>34172.76</v>
      </c>
      <c r="AZ39" s="22">
        <f>IF(AZ38="","",-'M3 TD amort'!AL15)</f>
        <v>40335.4</v>
      </c>
    </row>
    <row r="40" spans="1:53" s="5" customFormat="1" ht="15" hidden="1" customHeight="1" outlineLevel="1" x14ac:dyDescent="0.35">
      <c r="A40" s="274"/>
      <c r="B40" s="18" t="s">
        <v>52</v>
      </c>
      <c r="C40" s="104"/>
      <c r="D40" s="104"/>
      <c r="E40" s="104"/>
      <c r="F40" s="9">
        <f t="shared" ref="F40:M40" si="193">IF(OR(F39="",F38=""),"",F38+F39)</f>
        <v>0</v>
      </c>
      <c r="G40" s="9">
        <f t="shared" si="193"/>
        <v>0</v>
      </c>
      <c r="H40" s="9">
        <f t="shared" si="193"/>
        <v>4662.874879564878</v>
      </c>
      <c r="I40" s="9">
        <f t="shared" si="193"/>
        <v>60575.806014450071</v>
      </c>
      <c r="J40" s="9">
        <f t="shared" si="193"/>
        <v>69235.226705339766</v>
      </c>
      <c r="K40" s="9">
        <f t="shared" si="193"/>
        <v>71132.268141530934</v>
      </c>
      <c r="L40" s="9">
        <f t="shared" si="193"/>
        <v>68766.003213137257</v>
      </c>
      <c r="M40" s="9">
        <f t="shared" si="193"/>
        <v>61936.863591354115</v>
      </c>
      <c r="N40" s="9">
        <f>IF(OR(N39="",N38=""),"",N38+N39)</f>
        <v>55314.675500358826</v>
      </c>
      <c r="O40" s="9">
        <f t="shared" ref="O40:AE40" si="194">IF(OR(O39="",O38=""),"",O38+O39)</f>
        <v>64772.869833744619</v>
      </c>
      <c r="P40" s="9">
        <f t="shared" si="194"/>
        <v>69020.979330338465</v>
      </c>
      <c r="Q40" s="9">
        <f t="shared" si="194"/>
        <v>90473.707451482813</v>
      </c>
      <c r="R40" s="9">
        <f t="shared" si="194"/>
        <v>89756.848717536574</v>
      </c>
      <c r="S40" s="9">
        <f t="shared" si="194"/>
        <v>69151.791619799711</v>
      </c>
      <c r="T40" s="9">
        <f t="shared" si="194"/>
        <v>62811.426026202469</v>
      </c>
      <c r="U40" s="9">
        <f t="shared" si="194"/>
        <v>78984.928728401399</v>
      </c>
      <c r="V40" s="9">
        <f t="shared" si="194"/>
        <v>98301.035890584928</v>
      </c>
      <c r="W40" s="9">
        <f t="shared" si="194"/>
        <v>95882.907031945215</v>
      </c>
      <c r="X40" s="9">
        <f t="shared" si="194"/>
        <v>91873.818306573841</v>
      </c>
      <c r="Y40" s="9">
        <f t="shared" si="194"/>
        <v>74459.06471884952</v>
      </c>
      <c r="Z40" s="9">
        <f t="shared" si="194"/>
        <v>74250.716185864701</v>
      </c>
      <c r="AA40" s="9">
        <f t="shared" si="194"/>
        <v>85556.640346323795</v>
      </c>
      <c r="AB40" s="9">
        <f t="shared" si="194"/>
        <v>101792.69791205967</v>
      </c>
      <c r="AC40" s="9">
        <f t="shared" si="194"/>
        <v>215588.88286538466</v>
      </c>
      <c r="AD40" s="9">
        <f t="shared" si="194"/>
        <v>334049.91719992843</v>
      </c>
      <c r="AE40" s="9">
        <f t="shared" si="194"/>
        <v>266772.05636462261</v>
      </c>
      <c r="AF40" s="9">
        <f t="shared" ref="AF40:AW40" si="195">IF(OR(AF39="",AF38=""),"",AF38+AF39)</f>
        <v>261363.69139317042</v>
      </c>
      <c r="AG40" s="9">
        <f t="shared" si="195"/>
        <v>311973.92218641663</v>
      </c>
      <c r="AH40" s="9">
        <f t="shared" si="195"/>
        <v>369034.51945076353</v>
      </c>
      <c r="AI40" s="9">
        <f t="shared" si="195"/>
        <v>369047.99829811876</v>
      </c>
      <c r="AJ40" s="9">
        <f t="shared" si="195"/>
        <v>372950.79682734353</v>
      </c>
      <c r="AK40" s="9">
        <f t="shared" si="195"/>
        <v>311586.12477839953</v>
      </c>
      <c r="AL40" s="9">
        <f t="shared" si="195"/>
        <v>277737.53107489843</v>
      </c>
      <c r="AM40" s="9">
        <f t="shared" si="195"/>
        <v>316149.72645809752</v>
      </c>
      <c r="AN40" s="9">
        <f t="shared" si="195"/>
        <v>372876.49236398638</v>
      </c>
      <c r="AO40" s="9">
        <f t="shared" si="195"/>
        <v>405861.61802590865</v>
      </c>
      <c r="AP40" s="9">
        <f t="shared" si="195"/>
        <v>234046.77344967707</v>
      </c>
      <c r="AQ40" s="9">
        <f t="shared" si="195"/>
        <v>207313.26319493208</v>
      </c>
      <c r="AR40" s="9">
        <f t="shared" si="195"/>
        <v>201066.62774187818</v>
      </c>
      <c r="AS40" s="9">
        <f t="shared" si="195"/>
        <v>233953.03184616182</v>
      </c>
      <c r="AT40" s="9">
        <f t="shared" si="195"/>
        <v>279726.34662698541</v>
      </c>
      <c r="AU40" s="9">
        <f t="shared" si="195"/>
        <v>273954.27244781749</v>
      </c>
      <c r="AV40" s="9">
        <f t="shared" si="195"/>
        <v>251238.10423371091</v>
      </c>
      <c r="AW40" s="9">
        <f t="shared" si="195"/>
        <v>206659.04895000401</v>
      </c>
      <c r="AX40" s="9">
        <f t="shared" ref="AX40:AY40" si="196">IF(OR(AX39="",AX38=""),"",AX38+AX39)</f>
        <v>191305.8115652721</v>
      </c>
      <c r="AY40" s="9">
        <f t="shared" si="196"/>
        <v>231221.01495423992</v>
      </c>
      <c r="AZ40" s="9">
        <f t="shared" ref="AZ40" si="197">IF(OR(AZ39="",AZ38=""),"",AZ38+AZ39)</f>
        <v>272659.90873144555</v>
      </c>
    </row>
    <row r="41" spans="1:53" s="5" customFormat="1" hidden="1" outlineLevel="1" x14ac:dyDescent="0.35">
      <c r="A41" s="274"/>
      <c r="B41" s="18" t="s">
        <v>13</v>
      </c>
      <c r="C41" s="104"/>
      <c r="D41" s="104"/>
      <c r="E41" s="104"/>
      <c r="F41" s="9">
        <f t="shared" ref="F41:M41" si="198">IF(OR(F38="",F37=""),"",F37-F38)</f>
        <v>0.34412602678174997</v>
      </c>
      <c r="G41" s="9">
        <f t="shared" si="198"/>
        <v>593.85341007321881</v>
      </c>
      <c r="H41" s="9">
        <f t="shared" si="198"/>
        <v>3705.6477164422931</v>
      </c>
      <c r="I41" s="9">
        <f t="shared" si="198"/>
        <v>-36933.991833043365</v>
      </c>
      <c r="J41" s="9">
        <f t="shared" si="198"/>
        <v>-21571.365474004102</v>
      </c>
      <c r="K41" s="9">
        <f t="shared" si="198"/>
        <v>-17718.260509192958</v>
      </c>
      <c r="L41" s="9">
        <f t="shared" si="198"/>
        <v>3197.5668888877699</v>
      </c>
      <c r="M41" s="9">
        <f t="shared" si="198"/>
        <v>28.546596919208241</v>
      </c>
      <c r="N41" s="9">
        <f>IF(OR(N40="",N37=""),"",N37-N40)</f>
        <v>9386.3233492283034</v>
      </c>
      <c r="O41" s="9">
        <f t="shared" ref="O41:AE41" si="199">IF(OR(O40="",O37=""),"",O37-O40)</f>
        <v>17183.31946097999</v>
      </c>
      <c r="P41" s="9">
        <f t="shared" si="199"/>
        <v>44970.013947199957</v>
      </c>
      <c r="Q41" s="9">
        <f>IF(OR(Q40="",Q37=""),"",Q37-Q40)</f>
        <v>-2430.5599676319835</v>
      </c>
      <c r="R41" s="9">
        <f t="shared" si="199"/>
        <v>13884.756391725808</v>
      </c>
      <c r="S41" s="9">
        <f t="shared" si="199"/>
        <v>-24656.123165404984</v>
      </c>
      <c r="T41" s="9">
        <f t="shared" si="199"/>
        <v>9636.0532806900083</v>
      </c>
      <c r="U41" s="9">
        <f t="shared" si="199"/>
        <v>21257.212078134995</v>
      </c>
      <c r="V41" s="9">
        <f t="shared" si="199"/>
        <v>46513.852892219438</v>
      </c>
      <c r="W41" s="9">
        <f t="shared" si="199"/>
        <v>17963.75752109506</v>
      </c>
      <c r="X41" s="9">
        <f t="shared" si="199"/>
        <v>35839.24270934696</v>
      </c>
      <c r="Y41" s="9">
        <f t="shared" si="199"/>
        <v>28485.142644444233</v>
      </c>
      <c r="Z41" s="9">
        <f t="shared" si="199"/>
        <v>24369.036902396678</v>
      </c>
      <c r="AA41" s="9">
        <f t="shared" si="199"/>
        <v>30934.858333323748</v>
      </c>
      <c r="AB41" s="9">
        <f t="shared" si="199"/>
        <v>94766.967284778366</v>
      </c>
      <c r="AC41" s="9">
        <f t="shared" si="199"/>
        <v>-72398.439502936497</v>
      </c>
      <c r="AD41" s="9">
        <f t="shared" si="199"/>
        <v>-168163.96020115109</v>
      </c>
      <c r="AE41" s="9">
        <f t="shared" si="199"/>
        <v>-98757.116365664348</v>
      </c>
      <c r="AF41" s="9">
        <f t="shared" ref="AF41:AV41" si="200">IF(OR(AF40="",AF37=""),"",AF37-AF40)</f>
        <v>-36655.120222931961</v>
      </c>
      <c r="AG41" s="9">
        <f t="shared" si="200"/>
        <v>23011.089724145306</v>
      </c>
      <c r="AH41" s="9">
        <f t="shared" si="200"/>
        <v>80832.667738781718</v>
      </c>
      <c r="AI41" s="9">
        <f t="shared" si="200"/>
        <v>23095.16047831031</v>
      </c>
      <c r="AJ41" s="9">
        <f t="shared" si="200"/>
        <v>-35198.984828463173</v>
      </c>
      <c r="AK41" s="9">
        <f t="shared" si="200"/>
        <v>-63792.355629800499</v>
      </c>
      <c r="AL41" s="9">
        <f t="shared" si="200"/>
        <v>-55475.392619436316</v>
      </c>
      <c r="AM41" s="9">
        <f t="shared" si="200"/>
        <v>-66640.240037982177</v>
      </c>
      <c r="AN41" s="9">
        <f t="shared" si="200"/>
        <v>-50931.801916664524</v>
      </c>
      <c r="AO41" s="9">
        <f t="shared" si="200"/>
        <v>-158898.86501364034</v>
      </c>
      <c r="AP41" s="9">
        <f t="shared" si="200"/>
        <v>-133201.18728040846</v>
      </c>
      <c r="AQ41" s="9">
        <f t="shared" si="200"/>
        <v>-79890.76879332996</v>
      </c>
      <c r="AR41" s="9">
        <f t="shared" si="200"/>
        <v>-9595.6217222051346</v>
      </c>
      <c r="AS41" s="9">
        <f t="shared" si="200"/>
        <v>28729.736987736484</v>
      </c>
      <c r="AT41" s="9">
        <f t="shared" si="200"/>
        <v>74462.436345896509</v>
      </c>
      <c r="AU41" s="9">
        <f t="shared" si="200"/>
        <v>17839.268968651537</v>
      </c>
      <c r="AV41" s="9">
        <f t="shared" si="200"/>
        <v>36764.799759755144</v>
      </c>
      <c r="AW41" s="141">
        <f>IF(OR(AW40="",AW37=""),"",AW37-AW40)+AW36</f>
        <v>-3842.6495508213702</v>
      </c>
      <c r="AX41" s="9">
        <f t="shared" ref="AX41:AY41" si="201">IF(OR(AX40="",AX37=""),"",AX37-AX40)</f>
        <v>-36942.198471871059</v>
      </c>
      <c r="AY41" s="9">
        <f t="shared" si="201"/>
        <v>-47189.048628325487</v>
      </c>
      <c r="AZ41" s="9">
        <f t="shared" ref="AZ41" si="202">IF(OR(AZ40="",AZ37=""),"",AZ37-AZ40)</f>
        <v>-65413.098844365799</v>
      </c>
      <c r="BA41" s="238"/>
    </row>
    <row r="42" spans="1:53" s="5" customFormat="1" hidden="1" outlineLevel="1" x14ac:dyDescent="0.35">
      <c r="A42" s="274"/>
      <c r="B42" s="19" t="s">
        <v>8</v>
      </c>
      <c r="C42" s="104"/>
      <c r="D42" s="104"/>
      <c r="E42" s="104"/>
      <c r="F42" s="9">
        <f>IF(OR(F9="",F41=""),"",ROUND((F41+E44)*F9/12,2))</f>
        <v>0</v>
      </c>
      <c r="G42" s="9">
        <f t="shared" ref="G42:L42" si="203">IF(OR(G9="",G41=""),"",ROUND((G41+F44)*G9/12,2))</f>
        <v>1.32</v>
      </c>
      <c r="H42" s="9">
        <f t="shared" si="203"/>
        <v>9.6</v>
      </c>
      <c r="I42" s="9">
        <f t="shared" si="203"/>
        <v>-72.040000000000006</v>
      </c>
      <c r="J42" s="9">
        <f t="shared" si="203"/>
        <v>-117.35</v>
      </c>
      <c r="K42" s="9">
        <f t="shared" si="203"/>
        <v>-141.27000000000001</v>
      </c>
      <c r="L42" s="9">
        <f t="shared" si="203"/>
        <v>-127.55</v>
      </c>
      <c r="M42" s="9">
        <f t="shared" ref="M42" si="204">IF(OR(M9="",M41=""),"",ROUND((M41+L44)*M9/12,2))</f>
        <v>-121.81</v>
      </c>
      <c r="N42" s="125">
        <f>IF(OR(N9="",N41=""),"",ROUND((N41+M44)*N9/12,2))+N36</f>
        <v>-90.600000000000023</v>
      </c>
      <c r="O42" s="9">
        <f t="shared" ref="O42" si="205">IF(OR(O9="",O41=""),"",ROUND((O41+N44)*O9/12,2))</f>
        <v>-68.290000000000006</v>
      </c>
      <c r="P42" s="9">
        <f t="shared" ref="P42" si="206">IF(OR(P9="",P41=""),"",ROUND((P41+O44)*P9/12,2))</f>
        <v>3.33</v>
      </c>
      <c r="Q42" s="9">
        <f t="shared" ref="Q42:R42" si="207">IF(OR(Q9="",Q41=""),"",ROUND((Q41+P44)*Q9/12,2))</f>
        <v>-0.47</v>
      </c>
      <c r="R42" s="9">
        <f t="shared" si="207"/>
        <v>49.68</v>
      </c>
      <c r="S42" s="9">
        <f t="shared" ref="S42" si="208">IF(OR(S9="",S41=""),"",ROUND((S41+R44)*S9/12,2))</f>
        <v>19.39</v>
      </c>
      <c r="T42" s="9">
        <f t="shared" ref="T42" si="209">IF(OR(T9="",T41=""),"",ROUND((T41+S44)*T9/12,2))</f>
        <v>5.18</v>
      </c>
      <c r="U42" s="9">
        <f t="shared" ref="U42" si="210">IF(OR(U9="",U41=""),"",ROUND((U41+T44)*U9/12,2))</f>
        <v>8.57</v>
      </c>
      <c r="V42" s="9">
        <f t="shared" ref="V42" si="211">IF(OR(V9="",V41=""),"",ROUND((V41+U44)*V9/12,2))</f>
        <v>23.23</v>
      </c>
      <c r="W42" s="9">
        <f t="shared" ref="W42:X42" si="212">IF(OR(W9="",W41=""),"",ROUND((W41+V44)*W9/12,2))</f>
        <v>20.64</v>
      </c>
      <c r="X42" s="9">
        <f t="shared" si="212"/>
        <v>24.38</v>
      </c>
      <c r="Y42" s="9">
        <f>IF(OR(Y9="",Y41=""),"",ROUND((Y41+X44)*Y9/12,2))</f>
        <v>47.13</v>
      </c>
      <c r="Z42" s="9">
        <f>IF(OR(Z9="",Z41=""),"",ROUND((Z39+Z41+Y44+Z36)*Z9/12,2))+Z36</f>
        <v>149.35</v>
      </c>
      <c r="AA42" s="9">
        <f>IF(OR(AA9="",AA41=""),"",ROUND((AA39+AA41+Z44)*AA9/12,2))</f>
        <v>91.24</v>
      </c>
      <c r="AB42" s="9">
        <f>IF(OR(AB9="",AB41=""),"",ROUND((AB39+AB41+AA44)*AB9/12,2))</f>
        <v>85.84</v>
      </c>
      <c r="AC42" s="9">
        <f t="shared" ref="AC42:AE42" si="213">IF(OR(AC9="",AC41=""),"",ROUND((AC39+AC41+AB44)*AC9/12,2))</f>
        <v>77.459999999999994</v>
      </c>
      <c r="AD42" s="9">
        <f t="shared" si="213"/>
        <v>33.89</v>
      </c>
      <c r="AE42" s="9">
        <f t="shared" si="213"/>
        <v>10.94</v>
      </c>
      <c r="AF42" s="9">
        <f t="shared" ref="AF42" si="214">IF(OR(AF9="",AF41=""),"",ROUND((AF39+AF41+AE44)*AF9/12,2))</f>
        <v>-2.04</v>
      </c>
      <c r="AG42" s="9">
        <f t="shared" ref="AG42" si="215">IF(OR(AG9="",AG41=""),"",ROUND((AG39+AG41+AF44)*AG9/12,2))</f>
        <v>-4.49</v>
      </c>
      <c r="AH42" s="9">
        <f t="shared" ref="AH42" si="216">IF(OR(AH9="",AH41=""),"",ROUND((AH39+AH41+AG44)*AH9/12,2))</f>
        <v>0.94</v>
      </c>
      <c r="AI42" s="9">
        <f t="shared" ref="AI42" si="217">IF(OR(AI9="",AI41=""),"",ROUND((AI39+AI41+AH44)*AI9/12,2))</f>
        <v>-2.5299999999999998</v>
      </c>
      <c r="AJ42" s="9">
        <f t="shared" ref="AJ42" si="218">IF(OR(AJ9="",AJ41=""),"",ROUND((AJ39+AJ41+AI44)*AJ9/12,2))</f>
        <v>-15.53</v>
      </c>
      <c r="AK42" s="9">
        <f t="shared" ref="AK42" si="219">IF(OR(AK9="",AK41=""),"",ROUND((AK39+AK41+AJ44)*AK9/12,2))</f>
        <v>-24.88</v>
      </c>
      <c r="AL42" s="9">
        <f t="shared" ref="AL42" si="220">IF(OR(AL9="",AL41=""),"",ROUND((AL39+AL41+AK44)*AL9/12,2))</f>
        <v>-36.92</v>
      </c>
      <c r="AM42" s="9">
        <f t="shared" ref="AM42" si="221">IF(OR(AM9="",AM41=""),"",ROUND((AM39+AM41+AL44)*AM9/12,2))</f>
        <v>-85.81</v>
      </c>
      <c r="AN42" s="9">
        <f t="shared" ref="AN42" si="222">IF(OR(AN9="",AN41=""),"",ROUND((AN39+AN41+AM44)*AN9/12,2))</f>
        <v>-96.32</v>
      </c>
      <c r="AO42" s="9">
        <f t="shared" ref="AO42" si="223">IF(OR(AO9="",AO41=""),"",ROUND((AO39+AO41+AN44)*AO9/12,2))</f>
        <v>-145.96</v>
      </c>
      <c r="AP42" s="9">
        <f t="shared" ref="AP42" si="224">IF(OR(AP9="",AP41=""),"",ROUND((AP39+AP41+AO44)*AP9/12,2))</f>
        <v>-396.3</v>
      </c>
      <c r="AQ42" s="9">
        <f t="shared" ref="AQ42" si="225">IF(OR(AQ9="",AQ41=""),"",ROUND((AQ39+AQ41+AP44)*AQ9/12,2))</f>
        <v>-370.62</v>
      </c>
      <c r="AR42" s="9">
        <f t="shared" ref="AR42" si="226">IF(OR(AR9="",AR41=""),"",ROUND((AR39+AR41+AQ44)*AR9/12,2))</f>
        <v>-570.75</v>
      </c>
      <c r="AS42" s="9">
        <f t="shared" ref="AS42" si="227">IF(OR(AS9="",AS41=""),"",ROUND((AS39+AS41+AR44)*AS9/12,2))</f>
        <v>-815.58</v>
      </c>
      <c r="AT42" s="9">
        <f t="shared" ref="AT42" si="228">IF(OR(AT9="",AT41=""),"",ROUND((AT39+AT41+AS44)*AT9/12,2))</f>
        <v>-932.25</v>
      </c>
      <c r="AU42" s="9">
        <f t="shared" ref="AU42" si="229">IF(OR(AU9="",AU41=""),"",ROUND((AU39+AU41+AT44)*AU9/12,2))</f>
        <v>-1040.0999999999999</v>
      </c>
      <c r="AV42" s="9">
        <f t="shared" ref="AV42" si="230">IF(OR(AV9="",AV41=""),"",ROUND((AV39+AV41+AU44)*AV9/12,2))</f>
        <v>-980.73</v>
      </c>
      <c r="AW42" s="9">
        <f t="shared" ref="AW42:AZ42" si="231">IF(OR(AW9="",AW41=""),"",ROUND((AW39+AW41+AV44)*AW9/12,2))</f>
        <v>-1123.78</v>
      </c>
      <c r="AX42" s="9">
        <f t="shared" si="231"/>
        <v>-1152.28</v>
      </c>
      <c r="AY42" s="9">
        <f t="shared" si="231"/>
        <v>-1193.25</v>
      </c>
      <c r="AZ42" s="9">
        <f t="shared" si="231"/>
        <v>-1269.22</v>
      </c>
      <c r="BA42" s="238"/>
    </row>
    <row r="43" spans="1:53" s="5" customFormat="1" hidden="1" outlineLevel="1" x14ac:dyDescent="0.35">
      <c r="A43" s="274"/>
      <c r="B43" s="18" t="s">
        <v>14</v>
      </c>
      <c r="C43" s="104"/>
      <c r="D43" s="104"/>
      <c r="E43" s="104"/>
      <c r="F43" s="9">
        <f t="shared" ref="F43:M43" si="232">IF(OR(F41="",F42=""),"",F41+F42)</f>
        <v>0.34412602678174997</v>
      </c>
      <c r="G43" s="9">
        <f t="shared" si="232"/>
        <v>595.17341007321886</v>
      </c>
      <c r="H43" s="9">
        <f t="shared" si="232"/>
        <v>3715.247716442293</v>
      </c>
      <c r="I43" s="9">
        <f t="shared" si="232"/>
        <v>-37006.031833043366</v>
      </c>
      <c r="J43" s="9">
        <f t="shared" si="232"/>
        <v>-21688.715474004101</v>
      </c>
      <c r="K43" s="9">
        <f t="shared" si="232"/>
        <v>-17859.530509192959</v>
      </c>
      <c r="L43" s="9">
        <f t="shared" si="232"/>
        <v>3070.0168888877697</v>
      </c>
      <c r="M43" s="9">
        <f t="shared" si="232"/>
        <v>-93.263403080791761</v>
      </c>
      <c r="N43" s="9">
        <f>IF(OR(N41="",N42=""),"",N41+N42)</f>
        <v>9295.7233492283031</v>
      </c>
      <c r="O43" s="9">
        <f t="shared" ref="O43:AE43" si="233">IF(OR(O41="",O42=""),"",O41+O42)</f>
        <v>17115.029460979989</v>
      </c>
      <c r="P43" s="9">
        <f t="shared" si="233"/>
        <v>44973.343947199959</v>
      </c>
      <c r="Q43" s="9">
        <f t="shared" si="233"/>
        <v>-2431.0299676319833</v>
      </c>
      <c r="R43" s="9">
        <f t="shared" si="233"/>
        <v>13934.436391725809</v>
      </c>
      <c r="S43" s="9">
        <f t="shared" si="233"/>
        <v>-24636.733165404985</v>
      </c>
      <c r="T43" s="9">
        <f t="shared" si="233"/>
        <v>9641.2332806900085</v>
      </c>
      <c r="U43" s="9">
        <f t="shared" si="233"/>
        <v>21265.782078134995</v>
      </c>
      <c r="V43" s="9">
        <f t="shared" si="233"/>
        <v>46537.082892219441</v>
      </c>
      <c r="W43" s="9">
        <f t="shared" si="233"/>
        <v>17984.397521095059</v>
      </c>
      <c r="X43" s="9">
        <f t="shared" si="233"/>
        <v>35863.622709346957</v>
      </c>
      <c r="Y43" s="9">
        <f t="shared" si="233"/>
        <v>28532.272644444234</v>
      </c>
      <c r="Z43" s="9">
        <f>IF(OR(Z41="",Z42=""),"",Z41+Z42)</f>
        <v>24518.386902396676</v>
      </c>
      <c r="AA43" s="9">
        <f t="shared" si="233"/>
        <v>31026.098333323749</v>
      </c>
      <c r="AB43" s="9">
        <f t="shared" si="233"/>
        <v>94852.807284778362</v>
      </c>
      <c r="AC43" s="9">
        <f t="shared" si="233"/>
        <v>-72320.97950293649</v>
      </c>
      <c r="AD43" s="9">
        <f t="shared" si="233"/>
        <v>-168130.07020115107</v>
      </c>
      <c r="AE43" s="9">
        <f t="shared" si="233"/>
        <v>-98746.176365664345</v>
      </c>
      <c r="AF43" s="9">
        <f t="shared" ref="AF43:AW43" si="234">IF(OR(AF41="",AF42=""),"",AF41+AF42)</f>
        <v>-36657.160222931961</v>
      </c>
      <c r="AG43" s="9">
        <f t="shared" si="234"/>
        <v>23006.599724145304</v>
      </c>
      <c r="AH43" s="9">
        <f t="shared" si="234"/>
        <v>80833.60773878172</v>
      </c>
      <c r="AI43" s="9">
        <f t="shared" si="234"/>
        <v>23092.630478310311</v>
      </c>
      <c r="AJ43" s="9">
        <f t="shared" si="234"/>
        <v>-35214.514828463172</v>
      </c>
      <c r="AK43" s="9">
        <f t="shared" si="234"/>
        <v>-63817.235629800496</v>
      </c>
      <c r="AL43" s="9">
        <f t="shared" si="234"/>
        <v>-55512.312619436314</v>
      </c>
      <c r="AM43" s="9">
        <f t="shared" si="234"/>
        <v>-66726.050037982175</v>
      </c>
      <c r="AN43" s="9">
        <f t="shared" si="234"/>
        <v>-51028.121916664524</v>
      </c>
      <c r="AO43" s="9">
        <f t="shared" si="234"/>
        <v>-159044.82501364034</v>
      </c>
      <c r="AP43" s="9">
        <f t="shared" si="234"/>
        <v>-133597.48728040844</v>
      </c>
      <c r="AQ43" s="9">
        <f t="shared" si="234"/>
        <v>-80261.388793329956</v>
      </c>
      <c r="AR43" s="9">
        <f t="shared" si="234"/>
        <v>-10166.371722205135</v>
      </c>
      <c r="AS43" s="9">
        <f t="shared" si="234"/>
        <v>27914.156987736482</v>
      </c>
      <c r="AT43" s="9">
        <f t="shared" si="234"/>
        <v>73530.186345896509</v>
      </c>
      <c r="AU43" s="9">
        <f t="shared" si="234"/>
        <v>16799.168968651538</v>
      </c>
      <c r="AV43" s="9">
        <f t="shared" si="234"/>
        <v>35784.069759755141</v>
      </c>
      <c r="AW43" s="9">
        <f t="shared" si="234"/>
        <v>-4966.42955082137</v>
      </c>
      <c r="AX43" s="9">
        <f t="shared" ref="AX43:AY43" si="235">IF(OR(AX41="",AX42=""),"",AX41+AX42)</f>
        <v>-38094.478471871058</v>
      </c>
      <c r="AY43" s="9">
        <f t="shared" si="235"/>
        <v>-48382.298628325487</v>
      </c>
      <c r="AZ43" s="9">
        <f t="shared" ref="AZ43" si="236">IF(OR(AZ41="",AZ42=""),"",AZ41+AZ42)</f>
        <v>-66682.3188443658</v>
      </c>
    </row>
    <row r="44" spans="1:53" s="5" customFormat="1" hidden="1" outlineLevel="1" x14ac:dyDescent="0.35">
      <c r="A44" s="274"/>
      <c r="B44" s="20" t="s">
        <v>16</v>
      </c>
      <c r="C44" s="104"/>
      <c r="D44" s="104"/>
      <c r="E44" s="104"/>
      <c r="F44" s="9">
        <f>IF(OR(F43=""),"",F43)</f>
        <v>0.34412602678174997</v>
      </c>
      <c r="G44" s="9">
        <f t="shared" ref="G44:M44" si="237">IF(OR(G43="",F44=""),"",G43+F44)</f>
        <v>595.5175361000006</v>
      </c>
      <c r="H44" s="9">
        <f t="shared" si="237"/>
        <v>4310.7652525422936</v>
      </c>
      <c r="I44" s="9">
        <f t="shared" si="237"/>
        <v>-32695.266580501073</v>
      </c>
      <c r="J44" s="9">
        <f t="shared" si="237"/>
        <v>-54383.982054505177</v>
      </c>
      <c r="K44" s="9">
        <f t="shared" si="237"/>
        <v>-72243.512563698139</v>
      </c>
      <c r="L44" s="9">
        <f t="shared" si="237"/>
        <v>-69173.495674810372</v>
      </c>
      <c r="M44" s="9">
        <f t="shared" si="237"/>
        <v>-69266.759077891169</v>
      </c>
      <c r="N44" s="9">
        <f>IF(OR(N43="",M44=""),"",N43+N39+M44)</f>
        <v>-59971.035728662864</v>
      </c>
      <c r="O44" s="9">
        <f>IF(OR(O43="",N44=""),"",O43+O39+N44)</f>
        <v>-42856.006267682875</v>
      </c>
      <c r="P44" s="9">
        <f t="shared" ref="P44:AE44" si="238">IF(OR(P43="",O44=""),"",P43+P39+O44)</f>
        <v>2117.3376795170843</v>
      </c>
      <c r="Q44" s="9">
        <f t="shared" si="238"/>
        <v>17682.337711885099</v>
      </c>
      <c r="R44" s="9">
        <f t="shared" si="238"/>
        <v>49445.594103610907</v>
      </c>
      <c r="S44" s="9">
        <f t="shared" si="238"/>
        <v>38507.200938205919</v>
      </c>
      <c r="T44" s="9">
        <f>IF(OR(T43="",S44=""),"",T43+T39+S44)</f>
        <v>60568.114218895927</v>
      </c>
      <c r="U44" s="9">
        <f t="shared" si="238"/>
        <v>97429.32629703093</v>
      </c>
      <c r="V44" s="9">
        <f t="shared" si="238"/>
        <v>163385.58918925037</v>
      </c>
      <c r="W44" s="9">
        <f t="shared" si="238"/>
        <v>200297.86671034544</v>
      </c>
      <c r="X44" s="9">
        <f t="shared" si="238"/>
        <v>254279.91941969239</v>
      </c>
      <c r="Y44" s="9">
        <f t="shared" si="238"/>
        <v>297498.4220641366</v>
      </c>
      <c r="Z44" s="9">
        <f t="shared" si="238"/>
        <v>336694.64896653325</v>
      </c>
      <c r="AA44" s="9">
        <f t="shared" si="238"/>
        <v>384677.91729985701</v>
      </c>
      <c r="AB44" s="9">
        <f t="shared" si="238"/>
        <v>499758.68458463537</v>
      </c>
      <c r="AC44" s="9">
        <f t="shared" si="238"/>
        <v>400361.8350816989</v>
      </c>
      <c r="AD44" s="9">
        <f t="shared" si="238"/>
        <v>190361.84488054784</v>
      </c>
      <c r="AE44" s="9">
        <f t="shared" si="238"/>
        <v>58312.098514883488</v>
      </c>
      <c r="AF44" s="9">
        <f t="shared" ref="AF44" si="239">IF(OR(AF43="",AE44=""),"",AF43+AF39+AE44)</f>
        <v>-10905.351708048474</v>
      </c>
      <c r="AG44" s="9">
        <f t="shared" ref="AG44" si="240">IF(OR(AG43="",AF44=""),"",AG43+AG39+AF44)</f>
        <v>-26740.14198390317</v>
      </c>
      <c r="AH44" s="9">
        <f t="shared" ref="AH44" si="241">IF(OR(AH43="",AG44=""),"",AH43+AH39+AG44)</f>
        <v>8115.4857548785476</v>
      </c>
      <c r="AI44" s="9">
        <f t="shared" ref="AI44" si="242">IF(OR(AI43="",AH44=""),"",AI43+AI39+AH44)</f>
        <v>-14787.263766811138</v>
      </c>
      <c r="AJ44" s="9">
        <f t="shared" ref="AJ44" si="243">IF(OR(AJ43="",AI44=""),"",AJ43+AJ39+AI44)</f>
        <v>-96476.158595274319</v>
      </c>
      <c r="AK44" s="9">
        <f t="shared" ref="AK44" si="244">IF(OR(AK43="",AJ44=""),"",AK43+AK39+AJ44)</f>
        <v>-199058.8442250748</v>
      </c>
      <c r="AL44" s="9">
        <f t="shared" ref="AL44" si="245">IF(OR(AL43="",AK44=""),"",AL43+AL39+AK44)</f>
        <v>-289230.94684451108</v>
      </c>
      <c r="AM44" s="9">
        <f t="shared" ref="AM44" si="246">IF(OR(AM43="",AL44=""),"",AM43+AM39+AL44)</f>
        <v>-395446.64688249328</v>
      </c>
      <c r="AN44" s="9">
        <f t="shared" ref="AN44" si="247">IF(OR(AN43="",AM44=""),"",AN43+AN39+AM44)</f>
        <v>-493108.69879915781</v>
      </c>
      <c r="AO44" s="9">
        <f t="shared" ref="AO44" si="248">IF(OR(AO43="",AN44=""),"",AO43+AO39+AN44)</f>
        <v>-592181.6438127982</v>
      </c>
      <c r="AP44" s="9">
        <f t="shared" ref="AP44" si="249">IF(OR(AP43="",AO44=""),"",AP43+AP39+AO44)</f>
        <v>-691318.92109320662</v>
      </c>
      <c r="AQ44" s="9">
        <f t="shared" ref="AQ44" si="250">IF(OR(AQ43="",AP44=""),"",AQ43+AQ39+AP44)</f>
        <v>-741098.19988653657</v>
      </c>
      <c r="AR44" s="9">
        <f t="shared" ref="AR44" si="251">IF(OR(AR43="",AQ44=""),"",AR43+AR39+AQ44)</f>
        <v>-721741.14160874172</v>
      </c>
      <c r="AS44" s="9">
        <f t="shared" ref="AS44" si="252">IF(OR(AS43="",AR44=""),"",AS43+AS39+AR44)</f>
        <v>-659489.10462100524</v>
      </c>
      <c r="AT44" s="9">
        <f t="shared" ref="AT44" si="253">IF(OR(AT43="",AS44=""),"",AT43+AT39+AS44)</f>
        <v>-544866.99827510875</v>
      </c>
      <c r="AU44" s="9">
        <f t="shared" ref="AU44" si="254">IF(OR(AU43="",AT44=""),"",AU43+AU39+AT44)</f>
        <v>-487816.96930645721</v>
      </c>
      <c r="AV44" s="9">
        <f t="shared" ref="AV44" si="255">IF(OR(AV43="",AU44=""),"",AV43+AV39+AU44)</f>
        <v>-415127.43954670208</v>
      </c>
      <c r="AW44" s="9">
        <f t="shared" ref="AW44:AZ44" si="256">IF(OR(AW43="",AV44=""),"",AW43+AW39+AV44)</f>
        <v>-389738.91909752344</v>
      </c>
      <c r="AX44" s="9">
        <f t="shared" si="256"/>
        <v>-399619.81756939448</v>
      </c>
      <c r="AY44" s="9">
        <f t="shared" si="256"/>
        <v>-413829.35619771999</v>
      </c>
      <c r="AZ44" s="9">
        <f t="shared" si="256"/>
        <v>-440176.27504208579</v>
      </c>
    </row>
    <row r="45" spans="1:53" s="5" customFormat="1" ht="8.25" hidden="1" customHeight="1" outlineLevel="1" x14ac:dyDescent="0.35">
      <c r="A45" s="44"/>
      <c r="B45" s="13"/>
      <c r="C45" s="109"/>
      <c r="D45" s="109"/>
      <c r="E45" s="109"/>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row>
    <row r="46" spans="1:53" s="5" customFormat="1" ht="15" hidden="1" customHeight="1" outlineLevel="1" x14ac:dyDescent="0.35">
      <c r="A46" s="274" t="s">
        <v>22</v>
      </c>
      <c r="B46" s="17"/>
      <c r="C46" s="104"/>
      <c r="D46" s="104"/>
      <c r="E46" s="104"/>
      <c r="F46" s="9"/>
      <c r="G46" s="9"/>
      <c r="H46" s="9"/>
      <c r="I46" s="9"/>
      <c r="J46" s="9"/>
      <c r="K46" s="9"/>
      <c r="L46" s="9"/>
      <c r="M46" s="9"/>
      <c r="N46" s="124">
        <f>'MEEIA 3 adjs'!L33</f>
        <v>95.419999999999618</v>
      </c>
      <c r="O46" s="9"/>
      <c r="P46" s="9"/>
      <c r="Q46" s="9"/>
      <c r="R46" s="9"/>
      <c r="S46" s="9"/>
      <c r="T46" s="9"/>
      <c r="U46" s="9"/>
      <c r="V46" s="9"/>
      <c r="W46" s="9"/>
      <c r="X46" s="9"/>
      <c r="Y46" s="9"/>
      <c r="Z46" s="124">
        <f>'MEEIA 3 adjs'!AA55</f>
        <v>176.33999999999946</v>
      </c>
      <c r="AA46" s="9"/>
      <c r="AB46" s="9"/>
      <c r="AC46" s="9"/>
      <c r="AD46" s="9"/>
      <c r="AE46" s="9"/>
      <c r="AF46" s="9"/>
      <c r="AG46" s="9"/>
      <c r="AH46" s="9"/>
      <c r="AI46" s="9"/>
      <c r="AJ46" s="9"/>
      <c r="AK46" s="9"/>
      <c r="AL46" s="9"/>
      <c r="AM46" s="9"/>
      <c r="AN46" s="9"/>
      <c r="AO46" s="9"/>
      <c r="AP46" s="9"/>
      <c r="AQ46" s="9"/>
      <c r="AR46" s="9"/>
      <c r="AS46" s="9"/>
      <c r="AT46" s="9"/>
      <c r="AU46" s="9"/>
      <c r="AV46" s="9"/>
      <c r="AW46" s="141">
        <f>'MEEIA 3 adjs'!CV41</f>
        <v>54573.283373827086</v>
      </c>
      <c r="AX46" s="9"/>
      <c r="AY46" s="9"/>
      <c r="AZ46" s="9"/>
    </row>
    <row r="47" spans="1:53" s="3" customFormat="1" ht="15" hidden="1" customHeight="1" outlineLevel="1" x14ac:dyDescent="0.35">
      <c r="A47" s="274"/>
      <c r="B47" s="17" t="s">
        <v>28</v>
      </c>
      <c r="C47" s="104"/>
      <c r="D47" s="104"/>
      <c r="E47" s="104"/>
      <c r="F47" s="22">
        <f>IF('M3 Allocations - TD'!D7="","",'M3 Allocations - TD'!D33)</f>
        <v>0.36790548240712501</v>
      </c>
      <c r="G47" s="22">
        <f>IF('M3 Allocations - TD'!E7="","",'M3 Allocations - TD'!E33)</f>
        <v>549.3842450882164</v>
      </c>
      <c r="H47" s="22">
        <f>IF('M3 Allocations - TD'!F7="","",'M3 Allocations - TD'!F33)</f>
        <v>3822.5375931394819</v>
      </c>
      <c r="I47" s="22">
        <f>IF('M3 Allocations - TD'!G7="","",'M3 Allocations - TD'!G33)</f>
        <v>16781.332362054229</v>
      </c>
      <c r="J47" s="22">
        <f>IF('M3 Allocations - TD'!H7="","",'M3 Allocations - TD'!H33)</f>
        <v>40077.718380542559</v>
      </c>
      <c r="K47" s="22">
        <f>IF('M3 Allocations - TD'!I7="","",'M3 Allocations - TD'!I33)</f>
        <v>54061.137994792116</v>
      </c>
      <c r="L47" s="22">
        <f>IF('M3 Allocations - TD'!J7="","",'M3 Allocations - TD'!J33)</f>
        <v>79608.348605740233</v>
      </c>
      <c r="M47" s="22">
        <f>IF('M3 Allocations - TD'!K7="","",'M3 Allocations - TD'!K33)</f>
        <v>56432.915123633284</v>
      </c>
      <c r="N47" s="22">
        <f>IF('M3 Allocations - TD'!L7="","",'M3 Allocations - TD'!L33)</f>
        <v>84805.665004540322</v>
      </c>
      <c r="O47" s="22">
        <f>IF('M3 Allocations - TD'!M7="","",'M3 Allocations - TD'!M33)</f>
        <v>101585.96799703788</v>
      </c>
      <c r="P47" s="22">
        <f>IF('M3 Allocations - TD'!N7="","",'M3 Allocations - TD'!N33)</f>
        <v>154209.2659634623</v>
      </c>
      <c r="Q47" s="22">
        <f>IF('M3 Allocations - TD'!O7="","",'M3 Allocations - TD'!O33)</f>
        <v>122696.92137199735</v>
      </c>
      <c r="R47" s="22">
        <f>IF('M3 Allocations - TD'!P7="","",'M3 Allocations - TD'!P33)</f>
        <v>123411.87388052933</v>
      </c>
      <c r="S47" s="22">
        <f>IF('M3 Allocations - TD'!Q7="","",'M3 Allocations - TD'!Q33)</f>
        <v>47446.211556775474</v>
      </c>
      <c r="T47" s="22">
        <f>IF('M3 Allocations - TD'!R7="","",'M3 Allocations - TD'!R33)</f>
        <v>83556.534245541465</v>
      </c>
      <c r="U47" s="22">
        <f>IF('M3 Allocations - TD'!S7="","",'M3 Allocations - TD'!S33)</f>
        <v>189049.36683437167</v>
      </c>
      <c r="V47" s="22">
        <f>IF('M3 Allocations - TD'!T7="","",'M3 Allocations - TD'!T33)</f>
        <v>265484.4397628404</v>
      </c>
      <c r="W47" s="22">
        <f>IF('M3 Allocations - TD'!U7="","",'M3 Allocations - TD'!U33)</f>
        <v>248590.59560852987</v>
      </c>
      <c r="X47" s="22">
        <f>IF('M3 Allocations - TD'!V7="","",'M3 Allocations - TD'!V33)</f>
        <v>229992.78825383674</v>
      </c>
      <c r="Y47" s="22">
        <f>IF('M3 Allocations - TD'!W7="","",'M3 Allocations - TD'!W33)</f>
        <v>142655.78999924072</v>
      </c>
      <c r="Z47" s="22">
        <f>IF('M3 Allocations - TD'!X7="","",'M3 Allocations - TD'!X33)</f>
        <v>140592.80164431839</v>
      </c>
      <c r="AA47" s="22">
        <f>IF('M3 Allocations - TD'!Y7="","",'M3 Allocations - TD'!Y33)</f>
        <v>171784.13279113677</v>
      </c>
      <c r="AB47" s="22">
        <f>IF('M3 Allocations - TD'!Z7="","",'M3 Allocations - TD'!Z33)</f>
        <v>283797.45031291858</v>
      </c>
      <c r="AC47" s="22">
        <f>IF('M3 Allocations - TD'!AA7="","",'M3 Allocations - TD'!AA33)</f>
        <v>210481.86723637651</v>
      </c>
      <c r="AD47" s="22">
        <f>IF('M3 Allocations - TD'!AB7="","",'M3 Allocations - TD'!AB33)</f>
        <v>232927.56555946911</v>
      </c>
      <c r="AE47" s="22">
        <f>IF('M3 Allocations - TD'!AC7="","",'M3 Allocations - TD'!AC33)</f>
        <v>221111.27962203597</v>
      </c>
      <c r="AF47" s="22">
        <f>IF('M3 Allocations - TD'!AD7="","",'M3 Allocations - TD'!AD33)</f>
        <v>314679.79966629087</v>
      </c>
      <c r="AG47" s="22">
        <f>IF('M3 Allocations - TD'!AE7="","",'M3 Allocations - TD'!AE33)</f>
        <v>715299.40366319334</v>
      </c>
      <c r="AH47" s="22">
        <f>IF('M3 Allocations - TD'!AF7="","",'M3 Allocations - TD'!AF33)</f>
        <v>953627.42461110547</v>
      </c>
      <c r="AI47" s="22">
        <f>IF('M3 Allocations - TD'!AG7="","",'M3 Allocations - TD'!AG33)</f>
        <v>939310.43288894033</v>
      </c>
      <c r="AJ47" s="22">
        <f>IF('M3 Allocations - TD'!AH7="","",'M3 Allocations - TD'!AH33)</f>
        <v>659615.18241367524</v>
      </c>
      <c r="AK47" s="22">
        <f>IF('M3 Allocations - TD'!AI7="","",'M3 Allocations - TD'!AI33)</f>
        <v>353569.18814987835</v>
      </c>
      <c r="AL47" s="22">
        <f>IF('M3 Allocations - TD'!AJ7="","",'M3 Allocations - TD'!AJ33)</f>
        <v>343727.65210763505</v>
      </c>
      <c r="AM47" s="22">
        <f>IF('M3 Allocations - TD'!AK7="","",'M3 Allocations - TD'!AK33)</f>
        <v>418850.04670264991</v>
      </c>
      <c r="AN47" s="22">
        <f>IF('M3 Allocations - TD'!AL7="","",'M3 Allocations - TD'!AL33)</f>
        <v>627056.98298263596</v>
      </c>
      <c r="AO47" s="22">
        <f>IF('M3 Allocations - TD'!AM7="","",'M3 Allocations - TD'!AM33)</f>
        <v>475288.11809378932</v>
      </c>
      <c r="AP47" s="22">
        <f>IF('M3 Allocations - TD'!AN7="","",'M3 Allocations - TD'!AN33)</f>
        <v>288997.35659879085</v>
      </c>
      <c r="AQ47" s="22">
        <f>IF('M3 Allocations - TD'!AO7="","",'M3 Allocations - TD'!AO33)</f>
        <v>253245.26358346242</v>
      </c>
      <c r="AR47" s="22">
        <f>IF('M3 Allocations - TD'!AP7="","",'M3 Allocations - TD'!AP33)</f>
        <v>337719.24594805558</v>
      </c>
      <c r="AS47" s="22">
        <f>IF('M3 Allocations - TD'!AQ7="","",'M3 Allocations - TD'!AQ33)</f>
        <v>917413.81462190335</v>
      </c>
      <c r="AT47" s="22">
        <f>IF('M3 Allocations - TD'!AR7="","",'M3 Allocations - TD'!AR33)</f>
        <v>1145597.0197120309</v>
      </c>
      <c r="AU47" s="22">
        <f>IF('M3 Allocations - TD'!AS7="","",'M3 Allocations - TD'!AS33)</f>
        <v>988866.58881189337</v>
      </c>
      <c r="AV47" s="22">
        <f>IF('M3 Allocations - TD'!AT7="","",'M3 Allocations - TD'!AT33)</f>
        <v>672365.26793086936</v>
      </c>
      <c r="AW47" s="22">
        <f>IF('M3 Allocations - TD'!AU7="","",'M3 Allocations - TD'!AU33)</f>
        <v>344986.1375718661</v>
      </c>
      <c r="AX47" s="22">
        <f>IF('M3 Allocations - TD'!AV7="","",'M3 Allocations - TD'!AV33)</f>
        <v>371780.0356207178</v>
      </c>
      <c r="AY47" s="22">
        <f>IF('M3 Allocations - TD'!AW7="","",'M3 Allocations - TD'!AW33)</f>
        <v>509918.55718081078</v>
      </c>
      <c r="AZ47" s="22">
        <f>IF('M3 Allocations - TD'!AX7="","",'M3 Allocations - TD'!AX33)</f>
        <v>579970.9332370339</v>
      </c>
    </row>
    <row r="48" spans="1:53" s="5" customFormat="1" ht="15" hidden="1" customHeight="1" outlineLevel="1" x14ac:dyDescent="0.35">
      <c r="A48" s="274"/>
      <c r="B48" s="18" t="s">
        <v>26</v>
      </c>
      <c r="C48" s="104"/>
      <c r="D48" s="104"/>
      <c r="E48" s="104"/>
      <c r="F48" s="22">
        <f>IF('M3 Allocations - TD'!D53="","",'M3 Allocations - TD'!D71)</f>
        <v>0</v>
      </c>
      <c r="G48" s="22">
        <f>IF('M3 Allocations - TD'!E53="","",'M3 Allocations - TD'!E71)</f>
        <v>0</v>
      </c>
      <c r="H48" s="22">
        <f>IF('M3 Allocations - TD'!F53="","",'M3 Allocations - TD'!F71)</f>
        <v>6753.6701978728988</v>
      </c>
      <c r="I48" s="22">
        <f>IF('M3 Allocations - TD'!G53="","",'M3 Allocations - TD'!G71)</f>
        <v>107151.44580605239</v>
      </c>
      <c r="J48" s="22">
        <f>IF('M3 Allocations - TD'!H53="","",'M3 Allocations - TD'!H71)</f>
        <v>115634.5208649429</v>
      </c>
      <c r="K48" s="22">
        <f>IF('M3 Allocations - TD'!I53="","",'M3 Allocations - TD'!I71)</f>
        <v>118331.81312804784</v>
      </c>
      <c r="L48" s="22">
        <f>IF('M3 Allocations - TD'!J53="","",'M3 Allocations - TD'!J71)</f>
        <v>119601.33814288217</v>
      </c>
      <c r="M48" s="22">
        <f>IF('M3 Allocations - TD'!K53="","",'M3 Allocations - TD'!K71)</f>
        <v>109968.9574924099</v>
      </c>
      <c r="N48" s="22">
        <f>IF('M3 Allocations - TD'!L53="","",'M3 Allocations - TD'!L71)</f>
        <v>96533.881711475129</v>
      </c>
      <c r="O48" s="22">
        <f>IF('M3 Allocations - TD'!M53="","",'M3 Allocations - TD'!M71)</f>
        <v>104142.56971532079</v>
      </c>
      <c r="P48" s="22">
        <f>IF('M3 Allocations - TD'!N53="","",'M3 Allocations - TD'!N71)</f>
        <v>107611.86637282498</v>
      </c>
      <c r="Q48" s="22">
        <f>IF('M3 Allocations - TD'!O53="","",'M3 Allocations - TD'!O71)</f>
        <v>104313.87773241718</v>
      </c>
      <c r="R48" s="22">
        <f>IF('M3 Allocations - TD'!P53="","",'M3 Allocations - TD'!P71)</f>
        <v>98420.974410363575</v>
      </c>
      <c r="S48" s="22">
        <f>IF('M3 Allocations - TD'!Q53="","",'M3 Allocations - TD'!Q71)</f>
        <v>84560.155028366615</v>
      </c>
      <c r="T48" s="22">
        <f>IF('M3 Allocations - TD'!R53="","",'M3 Allocations - TD'!R71)</f>
        <v>79147.524446379844</v>
      </c>
      <c r="U48" s="22">
        <f>IF('M3 Allocations - TD'!S53="","",'M3 Allocations - TD'!S71)</f>
        <v>94049.927973792379</v>
      </c>
      <c r="V48" s="22">
        <f>IF('M3 Allocations - TD'!T53="","",'M3 Allocations - TD'!T71)</f>
        <v>109708.48677351972</v>
      </c>
      <c r="W48" s="22">
        <f>IF('M3 Allocations - TD'!U53="","",'M3 Allocations - TD'!U71)</f>
        <v>109463.73998502946</v>
      </c>
      <c r="X48" s="22">
        <f>IF('M3 Allocations - TD'!V53="","",'M3 Allocations - TD'!V71)</f>
        <v>109154.24836711264</v>
      </c>
      <c r="Y48" s="22">
        <f>IF('M3 Allocations - TD'!W53="","",'M3 Allocations - TD'!W71)</f>
        <v>93111.170115006884</v>
      </c>
      <c r="Z48" s="22">
        <f>IF('M3 Allocations - TD'!X53="","",'M3 Allocations - TD'!X71)</f>
        <v>90314.439841834988</v>
      </c>
      <c r="AA48" s="22">
        <f>IF('M3 Allocations - TD'!Y53="","",'M3 Allocations - TD'!Y71)</f>
        <v>96572.606390330679</v>
      </c>
      <c r="AB48" s="22">
        <f>IF('M3 Allocations - TD'!Z53="","",'M3 Allocations - TD'!Z71)</f>
        <v>102973.56100695563</v>
      </c>
      <c r="AC48" s="22">
        <f>IF('M3 Allocations - TD'!AA53="","",'M3 Allocations - TD'!AA71)</f>
        <v>317054.12799449282</v>
      </c>
      <c r="AD48" s="22">
        <f>IF('M3 Allocations - TD'!AB53="","",'M3 Allocations - TD'!AB71)</f>
        <v>555274.69988765684</v>
      </c>
      <c r="AE48" s="22">
        <f>IF('M3 Allocations - TD'!AC53="","",'M3 Allocations - TD'!AC71)</f>
        <v>496959.09444564459</v>
      </c>
      <c r="AF48" s="22">
        <f>IF('M3 Allocations - TD'!AD53="","",'M3 Allocations - TD'!AD71)</f>
        <v>507462.60422851134</v>
      </c>
      <c r="AG48" s="22">
        <f>IF('M3 Allocations - TD'!AE53="","",'M3 Allocations - TD'!AE71)</f>
        <v>564396.00989380945</v>
      </c>
      <c r="AH48" s="22">
        <f>IF('M3 Allocations - TD'!AF53="","",'M3 Allocations - TD'!AF71)</f>
        <v>660447.26760719228</v>
      </c>
      <c r="AI48" s="22">
        <f>IF('M3 Allocations - TD'!AG53="","",'M3 Allocations - TD'!AG71)</f>
        <v>654260.67532357096</v>
      </c>
      <c r="AJ48" s="22">
        <f>IF('M3 Allocations - TD'!AH53="","",'M3 Allocations - TD'!AH71)</f>
        <v>666957.41235823918</v>
      </c>
      <c r="AK48" s="22">
        <f>IF('M3 Allocations - TD'!AI53="","",'M3 Allocations - TD'!AI71)</f>
        <v>587413.62430156593</v>
      </c>
      <c r="AL48" s="22">
        <f>IF('M3 Allocations - TD'!AJ53="","",'M3 Allocations - TD'!AJ71)</f>
        <v>519976.82051891321</v>
      </c>
      <c r="AM48" s="22">
        <f>IF('M3 Allocations - TD'!AK53="","",'M3 Allocations - TD'!AK71)</f>
        <v>567613.70409043762</v>
      </c>
      <c r="AN48" s="22">
        <f>IF('M3 Allocations - TD'!AL53="","",'M3 Allocations - TD'!AL71)</f>
        <v>605915.85091646248</v>
      </c>
      <c r="AO48" s="22">
        <f>IF('M3 Allocations - TD'!AM53="","",'M3 Allocations - TD'!AM71)</f>
        <v>491377.50787101442</v>
      </c>
      <c r="AP48" s="22">
        <f>IF('M3 Allocations - TD'!AN53="","",'M3 Allocations - TD'!AN71)</f>
        <v>295776.31891815155</v>
      </c>
      <c r="AQ48" s="22">
        <f>IF('M3 Allocations - TD'!AO53="","",'M3 Allocations - TD'!AO71)</f>
        <v>275370.89343587006</v>
      </c>
      <c r="AR48" s="22">
        <f>IF('M3 Allocations - TD'!AP53="","",'M3 Allocations - TD'!AP71)</f>
        <v>285530.13328453153</v>
      </c>
      <c r="AS48" s="22">
        <f>IF('M3 Allocations - TD'!AQ53="","",'M3 Allocations - TD'!AQ71)</f>
        <v>320626.18147462484</v>
      </c>
      <c r="AT48" s="22">
        <f>IF('M3 Allocations - TD'!AR53="","",'M3 Allocations - TD'!AR71)</f>
        <v>359045.8467287785</v>
      </c>
      <c r="AU48" s="22">
        <f>IF('M3 Allocations - TD'!AS53="","",'M3 Allocations - TD'!AS71)</f>
        <v>356393.75583709526</v>
      </c>
      <c r="AV48" s="22">
        <f>IF('M3 Allocations - TD'!AT53="","",'M3 Allocations - TD'!AT71)</f>
        <v>340966.67570072628</v>
      </c>
      <c r="AW48" s="22">
        <f>IF('M3 Allocations - TD'!AU53="","",'M3 Allocations - TD'!AU71)</f>
        <v>293032.69252515415</v>
      </c>
      <c r="AX48" s="22">
        <f>IF('M3 Allocations - TD'!AV53="","",'M3 Allocations - TD'!AV71)</f>
        <v>277209.1284607214</v>
      </c>
      <c r="AY48" s="22">
        <f>IF('M3 Allocations - TD'!AW53="","",'M3 Allocations - TD'!AW71)</f>
        <v>306624.58238682727</v>
      </c>
      <c r="AZ48" s="22">
        <f>IF('M3 Allocations - TD'!AX53="","",'M3 Allocations - TD'!AX71)</f>
        <v>335114.71416967508</v>
      </c>
    </row>
    <row r="49" spans="1:53" s="5" customFormat="1" ht="15" hidden="1" customHeight="1" outlineLevel="1" x14ac:dyDescent="0.35">
      <c r="A49" s="274"/>
      <c r="B49" s="18" t="s">
        <v>51</v>
      </c>
      <c r="C49" s="104"/>
      <c r="D49" s="104"/>
      <c r="E49" s="104"/>
      <c r="F49" s="22">
        <f>IF(F48="","",0)</f>
        <v>0</v>
      </c>
      <c r="G49" s="22">
        <f t="shared" ref="G49" si="257">IF(G48="","",0)</f>
        <v>0</v>
      </c>
      <c r="H49" s="22">
        <f t="shared" ref="H49" si="258">IF(H48="","",0)</f>
        <v>0</v>
      </c>
      <c r="I49" s="22">
        <f t="shared" ref="I49" si="259">IF(I48="","",0)</f>
        <v>0</v>
      </c>
      <c r="J49" s="22">
        <f t="shared" ref="J49" si="260">IF(J48="","",0)</f>
        <v>0</v>
      </c>
      <c r="K49" s="22">
        <f t="shared" ref="K49" si="261">IF(K48="","",0)</f>
        <v>0</v>
      </c>
      <c r="L49" s="22">
        <f t="shared" ref="L49" si="262">IF(L48="","",0)</f>
        <v>0</v>
      </c>
      <c r="M49" s="22">
        <f t="shared" ref="M49" si="263">IF(M48="","",0)</f>
        <v>0</v>
      </c>
      <c r="N49" s="22">
        <f t="shared" ref="N49" si="264">IF(N48="","",0)</f>
        <v>0</v>
      </c>
      <c r="O49" s="22">
        <f t="shared" ref="O49" si="265">IF(O48="","",0)</f>
        <v>0</v>
      </c>
      <c r="P49" s="22">
        <f t="shared" ref="P49" si="266">IF(P48="","",0)</f>
        <v>0</v>
      </c>
      <c r="Q49" s="22">
        <f>IF(Q48="","",-'M3 TD amort'!C22)</f>
        <v>40612.01</v>
      </c>
      <c r="R49" s="22">
        <f>IF(R48="","",-'M3 TD amort'!D22)</f>
        <v>38351.11</v>
      </c>
      <c r="S49" s="22">
        <f>IF(S48="","",-'M3 TD amort'!E22)</f>
        <v>32774.379999999997</v>
      </c>
      <c r="T49" s="22">
        <f>IF(T48="","",-'M3 TD amort'!F22)</f>
        <v>30569.17</v>
      </c>
      <c r="U49" s="22">
        <f>IF(U48="","",-'M3 TD amort'!G22)</f>
        <v>36225.06</v>
      </c>
      <c r="V49" s="22">
        <f>IF(V48="","",-'M3 TD amort'!H22)</f>
        <v>42295.91</v>
      </c>
      <c r="W49" s="22">
        <f>IF(W48="","",-'M3 TD amort'!I22)</f>
        <v>42141.33</v>
      </c>
      <c r="X49" s="22">
        <f>IF(X48="","",-'M3 TD amort'!J22)</f>
        <v>41942.74</v>
      </c>
      <c r="Y49" s="22">
        <f>IF(Y48="","",-'M3 TD amort'!K22)</f>
        <v>35788.269999999997</v>
      </c>
      <c r="Z49" s="22">
        <f>IF(Z48="","",-'M3 TD amort'!L22)</f>
        <v>34863.54</v>
      </c>
      <c r="AA49" s="22">
        <f>IF(AA48="","",-'M3 TD amort'!M22)</f>
        <v>37469.9</v>
      </c>
      <c r="AB49" s="22">
        <f>IF(AB48="","",-'M3 TD amort'!N22)</f>
        <v>40157.82</v>
      </c>
      <c r="AC49" s="22">
        <f>IF(AC48="","",-'M3 TD amort'!O22)</f>
        <v>-26804.880000000001</v>
      </c>
      <c r="AD49" s="22">
        <f>IF(AD48="","",-'M3 TD amort'!P22)</f>
        <v>-46741.51</v>
      </c>
      <c r="AE49" s="22">
        <f>IF(AE48="","",-'M3 TD amort'!Q22)</f>
        <v>-41624.800000000003</v>
      </c>
      <c r="AF49" s="22">
        <f>IF(AF48="","",-'M3 TD amort'!R22)</f>
        <v>-42397.51</v>
      </c>
      <c r="AG49" s="22">
        <f>IF(AG48="","",-'M3 TD amort'!S22)</f>
        <v>-47114.93</v>
      </c>
      <c r="AH49" s="22">
        <f>IF(AH48="","",-'M3 TD amort'!T22)</f>
        <v>-55182.37</v>
      </c>
      <c r="AI49" s="22">
        <f>IF(AI48="","",-'M3 TD amort'!U22)</f>
        <v>-54689.09</v>
      </c>
      <c r="AJ49" s="22">
        <f>IF(AJ48="","",-'M3 TD amort'!V22)</f>
        <v>-55739.85</v>
      </c>
      <c r="AK49" s="22">
        <f>IF(AK48="","",-'M3 TD amort'!W22)</f>
        <v>-48995.69</v>
      </c>
      <c r="AL49" s="22">
        <f>IF(AL48="","",-'M3 TD amort'!X22)</f>
        <v>-43533.32</v>
      </c>
      <c r="AM49" s="22">
        <f>IF(AM48="","",-'M3 TD amort'!Y22)</f>
        <v>-47580.19</v>
      </c>
      <c r="AN49" s="22">
        <f>IF(AN48="","",-'M3 TD amort'!Z22)</f>
        <v>-50865.22</v>
      </c>
      <c r="AO49" s="22">
        <f>IF(AO48="","",-'M3 TD amort'!AA22)</f>
        <v>38543.78</v>
      </c>
      <c r="AP49" s="22">
        <f>IF(AP48="","",-'M3 TD amort'!AB22)</f>
        <v>23075.85</v>
      </c>
      <c r="AQ49" s="22">
        <f>IF(AQ48="","",-'M3 TD amort'!AC22)</f>
        <v>21444.13</v>
      </c>
      <c r="AR49" s="22">
        <f>IF(AR48="","",-'M3 TD amort'!AD22)</f>
        <v>22179.41</v>
      </c>
      <c r="AS49" s="22">
        <f>IF(AS48="","",-'M3 TD amort'!AE22)</f>
        <v>24889.02</v>
      </c>
      <c r="AT49" s="22">
        <f>IF(AT48="","",-'M3 TD amort'!AF22)</f>
        <v>27910.6</v>
      </c>
      <c r="AU49" s="22">
        <f>IF(AU48="","",-'M3 TD amort'!AG22)</f>
        <v>27712.27</v>
      </c>
      <c r="AV49" s="22">
        <f>IF(AV48="","",-'M3 TD amort'!AH22)</f>
        <v>26504</v>
      </c>
      <c r="AW49" s="22">
        <f>IF(AW48="","",-'M3 TD amort'!AI22)</f>
        <v>22775.33</v>
      </c>
      <c r="AX49" s="22">
        <f>IF(AX48="","",-'M3 TD amort'!AJ22)</f>
        <v>21687.3</v>
      </c>
      <c r="AY49" s="22">
        <f>IF(AY48="","",-'M3 TD amort'!AK22)</f>
        <v>24071.79</v>
      </c>
      <c r="AZ49" s="22">
        <f>IF(AZ48="","",-'M3 TD amort'!AL22)</f>
        <v>26349.18</v>
      </c>
    </row>
    <row r="50" spans="1:53" s="5" customFormat="1" ht="15" hidden="1" customHeight="1" outlineLevel="1" x14ac:dyDescent="0.35">
      <c r="A50" s="274"/>
      <c r="B50" s="18" t="s">
        <v>52</v>
      </c>
      <c r="C50" s="104"/>
      <c r="D50" s="104"/>
      <c r="E50" s="104"/>
      <c r="F50" s="9">
        <f t="shared" ref="F50:M50" si="267">IF(OR(F49="",F48=""),"",F48+F49)</f>
        <v>0</v>
      </c>
      <c r="G50" s="9">
        <f t="shared" si="267"/>
        <v>0</v>
      </c>
      <c r="H50" s="9">
        <f t="shared" si="267"/>
        <v>6753.6701978728988</v>
      </c>
      <c r="I50" s="9">
        <f t="shared" si="267"/>
        <v>107151.44580605239</v>
      </c>
      <c r="J50" s="9">
        <f t="shared" si="267"/>
        <v>115634.5208649429</v>
      </c>
      <c r="K50" s="9">
        <f t="shared" si="267"/>
        <v>118331.81312804784</v>
      </c>
      <c r="L50" s="9">
        <f t="shared" si="267"/>
        <v>119601.33814288217</v>
      </c>
      <c r="M50" s="9">
        <f t="shared" si="267"/>
        <v>109968.9574924099</v>
      </c>
      <c r="N50" s="9">
        <f>IF(OR(N49="",N48=""),"",N48+N49)</f>
        <v>96533.881711475129</v>
      </c>
      <c r="O50" s="9">
        <f t="shared" ref="O50:AE50" si="268">IF(OR(O49="",O48=""),"",O48+O49)</f>
        <v>104142.56971532079</v>
      </c>
      <c r="P50" s="9">
        <f t="shared" si="268"/>
        <v>107611.86637282498</v>
      </c>
      <c r="Q50" s="9">
        <f t="shared" si="268"/>
        <v>144925.88773241718</v>
      </c>
      <c r="R50" s="9">
        <f t="shared" si="268"/>
        <v>136772.08441036358</v>
      </c>
      <c r="S50" s="9">
        <f t="shared" si="268"/>
        <v>117334.5350283666</v>
      </c>
      <c r="T50" s="9">
        <f t="shared" si="268"/>
        <v>109716.69444637984</v>
      </c>
      <c r="U50" s="9">
        <f t="shared" si="268"/>
        <v>130274.98797379238</v>
      </c>
      <c r="V50" s="9">
        <f t="shared" si="268"/>
        <v>152004.39677351972</v>
      </c>
      <c r="W50" s="9">
        <f t="shared" si="268"/>
        <v>151605.06998502946</v>
      </c>
      <c r="X50" s="9">
        <f t="shared" si="268"/>
        <v>151096.98836711264</v>
      </c>
      <c r="Y50" s="9">
        <f t="shared" si="268"/>
        <v>128899.44011500687</v>
      </c>
      <c r="Z50" s="9">
        <f t="shared" si="268"/>
        <v>125177.97984183498</v>
      </c>
      <c r="AA50" s="9">
        <f t="shared" si="268"/>
        <v>134042.50639033067</v>
      </c>
      <c r="AB50" s="9">
        <f t="shared" si="268"/>
        <v>143131.38100695563</v>
      </c>
      <c r="AC50" s="9">
        <f t="shared" si="268"/>
        <v>290249.24799449282</v>
      </c>
      <c r="AD50" s="9">
        <f t="shared" si="268"/>
        <v>508533.18988765683</v>
      </c>
      <c r="AE50" s="9">
        <f t="shared" si="268"/>
        <v>455334.2944456446</v>
      </c>
      <c r="AF50" s="9">
        <f t="shared" ref="AF50:AW50" si="269">IF(OR(AF49="",AF48=""),"",AF48+AF49)</f>
        <v>465065.09422851133</v>
      </c>
      <c r="AG50" s="9">
        <f t="shared" si="269"/>
        <v>517281.07989380945</v>
      </c>
      <c r="AH50" s="9">
        <f t="shared" si="269"/>
        <v>605264.89760719228</v>
      </c>
      <c r="AI50" s="9">
        <f t="shared" si="269"/>
        <v>599571.58532357099</v>
      </c>
      <c r="AJ50" s="9">
        <f t="shared" si="269"/>
        <v>611217.5623582392</v>
      </c>
      <c r="AK50" s="9">
        <f t="shared" si="269"/>
        <v>538417.93430156587</v>
      </c>
      <c r="AL50" s="9">
        <f t="shared" si="269"/>
        <v>476443.50051891321</v>
      </c>
      <c r="AM50" s="9">
        <f t="shared" si="269"/>
        <v>520033.51409043762</v>
      </c>
      <c r="AN50" s="9">
        <f t="shared" si="269"/>
        <v>555050.63091646251</v>
      </c>
      <c r="AO50" s="9">
        <f t="shared" si="269"/>
        <v>529921.28787101444</v>
      </c>
      <c r="AP50" s="9">
        <f t="shared" si="269"/>
        <v>318852.16891815152</v>
      </c>
      <c r="AQ50" s="9">
        <f t="shared" si="269"/>
        <v>296815.02343587007</v>
      </c>
      <c r="AR50" s="9">
        <f t="shared" si="269"/>
        <v>307709.54328453151</v>
      </c>
      <c r="AS50" s="9">
        <f t="shared" si="269"/>
        <v>345515.20147462486</v>
      </c>
      <c r="AT50" s="9">
        <f t="shared" si="269"/>
        <v>386956.44672877848</v>
      </c>
      <c r="AU50" s="9">
        <f t="shared" si="269"/>
        <v>384106.02583709528</v>
      </c>
      <c r="AV50" s="9">
        <f t="shared" si="269"/>
        <v>367470.67570072628</v>
      </c>
      <c r="AW50" s="9">
        <f t="shared" si="269"/>
        <v>315808.02252515417</v>
      </c>
      <c r="AX50" s="9">
        <f t="shared" ref="AX50:AY50" si="270">IF(OR(AX49="",AX48=""),"",AX48+AX49)</f>
        <v>298896.42846072139</v>
      </c>
      <c r="AY50" s="9">
        <f t="shared" si="270"/>
        <v>330696.37238682725</v>
      </c>
      <c r="AZ50" s="9">
        <f t="shared" ref="AZ50" si="271">IF(OR(AZ49="",AZ48=""),"",AZ48+AZ49)</f>
        <v>361463.89416967507</v>
      </c>
    </row>
    <row r="51" spans="1:53" s="5" customFormat="1" hidden="1" outlineLevel="1" x14ac:dyDescent="0.35">
      <c r="A51" s="274"/>
      <c r="B51" s="18" t="s">
        <v>13</v>
      </c>
      <c r="C51" s="104"/>
      <c r="D51" s="104"/>
      <c r="E51" s="104"/>
      <c r="F51" s="9">
        <f t="shared" ref="F51:M51" si="272">IF(OR(F48="",F47=""),"",F47-F48)</f>
        <v>0.36790548240712501</v>
      </c>
      <c r="G51" s="9">
        <f t="shared" si="272"/>
        <v>549.3842450882164</v>
      </c>
      <c r="H51" s="9">
        <f t="shared" si="272"/>
        <v>-2931.1326047334169</v>
      </c>
      <c r="I51" s="9">
        <f t="shared" si="272"/>
        <v>-90370.113443998154</v>
      </c>
      <c r="J51" s="9">
        <f t="shared" si="272"/>
        <v>-75556.802484400338</v>
      </c>
      <c r="K51" s="9">
        <f t="shared" si="272"/>
        <v>-64270.675133255725</v>
      </c>
      <c r="L51" s="9">
        <f t="shared" si="272"/>
        <v>-39992.989537141941</v>
      </c>
      <c r="M51" s="9">
        <f t="shared" si="272"/>
        <v>-53536.042368776616</v>
      </c>
      <c r="N51" s="9">
        <f>IF(OR(N50="",N47=""),"",N47-N50)</f>
        <v>-11728.216706934807</v>
      </c>
      <c r="O51" s="9">
        <f t="shared" ref="O51:AE51" si="273">IF(OR(O50="",O47=""),"",O47-O50)</f>
        <v>-2556.6017182829091</v>
      </c>
      <c r="P51" s="9">
        <f t="shared" si="273"/>
        <v>46597.399590637317</v>
      </c>
      <c r="Q51" s="9">
        <f t="shared" si="273"/>
        <v>-22228.966360419829</v>
      </c>
      <c r="R51" s="9">
        <f t="shared" si="273"/>
        <v>-13360.21052983425</v>
      </c>
      <c r="S51" s="9">
        <f t="shared" si="273"/>
        <v>-69888.323471591139</v>
      </c>
      <c r="T51" s="9">
        <f t="shared" si="273"/>
        <v>-26160.160200838378</v>
      </c>
      <c r="U51" s="9">
        <f t="shared" si="273"/>
        <v>58774.378860579294</v>
      </c>
      <c r="V51" s="9">
        <f t="shared" si="273"/>
        <v>113480.04298932067</v>
      </c>
      <c r="W51" s="9">
        <f t="shared" si="273"/>
        <v>96985.525623500405</v>
      </c>
      <c r="X51" s="9">
        <f t="shared" si="273"/>
        <v>78895.799886724097</v>
      </c>
      <c r="Y51" s="9">
        <f t="shared" si="273"/>
        <v>13756.349884233845</v>
      </c>
      <c r="Z51" s="9">
        <f t="shared" si="273"/>
        <v>15414.821802483406</v>
      </c>
      <c r="AA51" s="9">
        <f t="shared" si="273"/>
        <v>37741.626400806097</v>
      </c>
      <c r="AB51" s="9">
        <f t="shared" si="273"/>
        <v>140666.06930596294</v>
      </c>
      <c r="AC51" s="9">
        <f t="shared" si="273"/>
        <v>-79767.380758116313</v>
      </c>
      <c r="AD51" s="9">
        <f t="shared" si="273"/>
        <v>-275605.62432818773</v>
      </c>
      <c r="AE51" s="9">
        <f t="shared" si="273"/>
        <v>-234223.01482360862</v>
      </c>
      <c r="AF51" s="9">
        <f t="shared" ref="AF51:AV51" si="274">IF(OR(AF50="",AF47=""),"",AF47-AF50)</f>
        <v>-150385.29456222046</v>
      </c>
      <c r="AG51" s="9">
        <f t="shared" si="274"/>
        <v>198018.32376938389</v>
      </c>
      <c r="AH51" s="9">
        <f t="shared" si="274"/>
        <v>348362.52700391319</v>
      </c>
      <c r="AI51" s="9">
        <f t="shared" si="274"/>
        <v>339738.84756536933</v>
      </c>
      <c r="AJ51" s="9">
        <f t="shared" si="274"/>
        <v>48397.62005543604</v>
      </c>
      <c r="AK51" s="9">
        <f t="shared" si="274"/>
        <v>-184848.74615168752</v>
      </c>
      <c r="AL51" s="9">
        <f t="shared" si="274"/>
        <v>-132715.84841127816</v>
      </c>
      <c r="AM51" s="9">
        <f t="shared" si="274"/>
        <v>-101183.46738778771</v>
      </c>
      <c r="AN51" s="9">
        <f t="shared" si="274"/>
        <v>72006.352066173451</v>
      </c>
      <c r="AO51" s="9">
        <f t="shared" si="274"/>
        <v>-54633.169777225121</v>
      </c>
      <c r="AP51" s="9">
        <f t="shared" si="274"/>
        <v>-29854.812319360673</v>
      </c>
      <c r="AQ51" s="9">
        <f t="shared" si="274"/>
        <v>-43569.759852407646</v>
      </c>
      <c r="AR51" s="9">
        <f t="shared" si="274"/>
        <v>30009.702663524076</v>
      </c>
      <c r="AS51" s="9">
        <f t="shared" si="274"/>
        <v>571898.61314727855</v>
      </c>
      <c r="AT51" s="9">
        <f t="shared" si="274"/>
        <v>758640.57298325235</v>
      </c>
      <c r="AU51" s="9">
        <f t="shared" si="274"/>
        <v>604760.56297479803</v>
      </c>
      <c r="AV51" s="9">
        <f t="shared" si="274"/>
        <v>304894.59223014308</v>
      </c>
      <c r="AW51" s="141">
        <f>IF(OR(AW50="",AW47=""),"",AW47-AW50)+AW46</f>
        <v>83751.398420539015</v>
      </c>
      <c r="AX51" s="9">
        <f t="shared" ref="AX51:AY51" si="275">IF(OR(AX50="",AX47=""),"",AX47-AX50)</f>
        <v>72883.607159996405</v>
      </c>
      <c r="AY51" s="9">
        <f t="shared" si="275"/>
        <v>179222.18479398353</v>
      </c>
      <c r="AZ51" s="9">
        <f t="shared" ref="AZ51" si="276">IF(OR(AZ50="",AZ47=""),"",AZ47-AZ50)</f>
        <v>218507.03906735883</v>
      </c>
      <c r="BA51" s="238"/>
    </row>
    <row r="52" spans="1:53" s="5" customFormat="1" hidden="1" outlineLevel="1" x14ac:dyDescent="0.35">
      <c r="A52" s="274"/>
      <c r="B52" s="19" t="s">
        <v>8</v>
      </c>
      <c r="C52" s="104"/>
      <c r="D52" s="104"/>
      <c r="E52" s="104"/>
      <c r="F52" s="9">
        <f>IF(OR(F9="",F51=""),"",ROUND((F51+E54)*F9/12,2))</f>
        <v>0</v>
      </c>
      <c r="G52" s="9">
        <f t="shared" ref="G52:L52" si="277">IF(OR(G9="",G51=""),"",ROUND((G51+F54)*G9/12,2))</f>
        <v>1.22</v>
      </c>
      <c r="H52" s="9">
        <f t="shared" si="277"/>
        <v>-5.31</v>
      </c>
      <c r="I52" s="9">
        <f t="shared" si="277"/>
        <v>-204.84</v>
      </c>
      <c r="J52" s="9">
        <f t="shared" si="277"/>
        <v>-364.4</v>
      </c>
      <c r="K52" s="9">
        <f t="shared" si="277"/>
        <v>-456.82</v>
      </c>
      <c r="L52" s="9">
        <f t="shared" si="277"/>
        <v>-505.45</v>
      </c>
      <c r="M52" s="9">
        <f t="shared" ref="M52" si="278">IF(OR(M9="",M51=""),"",ROUND((M51+L54)*M9/12,2))</f>
        <v>-577.17999999999995</v>
      </c>
      <c r="N52" s="125">
        <f>IF(OR(N9="",N51=""),"",ROUND((N51+M54)*N9/12,2))+N46</f>
        <v>-419.03000000000043</v>
      </c>
      <c r="O52" s="9">
        <f t="shared" ref="O52" si="279">IF(OR(O9="",O51=""),"",ROUND((O51+N54)*O9/12,2))</f>
        <v>-547.30999999999995</v>
      </c>
      <c r="P52" s="9">
        <f t="shared" ref="P52" si="280">IF(OR(P9="",P51=""),"",ROUND((P51+O54)*P9/12,2))</f>
        <v>-467.35</v>
      </c>
      <c r="Q52" s="9">
        <f t="shared" ref="Q52:R52" si="281">IF(OR(Q9="",Q51=""),"",ROUND((Q51+P54)*Q9/12,2))</f>
        <v>-480.31</v>
      </c>
      <c r="R52" s="9">
        <f t="shared" si="281"/>
        <v>-460.82</v>
      </c>
      <c r="S52" s="9">
        <f t="shared" ref="S52" si="282">IF(OR(S9="",S51=""),"",ROUND((S51+R54)*S9/12,2))</f>
        <v>-254.01</v>
      </c>
      <c r="T52" s="9">
        <f t="shared" ref="T52" si="283">IF(OR(T9="",T51=""),"",ROUND((T51+S54)*T9/12,2))</f>
        <v>-34.25</v>
      </c>
      <c r="U52" s="9">
        <f t="shared" ref="U52" si="284">IF(OR(U9="",U51=""),"",ROUND((U51+T54)*U9/12,2))</f>
        <v>-23.99</v>
      </c>
      <c r="V52" s="9">
        <f t="shared" ref="V52" si="285">IF(OR(V9="",V51=""),"",ROUND((V51+U54)*V9/12,2))</f>
        <v>-12.82</v>
      </c>
      <c r="W52" s="9">
        <f>IF(OR(W9="",W51=""),"",ROUND((W51+V54)*W9/12,2))</f>
        <v>6.81</v>
      </c>
      <c r="X52" s="9">
        <f t="shared" ref="X52" si="286">IF(OR(X9="",X51=""),"",ROUND((X51+W54)*X9/12,2))</f>
        <v>18.68</v>
      </c>
      <c r="Y52" s="9">
        <f>IF(OR(Y9="",Y51=""),"",ROUND((Y51+X54)*Y9/12,2))</f>
        <v>39.43</v>
      </c>
      <c r="Z52" s="9">
        <f>IF(OR(Z9="",Z51=""),"",ROUND((Z49+Z51+Y54+Z46)*Z9/12,2))+Z46</f>
        <v>244.25999999999948</v>
      </c>
      <c r="AA52" s="9">
        <f>IF(OR(AA9="",AA51=""),"",ROUND((AA49+AA51+Z54)*AA9/12,2))</f>
        <v>94.46</v>
      </c>
      <c r="AB52" s="9">
        <f>IF(OR(AB9="",AB51=""),"",ROUND((AB49+AB51+AA54)*AB9/12,2))</f>
        <v>99.47</v>
      </c>
      <c r="AC52" s="9">
        <f t="shared" ref="AC52:AE52" si="287">IF(OR(AC9="",AC51=""),"",ROUND((AC49+AC51+AB54)*AC9/12,2))</f>
        <v>91.45</v>
      </c>
      <c r="AD52" s="9">
        <f t="shared" si="287"/>
        <v>26.77</v>
      </c>
      <c r="AE52" s="9">
        <f t="shared" si="287"/>
        <v>-23.54</v>
      </c>
      <c r="AF52" s="9">
        <f t="shared" ref="AF52" si="288">IF(OR(AF9="",AF51=""),"",ROUND((AF49+AF51+AE54)*AF9/12,2))</f>
        <v>-59.49</v>
      </c>
      <c r="AG52" s="9">
        <f t="shared" ref="AG52" si="289">IF(OR(AG9="",AG51=""),"",ROUND((AG49+AG51+AF54)*AG9/12,2))</f>
        <v>-28.14</v>
      </c>
      <c r="AH52" s="9">
        <f t="shared" ref="AH52" si="290">IF(OR(AH9="",AH51=""),"",ROUND((AH49+AH51+AG54)*AH9/12,2))</f>
        <v>14.62</v>
      </c>
      <c r="AI52" s="9">
        <f t="shared" ref="AI52" si="291">IF(OR(AI9="",AI51=""),"",ROUND((AI49+AI51+AH54)*AI9/12,2))</f>
        <v>70.209999999999994</v>
      </c>
      <c r="AJ52" s="9">
        <f t="shared" ref="AJ52" si="292">IF(OR(AJ9="",AJ51=""),"",ROUND((AJ49+AJ51+AI54)*AJ9/12,2))</f>
        <v>64.97</v>
      </c>
      <c r="AK52" s="9">
        <f t="shared" ref="AK52" si="293">IF(OR(AK9="",AK51=""),"",ROUND((AK49+AK51+AJ54)*AK9/12,2))</f>
        <v>21.21</v>
      </c>
      <c r="AL52" s="9">
        <f t="shared" ref="AL52" si="294">IF(OR(AL9="",AL51=""),"",ROUND((AL49+AL51+AK54)*AL9/12,2))</f>
        <v>-0.83</v>
      </c>
      <c r="AM52" s="9">
        <f t="shared" ref="AM52" si="295">IF(OR(AM9="",AM51=""),"",ROUND((AM49+AM51+AL54)*AM9/12,2))</f>
        <v>-33.700000000000003</v>
      </c>
      <c r="AN52" s="9">
        <f t="shared" ref="AN52" si="296">IF(OR(AN9="",AN51=""),"",ROUND((AN49+AN51+AM54)*AN9/12,2))</f>
        <v>-26.21</v>
      </c>
      <c r="AO52" s="9">
        <f t="shared" ref="AO52" si="297">IF(OR(AO9="",AO51=""),"",ROUND((AO49+AO51+AN54)*AO9/12,2))</f>
        <v>-37.049999999999997</v>
      </c>
      <c r="AP52" s="9">
        <f t="shared" ref="AP52" si="298">IF(OR(AP9="",AP51=""),"",ROUND((AP49+AP51+AO54)*AP9/12,2))</f>
        <v>-90.11</v>
      </c>
      <c r="AQ52" s="9">
        <f t="shared" ref="AQ52" si="299">IF(OR(AQ9="",AQ51=""),"",ROUND((AQ49+AQ51+AP54)*AQ9/12,2))</f>
        <v>-89.72</v>
      </c>
      <c r="AR52" s="9">
        <f t="shared" ref="AR52" si="300">IF(OR(AR9="",AR51=""),"",ROUND((AR49+AR51+AQ54)*AR9/12,2))</f>
        <v>-100.68</v>
      </c>
      <c r="AS52" s="9">
        <f t="shared" ref="AS52" si="301">IF(OR(AS9="",AS51=""),"",ROUND((AS49+AS51+AR54)*AS9/12,2))</f>
        <v>581.30999999999995</v>
      </c>
      <c r="AT52" s="9">
        <f t="shared" ref="AT52" si="302">IF(OR(AT9="",AT51=""),"",ROUND((AT49+AT51+AS54)*AT9/12,2))</f>
        <v>2153.6999999999998</v>
      </c>
      <c r="AU52" s="9">
        <f t="shared" ref="AU52" si="303">IF(OR(AU9="",AU51=""),"",ROUND((AU49+AU51+AT54)*AU9/12,2))</f>
        <v>4041.01</v>
      </c>
      <c r="AV52" s="9">
        <f t="shared" ref="AV52" si="304">IF(OR(AV9="",AV51=""),"",ROUND((AV49+AV51+AU54)*AV9/12,2))</f>
        <v>5272.93</v>
      </c>
      <c r="AW52" s="9">
        <f t="shared" ref="AW52:AZ52" si="305">IF(OR(AW9="",AW51=""),"",ROUND((AW49+AW51+AV54)*AW9/12,2))</f>
        <v>6762.31</v>
      </c>
      <c r="AX52" s="9">
        <f t="shared" si="305"/>
        <v>7055.34</v>
      </c>
      <c r="AY52" s="9">
        <f t="shared" si="305"/>
        <v>7663.62</v>
      </c>
      <c r="AZ52" s="9">
        <f t="shared" si="305"/>
        <v>8393.85</v>
      </c>
      <c r="BA52" s="238"/>
    </row>
    <row r="53" spans="1:53" s="5" customFormat="1" hidden="1" outlineLevel="1" x14ac:dyDescent="0.35">
      <c r="A53" s="274"/>
      <c r="B53" s="18" t="s">
        <v>14</v>
      </c>
      <c r="C53" s="104"/>
      <c r="D53" s="104"/>
      <c r="E53" s="104"/>
      <c r="F53" s="9">
        <f t="shared" ref="F53:M53" si="306">IF(OR(F51="",F52=""),"",F51+F52)</f>
        <v>0.36790548240712501</v>
      </c>
      <c r="G53" s="9">
        <f t="shared" si="306"/>
        <v>550.60424508821643</v>
      </c>
      <c r="H53" s="9">
        <f t="shared" si="306"/>
        <v>-2936.4426047334168</v>
      </c>
      <c r="I53" s="9">
        <f t="shared" si="306"/>
        <v>-90574.953443998151</v>
      </c>
      <c r="J53" s="9">
        <f t="shared" si="306"/>
        <v>-75921.202484400332</v>
      </c>
      <c r="K53" s="9">
        <f t="shared" si="306"/>
        <v>-64727.495133255725</v>
      </c>
      <c r="L53" s="9">
        <f t="shared" si="306"/>
        <v>-40498.439537141938</v>
      </c>
      <c r="M53" s="9">
        <f t="shared" si="306"/>
        <v>-54113.222368776616</v>
      </c>
      <c r="N53" s="9">
        <f>IF(OR(N51="",N52=""),"",N51+N52)</f>
        <v>-12147.246706934808</v>
      </c>
      <c r="O53" s="9">
        <f>IF(OR(O51="",O52=""),"",O51+O52)</f>
        <v>-3103.9117182829091</v>
      </c>
      <c r="P53" s="9">
        <f t="shared" ref="P53:AE53" si="307">IF(OR(P51="",P52=""),"",P51+P52)</f>
        <v>46130.049590637318</v>
      </c>
      <c r="Q53" s="9">
        <f t="shared" si="307"/>
        <v>-22709.27636041983</v>
      </c>
      <c r="R53" s="9">
        <f t="shared" si="307"/>
        <v>-13821.03052983425</v>
      </c>
      <c r="S53" s="9">
        <f t="shared" si="307"/>
        <v>-70142.333471591133</v>
      </c>
      <c r="T53" s="9">
        <f t="shared" si="307"/>
        <v>-26194.410200838378</v>
      </c>
      <c r="U53" s="9">
        <f t="shared" si="307"/>
        <v>58750.388860579296</v>
      </c>
      <c r="V53" s="9">
        <f t="shared" si="307"/>
        <v>113467.22298932067</v>
      </c>
      <c r="W53" s="9">
        <f t="shared" si="307"/>
        <v>96992.335623500403</v>
      </c>
      <c r="X53" s="9">
        <f t="shared" si="307"/>
        <v>78914.47988672409</v>
      </c>
      <c r="Y53" s="9">
        <f t="shared" si="307"/>
        <v>13795.779884233845</v>
      </c>
      <c r="Z53" s="9">
        <f>IF(OR(Z51="",Z52=""),"",Z51+Z52)</f>
        <v>15659.081802483406</v>
      </c>
      <c r="AA53" s="9">
        <f t="shared" si="307"/>
        <v>37836.086400806096</v>
      </c>
      <c r="AB53" s="9">
        <f t="shared" si="307"/>
        <v>140765.53930596294</v>
      </c>
      <c r="AC53" s="9">
        <f t="shared" si="307"/>
        <v>-79675.930758116316</v>
      </c>
      <c r="AD53" s="9">
        <f t="shared" si="307"/>
        <v>-275578.85432818771</v>
      </c>
      <c r="AE53" s="9">
        <f t="shared" si="307"/>
        <v>-234246.55482360863</v>
      </c>
      <c r="AF53" s="9">
        <f t="shared" ref="AF53:AW53" si="308">IF(OR(AF51="",AF52=""),"",AF51+AF52)</f>
        <v>-150444.78456222045</v>
      </c>
      <c r="AG53" s="9">
        <f t="shared" si="308"/>
        <v>197990.18376938388</v>
      </c>
      <c r="AH53" s="9">
        <f t="shared" si="308"/>
        <v>348377.14700391318</v>
      </c>
      <c r="AI53" s="9">
        <f t="shared" si="308"/>
        <v>339809.05756536935</v>
      </c>
      <c r="AJ53" s="9">
        <f t="shared" si="308"/>
        <v>48462.590055436041</v>
      </c>
      <c r="AK53" s="9">
        <f t="shared" si="308"/>
        <v>-184827.53615168753</v>
      </c>
      <c r="AL53" s="9">
        <f t="shared" si="308"/>
        <v>-132716.67841127815</v>
      </c>
      <c r="AM53" s="9">
        <f t="shared" si="308"/>
        <v>-101217.1673877877</v>
      </c>
      <c r="AN53" s="9">
        <f t="shared" si="308"/>
        <v>71980.142066173445</v>
      </c>
      <c r="AO53" s="9">
        <f t="shared" si="308"/>
        <v>-54670.219777225124</v>
      </c>
      <c r="AP53" s="9">
        <f t="shared" si="308"/>
        <v>-29944.922319360674</v>
      </c>
      <c r="AQ53" s="9">
        <f t="shared" si="308"/>
        <v>-43659.479852407647</v>
      </c>
      <c r="AR53" s="9">
        <f t="shared" si="308"/>
        <v>29909.022663524076</v>
      </c>
      <c r="AS53" s="9">
        <f t="shared" si="308"/>
        <v>572479.92314727861</v>
      </c>
      <c r="AT53" s="9">
        <f t="shared" si="308"/>
        <v>760794.2729832523</v>
      </c>
      <c r="AU53" s="9">
        <f t="shared" si="308"/>
        <v>608801.57297479804</v>
      </c>
      <c r="AV53" s="9">
        <f t="shared" si="308"/>
        <v>310167.52223014308</v>
      </c>
      <c r="AW53" s="9">
        <f t="shared" si="308"/>
        <v>90513.708420539013</v>
      </c>
      <c r="AX53" s="9">
        <f t="shared" ref="AX53:AY53" si="309">IF(OR(AX51="",AX52=""),"",AX51+AX52)</f>
        <v>79938.947159996402</v>
      </c>
      <c r="AY53" s="9">
        <f t="shared" si="309"/>
        <v>186885.80479398352</v>
      </c>
      <c r="AZ53" s="9">
        <f t="shared" ref="AZ53" si="310">IF(OR(AZ51="",AZ52=""),"",AZ51+AZ52)</f>
        <v>226900.88906735883</v>
      </c>
    </row>
    <row r="54" spans="1:53" s="5" customFormat="1" hidden="1" outlineLevel="1" x14ac:dyDescent="0.35">
      <c r="A54" s="274"/>
      <c r="B54" s="20" t="s">
        <v>17</v>
      </c>
      <c r="C54" s="104"/>
      <c r="D54" s="104"/>
      <c r="E54" s="104"/>
      <c r="F54" s="9">
        <f>IF(OR(F53=""),"",F53)</f>
        <v>0.36790548240712501</v>
      </c>
      <c r="G54" s="9">
        <f t="shared" ref="G54:M54" si="311">IF(OR(G53="",F54=""),"",G53+F54)</f>
        <v>550.97215057062351</v>
      </c>
      <c r="H54" s="9">
        <f t="shared" si="311"/>
        <v>-2385.4704541627934</v>
      </c>
      <c r="I54" s="9">
        <f t="shared" si="311"/>
        <v>-92960.423898160938</v>
      </c>
      <c r="J54" s="9">
        <f t="shared" si="311"/>
        <v>-168881.62638256128</v>
      </c>
      <c r="K54" s="9">
        <f t="shared" si="311"/>
        <v>-233609.12151581701</v>
      </c>
      <c r="L54" s="9">
        <f t="shared" si="311"/>
        <v>-274107.56105295895</v>
      </c>
      <c r="M54" s="9">
        <f t="shared" si="311"/>
        <v>-328220.78342173557</v>
      </c>
      <c r="N54" s="9">
        <f>IF(OR(N53="",M54=""),"",N53+N49+M54)</f>
        <v>-340368.03012867039</v>
      </c>
      <c r="O54" s="9">
        <f>IF(OR(O53="",N54=""),"",O53+O49+N54)</f>
        <v>-343471.9418469533</v>
      </c>
      <c r="P54" s="9">
        <f t="shared" ref="P54:AE54" si="312">IF(OR(P53="",O54=""),"",P53+P49+O54)</f>
        <v>-297341.89225631597</v>
      </c>
      <c r="Q54" s="9">
        <f t="shared" si="312"/>
        <v>-279439.15861673577</v>
      </c>
      <c r="R54" s="9">
        <f t="shared" si="312"/>
        <v>-254909.07914657003</v>
      </c>
      <c r="S54" s="9">
        <f t="shared" si="312"/>
        <v>-292277.03261816117</v>
      </c>
      <c r="T54" s="9">
        <f t="shared" si="312"/>
        <v>-287902.27281899954</v>
      </c>
      <c r="U54" s="9">
        <f t="shared" si="312"/>
        <v>-192926.82395842025</v>
      </c>
      <c r="V54" s="9">
        <f t="shared" si="312"/>
        <v>-37163.690969099582</v>
      </c>
      <c r="W54" s="9">
        <f t="shared" si="312"/>
        <v>101969.97465440084</v>
      </c>
      <c r="X54" s="9">
        <f t="shared" si="312"/>
        <v>222827.19454112492</v>
      </c>
      <c r="Y54" s="9">
        <f t="shared" si="312"/>
        <v>272411.24442535877</v>
      </c>
      <c r="Z54" s="9">
        <f t="shared" si="312"/>
        <v>322933.86622784217</v>
      </c>
      <c r="AA54" s="9">
        <f t="shared" si="312"/>
        <v>398239.85262864828</v>
      </c>
      <c r="AB54" s="9">
        <f t="shared" si="312"/>
        <v>579163.2119346112</v>
      </c>
      <c r="AC54" s="9">
        <f t="shared" si="312"/>
        <v>472682.4011764949</v>
      </c>
      <c r="AD54" s="9">
        <f t="shared" si="312"/>
        <v>150362.03684830718</v>
      </c>
      <c r="AE54" s="9">
        <f t="shared" si="312"/>
        <v>-125509.31797530147</v>
      </c>
      <c r="AF54" s="9">
        <f t="shared" ref="AF54" si="313">IF(OR(AF53="",AE54=""),"",AF53+AF49+AE54)</f>
        <v>-318351.61253752193</v>
      </c>
      <c r="AG54" s="9">
        <f t="shared" ref="AG54" si="314">IF(OR(AG53="",AF54=""),"",AG53+AG49+AF54)</f>
        <v>-167476.35876813804</v>
      </c>
      <c r="AH54" s="9">
        <f t="shared" ref="AH54" si="315">IF(OR(AH53="",AG54=""),"",AH53+AH49+AG54)</f>
        <v>125718.41823577514</v>
      </c>
      <c r="AI54" s="9">
        <f t="shared" ref="AI54" si="316">IF(OR(AI53="",AH54=""),"",AI53+AI49+AH54)</f>
        <v>410838.38580114447</v>
      </c>
      <c r="AJ54" s="9">
        <f t="shared" ref="AJ54" si="317">IF(OR(AJ53="",AI54=""),"",AJ53+AJ49+AI54)</f>
        <v>403561.1258565805</v>
      </c>
      <c r="AK54" s="9">
        <f t="shared" ref="AK54" si="318">IF(OR(AK53="",AJ54=""),"",AK53+AK49+AJ54)</f>
        <v>169737.89970489297</v>
      </c>
      <c r="AL54" s="9">
        <f t="shared" ref="AL54" si="319">IF(OR(AL53="",AK54=""),"",AL53+AL49+AK54)</f>
        <v>-6512.098706385179</v>
      </c>
      <c r="AM54" s="9">
        <f t="shared" ref="AM54" si="320">IF(OR(AM53="",AL54=""),"",AM53+AM49+AL54)</f>
        <v>-155309.4560941729</v>
      </c>
      <c r="AN54" s="9">
        <f t="shared" ref="AN54" si="321">IF(OR(AN53="",AM54=""),"",AN53+AN49+AM54)</f>
        <v>-134194.53402799944</v>
      </c>
      <c r="AO54" s="9">
        <f t="shared" ref="AO54" si="322">IF(OR(AO53="",AN54=""),"",AO53+AO49+AN54)</f>
        <v>-150320.97380522458</v>
      </c>
      <c r="AP54" s="9">
        <f t="shared" ref="AP54" si="323">IF(OR(AP53="",AO54=""),"",AP53+AP49+AO54)</f>
        <v>-157190.04612458526</v>
      </c>
      <c r="AQ54" s="9">
        <f t="shared" ref="AQ54" si="324">IF(OR(AQ53="",AP54=""),"",AQ53+AQ49+AP54)</f>
        <v>-179405.39597699291</v>
      </c>
      <c r="AR54" s="9">
        <f t="shared" ref="AR54" si="325">IF(OR(AR53="",AQ54=""),"",AR53+AR49+AQ54)</f>
        <v>-127316.96331346883</v>
      </c>
      <c r="AS54" s="9">
        <f t="shared" ref="AS54" si="326">IF(OR(AS53="",AR54=""),"",AS53+AS49+AR54)</f>
        <v>470051.97983380978</v>
      </c>
      <c r="AT54" s="9">
        <f t="shared" ref="AT54" si="327">IF(OR(AT53="",AS54=""),"",AT53+AT49+AS54)</f>
        <v>1258756.8528170621</v>
      </c>
      <c r="AU54" s="9">
        <f t="shared" ref="AU54" si="328">IF(OR(AU53="",AT54=""),"",AU53+AU49+AT54)</f>
        <v>1895270.6957918601</v>
      </c>
      <c r="AV54" s="9">
        <f t="shared" ref="AV54" si="329">IF(OR(AV53="",AU54=""),"",AV53+AV49+AU54)</f>
        <v>2231942.2180220033</v>
      </c>
      <c r="AW54" s="9">
        <f t="shared" ref="AW54:AZ54" si="330">IF(OR(AW53="",AV54=""),"",AW53+AW49+AV54)</f>
        <v>2345231.2564425422</v>
      </c>
      <c r="AX54" s="9">
        <f t="shared" si="330"/>
        <v>2446857.5036025387</v>
      </c>
      <c r="AY54" s="9">
        <f t="shared" si="330"/>
        <v>2657815.0983965225</v>
      </c>
      <c r="AZ54" s="9">
        <f t="shared" si="330"/>
        <v>2911065.1674638814</v>
      </c>
    </row>
    <row r="55" spans="1:53" s="5" customFormat="1" ht="8.25" hidden="1" customHeight="1" outlineLevel="1" x14ac:dyDescent="0.35">
      <c r="A55" s="44"/>
      <c r="B55" s="13"/>
      <c r="C55" s="109"/>
      <c r="D55" s="109"/>
      <c r="E55" s="109"/>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row>
    <row r="56" spans="1:53" s="5" customFormat="1" ht="15" hidden="1" customHeight="1" outlineLevel="1" x14ac:dyDescent="0.35">
      <c r="A56" s="274" t="s">
        <v>23</v>
      </c>
      <c r="B56" s="17"/>
      <c r="C56" s="104"/>
      <c r="D56" s="104"/>
      <c r="E56" s="104"/>
      <c r="F56" s="9"/>
      <c r="G56" s="9"/>
      <c r="H56" s="9"/>
      <c r="I56" s="9"/>
      <c r="J56" s="9"/>
      <c r="K56" s="9"/>
      <c r="L56" s="9"/>
      <c r="M56" s="9"/>
      <c r="N56" s="124">
        <f>'MEEIA 3 adjs'!L43</f>
        <v>46.569999999999936</v>
      </c>
      <c r="O56" s="9"/>
      <c r="P56" s="9"/>
      <c r="Q56" s="9"/>
      <c r="R56" s="9"/>
      <c r="S56" s="9"/>
      <c r="T56" s="9"/>
      <c r="U56" s="9"/>
      <c r="V56" s="9"/>
      <c r="W56" s="9"/>
      <c r="X56" s="9"/>
      <c r="Y56" s="9"/>
      <c r="Z56" s="124">
        <f>'MEEIA 3 adjs'!AA65</f>
        <v>87.969999999999914</v>
      </c>
      <c r="AA56" s="9"/>
      <c r="AB56" s="9"/>
      <c r="AC56" s="9"/>
      <c r="AD56" s="9"/>
      <c r="AE56" s="9"/>
      <c r="AF56" s="9"/>
      <c r="AG56" s="9"/>
      <c r="AH56" s="9"/>
      <c r="AI56" s="9"/>
      <c r="AJ56" s="9"/>
      <c r="AK56" s="9"/>
      <c r="AL56" s="9"/>
      <c r="AM56" s="9"/>
      <c r="AN56" s="9"/>
      <c r="AO56" s="9"/>
      <c r="AP56" s="9"/>
      <c r="AQ56" s="9"/>
      <c r="AR56" s="9"/>
      <c r="AS56" s="9"/>
      <c r="AT56" s="9"/>
      <c r="AU56" s="9"/>
      <c r="AV56" s="9"/>
      <c r="AW56" s="141">
        <f>'MEEIA 3 adjs'!CV51</f>
        <v>23064.805500861024</v>
      </c>
      <c r="AX56" s="9"/>
      <c r="AY56" s="9"/>
      <c r="AZ56" s="9"/>
    </row>
    <row r="57" spans="1:53" s="3" customFormat="1" ht="15" hidden="1" customHeight="1" outlineLevel="1" x14ac:dyDescent="0.35">
      <c r="A57" s="274"/>
      <c r="B57" s="17" t="s">
        <v>28</v>
      </c>
      <c r="C57" s="104"/>
      <c r="D57" s="104"/>
      <c r="E57" s="104"/>
      <c r="F57" s="22">
        <f>IF('M3 Allocations - TD'!D8="","",'M3 Allocations - TD'!D34)</f>
        <v>0</v>
      </c>
      <c r="G57" s="22">
        <f>IF('M3 Allocations - TD'!E8="","",'M3 Allocations - TD'!E34)</f>
        <v>9.4764517045030008</v>
      </c>
      <c r="H57" s="22">
        <f>IF('M3 Allocations - TD'!F8="","",'M3 Allocations - TD'!F34)</f>
        <v>992.38480063141662</v>
      </c>
      <c r="I57" s="22">
        <f>IF('M3 Allocations - TD'!G8="","",'M3 Allocations - TD'!G34)</f>
        <v>7292.1248374502911</v>
      </c>
      <c r="J57" s="22">
        <f>IF('M3 Allocations - TD'!H8="","",'M3 Allocations - TD'!H34)</f>
        <v>15994.94501268368</v>
      </c>
      <c r="K57" s="22">
        <f>IF('M3 Allocations - TD'!I8="","",'M3 Allocations - TD'!I34)</f>
        <v>17286.492613957165</v>
      </c>
      <c r="L57" s="22">
        <f>IF('M3 Allocations - TD'!J8="","",'M3 Allocations - TD'!J34)</f>
        <v>20593.63561343183</v>
      </c>
      <c r="M57" s="22">
        <f>IF('M3 Allocations - TD'!K8="","",'M3 Allocations - TD'!K34)</f>
        <v>13281.46306563299</v>
      </c>
      <c r="N57" s="22">
        <f>IF('M3 Allocations - TD'!L8="","",'M3 Allocations - TD'!L34)</f>
        <v>20634.15638219006</v>
      </c>
      <c r="O57" s="22">
        <f>IF('M3 Allocations - TD'!M8="","",'M3 Allocations - TD'!M34)</f>
        <v>18530.128304448888</v>
      </c>
      <c r="P57" s="22">
        <f>IF('M3 Allocations - TD'!N8="","",'M3 Allocations - TD'!N34)</f>
        <v>41320.38859087076</v>
      </c>
      <c r="Q57" s="22">
        <f>IF('M3 Allocations - TD'!O8="","",'M3 Allocations - TD'!O34)</f>
        <v>29425.974245256413</v>
      </c>
      <c r="R57" s="22">
        <f>IF('M3 Allocations - TD'!P8="","",'M3 Allocations - TD'!P34)</f>
        <v>32165.147795809222</v>
      </c>
      <c r="S57" s="22">
        <f>IF('M3 Allocations - TD'!Q8="","",'M3 Allocations - TD'!Q34)</f>
        <v>21213.003373036219</v>
      </c>
      <c r="T57" s="22">
        <f>IF('M3 Allocations - TD'!R8="","",'M3 Allocations - TD'!R34)</f>
        <v>41395.000804902586</v>
      </c>
      <c r="U57" s="22">
        <f>IF('M3 Allocations - TD'!S8="","",'M3 Allocations - TD'!S34)</f>
        <v>92952.761963081415</v>
      </c>
      <c r="V57" s="22">
        <f>IF('M3 Allocations - TD'!T8="","",'M3 Allocations - TD'!T34)</f>
        <v>123951.10916307675</v>
      </c>
      <c r="W57" s="22">
        <f>IF('M3 Allocations - TD'!U8="","",'M3 Allocations - TD'!U34)</f>
        <v>122809.27801030048</v>
      </c>
      <c r="X57" s="22">
        <f>IF('M3 Allocations - TD'!V8="","",'M3 Allocations - TD'!V34)</f>
        <v>96049.861338882605</v>
      </c>
      <c r="Y57" s="22">
        <f>IF('M3 Allocations - TD'!W8="","",'M3 Allocations - TD'!W34)</f>
        <v>51830.00376307463</v>
      </c>
      <c r="Z57" s="22">
        <f>IF('M3 Allocations - TD'!X8="","",'M3 Allocations - TD'!X34)</f>
        <v>49578.466987818043</v>
      </c>
      <c r="AA57" s="22">
        <f>IF('M3 Allocations - TD'!Y8="","",'M3 Allocations - TD'!Y34)</f>
        <v>51735.412802116007</v>
      </c>
      <c r="AB57" s="22">
        <f>IF('M3 Allocations - TD'!Z8="","",'M3 Allocations - TD'!Z34)</f>
        <v>90838.744276912417</v>
      </c>
      <c r="AC57" s="22">
        <f>IF('M3 Allocations - TD'!AA8="","",'M3 Allocations - TD'!AA34)</f>
        <v>65459.948883100595</v>
      </c>
      <c r="AD57" s="22">
        <f>IF('M3 Allocations - TD'!AB8="","",'M3 Allocations - TD'!AB34)</f>
        <v>71534.944524128558</v>
      </c>
      <c r="AE57" s="22">
        <f>IF('M3 Allocations - TD'!AC8="","",'M3 Allocations - TD'!AC34)</f>
        <v>71343.757771636898</v>
      </c>
      <c r="AF57" s="22">
        <f>IF('M3 Allocations - TD'!AD8="","",'M3 Allocations - TD'!AD34)</f>
        <v>103296.3103477702</v>
      </c>
      <c r="AG57" s="22">
        <f>IF('M3 Allocations - TD'!AE8="","",'M3 Allocations - TD'!AE34)</f>
        <v>256562.81120160531</v>
      </c>
      <c r="AH57" s="22">
        <f>IF('M3 Allocations - TD'!AF8="","",'M3 Allocations - TD'!AF34)</f>
        <v>319479.07850425603</v>
      </c>
      <c r="AI57" s="22">
        <f>IF('M3 Allocations - TD'!AG8="","",'M3 Allocations - TD'!AG34)</f>
        <v>309875.12991512951</v>
      </c>
      <c r="AJ57" s="22">
        <f>IF('M3 Allocations - TD'!AH8="","",'M3 Allocations - TD'!AH34)</f>
        <v>200668.49634980995</v>
      </c>
      <c r="AK57" s="22">
        <f>IF('M3 Allocations - TD'!AI8="","",'M3 Allocations - TD'!AI34)</f>
        <v>111417.50190042912</v>
      </c>
      <c r="AL57" s="22">
        <f>IF('M3 Allocations - TD'!AJ8="","",'M3 Allocations - TD'!AJ34)</f>
        <v>93253.892629017733</v>
      </c>
      <c r="AM57" s="22">
        <f>IF('M3 Allocations - TD'!AK8="","",'M3 Allocations - TD'!AK34)</f>
        <v>103488.5984224446</v>
      </c>
      <c r="AN57" s="22">
        <f>IF('M3 Allocations - TD'!AL8="","",'M3 Allocations - TD'!AL34)</f>
        <v>144414.82989089785</v>
      </c>
      <c r="AO57" s="22">
        <f>IF('M3 Allocations - TD'!AM8="","",'M3 Allocations - TD'!AM34)</f>
        <v>110066.63506595949</v>
      </c>
      <c r="AP57" s="22">
        <f>IF('M3 Allocations - TD'!AN8="","",'M3 Allocations - TD'!AN34)</f>
        <v>50328.1679847302</v>
      </c>
      <c r="AQ57" s="22">
        <f>IF('M3 Allocations - TD'!AO8="","",'M3 Allocations - TD'!AO34)</f>
        <v>48818.637830727937</v>
      </c>
      <c r="AR57" s="22">
        <f>IF('M3 Allocations - TD'!AP8="","",'M3 Allocations - TD'!AP34)</f>
        <v>69139.5977047872</v>
      </c>
      <c r="AS57" s="22">
        <f>IF('M3 Allocations - TD'!AQ8="","",'M3 Allocations - TD'!AQ34)</f>
        <v>204404.00741586328</v>
      </c>
      <c r="AT57" s="22">
        <f>IF('M3 Allocations - TD'!AR8="","",'M3 Allocations - TD'!AR34)</f>
        <v>281050.68735267245</v>
      </c>
      <c r="AU57" s="22">
        <f>IF('M3 Allocations - TD'!AS8="","",'M3 Allocations - TD'!AS34)</f>
        <v>243115.17544525067</v>
      </c>
      <c r="AV57" s="22">
        <f>IF('M3 Allocations - TD'!AT8="","",'M3 Allocations - TD'!AT34)</f>
        <v>160177.67633933009</v>
      </c>
      <c r="AW57" s="22">
        <f>IF('M3 Allocations - TD'!AU8="","",'M3 Allocations - TD'!AU34)</f>
        <v>71401.608823197399</v>
      </c>
      <c r="AX57" s="22">
        <f>IF('M3 Allocations - TD'!AV8="","",'M3 Allocations - TD'!AV34)</f>
        <v>70082.744170847945</v>
      </c>
      <c r="AY57" s="22">
        <f>IF('M3 Allocations - TD'!AW8="","",'M3 Allocations - TD'!AW34)</f>
        <v>100472.44441939586</v>
      </c>
      <c r="AZ57" s="22">
        <f>IF('M3 Allocations - TD'!AX8="","",'M3 Allocations - TD'!AX34)</f>
        <v>132403.90069171612</v>
      </c>
    </row>
    <row r="58" spans="1:53" s="5" customFormat="1" ht="15" hidden="1" customHeight="1" outlineLevel="1" x14ac:dyDescent="0.35">
      <c r="A58" s="274"/>
      <c r="B58" s="18" t="s">
        <v>26</v>
      </c>
      <c r="C58" s="104"/>
      <c r="D58" s="104"/>
      <c r="E58" s="104"/>
      <c r="F58" s="22">
        <f>IF('M3 Allocations - TD'!D54="","",'M3 Allocations - TD'!D72)</f>
        <v>0</v>
      </c>
      <c r="G58" s="22">
        <f>IF('M3 Allocations - TD'!E54="","",'M3 Allocations - TD'!E72)</f>
        <v>0</v>
      </c>
      <c r="H58" s="22">
        <f>IF('M3 Allocations - TD'!F54="","",'M3 Allocations - TD'!F72)</f>
        <v>2381.1324731369587</v>
      </c>
      <c r="I58" s="22">
        <f>IF('M3 Allocations - TD'!G54="","",'M3 Allocations - TD'!G72)</f>
        <v>41080.759711289073</v>
      </c>
      <c r="J58" s="22">
        <f>IF('M3 Allocations - TD'!H54="","",'M3 Allocations - TD'!H72)</f>
        <v>46620.227707662583</v>
      </c>
      <c r="K58" s="22">
        <f>IF('M3 Allocations - TD'!I54="","",'M3 Allocations - TD'!I72)</f>
        <v>48915.290383093015</v>
      </c>
      <c r="L58" s="22">
        <f>IF('M3 Allocations - TD'!J54="","",'M3 Allocations - TD'!J72)</f>
        <v>48689.064699160743</v>
      </c>
      <c r="M58" s="22">
        <f>IF('M3 Allocations - TD'!K54="","",'M3 Allocations - TD'!K72)</f>
        <v>45154.720570269681</v>
      </c>
      <c r="N58" s="22">
        <f>IF('M3 Allocations - TD'!L54="","",'M3 Allocations - TD'!L72)</f>
        <v>41515.04923810179</v>
      </c>
      <c r="O58" s="22">
        <f>IF('M3 Allocations - TD'!M54="","",'M3 Allocations - TD'!M72)</f>
        <v>41594.548478057877</v>
      </c>
      <c r="P58" s="22">
        <f>IF('M3 Allocations - TD'!N54="","",'M3 Allocations - TD'!N72)</f>
        <v>42743.649469302021</v>
      </c>
      <c r="Q58" s="22">
        <f>IF('M3 Allocations - TD'!O54="","",'M3 Allocations - TD'!O72)</f>
        <v>43471.756585125317</v>
      </c>
      <c r="R58" s="22">
        <f>IF('M3 Allocations - TD'!P54="","",'M3 Allocations - TD'!P72)</f>
        <v>37573.855689531287</v>
      </c>
      <c r="S58" s="22">
        <f>IF('M3 Allocations - TD'!Q54="","",'M3 Allocations - TD'!Q72)</f>
        <v>36905.295455925545</v>
      </c>
      <c r="T58" s="22">
        <f>IF('M3 Allocations - TD'!R54="","",'M3 Allocations - TD'!R72)</f>
        <v>34871.894488322658</v>
      </c>
      <c r="U58" s="22">
        <f>IF('M3 Allocations - TD'!S54="","",'M3 Allocations - TD'!S72)</f>
        <v>40727.091457001268</v>
      </c>
      <c r="V58" s="22">
        <f>IF('M3 Allocations - TD'!T54="","",'M3 Allocations - TD'!T72)</f>
        <v>42825.077518324979</v>
      </c>
      <c r="W58" s="22">
        <f>IF('M3 Allocations - TD'!U54="","",'M3 Allocations - TD'!U72)</f>
        <v>44954.202556147626</v>
      </c>
      <c r="X58" s="22">
        <f>IF('M3 Allocations - TD'!V54="","",'M3 Allocations - TD'!V72)</f>
        <v>45054.75137109276</v>
      </c>
      <c r="Y58" s="22">
        <f>IF('M3 Allocations - TD'!W54="","",'M3 Allocations - TD'!W72)</f>
        <v>40035.738044047088</v>
      </c>
      <c r="Z58" s="22">
        <f>IF('M3 Allocations - TD'!X54="","",'M3 Allocations - TD'!X72)</f>
        <v>39574.059026383933</v>
      </c>
      <c r="AA58" s="22">
        <f>IF('M3 Allocations - TD'!Y54="","",'M3 Allocations - TD'!Y72)</f>
        <v>41188.257144152223</v>
      </c>
      <c r="AB58" s="22">
        <f>IF('M3 Allocations - TD'!Z54="","",'M3 Allocations - TD'!Z72)</f>
        <v>40226.995717895465</v>
      </c>
      <c r="AC58" s="22">
        <f>IF('M3 Allocations - TD'!AA54="","",'M3 Allocations - TD'!AA72)</f>
        <v>108585.49808616596</v>
      </c>
      <c r="AD58" s="22">
        <f>IF('M3 Allocations - TD'!AB54="","",'M3 Allocations - TD'!AB72)</f>
        <v>181792.64072508441</v>
      </c>
      <c r="AE58" s="22">
        <f>IF('M3 Allocations - TD'!AC54="","",'M3 Allocations - TD'!AC72)</f>
        <v>183572.05910467496</v>
      </c>
      <c r="AF58" s="22">
        <f>IF('M3 Allocations - TD'!AD54="","",'M3 Allocations - TD'!AD72)</f>
        <v>190770.53370651661</v>
      </c>
      <c r="AG58" s="22">
        <f>IF('M3 Allocations - TD'!AE54="","",'M3 Allocations - TD'!AE72)</f>
        <v>183881.99525765545</v>
      </c>
      <c r="AH58" s="22">
        <f>IF('M3 Allocations - TD'!AF54="","",'M3 Allocations - TD'!AF72)</f>
        <v>245635.92921565124</v>
      </c>
      <c r="AI58" s="22">
        <f>IF('M3 Allocations - TD'!AG54="","",'M3 Allocations - TD'!AG72)</f>
        <v>225402.14448890529</v>
      </c>
      <c r="AJ58" s="22">
        <f>IF('M3 Allocations - TD'!AH54="","",'M3 Allocations - TD'!AH72)</f>
        <v>228315.5064563354</v>
      </c>
      <c r="AK58" s="22">
        <f>IF('M3 Allocations - TD'!AI54="","",'M3 Allocations - TD'!AI72)</f>
        <v>197613.76683715408</v>
      </c>
      <c r="AL58" s="22">
        <f>IF('M3 Allocations - TD'!AJ54="","",'M3 Allocations - TD'!AJ72)</f>
        <v>171603.607119394</v>
      </c>
      <c r="AM58" s="22">
        <f>IF('M3 Allocations - TD'!AK54="","",'M3 Allocations - TD'!AK72)</f>
        <v>225113.97993017494</v>
      </c>
      <c r="AN58" s="22">
        <f>IF('M3 Allocations - TD'!AL54="","",'M3 Allocations - TD'!AL72)</f>
        <v>217125.39653110137</v>
      </c>
      <c r="AO58" s="22">
        <f>IF('M3 Allocations - TD'!AM54="","",'M3 Allocations - TD'!AM72)</f>
        <v>162221.33538769459</v>
      </c>
      <c r="AP58" s="22">
        <f>IF('M3 Allocations - TD'!AN54="","",'M3 Allocations - TD'!AN72)</f>
        <v>84753.684454895163</v>
      </c>
      <c r="AQ58" s="22">
        <f>IF('M3 Allocations - TD'!AO54="","",'M3 Allocations - TD'!AO72)</f>
        <v>72198.807943159496</v>
      </c>
      <c r="AR58" s="22">
        <f>IF('M3 Allocations - TD'!AP54="","",'M3 Allocations - TD'!AP72)</f>
        <v>84979.402614517516</v>
      </c>
      <c r="AS58" s="22">
        <f>IF('M3 Allocations - TD'!AQ54="","",'M3 Allocations - TD'!AQ72)</f>
        <v>96900.261492082005</v>
      </c>
      <c r="AT58" s="22">
        <f>IF('M3 Allocations - TD'!AR54="","",'M3 Allocations - TD'!AR72)</f>
        <v>100482.39287136923</v>
      </c>
      <c r="AU58" s="22">
        <f>IF('M3 Allocations - TD'!AS54="","",'M3 Allocations - TD'!AS72)</f>
        <v>99567.440007197365</v>
      </c>
      <c r="AV58" s="22">
        <f>IF('M3 Allocations - TD'!AT54="","",'M3 Allocations - TD'!AT72)</f>
        <v>97105.740111514999</v>
      </c>
      <c r="AW58" s="22">
        <f>IF('M3 Allocations - TD'!AU54="","",'M3 Allocations - TD'!AU72)</f>
        <v>86103.564631792964</v>
      </c>
      <c r="AX58" s="22">
        <f>IF('M3 Allocations - TD'!AV54="","",'M3 Allocations - TD'!AV72)</f>
        <v>83026.896241245355</v>
      </c>
      <c r="AY58" s="22">
        <f>IF('M3 Allocations - TD'!AW54="","",'M3 Allocations - TD'!AW72)</f>
        <v>86082.946391183374</v>
      </c>
      <c r="AZ58" s="22">
        <f>IF('M3 Allocations - TD'!AX54="","",'M3 Allocations - TD'!AX72)</f>
        <v>89218.50886108783</v>
      </c>
    </row>
    <row r="59" spans="1:53" s="5" customFormat="1" ht="15" hidden="1" customHeight="1" outlineLevel="1" x14ac:dyDescent="0.35">
      <c r="A59" s="274"/>
      <c r="B59" s="18" t="s">
        <v>51</v>
      </c>
      <c r="C59" s="104"/>
      <c r="D59" s="104"/>
      <c r="E59" s="104"/>
      <c r="F59" s="22">
        <f>IF(F58="","",0)</f>
        <v>0</v>
      </c>
      <c r="G59" s="22">
        <f t="shared" ref="G59" si="331">IF(G58="","",0)</f>
        <v>0</v>
      </c>
      <c r="H59" s="22">
        <f t="shared" ref="H59" si="332">IF(H58="","",0)</f>
        <v>0</v>
      </c>
      <c r="I59" s="22">
        <f t="shared" ref="I59" si="333">IF(I58="","",0)</f>
        <v>0</v>
      </c>
      <c r="J59" s="22">
        <f t="shared" ref="J59" si="334">IF(J58="","",0)</f>
        <v>0</v>
      </c>
      <c r="K59" s="22">
        <f t="shared" ref="K59" si="335">IF(K58="","",0)</f>
        <v>0</v>
      </c>
      <c r="L59" s="22">
        <f t="shared" ref="L59" si="336">IF(L58="","",0)</f>
        <v>0</v>
      </c>
      <c r="M59" s="22">
        <f t="shared" ref="M59" si="337">IF(M58="","",0)</f>
        <v>0</v>
      </c>
      <c r="N59" s="22">
        <f t="shared" ref="N59" si="338">IF(N58="","",0)</f>
        <v>0</v>
      </c>
      <c r="O59" s="22">
        <f t="shared" ref="O59" si="339">IF(O58="","",0)</f>
        <v>0</v>
      </c>
      <c r="P59" s="22">
        <f t="shared" ref="P59" si="340">IF(P58="","",0)</f>
        <v>0</v>
      </c>
      <c r="Q59" s="22">
        <f>IF(Q58="","",-'M3 TD amort'!C29)</f>
        <v>20708.53</v>
      </c>
      <c r="R59" s="22">
        <f>IF(R58="","",-'M3 TD amort'!D29)</f>
        <v>17927.830000000002</v>
      </c>
      <c r="S59" s="22">
        <f>IF(S58="","",-'M3 TD amort'!E29)</f>
        <v>17511.97</v>
      </c>
      <c r="T59" s="22">
        <f>IF(T58="","",-'M3 TD amort'!F29)</f>
        <v>16485.95</v>
      </c>
      <c r="U59" s="22">
        <f>IF(U58="","",-'M3 TD amort'!G29)</f>
        <v>19200.04</v>
      </c>
      <c r="V59" s="22">
        <f>IF(V58="","",-'M3 TD amort'!H29)</f>
        <v>20208.66</v>
      </c>
      <c r="W59" s="22">
        <f>IF(W58="","",-'M3 TD amort'!I29)</f>
        <v>21182.03</v>
      </c>
      <c r="X59" s="22">
        <f>IF(X58="","",-'M3 TD amort'!J29)</f>
        <v>21187.42</v>
      </c>
      <c r="Y59" s="22">
        <f>IF(Y58="","",-'M3 TD amort'!K29)</f>
        <v>18832.849999999999</v>
      </c>
      <c r="Z59" s="22">
        <f>IF(Z58="","",-'M3 TD amort'!L29)</f>
        <v>18699.46</v>
      </c>
      <c r="AA59" s="22">
        <f>IF(AA58="","",-'M3 TD amort'!M29)</f>
        <v>19565.84</v>
      </c>
      <c r="AB59" s="22">
        <f>IF(AB58="","",-'M3 TD amort'!N29)</f>
        <v>19211.02</v>
      </c>
      <c r="AC59" s="22">
        <f>IF(AC58="","",-'M3 TD amort'!O29)</f>
        <v>-5225.53</v>
      </c>
      <c r="AD59" s="22">
        <f>IF(AD58="","",-'M3 TD amort'!P29)</f>
        <v>-8688.59</v>
      </c>
      <c r="AE59" s="22">
        <f>IF(AE58="","",-'M3 TD amort'!Q29)</f>
        <v>-8718.77</v>
      </c>
      <c r="AF59" s="22">
        <f>IF(AF58="","",-'M3 TD amort'!R29)</f>
        <v>-9032.2099999999991</v>
      </c>
      <c r="AG59" s="22">
        <f>IF(AG58="","",-'M3 TD amort'!S29)</f>
        <v>-8700.5300000000007</v>
      </c>
      <c r="AH59" s="22">
        <f>IF(AH58="","",-'M3 TD amort'!T29)</f>
        <v>-11631.74</v>
      </c>
      <c r="AI59" s="22">
        <f>IF(AI58="","",-'M3 TD amort'!U29)</f>
        <v>-10679.45</v>
      </c>
      <c r="AJ59" s="22">
        <f>IF(AJ58="","",-'M3 TD amort'!V29)</f>
        <v>-10815</v>
      </c>
      <c r="AK59" s="22">
        <f>IF(AK58="","",-'M3 TD amort'!W29)</f>
        <v>-9338.6</v>
      </c>
      <c r="AL59" s="22">
        <f>IF(AL58="","",-'M3 TD amort'!X29)</f>
        <v>-8146.01</v>
      </c>
      <c r="AM59" s="22">
        <f>IF(AM58="","",-'M3 TD amort'!Y29)</f>
        <v>-10707.36</v>
      </c>
      <c r="AN59" s="22">
        <f>IF(AN58="","",-'M3 TD amort'!Z29)</f>
        <v>-10340.290000000001</v>
      </c>
      <c r="AO59" s="22">
        <f>IF(AO58="","",-'M3 TD amort'!AA29)</f>
        <v>58728.46</v>
      </c>
      <c r="AP59" s="22">
        <f>IF(AP58="","",-'M3 TD amort'!AB29)</f>
        <v>30610.37</v>
      </c>
      <c r="AQ59" s="22">
        <f>IF(AQ58="","",-'M3 TD amort'!AC29)</f>
        <v>26134.63</v>
      </c>
      <c r="AR59" s="22">
        <f>IF(AR58="","",-'M3 TD amort'!AD29)</f>
        <v>30515.41</v>
      </c>
      <c r="AS59" s="22">
        <f>IF(AS58="","",-'M3 TD amort'!AE29)</f>
        <v>34741.599999999999</v>
      </c>
      <c r="AT59" s="22">
        <f>IF(AT58="","",-'M3 TD amort'!AF29)</f>
        <v>36119.75</v>
      </c>
      <c r="AU59" s="22">
        <f>IF(AU58="","",-'M3 TD amort'!AG29)</f>
        <v>35830</v>
      </c>
      <c r="AV59" s="22">
        <f>IF(AV58="","",-'M3 TD amort'!AH29)</f>
        <v>34903.65</v>
      </c>
      <c r="AW59" s="22">
        <f>IF(AW58="","",-'M3 TD amort'!AI29)</f>
        <v>30944.84</v>
      </c>
      <c r="AX59" s="22">
        <f>IF(AX58="","",-'M3 TD amort'!AJ29)</f>
        <v>30129.040000000001</v>
      </c>
      <c r="AY59" s="22">
        <f>IF(AY58="","",-'M3 TD amort'!AK29)</f>
        <v>31398.14</v>
      </c>
      <c r="AZ59" s="22">
        <f>IF(AZ58="","",-'M3 TD amort'!AL29)</f>
        <v>32616.39</v>
      </c>
    </row>
    <row r="60" spans="1:53" s="5" customFormat="1" ht="15" hidden="1" customHeight="1" outlineLevel="1" x14ac:dyDescent="0.35">
      <c r="A60" s="274"/>
      <c r="B60" s="18" t="s">
        <v>52</v>
      </c>
      <c r="C60" s="104"/>
      <c r="D60" s="104"/>
      <c r="E60" s="104"/>
      <c r="F60" s="9">
        <f t="shared" ref="F60:M60" si="341">IF(OR(F59="",F58=""),"",F58+F59)</f>
        <v>0</v>
      </c>
      <c r="G60" s="9">
        <f t="shared" si="341"/>
        <v>0</v>
      </c>
      <c r="H60" s="9">
        <f t="shared" si="341"/>
        <v>2381.1324731369587</v>
      </c>
      <c r="I60" s="9">
        <f t="shared" si="341"/>
        <v>41080.759711289073</v>
      </c>
      <c r="J60" s="9">
        <f t="shared" si="341"/>
        <v>46620.227707662583</v>
      </c>
      <c r="K60" s="9">
        <f t="shared" si="341"/>
        <v>48915.290383093015</v>
      </c>
      <c r="L60" s="9">
        <f t="shared" si="341"/>
        <v>48689.064699160743</v>
      </c>
      <c r="M60" s="9">
        <f t="shared" si="341"/>
        <v>45154.720570269681</v>
      </c>
      <c r="N60" s="9">
        <f>IF(OR(N59="",N58=""),"",N58+N59)</f>
        <v>41515.04923810179</v>
      </c>
      <c r="O60" s="9">
        <f t="shared" ref="O60:AE60" si="342">IF(OR(O59="",O58=""),"",O58+O59)</f>
        <v>41594.548478057877</v>
      </c>
      <c r="P60" s="9">
        <f t="shared" si="342"/>
        <v>42743.649469302021</v>
      </c>
      <c r="Q60" s="9">
        <f t="shared" si="342"/>
        <v>64180.286585125315</v>
      </c>
      <c r="R60" s="9">
        <f t="shared" si="342"/>
        <v>55501.685689531289</v>
      </c>
      <c r="S60" s="9">
        <f t="shared" si="342"/>
        <v>54417.265455925546</v>
      </c>
      <c r="T60" s="9">
        <f t="shared" si="342"/>
        <v>51357.844488322662</v>
      </c>
      <c r="U60" s="9">
        <f t="shared" si="342"/>
        <v>59927.131457001269</v>
      </c>
      <c r="V60" s="9">
        <f t="shared" si="342"/>
        <v>63033.737518324982</v>
      </c>
      <c r="W60" s="9">
        <f t="shared" si="342"/>
        <v>66136.232556147617</v>
      </c>
      <c r="X60" s="9">
        <f t="shared" si="342"/>
        <v>66242.171371092758</v>
      </c>
      <c r="Y60" s="9">
        <f t="shared" si="342"/>
        <v>58868.588044047086</v>
      </c>
      <c r="Z60" s="9">
        <f t="shared" si="342"/>
        <v>58273.519026383932</v>
      </c>
      <c r="AA60" s="9">
        <f t="shared" si="342"/>
        <v>60754.097144152227</v>
      </c>
      <c r="AB60" s="9">
        <f t="shared" si="342"/>
        <v>59438.015717895469</v>
      </c>
      <c r="AC60" s="9">
        <f t="shared" si="342"/>
        <v>103359.96808616596</v>
      </c>
      <c r="AD60" s="9">
        <f t="shared" si="342"/>
        <v>173104.05072508441</v>
      </c>
      <c r="AE60" s="9">
        <f t="shared" si="342"/>
        <v>174853.28910467497</v>
      </c>
      <c r="AF60" s="9">
        <f t="shared" ref="AF60:AW60" si="343">IF(OR(AF59="",AF58=""),"",AF58+AF59)</f>
        <v>181738.32370651662</v>
      </c>
      <c r="AG60" s="9">
        <f t="shared" si="343"/>
        <v>175181.46525765545</v>
      </c>
      <c r="AH60" s="9">
        <f t="shared" si="343"/>
        <v>234004.18921565125</v>
      </c>
      <c r="AI60" s="9">
        <f t="shared" si="343"/>
        <v>214722.69448890528</v>
      </c>
      <c r="AJ60" s="9">
        <f t="shared" si="343"/>
        <v>217500.5064563354</v>
      </c>
      <c r="AK60" s="9">
        <f t="shared" si="343"/>
        <v>188275.16683715407</v>
      </c>
      <c r="AL60" s="9">
        <f t="shared" si="343"/>
        <v>163457.59711939399</v>
      </c>
      <c r="AM60" s="9">
        <f t="shared" si="343"/>
        <v>214406.61993017496</v>
      </c>
      <c r="AN60" s="9">
        <f t="shared" si="343"/>
        <v>206785.10653110137</v>
      </c>
      <c r="AO60" s="9">
        <f t="shared" si="343"/>
        <v>220949.79538769458</v>
      </c>
      <c r="AP60" s="9">
        <f t="shared" si="343"/>
        <v>115364.05445489516</v>
      </c>
      <c r="AQ60" s="9">
        <f t="shared" si="343"/>
        <v>98333.437943159501</v>
      </c>
      <c r="AR60" s="9">
        <f t="shared" si="343"/>
        <v>115494.81261451752</v>
      </c>
      <c r="AS60" s="9">
        <f t="shared" si="343"/>
        <v>131641.86149208201</v>
      </c>
      <c r="AT60" s="9">
        <f t="shared" si="343"/>
        <v>136602.14287136923</v>
      </c>
      <c r="AU60" s="9">
        <f t="shared" si="343"/>
        <v>135397.44000719738</v>
      </c>
      <c r="AV60" s="9">
        <f t="shared" si="343"/>
        <v>132009.39011151501</v>
      </c>
      <c r="AW60" s="9">
        <f t="shared" si="343"/>
        <v>117048.40463179296</v>
      </c>
      <c r="AX60" s="9">
        <f t="shared" ref="AX60:AY60" si="344">IF(OR(AX59="",AX58=""),"",AX58+AX59)</f>
        <v>113155.93624124536</v>
      </c>
      <c r="AY60" s="9">
        <f t="shared" si="344"/>
        <v>117481.08639118337</v>
      </c>
      <c r="AZ60" s="9">
        <f t="shared" ref="AZ60" si="345">IF(OR(AZ59="",AZ58=""),"",AZ58+AZ59)</f>
        <v>121834.89886108783</v>
      </c>
    </row>
    <row r="61" spans="1:53" s="5" customFormat="1" hidden="1" outlineLevel="1" x14ac:dyDescent="0.35">
      <c r="A61" s="274"/>
      <c r="B61" s="18" t="s">
        <v>13</v>
      </c>
      <c r="C61" s="104"/>
      <c r="D61" s="104"/>
      <c r="E61" s="104"/>
      <c r="F61" s="9">
        <f t="shared" ref="F61:M61" si="346">IF(OR(F58="",F57=""),"",F57-F58)</f>
        <v>0</v>
      </c>
      <c r="G61" s="9">
        <f t="shared" si="346"/>
        <v>9.4764517045030008</v>
      </c>
      <c r="H61" s="9">
        <f t="shared" si="346"/>
        <v>-1388.7476725055421</v>
      </c>
      <c r="I61" s="9">
        <f t="shared" si="346"/>
        <v>-33788.634873838782</v>
      </c>
      <c r="J61" s="9">
        <f t="shared" si="346"/>
        <v>-30625.282694978901</v>
      </c>
      <c r="K61" s="9">
        <f t="shared" si="346"/>
        <v>-31628.79776913585</v>
      </c>
      <c r="L61" s="9">
        <f t="shared" si="346"/>
        <v>-28095.429085728912</v>
      </c>
      <c r="M61" s="9">
        <f t="shared" si="346"/>
        <v>-31873.257504636691</v>
      </c>
      <c r="N61" s="9">
        <f>IF(OR(N60="",N57=""),"",N57-N60)</f>
        <v>-20880.89285591173</v>
      </c>
      <c r="O61" s="9">
        <f t="shared" ref="O61:AE61" si="347">IF(OR(O60="",O57=""),"",O57-O60)</f>
        <v>-23064.420173608989</v>
      </c>
      <c r="P61" s="9">
        <f t="shared" si="347"/>
        <v>-1423.2608784312615</v>
      </c>
      <c r="Q61" s="9">
        <f t="shared" si="347"/>
        <v>-34754.312339868906</v>
      </c>
      <c r="R61" s="9">
        <f t="shared" si="347"/>
        <v>-23336.537893722067</v>
      </c>
      <c r="S61" s="9">
        <f t="shared" si="347"/>
        <v>-33204.262082889327</v>
      </c>
      <c r="T61" s="9">
        <f t="shared" si="347"/>
        <v>-9962.8436834200766</v>
      </c>
      <c r="U61" s="9">
        <f t="shared" si="347"/>
        <v>33025.630506080146</v>
      </c>
      <c r="V61" s="9">
        <f t="shared" si="347"/>
        <v>60917.371644751765</v>
      </c>
      <c r="W61" s="9">
        <f t="shared" si="347"/>
        <v>56673.04545415286</v>
      </c>
      <c r="X61" s="9">
        <f t="shared" si="347"/>
        <v>29807.689967789847</v>
      </c>
      <c r="Y61" s="9">
        <f t="shared" si="347"/>
        <v>-7038.5842809724563</v>
      </c>
      <c r="Z61" s="9">
        <f t="shared" si="347"/>
        <v>-8695.0520385658892</v>
      </c>
      <c r="AA61" s="9">
        <f t="shared" si="347"/>
        <v>-9018.6843420362202</v>
      </c>
      <c r="AB61" s="9">
        <f t="shared" si="347"/>
        <v>31400.728559016949</v>
      </c>
      <c r="AC61" s="9">
        <f t="shared" si="347"/>
        <v>-37900.019203065363</v>
      </c>
      <c r="AD61" s="9">
        <f t="shared" si="347"/>
        <v>-101569.10620095585</v>
      </c>
      <c r="AE61" s="9">
        <f t="shared" si="347"/>
        <v>-103509.53133303807</v>
      </c>
      <c r="AF61" s="9">
        <f t="shared" ref="AF61:AV61" si="348">IF(OR(AF60="",AF57=""),"",AF57-AF60)</f>
        <v>-78442.013358746422</v>
      </c>
      <c r="AG61" s="9">
        <f t="shared" si="348"/>
        <v>81381.345943949855</v>
      </c>
      <c r="AH61" s="9">
        <f t="shared" si="348"/>
        <v>85474.889288604783</v>
      </c>
      <c r="AI61" s="9">
        <f t="shared" si="348"/>
        <v>95152.435426224227</v>
      </c>
      <c r="AJ61" s="9">
        <f t="shared" si="348"/>
        <v>-16832.010106525442</v>
      </c>
      <c r="AK61" s="9">
        <f t="shared" si="348"/>
        <v>-76857.664936724948</v>
      </c>
      <c r="AL61" s="9">
        <f t="shared" si="348"/>
        <v>-70203.704490376258</v>
      </c>
      <c r="AM61" s="9">
        <f t="shared" si="348"/>
        <v>-110918.02150773036</v>
      </c>
      <c r="AN61" s="9">
        <f t="shared" si="348"/>
        <v>-62370.276640203519</v>
      </c>
      <c r="AO61" s="9">
        <f t="shared" si="348"/>
        <v>-110883.16032173509</v>
      </c>
      <c r="AP61" s="9">
        <f t="shared" si="348"/>
        <v>-65035.886470164958</v>
      </c>
      <c r="AQ61" s="9">
        <f t="shared" si="348"/>
        <v>-49514.800112431563</v>
      </c>
      <c r="AR61" s="9">
        <f t="shared" si="348"/>
        <v>-46355.214909730319</v>
      </c>
      <c r="AS61" s="9">
        <f t="shared" si="348"/>
        <v>72762.145923781267</v>
      </c>
      <c r="AT61" s="9">
        <f t="shared" si="348"/>
        <v>144448.54448130322</v>
      </c>
      <c r="AU61" s="9">
        <f t="shared" si="348"/>
        <v>107717.73543805329</v>
      </c>
      <c r="AV61" s="9">
        <f t="shared" si="348"/>
        <v>28168.286227815086</v>
      </c>
      <c r="AW61" s="141">
        <f>IF(OR(AW60="",AW57=""),"",AW57-AW60)+AW56</f>
        <v>-22581.990307734537</v>
      </c>
      <c r="AX61" s="9">
        <f t="shared" ref="AX61:AY61" si="349">IF(OR(AX60="",AX57=""),"",AX57-AX60)</f>
        <v>-43073.192070397417</v>
      </c>
      <c r="AY61" s="9">
        <f t="shared" si="349"/>
        <v>-17008.641971787511</v>
      </c>
      <c r="AZ61" s="9">
        <f t="shared" ref="AZ61" si="350">IF(OR(AZ60="",AZ57=""),"",AZ57-AZ60)</f>
        <v>10569.001830628287</v>
      </c>
      <c r="BA61" s="238"/>
    </row>
    <row r="62" spans="1:53" s="5" customFormat="1" hidden="1" outlineLevel="1" x14ac:dyDescent="0.35">
      <c r="A62" s="274"/>
      <c r="B62" s="19" t="s">
        <v>8</v>
      </c>
      <c r="C62" s="104"/>
      <c r="D62" s="104"/>
      <c r="E62" s="104"/>
      <c r="F62" s="9">
        <f>IF(OR(F9="",F61=""),"",ROUND((F61+E64)*F9/12,2))</f>
        <v>0</v>
      </c>
      <c r="G62" s="9">
        <f t="shared" ref="G62:L62" si="351">IF(OR(G9="",G61=""),"",ROUND((G61+F64)*G9/12,2))</f>
        <v>0.02</v>
      </c>
      <c r="H62" s="9">
        <f t="shared" si="351"/>
        <v>-3.08</v>
      </c>
      <c r="I62" s="9">
        <f t="shared" si="351"/>
        <v>-77.67</v>
      </c>
      <c r="J62" s="9">
        <f t="shared" si="351"/>
        <v>-142.44999999999999</v>
      </c>
      <c r="K62" s="9">
        <f t="shared" si="351"/>
        <v>-191.32</v>
      </c>
      <c r="L62" s="9">
        <f t="shared" si="351"/>
        <v>-232.65</v>
      </c>
      <c r="M62" s="9">
        <f t="shared" ref="M62" si="352">IF(OR(M9="",M61=""),"",ROUND((M61+L64)*M9/12,2))</f>
        <v>-278.39999999999998</v>
      </c>
      <c r="N62" s="125">
        <f>IF(OR(N9="",N61=""),"",ROUND((N61+M64)*N9/12,2))+N56</f>
        <v>-224.61000000000007</v>
      </c>
      <c r="O62" s="9">
        <f t="shared" ref="O62" si="353">IF(OR(O9="",O61=""),"",ROUND((O61+N64)*O9/12,2))</f>
        <v>-323.17</v>
      </c>
      <c r="P62" s="9">
        <f t="shared" ref="P62" si="354">IF(OR(P9="",P61=""),"",ROUND((P61+O64)*P9/12,2))</f>
        <v>-321.51</v>
      </c>
      <c r="Q62" s="9">
        <f t="shared" ref="Q62:R62" si="355">IF(OR(Q9="",Q61=""),"",ROUND((Q61+P64)*Q9/12,2))</f>
        <v>-359.68</v>
      </c>
      <c r="R62" s="9">
        <f t="shared" si="355"/>
        <v>-381.33</v>
      </c>
      <c r="S62" s="9">
        <f t="shared" ref="S62" si="356">IF(OR(S9="",S61=""),"",ROUND((S61+R64)*S9/12,2))</f>
        <v>-201.73</v>
      </c>
      <c r="T62" s="9">
        <f t="shared" ref="T62" si="357">IF(OR(T9="",T61=""),"",ROUND((T61+S64)*T9/12,2))</f>
        <v>-26.95</v>
      </c>
      <c r="U62" s="9">
        <f t="shared" ref="U62" si="358">IF(OR(U9="",U61=""),"",ROUND((U61+T64)*U9/12,2))</f>
        <v>-21.06</v>
      </c>
      <c r="V62" s="9">
        <f t="shared" ref="V62" si="359">IF(OR(V9="",V61=""),"",ROUND((V61+U64)*V9/12,2))</f>
        <v>-19.53</v>
      </c>
      <c r="W62" s="9">
        <f t="shared" ref="W62:X62" si="360">IF(OR(W9="",W61=""),"",ROUND((W61+V64)*W9/12,2))</f>
        <v>-5.03</v>
      </c>
      <c r="X62" s="9">
        <f t="shared" si="360"/>
        <v>0.7</v>
      </c>
      <c r="Y62" s="9">
        <f t="shared" ref="Y62" si="361">IF(OR(Y9="",Y61=""),"",ROUND((Y61+X64)*Y9/12,2))</f>
        <v>3.5</v>
      </c>
      <c r="Z62" s="9">
        <f>IF(OR(Z9="",Z61=""),"",ROUND((Z59+Z61+Y64+Z56)*Z9/12,2))+Z56</f>
        <v>98.469999999999914</v>
      </c>
      <c r="AA62" s="9">
        <f>IF(OR(AA9="",AA61=""),"",ROUND((AA59+AA61+Z64)*AA9/12,2))</f>
        <v>14.34</v>
      </c>
      <c r="AB62" s="9">
        <f>IF(OR(AB9="",AB61=""),"",ROUND((AB59+AB61+AA64)*AB9/12,2))</f>
        <v>19.079999999999998</v>
      </c>
      <c r="AC62" s="9">
        <f t="shared" ref="AC62:AE62" si="362">IF(OR(AC9="",AC61=""),"",ROUND((AC59+AC61+AB64)*AC9/12,2))</f>
        <v>13.15</v>
      </c>
      <c r="AD62" s="9">
        <f t="shared" si="362"/>
        <v>-7.53</v>
      </c>
      <c r="AE62" s="9">
        <f t="shared" si="362"/>
        <v>-28.99</v>
      </c>
      <c r="AF62" s="9">
        <f t="shared" ref="AF62" si="363">IF(OR(AF9="",AF61=""),"",ROUND((AF59+AF61+AE64)*AF9/12,2))</f>
        <v>-45.23</v>
      </c>
      <c r="AG62" s="9">
        <f t="shared" ref="AG62" si="364">IF(OR(AG9="",AG61=""),"",ROUND((AG59+AG61+AF64)*AG9/12,2))</f>
        <v>-28.46</v>
      </c>
      <c r="AH62" s="9">
        <f t="shared" ref="AH62" si="365">IF(OR(AH9="",AH61=""),"",ROUND((AH59+AH61+AG64)*AH9/12,2))</f>
        <v>-11.11</v>
      </c>
      <c r="AI62" s="9">
        <f t="shared" ref="AI62" si="366">IF(OR(AI9="",AI61=""),"",ROUND((AI59+AI61+AH64)*AI9/12,2))</f>
        <v>-1.9</v>
      </c>
      <c r="AJ62" s="9">
        <f t="shared" ref="AJ62" si="367">IF(OR(AJ9="",AJ61=""),"",ROUND((AJ59+AJ61+AI64)*AJ9/12,2))</f>
        <v>-6.24</v>
      </c>
      <c r="AK62" s="9">
        <f t="shared" ref="AK62" si="368">IF(OR(AK9="",AK61=""),"",ROUND((AK59+AK61+AJ64)*AK9/12,2))</f>
        <v>-15.62</v>
      </c>
      <c r="AL62" s="9">
        <f t="shared" ref="AL62" si="369">IF(OR(AL9="",AL61=""),"",ROUND((AL59+AL61+AK64)*AL9/12,2))</f>
        <v>-25.96</v>
      </c>
      <c r="AM62" s="9">
        <f t="shared" ref="AM62" si="370">IF(OR(AM9="",AM61=""),"",ROUND((AM59+AM61+AL64)*AM9/12,2))</f>
        <v>-70.53</v>
      </c>
      <c r="AN62" s="9">
        <f t="shared" ref="AN62" si="371">IF(OR(AN9="",AN61=""),"",ROUND((AN59+AN61+AM64)*AN9/12,2))</f>
        <v>-77.709999999999994</v>
      </c>
      <c r="AO62" s="9">
        <f t="shared" ref="AO62" si="372">IF(OR(AO9="",AO61=""),"",ROUND((AO59+AO61+AN64)*AO9/12,2))</f>
        <v>-110.94</v>
      </c>
      <c r="AP62" s="9">
        <f t="shared" ref="AP62" si="373">IF(OR(AP9="",AP61=""),"",ROUND((AP59+AP61+AO64)*AP9/12,2))</f>
        <v>-277.91000000000003</v>
      </c>
      <c r="AQ62" s="9">
        <f t="shared" ref="AQ62" si="374">IF(OR(AQ9="",AQ61=""),"",ROUND((AQ59+AQ61+AP64)*AQ9/12,2))</f>
        <v>-254.26</v>
      </c>
      <c r="AR62" s="9">
        <f t="shared" ref="AR62" si="375">IF(OR(AR9="",AR61=""),"",ROUND((AR59+AR61+AQ64)*AR9/12,2))</f>
        <v>-414.91</v>
      </c>
      <c r="AS62" s="9">
        <f t="shared" ref="AS62" si="376">IF(OR(AS9="",AS61=""),"",ROUND((AS59+AS61+AR64)*AS9/12,2))</f>
        <v>-516.55999999999995</v>
      </c>
      <c r="AT62" s="9">
        <f t="shared" ref="AT62" si="377">IF(OR(AT9="",AT61=""),"",ROUND((AT59+AT61+AS64)*AT9/12,2))</f>
        <v>-406.41</v>
      </c>
      <c r="AU62" s="9">
        <f t="shared" ref="AU62" si="378">IF(OR(AU9="",AU61=""),"",ROUND((AU59+AU61+AT64)*AU9/12,2))</f>
        <v>-200.81</v>
      </c>
      <c r="AV62" s="9">
        <f t="shared" ref="AV62" si="379">IF(OR(AV9="",AV61=""),"",ROUND((AV59+AV61+AU64)*AV9/12,2))</f>
        <v>-73.67</v>
      </c>
      <c r="AW62" s="9">
        <f t="shared" ref="AW62:AZ62" si="380">IF(OR(AW9="",AW61=""),"",ROUND((AW59+AW61+AV64)*AW9/12,2))</f>
        <v>-66</v>
      </c>
      <c r="AX62" s="9">
        <f t="shared" si="380"/>
        <v>-103.62</v>
      </c>
      <c r="AY62" s="9">
        <f t="shared" si="380"/>
        <v>-62.31</v>
      </c>
      <c r="AZ62" s="9">
        <f t="shared" si="380"/>
        <v>62.39</v>
      </c>
      <c r="BA62" s="238"/>
    </row>
    <row r="63" spans="1:53" s="5" customFormat="1" hidden="1" outlineLevel="1" x14ac:dyDescent="0.35">
      <c r="A63" s="274"/>
      <c r="B63" s="18" t="s">
        <v>14</v>
      </c>
      <c r="C63" s="104"/>
      <c r="D63" s="104"/>
      <c r="E63" s="104"/>
      <c r="F63" s="9">
        <f t="shared" ref="F63:M63" si="381">IF(OR(F61="",F62=""),"",F61+F62)</f>
        <v>0</v>
      </c>
      <c r="G63" s="9">
        <f t="shared" si="381"/>
        <v>9.4964517045030004</v>
      </c>
      <c r="H63" s="9">
        <f t="shared" si="381"/>
        <v>-1391.8276725055421</v>
      </c>
      <c r="I63" s="9">
        <f t="shared" si="381"/>
        <v>-33866.304873838781</v>
      </c>
      <c r="J63" s="9">
        <f t="shared" si="381"/>
        <v>-30767.732694978902</v>
      </c>
      <c r="K63" s="9">
        <f t="shared" si="381"/>
        <v>-31820.11776913585</v>
      </c>
      <c r="L63" s="9">
        <f t="shared" si="381"/>
        <v>-28328.079085728914</v>
      </c>
      <c r="M63" s="9">
        <f t="shared" si="381"/>
        <v>-32151.657504636692</v>
      </c>
      <c r="N63" s="9">
        <f>IF(OR(N61="",N62=""),"",N61+N62)</f>
        <v>-21105.502855911731</v>
      </c>
      <c r="O63" s="9">
        <f t="shared" ref="O63:AE63" si="382">IF(OR(O61="",O62=""),"",O61+O62)</f>
        <v>-23387.590173608987</v>
      </c>
      <c r="P63" s="9">
        <f t="shared" si="382"/>
        <v>-1744.7708784312615</v>
      </c>
      <c r="Q63" s="9">
        <f t="shared" si="382"/>
        <v>-35113.992339868906</v>
      </c>
      <c r="R63" s="9">
        <f t="shared" si="382"/>
        <v>-23717.867893722068</v>
      </c>
      <c r="S63" s="9">
        <f t="shared" si="382"/>
        <v>-33405.99208288933</v>
      </c>
      <c r="T63" s="9">
        <f t="shared" si="382"/>
        <v>-9989.7936834200773</v>
      </c>
      <c r="U63" s="9">
        <f t="shared" si="382"/>
        <v>33004.570506080148</v>
      </c>
      <c r="V63" s="9">
        <f t="shared" si="382"/>
        <v>60897.841644751767</v>
      </c>
      <c r="W63" s="9">
        <f t="shared" si="382"/>
        <v>56668.015454152861</v>
      </c>
      <c r="X63" s="9">
        <f t="shared" si="382"/>
        <v>29808.389967789848</v>
      </c>
      <c r="Y63" s="9">
        <f t="shared" si="382"/>
        <v>-7035.0842809724563</v>
      </c>
      <c r="Z63" s="9">
        <f>IF(OR(Z61="",Z62=""),"",Z61+Z62)</f>
        <v>-8596.5820385658899</v>
      </c>
      <c r="AA63" s="9">
        <f t="shared" si="382"/>
        <v>-9004.34434203622</v>
      </c>
      <c r="AB63" s="9">
        <f t="shared" si="382"/>
        <v>31419.80855901695</v>
      </c>
      <c r="AC63" s="9">
        <f t="shared" si="382"/>
        <v>-37886.869203065362</v>
      </c>
      <c r="AD63" s="9">
        <f t="shared" si="382"/>
        <v>-101576.63620095585</v>
      </c>
      <c r="AE63" s="9">
        <f t="shared" si="382"/>
        <v>-103538.52133303808</v>
      </c>
      <c r="AF63" s="9">
        <f t="shared" ref="AF63:AW63" si="383">IF(OR(AF61="",AF62=""),"",AF61+AF62)</f>
        <v>-78487.243358746418</v>
      </c>
      <c r="AG63" s="9">
        <f t="shared" si="383"/>
        <v>81352.885943949848</v>
      </c>
      <c r="AH63" s="9">
        <f t="shared" si="383"/>
        <v>85463.779288604783</v>
      </c>
      <c r="AI63" s="9">
        <f t="shared" si="383"/>
        <v>95150.535426224233</v>
      </c>
      <c r="AJ63" s="9">
        <f t="shared" si="383"/>
        <v>-16838.250106525444</v>
      </c>
      <c r="AK63" s="9">
        <f t="shared" si="383"/>
        <v>-76873.284936724944</v>
      </c>
      <c r="AL63" s="9">
        <f t="shared" si="383"/>
        <v>-70229.664490376264</v>
      </c>
      <c r="AM63" s="9">
        <f t="shared" si="383"/>
        <v>-110988.55150773036</v>
      </c>
      <c r="AN63" s="9">
        <f t="shared" si="383"/>
        <v>-62447.986640203519</v>
      </c>
      <c r="AO63" s="9">
        <f t="shared" si="383"/>
        <v>-110994.1003217351</v>
      </c>
      <c r="AP63" s="9">
        <f t="shared" si="383"/>
        <v>-65313.796470164962</v>
      </c>
      <c r="AQ63" s="9">
        <f t="shared" si="383"/>
        <v>-49769.060112431565</v>
      </c>
      <c r="AR63" s="9">
        <f t="shared" si="383"/>
        <v>-46770.124909730323</v>
      </c>
      <c r="AS63" s="9">
        <f t="shared" si="383"/>
        <v>72245.585923781269</v>
      </c>
      <c r="AT63" s="9">
        <f t="shared" si="383"/>
        <v>144042.13448130322</v>
      </c>
      <c r="AU63" s="9">
        <f t="shared" si="383"/>
        <v>107516.92543805329</v>
      </c>
      <c r="AV63" s="9">
        <f t="shared" si="383"/>
        <v>28094.616227815088</v>
      </c>
      <c r="AW63" s="9">
        <f t="shared" si="383"/>
        <v>-22647.990307734537</v>
      </c>
      <c r="AX63" s="9">
        <f t="shared" ref="AX63:AY63" si="384">IF(OR(AX61="",AX62=""),"",AX61+AX62)</f>
        <v>-43176.81207039742</v>
      </c>
      <c r="AY63" s="9">
        <f t="shared" si="384"/>
        <v>-17070.951971787512</v>
      </c>
      <c r="AZ63" s="9">
        <f t="shared" ref="AZ63" si="385">IF(OR(AZ61="",AZ62=""),"",AZ61+AZ62)</f>
        <v>10631.391830628287</v>
      </c>
    </row>
    <row r="64" spans="1:53" s="5" customFormat="1" hidden="1" outlineLevel="1" x14ac:dyDescent="0.35">
      <c r="A64" s="274"/>
      <c r="B64" s="20" t="s">
        <v>18</v>
      </c>
      <c r="C64" s="104"/>
      <c r="D64" s="104"/>
      <c r="E64" s="104"/>
      <c r="F64" s="9">
        <f>IF(OR(F63=""),"",F63)</f>
        <v>0</v>
      </c>
      <c r="G64" s="9">
        <f t="shared" ref="G64:M64" si="386">IF(OR(G63="",F64=""),"",G63+F64)</f>
        <v>9.4964517045030004</v>
      </c>
      <c r="H64" s="9">
        <f t="shared" si="386"/>
        <v>-1382.3312208010391</v>
      </c>
      <c r="I64" s="9">
        <f t="shared" si="386"/>
        <v>-35248.63609463982</v>
      </c>
      <c r="J64" s="9">
        <f t="shared" si="386"/>
        <v>-66016.368789618718</v>
      </c>
      <c r="K64" s="9">
        <f t="shared" si="386"/>
        <v>-97836.486558754565</v>
      </c>
      <c r="L64" s="9">
        <f t="shared" si="386"/>
        <v>-126164.56564448347</v>
      </c>
      <c r="M64" s="9">
        <f t="shared" si="386"/>
        <v>-158316.22314912017</v>
      </c>
      <c r="N64" s="9">
        <f>IF(OR(N63="",M64=""),"",N63+N59+M64)</f>
        <v>-179421.7260050319</v>
      </c>
      <c r="O64" s="9">
        <f>IF(OR(O63="",N64=""),"",O63+O59+N64)</f>
        <v>-202809.31617864087</v>
      </c>
      <c r="P64" s="9">
        <f t="shared" ref="P64:AE64" si="387">IF(OR(P63="",O64=""),"",P63+P59+O64)</f>
        <v>-204554.08705707215</v>
      </c>
      <c r="Q64" s="9">
        <f t="shared" si="387"/>
        <v>-218959.54939694106</v>
      </c>
      <c r="R64" s="9">
        <f t="shared" si="387"/>
        <v>-224749.58729066313</v>
      </c>
      <c r="S64" s="9">
        <f t="shared" si="387"/>
        <v>-240643.60937355246</v>
      </c>
      <c r="T64" s="9">
        <f t="shared" si="387"/>
        <v>-234147.45305697253</v>
      </c>
      <c r="U64" s="9">
        <f t="shared" si="387"/>
        <v>-181942.84255089238</v>
      </c>
      <c r="V64" s="9">
        <f t="shared" si="387"/>
        <v>-100836.34090614061</v>
      </c>
      <c r="W64" s="9">
        <f t="shared" si="387"/>
        <v>-22986.295451987753</v>
      </c>
      <c r="X64" s="9">
        <f t="shared" si="387"/>
        <v>28009.51451580209</v>
      </c>
      <c r="Y64" s="9">
        <f t="shared" si="387"/>
        <v>39807.280234829632</v>
      </c>
      <c r="Z64" s="9">
        <f t="shared" si="387"/>
        <v>49910.158196263743</v>
      </c>
      <c r="AA64" s="9">
        <f t="shared" si="387"/>
        <v>60471.653854227523</v>
      </c>
      <c r="AB64" s="9">
        <f t="shared" si="387"/>
        <v>111102.48241324448</v>
      </c>
      <c r="AC64" s="9">
        <f t="shared" si="387"/>
        <v>67990.083210179117</v>
      </c>
      <c r="AD64" s="9">
        <f t="shared" si="387"/>
        <v>-42275.142990776731</v>
      </c>
      <c r="AE64" s="9">
        <f t="shared" si="387"/>
        <v>-154532.43432381481</v>
      </c>
      <c r="AF64" s="9">
        <f t="shared" ref="AF64" si="388">IF(OR(AF63="",AE64=""),"",AF63+AF59+AE64)</f>
        <v>-242051.88768256124</v>
      </c>
      <c r="AG64" s="9">
        <f t="shared" ref="AG64" si="389">IF(OR(AG63="",AF64=""),"",AG63+AG59+AF64)</f>
        <v>-169399.5317386114</v>
      </c>
      <c r="AH64" s="9">
        <f t="shared" ref="AH64" si="390">IF(OR(AH63="",AG64=""),"",AH63+AH59+AG64)</f>
        <v>-95567.492450006626</v>
      </c>
      <c r="AI64" s="9">
        <f t="shared" ref="AI64" si="391">IF(OR(AI63="",AH64=""),"",AI63+AI59+AH64)</f>
        <v>-11096.407023782391</v>
      </c>
      <c r="AJ64" s="9">
        <f t="shared" ref="AJ64" si="392">IF(OR(AJ63="",AI64=""),"",AJ63+AJ59+AI64)</f>
        <v>-38749.657130307838</v>
      </c>
      <c r="AK64" s="9">
        <f t="shared" ref="AK64" si="393">IF(OR(AK63="",AJ64=""),"",AK63+AK59+AJ64)</f>
        <v>-124961.54206703279</v>
      </c>
      <c r="AL64" s="9">
        <f t="shared" ref="AL64" si="394">IF(OR(AL63="",AK64=""),"",AL63+AL59+AK64)</f>
        <v>-203337.21655740903</v>
      </c>
      <c r="AM64" s="9">
        <f t="shared" ref="AM64" si="395">IF(OR(AM63="",AL64=""),"",AM63+AM59+AL64)</f>
        <v>-325033.1280651394</v>
      </c>
      <c r="AN64" s="9">
        <f t="shared" ref="AN64" si="396">IF(OR(AN63="",AM64=""),"",AN63+AN59+AM64)</f>
        <v>-397821.40470534295</v>
      </c>
      <c r="AO64" s="9">
        <f t="shared" ref="AO64" si="397">IF(OR(AO63="",AN64=""),"",AO63+AO59+AN64)</f>
        <v>-450087.04502707807</v>
      </c>
      <c r="AP64" s="9">
        <f t="shared" ref="AP64" si="398">IF(OR(AP63="",AO64=""),"",AP63+AP59+AO64)</f>
        <v>-484790.47149724304</v>
      </c>
      <c r="AQ64" s="9">
        <f t="shared" ref="AQ64" si="399">IF(OR(AQ63="",AP64=""),"",AQ63+AQ59+AP64)</f>
        <v>-508424.90160967462</v>
      </c>
      <c r="AR64" s="9">
        <f t="shared" ref="AR64" si="400">IF(OR(AR63="",AQ64=""),"",AR63+AR59+AQ64)</f>
        <v>-524679.61651940492</v>
      </c>
      <c r="AS64" s="9">
        <f t="shared" ref="AS64" si="401">IF(OR(AS63="",AR64=""),"",AS63+AS59+AR64)</f>
        <v>-417692.43059562368</v>
      </c>
      <c r="AT64" s="9">
        <f t="shared" ref="AT64" si="402">IF(OR(AT63="",AS64=""),"",AT63+AT59+AS64)</f>
        <v>-237530.54611432046</v>
      </c>
      <c r="AU64" s="9">
        <f t="shared" ref="AU64" si="403">IF(OR(AU63="",AT64=""),"",AU63+AU59+AT64)</f>
        <v>-94183.620676267165</v>
      </c>
      <c r="AV64" s="9">
        <f t="shared" ref="AV64" si="404">IF(OR(AV63="",AU64=""),"",AV63+AV59+AU64)</f>
        <v>-31185.354448452075</v>
      </c>
      <c r="AW64" s="9">
        <f t="shared" ref="AW64:AZ64" si="405">IF(OR(AW63="",AV64=""),"",AW63+AW59+AV64)</f>
        <v>-22888.504756186612</v>
      </c>
      <c r="AX64" s="9">
        <f t="shared" si="405"/>
        <v>-35936.276826584028</v>
      </c>
      <c r="AY64" s="9">
        <f t="shared" si="405"/>
        <v>-21609.08879837154</v>
      </c>
      <c r="AZ64" s="9">
        <f t="shared" si="405"/>
        <v>21638.693032256746</v>
      </c>
    </row>
    <row r="65" spans="1:53" s="5" customFormat="1" ht="8.25" hidden="1" customHeight="1" outlineLevel="1" x14ac:dyDescent="0.35">
      <c r="A65" s="44"/>
      <c r="B65" s="13"/>
      <c r="C65" s="109"/>
      <c r="D65" s="109"/>
      <c r="E65" s="109"/>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row>
    <row r="66" spans="1:53" s="5" customFormat="1" ht="15" hidden="1" customHeight="1" outlineLevel="1" x14ac:dyDescent="0.35">
      <c r="A66" s="274" t="s">
        <v>24</v>
      </c>
      <c r="B66" s="17"/>
      <c r="C66" s="104"/>
      <c r="D66" s="104"/>
      <c r="E66" s="104"/>
      <c r="F66" s="9"/>
      <c r="G66" s="9"/>
      <c r="H66" s="9"/>
      <c r="I66" s="9"/>
      <c r="J66" s="9"/>
      <c r="K66" s="9"/>
      <c r="L66" s="9"/>
      <c r="M66" s="9"/>
      <c r="N66" s="124">
        <f>'MEEIA 3 adjs'!L53</f>
        <v>15.680000000000007</v>
      </c>
      <c r="O66" s="9"/>
      <c r="P66" s="9"/>
      <c r="Q66" s="9"/>
      <c r="R66" s="9"/>
      <c r="S66" s="9"/>
      <c r="T66" s="9"/>
      <c r="U66" s="9"/>
      <c r="V66" s="9"/>
      <c r="W66" s="9"/>
      <c r="X66" s="9"/>
      <c r="Y66" s="9"/>
      <c r="Z66" s="124">
        <f>'MEEIA 3 adjs'!AA75</f>
        <v>10.880000000000024</v>
      </c>
      <c r="AA66" s="9"/>
      <c r="AB66" s="9"/>
      <c r="AC66" s="9"/>
      <c r="AD66" s="9"/>
      <c r="AE66" s="9"/>
      <c r="AF66" s="9"/>
      <c r="AG66" s="9"/>
      <c r="AH66" s="9"/>
      <c r="AI66" s="9"/>
      <c r="AJ66" s="9"/>
      <c r="AK66" s="9"/>
      <c r="AL66" s="9"/>
      <c r="AM66" s="9"/>
      <c r="AN66" s="9"/>
      <c r="AO66" s="9"/>
      <c r="AP66" s="9"/>
      <c r="AQ66" s="9"/>
      <c r="AR66" s="9"/>
      <c r="AS66" s="9"/>
      <c r="AT66" s="9"/>
      <c r="AU66" s="9"/>
      <c r="AV66" s="9"/>
      <c r="AW66" s="141">
        <f>'MEEIA 3 adjs'!CV61</f>
        <v>7972.2647956794972</v>
      </c>
      <c r="AX66" s="9"/>
      <c r="AY66" s="9"/>
      <c r="AZ66" s="9"/>
    </row>
    <row r="67" spans="1:53" s="3" customFormat="1" ht="15" hidden="1" customHeight="1" outlineLevel="1" x14ac:dyDescent="0.35">
      <c r="A67" s="274"/>
      <c r="B67" s="17" t="s">
        <v>28</v>
      </c>
      <c r="C67" s="104"/>
      <c r="D67" s="104"/>
      <c r="E67" s="104"/>
      <c r="F67" s="22">
        <f>IF('M3 Allocations - TD'!D9="","",'M3 Allocations - TD'!D35)</f>
        <v>0</v>
      </c>
      <c r="G67" s="22">
        <f>IF('M3 Allocations - TD'!E9="","",'M3 Allocations - TD'!E35)</f>
        <v>0</v>
      </c>
      <c r="H67" s="22">
        <f>IF('M3 Allocations - TD'!F9="","",'M3 Allocations - TD'!F35)</f>
        <v>158.37627524588399</v>
      </c>
      <c r="I67" s="22">
        <f>IF('M3 Allocations - TD'!G9="","",'M3 Allocations - TD'!G35)</f>
        <v>597.17310476301054</v>
      </c>
      <c r="J67" s="22">
        <f>IF('M3 Allocations - TD'!H9="","",'M3 Allocations - TD'!H35)</f>
        <v>0</v>
      </c>
      <c r="K67" s="22">
        <f>IF('M3 Allocations - TD'!I9="","",'M3 Allocations - TD'!I35)</f>
        <v>224.30843760020062</v>
      </c>
      <c r="L67" s="22">
        <f>IF('M3 Allocations - TD'!J9="","",'M3 Allocations - TD'!J35)</f>
        <v>578.11242788452876</v>
      </c>
      <c r="M67" s="22">
        <f>IF('M3 Allocations - TD'!K9="","",'M3 Allocations - TD'!K35)</f>
        <v>553.72176658848127</v>
      </c>
      <c r="N67" s="22">
        <f>IF('M3 Allocations - TD'!L9="","",'M3 Allocations - TD'!L35)</f>
        <v>4498.45610981133</v>
      </c>
      <c r="O67" s="22">
        <f>IF('M3 Allocations - TD'!M9="","",'M3 Allocations - TD'!M35)</f>
        <v>2468.5744882877784</v>
      </c>
      <c r="P67" s="22">
        <f>IF('M3 Allocations - TD'!N9="","",'M3 Allocations - TD'!N35)</f>
        <v>6482.3323978120161</v>
      </c>
      <c r="Q67" s="22">
        <f>IF('M3 Allocations - TD'!O9="","",'M3 Allocations - TD'!O35)</f>
        <v>4714.4220035550234</v>
      </c>
      <c r="R67" s="22">
        <f>IF('M3 Allocations - TD'!P9="","",'M3 Allocations - TD'!P35)</f>
        <v>4933.2233077077817</v>
      </c>
      <c r="S67" s="22">
        <f>IF('M3 Allocations - TD'!Q9="","",'M3 Allocations - TD'!Q35)</f>
        <v>4340.5509347173938</v>
      </c>
      <c r="T67" s="22">
        <f>IF('M3 Allocations - TD'!R9="","",'M3 Allocations - TD'!R35)</f>
        <v>11799.946486826884</v>
      </c>
      <c r="U67" s="22">
        <f>IF('M3 Allocations - TD'!S9="","",'M3 Allocations - TD'!S35)</f>
        <v>38257.943252341713</v>
      </c>
      <c r="V67" s="22">
        <f>IF('M3 Allocations - TD'!T9="","",'M3 Allocations - TD'!T35)</f>
        <v>40690.592006909494</v>
      </c>
      <c r="W67" s="22">
        <f>IF('M3 Allocations - TD'!U9="","",'M3 Allocations - TD'!U35)</f>
        <v>41885.585703975645</v>
      </c>
      <c r="X67" s="22">
        <f>IF('M3 Allocations - TD'!V9="","",'M3 Allocations - TD'!V35)</f>
        <v>26780.761635291285</v>
      </c>
      <c r="Y67" s="22">
        <f>IF('M3 Allocations - TD'!W9="","",'M3 Allocations - TD'!W35)</f>
        <v>10597.262650374174</v>
      </c>
      <c r="Z67" s="22">
        <f>IF('M3 Allocations - TD'!X9="","",'M3 Allocations - TD'!X35)</f>
        <v>10543.327297722915</v>
      </c>
      <c r="AA67" s="22">
        <f>IF('M3 Allocations - TD'!Y9="","",'M3 Allocations - TD'!Y35)</f>
        <v>12471.245557264963</v>
      </c>
      <c r="AB67" s="22">
        <f>IF('M3 Allocations - TD'!Z9="","",'M3 Allocations - TD'!Z35)</f>
        <v>12960.956487818141</v>
      </c>
      <c r="AC67" s="22">
        <f>IF('M3 Allocations - TD'!AA9="","",'M3 Allocations - TD'!AA35)</f>
        <v>11180.008563256184</v>
      </c>
      <c r="AD67" s="22">
        <f>IF('M3 Allocations - TD'!AB9="","",'M3 Allocations - TD'!AB35)</f>
        <v>10723.724250200386</v>
      </c>
      <c r="AE67" s="22">
        <f>IF('M3 Allocations - TD'!AC9="","",'M3 Allocations - TD'!AC35)</f>
        <v>12186.584798764601</v>
      </c>
      <c r="AF67" s="22">
        <f>IF('M3 Allocations - TD'!AD9="","",'M3 Allocations - TD'!AD35)</f>
        <v>21281.154475581399</v>
      </c>
      <c r="AG67" s="22">
        <f>IF('M3 Allocations - TD'!AE9="","",'M3 Allocations - TD'!AE35)</f>
        <v>66612.208134140514</v>
      </c>
      <c r="AH67" s="22">
        <f>IF('M3 Allocations - TD'!AF9="","",'M3 Allocations - TD'!AF35)</f>
        <v>73408.187300820806</v>
      </c>
      <c r="AI67" s="22">
        <f>IF('M3 Allocations - TD'!AG9="","",'M3 Allocations - TD'!AG35)</f>
        <v>73181.995355948209</v>
      </c>
      <c r="AJ67" s="22">
        <f>IF('M3 Allocations - TD'!AH9="","",'M3 Allocations - TD'!AH35)</f>
        <v>44682.245754003154</v>
      </c>
      <c r="AK67" s="22">
        <f>IF('M3 Allocations - TD'!AI9="","",'M3 Allocations - TD'!AI35)</f>
        <v>19447.902145822471</v>
      </c>
      <c r="AL67" s="22">
        <f>IF('M3 Allocations - TD'!AJ9="","",'M3 Allocations - TD'!AJ35)</f>
        <v>16125.741463642871</v>
      </c>
      <c r="AM67" s="22">
        <f>IF('M3 Allocations - TD'!AK9="","",'M3 Allocations - TD'!AK35)</f>
        <v>19063.36096942682</v>
      </c>
      <c r="AN67" s="22">
        <f>IF('M3 Allocations - TD'!AL9="","",'M3 Allocations - TD'!AL35)</f>
        <v>18825.407725594807</v>
      </c>
      <c r="AO67" s="22">
        <f>IF('M3 Allocations - TD'!AM9="","",'M3 Allocations - TD'!AM35)</f>
        <v>15042.280346882986</v>
      </c>
      <c r="AP67" s="22">
        <f>IF('M3 Allocations - TD'!AN9="","",'M3 Allocations - TD'!AN35)</f>
        <v>5372.5491881501548</v>
      </c>
      <c r="AQ67" s="22">
        <f>IF('M3 Allocations - TD'!AO9="","",'M3 Allocations - TD'!AO35)</f>
        <v>5761.1753207721658</v>
      </c>
      <c r="AR67" s="22">
        <f>IF('M3 Allocations - TD'!AP9="","",'M3 Allocations - TD'!AP35)</f>
        <v>7701.1665386990999</v>
      </c>
      <c r="AS67" s="22">
        <f>IF('M3 Allocations - TD'!AQ9="","",'M3 Allocations - TD'!AQ35)</f>
        <v>20816.695916117322</v>
      </c>
      <c r="AT67" s="22">
        <f>IF('M3 Allocations - TD'!AR9="","",'M3 Allocations - TD'!AR35)</f>
        <v>29321.450972661642</v>
      </c>
      <c r="AU67" s="22">
        <f>IF('M3 Allocations - TD'!AS9="","",'M3 Allocations - TD'!AS35)</f>
        <v>29057.042020850196</v>
      </c>
      <c r="AV67" s="22">
        <f>IF('M3 Allocations - TD'!AT9="","",'M3 Allocations - TD'!AT35)</f>
        <v>22639.119300577775</v>
      </c>
      <c r="AW67" s="22">
        <f>IF('M3 Allocations - TD'!AU9="","",'M3 Allocations - TD'!AU35)</f>
        <v>10522.674846079888</v>
      </c>
      <c r="AX67" s="22">
        <f>IF('M3 Allocations - TD'!AV9="","",'M3 Allocations - TD'!AV35)</f>
        <v>9984.2342642800941</v>
      </c>
      <c r="AY67" s="22">
        <f>IF('M3 Allocations - TD'!AW9="","",'M3 Allocations - TD'!AW35)</f>
        <v>13628.440153965161</v>
      </c>
      <c r="AZ67" s="22">
        <f>IF('M3 Allocations - TD'!AX9="","",'M3 Allocations - TD'!AX35)</f>
        <v>16081.445285659314</v>
      </c>
    </row>
    <row r="68" spans="1:53" s="5" customFormat="1" ht="15" hidden="1" customHeight="1" outlineLevel="1" x14ac:dyDescent="0.35">
      <c r="A68" s="274"/>
      <c r="B68" s="18" t="s">
        <v>26</v>
      </c>
      <c r="C68" s="104"/>
      <c r="D68" s="104"/>
      <c r="E68" s="104"/>
      <c r="F68" s="22">
        <f>IF('M3 Allocations - TD'!D55="","",'M3 Allocations - TD'!D73)</f>
        <v>0</v>
      </c>
      <c r="G68" s="22">
        <f>IF('M3 Allocations - TD'!E55="","",'M3 Allocations - TD'!E73)</f>
        <v>0</v>
      </c>
      <c r="H68" s="22">
        <f>IF('M3 Allocations - TD'!F55="","",'M3 Allocations - TD'!F73)</f>
        <v>-48.583419353926594</v>
      </c>
      <c r="I68" s="22">
        <f>IF('M3 Allocations - TD'!G55="","",'M3 Allocations - TD'!G73)</f>
        <v>4125.9071778961579</v>
      </c>
      <c r="J68" s="22">
        <f>IF('M3 Allocations - TD'!H55="","",'M3 Allocations - TD'!H73)</f>
        <v>6806.3797850987785</v>
      </c>
      <c r="K68" s="22">
        <f>IF('M3 Allocations - TD'!I55="","",'M3 Allocations - TD'!I73)</f>
        <v>7524.9044581782691</v>
      </c>
      <c r="L68" s="22">
        <f>IF('M3 Allocations - TD'!J55="","",'M3 Allocations - TD'!J73)</f>
        <v>7658.4495072300715</v>
      </c>
      <c r="M68" s="22">
        <f>IF('M3 Allocations - TD'!K55="","",'M3 Allocations - TD'!K73)</f>
        <v>7241.6490844376849</v>
      </c>
      <c r="N68" s="22">
        <f>IF('M3 Allocations - TD'!L55="","",'M3 Allocations - TD'!L73)</f>
        <v>6323.5939077382554</v>
      </c>
      <c r="O68" s="22">
        <f>IF('M3 Allocations - TD'!M55="","",'M3 Allocations - TD'!M73)</f>
        <v>5864.7707264215042</v>
      </c>
      <c r="P68" s="22">
        <f>IF('M3 Allocations - TD'!N55="","",'M3 Allocations - TD'!N73)</f>
        <v>6186.9939477675571</v>
      </c>
      <c r="Q68" s="22">
        <f>IF('M3 Allocations - TD'!O55="","",'M3 Allocations - TD'!O73)</f>
        <v>10792.766596240668</v>
      </c>
      <c r="R68" s="22">
        <f>IF('M3 Allocations - TD'!P55="","",'M3 Allocations - TD'!P73)</f>
        <v>19312.38401960209</v>
      </c>
      <c r="S68" s="22">
        <f>IF('M3 Allocations - TD'!Q55="","",'M3 Allocations - TD'!Q73)</f>
        <v>21254.31297935671</v>
      </c>
      <c r="T68" s="22">
        <f>IF('M3 Allocations - TD'!R55="","",'M3 Allocations - TD'!R73)</f>
        <v>21637.663415217026</v>
      </c>
      <c r="U68" s="22">
        <f>IF('M3 Allocations - TD'!S55="","",'M3 Allocations - TD'!S73)</f>
        <v>16834.533975023267</v>
      </c>
      <c r="V68" s="22">
        <f>IF('M3 Allocations - TD'!T55="","",'M3 Allocations - TD'!T73)</f>
        <v>24355.538593432568</v>
      </c>
      <c r="W68" s="22">
        <f>IF('M3 Allocations - TD'!U55="","",'M3 Allocations - TD'!U73)</f>
        <v>25113.656296491379</v>
      </c>
      <c r="X68" s="22">
        <f>IF('M3 Allocations - TD'!V55="","",'M3 Allocations - TD'!V73)</f>
        <v>25507.793919774442</v>
      </c>
      <c r="Y68" s="22">
        <f>IF('M3 Allocations - TD'!W55="","",'M3 Allocations - TD'!W73)</f>
        <v>22463.576853042847</v>
      </c>
      <c r="Z68" s="22">
        <f>IF('M3 Allocations - TD'!X55="","",'M3 Allocations - TD'!X73)</f>
        <v>21960.458267222853</v>
      </c>
      <c r="AA68" s="22">
        <f>IF('M3 Allocations - TD'!Y55="","",'M3 Allocations - TD'!Y73)</f>
        <v>22338.840952659717</v>
      </c>
      <c r="AB68" s="22">
        <f>IF('M3 Allocations - TD'!Z55="","",'M3 Allocations - TD'!Z73)</f>
        <v>20382.980401475455</v>
      </c>
      <c r="AC68" s="22">
        <f>IF('M3 Allocations - TD'!AA55="","",'M3 Allocations - TD'!AA73)</f>
        <v>32953.904164207008</v>
      </c>
      <c r="AD68" s="22">
        <f>IF('M3 Allocations - TD'!AB55="","",'M3 Allocations - TD'!AB73)</f>
        <v>23500.247497740351</v>
      </c>
      <c r="AE68" s="22">
        <f>IF('M3 Allocations - TD'!AC55="","",'M3 Allocations - TD'!AC73)</f>
        <v>40293.609086971141</v>
      </c>
      <c r="AF68" s="22">
        <f>IF('M3 Allocations - TD'!AD55="","",'M3 Allocations - TD'!AD73)</f>
        <v>41000.534789952151</v>
      </c>
      <c r="AG68" s="22">
        <f>IF('M3 Allocations - TD'!AE55="","",'M3 Allocations - TD'!AE73)</f>
        <v>39665.300517775315</v>
      </c>
      <c r="AH68" s="22">
        <f>IF('M3 Allocations - TD'!AF55="","",'M3 Allocations - TD'!AF73)</f>
        <v>50592.172457307752</v>
      </c>
      <c r="AI68" s="22">
        <f>IF('M3 Allocations - TD'!AG55="","",'M3 Allocations - TD'!AG73)</f>
        <v>48111.888839753803</v>
      </c>
      <c r="AJ68" s="22">
        <f>IF('M3 Allocations - TD'!AH55="","",'M3 Allocations - TD'!AH73)</f>
        <v>52046.073170238742</v>
      </c>
      <c r="AK68" s="22">
        <f>IF('M3 Allocations - TD'!AI55="","",'M3 Allocations - TD'!AI73)</f>
        <v>47917.124744080225</v>
      </c>
      <c r="AL68" s="22">
        <f>IF('M3 Allocations - TD'!AJ55="","",'M3 Allocations - TD'!AJ73)</f>
        <v>31542.387518483061</v>
      </c>
      <c r="AM68" s="22">
        <f>IF('M3 Allocations - TD'!AK55="","",'M3 Allocations - TD'!AK73)</f>
        <v>43557.154949803051</v>
      </c>
      <c r="AN68" s="22">
        <f>IF('M3 Allocations - TD'!AL55="","",'M3 Allocations - TD'!AL73)</f>
        <v>40956.195027623748</v>
      </c>
      <c r="AO68" s="22">
        <f>IF('M3 Allocations - TD'!AM55="","",'M3 Allocations - TD'!AM73)</f>
        <v>34081.150442443461</v>
      </c>
      <c r="AP68" s="22">
        <f>IF('M3 Allocations - TD'!AN55="","",'M3 Allocations - TD'!AN73)</f>
        <v>5569.4805559214219</v>
      </c>
      <c r="AQ68" s="22">
        <f>IF('M3 Allocations - TD'!AO55="","",'M3 Allocations - TD'!AO73)</f>
        <v>-23801.130148762259</v>
      </c>
      <c r="AR68" s="22">
        <f>IF('M3 Allocations - TD'!AP55="","",'M3 Allocations - TD'!AP73)</f>
        <v>4425.0020023903071</v>
      </c>
      <c r="AS68" s="22">
        <f>IF('M3 Allocations - TD'!AQ55="","",'M3 Allocations - TD'!AQ73)</f>
        <v>5427.3573983012948</v>
      </c>
      <c r="AT68" s="22">
        <f>IF('M3 Allocations - TD'!AR55="","",'M3 Allocations - TD'!AR73)</f>
        <v>6149.5954103370386</v>
      </c>
      <c r="AU68" s="22">
        <f>IF('M3 Allocations - TD'!AS55="","",'M3 Allocations - TD'!AS73)</f>
        <v>6063.694935624073</v>
      </c>
      <c r="AV68" s="22">
        <f>IF('M3 Allocations - TD'!AT55="","",'M3 Allocations - TD'!AT73)</f>
        <v>6340.9099918320171</v>
      </c>
      <c r="AW68" s="22">
        <f>IF('M3 Allocations - TD'!AU55="","",'M3 Allocations - TD'!AU73)</f>
        <v>5452.5804092461303</v>
      </c>
      <c r="AX68" s="22">
        <f>IF('M3 Allocations - TD'!AV55="","",'M3 Allocations - TD'!AV73)</f>
        <v>4977.6083488265322</v>
      </c>
      <c r="AY68" s="22">
        <f>IF('M3 Allocations - TD'!AW55="","",'M3 Allocations - TD'!AW73)</f>
        <v>4718.0213866088397</v>
      </c>
      <c r="AZ68" s="22">
        <f>IF('M3 Allocations - TD'!AX55="","",'M3 Allocations - TD'!AX73)</f>
        <v>4896.0798129027144</v>
      </c>
    </row>
    <row r="69" spans="1:53" s="5" customFormat="1" ht="15" hidden="1" customHeight="1" outlineLevel="1" x14ac:dyDescent="0.35">
      <c r="A69" s="274"/>
      <c r="B69" s="18" t="s">
        <v>51</v>
      </c>
      <c r="C69" s="104"/>
      <c r="D69" s="104"/>
      <c r="E69" s="104"/>
      <c r="F69" s="22">
        <f>IF(F68="","",0)</f>
        <v>0</v>
      </c>
      <c r="G69" s="22">
        <f t="shared" ref="G69" si="406">IF(G68="","",0)</f>
        <v>0</v>
      </c>
      <c r="H69" s="22">
        <f t="shared" ref="H69" si="407">IF(H68="","",0)</f>
        <v>0</v>
      </c>
      <c r="I69" s="22">
        <f t="shared" ref="I69" si="408">IF(I68="","",0)</f>
        <v>0</v>
      </c>
      <c r="J69" s="22">
        <f t="shared" ref="J69" si="409">IF(J68="","",0)</f>
        <v>0</v>
      </c>
      <c r="K69" s="22">
        <f t="shared" ref="K69" si="410">IF(K68="","",0)</f>
        <v>0</v>
      </c>
      <c r="L69" s="22">
        <f t="shared" ref="L69" si="411">IF(L68="","",0)</f>
        <v>0</v>
      </c>
      <c r="M69" s="22">
        <f t="shared" ref="M69" si="412">IF(M68="","",0)</f>
        <v>0</v>
      </c>
      <c r="N69" s="22">
        <f t="shared" ref="N69" si="413">IF(N68="","",0)</f>
        <v>0</v>
      </c>
      <c r="O69" s="22">
        <f t="shared" ref="O69" si="414">IF(O68="","",0)</f>
        <v>0</v>
      </c>
      <c r="P69" s="22">
        <f t="shared" ref="P69" si="415">IF(P68="","",0)</f>
        <v>0</v>
      </c>
      <c r="Q69" s="22">
        <f>IF(Q68="","",-'M3 TD amort'!C36)</f>
        <v>1504.68</v>
      </c>
      <c r="R69" s="22">
        <f>IF(R68="","",-'M3 TD amort'!D36)</f>
        <v>2591.88</v>
      </c>
      <c r="S69" s="22">
        <f>IF(S68="","",-'M3 TD amort'!E36)</f>
        <v>2838.35</v>
      </c>
      <c r="T69" s="22">
        <f>IF(T68="","",-'M3 TD amort'!F36)</f>
        <v>2881.77</v>
      </c>
      <c r="U69" s="22">
        <f>IF(U68="","",-'M3 TD amort'!G36)</f>
        <v>2250.5100000000002</v>
      </c>
      <c r="V69" s="22">
        <f>IF(V68="","",-'M3 TD amort'!H36)</f>
        <v>3239.4</v>
      </c>
      <c r="W69" s="22">
        <f>IF(W68="","",-'M3 TD amort'!I36)</f>
        <v>3336.64</v>
      </c>
      <c r="X69" s="22">
        <f>IF(X68="","",-'M3 TD amort'!J36)</f>
        <v>3384.12</v>
      </c>
      <c r="Y69" s="22">
        <f>IF(Y68="","",-'M3 TD amort'!K36)</f>
        <v>2980.87</v>
      </c>
      <c r="Z69" s="22">
        <f>IF(Z68="","",-'M3 TD amort'!L36)</f>
        <v>2923.68</v>
      </c>
      <c r="AA69" s="22">
        <f>IF(AA68="","",-'M3 TD amort'!M36)</f>
        <v>2985.57</v>
      </c>
      <c r="AB69" s="22">
        <f>IF(AB68="","",-'M3 TD amort'!N36)</f>
        <v>2730.44</v>
      </c>
      <c r="AC69" s="22">
        <f>IF(AC68="","",-'M3 TD amort'!O36)</f>
        <v>3897.15</v>
      </c>
      <c r="AD69" s="22">
        <f>IF(AD68="","",-'M3 TD amort'!P36)</f>
        <v>2784.02</v>
      </c>
      <c r="AE69" s="22">
        <f>IF(AE68="","",-'M3 TD amort'!Q36)</f>
        <v>4719.3</v>
      </c>
      <c r="AF69" s="22">
        <f>IF(AF68="","",-'M3 TD amort'!R36)</f>
        <v>4794.6000000000004</v>
      </c>
      <c r="AG69" s="22">
        <f>IF(AG68="","",-'M3 TD amort'!S36)</f>
        <v>4627.3500000000004</v>
      </c>
      <c r="AH69" s="22">
        <f>IF(AH68="","",-'M3 TD amort'!T36)</f>
        <v>5905.37</v>
      </c>
      <c r="AI69" s="22">
        <f>IF(AI68="","",-'M3 TD amort'!U36)</f>
        <v>5621.67</v>
      </c>
      <c r="AJ69" s="22">
        <f>IF(AJ68="","",-'M3 TD amort'!V36)</f>
        <v>6078.73</v>
      </c>
      <c r="AK69" s="22">
        <f>IF(AK68="","",-'M3 TD amort'!W36)</f>
        <v>5571.58</v>
      </c>
      <c r="AL69" s="22">
        <f>IF(AL68="","",-'M3 TD amort'!X36)</f>
        <v>3698.89</v>
      </c>
      <c r="AM69" s="22">
        <f>IF(AM68="","",-'M3 TD amort'!Y36)</f>
        <v>5186.1400000000003</v>
      </c>
      <c r="AN69" s="22">
        <f>IF(AN68="","",-'M3 TD amort'!Z36)</f>
        <v>4832.3100000000004</v>
      </c>
      <c r="AO69" s="22">
        <f>IF(AO68="","",-'M3 TD amort'!AA36)</f>
        <v>75442.73</v>
      </c>
      <c r="AP69" s="22">
        <f>IF(AP68="","",-'M3 TD amort'!AB36)</f>
        <v>13631.28</v>
      </c>
      <c r="AQ69" s="22">
        <f>IF(AQ68="","",-'M3 TD amort'!AC36)</f>
        <v>-48097.27</v>
      </c>
      <c r="AR69" s="22">
        <f>IF(AR68="","",-'M3 TD amort'!AD36)</f>
        <v>10628.22</v>
      </c>
      <c r="AS69" s="22">
        <f>IF(AS68="","",-'M3 TD amort'!AE36)</f>
        <v>12955.95</v>
      </c>
      <c r="AT69" s="22">
        <f>IF(AT68="","",-'M3 TD amort'!AF36)</f>
        <v>14863.58</v>
      </c>
      <c r="AU69" s="22">
        <f>IF(AU68="","",-'M3 TD amort'!AG36)</f>
        <v>14696.75</v>
      </c>
      <c r="AV69" s="22">
        <f>IF(AV68="","",-'M3 TD amort'!AH36)</f>
        <v>15321.62</v>
      </c>
      <c r="AW69" s="22">
        <f>IF(AW68="","",-'M3 TD amort'!AI36)</f>
        <v>13162.71</v>
      </c>
      <c r="AX69" s="22">
        <f>IF(AX68="","",-'M3 TD amort'!AJ36)</f>
        <v>12763.97</v>
      </c>
      <c r="AY69" s="22">
        <f>IF(AY68="","",-'M3 TD amort'!AK36)</f>
        <v>12506.82</v>
      </c>
      <c r="AZ69" s="22">
        <f>IF(AZ68="","",-'M3 TD amort'!AL36)</f>
        <v>13177.32</v>
      </c>
    </row>
    <row r="70" spans="1:53" s="5" customFormat="1" ht="15" hidden="1" customHeight="1" outlineLevel="1" x14ac:dyDescent="0.35">
      <c r="A70" s="274"/>
      <c r="B70" s="18" t="s">
        <v>52</v>
      </c>
      <c r="C70" s="104"/>
      <c r="D70" s="104"/>
      <c r="E70" s="104"/>
      <c r="F70" s="9">
        <f t="shared" ref="F70:M70" si="416">IF(OR(F69="",F68=""),"",F68+F69)</f>
        <v>0</v>
      </c>
      <c r="G70" s="9">
        <f t="shared" si="416"/>
        <v>0</v>
      </c>
      <c r="H70" s="9">
        <f t="shared" si="416"/>
        <v>-48.583419353926594</v>
      </c>
      <c r="I70" s="9">
        <f t="shared" si="416"/>
        <v>4125.9071778961579</v>
      </c>
      <c r="J70" s="9">
        <f t="shared" si="416"/>
        <v>6806.3797850987785</v>
      </c>
      <c r="K70" s="9">
        <f t="shared" si="416"/>
        <v>7524.9044581782691</v>
      </c>
      <c r="L70" s="9">
        <f t="shared" si="416"/>
        <v>7658.4495072300715</v>
      </c>
      <c r="M70" s="9">
        <f t="shared" si="416"/>
        <v>7241.6490844376849</v>
      </c>
      <c r="N70" s="9">
        <f>IF(OR(N69="",N68=""),"",N68+N69)</f>
        <v>6323.5939077382554</v>
      </c>
      <c r="O70" s="9">
        <f t="shared" ref="O70:Z70" si="417">IF(OR(O69="",O68=""),"",O68+O69)</f>
        <v>5864.7707264215042</v>
      </c>
      <c r="P70" s="9">
        <f t="shared" si="417"/>
        <v>6186.9939477675571</v>
      </c>
      <c r="Q70" s="9">
        <f t="shared" si="417"/>
        <v>12297.446596240668</v>
      </c>
      <c r="R70" s="9">
        <f t="shared" si="417"/>
        <v>21904.264019602091</v>
      </c>
      <c r="S70" s="9">
        <f t="shared" si="417"/>
        <v>24092.662979356708</v>
      </c>
      <c r="T70" s="9">
        <f t="shared" si="417"/>
        <v>24519.433415217027</v>
      </c>
      <c r="U70" s="9">
        <f t="shared" si="417"/>
        <v>19085.043975023269</v>
      </c>
      <c r="V70" s="9">
        <f t="shared" si="417"/>
        <v>27594.938593432569</v>
      </c>
      <c r="W70" s="9">
        <f t="shared" si="417"/>
        <v>28450.296296491379</v>
      </c>
      <c r="X70" s="9">
        <f t="shared" si="417"/>
        <v>28891.913919774441</v>
      </c>
      <c r="Y70" s="9">
        <f t="shared" si="417"/>
        <v>25444.446853042846</v>
      </c>
      <c r="Z70" s="9">
        <f t="shared" si="417"/>
        <v>24884.138267222854</v>
      </c>
      <c r="AA70" s="9">
        <f>IF(OR(AA69="",AA68=""),"",AA68+AA69)</f>
        <v>25324.410952659717</v>
      </c>
      <c r="AB70" s="9">
        <f t="shared" ref="AB70:AE70" si="418">IF(OR(AB69="",AB68=""),"",AB68+AB69)</f>
        <v>23113.420401475454</v>
      </c>
      <c r="AC70" s="9">
        <f t="shared" si="418"/>
        <v>36851.054164207009</v>
      </c>
      <c r="AD70" s="9">
        <f t="shared" si="418"/>
        <v>26284.267497740351</v>
      </c>
      <c r="AE70" s="9">
        <f t="shared" si="418"/>
        <v>45012.909086971144</v>
      </c>
      <c r="AF70" s="9">
        <f t="shared" ref="AF70:AW70" si="419">IF(OR(AF69="",AF68=""),"",AF68+AF69)</f>
        <v>45795.13478995215</v>
      </c>
      <c r="AG70" s="9">
        <f t="shared" si="419"/>
        <v>44292.650517775313</v>
      </c>
      <c r="AH70" s="9">
        <f t="shared" si="419"/>
        <v>56497.542457307754</v>
      </c>
      <c r="AI70" s="9">
        <f t="shared" si="419"/>
        <v>53733.558839753801</v>
      </c>
      <c r="AJ70" s="9">
        <f t="shared" si="419"/>
        <v>58124.803170238738</v>
      </c>
      <c r="AK70" s="9">
        <f t="shared" si="419"/>
        <v>53488.704744080227</v>
      </c>
      <c r="AL70" s="9">
        <f t="shared" si="419"/>
        <v>35241.277518483061</v>
      </c>
      <c r="AM70" s="9">
        <f t="shared" si="419"/>
        <v>48743.29494980305</v>
      </c>
      <c r="AN70" s="9">
        <f t="shared" si="419"/>
        <v>45788.505027623745</v>
      </c>
      <c r="AO70" s="9">
        <f t="shared" si="419"/>
        <v>109523.88044244345</v>
      </c>
      <c r="AP70" s="9">
        <f t="shared" si="419"/>
        <v>19200.760555921421</v>
      </c>
      <c r="AQ70" s="9">
        <f t="shared" si="419"/>
        <v>-71898.400148762259</v>
      </c>
      <c r="AR70" s="9">
        <f t="shared" si="419"/>
        <v>15053.222002390306</v>
      </c>
      <c r="AS70" s="9">
        <f t="shared" si="419"/>
        <v>18383.307398301295</v>
      </c>
      <c r="AT70" s="9">
        <f t="shared" si="419"/>
        <v>21013.17541033704</v>
      </c>
      <c r="AU70" s="9">
        <f t="shared" si="419"/>
        <v>20760.444935624073</v>
      </c>
      <c r="AV70" s="9">
        <f t="shared" si="419"/>
        <v>21662.529991832016</v>
      </c>
      <c r="AW70" s="9">
        <f t="shared" si="419"/>
        <v>18615.290409246129</v>
      </c>
      <c r="AX70" s="9">
        <f>IF(OR(AX69="",AX68=""),"",AX68+AX69)</f>
        <v>17741.57834882653</v>
      </c>
      <c r="AY70" s="9">
        <f t="shared" ref="AY70" si="420">IF(OR(AY69="",AY68=""),"",AY68+AY69)</f>
        <v>17224.841386608838</v>
      </c>
      <c r="AZ70" s="9">
        <f t="shared" ref="AZ70" si="421">IF(OR(AZ69="",AZ68=""),"",AZ68+AZ69)</f>
        <v>18073.399812902713</v>
      </c>
    </row>
    <row r="71" spans="1:53" s="5" customFormat="1" hidden="1" outlineLevel="1" x14ac:dyDescent="0.35">
      <c r="A71" s="274"/>
      <c r="B71" s="18" t="s">
        <v>13</v>
      </c>
      <c r="C71" s="104"/>
      <c r="D71" s="104"/>
      <c r="E71" s="104"/>
      <c r="F71" s="9">
        <f t="shared" ref="F71:L71" si="422">IF(OR(F68="",F67=""),"",F67-F68)</f>
        <v>0</v>
      </c>
      <c r="G71" s="9">
        <f t="shared" si="422"/>
        <v>0</v>
      </c>
      <c r="H71" s="9">
        <f t="shared" si="422"/>
        <v>206.95969459981058</v>
      </c>
      <c r="I71" s="9">
        <f t="shared" si="422"/>
        <v>-3528.7340731331474</v>
      </c>
      <c r="J71" s="9">
        <f t="shared" si="422"/>
        <v>-6806.3797850987785</v>
      </c>
      <c r="K71" s="9">
        <f t="shared" si="422"/>
        <v>-7300.5960205780684</v>
      </c>
      <c r="L71" s="9">
        <f t="shared" si="422"/>
        <v>-7080.3370793455424</v>
      </c>
      <c r="M71" s="9">
        <f>IF(OR(M68="",M67=""),"",M67-M68)</f>
        <v>-6687.927317849204</v>
      </c>
      <c r="N71" s="9">
        <f>IF(OR(N70="",N67=""),"",N67-N70)</f>
        <v>-1825.1377979269255</v>
      </c>
      <c r="O71" s="9">
        <f t="shared" ref="O71:AE71" si="423">IF(OR(O70="",O67=""),"",O67-O70)</f>
        <v>-3396.1962381337257</v>
      </c>
      <c r="P71" s="9">
        <f t="shared" si="423"/>
        <v>295.33845004445902</v>
      </c>
      <c r="Q71" s="9">
        <f t="shared" si="423"/>
        <v>-7583.0245926856451</v>
      </c>
      <c r="R71" s="9">
        <f t="shared" si="423"/>
        <v>-16971.040711894311</v>
      </c>
      <c r="S71" s="9">
        <f t="shared" si="423"/>
        <v>-19752.112044639314</v>
      </c>
      <c r="T71" s="9">
        <f t="shared" si="423"/>
        <v>-12719.486928390143</v>
      </c>
      <c r="U71" s="9">
        <f t="shared" si="423"/>
        <v>19172.899277318444</v>
      </c>
      <c r="V71" s="9">
        <f t="shared" si="423"/>
        <v>13095.653413476924</v>
      </c>
      <c r="W71" s="9">
        <f t="shared" si="423"/>
        <v>13435.289407484266</v>
      </c>
      <c r="X71" s="9">
        <f t="shared" si="423"/>
        <v>-2111.1522844831561</v>
      </c>
      <c r="Y71" s="9">
        <f>IF(OR(Y70="",Y67=""),"",Y67-Y70)</f>
        <v>-14847.184202668672</v>
      </c>
      <c r="Z71" s="9">
        <f t="shared" si="423"/>
        <v>-14340.810969499938</v>
      </c>
      <c r="AA71" s="9">
        <f t="shared" si="423"/>
        <v>-12853.165395394753</v>
      </c>
      <c r="AB71" s="9">
        <f t="shared" si="423"/>
        <v>-10152.463913657313</v>
      </c>
      <c r="AC71" s="9">
        <f t="shared" si="423"/>
        <v>-25671.045600950827</v>
      </c>
      <c r="AD71" s="9">
        <f t="shared" si="423"/>
        <v>-15560.543247539965</v>
      </c>
      <c r="AE71" s="9">
        <f t="shared" si="423"/>
        <v>-32826.324288206539</v>
      </c>
      <c r="AF71" s="9">
        <f t="shared" ref="AF71:AV71" si="424">IF(OR(AF70="",AF67=""),"",AF67-AF70)</f>
        <v>-24513.98031437075</v>
      </c>
      <c r="AG71" s="9">
        <f t="shared" si="424"/>
        <v>22319.5576163652</v>
      </c>
      <c r="AH71" s="9">
        <f t="shared" si="424"/>
        <v>16910.644843513051</v>
      </c>
      <c r="AI71" s="9">
        <f t="shared" si="424"/>
        <v>19448.436516194408</v>
      </c>
      <c r="AJ71" s="9">
        <f t="shared" si="424"/>
        <v>-13442.557416235584</v>
      </c>
      <c r="AK71" s="9">
        <f t="shared" si="424"/>
        <v>-34040.802598257753</v>
      </c>
      <c r="AL71" s="9">
        <f t="shared" si="424"/>
        <v>-19115.536054840188</v>
      </c>
      <c r="AM71" s="9">
        <f t="shared" si="424"/>
        <v>-29679.93398037623</v>
      </c>
      <c r="AN71" s="9">
        <f t="shared" si="424"/>
        <v>-26963.097302028938</v>
      </c>
      <c r="AO71" s="9">
        <f t="shared" si="424"/>
        <v>-94481.600095560469</v>
      </c>
      <c r="AP71" s="9">
        <f t="shared" si="424"/>
        <v>-13828.211367771266</v>
      </c>
      <c r="AQ71" s="9">
        <f t="shared" si="424"/>
        <v>77659.575469534422</v>
      </c>
      <c r="AR71" s="9">
        <f t="shared" si="424"/>
        <v>-7352.0554636912066</v>
      </c>
      <c r="AS71" s="9">
        <f t="shared" si="424"/>
        <v>2433.3885178160272</v>
      </c>
      <c r="AT71" s="9">
        <f t="shared" si="424"/>
        <v>8308.2755623246012</v>
      </c>
      <c r="AU71" s="9">
        <f t="shared" si="424"/>
        <v>8296.5970852261235</v>
      </c>
      <c r="AV71" s="9">
        <f t="shared" si="424"/>
        <v>976.5893087457589</v>
      </c>
      <c r="AW71" s="141">
        <f>IF(OR(AW70="",AW67=""),"",AW67-AW70)+AW66</f>
        <v>-120.35076748674328</v>
      </c>
      <c r="AX71" s="9">
        <f>IF(OR(AX70="",AX67=""),"",AX67-AX70)</f>
        <v>-7757.3440845464356</v>
      </c>
      <c r="AY71" s="9">
        <f t="shared" ref="AY71" si="425">IF(OR(AY70="",AY67=""),"",AY67-AY70)</f>
        <v>-3596.4012326436768</v>
      </c>
      <c r="AZ71" s="9">
        <f t="shared" ref="AZ71" si="426">IF(OR(AZ70="",AZ67=""),"",AZ67-AZ70)</f>
        <v>-1991.9545272433988</v>
      </c>
      <c r="BA71" s="238"/>
    </row>
    <row r="72" spans="1:53" s="5" customFormat="1" hidden="1" outlineLevel="1" x14ac:dyDescent="0.35">
      <c r="A72" s="274"/>
      <c r="B72" s="19" t="s">
        <v>8</v>
      </c>
      <c r="C72" s="104"/>
      <c r="D72" s="104"/>
      <c r="E72" s="104"/>
      <c r="F72" s="9">
        <f>IF(OR(F9="",F71=""),"",ROUND((F71+E74)*F9/12,2))</f>
        <v>0</v>
      </c>
      <c r="G72" s="9">
        <f t="shared" ref="G72:L72" si="427">IF(OR(G9="",G71=""),"",ROUND((G71+F74)*G9/12,2))</f>
        <v>0</v>
      </c>
      <c r="H72" s="9">
        <f t="shared" si="427"/>
        <v>0.46</v>
      </c>
      <c r="I72" s="9">
        <f>IF(OR(I9="",I71=""),"",ROUND((I71+H74)*I9/12,2))</f>
        <v>-7.33</v>
      </c>
      <c r="J72" s="9">
        <f t="shared" si="427"/>
        <v>-21.92</v>
      </c>
      <c r="K72" s="9">
        <f t="shared" si="427"/>
        <v>-34.200000000000003</v>
      </c>
      <c r="L72" s="9">
        <f t="shared" si="427"/>
        <v>-45.39</v>
      </c>
      <c r="M72" s="9">
        <f t="shared" ref="M72" si="428">IF(OR(M9="",M71=""),"",ROUND((M71+L74)*M9/12,2))</f>
        <v>-55.15</v>
      </c>
      <c r="N72" s="125">
        <f>IF(OR(N9="",N71=""),"",ROUND((N71+M74)*N9/12,2))+N66</f>
        <v>-34.539999999999992</v>
      </c>
      <c r="O72" s="9">
        <f t="shared" ref="O72" si="429">IF(OR(O9="",O71=""),"",ROUND((O71+N74)*O9/12,2))</f>
        <v>-58.44</v>
      </c>
      <c r="P72" s="9">
        <f t="shared" ref="P72" si="430">IF(OR(P9="",P71=""),"",ROUND((P71+O74)*P9/12,2))</f>
        <v>-57.27</v>
      </c>
      <c r="Q72" s="9">
        <f t="shared" ref="Q72:R72" si="431">IF(OR(Q9="",Q71=""),"",ROUND((Q71+P74)*Q9/12,2))</f>
        <v>-66.16</v>
      </c>
      <c r="R72" s="9">
        <f t="shared" si="431"/>
        <v>-93.73</v>
      </c>
      <c r="S72" s="9">
        <f t="shared" ref="S72" si="432">IF(OR(S9="",S71=""),"",ROUND((S71+R74)*S9/12,2))</f>
        <v>-60.07</v>
      </c>
      <c r="T72" s="9">
        <f t="shared" ref="T72" si="433">IF(OR(T9="",T71=""),"",ROUND((T71+S74)*T9/12,2))</f>
        <v>-9.33</v>
      </c>
      <c r="U72" s="9">
        <f t="shared" ref="U72" si="434">IF(OR(U9="",U71=""),"",ROUND((U71+T74)*U9/12,2))</f>
        <v>-6.77</v>
      </c>
      <c r="V72" s="9">
        <f t="shared" ref="V72" si="435">IF(OR(V9="",V71=""),"",ROUND((V71+U74)*V9/12,2))</f>
        <v>-7.97</v>
      </c>
      <c r="W72" s="9">
        <f t="shared" ref="W72:X72" si="436">IF(OR(W9="",W71=""),"",ROUND((W71+V74)*W9/12,2))</f>
        <v>-3.72</v>
      </c>
      <c r="X72" s="9">
        <f t="shared" si="436"/>
        <v>-3.25</v>
      </c>
      <c r="Y72" s="9">
        <f>IF(OR(Y9="",Y71=""),"",ROUND((Y71+X74)*Y9/12,2))</f>
        <v>-7.16</v>
      </c>
      <c r="Z72" s="9">
        <f>IF(OR(Z9="",Z71=""),"",ROUND((Z69+Z71+Y74+Z66)*Z9/12,2))+Z66</f>
        <v>7.0000000000023377E-2</v>
      </c>
      <c r="AA72" s="9">
        <f>IF(OR(AA9="",AA71=""),"",ROUND((AA69+AA71+Z74)*AA9/12,2))</f>
        <v>-14.53</v>
      </c>
      <c r="AB72" s="9">
        <f>IF(OR(AB9="",AB71=""),"",ROUND((AB69+AB71+AA74)*AB9/12,2))</f>
        <v>-11.8</v>
      </c>
      <c r="AC72" s="9">
        <f t="shared" ref="AC72:AE72" si="437">IF(OR(AC9="",AC71=""),"",ROUND((AC69+AC71+AB74)*AC9/12,2))</f>
        <v>-17.510000000000002</v>
      </c>
      <c r="AD72" s="9">
        <f t="shared" si="437"/>
        <v>-18.39</v>
      </c>
      <c r="AE72" s="9">
        <f t="shared" si="437"/>
        <v>-24.65</v>
      </c>
      <c r="AF72" s="9">
        <f t="shared" ref="AF72" si="438">IF(OR(AF9="",AF71=""),"",ROUND((AF69+AF71+AE74)*AF9/12,2))</f>
        <v>-28.25</v>
      </c>
      <c r="AG72" s="9">
        <f t="shared" ref="AG72" si="439">IF(OR(AG9="",AG71=""),"",ROUND((AG69+AG71+AF74)*AG9/12,2))</f>
        <v>-20.87</v>
      </c>
      <c r="AH72" s="9">
        <f t="shared" ref="AH72" si="440">IF(OR(AH9="",AH71=""),"",ROUND((AH69+AH71+AG74)*AH9/12,2))</f>
        <v>-11.79</v>
      </c>
      <c r="AI72" s="9">
        <f t="shared" ref="AI72" si="441">IF(OR(AI9="",AI71=""),"",ROUND((AI69+AI71+AH74)*AI9/12,2))</f>
        <v>-13.05</v>
      </c>
      <c r="AJ72" s="9">
        <f t="shared" ref="AJ72" si="442">IF(OR(AJ9="",AJ71=""),"",ROUND((AJ69+AJ71+AI74)*AJ9/12,2))</f>
        <v>-13.48</v>
      </c>
      <c r="AK72" s="9">
        <f t="shared" ref="AK72" si="443">IF(OR(AK9="",AK71=""),"",ROUND((AK69+AK71+AJ74)*AK9/12,2))</f>
        <v>-14.03</v>
      </c>
      <c r="AL72" s="9">
        <f t="shared" ref="AL72" si="444">IF(OR(AL9="",AL71=""),"",ROUND((AL69+AL71+AK74)*AL9/12,2))</f>
        <v>-16.3</v>
      </c>
      <c r="AM72" s="9">
        <f t="shared" ref="AM72" si="445">IF(OR(AM9="",AM71=""),"",ROUND((AM69+AM71+AL74)*AM9/12,2))</f>
        <v>-33.03</v>
      </c>
      <c r="AN72" s="9">
        <f t="shared" ref="AN72" si="446">IF(OR(AN9="",AN71=""),"",ROUND((AN69+AN71+AM74)*AN9/12,2))</f>
        <v>-34.06</v>
      </c>
      <c r="AO72" s="9">
        <f t="shared" ref="AO72" si="447">IF(OR(AO9="",AO71=""),"",ROUND((AO69+AO71+AN74)*AO9/12,2))</f>
        <v>-47.68</v>
      </c>
      <c r="AP72" s="9">
        <f t="shared" ref="AP72" si="448">IF(OR(AP9="",AP71=""),"",ROUND((AP69+AP71+AO74)*AP9/12,2))</f>
        <v>-111.07</v>
      </c>
      <c r="AQ72" s="9">
        <f t="shared" ref="AQ72" si="449">IF(OR(AQ9="",AQ71=""),"",ROUND((AQ69+AQ71+AP74)*AQ9/12,2))</f>
        <v>-82.15</v>
      </c>
      <c r="AR72" s="9">
        <f t="shared" ref="AR72" si="450">IF(OR(AR9="",AR71=""),"",ROUND((AR69+AR71+AQ74)*AR9/12,2))</f>
        <v>-127.42</v>
      </c>
      <c r="AS72" s="9">
        <f t="shared" ref="AS72" si="451">IF(OR(AS9="",AS71=""),"",ROUND((AS69+AS71+AR74)*AS9/12,2))</f>
        <v>-180.46</v>
      </c>
      <c r="AT72" s="9">
        <f t="shared" ref="AT72" si="452">IF(OR(AT9="",AT71=""),"",ROUND((AT69+AT71+AS74)*AT9/12,2))</f>
        <v>-210.38</v>
      </c>
      <c r="AU72" s="9">
        <f t="shared" ref="AU72" si="453">IF(OR(AU9="",AU71=""),"",ROUND((AU69+AU71+AT74)*AU9/12,2))</f>
        <v>-213.6</v>
      </c>
      <c r="AV72" s="9">
        <f t="shared" ref="AV72" si="454">IF(OR(AV9="",AV71=""),"",ROUND((AV69+AV71+AU74)*AV9/12,2))</f>
        <v>-198.64</v>
      </c>
      <c r="AW72" s="9">
        <f t="shared" ref="AW72:AZ72" si="455">IF(OR(AW9="",AW71=""),"",ROUND((AW69+AW71+AV74)*AW9/12,2))</f>
        <v>-205.42</v>
      </c>
      <c r="AX72" s="9">
        <f>IF(OR(AX9="",AX71=""),"",ROUND((AX69+AX71+AW74)*AX9/12,2))</f>
        <v>-191.54</v>
      </c>
      <c r="AY72" s="9">
        <f t="shared" si="455"/>
        <v>-166.33</v>
      </c>
      <c r="AZ72" s="9">
        <f t="shared" si="455"/>
        <v>-134.46</v>
      </c>
      <c r="BA72" s="238"/>
    </row>
    <row r="73" spans="1:53" s="5" customFormat="1" hidden="1" outlineLevel="1" x14ac:dyDescent="0.35">
      <c r="A73" s="274"/>
      <c r="B73" s="18" t="s">
        <v>14</v>
      </c>
      <c r="C73" s="104"/>
      <c r="D73" s="104"/>
      <c r="E73" s="104"/>
      <c r="F73" s="9">
        <f t="shared" ref="F73:M73" si="456">IF(OR(F71="",F72=""),"",F71+F72)</f>
        <v>0</v>
      </c>
      <c r="G73" s="9">
        <f t="shared" si="456"/>
        <v>0</v>
      </c>
      <c r="H73" s="9">
        <f t="shared" si="456"/>
        <v>207.41969459981058</v>
      </c>
      <c r="I73" s="9">
        <f t="shared" si="456"/>
        <v>-3536.0640731331473</v>
      </c>
      <c r="J73" s="9">
        <f t="shared" si="456"/>
        <v>-6828.2997850987786</v>
      </c>
      <c r="K73" s="9">
        <f t="shared" si="456"/>
        <v>-7334.7960205780682</v>
      </c>
      <c r="L73" s="9">
        <f t="shared" si="456"/>
        <v>-7125.7270793455427</v>
      </c>
      <c r="M73" s="9">
        <f t="shared" si="456"/>
        <v>-6743.0773178492036</v>
      </c>
      <c r="N73" s="9">
        <f>IF(OR(N71="",N72=""),"",N71+N72)</f>
        <v>-1859.6777979269255</v>
      </c>
      <c r="O73" s="9">
        <f t="shared" ref="O73:AE73" si="457">IF(OR(O71="",O72=""),"",O71+O72)</f>
        <v>-3454.6362381337258</v>
      </c>
      <c r="P73" s="9">
        <f t="shared" si="457"/>
        <v>238.06845004445901</v>
      </c>
      <c r="Q73" s="9">
        <f t="shared" si="457"/>
        <v>-7649.1845926856449</v>
      </c>
      <c r="R73" s="9">
        <f t="shared" si="457"/>
        <v>-17064.770711894311</v>
      </c>
      <c r="S73" s="9">
        <f t="shared" si="457"/>
        <v>-19812.182044639314</v>
      </c>
      <c r="T73" s="9">
        <f t="shared" si="457"/>
        <v>-12728.816928390142</v>
      </c>
      <c r="U73" s="9">
        <f t="shared" si="457"/>
        <v>19166.129277318443</v>
      </c>
      <c r="V73" s="9">
        <f t="shared" si="457"/>
        <v>13087.683413476925</v>
      </c>
      <c r="W73" s="9">
        <f t="shared" si="457"/>
        <v>13431.569407484267</v>
      </c>
      <c r="X73" s="9">
        <f t="shared" si="457"/>
        <v>-2114.4022844831561</v>
      </c>
      <c r="Y73" s="9">
        <f t="shared" si="457"/>
        <v>-14854.344202668672</v>
      </c>
      <c r="Z73" s="9">
        <f>IF(OR(Z71="",Z72=""),"",Z71+Z72)</f>
        <v>-14340.740969499939</v>
      </c>
      <c r="AA73" s="9">
        <f t="shared" si="457"/>
        <v>-12867.695395394754</v>
      </c>
      <c r="AB73" s="9">
        <f t="shared" si="457"/>
        <v>-10164.263913657313</v>
      </c>
      <c r="AC73" s="9">
        <f t="shared" si="457"/>
        <v>-25688.555600950825</v>
      </c>
      <c r="AD73" s="9">
        <f t="shared" si="457"/>
        <v>-15578.933247539964</v>
      </c>
      <c r="AE73" s="9">
        <f t="shared" si="457"/>
        <v>-32850.97428820654</v>
      </c>
      <c r="AF73" s="9">
        <f t="shared" ref="AF73:AW73" si="458">IF(OR(AF71="",AF72=""),"",AF71+AF72)</f>
        <v>-24542.23031437075</v>
      </c>
      <c r="AG73" s="9">
        <f t="shared" si="458"/>
        <v>22298.687616365201</v>
      </c>
      <c r="AH73" s="9">
        <f t="shared" si="458"/>
        <v>16898.854843513051</v>
      </c>
      <c r="AI73" s="9">
        <f t="shared" si="458"/>
        <v>19435.386516194409</v>
      </c>
      <c r="AJ73" s="9">
        <f t="shared" si="458"/>
        <v>-13456.037416235584</v>
      </c>
      <c r="AK73" s="9">
        <f t="shared" si="458"/>
        <v>-34054.832598257752</v>
      </c>
      <c r="AL73" s="9">
        <f t="shared" si="458"/>
        <v>-19131.836054840187</v>
      </c>
      <c r="AM73" s="9">
        <f t="shared" si="458"/>
        <v>-29712.963980376229</v>
      </c>
      <c r="AN73" s="9">
        <f t="shared" si="458"/>
        <v>-26997.15730202894</v>
      </c>
      <c r="AO73" s="9">
        <f t="shared" si="458"/>
        <v>-94529.280095560462</v>
      </c>
      <c r="AP73" s="9">
        <f t="shared" si="458"/>
        <v>-13939.281367771266</v>
      </c>
      <c r="AQ73" s="9">
        <f t="shared" si="458"/>
        <v>77577.425469534428</v>
      </c>
      <c r="AR73" s="9">
        <f t="shared" si="458"/>
        <v>-7479.4754636912066</v>
      </c>
      <c r="AS73" s="9">
        <f t="shared" si="458"/>
        <v>2252.9285178160271</v>
      </c>
      <c r="AT73" s="9">
        <f t="shared" si="458"/>
        <v>8097.8955623246011</v>
      </c>
      <c r="AU73" s="9">
        <f t="shared" si="458"/>
        <v>8082.9970852261231</v>
      </c>
      <c r="AV73" s="9">
        <f t="shared" si="458"/>
        <v>777.94930874575891</v>
      </c>
      <c r="AW73" s="9">
        <f t="shared" si="458"/>
        <v>-325.77076748674324</v>
      </c>
      <c r="AX73" s="9">
        <f>IF(OR(AX71="",AX72=""),"",AX71+AX72)</f>
        <v>-7948.8840845464356</v>
      </c>
      <c r="AY73" s="9">
        <f t="shared" ref="AY73" si="459">IF(OR(AY71="",AY72=""),"",AY71+AY72)</f>
        <v>-3762.7312326436768</v>
      </c>
      <c r="AZ73" s="9">
        <f t="shared" ref="AZ73" si="460">IF(OR(AZ71="",AZ72=""),"",AZ71+AZ72)</f>
        <v>-2126.4145272433989</v>
      </c>
    </row>
    <row r="74" spans="1:53" s="5" customFormat="1" hidden="1" outlineLevel="1" x14ac:dyDescent="0.35">
      <c r="A74" s="274"/>
      <c r="B74" s="20" t="s">
        <v>19</v>
      </c>
      <c r="C74" s="108"/>
      <c r="D74" s="108"/>
      <c r="E74" s="108"/>
      <c r="F74" s="9">
        <f>IF(OR(F73=""),"",F73)</f>
        <v>0</v>
      </c>
      <c r="G74" s="9">
        <f t="shared" ref="G74:M74" si="461">IF(OR(G73="",F74=""),"",G73+F74)</f>
        <v>0</v>
      </c>
      <c r="H74" s="9">
        <f t="shared" si="461"/>
        <v>207.41969459981058</v>
      </c>
      <c r="I74" s="9">
        <f t="shared" si="461"/>
        <v>-3328.6443785333367</v>
      </c>
      <c r="J74" s="9">
        <f t="shared" si="461"/>
        <v>-10156.944163632115</v>
      </c>
      <c r="K74" s="9">
        <f t="shared" si="461"/>
        <v>-17491.740184210183</v>
      </c>
      <c r="L74" s="9">
        <f t="shared" si="461"/>
        <v>-24617.467263555725</v>
      </c>
      <c r="M74" s="9">
        <f t="shared" si="461"/>
        <v>-31360.544581404931</v>
      </c>
      <c r="N74" s="9">
        <f>IF(OR(N73="",M74=""),"",N73+N69+M74)</f>
        <v>-33220.222379331855</v>
      </c>
      <c r="O74" s="9">
        <f>IF(OR(O73="",N74=""),"",O73+O69+N74)</f>
        <v>-36674.858617465579</v>
      </c>
      <c r="P74" s="9">
        <f t="shared" ref="P74:AE74" si="462">IF(OR(P73="",O74=""),"",P73+P69+O74)</f>
        <v>-36436.790167421117</v>
      </c>
      <c r="Q74" s="9">
        <f t="shared" si="462"/>
        <v>-42581.294760106764</v>
      </c>
      <c r="R74" s="9">
        <f t="shared" si="462"/>
        <v>-57054.185472001074</v>
      </c>
      <c r="S74" s="9">
        <f t="shared" si="462"/>
        <v>-74028.017516640393</v>
      </c>
      <c r="T74" s="9">
        <f t="shared" si="462"/>
        <v>-83875.064445030541</v>
      </c>
      <c r="U74" s="9">
        <f t="shared" si="462"/>
        <v>-62458.425167712099</v>
      </c>
      <c r="V74" s="9">
        <f t="shared" si="462"/>
        <v>-46131.341754235174</v>
      </c>
      <c r="W74" s="9">
        <f t="shared" si="462"/>
        <v>-29363.132346750906</v>
      </c>
      <c r="X74" s="9">
        <f t="shared" si="462"/>
        <v>-28093.414631234064</v>
      </c>
      <c r="Y74" s="9">
        <f t="shared" si="462"/>
        <v>-39966.888833902733</v>
      </c>
      <c r="Z74" s="9">
        <f t="shared" si="462"/>
        <v>-51383.949803402669</v>
      </c>
      <c r="AA74" s="9">
        <f t="shared" si="462"/>
        <v>-61266.075198797422</v>
      </c>
      <c r="AB74" s="9">
        <f t="shared" si="462"/>
        <v>-68699.899112454732</v>
      </c>
      <c r="AC74" s="9">
        <f t="shared" si="462"/>
        <v>-90491.304713405552</v>
      </c>
      <c r="AD74" s="9">
        <f t="shared" si="462"/>
        <v>-103286.21796094552</v>
      </c>
      <c r="AE74" s="9">
        <f t="shared" si="462"/>
        <v>-131417.89224915206</v>
      </c>
      <c r="AF74" s="9">
        <f t="shared" ref="AF74" si="463">IF(OR(AF73="",AE74=""),"",AF73+AF69+AE74)</f>
        <v>-151165.5225635228</v>
      </c>
      <c r="AG74" s="9">
        <f t="shared" ref="AG74" si="464">IF(OR(AG73="",AF74=""),"",AG73+AG69+AF74)</f>
        <v>-124239.48494715759</v>
      </c>
      <c r="AH74" s="9">
        <f t="shared" ref="AH74" si="465">IF(OR(AH73="",AG74=""),"",AH73+AH69+AG74)</f>
        <v>-101435.26010364454</v>
      </c>
      <c r="AI74" s="9">
        <f t="shared" ref="AI74" si="466">IF(OR(AI73="",AH74=""),"",AI73+AI69+AH74)</f>
        <v>-76378.203587450131</v>
      </c>
      <c r="AJ74" s="9">
        <f t="shared" ref="AJ74" si="467">IF(OR(AJ73="",AI74=""),"",AJ73+AJ69+AI74)</f>
        <v>-83755.511003685708</v>
      </c>
      <c r="AK74" s="9">
        <f t="shared" ref="AK74" si="468">IF(OR(AK73="",AJ74=""),"",AK73+AK69+AJ74)</f>
        <v>-112238.76360194346</v>
      </c>
      <c r="AL74" s="9">
        <f t="shared" ref="AL74" si="469">IF(OR(AL73="",AK74=""),"",AL73+AL69+AK74)</f>
        <v>-127671.70965678364</v>
      </c>
      <c r="AM74" s="9">
        <f t="shared" ref="AM74" si="470">IF(OR(AM73="",AL74=""),"",AM73+AM69+AL74)</f>
        <v>-152198.53363715988</v>
      </c>
      <c r="AN74" s="9">
        <f t="shared" ref="AN74" si="471">IF(OR(AN73="",AM74=""),"",AN73+AN69+AM74)</f>
        <v>-174363.38093918882</v>
      </c>
      <c r="AO74" s="9">
        <f t="shared" ref="AO74" si="472">IF(OR(AO73="",AN74=""),"",AO73+AO69+AN74)</f>
        <v>-193449.93103474929</v>
      </c>
      <c r="AP74" s="9">
        <f t="shared" ref="AP74" si="473">IF(OR(AP73="",AO74=""),"",AP73+AP69+AO74)</f>
        <v>-193757.93240252056</v>
      </c>
      <c r="AQ74" s="9">
        <f t="shared" ref="AQ74" si="474">IF(OR(AQ73="",AP74=""),"",AQ73+AQ69+AP74)</f>
        <v>-164277.77693298613</v>
      </c>
      <c r="AR74" s="9">
        <f t="shared" ref="AR74" si="475">IF(OR(AR73="",AQ74=""),"",AR73+AR69+AQ74)</f>
        <v>-161129.03239667733</v>
      </c>
      <c r="AS74" s="9">
        <f t="shared" ref="AS74" si="476">IF(OR(AS73="",AR74=""),"",AS73+AS69+AR74)</f>
        <v>-145920.15387886131</v>
      </c>
      <c r="AT74" s="9">
        <f t="shared" ref="AT74" si="477">IF(OR(AT73="",AS74=""),"",AT73+AT69+AS74)</f>
        <v>-122958.67831653671</v>
      </c>
      <c r="AU74" s="9">
        <f t="shared" ref="AU74" si="478">IF(OR(AU73="",AT74=""),"",AU73+AU69+AT74)</f>
        <v>-100178.93123131059</v>
      </c>
      <c r="AV74" s="9">
        <f t="shared" ref="AV74" si="479">IF(OR(AV73="",AU74=""),"",AV73+AV69+AU74)</f>
        <v>-84079.361922564829</v>
      </c>
      <c r="AW74" s="9">
        <f t="shared" ref="AW74:AZ74" si="480">IF(OR(AW73="",AV74=""),"",AW73+AW69+AV74)</f>
        <v>-71242.422690051579</v>
      </c>
      <c r="AX74" s="9">
        <f>IF(OR(AX73="",AW74=""),"",AX73+AX69+AW74)</f>
        <v>-66427.336774598021</v>
      </c>
      <c r="AY74" s="9">
        <f t="shared" si="480"/>
        <v>-57683.248007241695</v>
      </c>
      <c r="AZ74" s="9">
        <f t="shared" si="480"/>
        <v>-46632.342534485098</v>
      </c>
    </row>
    <row r="75" spans="1:53" s="5" customFormat="1" ht="8.25" hidden="1" customHeight="1" outlineLevel="1" x14ac:dyDescent="0.35">
      <c r="A75" s="44"/>
      <c r="B75" s="13"/>
      <c r="C75" s="109"/>
      <c r="D75" s="109"/>
      <c r="E75" s="109"/>
      <c r="F75" s="107"/>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row>
    <row r="76" spans="1:53" s="2" customFormat="1" ht="15" customHeight="1" collapsed="1" x14ac:dyDescent="0.35">
      <c r="A76" s="275" t="s">
        <v>65</v>
      </c>
      <c r="B76" s="92"/>
      <c r="C76" s="34"/>
      <c r="D76" s="34"/>
      <c r="E76" s="34"/>
      <c r="F76" s="31"/>
      <c r="G76" s="31"/>
      <c r="H76" s="31"/>
      <c r="I76" s="31"/>
      <c r="J76" s="31"/>
      <c r="K76" s="117"/>
      <c r="L76" s="31"/>
      <c r="M76" s="31"/>
      <c r="N76" s="31"/>
      <c r="O76" s="9"/>
      <c r="P76" s="31"/>
      <c r="Q76" s="31"/>
      <c r="R76" s="31"/>
      <c r="S76" s="31"/>
      <c r="T76" s="31"/>
      <c r="U76" s="31"/>
      <c r="V76" s="31"/>
      <c r="W76" s="31"/>
      <c r="X76" s="31"/>
      <c r="Y76" s="31"/>
      <c r="Z76" s="31"/>
      <c r="AA76" s="174"/>
      <c r="AB76" s="174"/>
      <c r="AC76" s="173">
        <v>-50000</v>
      </c>
      <c r="AD76" s="31"/>
      <c r="AE76" s="31"/>
      <c r="AF76" s="31"/>
      <c r="AG76" s="201"/>
      <c r="AH76" s="31"/>
      <c r="AI76" s="31"/>
      <c r="AJ76" s="31"/>
      <c r="AK76" s="173">
        <v>-153732.06</v>
      </c>
      <c r="AL76" s="173">
        <f>'MEEIA 3 adjs'!BW36</f>
        <v>-31.022527238338242</v>
      </c>
      <c r="AM76" s="31"/>
      <c r="AN76" s="31"/>
      <c r="AO76" s="242">
        <v>13638.822646076675</v>
      </c>
      <c r="AP76" s="31"/>
      <c r="AQ76" s="31"/>
      <c r="AR76" s="31"/>
      <c r="AS76" s="31"/>
      <c r="AT76" s="31"/>
      <c r="AU76" s="31"/>
      <c r="AV76" s="31"/>
      <c r="AW76" s="31"/>
      <c r="AX76" s="31"/>
      <c r="AY76" s="31"/>
      <c r="AZ76" s="31"/>
    </row>
    <row r="77" spans="1:53" s="4" customFormat="1" x14ac:dyDescent="0.35">
      <c r="A77" s="275"/>
      <c r="B77" s="92" t="s">
        <v>66</v>
      </c>
      <c r="C77" s="104"/>
      <c r="D77" s="104"/>
      <c r="E77" s="104"/>
      <c r="F77" s="24"/>
      <c r="G77" s="24"/>
      <c r="H77" s="24"/>
      <c r="I77" s="24"/>
      <c r="J77" s="24"/>
      <c r="K77" s="24"/>
      <c r="L77" s="23"/>
      <c r="M77" s="24"/>
      <c r="N77" s="24"/>
      <c r="O77" s="23"/>
      <c r="P77" s="24"/>
      <c r="Q77" s="24"/>
      <c r="R77" s="24"/>
      <c r="S77" s="24"/>
      <c r="T77" s="24"/>
      <c r="U77" s="24"/>
      <c r="V77" s="24"/>
      <c r="W77" s="24"/>
      <c r="X77" s="24"/>
      <c r="Y77" s="24"/>
      <c r="Z77" s="24"/>
      <c r="AA77" s="24"/>
      <c r="AB77" s="24">
        <v>0</v>
      </c>
      <c r="AC77" s="24">
        <v>0</v>
      </c>
      <c r="AD77" s="24">
        <v>0</v>
      </c>
      <c r="AE77" s="24">
        <v>0</v>
      </c>
      <c r="AF77" s="24">
        <v>0</v>
      </c>
      <c r="AG77" s="24">
        <v>0</v>
      </c>
      <c r="AH77" s="24">
        <v>0</v>
      </c>
      <c r="AI77" s="24">
        <v>0</v>
      </c>
      <c r="AJ77" s="24">
        <v>0</v>
      </c>
      <c r="AK77" s="24">
        <v>0</v>
      </c>
      <c r="AL77" s="24">
        <v>0</v>
      </c>
      <c r="AM77" s="24">
        <v>0</v>
      </c>
      <c r="AN77" s="24">
        <v>0</v>
      </c>
      <c r="AO77" s="24">
        <v>-7656.73</v>
      </c>
      <c r="AP77" s="24">
        <v>-17111.14</v>
      </c>
      <c r="AQ77" s="24">
        <v>-14510.33</v>
      </c>
      <c r="AR77" s="24">
        <v>-14291.36</v>
      </c>
      <c r="AS77" s="24">
        <v>-17612.43</v>
      </c>
      <c r="AT77" s="24">
        <v>-22392.62</v>
      </c>
      <c r="AU77" s="24">
        <v>-21403.22</v>
      </c>
      <c r="AV77" s="24">
        <v>-19009.3</v>
      </c>
      <c r="AW77" s="24">
        <v>-14623.32</v>
      </c>
      <c r="AX77" s="127">
        <f>SUM('[115]OAR (M3)'!W29:W33)</f>
        <v>-13695.697538195143</v>
      </c>
      <c r="AY77" s="127">
        <f>SUM('[115]OAR (M3)'!X29:X33)</f>
        <v>-17248.962438985294</v>
      </c>
      <c r="AZ77" s="127">
        <f>SUM('[115]OAR (M3)'!Y29:Y33)</f>
        <v>-20223.520114987652</v>
      </c>
    </row>
    <row r="78" spans="1:53" s="4" customFormat="1" x14ac:dyDescent="0.35">
      <c r="A78" s="275"/>
      <c r="B78" s="92" t="s">
        <v>67</v>
      </c>
      <c r="C78" s="104"/>
      <c r="D78" s="104"/>
      <c r="E78" s="104"/>
      <c r="F78" s="9"/>
      <c r="G78" s="9"/>
      <c r="H78" s="9"/>
      <c r="I78" s="10"/>
      <c r="J78" s="10"/>
      <c r="K78" s="10"/>
      <c r="L78" s="10"/>
      <c r="M78" s="10"/>
      <c r="N78" s="10"/>
      <c r="O78" s="10"/>
      <c r="P78" s="10"/>
      <c r="Q78" s="10"/>
      <c r="R78" s="10"/>
      <c r="S78" s="10"/>
      <c r="T78" s="10"/>
      <c r="U78" s="10"/>
      <c r="V78" s="10"/>
      <c r="W78" s="10"/>
      <c r="X78" s="10"/>
      <c r="Y78" s="10"/>
      <c r="Z78" s="10"/>
      <c r="AA78" s="10"/>
      <c r="AB78" s="10">
        <f>IF(OR(AB77=""),"",AB76-AB77)</f>
        <v>0</v>
      </c>
      <c r="AC78" s="10">
        <f>IF(OR(AC77=""),"",AC76-AC77)</f>
        <v>-50000</v>
      </c>
      <c r="AD78" s="10">
        <f>IF(OR(AD77=""),"",AD76-AD77)</f>
        <v>0</v>
      </c>
      <c r="AE78" s="10">
        <f t="shared" ref="AE78:AF78" si="481">IF(OR(AE77=""),"",AE76-AE77)</f>
        <v>0</v>
      </c>
      <c r="AF78" s="10">
        <f t="shared" si="481"/>
        <v>0</v>
      </c>
      <c r="AG78" s="10">
        <f t="shared" ref="AG78:AW78" si="482">IF(OR(AG77=""),"",AG76-AG77)</f>
        <v>0</v>
      </c>
      <c r="AH78" s="10">
        <f t="shared" si="482"/>
        <v>0</v>
      </c>
      <c r="AI78" s="10">
        <f>IF(OR(AI77=""),"",AI76-AI77)</f>
        <v>0</v>
      </c>
      <c r="AJ78" s="10">
        <f t="shared" si="482"/>
        <v>0</v>
      </c>
      <c r="AK78" s="10">
        <f>IF(OR(AK77=""),"",AK76-AK77)</f>
        <v>-153732.06</v>
      </c>
      <c r="AL78" s="124">
        <v>1793.31</v>
      </c>
      <c r="AM78" s="10">
        <f t="shared" si="482"/>
        <v>0</v>
      </c>
      <c r="AN78" s="10">
        <f t="shared" si="482"/>
        <v>0</v>
      </c>
      <c r="AO78" s="10">
        <f>IF(OR(AO77=""),"",AO76-AO77)-AO76</f>
        <v>7656.73</v>
      </c>
      <c r="AP78" s="10">
        <f t="shared" si="482"/>
        <v>17111.14</v>
      </c>
      <c r="AQ78" s="10">
        <f t="shared" si="482"/>
        <v>14510.33</v>
      </c>
      <c r="AR78" s="10">
        <f t="shared" si="482"/>
        <v>14291.36</v>
      </c>
      <c r="AS78" s="10">
        <f t="shared" si="482"/>
        <v>17612.43</v>
      </c>
      <c r="AT78" s="10">
        <f t="shared" si="482"/>
        <v>22392.62</v>
      </c>
      <c r="AU78" s="10">
        <f t="shared" si="482"/>
        <v>21403.22</v>
      </c>
      <c r="AV78" s="10">
        <f t="shared" si="482"/>
        <v>19009.3</v>
      </c>
      <c r="AW78" s="10">
        <f t="shared" si="482"/>
        <v>14623.32</v>
      </c>
      <c r="AX78" s="10">
        <f t="shared" ref="AX78:AY78" si="483">IF(OR(AX77=""),"",AX76-AX77)</f>
        <v>13695.697538195143</v>
      </c>
      <c r="AY78" s="10">
        <f t="shared" si="483"/>
        <v>17248.962438985294</v>
      </c>
      <c r="AZ78" s="10">
        <f t="shared" ref="AZ78" si="484">IF(OR(AZ77=""),"",AZ76-AZ77)</f>
        <v>20223.520114987652</v>
      </c>
    </row>
    <row r="79" spans="1:53" s="4" customFormat="1" x14ac:dyDescent="0.35">
      <c r="A79" s="275"/>
      <c r="B79" s="93" t="s">
        <v>8</v>
      </c>
      <c r="C79" s="104"/>
      <c r="D79" s="104"/>
      <c r="E79" s="104"/>
      <c r="F79" s="10"/>
      <c r="G79" s="10"/>
      <c r="H79" s="10"/>
      <c r="I79" s="10"/>
      <c r="J79" s="10"/>
      <c r="K79" s="10"/>
      <c r="L79" s="10"/>
      <c r="M79" s="10"/>
      <c r="N79" s="10"/>
      <c r="O79" s="10"/>
      <c r="P79" s="10"/>
      <c r="Q79" s="10"/>
      <c r="R79" s="10"/>
      <c r="S79" s="10"/>
      <c r="T79" s="10"/>
      <c r="U79" s="10"/>
      <c r="V79" s="10"/>
      <c r="W79" s="10"/>
      <c r="X79" s="10" t="str">
        <f>IF(OR(X9="",X78=""),"",((X78)*X9)/12)</f>
        <v/>
      </c>
      <c r="Y79" s="10" t="str">
        <f>IF(OR(Y9="",Y78=""),"",((Y78+X82)*Y9)/12)</f>
        <v/>
      </c>
      <c r="Z79" s="10" t="str">
        <f t="shared" ref="Z79:AA79" si="485">IF(OR(Z9="",Z78=""),"",((Z78+Y82)*Z9)/12)</f>
        <v/>
      </c>
      <c r="AA79" s="10" t="str">
        <f t="shared" si="485"/>
        <v/>
      </c>
      <c r="AB79" s="10">
        <f>IF(OR(AB9="",AB78=""),"",((AB78)*AB9)/12)</f>
        <v>0</v>
      </c>
      <c r="AC79" s="10">
        <f>IF(OR(AC9="",AC78=""),"",((AC78+AB82)*AC9)/12)</f>
        <v>-9.6757083333333345</v>
      </c>
      <c r="AD79" s="10">
        <f>IF(OR(AD9="",AD78=""),"",((AD78+AC82)*AD9)/12)</f>
        <v>-8.9048062060853468</v>
      </c>
      <c r="AE79" s="10">
        <f t="shared" ref="AE79:AF79" si="486">IF(OR(AE9="",AE78=""),"",((AE78+AD82)*AE9)/12)</f>
        <v>-9.38361075097888</v>
      </c>
      <c r="AF79" s="10">
        <f t="shared" si="486"/>
        <v>-9.3498929752559405</v>
      </c>
      <c r="AG79" s="10">
        <f t="shared" ref="AG79" si="487">IF(OR(AG9="",AG78=""),"",((AG78+AF82)*AG9)/12)</f>
        <v>-8.4087289230078603</v>
      </c>
      <c r="AH79" s="10">
        <f t="shared" ref="AH79" si="488">IF(OR(AH9="",AH78=""),"",((AH78+AG82)*AH9)/12)</f>
        <v>-5.8198588030395255</v>
      </c>
      <c r="AI79" s="10">
        <f>IF(OR(AI9="",AI78=""),"",((AI78+AH82)*AI9)/12)</f>
        <v>-8.55460111412191</v>
      </c>
      <c r="AJ79" s="10">
        <f>IF(OR(AJ9="",AJ78=""),"",((AJ78+AI82)*AJ9)/12)</f>
        <v>-8.0610523030172327</v>
      </c>
      <c r="AK79" s="10">
        <f>IF(OR(AK9="",AK76=""),"",((AK76+AJ82)*AK9)/12)</f>
        <v>-25.475027282426108</v>
      </c>
      <c r="AL79" s="124">
        <f>IF(OR(AL9="",AL78=""),"",((AL78+AK82+AL76)*AL9)/12)+AL76-1793.31</f>
        <v>-1850.1308041894602</v>
      </c>
      <c r="AM79" s="10">
        <f>IF(OR(AM9="",AM78=""),"",((AM78+AL82)*AM9)/12)</f>
        <v>-44.253379291805963</v>
      </c>
      <c r="AN79" s="10">
        <f>IF(OR(AN9="",AN78=""),"",((AN78+AM82)*AN9)/12)</f>
        <v>-39.842192194484952</v>
      </c>
      <c r="AO79" s="10">
        <f>IF(OR(AO9="",AO78=""),"",((AO78+AN82+AO76)*AO9)/12)</f>
        <v>-45.035874622677056</v>
      </c>
      <c r="AP79" s="10">
        <f t="shared" ref="AP79" si="489">IF(OR(AP9="",AP78=""),"",((AP78+AO82)*AP9)/12)</f>
        <v>-94.987688879169866</v>
      </c>
      <c r="AQ79" s="10">
        <f t="shared" ref="AQ79" si="490">IF(OR(AQ9="",AQ78=""),"",((AQ78+AP82)*AQ9)/12)</f>
        <v>-75.647217688230427</v>
      </c>
      <c r="AR79" s="10">
        <f t="shared" ref="AR79" si="491">IF(OR(AR9="",AR78=""),"",((AR78+AQ82)*AR9)/12)</f>
        <v>-108.40399633979678</v>
      </c>
      <c r="AS79" s="10">
        <f t="shared" ref="AS79" si="492">IF(OR(AS9="",AS78=""),"",((AS78+AR82)*AS9)/12)</f>
        <v>-147.93018376899707</v>
      </c>
      <c r="AT79" s="10">
        <f t="shared" ref="AT79" si="493">IF(OR(AT9="",AT78=""),"",((AT78+AS82)*AT9)/12)</f>
        <v>-166.63504960123996</v>
      </c>
      <c r="AU79" s="10">
        <f t="shared" ref="AU79" si="494">IF(OR(AU9="",AU78=""),"",((AU78+AT82)*AU9)/12)</f>
        <v>-162.3657218016298</v>
      </c>
      <c r="AV79" s="10">
        <f t="shared" ref="AV79" si="495">IF(OR(AV9="",AV78=""),"",((AV78+AU82)*AV9)/12)</f>
        <v>-135.31602872263318</v>
      </c>
      <c r="AW79" s="10">
        <f t="shared" ref="AW79:AZ79" si="496">IF(OR(AW9="",AW78=""),"",((AW78+AV82)*AW9)/12)</f>
        <v>-123.3444286647695</v>
      </c>
      <c r="AX79" s="127">
        <f>IF(OR(AX9="",AX78=""),"",((AX78+AW82)*AX9)/12)</f>
        <v>-84.096350354399888</v>
      </c>
      <c r="AY79" s="127">
        <f t="shared" si="496"/>
        <v>-34.45956276150001</v>
      </c>
      <c r="AZ79" s="127">
        <f t="shared" si="496"/>
        <v>23.922489574742499</v>
      </c>
    </row>
    <row r="80" spans="1:53" s="4" customFormat="1" x14ac:dyDescent="0.35">
      <c r="A80" s="275"/>
      <c r="B80" s="93" t="s">
        <v>6</v>
      </c>
      <c r="C80" s="104"/>
      <c r="D80" s="104"/>
      <c r="E80" s="104"/>
      <c r="F80" s="10"/>
      <c r="G80" s="10"/>
      <c r="H80" s="10"/>
      <c r="I80" s="10"/>
      <c r="J80" s="10"/>
      <c r="K80" s="10"/>
      <c r="L80" s="10"/>
      <c r="M80" s="10"/>
      <c r="N80" s="10"/>
      <c r="O80" s="10"/>
      <c r="P80" s="10"/>
      <c r="Q80" s="10"/>
      <c r="R80" s="10"/>
      <c r="S80" s="10"/>
      <c r="T80" s="10"/>
      <c r="U80" s="10"/>
      <c r="V80" s="10"/>
      <c r="W80" s="10"/>
      <c r="X80" s="10" t="str">
        <f>IF(OR(X79=""),"",X79)</f>
        <v/>
      </c>
      <c r="Y80" s="10" t="str">
        <f>IF(OR(X80="",Y79=""),"",X80+Y79)</f>
        <v/>
      </c>
      <c r="Z80" s="10" t="str">
        <f t="shared" ref="Z80:AA80" si="497">IF(OR(Y80="",Z79=""),"",Y80+Z79)</f>
        <v/>
      </c>
      <c r="AA80" s="10" t="str">
        <f t="shared" si="497"/>
        <v/>
      </c>
      <c r="AB80" s="10">
        <f>IF(OR(AB79=""),"",AB79)</f>
        <v>0</v>
      </c>
      <c r="AC80" s="10">
        <f>IF(OR(AB80="",AC79=""),"",AB80+AC79)</f>
        <v>-9.6757083333333345</v>
      </c>
      <c r="AD80" s="10">
        <f>IF(OR(AC80="",AD79=""),"",AC80+AD79)</f>
        <v>-18.580514539418679</v>
      </c>
      <c r="AE80" s="10">
        <f t="shared" ref="AE80:AF80" si="498">IF(OR(AD80="",AE79=""),"",AD80+AE79)</f>
        <v>-27.964125290397561</v>
      </c>
      <c r="AF80" s="10">
        <f t="shared" si="498"/>
        <v>-37.314018265653502</v>
      </c>
      <c r="AG80" s="10">
        <f t="shared" ref="AG80" si="499">IF(OR(AF80="",AG79=""),"",AF80+AG79)</f>
        <v>-45.722747188661359</v>
      </c>
      <c r="AH80" s="10">
        <f t="shared" ref="AH80" si="500">IF(OR(AG80="",AH79=""),"",AG80+AH79)</f>
        <v>-51.542605991700881</v>
      </c>
      <c r="AI80" s="10">
        <f t="shared" ref="AI80" si="501">IF(OR(AH80="",AI79=""),"",AH80+AI79)</f>
        <v>-60.09720710582279</v>
      </c>
      <c r="AJ80" s="10">
        <f t="shared" ref="AJ80" si="502">IF(OR(AI80="",AJ79=""),"",AI80+AJ79)</f>
        <v>-68.158259408840024</v>
      </c>
      <c r="AK80" s="10">
        <f>IF(OR(AJ80="",AK79=""),"",AJ80+AK79)</f>
        <v>-93.633286691266136</v>
      </c>
      <c r="AL80" s="10">
        <f>IF(OR(AK80="",AL79=""),"",AK80+AL79)</f>
        <v>-1943.7640908807264</v>
      </c>
      <c r="AM80" s="10">
        <f t="shared" ref="AM80" si="503">IF(OR(AL80="",AM79=""),"",AL80+AM79)</f>
        <v>-1988.0174701725323</v>
      </c>
      <c r="AN80" s="10">
        <f t="shared" ref="AN80" si="504">IF(OR(AM80="",AN79=""),"",AM80+AN79)</f>
        <v>-2027.8596623670173</v>
      </c>
      <c r="AO80" s="10">
        <f>IF(OR(AN80="",AO79=""),"",AN80+AO79)</f>
        <v>-2072.8955369896944</v>
      </c>
      <c r="AP80" s="10">
        <f t="shared" ref="AP80" si="505">IF(OR(AO80="",AP79=""),"",AO80+AP79)</f>
        <v>-2167.8832258688644</v>
      </c>
      <c r="AQ80" s="10">
        <f t="shared" ref="AQ80" si="506">IF(OR(AP80="",AQ79=""),"",AP80+AQ79)</f>
        <v>-2243.5304435570947</v>
      </c>
      <c r="AR80" s="10">
        <f t="shared" ref="AR80" si="507">IF(OR(AQ80="",AR79=""),"",AQ80+AR79)</f>
        <v>-2351.9344398968915</v>
      </c>
      <c r="AS80" s="10">
        <f t="shared" ref="AS80" si="508">IF(OR(AR80="",AS79=""),"",AR80+AS79)</f>
        <v>-2499.8646236658888</v>
      </c>
      <c r="AT80" s="10">
        <f t="shared" ref="AT80" si="509">IF(OR(AS80="",AT79=""),"",AS80+AT79)</f>
        <v>-2666.4996732671289</v>
      </c>
      <c r="AU80" s="10">
        <f t="shared" ref="AU80" si="510">IF(OR(AT80="",AU79=""),"",AT80+AU79)</f>
        <v>-2828.8653950687585</v>
      </c>
      <c r="AV80" s="10">
        <f t="shared" ref="AV80" si="511">IF(OR(AU80="",AV79=""),"",AU80+AV79)</f>
        <v>-2964.1814237913918</v>
      </c>
      <c r="AW80" s="10">
        <f t="shared" ref="AW80:AZ80" si="512">IF(OR(AV80="",AW79=""),"",AV80+AW79)</f>
        <v>-3087.5258524561614</v>
      </c>
      <c r="AX80" s="10">
        <f t="shared" si="512"/>
        <v>-3171.6222028105612</v>
      </c>
      <c r="AY80" s="10">
        <f t="shared" si="512"/>
        <v>-3206.0817655720612</v>
      </c>
      <c r="AZ80" s="10">
        <f t="shared" si="512"/>
        <v>-3182.1592759973187</v>
      </c>
    </row>
    <row r="81" spans="1:52" s="4" customFormat="1" x14ac:dyDescent="0.35">
      <c r="A81" s="275"/>
      <c r="B81" s="92" t="s">
        <v>69</v>
      </c>
      <c r="C81" s="104"/>
      <c r="D81" s="104"/>
      <c r="E81" s="104"/>
      <c r="F81" s="10"/>
      <c r="G81" s="10"/>
      <c r="H81" s="10"/>
      <c r="I81" s="10"/>
      <c r="J81" s="10"/>
      <c r="K81" s="10"/>
      <c r="L81" s="10"/>
      <c r="M81" s="10"/>
      <c r="N81" s="10"/>
      <c r="O81" s="10"/>
      <c r="P81" s="10"/>
      <c r="Q81" s="10"/>
      <c r="R81" s="10"/>
      <c r="S81" s="10"/>
      <c r="T81" s="10"/>
      <c r="U81" s="10"/>
      <c r="V81" s="10"/>
      <c r="W81" s="10"/>
      <c r="X81" s="10" t="str">
        <f>IF(OR(X79="",X78=""),"",X78+X79)</f>
        <v/>
      </c>
      <c r="Y81" s="10" t="str">
        <f>IF(OR(Y79="",Y78=""),"",Y78+Y79)</f>
        <v/>
      </c>
      <c r="Z81" s="10" t="str">
        <f>IF(OR(Z79="",Z78=""),"",Z78+Z79)</f>
        <v/>
      </c>
      <c r="AA81" s="10" t="str">
        <f t="shared" ref="AA81" si="513">IF(OR(AA79="",AA78=""),"",AA78+AA79)</f>
        <v/>
      </c>
      <c r="AB81" s="10">
        <f>IF(OR(AB79="",AB78=""),"",AB78+AB79)</f>
        <v>0</v>
      </c>
      <c r="AC81" s="10">
        <f>IF(OR(AC79="",AC78=""),"",AC78+AC79)</f>
        <v>-50009.675708333336</v>
      </c>
      <c r="AD81" s="10">
        <f>IF(OR(AD79="",AD78=""),"",AD78+AD79)</f>
        <v>-8.9048062060853468</v>
      </c>
      <c r="AE81" s="10">
        <f t="shared" ref="AE81:AF81" si="514">IF(OR(AE79="",AE78=""),"",AE78+AE79)</f>
        <v>-9.38361075097888</v>
      </c>
      <c r="AF81" s="10">
        <f t="shared" si="514"/>
        <v>-9.3498929752559405</v>
      </c>
      <c r="AG81" s="10">
        <f t="shared" ref="AG81:AW81" si="515">IF(OR(AG79="",AG78=""),"",AG78+AG79)</f>
        <v>-8.4087289230078603</v>
      </c>
      <c r="AH81" s="10">
        <f t="shared" si="515"/>
        <v>-5.8198588030395255</v>
      </c>
      <c r="AI81" s="10">
        <f t="shared" si="515"/>
        <v>-8.55460111412191</v>
      </c>
      <c r="AJ81" s="10">
        <f t="shared" si="515"/>
        <v>-8.0610523030172327</v>
      </c>
      <c r="AK81" s="10">
        <f>IF(OR(AK79="",AK78=""),"",AK76+AK79)</f>
        <v>-153757.53502728243</v>
      </c>
      <c r="AL81" s="10">
        <f>IF(OR(AL79="",AL78=""),"",AL78+AL79)</f>
        <v>-56.820804189460205</v>
      </c>
      <c r="AM81" s="10">
        <f t="shared" si="515"/>
        <v>-44.253379291805963</v>
      </c>
      <c r="AN81" s="10">
        <f t="shared" si="515"/>
        <v>-39.842192194484952</v>
      </c>
      <c r="AO81" s="10">
        <f>IF(OR(AO79="",AO78=""),"",AO78+AO79)</f>
        <v>7611.6941253773221</v>
      </c>
      <c r="AP81" s="10">
        <f t="shared" si="515"/>
        <v>17016.15231112083</v>
      </c>
      <c r="AQ81" s="10">
        <f t="shared" si="515"/>
        <v>14434.682782311769</v>
      </c>
      <c r="AR81" s="10">
        <f t="shared" si="515"/>
        <v>14182.956003660203</v>
      </c>
      <c r="AS81" s="10">
        <f t="shared" si="515"/>
        <v>17464.499816231004</v>
      </c>
      <c r="AT81" s="10">
        <f t="shared" si="515"/>
        <v>22225.984950398761</v>
      </c>
      <c r="AU81" s="10">
        <f t="shared" si="515"/>
        <v>21240.854278198371</v>
      </c>
      <c r="AV81" s="10">
        <f t="shared" si="515"/>
        <v>18873.983971277365</v>
      </c>
      <c r="AW81" s="10">
        <f t="shared" si="515"/>
        <v>14499.97557133523</v>
      </c>
      <c r="AX81" s="10">
        <f t="shared" ref="AX81:AY81" si="516">IF(OR(AX79="",AX78=""),"",AX78+AX79)</f>
        <v>13611.601187840743</v>
      </c>
      <c r="AY81" s="10">
        <f t="shared" si="516"/>
        <v>17214.502876223793</v>
      </c>
      <c r="AZ81" s="10">
        <f>IF(OR(AZ79="",AZ78=""),"",AZ78+AZ79)</f>
        <v>20247.442604562395</v>
      </c>
    </row>
    <row r="82" spans="1:52" s="4" customFormat="1" x14ac:dyDescent="0.35">
      <c r="A82" s="275"/>
      <c r="B82" s="94" t="s">
        <v>70</v>
      </c>
      <c r="C82" s="108"/>
      <c r="D82" s="108"/>
      <c r="E82" s="108"/>
      <c r="F82" s="10"/>
      <c r="G82" s="10"/>
      <c r="H82" s="10"/>
      <c r="I82" s="10"/>
      <c r="J82" s="10"/>
      <c r="K82" s="10"/>
      <c r="L82" s="10"/>
      <c r="M82" s="10"/>
      <c r="N82" s="10"/>
      <c r="O82" s="10"/>
      <c r="P82" s="10"/>
      <c r="Q82" s="10"/>
      <c r="R82" s="10"/>
      <c r="S82" s="10"/>
      <c r="T82" s="10"/>
      <c r="U82" s="10"/>
      <c r="V82" s="10"/>
      <c r="W82" s="10"/>
      <c r="X82" s="10" t="str">
        <f>IF(OR(X81=""),"",X81)</f>
        <v/>
      </c>
      <c r="Y82" s="10" t="str">
        <f>IF(OR(Y81="",X82=""),"",Y81+X82)</f>
        <v/>
      </c>
      <c r="Z82" s="10" t="str">
        <f t="shared" ref="Z82" si="517">IF(OR(Z81="",Y82=""),"",Z81+Y82)</f>
        <v/>
      </c>
      <c r="AA82" s="10">
        <v>0</v>
      </c>
      <c r="AB82" s="10">
        <f>IF(OR(AB81=""),"",AB81)</f>
        <v>0</v>
      </c>
      <c r="AC82" s="10">
        <f>IF(OR(AC81="",AB82=""),"",AC81+AB82)</f>
        <v>-50009.675708333336</v>
      </c>
      <c r="AD82" s="10">
        <f>IF(OR(AD81="",AC82=""),"",AD81+AC82)</f>
        <v>-50018.580514539419</v>
      </c>
      <c r="AE82" s="10">
        <f t="shared" ref="AE82:AF82" si="518">IF(OR(AE81="",AD82=""),"",AE81+AD82)</f>
        <v>-50027.964125290397</v>
      </c>
      <c r="AF82" s="10">
        <f t="shared" si="518"/>
        <v>-50037.31401826565</v>
      </c>
      <c r="AG82" s="10">
        <f t="shared" ref="AG82" si="519">IF(OR(AG81="",AF82=""),"",AG81+AF82)</f>
        <v>-50045.722747188658</v>
      </c>
      <c r="AH82" s="10">
        <f t="shared" ref="AH82" si="520">IF(OR(AH81="",AG82=""),"",AH81+AG82)</f>
        <v>-50051.542605991701</v>
      </c>
      <c r="AI82" s="10">
        <f t="shared" ref="AI82" si="521">IF(OR(AI81="",AH82=""),"",AI81+AH82)</f>
        <v>-50060.09720710582</v>
      </c>
      <c r="AJ82" s="10">
        <f t="shared" ref="AJ82" si="522">IF(OR(AJ81="",AI82=""),"",AJ81+AI82)</f>
        <v>-50068.15825940884</v>
      </c>
      <c r="AK82" s="10">
        <f>IF(OR(AK81="",AJ82=""),"",AK81+AJ82)</f>
        <v>-203825.69328669127</v>
      </c>
      <c r="AL82" s="10">
        <f>IF(OR(AL81="",AK82=""),"",AL81+AK82)</f>
        <v>-203882.51409088072</v>
      </c>
      <c r="AM82" s="10">
        <f t="shared" ref="AM82" si="523">IF(OR(AM81="",AL82=""),"",AM81+AL82)</f>
        <v>-203926.76747017252</v>
      </c>
      <c r="AN82" s="10">
        <f t="shared" ref="AN82" si="524">IF(OR(AN81="",AM82=""),"",AN81+AM82)</f>
        <v>-203966.609662367</v>
      </c>
      <c r="AO82" s="10">
        <f>IF(OR(AO81="",AN82=""),"",AO81+AN82+AO76)</f>
        <v>-182716.09289091302</v>
      </c>
      <c r="AP82" s="10">
        <f t="shared" ref="AP82" si="525">IF(OR(AP81="",AO82=""),"",AP81+AO82)</f>
        <v>-165699.94057979219</v>
      </c>
      <c r="AQ82" s="10">
        <f t="shared" ref="AQ82" si="526">IF(OR(AQ81="",AP82=""),"",AQ81+AP82)</f>
        <v>-151265.25779748042</v>
      </c>
      <c r="AR82" s="10">
        <f t="shared" ref="AR82" si="527">IF(OR(AR81="",AQ82=""),"",AR81+AQ82)</f>
        <v>-137082.30179382022</v>
      </c>
      <c r="AS82" s="10">
        <f t="shared" ref="AS82" si="528">IF(OR(AS81="",AR82=""),"",AS81+AR82)</f>
        <v>-119617.80197758922</v>
      </c>
      <c r="AT82" s="10">
        <f t="shared" ref="AT82" si="529">IF(OR(AT81="",AS82=""),"",AT81+AS82)</f>
        <v>-97391.817027190453</v>
      </c>
      <c r="AU82" s="10">
        <f t="shared" ref="AU82" si="530">IF(OR(AU81="",AT82=""),"",AU81+AT82)</f>
        <v>-76150.962748992082</v>
      </c>
      <c r="AV82" s="10">
        <f t="shared" ref="AV82" si="531">IF(OR(AV81="",AU82=""),"",AV81+AU82)</f>
        <v>-57276.978777714714</v>
      </c>
      <c r="AW82" s="10">
        <f t="shared" ref="AW82:AZ82" si="532">IF(OR(AW81="",AV82=""),"",AW81+AV82)</f>
        <v>-42777.003206379486</v>
      </c>
      <c r="AX82" s="10">
        <f t="shared" si="532"/>
        <v>-29165.402018538742</v>
      </c>
      <c r="AY82" s="10">
        <f t="shared" si="532"/>
        <v>-11950.899142314949</v>
      </c>
      <c r="AZ82" s="10">
        <f t="shared" si="532"/>
        <v>8296.5434622474459</v>
      </c>
    </row>
    <row r="83" spans="1:52" s="5" customFormat="1" ht="8.25" customHeight="1" x14ac:dyDescent="0.35">
      <c r="A83" s="44"/>
      <c r="B83" s="13"/>
      <c r="C83" s="109"/>
      <c r="D83" s="109"/>
      <c r="E83" s="109"/>
      <c r="F83" s="107"/>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row>
    <row r="84" spans="1:52" s="5" customFormat="1" x14ac:dyDescent="0.35">
      <c r="A84" s="138"/>
      <c r="B84" s="57"/>
      <c r="C84" s="139"/>
      <c r="D84" s="139"/>
      <c r="E84" s="139"/>
      <c r="F84" s="140"/>
      <c r="G84" s="9"/>
      <c r="H84" s="9"/>
      <c r="I84" s="9"/>
      <c r="J84" s="9"/>
      <c r="K84" s="9"/>
      <c r="L84" s="9"/>
      <c r="M84" s="9"/>
      <c r="N84" s="9"/>
      <c r="O84" s="9"/>
      <c r="P84" s="9"/>
      <c r="Q84" s="141">
        <v>0</v>
      </c>
      <c r="R84" s="9"/>
      <c r="S84" s="9"/>
      <c r="T84" s="9"/>
      <c r="U84" s="9"/>
      <c r="V84" s="9"/>
      <c r="W84" s="142">
        <f>6583255-343874</f>
        <v>6239381</v>
      </c>
      <c r="X84" s="9"/>
      <c r="Y84" s="9"/>
      <c r="Z84" s="9"/>
      <c r="AA84" s="9"/>
      <c r="AB84" s="9"/>
      <c r="AC84" s="9"/>
      <c r="AD84" s="9"/>
      <c r="AE84" s="9"/>
      <c r="AF84" s="9"/>
      <c r="AG84" s="9"/>
      <c r="AH84" s="9"/>
      <c r="AI84" s="9"/>
      <c r="AJ84" s="124">
        <f>10195155.1942426-100000-613446.594539144</f>
        <v>9481708.5997034572</v>
      </c>
      <c r="AK84" s="9"/>
      <c r="AL84" s="9"/>
      <c r="AM84" s="9"/>
      <c r="AN84" s="9"/>
      <c r="AO84" s="242">
        <v>-171934.79257672251</v>
      </c>
      <c r="AP84" s="9"/>
      <c r="AQ84" s="9"/>
      <c r="AR84" s="9"/>
      <c r="AS84" s="9"/>
      <c r="AT84" s="9"/>
      <c r="AU84" s="124">
        <f>12767185.73-1019499.3</f>
        <v>11747686.43</v>
      </c>
      <c r="AV84" s="9"/>
      <c r="AW84" s="124">
        <v>-197.32</v>
      </c>
      <c r="AX84" s="9"/>
      <c r="AY84" s="9"/>
      <c r="AZ84" s="9"/>
    </row>
    <row r="85" spans="1:52" x14ac:dyDescent="0.35">
      <c r="A85" s="276" t="s">
        <v>81</v>
      </c>
      <c r="B85" s="57" t="s">
        <v>72</v>
      </c>
      <c r="C85" s="105"/>
      <c r="D85" s="105"/>
      <c r="E85" s="105"/>
      <c r="F85" s="66"/>
      <c r="G85" s="66"/>
      <c r="H85" s="66"/>
      <c r="I85" s="66"/>
      <c r="J85" s="66"/>
      <c r="K85" s="66"/>
      <c r="L85" s="66"/>
      <c r="M85" s="66"/>
      <c r="N85" s="66"/>
      <c r="O85" s="66"/>
      <c r="P85" s="66"/>
      <c r="Q85" s="66"/>
      <c r="R85" s="66"/>
      <c r="S85" s="66"/>
      <c r="T85" s="66"/>
      <c r="U85" s="66"/>
      <c r="V85" s="66"/>
      <c r="W85" s="66"/>
      <c r="X85" s="66"/>
      <c r="Y85" s="66"/>
      <c r="Z85" s="66"/>
      <c r="AA85" s="66"/>
      <c r="AB85" s="66"/>
      <c r="AC85" s="129">
        <f t="shared" ref="AC85:AN85" si="533">6239380.68/12</f>
        <v>519948.38999999996</v>
      </c>
      <c r="AD85" s="66">
        <f t="shared" si="533"/>
        <v>519948.38999999996</v>
      </c>
      <c r="AE85" s="66">
        <f t="shared" si="533"/>
        <v>519948.38999999996</v>
      </c>
      <c r="AF85" s="66">
        <f t="shared" si="533"/>
        <v>519948.38999999996</v>
      </c>
      <c r="AG85" s="66">
        <f t="shared" si="533"/>
        <v>519948.38999999996</v>
      </c>
      <c r="AH85" s="66">
        <f t="shared" si="533"/>
        <v>519948.38999999996</v>
      </c>
      <c r="AI85" s="66">
        <f t="shared" si="533"/>
        <v>519948.38999999996</v>
      </c>
      <c r="AJ85" s="66">
        <f>6239380.68/12</f>
        <v>519948.38999999996</v>
      </c>
      <c r="AK85" s="66">
        <f t="shared" si="533"/>
        <v>519948.38999999996</v>
      </c>
      <c r="AL85" s="66">
        <f t="shared" si="533"/>
        <v>519948.38999999996</v>
      </c>
      <c r="AM85" s="66">
        <f t="shared" si="533"/>
        <v>519948.38999999996</v>
      </c>
      <c r="AN85" s="66">
        <f t="shared" si="533"/>
        <v>519948.38999999996</v>
      </c>
      <c r="AO85" s="66">
        <f t="shared" ref="AO85:AZ85" si="534">(9481709-19830)/12</f>
        <v>788489.91666666663</v>
      </c>
      <c r="AP85" s="66">
        <f t="shared" si="534"/>
        <v>788489.91666666663</v>
      </c>
      <c r="AQ85" s="66">
        <f t="shared" si="534"/>
        <v>788489.91666666663</v>
      </c>
      <c r="AR85" s="66">
        <f t="shared" si="534"/>
        <v>788489.91666666663</v>
      </c>
      <c r="AS85" s="66">
        <f t="shared" si="534"/>
        <v>788489.91666666663</v>
      </c>
      <c r="AT85" s="66">
        <f t="shared" si="534"/>
        <v>788489.91666666663</v>
      </c>
      <c r="AU85" s="66">
        <f t="shared" si="534"/>
        <v>788489.91666666663</v>
      </c>
      <c r="AV85" s="66">
        <f t="shared" si="534"/>
        <v>788489.91666666663</v>
      </c>
      <c r="AW85" s="66">
        <f t="shared" si="534"/>
        <v>788489.91666666663</v>
      </c>
      <c r="AX85" s="66">
        <f t="shared" si="534"/>
        <v>788489.91666666663</v>
      </c>
      <c r="AY85" s="66">
        <f t="shared" si="534"/>
        <v>788489.91666666663</v>
      </c>
      <c r="AZ85" s="66">
        <f t="shared" si="534"/>
        <v>788489.91666666663</v>
      </c>
    </row>
    <row r="86" spans="1:52" x14ac:dyDescent="0.35">
      <c r="A86" s="276"/>
      <c r="B86" s="57" t="s">
        <v>73</v>
      </c>
      <c r="C86" s="104"/>
      <c r="D86" s="104"/>
      <c r="E86" s="104"/>
      <c r="F86" s="24">
        <v>0</v>
      </c>
      <c r="G86" s="24">
        <v>0</v>
      </c>
      <c r="H86" s="24">
        <v>0</v>
      </c>
      <c r="I86" s="24">
        <v>0</v>
      </c>
      <c r="J86" s="24">
        <v>0</v>
      </c>
      <c r="K86" s="24">
        <v>0</v>
      </c>
      <c r="L86" s="24">
        <v>0</v>
      </c>
      <c r="M86" s="24">
        <v>0</v>
      </c>
      <c r="N86" s="24">
        <v>0</v>
      </c>
      <c r="O86" s="24">
        <v>0</v>
      </c>
      <c r="P86" s="24">
        <v>0</v>
      </c>
      <c r="Q86" s="24">
        <v>0</v>
      </c>
      <c r="R86" s="24">
        <v>0</v>
      </c>
      <c r="S86" s="24">
        <v>0</v>
      </c>
      <c r="T86" s="24">
        <v>0</v>
      </c>
      <c r="U86" s="24">
        <v>0</v>
      </c>
      <c r="V86" s="24">
        <v>0</v>
      </c>
      <c r="W86" s="24">
        <v>0</v>
      </c>
      <c r="X86" s="24">
        <v>0</v>
      </c>
      <c r="Y86" s="24">
        <v>0</v>
      </c>
      <c r="Z86" s="24">
        <v>0</v>
      </c>
      <c r="AA86" s="24">
        <v>0</v>
      </c>
      <c r="AB86" s="24">
        <v>0</v>
      </c>
      <c r="AC86" s="24">
        <v>285104.73</v>
      </c>
      <c r="AD86" s="24">
        <v>522237.53</v>
      </c>
      <c r="AE86" s="24">
        <v>417802.47</v>
      </c>
      <c r="AF86" s="24">
        <v>410351.7</v>
      </c>
      <c r="AG86" s="24">
        <v>482532.64</v>
      </c>
      <c r="AH86" s="24">
        <v>608996.41</v>
      </c>
      <c r="AI86" s="24">
        <v>606777.69999999995</v>
      </c>
      <c r="AJ86" s="24">
        <v>608116.79</v>
      </c>
      <c r="AK86" s="24">
        <v>477518.56</v>
      </c>
      <c r="AL86" s="24">
        <v>427851.21</v>
      </c>
      <c r="AM86" s="24">
        <v>515247.16</v>
      </c>
      <c r="AN86" s="24">
        <v>600539.75</v>
      </c>
      <c r="AO86" s="24">
        <v>2037727.16</v>
      </c>
      <c r="AP86" s="24">
        <v>795668.03</v>
      </c>
      <c r="AQ86" s="24">
        <v>562116.91</v>
      </c>
      <c r="AR86" s="24">
        <v>655732.05000000005</v>
      </c>
      <c r="AS86" s="24">
        <v>784339.36</v>
      </c>
      <c r="AT86" s="24">
        <v>965777.55</v>
      </c>
      <c r="AU86" s="24">
        <v>941053.79</v>
      </c>
      <c r="AV86" s="24">
        <v>844973.28</v>
      </c>
      <c r="AW86" s="24">
        <v>672120.46</v>
      </c>
      <c r="AX86" s="127">
        <f>SUM('[115]EOR (M3)'!X29:X33)</f>
        <v>646251.32738865772</v>
      </c>
      <c r="AY86" s="127">
        <f>SUM('[115]EOR (M3)'!Y29:Y33)</f>
        <v>800515.75385320501</v>
      </c>
      <c r="AZ86" s="127">
        <f>SUM('[115]EOR (M3)'!Z29:Z33)</f>
        <v>931000.3782291268</v>
      </c>
    </row>
    <row r="87" spans="1:52" x14ac:dyDescent="0.35">
      <c r="A87" s="276"/>
      <c r="B87" s="57" t="s">
        <v>74</v>
      </c>
      <c r="C87" s="104"/>
      <c r="D87" s="104"/>
      <c r="E87" s="104"/>
      <c r="F87" s="10"/>
      <c r="G87" s="10"/>
      <c r="H87" s="10"/>
      <c r="I87" s="10"/>
      <c r="J87" s="10"/>
      <c r="K87" s="10"/>
      <c r="L87" s="10"/>
      <c r="M87" s="10"/>
      <c r="N87" s="10" t="str">
        <f>IF(OR(N85="",N86=""),"",N85-N86)</f>
        <v/>
      </c>
      <c r="O87" s="10" t="str">
        <f>IF(OR(O85="",O86=""),"",O85-O86)</f>
        <v/>
      </c>
      <c r="P87" s="10" t="str">
        <f>IF(OR(P85="",P86=""),"",P85-P86)</f>
        <v/>
      </c>
      <c r="Q87" s="10" t="str">
        <f t="shared" ref="Q87:AA87" si="535">IF(OR(Q85="",Q86=""),"",Q85-Q86)</f>
        <v/>
      </c>
      <c r="R87" s="10" t="str">
        <f t="shared" si="535"/>
        <v/>
      </c>
      <c r="S87" s="10" t="str">
        <f t="shared" si="535"/>
        <v/>
      </c>
      <c r="T87" s="10" t="str">
        <f t="shared" si="535"/>
        <v/>
      </c>
      <c r="U87" s="10" t="str">
        <f t="shared" si="535"/>
        <v/>
      </c>
      <c r="V87" s="10" t="str">
        <f t="shared" si="535"/>
        <v/>
      </c>
      <c r="W87" s="10" t="str">
        <f t="shared" si="535"/>
        <v/>
      </c>
      <c r="X87" s="10" t="str">
        <f t="shared" si="535"/>
        <v/>
      </c>
      <c r="Y87" s="10" t="str">
        <f t="shared" si="535"/>
        <v/>
      </c>
      <c r="Z87" s="10" t="str">
        <f t="shared" si="535"/>
        <v/>
      </c>
      <c r="AA87" s="10" t="str">
        <f t="shared" si="535"/>
        <v/>
      </c>
      <c r="AB87" s="10" t="str">
        <f>IF(OR(AB85="",AB86=""),"",AB85-AB86)</f>
        <v/>
      </c>
      <c r="AC87" s="9">
        <f>IF(OR(AC85="",AC86=""),"",AC85-AC86)</f>
        <v>234843.65999999997</v>
      </c>
      <c r="AD87" s="9">
        <f>IF(OR(AD85="",AD86=""),"",AD85-AD86)</f>
        <v>-2289.1400000000722</v>
      </c>
      <c r="AE87" s="9">
        <f t="shared" ref="AE87:AF87" si="536">IF(OR(AE85="",AE86=""),"",AE85-AE86)</f>
        <v>102145.91999999998</v>
      </c>
      <c r="AF87" s="9">
        <f t="shared" si="536"/>
        <v>109596.68999999994</v>
      </c>
      <c r="AG87" s="9">
        <f t="shared" ref="AG87:AV87" si="537">IF(OR(AG85="",AG86=""),"",AG85-AG86)</f>
        <v>37415.749999999942</v>
      </c>
      <c r="AH87" s="9">
        <f t="shared" si="537"/>
        <v>-89048.020000000077</v>
      </c>
      <c r="AI87" s="9">
        <f t="shared" si="537"/>
        <v>-86829.31</v>
      </c>
      <c r="AJ87" s="9">
        <f>IF(OR(AJ85="",AJ86=""),"",AJ85-AJ86)</f>
        <v>-88168.400000000081</v>
      </c>
      <c r="AK87" s="9">
        <f>IF(OR(AK85="",AK86=""),"",AK85-AK86)</f>
        <v>42429.829999999958</v>
      </c>
      <c r="AL87" s="9">
        <f t="shared" si="537"/>
        <v>92097.179999999935</v>
      </c>
      <c r="AM87" s="9">
        <f t="shared" si="537"/>
        <v>4701.2299999999814</v>
      </c>
      <c r="AN87" s="9">
        <f>IF(OR(AN85="",AN86=""),"",AN85-AN86)</f>
        <v>-80591.360000000044</v>
      </c>
      <c r="AO87" s="9">
        <f>IF(OR(AO85="",AO86=""),"",AO85-AO86)</f>
        <v>-1249237.2433333332</v>
      </c>
      <c r="AP87" s="9">
        <f t="shared" si="537"/>
        <v>-7178.1133333334001</v>
      </c>
      <c r="AQ87" s="9">
        <f t="shared" si="537"/>
        <v>226373.0066666666</v>
      </c>
      <c r="AR87" s="9">
        <f t="shared" si="537"/>
        <v>132757.86666666658</v>
      </c>
      <c r="AS87" s="9">
        <f t="shared" si="537"/>
        <v>4150.5566666666418</v>
      </c>
      <c r="AT87" s="9">
        <f t="shared" si="537"/>
        <v>-177287.63333333342</v>
      </c>
      <c r="AU87" s="9">
        <f>IF(OR(AU85="",AU86=""),"",AU85-AU86)</f>
        <v>-152563.87333333341</v>
      </c>
      <c r="AV87" s="9">
        <f t="shared" si="537"/>
        <v>-56483.3633333334</v>
      </c>
      <c r="AW87" s="9">
        <f>IF(OR(AW85="",AW86=""),"",AW85-AW86)</f>
        <v>116369.45666666667</v>
      </c>
      <c r="AX87" s="9">
        <f t="shared" ref="AX87:AY87" si="538">IF(OR(AX85="",AX86=""),"",AX85-AX86)</f>
        <v>142238.58927800891</v>
      </c>
      <c r="AY87" s="9">
        <f t="shared" si="538"/>
        <v>-12025.837186538382</v>
      </c>
      <c r="AZ87" s="9">
        <f t="shared" ref="AZ87" si="539">IF(OR(AZ85="",AZ86=""),"",AZ85-AZ86)</f>
        <v>-142510.46156246017</v>
      </c>
    </row>
    <row r="88" spans="1:52" x14ac:dyDescent="0.35">
      <c r="A88" s="276"/>
      <c r="B88" s="57" t="s">
        <v>4</v>
      </c>
      <c r="C88" s="106"/>
      <c r="D88" s="106"/>
      <c r="E88" s="106"/>
      <c r="F88" s="67"/>
      <c r="G88" s="67"/>
      <c r="H88" s="67"/>
      <c r="I88" s="67"/>
      <c r="J88" s="67"/>
      <c r="K88" s="118"/>
      <c r="L88" s="67"/>
      <c r="M88" s="67"/>
      <c r="N88" s="67"/>
      <c r="O88" s="67" t="str">
        <f t="shared" ref="O88:AA88" si="540">IF(O87="","",O19)</f>
        <v/>
      </c>
      <c r="P88" s="67" t="str">
        <f t="shared" si="540"/>
        <v/>
      </c>
      <c r="Q88" s="67" t="str">
        <f t="shared" si="540"/>
        <v/>
      </c>
      <c r="R88" s="67" t="str">
        <f t="shared" si="540"/>
        <v/>
      </c>
      <c r="S88" s="67" t="str">
        <f t="shared" si="540"/>
        <v/>
      </c>
      <c r="T88" s="67" t="str">
        <f t="shared" si="540"/>
        <v/>
      </c>
      <c r="U88" s="67" t="str">
        <f t="shared" si="540"/>
        <v/>
      </c>
      <c r="V88" s="67" t="str">
        <f t="shared" si="540"/>
        <v/>
      </c>
      <c r="W88" s="67" t="str">
        <f t="shared" si="540"/>
        <v/>
      </c>
      <c r="X88" s="67" t="str">
        <f t="shared" si="540"/>
        <v/>
      </c>
      <c r="Y88" s="67" t="str">
        <f t="shared" si="540"/>
        <v/>
      </c>
      <c r="Z88" s="67" t="str">
        <f t="shared" si="540"/>
        <v/>
      </c>
      <c r="AA88" s="67" t="str">
        <f t="shared" si="540"/>
        <v/>
      </c>
      <c r="AB88" s="67" t="str">
        <f>IF(AB87="","",AB19)</f>
        <v/>
      </c>
      <c r="AC88" s="67">
        <f>IF(AC87="","",AC9)</f>
        <v>2.3221700000000001E-3</v>
      </c>
      <c r="AD88" s="67">
        <f>IF(AD87="","",AD9)</f>
        <v>2.1367399999999998E-3</v>
      </c>
      <c r="AE88" s="67">
        <f t="shared" ref="AE88:AF88" si="541">IF(AE87="","",AE9)</f>
        <v>2.2512299999999999E-3</v>
      </c>
      <c r="AF88" s="67">
        <f t="shared" si="541"/>
        <v>2.2427200000000001E-3</v>
      </c>
      <c r="AG88" s="67">
        <f t="shared" ref="AG88:AV88" si="542">IF(AG87="","",AG9)</f>
        <v>2.01659E-3</v>
      </c>
      <c r="AH88" s="67">
        <f t="shared" si="542"/>
        <v>1.3954900000000001E-3</v>
      </c>
      <c r="AI88" s="67">
        <f t="shared" si="542"/>
        <v>2.0509899999999999E-3</v>
      </c>
      <c r="AJ88" s="67">
        <f>IF(AJ87="","",AJ9)</f>
        <v>1.9323299999999999E-3</v>
      </c>
      <c r="AK88" s="67">
        <f>IF(AK87="","",AK9)</f>
        <v>1.5E-3</v>
      </c>
      <c r="AL88" s="67">
        <f t="shared" si="542"/>
        <v>1.5320900000000001E-3</v>
      </c>
      <c r="AM88" s="67">
        <f t="shared" si="542"/>
        <v>2.6046400000000001E-3</v>
      </c>
      <c r="AN88" s="67">
        <f t="shared" si="542"/>
        <v>2.3444999999999998E-3</v>
      </c>
      <c r="AO88" s="67">
        <f>IF(AO87="","",AO9)</f>
        <v>2.9584899999999998E-3</v>
      </c>
      <c r="AP88" s="67">
        <f t="shared" si="542"/>
        <v>6.8829599999999996E-3</v>
      </c>
      <c r="AQ88" s="67">
        <f t="shared" si="542"/>
        <v>6.0041599999999997E-3</v>
      </c>
      <c r="AR88" s="67">
        <f t="shared" si="542"/>
        <v>9.4970499999999999E-3</v>
      </c>
      <c r="AS88" s="67">
        <f t="shared" si="542"/>
        <v>1.4858659999999999E-2</v>
      </c>
      <c r="AT88" s="67">
        <f t="shared" si="542"/>
        <v>2.0566899999999999E-2</v>
      </c>
      <c r="AU88" s="67">
        <f>IF(AU87="","",AU9)</f>
        <v>2.564054E-2</v>
      </c>
      <c r="AV88" s="67">
        <f t="shared" si="542"/>
        <v>2.8416960000000002E-2</v>
      </c>
      <c r="AW88" s="67">
        <f>IF(AW87="","",AW9)</f>
        <v>3.4701200000000001E-2</v>
      </c>
      <c r="AX88" s="67">
        <f t="shared" ref="AX88:AY88" si="543">IF(AX87="","",AX9)</f>
        <v>3.4701200000000001E-2</v>
      </c>
      <c r="AY88" s="67">
        <f t="shared" si="543"/>
        <v>3.4701200000000001E-2</v>
      </c>
      <c r="AZ88" s="67">
        <f t="shared" ref="AZ88" si="544">IF(AZ87="","",AZ9)</f>
        <v>3.4701200000000001E-2</v>
      </c>
    </row>
    <row r="89" spans="1:52" x14ac:dyDescent="0.35">
      <c r="A89" s="276"/>
      <c r="B89" s="57" t="s">
        <v>49</v>
      </c>
      <c r="C89" s="104"/>
      <c r="D89" s="104"/>
      <c r="E89" s="104"/>
      <c r="F89" s="10"/>
      <c r="G89" s="10"/>
      <c r="H89" s="10"/>
      <c r="I89" s="10"/>
      <c r="J89" s="10"/>
      <c r="K89" s="10"/>
      <c r="L89" s="10"/>
      <c r="M89" s="10"/>
      <c r="N89" s="10" t="str">
        <f>IF(OR(N88="",N87=""),"",(N87*N88)/12)</f>
        <v/>
      </c>
      <c r="O89" s="10"/>
      <c r="P89" s="10"/>
      <c r="Q89" s="10"/>
      <c r="R89" s="10"/>
      <c r="S89" s="10"/>
      <c r="T89" s="10"/>
      <c r="U89" s="10"/>
      <c r="V89" s="10"/>
      <c r="W89" s="10"/>
      <c r="X89" s="10"/>
      <c r="Y89" s="10"/>
      <c r="Z89" s="10"/>
      <c r="AA89" s="10"/>
      <c r="AB89" s="10"/>
      <c r="AC89" s="10">
        <f>IF(OR(AC88="",AC87=""),"",(AC87*AC88)/12)</f>
        <v>45.445575161850002</v>
      </c>
      <c r="AD89" s="10">
        <f>IF(OR(AD88="",AD87="",AC92=""),"",((AC92+AD87)*AD88)/12)</f>
        <v>41.417137536922588</v>
      </c>
      <c r="AE89" s="10">
        <f t="shared" ref="AE89:AF89" si="545">IF(OR(AE88="",AE87="",AD92=""),"",((AD92+AE87)*AE88)/12)</f>
        <v>62.806934957159051</v>
      </c>
      <c r="AF89" s="10">
        <f t="shared" si="545"/>
        <v>83.064143875482543</v>
      </c>
      <c r="AG89" s="10">
        <f t="shared" ref="AG89" si="546">IF(OR(AG88="",AG87="",AF92=""),"",((AF92+AG87)*AG88)/12)</f>
        <v>80.99055877632199</v>
      </c>
      <c r="AH89" s="10">
        <f t="shared" ref="AH89" si="547">IF(OR(AH88="",AH87="",AG92=""),"",((AG92+AH87)*AH88)/12)</f>
        <v>45.699807056250876</v>
      </c>
      <c r="AI89" s="10">
        <f t="shared" ref="AI89" si="548">IF(OR(AI88="",AI87="",AH92=""),"",((AH92+AI87)*AI88)/12)</f>
        <v>52.333569170584276</v>
      </c>
      <c r="AJ89" s="10">
        <f>IF(OR(AJ88="",AJ87="",AI92=""),"",((AI92+AJ87)*AJ88)/12)</f>
        <v>35.116701313934492</v>
      </c>
      <c r="AK89" s="10">
        <f>IF(OR(AK88="",AK87="",AJ92=""),"",((AJ92+AK87)*AK88)/12)</f>
        <v>32.567981803481018</v>
      </c>
      <c r="AL89" s="10">
        <f t="shared" ref="AL89" si="549">IF(OR(AL88="",AL87="",AK92=""),"",((AK92+AL87)*AL88)/12)</f>
        <v>45.027308292983584</v>
      </c>
      <c r="AM89" s="10">
        <f t="shared" ref="AM89" si="550">IF(OR(AM88="",AM87="",AL92=""),"",((AL92+AM87)*AM88)/12)</f>
        <v>77.579171951312262</v>
      </c>
      <c r="AN89" s="10">
        <f t="shared" ref="AN89" si="551">IF(OR(AN88="",AN87="",AM92=""),"",((AM92+AN87)*AN88)/12)</f>
        <v>54.100525163113389</v>
      </c>
      <c r="AO89" s="10">
        <f>IF(OR(AO88="",AO87="",AN92=""),"",((AN92+AO87+'MEEIA 2 calcs'!BW103)*AO88)/12)</f>
        <v>-277.20628046448553</v>
      </c>
      <c r="AP89" s="10">
        <f t="shared" ref="AP89" si="552">IF(OR(AP88="",AP87="",AO92=""),"",((AO92+AP87)*AP88)/12)</f>
        <v>-649.19972718297527</v>
      </c>
      <c r="AQ89" s="10">
        <f t="shared" ref="AQ89" si="553">IF(OR(AQ88="",AQ87="",AP92=""),"",((AP92+AQ87)*AQ88)/12)</f>
        <v>-453.37129213395292</v>
      </c>
      <c r="AR89" s="10">
        <f t="shared" ref="AR89" si="554">IF(OR(AR88="",AR87="",AQ92=""),"",((AQ92+AR87)*AR88)/12)</f>
        <v>-612.40923602319651</v>
      </c>
      <c r="AS89" s="10">
        <f t="shared" ref="AS89" si="555">IF(OR(AS88="",AS87="",AR92=""),"",((AR92+AS87)*AS88)/12)</f>
        <v>-953.76711086387024</v>
      </c>
      <c r="AT89" s="10">
        <f t="shared" ref="AT89" si="556">IF(OR(AT88="",AT87="",AS92=""),"",((AS92+AT87)*AT88)/12)</f>
        <v>-1625.66451086953</v>
      </c>
      <c r="AU89" s="10">
        <f>IF(OR(AU88="",AU87="",AT92=""),"",((AT92+AU87)*AU88)/12)</f>
        <v>-2356.1575967605281</v>
      </c>
      <c r="AV89" s="10">
        <f t="shared" ref="AV89" si="557">IF(OR(AV88="",AV87="",AU92=""),"",((AU92+AV87)*AV88)/12)</f>
        <v>-2750.6247615729239</v>
      </c>
      <c r="AW89" s="10">
        <f>IF(OR(AW88="",AW87="",AV92=""),"",((AV92+AW87)*AW88)/12)</f>
        <v>-3030.3497534615949</v>
      </c>
      <c r="AX89" s="127">
        <f t="shared" ref="AX89:AZ89" si="558">IF(OR(AX88="",AX87="",AW92=""),"",((AW92+AX87)*AX88)/12)</f>
        <v>-2627.7920066791603</v>
      </c>
      <c r="AY89" s="127">
        <f t="shared" si="558"/>
        <v>-2670.1668831258007</v>
      </c>
      <c r="AZ89" s="127">
        <f t="shared" si="558"/>
        <v>-3089.9953851104642</v>
      </c>
    </row>
    <row r="90" spans="1:52" x14ac:dyDescent="0.35">
      <c r="A90" s="276"/>
      <c r="B90" s="58" t="s">
        <v>6</v>
      </c>
      <c r="C90" s="104"/>
      <c r="D90" s="104"/>
      <c r="E90" s="104"/>
      <c r="F90" s="10"/>
      <c r="G90" s="10"/>
      <c r="H90" s="10"/>
      <c r="I90" s="10"/>
      <c r="J90" s="10"/>
      <c r="K90" s="10"/>
      <c r="L90" s="10"/>
      <c r="M90" s="10"/>
      <c r="N90" s="10" t="str">
        <f>N89</f>
        <v/>
      </c>
      <c r="O90" s="10"/>
      <c r="P90" s="10"/>
      <c r="Q90" s="10"/>
      <c r="R90" s="10"/>
      <c r="S90" s="10"/>
      <c r="T90" s="10"/>
      <c r="U90" s="10"/>
      <c r="V90" s="10"/>
      <c r="W90" s="10"/>
      <c r="X90" s="10"/>
      <c r="Y90" s="10"/>
      <c r="Z90" s="10"/>
      <c r="AA90" s="10"/>
      <c r="AB90" s="10"/>
      <c r="AC90" s="10">
        <f>AC89</f>
        <v>45.445575161850002</v>
      </c>
      <c r="AD90" s="10">
        <f>IF(OR(AC90="",AD89=""),"",AC90+AD89)</f>
        <v>86.862712698772583</v>
      </c>
      <c r="AE90" s="10">
        <f t="shared" ref="AE90:AF90" si="559">IF(OR(AD90="",AE89=""),"",AD90+AE89)</f>
        <v>149.66964765593164</v>
      </c>
      <c r="AF90" s="10">
        <f t="shared" si="559"/>
        <v>232.73379153141417</v>
      </c>
      <c r="AG90" s="10">
        <f t="shared" ref="AG90" si="560">IF(OR(AF90="",AG89=""),"",AF90+AG89)</f>
        <v>313.72435030773613</v>
      </c>
      <c r="AH90" s="10">
        <f t="shared" ref="AH90" si="561">IF(OR(AG90="",AH89=""),"",AG90+AH89)</f>
        <v>359.42415736398698</v>
      </c>
      <c r="AI90" s="10">
        <f t="shared" ref="AI90" si="562">IF(OR(AH90="",AI89=""),"",AH90+AI89)</f>
        <v>411.75772653457125</v>
      </c>
      <c r="AJ90" s="10">
        <f>IF(OR(AI90="",AJ89=""),"",AI90+AJ89)</f>
        <v>446.87442784850572</v>
      </c>
      <c r="AK90" s="10">
        <f>IF(OR(AJ90="",AK89=""),"",AJ90+AK89)</f>
        <v>479.44240965198674</v>
      </c>
      <c r="AL90" s="10">
        <f t="shared" ref="AL90" si="563">IF(OR(AK90="",AL89=""),"",AK90+AL89)</f>
        <v>524.46971794497028</v>
      </c>
      <c r="AM90" s="10">
        <f t="shared" ref="AM90" si="564">IF(OR(AL90="",AM89=""),"",AL90+AM89)</f>
        <v>602.0488898962825</v>
      </c>
      <c r="AN90" s="10">
        <f t="shared" ref="AN90" si="565">IF(OR(AM90="",AN89=""),"",AM90+AN89)</f>
        <v>656.14941505939589</v>
      </c>
      <c r="AO90" s="10">
        <f>IF(OR(AN90="",AO89=""),"",AN90+AO89)</f>
        <v>378.94313459491036</v>
      </c>
      <c r="AP90" s="10">
        <f>IF(OR(AO90="",AP89=""),"",AO90+AP89)</f>
        <v>-270.2565925880649</v>
      </c>
      <c r="AQ90" s="10">
        <f t="shared" ref="AQ90" si="566">IF(OR(AP90="",AQ89=""),"",AP90+AQ89)</f>
        <v>-723.62788472201782</v>
      </c>
      <c r="AR90" s="10">
        <f t="shared" ref="AR90" si="567">IF(OR(AQ90="",AR89=""),"",AQ90+AR89)</f>
        <v>-1336.0371207452145</v>
      </c>
      <c r="AS90" s="10">
        <f t="shared" ref="AS90" si="568">IF(OR(AR90="",AS89=""),"",AR90+AS89)</f>
        <v>-2289.8042316090846</v>
      </c>
      <c r="AT90" s="10">
        <f t="shared" ref="AT90" si="569">IF(OR(AS90="",AT89=""),"",AS90+AT89)</f>
        <v>-3915.4687424786143</v>
      </c>
      <c r="AU90" s="10">
        <f>IF(OR(AT90="",AU89=""),"",AT90+AU89)</f>
        <v>-6271.6263392391429</v>
      </c>
      <c r="AV90" s="10">
        <f t="shared" ref="AV90" si="570">IF(OR(AU90="",AV89=""),"",AU90+AV89)</f>
        <v>-9022.2511008120673</v>
      </c>
      <c r="AW90" s="10">
        <f>IF(OR(AV90="",AW89=""),"",AV90+AW89)</f>
        <v>-12052.600854273662</v>
      </c>
      <c r="AX90" s="10">
        <f t="shared" ref="AX90:AZ90" si="571">IF(OR(AW90="",AX89=""),"",AW90+AX89)</f>
        <v>-14680.392860952823</v>
      </c>
      <c r="AY90" s="10">
        <f t="shared" si="571"/>
        <v>-17350.559744078622</v>
      </c>
      <c r="AZ90" s="10">
        <f t="shared" si="571"/>
        <v>-20440.555129189088</v>
      </c>
    </row>
    <row r="91" spans="1:52" x14ac:dyDescent="0.35">
      <c r="A91" s="276"/>
      <c r="B91" s="76" t="s">
        <v>75</v>
      </c>
      <c r="C91" s="104"/>
      <c r="D91" s="104"/>
      <c r="E91" s="104"/>
      <c r="F91" s="10"/>
      <c r="G91" s="10"/>
      <c r="H91" s="10"/>
      <c r="I91" s="10"/>
      <c r="J91" s="10"/>
      <c r="K91" s="10"/>
      <c r="L91" s="10"/>
      <c r="M91" s="10"/>
      <c r="N91" s="10" t="str">
        <f>IF(OR(N89="",N87=""),"",N87+N89)</f>
        <v/>
      </c>
      <c r="O91" s="10"/>
      <c r="P91" s="10"/>
      <c r="Q91" s="10"/>
      <c r="R91" s="10"/>
      <c r="S91" s="10"/>
      <c r="T91" s="10"/>
      <c r="U91" s="10"/>
      <c r="V91" s="10"/>
      <c r="W91" s="10"/>
      <c r="X91" s="10"/>
      <c r="Y91" s="10"/>
      <c r="Z91" s="10"/>
      <c r="AA91" s="10"/>
      <c r="AB91" s="10"/>
      <c r="AC91" s="10">
        <f>IF(OR(AC89="",AC87=""),"",AC87+AC89)</f>
        <v>234889.10557516181</v>
      </c>
      <c r="AD91" s="10">
        <f>IF(OR(AD89="",AD87=""),"",AD87+AD89)</f>
        <v>-2247.7228624631498</v>
      </c>
      <c r="AE91" s="10">
        <f t="shared" ref="AE91:AF91" si="572">IF(OR(AE89="",AE87=""),"",AE87+AE89)</f>
        <v>102208.72693495714</v>
      </c>
      <c r="AF91" s="10">
        <f t="shared" si="572"/>
        <v>109679.75414387543</v>
      </c>
      <c r="AG91" s="10">
        <f>IF(OR(AG89="",AG87=""),"",AG87+AG89)</f>
        <v>37496.740558776262</v>
      </c>
      <c r="AH91" s="10">
        <f t="shared" ref="AH91:AV91" si="573">IF(OR(AH89="",AH87=""),"",AH87+AH89)</f>
        <v>-89002.320192943822</v>
      </c>
      <c r="AI91" s="10">
        <f t="shared" si="573"/>
        <v>-86776.976430829411</v>
      </c>
      <c r="AJ91" s="10">
        <f>IF(OR(AJ89="",AJ87=""),"",AJ87+AJ89)</f>
        <v>-88133.283298686147</v>
      </c>
      <c r="AK91" s="10">
        <f>IF(OR(AK89="",AK87=""),"",AK87+AK89)</f>
        <v>42462.397981803442</v>
      </c>
      <c r="AL91" s="10">
        <f>IF(OR(AL89="",AL87=""),"",AL87+AL89)</f>
        <v>92142.207308292913</v>
      </c>
      <c r="AM91" s="10">
        <f t="shared" si="573"/>
        <v>4778.809171951294</v>
      </c>
      <c r="AN91" s="10">
        <f>IF(OR(AN89="",AN87=""),"",AN87+AN89)</f>
        <v>-80537.25947483693</v>
      </c>
      <c r="AO91" s="10">
        <f>IF(OR(AO89="",AO87=""),"",AO87+AO89)</f>
        <v>-1249514.4496137977</v>
      </c>
      <c r="AP91" s="10">
        <f t="shared" si="573"/>
        <v>-7827.3130605163751</v>
      </c>
      <c r="AQ91" s="10">
        <f t="shared" si="573"/>
        <v>225919.63537453263</v>
      </c>
      <c r="AR91" s="10">
        <f t="shared" si="573"/>
        <v>132145.45743064338</v>
      </c>
      <c r="AS91" s="10">
        <f t="shared" si="573"/>
        <v>3196.7895558027717</v>
      </c>
      <c r="AT91" s="10">
        <f t="shared" si="573"/>
        <v>-178913.29784420296</v>
      </c>
      <c r="AU91" s="10">
        <f>IF(OR(AU89="",AU87=""),"",AU87+AU89)</f>
        <v>-154920.03093009393</v>
      </c>
      <c r="AV91" s="10">
        <f t="shared" si="573"/>
        <v>-59233.988094906323</v>
      </c>
      <c r="AW91" s="10">
        <f>IF(OR(AW89="",AW87=""),"",AW87+AW89)</f>
        <v>113339.10691320508</v>
      </c>
      <c r="AX91" s="10">
        <f t="shared" ref="AX91:AY91" si="574">IF(OR(AX89="",AX87=""),"",AX87+AX89)</f>
        <v>139610.79727132973</v>
      </c>
      <c r="AY91" s="10">
        <f t="shared" si="574"/>
        <v>-14696.004069664183</v>
      </c>
      <c r="AZ91" s="10">
        <f t="shared" ref="AZ91" si="575">IF(OR(AZ89="",AZ87=""),"",AZ87+AZ89)</f>
        <v>-145600.45694757064</v>
      </c>
    </row>
    <row r="92" spans="1:52" x14ac:dyDescent="0.35">
      <c r="A92" s="276"/>
      <c r="B92" s="57" t="s">
        <v>76</v>
      </c>
      <c r="C92" s="104"/>
      <c r="D92" s="104"/>
      <c r="E92" s="104"/>
      <c r="F92" s="10"/>
      <c r="G92" s="10"/>
      <c r="H92" s="10"/>
      <c r="I92" s="10"/>
      <c r="J92" s="10"/>
      <c r="K92" s="10"/>
      <c r="L92" s="10"/>
      <c r="M92" s="10"/>
      <c r="N92" s="10"/>
      <c r="O92" s="10"/>
      <c r="P92" s="10"/>
      <c r="Q92" s="10"/>
      <c r="R92" s="10"/>
      <c r="S92" s="10"/>
      <c r="T92" s="10"/>
      <c r="U92" s="10"/>
      <c r="V92" s="10"/>
      <c r="W92" s="10"/>
      <c r="X92" s="10"/>
      <c r="Y92" s="10"/>
      <c r="Z92" s="10"/>
      <c r="AA92" s="10"/>
      <c r="AB92" s="10"/>
      <c r="AC92" s="10">
        <f>AB92+AC91</f>
        <v>234889.10557516181</v>
      </c>
      <c r="AD92" s="10">
        <f>IF(OR(AD91="",AC92=""),"",AC92+AD91)</f>
        <v>232641.38271269866</v>
      </c>
      <c r="AE92" s="10">
        <f t="shared" ref="AE92:AF92" si="576">IF(OR(AE91="",AD92=""),"",AD92+AE91)</f>
        <v>334850.1096476558</v>
      </c>
      <c r="AF92" s="10">
        <f t="shared" si="576"/>
        <v>444529.86379153124</v>
      </c>
      <c r="AG92" s="10">
        <f>IF(OR(AG91="",AF92=""),"",AF92+AG91)</f>
        <v>482026.60435030749</v>
      </c>
      <c r="AH92" s="10">
        <f t="shared" ref="AH92" si="577">IF(OR(AH91="",AG92=""),"",AG92+AH91)</f>
        <v>393024.2841573637</v>
      </c>
      <c r="AI92" s="10">
        <f t="shared" ref="AI92" si="578">IF(OR(AI91="",AH92=""),"",AH92+AI91)</f>
        <v>306247.30772653432</v>
      </c>
      <c r="AJ92" s="10">
        <f>IF(OR(AJ91="",AI92=""),"",AI92+AJ91)</f>
        <v>218114.02442784817</v>
      </c>
      <c r="AK92" s="10">
        <f>IF(OR(AK91="",AJ92=""),"",AJ92+AK91)</f>
        <v>260576.42240965163</v>
      </c>
      <c r="AL92" s="10">
        <f t="shared" ref="AL92" si="579">IF(OR(AL91="",AK92=""),"",AK92+AL91)</f>
        <v>352718.62971794454</v>
      </c>
      <c r="AM92" s="10">
        <f t="shared" ref="AM92" si="580">IF(OR(AM91="",AL92=""),"",AL92+AM91)</f>
        <v>357497.43888989586</v>
      </c>
      <c r="AN92" s="10">
        <f t="shared" ref="AN92" si="581">IF(OR(AN91="",AM92=""),"",AM92+AN91)</f>
        <v>276960.17941505893</v>
      </c>
      <c r="AO92" s="10">
        <f>IF(OR(AO91="",AN92=""),"",AN92+AO91+'MEEIA 2 calcs'!BW103)</f>
        <v>-1124660.0385948638</v>
      </c>
      <c r="AP92" s="10">
        <f>IF(OR(AP91="",AO92=""),"",AO92+AP91)</f>
        <v>-1132487.3516553803</v>
      </c>
      <c r="AQ92" s="10">
        <f t="shared" ref="AQ92" si="582">IF(OR(AQ91="",AP92=""),"",AP92+AQ91)</f>
        <v>-906567.71628084767</v>
      </c>
      <c r="AR92" s="10">
        <f t="shared" ref="AR92" si="583">IF(OR(AR91="",AQ92=""),"",AQ92+AR91)</f>
        <v>-774422.25885020429</v>
      </c>
      <c r="AS92" s="10">
        <f t="shared" ref="AS92" si="584">IF(OR(AS91="",AR92=""),"",AR92+AS91)</f>
        <v>-771225.46929440147</v>
      </c>
      <c r="AT92" s="10">
        <f t="shared" ref="AT92" si="585">IF(OR(AT91="",AS92=""),"",AS92+AT91)</f>
        <v>-950138.76713860442</v>
      </c>
      <c r="AU92" s="10">
        <f>IF(OR(AU91="",AT92=""),"",AT92+AU91)</f>
        <v>-1105058.7980686983</v>
      </c>
      <c r="AV92" s="10">
        <f>IF(OR(AV91="",AU92=""),"",AU92+AV91)</f>
        <v>-1164292.7861636046</v>
      </c>
      <c r="AW92" s="10">
        <f>IF(OR(AW91="",AV92=""),"",AV92+AW91)</f>
        <v>-1050953.6792503996</v>
      </c>
      <c r="AX92" s="10">
        <f t="shared" ref="AX92:AZ92" si="586">IF(OR(AX91="",AW92=""),"",AW92+AX91)</f>
        <v>-911342.88197906991</v>
      </c>
      <c r="AY92" s="10">
        <f t="shared" si="586"/>
        <v>-926038.88604873407</v>
      </c>
      <c r="AZ92" s="10">
        <f t="shared" si="586"/>
        <v>-1071639.3429963046</v>
      </c>
    </row>
    <row r="93" spans="1:52" x14ac:dyDescent="0.35">
      <c r="A93" s="276"/>
      <c r="B93" s="59" t="s">
        <v>77</v>
      </c>
      <c r="C93" s="104"/>
      <c r="D93" s="104"/>
      <c r="E93" s="104"/>
      <c r="F93" s="10"/>
      <c r="G93" s="10"/>
      <c r="H93" s="10"/>
      <c r="I93" s="10"/>
      <c r="J93" s="10"/>
      <c r="K93" s="10"/>
      <c r="L93" s="10"/>
      <c r="M93" s="10"/>
      <c r="N93" s="10"/>
      <c r="O93" s="10">
        <f t="shared" ref="O93:AB93" si="587">IF(O86="","",N93-O86+O89)</f>
        <v>0</v>
      </c>
      <c r="P93" s="10">
        <f t="shared" si="587"/>
        <v>0</v>
      </c>
      <c r="Q93" s="10">
        <f t="shared" si="587"/>
        <v>0</v>
      </c>
      <c r="R93" s="10">
        <f t="shared" si="587"/>
        <v>0</v>
      </c>
      <c r="S93" s="10">
        <f t="shared" si="587"/>
        <v>0</v>
      </c>
      <c r="T93" s="10">
        <f t="shared" si="587"/>
        <v>0</v>
      </c>
      <c r="U93" s="10">
        <f t="shared" si="587"/>
        <v>0</v>
      </c>
      <c r="V93" s="10">
        <f t="shared" si="587"/>
        <v>0</v>
      </c>
      <c r="W93" s="10">
        <f>IF(W86="","",V93-W86+W89+W84)</f>
        <v>6239381</v>
      </c>
      <c r="X93" s="10">
        <f t="shared" si="587"/>
        <v>6239381</v>
      </c>
      <c r="Y93" s="10">
        <f t="shared" si="587"/>
        <v>6239381</v>
      </c>
      <c r="Z93" s="10">
        <f t="shared" si="587"/>
        <v>6239381</v>
      </c>
      <c r="AA93" s="10">
        <f t="shared" si="587"/>
        <v>6239381</v>
      </c>
      <c r="AB93" s="10">
        <f t="shared" si="587"/>
        <v>6239381</v>
      </c>
      <c r="AC93" s="10">
        <f>AB93-AC86+AC89</f>
        <v>5954321.7155751614</v>
      </c>
      <c r="AD93" s="10">
        <f>IF(AD86="","",AC93-AD86+AD89)</f>
        <v>5432125.6027126983</v>
      </c>
      <c r="AE93" s="10">
        <f t="shared" ref="AE93:AF93" si="588">IF(AE86="","",AD93-AE86+AE89)</f>
        <v>5014385.9396476559</v>
      </c>
      <c r="AF93" s="10">
        <f t="shared" si="588"/>
        <v>4604117.3037915314</v>
      </c>
      <c r="AG93" s="10">
        <f t="shared" ref="AG93" si="589">IF(AG86="","",AF93-AG86+AG89)</f>
        <v>4121665.6543503078</v>
      </c>
      <c r="AH93" s="10">
        <f t="shared" ref="AH93" si="590">IF(AH86="","",AG93-AH86+AH89)</f>
        <v>3512714.9441573638</v>
      </c>
      <c r="AI93" s="10">
        <f t="shared" ref="AI93" si="591">IF(AI86="","",AH93-AI86+AI89)</f>
        <v>2905989.5777265341</v>
      </c>
      <c r="AJ93" s="10">
        <f>IF(AJ86="","",AI93-AJ86+AJ89+AJ84)</f>
        <v>11779616.504131306</v>
      </c>
      <c r="AK93" s="10">
        <f>IF(AK86="","",AJ93-AK86+AK89)</f>
        <v>11302130.512113109</v>
      </c>
      <c r="AL93" s="10">
        <f>IF(AL86="","",AK93-AL86+AL89)</f>
        <v>10874324.329421401</v>
      </c>
      <c r="AM93" s="10">
        <f t="shared" ref="AM93" si="592">IF(AM86="","",AL93-AM86+AM89)</f>
        <v>10359154.748593353</v>
      </c>
      <c r="AN93" s="10">
        <f t="shared" ref="AN93" si="593">IF(AN86="","",AM93-AN86+AN89)</f>
        <v>9758669.0991185158</v>
      </c>
      <c r="AO93" s="10">
        <f>IF(AO86="","",AN93-AO86+AO89+AO84)</f>
        <v>7548729.9402613286</v>
      </c>
      <c r="AP93" s="10">
        <f t="shared" ref="AP93" si="594">IF(AP86="","",AO93-AP86+AP89)</f>
        <v>6752412.7105341451</v>
      </c>
      <c r="AQ93" s="10">
        <f t="shared" ref="AQ93" si="595">IF(AQ86="","",AP93-AQ86+AQ89)</f>
        <v>6189842.4292420112</v>
      </c>
      <c r="AR93" s="10">
        <f t="shared" ref="AR93" si="596">IF(AR86="","",AQ93-AR86+AR89)</f>
        <v>5533497.9700059881</v>
      </c>
      <c r="AS93" s="10">
        <f t="shared" ref="AS93" si="597">IF(AS86="","",AR93-AS86+AS89)</f>
        <v>4748204.8428951241</v>
      </c>
      <c r="AT93" s="10">
        <f t="shared" ref="AT93" si="598">IF(AT86="","",AS93-AT86+AT89)</f>
        <v>3780801.6283842549</v>
      </c>
      <c r="AU93" s="10">
        <f>IF(AU86="","",AT93-AU86+AU89+AU84)</f>
        <v>14585078.110787494</v>
      </c>
      <c r="AV93" s="10">
        <f>IF(AV86="","",AU93-AV86+AV89)</f>
        <v>13737354.206025923</v>
      </c>
      <c r="AW93" s="10">
        <f>IF(AW86="","",AV93-AW86+AW89+AW84)</f>
        <v>13062006.076272462</v>
      </c>
      <c r="AX93" s="10">
        <f t="shared" ref="AX93:AZ93" si="599">IF(AX86="","",AW93-AX86+AX89)</f>
        <v>12413126.956877125</v>
      </c>
      <c r="AY93" s="10">
        <f t="shared" si="599"/>
        <v>11609941.036140794</v>
      </c>
      <c r="AZ93" s="10">
        <f t="shared" si="599"/>
        <v>10675850.662526557</v>
      </c>
    </row>
    <row r="94" spans="1:52" s="5" customFormat="1" ht="8.25" customHeight="1" x14ac:dyDescent="0.35">
      <c r="A94" s="44"/>
      <c r="B94" s="13"/>
      <c r="C94" s="109"/>
      <c r="D94" s="109"/>
      <c r="E94" s="109"/>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row>
    <row r="95" spans="1:52" x14ac:dyDescent="0.35">
      <c r="A95" s="40"/>
      <c r="K95" s="43"/>
      <c r="AN95" s="43"/>
      <c r="AQ95" s="43"/>
    </row>
    <row r="96" spans="1:52" x14ac:dyDescent="0.35">
      <c r="A96" s="40"/>
      <c r="K96" s="43"/>
      <c r="AF96" s="43"/>
      <c r="AN96" s="43"/>
    </row>
    <row r="97" spans="1:34" x14ac:dyDescent="0.35">
      <c r="A97" s="40"/>
      <c r="K97" s="43"/>
      <c r="AB97" s="43"/>
      <c r="AH97" s="43"/>
    </row>
    <row r="98" spans="1:34" x14ac:dyDescent="0.35">
      <c r="A98" s="40"/>
      <c r="K98" s="43"/>
    </row>
    <row r="99" spans="1:34" x14ac:dyDescent="0.35">
      <c r="A99" s="40"/>
      <c r="K99" s="43"/>
    </row>
    <row r="100" spans="1:34" x14ac:dyDescent="0.35">
      <c r="A100" s="40"/>
      <c r="K100" s="43"/>
    </row>
    <row r="101" spans="1:34" x14ac:dyDescent="0.35">
      <c r="A101" s="40"/>
      <c r="K101" s="43"/>
    </row>
    <row r="102" spans="1:34" x14ac:dyDescent="0.35">
      <c r="A102" s="40"/>
      <c r="K102" s="43"/>
    </row>
    <row r="103" spans="1:34" x14ac:dyDescent="0.35">
      <c r="A103" s="40"/>
      <c r="K103" s="43"/>
    </row>
    <row r="104" spans="1:34" x14ac:dyDescent="0.35">
      <c r="A104" s="40"/>
      <c r="K104" s="43"/>
    </row>
    <row r="105" spans="1:34" x14ac:dyDescent="0.35">
      <c r="A105" s="40"/>
      <c r="K105" s="43"/>
    </row>
    <row r="106" spans="1:34" x14ac:dyDescent="0.35">
      <c r="A106" s="40"/>
      <c r="K106" s="43"/>
    </row>
    <row r="107" spans="1:34" x14ac:dyDescent="0.35">
      <c r="A107" s="40"/>
      <c r="K107" s="43"/>
    </row>
    <row r="108" spans="1:34" x14ac:dyDescent="0.35">
      <c r="A108" s="40"/>
      <c r="K108" s="43"/>
    </row>
    <row r="109" spans="1:34" x14ac:dyDescent="0.35">
      <c r="A109" s="40"/>
      <c r="K109" s="43"/>
    </row>
    <row r="110" spans="1:34" x14ac:dyDescent="0.35">
      <c r="A110" s="40"/>
      <c r="K110" s="43"/>
    </row>
    <row r="111" spans="1:34" x14ac:dyDescent="0.35">
      <c r="A111" s="40"/>
      <c r="K111" s="43"/>
    </row>
    <row r="112" spans="1:34" x14ac:dyDescent="0.35">
      <c r="A112" s="40"/>
      <c r="K112" s="43"/>
    </row>
    <row r="113" spans="1:11" x14ac:dyDescent="0.35">
      <c r="A113" s="40"/>
      <c r="K113" s="43"/>
    </row>
    <row r="114" spans="1:11" x14ac:dyDescent="0.35">
      <c r="A114" s="40"/>
      <c r="K114" s="43"/>
    </row>
    <row r="115" spans="1:11" x14ac:dyDescent="0.35">
      <c r="A115" s="40"/>
      <c r="K115" s="43"/>
    </row>
    <row r="116" spans="1:11" x14ac:dyDescent="0.35">
      <c r="A116" s="40"/>
      <c r="K116" s="43"/>
    </row>
    <row r="117" spans="1:11" x14ac:dyDescent="0.35">
      <c r="A117" s="40"/>
      <c r="K117" s="43"/>
    </row>
    <row r="118" spans="1:11" x14ac:dyDescent="0.35">
      <c r="A118" s="40"/>
      <c r="K118" s="43"/>
    </row>
    <row r="119" spans="1:11" x14ac:dyDescent="0.35">
      <c r="A119" s="40"/>
      <c r="K119" s="43"/>
    </row>
    <row r="120" spans="1:11" x14ac:dyDescent="0.35">
      <c r="A120" s="40"/>
      <c r="K120" s="43"/>
    </row>
    <row r="121" spans="1:11" x14ac:dyDescent="0.35">
      <c r="A121" s="40"/>
      <c r="K121" s="43"/>
    </row>
    <row r="122" spans="1:11" x14ac:dyDescent="0.35">
      <c r="A122" s="40"/>
      <c r="K122" s="43"/>
    </row>
    <row r="123" spans="1:11" x14ac:dyDescent="0.35">
      <c r="A123" s="40"/>
      <c r="K123" s="43"/>
    </row>
    <row r="124" spans="1:11" x14ac:dyDescent="0.35">
      <c r="A124" s="40"/>
      <c r="K124" s="43"/>
    </row>
    <row r="125" spans="1:11" x14ac:dyDescent="0.35">
      <c r="A125" s="40"/>
      <c r="K125" s="43"/>
    </row>
    <row r="126" spans="1:11" x14ac:dyDescent="0.35">
      <c r="A126" s="40"/>
    </row>
    <row r="127" spans="1:11" x14ac:dyDescent="0.35">
      <c r="A127" s="40"/>
    </row>
    <row r="128" spans="1:11" x14ac:dyDescent="0.35">
      <c r="A128" s="40"/>
    </row>
    <row r="129" spans="1:1" x14ac:dyDescent="0.35">
      <c r="A129" s="40"/>
    </row>
    <row r="130" spans="1:1" x14ac:dyDescent="0.35">
      <c r="A130" s="40"/>
    </row>
    <row r="131" spans="1:1" x14ac:dyDescent="0.35">
      <c r="A131" s="40"/>
    </row>
    <row r="132" spans="1:1" x14ac:dyDescent="0.35">
      <c r="A132" s="40"/>
    </row>
    <row r="133" spans="1:1" x14ac:dyDescent="0.35">
      <c r="A133" s="40"/>
    </row>
    <row r="134" spans="1:1" x14ac:dyDescent="0.35">
      <c r="A134" s="40"/>
    </row>
    <row r="135" spans="1:1" x14ac:dyDescent="0.35">
      <c r="A135" s="40"/>
    </row>
    <row r="136" spans="1:1" x14ac:dyDescent="0.35">
      <c r="A136" s="40"/>
    </row>
    <row r="137" spans="1:1" x14ac:dyDescent="0.35">
      <c r="A137" s="40"/>
    </row>
    <row r="138" spans="1:1" x14ac:dyDescent="0.35">
      <c r="A138" s="40"/>
    </row>
    <row r="139" spans="1:1" x14ac:dyDescent="0.35">
      <c r="A139" s="40"/>
    </row>
    <row r="140" spans="1:1" x14ac:dyDescent="0.35">
      <c r="A140" s="40"/>
    </row>
    <row r="141" spans="1:1" x14ac:dyDescent="0.35">
      <c r="A141" s="40"/>
    </row>
    <row r="142" spans="1:1" x14ac:dyDescent="0.35">
      <c r="A142" s="40"/>
    </row>
    <row r="143" spans="1:1" x14ac:dyDescent="0.35">
      <c r="A143" s="40"/>
    </row>
    <row r="144" spans="1:1" x14ac:dyDescent="0.35">
      <c r="A144" s="40"/>
    </row>
    <row r="145" spans="1:1" x14ac:dyDescent="0.35">
      <c r="A145" s="40"/>
    </row>
    <row r="146" spans="1:1" x14ac:dyDescent="0.35">
      <c r="A146" s="40"/>
    </row>
    <row r="147" spans="1:1" x14ac:dyDescent="0.35">
      <c r="A147" s="40"/>
    </row>
    <row r="148" spans="1:1" x14ac:dyDescent="0.35">
      <c r="A148" s="40"/>
    </row>
    <row r="149" spans="1:1" x14ac:dyDescent="0.35">
      <c r="A149" s="40"/>
    </row>
    <row r="150" spans="1:1" x14ac:dyDescent="0.35">
      <c r="A150" s="40"/>
    </row>
    <row r="151" spans="1:1" x14ac:dyDescent="0.35">
      <c r="A151" s="40"/>
    </row>
    <row r="152" spans="1:1" x14ac:dyDescent="0.35">
      <c r="A152" s="40"/>
    </row>
    <row r="153" spans="1:1" x14ac:dyDescent="0.35">
      <c r="A153" s="40"/>
    </row>
    <row r="154" spans="1:1" x14ac:dyDescent="0.35">
      <c r="A154" s="40"/>
    </row>
    <row r="155" spans="1:1" x14ac:dyDescent="0.35">
      <c r="A155" s="40"/>
    </row>
    <row r="156" spans="1:1" x14ac:dyDescent="0.35">
      <c r="A156" s="40"/>
    </row>
    <row r="157" spans="1:1" x14ac:dyDescent="0.35">
      <c r="A157" s="40"/>
    </row>
    <row r="158" spans="1:1" x14ac:dyDescent="0.35">
      <c r="A158" s="40"/>
    </row>
    <row r="159" spans="1:1" x14ac:dyDescent="0.35">
      <c r="A159" s="40"/>
    </row>
    <row r="160" spans="1:1" x14ac:dyDescent="0.35">
      <c r="A160" s="40"/>
    </row>
    <row r="161" spans="1:1" x14ac:dyDescent="0.35">
      <c r="A161" s="40"/>
    </row>
    <row r="162" spans="1:1" x14ac:dyDescent="0.35">
      <c r="A162" s="40"/>
    </row>
    <row r="163" spans="1:1" x14ac:dyDescent="0.35">
      <c r="A163" s="40"/>
    </row>
    <row r="164" spans="1:1" x14ac:dyDescent="0.35">
      <c r="A164" s="40"/>
    </row>
    <row r="165" spans="1:1" x14ac:dyDescent="0.35">
      <c r="A165" s="40"/>
    </row>
    <row r="166" spans="1:1" x14ac:dyDescent="0.35">
      <c r="A166" s="40"/>
    </row>
    <row r="167" spans="1:1" x14ac:dyDescent="0.35">
      <c r="A167" s="40"/>
    </row>
    <row r="168" spans="1:1" x14ac:dyDescent="0.35">
      <c r="A168" s="40"/>
    </row>
    <row r="169" spans="1:1" x14ac:dyDescent="0.35">
      <c r="A169" s="40"/>
    </row>
    <row r="170" spans="1:1" x14ac:dyDescent="0.35">
      <c r="A170" s="40"/>
    </row>
    <row r="171" spans="1:1" x14ac:dyDescent="0.35">
      <c r="A171" s="40"/>
    </row>
    <row r="172" spans="1:1" x14ac:dyDescent="0.35">
      <c r="A172" s="40"/>
    </row>
    <row r="173" spans="1:1" x14ac:dyDescent="0.35">
      <c r="A173" s="40"/>
    </row>
    <row r="174" spans="1:1" x14ac:dyDescent="0.35"/>
    <row r="175" spans="1:1" x14ac:dyDescent="0.35"/>
    <row r="176" spans="1:1" x14ac:dyDescent="0.35"/>
    <row r="177" x14ac:dyDescent="0.35"/>
    <row r="178" x14ac:dyDescent="0.35"/>
    <row r="179" x14ac:dyDescent="0.35"/>
    <row r="180" x14ac:dyDescent="0.35"/>
    <row r="181" x14ac:dyDescent="0.35"/>
    <row r="182" x14ac:dyDescent="0.35"/>
    <row r="183" x14ac:dyDescent="0.35"/>
  </sheetData>
  <mergeCells count="9">
    <mergeCell ref="A66:A74"/>
    <mergeCell ref="A76:A82"/>
    <mergeCell ref="A85:A93"/>
    <mergeCell ref="A5:A13"/>
    <mergeCell ref="A15:A24"/>
    <mergeCell ref="A26:A34"/>
    <mergeCell ref="A36:A44"/>
    <mergeCell ref="A46:A54"/>
    <mergeCell ref="A56:A64"/>
  </mergeCells>
  <printOptions headings="1"/>
  <pageMargins left="0.2" right="0.2" top="0.5" bottom="0.5" header="0.3" footer="0.3"/>
  <pageSetup scale="60" orientation="landscape" cellComments="asDisplayed" r:id="rId1"/>
  <headerFooter>
    <oddHeader>&amp;C&amp;A</oddHeader>
    <oddFooter>&amp;RSchedule ALM - D3</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8"/>
  <dimension ref="A1:U25"/>
  <sheetViews>
    <sheetView workbookViewId="0">
      <selection activeCell="I23" sqref="I23"/>
    </sheetView>
  </sheetViews>
  <sheetFormatPr defaultColWidth="9.1796875" defaultRowHeight="14.5" x14ac:dyDescent="0.35"/>
  <cols>
    <col min="1" max="1" width="9.1796875" style="61"/>
    <col min="2" max="2" width="31.26953125" style="61" bestFit="1" customWidth="1"/>
    <col min="3" max="7" width="12.26953125" style="61" bestFit="1" customWidth="1"/>
    <col min="8" max="12" width="12.54296875" style="61" bestFit="1" customWidth="1"/>
    <col min="13" max="13" width="13.453125" style="61" bestFit="1" customWidth="1"/>
    <col min="14" max="17" width="12.54296875" style="61" bestFit="1" customWidth="1"/>
    <col min="18" max="21" width="13.453125" style="61" bestFit="1" customWidth="1"/>
    <col min="22" max="16384" width="9.1796875" style="61"/>
  </cols>
  <sheetData>
    <row r="1" spans="1:21" x14ac:dyDescent="0.35">
      <c r="A1" s="36" t="s">
        <v>134</v>
      </c>
      <c r="B1" s="63"/>
      <c r="C1" s="63"/>
      <c r="D1" s="63"/>
      <c r="E1" s="63"/>
      <c r="F1" s="63"/>
      <c r="G1" s="63"/>
      <c r="H1" s="63"/>
    </row>
    <row r="3" spans="1:21" x14ac:dyDescent="0.35">
      <c r="C3" s="193">
        <v>44287</v>
      </c>
      <c r="D3" s="193">
        <v>44317</v>
      </c>
      <c r="E3" s="132">
        <v>44348</v>
      </c>
      <c r="F3" s="193">
        <v>44378</v>
      </c>
      <c r="G3" s="132">
        <v>44409</v>
      </c>
      <c r="H3" s="193">
        <v>44440</v>
      </c>
      <c r="I3" s="132">
        <v>44470</v>
      </c>
      <c r="J3" s="132">
        <v>44501</v>
      </c>
      <c r="K3" s="132">
        <v>44531</v>
      </c>
      <c r="L3" s="132">
        <v>44562</v>
      </c>
      <c r="M3" s="132">
        <v>44593</v>
      </c>
      <c r="N3" s="132">
        <v>44621</v>
      </c>
      <c r="O3" s="132">
        <v>44652</v>
      </c>
      <c r="P3" s="132">
        <v>44682</v>
      </c>
      <c r="Q3" s="132">
        <v>44713</v>
      </c>
      <c r="R3" s="132">
        <v>44743</v>
      </c>
      <c r="S3" s="132">
        <v>44774</v>
      </c>
      <c r="T3" s="132">
        <v>44805</v>
      </c>
      <c r="U3" s="132">
        <v>44835</v>
      </c>
    </row>
    <row r="4" spans="1:21" x14ac:dyDescent="0.35">
      <c r="B4" s="191" t="s">
        <v>97</v>
      </c>
      <c r="C4" s="195">
        <v>0</v>
      </c>
      <c r="D4" s="195">
        <v>21888.48</v>
      </c>
      <c r="E4" s="202">
        <v>52914.49</v>
      </c>
      <c r="F4" s="202">
        <v>54673.489087036651</v>
      </c>
      <c r="G4" s="202">
        <v>68952.514240276621</v>
      </c>
      <c r="H4" s="202">
        <v>118293.25199272294</v>
      </c>
      <c r="I4" s="202">
        <v>184805.58830074637</v>
      </c>
      <c r="J4" s="202">
        <v>265351.54824569618</v>
      </c>
      <c r="K4" s="202">
        <v>316091.86399821442</v>
      </c>
      <c r="L4" s="202">
        <v>331360.76100246538</v>
      </c>
      <c r="M4" s="202">
        <v>369651.67606963508</v>
      </c>
      <c r="N4" s="202">
        <v>183080.60828332443</v>
      </c>
      <c r="O4" s="202">
        <v>215629.36730509758</v>
      </c>
      <c r="P4" s="202">
        <v>320738.29754685785</v>
      </c>
      <c r="Q4" s="202">
        <v>381941.07483278483</v>
      </c>
      <c r="R4" s="202">
        <v>412191.66100534156</v>
      </c>
      <c r="S4" s="202">
        <v>450145.55133221322</v>
      </c>
      <c r="T4" s="202">
        <v>480685.71891578968</v>
      </c>
      <c r="U4" s="202">
        <v>541508.8266178302</v>
      </c>
    </row>
    <row r="5" spans="1:21" x14ac:dyDescent="0.35">
      <c r="B5" s="191" t="s">
        <v>98</v>
      </c>
      <c r="C5" s="196">
        <v>21888.48</v>
      </c>
      <c r="D5" s="196">
        <v>31026.01</v>
      </c>
      <c r="E5" s="203">
        <v>1912.94</v>
      </c>
      <c r="F5" s="62">
        <v>14641.79</v>
      </c>
      <c r="G5" s="203">
        <v>49815.66</v>
      </c>
      <c r="H5" s="203">
        <v>67154.759999999995</v>
      </c>
      <c r="I5" s="203">
        <v>81496.11</v>
      </c>
      <c r="J5" s="203">
        <v>52212.07</v>
      </c>
      <c r="K5" s="203">
        <v>17269.25</v>
      </c>
      <c r="L5" s="203">
        <v>40557.550000000003</v>
      </c>
      <c r="M5" s="203">
        <v>0</v>
      </c>
      <c r="N5" s="203">
        <v>42895.09</v>
      </c>
      <c r="O5" s="203">
        <v>107235.82</v>
      </c>
      <c r="P5" s="203">
        <v>63735.03</v>
      </c>
      <c r="Q5" s="203">
        <v>33437.46</v>
      </c>
      <c r="R5" s="203">
        <v>41575.129999999997</v>
      </c>
      <c r="S5" s="203">
        <v>34435.99</v>
      </c>
      <c r="T5" s="203">
        <v>64925.1</v>
      </c>
      <c r="U5" s="203">
        <v>24755.54</v>
      </c>
    </row>
    <row r="6" spans="1:21" x14ac:dyDescent="0.35">
      <c r="B6" s="191" t="s">
        <v>116</v>
      </c>
      <c r="C6" s="196"/>
      <c r="D6" s="196"/>
      <c r="E6" s="203"/>
      <c r="F6" s="62"/>
      <c r="G6" s="203"/>
      <c r="H6" s="203"/>
      <c r="I6" s="203"/>
      <c r="J6" s="203"/>
      <c r="K6" s="203"/>
      <c r="L6" s="203"/>
      <c r="M6" s="203">
        <v>-184805.58830074637</v>
      </c>
      <c r="N6" s="203"/>
      <c r="O6" s="203"/>
      <c r="P6" s="203"/>
      <c r="Q6" s="203"/>
      <c r="R6" s="203"/>
      <c r="S6" s="203"/>
      <c r="T6" s="203"/>
      <c r="U6" s="203"/>
    </row>
    <row r="7" spans="1:21" x14ac:dyDescent="0.35">
      <c r="B7" s="191" t="s">
        <v>115</v>
      </c>
      <c r="C7" s="196"/>
      <c r="D7" s="196"/>
      <c r="E7" s="203"/>
      <c r="F7" s="62"/>
      <c r="G7" s="203"/>
      <c r="H7" s="203"/>
      <c r="I7" s="203"/>
      <c r="J7" s="203"/>
      <c r="K7" s="203"/>
      <c r="L7" s="203"/>
      <c r="M7" s="203"/>
      <c r="N7" s="203">
        <v>-8404.8578125000004</v>
      </c>
      <c r="O7" s="203">
        <v>0</v>
      </c>
      <c r="P7" s="203">
        <v>0</v>
      </c>
      <c r="Q7" s="203">
        <v>0</v>
      </c>
      <c r="R7" s="203">
        <v>0</v>
      </c>
      <c r="S7" s="203">
        <v>0</v>
      </c>
      <c r="T7" s="203">
        <v>0</v>
      </c>
      <c r="U7" s="203">
        <v>0</v>
      </c>
    </row>
    <row r="8" spans="1:21" x14ac:dyDescent="0.35">
      <c r="B8" s="191" t="s">
        <v>99</v>
      </c>
      <c r="C8" s="194">
        <v>0</v>
      </c>
      <c r="D8" s="194">
        <v>0</v>
      </c>
      <c r="E8" s="204">
        <v>153.94091296334616</v>
      </c>
      <c r="F8" s="204">
        <v>362.76484676002565</v>
      </c>
      <c r="G8" s="204">
        <v>474.92224755367641</v>
      </c>
      <c r="H8" s="204">
        <v>642.42369197655432</v>
      </c>
      <c r="I8" s="204">
        <v>950.150055050226</v>
      </c>
      <c r="J8" s="204">
        <v>1471.7542474817876</v>
      </c>
      <c r="K8" s="204">
        <v>2000.3529957490173</v>
      </c>
      <c r="L8" s="204">
        <v>2266.6349328303177</v>
      </c>
      <c r="M8" s="204">
        <v>1765.4794855642854</v>
      </c>
      <c r="N8" s="204">
        <v>1941.4731657268321</v>
      </c>
      <c r="O8" s="204">
        <v>2126.8897582397071</v>
      </c>
      <c r="P8" s="204">
        <v>2532.2527140730399</v>
      </c>
      <c r="Q8" s="204">
        <v>3186.8738274432799</v>
      </c>
      <c r="R8" s="204">
        <v>3621.2396731283361</v>
      </c>
      <c r="S8" s="204">
        <v>3895.822416423543</v>
      </c>
      <c r="T8" s="204">
        <v>4101.9922979594894</v>
      </c>
      <c r="U8" s="204">
        <v>4354.5292028367503</v>
      </c>
    </row>
    <row r="9" spans="1:21" x14ac:dyDescent="0.35">
      <c r="B9" s="191" t="s">
        <v>100</v>
      </c>
      <c r="C9" s="195">
        <v>21888.48</v>
      </c>
      <c r="D9" s="195">
        <v>52914.49</v>
      </c>
      <c r="E9" s="203">
        <v>54673.489087036651</v>
      </c>
      <c r="F9" s="203">
        <v>68952.514240276621</v>
      </c>
      <c r="G9" s="203">
        <v>118293.25199272294</v>
      </c>
      <c r="H9" s="203">
        <v>184805.58830074637</v>
      </c>
      <c r="I9" s="203">
        <v>265351.54824569618</v>
      </c>
      <c r="J9" s="203">
        <v>316091.86399821442</v>
      </c>
      <c r="K9" s="203">
        <v>331360.76100246538</v>
      </c>
      <c r="L9" s="203">
        <v>369651.67606963508</v>
      </c>
      <c r="M9" s="203">
        <v>183080.60828332443</v>
      </c>
      <c r="N9" s="203">
        <v>215629.36730509758</v>
      </c>
      <c r="O9" s="203">
        <v>320738.29754685785</v>
      </c>
      <c r="P9" s="203">
        <v>381941.07483278483</v>
      </c>
      <c r="Q9" s="203">
        <v>412191.66100534156</v>
      </c>
      <c r="R9" s="203">
        <v>450145.55133221322</v>
      </c>
      <c r="S9" s="203">
        <v>480685.71891578968</v>
      </c>
      <c r="T9" s="203">
        <v>541508.8266178302</v>
      </c>
      <c r="U9" s="203">
        <v>561909.83741499344</v>
      </c>
    </row>
    <row r="10" spans="1:21" x14ac:dyDescent="0.35">
      <c r="B10" s="191" t="s">
        <v>101</v>
      </c>
      <c r="C10" s="198">
        <v>-5191.2544667231996</v>
      </c>
      <c r="D10" s="198">
        <v>-12549.641755246599</v>
      </c>
      <c r="E10" s="205">
        <v>-12966.820648780598</v>
      </c>
      <c r="F10" s="204">
        <v>-16353.353341192767</v>
      </c>
      <c r="G10" s="204">
        <v>-28055.414208315793</v>
      </c>
      <c r="H10" s="204">
        <v>-43830.034600011437</v>
      </c>
      <c r="I10" s="205">
        <v>-62932.986213861674</v>
      </c>
      <c r="J10" s="205">
        <v>-74938.110841104688</v>
      </c>
      <c r="K10" s="205">
        <v>-78558.015136181493</v>
      </c>
      <c r="L10" s="205">
        <v>-87635.910407560878</v>
      </c>
      <c r="M10" s="205">
        <v>-43404.201369985705</v>
      </c>
      <c r="N10" s="205">
        <v>-51120.763512590624</v>
      </c>
      <c r="O10" s="205">
        <v>-76039.673367516429</v>
      </c>
      <c r="P10" s="205">
        <v>-90549.444198132129</v>
      </c>
      <c r="Q10" s="205">
        <v>-97721.162416163366</v>
      </c>
      <c r="R10" s="205">
        <v>-106719.15687318712</v>
      </c>
      <c r="S10" s="205">
        <v>-113959.52818339868</v>
      </c>
      <c r="T10" s="205">
        <v>-128379.28808807534</v>
      </c>
      <c r="U10" s="205">
        <v>-133215.8985248344</v>
      </c>
    </row>
    <row r="11" spans="1:21" x14ac:dyDescent="0.35">
      <c r="B11" s="191" t="s">
        <v>102</v>
      </c>
      <c r="C11" s="195">
        <v>16697.2255332768</v>
      </c>
      <c r="D11" s="195">
        <v>40364.848244753397</v>
      </c>
      <c r="E11" s="206">
        <v>41706.668438256049</v>
      </c>
      <c r="F11" s="206">
        <v>52599.160899083858</v>
      </c>
      <c r="G11" s="206">
        <v>90237.837784407151</v>
      </c>
      <c r="H11" s="206">
        <v>140975.55370073492</v>
      </c>
      <c r="I11" s="206">
        <v>202418.5620318345</v>
      </c>
      <c r="J11" s="206">
        <v>241153.75315710972</v>
      </c>
      <c r="K11" s="206">
        <v>252802.74586628389</v>
      </c>
      <c r="L11" s="206">
        <v>282015.76566207421</v>
      </c>
      <c r="M11" s="206">
        <v>139676.40691333872</v>
      </c>
      <c r="N11" s="206">
        <v>164508.60379250697</v>
      </c>
      <c r="O11" s="206">
        <v>244698.62417934142</v>
      </c>
      <c r="P11" s="206">
        <v>291391.63063465268</v>
      </c>
      <c r="Q11" s="206">
        <v>314470.4985891782</v>
      </c>
      <c r="R11" s="206">
        <v>343426.39445902611</v>
      </c>
      <c r="S11" s="206">
        <v>366726.19073239097</v>
      </c>
      <c r="T11" s="206">
        <v>413129.53852975485</v>
      </c>
      <c r="U11" s="206">
        <v>428693.93889015901</v>
      </c>
    </row>
    <row r="12" spans="1:21" x14ac:dyDescent="0.35">
      <c r="B12" s="191" t="s">
        <v>103</v>
      </c>
      <c r="C12" s="197">
        <v>9.0399999999999994E-2</v>
      </c>
      <c r="D12" s="197">
        <v>9.0399999999999994E-2</v>
      </c>
      <c r="E12" s="207">
        <v>9.0399999999999994E-2</v>
      </c>
      <c r="F12" s="65">
        <v>9.0399999999999994E-2</v>
      </c>
      <c r="G12" s="65">
        <v>9.0399999999999994E-2</v>
      </c>
      <c r="H12" s="65">
        <v>9.0399999999999994E-2</v>
      </c>
      <c r="I12" s="207">
        <v>9.0399999999999994E-2</v>
      </c>
      <c r="J12" s="207">
        <v>9.0399999999999994E-2</v>
      </c>
      <c r="K12" s="207">
        <v>9.0399999999999994E-2</v>
      </c>
      <c r="L12" s="207">
        <v>9.0399999999999994E-2</v>
      </c>
      <c r="M12" s="207">
        <v>9.0399999999999994E-2</v>
      </c>
      <c r="N12" s="207">
        <v>8.2900000000000001E-2</v>
      </c>
      <c r="O12" s="207">
        <v>8.2900000000000001E-2</v>
      </c>
      <c r="P12" s="245">
        <v>8.2900000000000001E-2</v>
      </c>
      <c r="Q12" s="245">
        <v>8.2900000000000001E-2</v>
      </c>
      <c r="R12" s="245">
        <v>8.2900000000000001E-2</v>
      </c>
      <c r="S12" s="245">
        <v>8.2900000000000001E-2</v>
      </c>
      <c r="T12" s="245">
        <v>8.2900000000000001E-2</v>
      </c>
      <c r="U12" s="245">
        <v>8.2900000000000001E-2</v>
      </c>
    </row>
    <row r="13" spans="1:21" x14ac:dyDescent="0.35">
      <c r="B13" s="191" t="s">
        <v>104</v>
      </c>
      <c r="C13" s="199">
        <v>0.04</v>
      </c>
      <c r="D13" s="199">
        <v>0.04</v>
      </c>
      <c r="E13" s="208">
        <v>0.04</v>
      </c>
      <c r="F13" s="199">
        <v>0.04</v>
      </c>
      <c r="G13" s="199">
        <v>0.04</v>
      </c>
      <c r="H13" s="199">
        <v>0.04</v>
      </c>
      <c r="I13" s="208">
        <v>0.04</v>
      </c>
      <c r="J13" s="208">
        <v>0.03</v>
      </c>
      <c r="K13" s="208">
        <v>0.03</v>
      </c>
      <c r="L13" s="208">
        <v>0.03</v>
      </c>
      <c r="M13" s="208">
        <v>0.03</v>
      </c>
      <c r="N13" s="208">
        <v>0.03</v>
      </c>
      <c r="O13" s="208">
        <v>0.03</v>
      </c>
      <c r="P13" s="208">
        <v>0.03</v>
      </c>
      <c r="Q13" s="208">
        <v>0.03</v>
      </c>
      <c r="R13" s="208">
        <v>0.03</v>
      </c>
      <c r="S13" s="208">
        <v>0.03</v>
      </c>
      <c r="T13" s="208">
        <v>0.03</v>
      </c>
      <c r="U13" s="208">
        <v>0.03</v>
      </c>
    </row>
    <row r="14" spans="1:21" x14ac:dyDescent="0.35">
      <c r="B14" s="191" t="s">
        <v>95</v>
      </c>
      <c r="C14" s="200">
        <v>5.0399999999999993E-2</v>
      </c>
      <c r="D14" s="200">
        <v>5.0399999999999993E-2</v>
      </c>
      <c r="E14" s="208">
        <v>5.0399999999999993E-2</v>
      </c>
      <c r="F14" s="208">
        <v>5.0399999999999993E-2</v>
      </c>
      <c r="G14" s="208">
        <v>5.0399999999999993E-2</v>
      </c>
      <c r="H14" s="208">
        <v>5.0399999999999993E-2</v>
      </c>
      <c r="I14" s="208">
        <v>5.0399999999999993E-2</v>
      </c>
      <c r="J14" s="208">
        <v>6.0399999999999995E-2</v>
      </c>
      <c r="K14" s="208">
        <v>6.0399999999999995E-2</v>
      </c>
      <c r="L14" s="208">
        <v>6.0399999999999995E-2</v>
      </c>
      <c r="M14" s="208">
        <v>6.0399999999999995E-2</v>
      </c>
      <c r="N14" s="208">
        <v>5.2900000000000003E-2</v>
      </c>
      <c r="O14" s="208">
        <v>5.2900000000000003E-2</v>
      </c>
      <c r="P14" s="208">
        <v>5.2900000000000003E-2</v>
      </c>
      <c r="Q14" s="208">
        <v>5.2900000000000003E-2</v>
      </c>
      <c r="R14" s="208">
        <v>5.2900000000000003E-2</v>
      </c>
      <c r="S14" s="208">
        <v>5.2900000000000003E-2</v>
      </c>
      <c r="T14" s="208">
        <v>5.2900000000000003E-2</v>
      </c>
      <c r="U14" s="208">
        <v>5.2900000000000003E-2</v>
      </c>
    </row>
    <row r="15" spans="1:21" x14ac:dyDescent="0.35">
      <c r="B15" s="191" t="s">
        <v>96</v>
      </c>
      <c r="C15" s="195">
        <v>70.128347239762562</v>
      </c>
      <c r="D15" s="195">
        <v>169.53236262796426</v>
      </c>
      <c r="E15" s="202">
        <v>175.16800744067538</v>
      </c>
      <c r="F15" s="202">
        <v>220.9164757761522</v>
      </c>
      <c r="G15" s="202">
        <v>378.99891869451</v>
      </c>
      <c r="H15" s="202">
        <v>592.09732554308664</v>
      </c>
      <c r="I15" s="202">
        <v>850.15796053370491</v>
      </c>
      <c r="J15" s="202">
        <v>1213.807224224119</v>
      </c>
      <c r="K15" s="202">
        <v>1272.4404875269622</v>
      </c>
      <c r="L15" s="202">
        <v>1419.4793538324402</v>
      </c>
      <c r="M15" s="202">
        <v>703.03791479713823</v>
      </c>
      <c r="N15" s="202">
        <v>725.20876171863495</v>
      </c>
      <c r="O15" s="202">
        <v>1078.7131015905968</v>
      </c>
      <c r="P15" s="202">
        <v>1284.5514383810939</v>
      </c>
      <c r="Q15" s="202">
        <v>1386.2907812806272</v>
      </c>
      <c r="R15" s="202">
        <v>1513.9380222402069</v>
      </c>
      <c r="S15" s="202">
        <v>1616.6512908119569</v>
      </c>
      <c r="T15" s="202">
        <v>1821.212715685336</v>
      </c>
      <c r="U15" s="202">
        <v>1889.8257806074512</v>
      </c>
    </row>
    <row r="16" spans="1:21" x14ac:dyDescent="0.35">
      <c r="B16" s="51"/>
      <c r="C16" s="62"/>
    </row>
    <row r="19" spans="2:14" x14ac:dyDescent="0.35">
      <c r="B19" s="51"/>
      <c r="C19" s="49"/>
    </row>
    <row r="20" spans="2:14" x14ac:dyDescent="0.35">
      <c r="C20" s="49"/>
    </row>
    <row r="22" spans="2:14" x14ac:dyDescent="0.35">
      <c r="C22" s="51"/>
    </row>
    <row r="23" spans="2:14" x14ac:dyDescent="0.35">
      <c r="C23" s="62"/>
    </row>
    <row r="24" spans="2:14" x14ac:dyDescent="0.35">
      <c r="B24" s="51"/>
      <c r="C24" s="62"/>
      <c r="N24" s="62"/>
    </row>
    <row r="25" spans="2:14" x14ac:dyDescent="0.35">
      <c r="N25" s="62"/>
    </row>
  </sheetData>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pageSetUpPr fitToPage="1"/>
  </sheetPr>
  <dimension ref="A1:CV268"/>
  <sheetViews>
    <sheetView zoomScale="85" zoomScaleNormal="85" zoomScaleSheetLayoutView="80" workbookViewId="0">
      <selection sqref="A1:CY2"/>
    </sheetView>
  </sheetViews>
  <sheetFormatPr defaultColWidth="9.1796875" defaultRowHeight="15" customHeight="1" zeroHeight="1" outlineLevelRow="1" x14ac:dyDescent="0.35"/>
  <cols>
    <col min="1" max="1" width="3.1796875" style="1" customWidth="1"/>
    <col min="2" max="2" width="50" style="40" customWidth="1"/>
    <col min="3" max="10" width="15.26953125" style="40" bestFit="1" customWidth="1"/>
    <col min="11" max="11" width="14" style="40" bestFit="1" customWidth="1"/>
    <col min="12" max="12" width="18.54296875" style="40" bestFit="1" customWidth="1"/>
    <col min="13" max="14" width="9.1796875" style="170"/>
    <col min="15" max="15" width="9.1796875" style="40"/>
    <col min="16" max="16" width="52.54296875" style="40" bestFit="1" customWidth="1"/>
    <col min="17" max="17" width="14.1796875" style="40" bestFit="1" customWidth="1"/>
    <col min="18" max="19" width="12.7265625" style="40" bestFit="1" customWidth="1"/>
    <col min="20" max="20" width="14.1796875" style="40" bestFit="1" customWidth="1"/>
    <col min="21" max="25" width="13.54296875" style="40" bestFit="1" customWidth="1"/>
    <col min="26" max="26" width="11.453125" style="40" bestFit="1" customWidth="1"/>
    <col min="27" max="27" width="9.1796875" style="40"/>
    <col min="28" max="28" width="9.1796875" style="182"/>
    <col min="29" max="29" width="9.1796875" style="40"/>
    <col min="30" max="30" width="48.1796875" style="40" bestFit="1" customWidth="1"/>
    <col min="31" max="33" width="12.7265625" style="40" bestFit="1" customWidth="1"/>
    <col min="34" max="39" width="13.54296875" style="40" bestFit="1" customWidth="1"/>
    <col min="40" max="41" width="13.81640625" style="40" bestFit="1" customWidth="1"/>
    <col min="42" max="47" width="13.54296875" style="40" bestFit="1" customWidth="1"/>
    <col min="48" max="48" width="14.54296875" style="40" bestFit="1" customWidth="1"/>
    <col min="49" max="51" width="13.54296875" style="40" bestFit="1" customWidth="1"/>
    <col min="52" max="53" width="13.81640625" style="40" bestFit="1" customWidth="1"/>
    <col min="54" max="54" width="16.26953125" style="40" bestFit="1" customWidth="1"/>
    <col min="55" max="55" width="12.7265625" style="40" bestFit="1" customWidth="1"/>
    <col min="56" max="56" width="14.7265625" style="40" bestFit="1" customWidth="1"/>
    <col min="57" max="57" width="9.1796875" style="40"/>
    <col min="58" max="58" width="9.1796875" style="170"/>
    <col min="59" max="59" width="31.81640625" style="40" bestFit="1" customWidth="1"/>
    <col min="60" max="60" width="24.81640625" style="40" bestFit="1" customWidth="1"/>
    <col min="61" max="61" width="15" style="40" bestFit="1" customWidth="1"/>
    <col min="62" max="62" width="28.54296875" style="40" bestFit="1" customWidth="1"/>
    <col min="63" max="63" width="15.26953125" style="40" bestFit="1" customWidth="1"/>
    <col min="64" max="69" width="14.26953125" style="40" bestFit="1" customWidth="1"/>
    <col min="70" max="73" width="14.54296875" style="40" bestFit="1" customWidth="1"/>
    <col min="74" max="74" width="11.26953125" style="40" bestFit="1" customWidth="1"/>
    <col min="75" max="75" width="13.81640625" style="40" bestFit="1" customWidth="1"/>
    <col min="76" max="76" width="9.1796875" style="40"/>
    <col min="77" max="77" width="9.1796875" style="170"/>
    <col min="78" max="78" width="35.1796875" style="40" bestFit="1" customWidth="1"/>
    <col min="79" max="79" width="52.54296875" style="40" bestFit="1" customWidth="1"/>
    <col min="80" max="86" width="14.26953125" style="40" bestFit="1" customWidth="1"/>
    <col min="87" max="88" width="9.1796875" style="40"/>
    <col min="89" max="89" width="35.1796875" style="40" bestFit="1" customWidth="1"/>
    <col min="90" max="90" width="52.54296875" style="40" bestFit="1" customWidth="1"/>
    <col min="91" max="97" width="14.26953125" style="40" bestFit="1" customWidth="1"/>
    <col min="98" max="100" width="13.453125" style="40" bestFit="1" customWidth="1"/>
    <col min="101" max="16384" width="9.1796875" style="40"/>
  </cols>
  <sheetData>
    <row r="1" spans="1:100" ht="15" customHeight="1" x14ac:dyDescent="0.35">
      <c r="A1" s="268" t="s">
        <v>131</v>
      </c>
      <c r="O1" s="268" t="s">
        <v>131</v>
      </c>
      <c r="AC1" s="268" t="s">
        <v>131</v>
      </c>
      <c r="BG1" s="268" t="s">
        <v>131</v>
      </c>
    </row>
    <row r="2" spans="1:100" s="2" customFormat="1" ht="15.5" x14ac:dyDescent="0.35">
      <c r="A2" s="50" t="s">
        <v>80</v>
      </c>
      <c r="M2" s="170"/>
      <c r="N2" s="170"/>
      <c r="O2" s="269" t="s">
        <v>132</v>
      </c>
      <c r="Z2" s="149"/>
      <c r="AA2" s="149"/>
      <c r="AB2" s="177"/>
      <c r="AC2" s="50" t="s">
        <v>80</v>
      </c>
      <c r="AE2" s="91" t="s">
        <v>94</v>
      </c>
      <c r="AO2" s="143"/>
      <c r="AQ2" s="143"/>
      <c r="AU2" s="143"/>
      <c r="BA2" s="187">
        <f>BA3-BA4</f>
        <v>-21490.439999997616</v>
      </c>
      <c r="BB2" s="190" t="s">
        <v>89</v>
      </c>
      <c r="BF2" s="170"/>
      <c r="BG2" s="270" t="s">
        <v>133</v>
      </c>
      <c r="BH2" s="63"/>
      <c r="BI2" s="63"/>
      <c r="BJ2" s="63"/>
      <c r="BK2" s="61"/>
      <c r="BY2" s="170"/>
      <c r="BZ2" s="2" t="s">
        <v>122</v>
      </c>
    </row>
    <row r="3" spans="1:100" ht="16" thickBot="1" x14ac:dyDescent="0.4">
      <c r="A3" s="50" t="s">
        <v>64</v>
      </c>
      <c r="B3" s="36"/>
      <c r="Z3" s="149"/>
      <c r="AA3" s="149"/>
      <c r="AB3" s="177"/>
      <c r="AC3" s="50" t="s">
        <v>7</v>
      </c>
      <c r="AD3" s="36"/>
      <c r="AE3" s="91" t="s">
        <v>93</v>
      </c>
      <c r="AF3" s="55"/>
      <c r="AG3" s="55"/>
      <c r="AH3" s="55"/>
      <c r="AI3" s="55"/>
      <c r="AJ3" s="55"/>
      <c r="AN3" s="43"/>
      <c r="AO3" s="43"/>
      <c r="AQ3" s="43"/>
      <c r="AR3" s="43"/>
      <c r="AT3" s="43"/>
      <c r="AU3" s="43"/>
      <c r="AV3" s="43"/>
      <c r="AW3" s="43"/>
      <c r="AZ3" s="43"/>
      <c r="BA3" s="43">
        <f>SUM(AE7:AW7)</f>
        <v>89531221.039999992</v>
      </c>
      <c r="BB3" s="40" t="s">
        <v>91</v>
      </c>
      <c r="BG3" s="61"/>
      <c r="BH3" s="101"/>
      <c r="BI3" s="63"/>
      <c r="BJ3" s="63"/>
      <c r="BK3" s="63"/>
      <c r="BL3" s="2"/>
      <c r="BM3" s="2"/>
      <c r="BN3" s="2"/>
      <c r="BO3" s="2"/>
      <c r="BZ3" s="2" t="s">
        <v>117</v>
      </c>
      <c r="CB3" s="12">
        <v>44501</v>
      </c>
      <c r="CC3" s="12">
        <v>44531</v>
      </c>
      <c r="CD3" s="12">
        <v>44562</v>
      </c>
      <c r="CE3" s="12">
        <v>44593</v>
      </c>
      <c r="CF3" s="12">
        <v>44621</v>
      </c>
      <c r="CG3" s="12">
        <v>44652</v>
      </c>
      <c r="CH3" s="12">
        <v>44682</v>
      </c>
      <c r="CK3" s="40" t="s">
        <v>121</v>
      </c>
      <c r="CM3" s="12">
        <v>44501</v>
      </c>
      <c r="CN3" s="12">
        <v>44531</v>
      </c>
      <c r="CO3" s="12">
        <v>44562</v>
      </c>
      <c r="CP3" s="12">
        <v>44593</v>
      </c>
      <c r="CQ3" s="12">
        <v>44621</v>
      </c>
      <c r="CR3" s="12">
        <v>44652</v>
      </c>
      <c r="CS3" s="12">
        <v>44682</v>
      </c>
    </row>
    <row r="4" spans="1:100" ht="15" customHeight="1" x14ac:dyDescent="0.35">
      <c r="P4" s="101"/>
      <c r="Q4" s="2"/>
      <c r="R4" s="2"/>
      <c r="S4" s="2"/>
      <c r="T4" s="2"/>
      <c r="U4" s="2"/>
      <c r="V4" s="2"/>
      <c r="Z4" s="149"/>
      <c r="AA4" s="149"/>
      <c r="AB4" s="177"/>
      <c r="AC4" s="101"/>
      <c r="AO4" s="43"/>
      <c r="BA4" s="43">
        <f>SUM('MEEIA 3 calcs'!F6:X6)</f>
        <v>89552711.479999989</v>
      </c>
      <c r="BB4" s="40" t="s">
        <v>92</v>
      </c>
      <c r="BG4" s="227" t="s">
        <v>105</v>
      </c>
      <c r="BH4" s="227" t="s">
        <v>106</v>
      </c>
      <c r="BI4" s="227"/>
      <c r="BJ4" s="227"/>
      <c r="BK4" s="61"/>
      <c r="BL4" s="284" t="s">
        <v>42</v>
      </c>
      <c r="BM4" s="278" t="s">
        <v>112</v>
      </c>
      <c r="BN4" s="278"/>
      <c r="BO4" s="278"/>
      <c r="BP4" s="278"/>
      <c r="BQ4" s="278"/>
      <c r="BR4" s="278"/>
      <c r="BS4" s="279"/>
      <c r="BT4" s="228"/>
      <c r="BZ4" s="44"/>
      <c r="CA4" s="13"/>
      <c r="CK4" s="44"/>
      <c r="CL4" s="13"/>
    </row>
    <row r="5" spans="1:100" ht="15.5" x14ac:dyDescent="0.35">
      <c r="A5" s="91" t="s">
        <v>88</v>
      </c>
      <c r="O5" s="50"/>
      <c r="P5" s="101"/>
      <c r="Q5" s="133"/>
      <c r="R5" s="133"/>
      <c r="S5" s="133"/>
      <c r="T5" s="133"/>
      <c r="U5" s="133"/>
      <c r="V5" s="133"/>
      <c r="Z5" s="149"/>
      <c r="AA5" s="149"/>
      <c r="AB5" s="177"/>
      <c r="AC5" s="6"/>
      <c r="AE5" s="12">
        <v>43525</v>
      </c>
      <c r="AF5" s="12">
        <v>43556</v>
      </c>
      <c r="AG5" s="12">
        <v>43586</v>
      </c>
      <c r="AH5" s="12">
        <v>43617</v>
      </c>
      <c r="AI5" s="12">
        <v>43647</v>
      </c>
      <c r="AJ5" s="12">
        <v>43678</v>
      </c>
      <c r="AK5" s="12">
        <v>43709</v>
      </c>
      <c r="AL5" s="12">
        <v>43739</v>
      </c>
      <c r="AM5" s="12">
        <v>43770</v>
      </c>
      <c r="AN5" s="12">
        <v>43800</v>
      </c>
      <c r="AO5" s="12">
        <v>43831</v>
      </c>
      <c r="AP5" s="12">
        <v>43862</v>
      </c>
      <c r="AQ5" s="12">
        <v>43891</v>
      </c>
      <c r="AR5" s="12">
        <v>43922</v>
      </c>
      <c r="AS5" s="12">
        <v>43952</v>
      </c>
      <c r="AT5" s="12">
        <v>43983</v>
      </c>
      <c r="AU5" s="12">
        <v>44013</v>
      </c>
      <c r="AV5" s="12">
        <v>44044</v>
      </c>
      <c r="AW5" s="12">
        <v>44075</v>
      </c>
      <c r="AX5" s="12">
        <v>44105</v>
      </c>
      <c r="AY5" s="12">
        <v>44136</v>
      </c>
      <c r="AZ5" s="12">
        <v>44166</v>
      </c>
      <c r="BA5" s="12">
        <v>44197</v>
      </c>
      <c r="BB5" s="12">
        <v>44228</v>
      </c>
      <c r="BC5" s="12">
        <v>44256</v>
      </c>
      <c r="BG5" s="227" t="s">
        <v>43</v>
      </c>
      <c r="BH5" s="227">
        <v>202011</v>
      </c>
      <c r="BI5" s="227">
        <v>202102</v>
      </c>
      <c r="BJ5" s="227" t="s">
        <v>44</v>
      </c>
      <c r="BK5" s="61"/>
      <c r="BL5" s="285"/>
      <c r="BM5" s="280"/>
      <c r="BN5" s="280"/>
      <c r="BO5" s="280"/>
      <c r="BP5" s="280"/>
      <c r="BQ5" s="280"/>
      <c r="BR5" s="280"/>
      <c r="BS5" s="281"/>
      <c r="BT5" s="228"/>
      <c r="BZ5" s="274" t="s">
        <v>25</v>
      </c>
      <c r="CA5" s="17"/>
      <c r="CK5" s="274" t="s">
        <v>25</v>
      </c>
      <c r="CL5" s="17"/>
      <c r="CV5" s="64"/>
    </row>
    <row r="6" spans="1:100" ht="15" customHeight="1" thickBot="1" x14ac:dyDescent="0.4">
      <c r="A6" s="6"/>
      <c r="C6" s="12">
        <v>43525</v>
      </c>
      <c r="D6" s="12">
        <v>43556</v>
      </c>
      <c r="E6" s="12">
        <v>43586</v>
      </c>
      <c r="F6" s="12">
        <v>43617</v>
      </c>
      <c r="G6" s="12">
        <v>43677</v>
      </c>
      <c r="H6" s="12">
        <v>43708</v>
      </c>
      <c r="I6" s="12">
        <v>43738</v>
      </c>
      <c r="J6" s="12">
        <v>43769</v>
      </c>
      <c r="O6" s="101"/>
      <c r="Z6" s="149"/>
      <c r="AA6" s="149"/>
      <c r="AB6" s="177"/>
      <c r="AC6" s="277" t="s">
        <v>0</v>
      </c>
      <c r="AD6" s="7"/>
      <c r="AE6" s="31"/>
      <c r="AF6" s="31"/>
      <c r="AG6" s="31"/>
      <c r="AH6" s="31"/>
      <c r="AI6" s="31"/>
      <c r="AJ6" s="31"/>
      <c r="AK6" s="31"/>
      <c r="AL6" s="31"/>
      <c r="AM6" s="31"/>
      <c r="AN6" s="9"/>
      <c r="AO6" s="31"/>
      <c r="AP6" s="31"/>
      <c r="AQ6" s="31"/>
      <c r="AR6" s="31"/>
      <c r="AS6" s="31"/>
      <c r="AT6" s="31"/>
      <c r="AU6" s="31"/>
      <c r="AV6" s="31"/>
      <c r="AW6" s="31"/>
      <c r="AX6" s="31"/>
      <c r="AY6" s="31"/>
      <c r="AZ6" s="31"/>
      <c r="BA6" s="31"/>
      <c r="BB6" s="31"/>
      <c r="BC6" s="31"/>
      <c r="BG6" s="215" t="s">
        <v>107</v>
      </c>
      <c r="BH6" s="62">
        <v>55359.71</v>
      </c>
      <c r="BI6" s="62">
        <v>5108</v>
      </c>
      <c r="BJ6" s="62">
        <v>60467.71</v>
      </c>
      <c r="BK6" s="61"/>
      <c r="BL6" s="286"/>
      <c r="BM6" s="282"/>
      <c r="BN6" s="282"/>
      <c r="BO6" s="282"/>
      <c r="BP6" s="282"/>
      <c r="BQ6" s="282"/>
      <c r="BR6" s="282"/>
      <c r="BS6" s="283"/>
      <c r="BT6" s="228"/>
      <c r="BZ6" s="274"/>
      <c r="CA6" s="17" t="s">
        <v>28</v>
      </c>
      <c r="CB6" s="247">
        <v>1693340.1593012405</v>
      </c>
      <c r="CC6" s="247">
        <v>2043834.5150522972</v>
      </c>
      <c r="CD6" s="247">
        <v>2546894.0685010902</v>
      </c>
      <c r="CE6" s="247">
        <v>2089616.4766016018</v>
      </c>
      <c r="CF6" s="247">
        <v>912247.85076541686</v>
      </c>
      <c r="CG6" s="247">
        <v>846334.21711913729</v>
      </c>
      <c r="CH6" s="247">
        <v>1066637.678205363</v>
      </c>
      <c r="CK6" s="274"/>
      <c r="CL6" s="17" t="s">
        <v>28</v>
      </c>
      <c r="CM6" s="247">
        <v>1693340.1593012405</v>
      </c>
      <c r="CN6" s="247">
        <v>2043834.5150522967</v>
      </c>
      <c r="CO6" s="247">
        <v>2546894.0685010906</v>
      </c>
      <c r="CP6" s="247">
        <v>2089616.4766016016</v>
      </c>
      <c r="CQ6" s="247">
        <v>912247.85076541686</v>
      </c>
      <c r="CR6" s="247">
        <v>846334.21711913729</v>
      </c>
      <c r="CS6" s="247">
        <v>1066637.678205363</v>
      </c>
      <c r="CV6" s="88"/>
    </row>
    <row r="7" spans="1:100" s="5" customFormat="1" ht="15" customHeight="1" outlineLevel="1" x14ac:dyDescent="0.35">
      <c r="A7" s="274" t="s">
        <v>20</v>
      </c>
      <c r="B7" s="17"/>
      <c r="C7" s="9"/>
      <c r="D7" s="9"/>
      <c r="E7" s="9"/>
      <c r="F7" s="9"/>
      <c r="G7" s="9"/>
      <c r="H7" s="9"/>
      <c r="I7" s="9"/>
      <c r="J7" s="9"/>
      <c r="M7" s="171"/>
      <c r="N7" s="171"/>
      <c r="O7" s="6"/>
      <c r="P7" s="40"/>
      <c r="Q7" s="31"/>
      <c r="R7" s="31"/>
      <c r="S7" s="31"/>
      <c r="T7" s="31"/>
      <c r="U7" s="31"/>
      <c r="V7" s="31"/>
      <c r="W7" s="31"/>
      <c r="X7" s="31"/>
      <c r="Y7" s="31"/>
      <c r="Z7" s="31"/>
      <c r="AA7" s="31"/>
      <c r="AB7" s="178"/>
      <c r="AC7" s="277"/>
      <c r="AD7" s="7" t="s">
        <v>9</v>
      </c>
      <c r="AE7" s="129">
        <v>3252815.75</v>
      </c>
      <c r="AF7" s="129">
        <v>1422986.87</v>
      </c>
      <c r="AG7" s="129">
        <v>2645551.35</v>
      </c>
      <c r="AH7" s="129">
        <v>3088690.25</v>
      </c>
      <c r="AI7" s="129">
        <v>3806682.5</v>
      </c>
      <c r="AJ7" s="23">
        <v>5667444.0099999998</v>
      </c>
      <c r="AK7" s="141">
        <v>4672438.71</v>
      </c>
      <c r="AL7" s="24">
        <v>4693766.1500000032</v>
      </c>
      <c r="AM7" s="129">
        <v>7981786.4500000002</v>
      </c>
      <c r="AN7" s="141">
        <v>14291134.550000001</v>
      </c>
      <c r="AO7" s="141">
        <v>2300283.0099999998</v>
      </c>
      <c r="AP7" s="129">
        <v>3259237</v>
      </c>
      <c r="AQ7" s="23">
        <v>4668387.1399999997</v>
      </c>
      <c r="AR7" s="129">
        <v>3350399.73</v>
      </c>
      <c r="AS7" s="129">
        <v>3508689.71</v>
      </c>
      <c r="AT7" s="23">
        <v>4570550.08</v>
      </c>
      <c r="AU7" s="129">
        <v>4337315.05</v>
      </c>
      <c r="AV7" s="129">
        <v>5131582.76</v>
      </c>
      <c r="AW7" s="129">
        <v>6881479.9699999997</v>
      </c>
      <c r="AX7" s="23">
        <v>5075926.8299999991</v>
      </c>
      <c r="AY7" s="23">
        <v>8226323.5899999999</v>
      </c>
      <c r="AZ7" s="23">
        <v>17050986.669999998</v>
      </c>
      <c r="BA7" s="23">
        <v>3390691.4000000004</v>
      </c>
      <c r="BB7" s="23">
        <v>3040542.4899999993</v>
      </c>
      <c r="BC7" s="23">
        <v>6776151.4500000002</v>
      </c>
      <c r="BF7" s="171"/>
      <c r="BG7" s="225" t="s">
        <v>44</v>
      </c>
      <c r="BH7" s="226">
        <v>55359.71</v>
      </c>
      <c r="BI7" s="226">
        <v>5108</v>
      </c>
      <c r="BJ7" s="226">
        <v>60467.71</v>
      </c>
      <c r="BK7" s="60" t="s">
        <v>42</v>
      </c>
      <c r="BL7" s="229"/>
      <c r="BM7" s="228"/>
      <c r="BN7" s="228"/>
      <c r="BO7" s="228"/>
      <c r="BP7" s="228"/>
      <c r="BQ7" s="228"/>
      <c r="BR7" s="228"/>
      <c r="BS7" s="228"/>
      <c r="BT7" s="228"/>
      <c r="BY7" s="171"/>
      <c r="BZ7" s="274"/>
      <c r="CA7" s="18" t="s">
        <v>26</v>
      </c>
      <c r="CB7" s="247">
        <v>2313567.6800000002</v>
      </c>
      <c r="CC7" s="247">
        <v>2791286.27</v>
      </c>
      <c r="CD7" s="247">
        <v>3345196.33</v>
      </c>
      <c r="CE7" s="247">
        <v>2693584.13</v>
      </c>
      <c r="CF7" s="247">
        <v>1313029.4300000002</v>
      </c>
      <c r="CG7" s="247">
        <v>1059088.8899999999</v>
      </c>
      <c r="CH7" s="247">
        <v>1067990.67</v>
      </c>
      <c r="CK7" s="274"/>
      <c r="CL7" s="18" t="s">
        <v>26</v>
      </c>
      <c r="CM7" s="247">
        <v>2313567.6799999997</v>
      </c>
      <c r="CN7" s="247">
        <v>2791286.27</v>
      </c>
      <c r="CO7" s="247">
        <v>3345196.33</v>
      </c>
      <c r="CP7" s="247">
        <v>2693584.13</v>
      </c>
      <c r="CQ7" s="247">
        <v>1313029.43</v>
      </c>
      <c r="CR7" s="247">
        <v>1059088.8899999999</v>
      </c>
      <c r="CS7" s="247">
        <v>1067990.67</v>
      </c>
      <c r="CV7" s="88"/>
    </row>
    <row r="8" spans="1:100" s="3" customFormat="1" ht="15" customHeight="1" outlineLevel="1" thickBot="1" x14ac:dyDescent="0.4">
      <c r="A8" s="274"/>
      <c r="B8" s="17" t="s">
        <v>28</v>
      </c>
      <c r="C8" s="22">
        <f>C88</f>
        <v>0</v>
      </c>
      <c r="D8" s="22">
        <f t="shared" ref="D8:J8" si="0">D88</f>
        <v>3542.7066619947968</v>
      </c>
      <c r="E8" s="22">
        <f t="shared" si="0"/>
        <v>26593.748856903429</v>
      </c>
      <c r="F8" s="22">
        <f t="shared" si="0"/>
        <v>243363.92907678595</v>
      </c>
      <c r="G8" s="22">
        <f t="shared" si="0"/>
        <v>441129.8099540461</v>
      </c>
      <c r="H8" s="22">
        <f t="shared" si="0"/>
        <v>538094.32023088727</v>
      </c>
      <c r="I8" s="22">
        <f t="shared" si="0"/>
        <v>374963.26089269412</v>
      </c>
      <c r="J8" s="22">
        <f t="shared" si="0"/>
        <v>137835.66546242539</v>
      </c>
      <c r="M8" s="172"/>
      <c r="N8" s="172"/>
      <c r="O8" s="166" t="s">
        <v>0</v>
      </c>
      <c r="P8" s="159"/>
      <c r="Q8" s="31"/>
      <c r="R8" s="31"/>
      <c r="S8" s="31"/>
      <c r="T8" s="31"/>
      <c r="U8" s="31"/>
      <c r="V8" s="31"/>
      <c r="W8" s="31"/>
      <c r="X8" s="31"/>
      <c r="Y8" s="31"/>
      <c r="Z8" s="139"/>
      <c r="AA8" s="31"/>
      <c r="AB8" s="178"/>
      <c r="AC8" s="277"/>
      <c r="AD8" s="7" t="s">
        <v>10</v>
      </c>
      <c r="AE8" s="24">
        <v>0</v>
      </c>
      <c r="AF8" s="24">
        <v>0</v>
      </c>
      <c r="AG8" s="24">
        <v>453008.63</v>
      </c>
      <c r="AH8" s="24">
        <v>6131398.7699999996</v>
      </c>
      <c r="AI8" s="24">
        <v>7440020.2300000004</v>
      </c>
      <c r="AJ8" s="24">
        <v>7787637.1200000001</v>
      </c>
      <c r="AK8" s="23">
        <v>7415530.5499999998</v>
      </c>
      <c r="AL8" s="24">
        <v>6393806.0300000003</v>
      </c>
      <c r="AM8" s="24">
        <v>5729648.6699999999</v>
      </c>
      <c r="AN8" s="23">
        <v>7016994.2000000002</v>
      </c>
      <c r="AO8" s="24">
        <v>7580344.1500000004</v>
      </c>
      <c r="AP8" s="24">
        <v>6780583.4199999999</v>
      </c>
      <c r="AQ8" s="24">
        <v>5258818.8899999997</v>
      </c>
      <c r="AR8" s="24">
        <v>4379338.6900000004</v>
      </c>
      <c r="AS8" s="24">
        <v>4010923.17</v>
      </c>
      <c r="AT8" s="24">
        <v>4897738.25</v>
      </c>
      <c r="AU8" s="24">
        <v>6248757.4000000004</v>
      </c>
      <c r="AV8" s="24">
        <v>6053644.0300000003</v>
      </c>
      <c r="AW8" s="24">
        <v>5708518.8099999996</v>
      </c>
      <c r="AX8" s="24">
        <v>4362797.6900000004</v>
      </c>
      <c r="AY8" s="24">
        <v>4453895.6900000004</v>
      </c>
      <c r="AZ8" s="24">
        <v>5320333.05</v>
      </c>
      <c r="BA8" s="24">
        <v>6316759.2699999996</v>
      </c>
      <c r="BB8" s="24">
        <v>7583892.4100000001</v>
      </c>
      <c r="BC8" s="24">
        <v>7418563.8899999997</v>
      </c>
      <c r="BF8" s="172"/>
      <c r="BG8" s="61"/>
      <c r="BH8" s="61"/>
      <c r="BI8" s="61"/>
      <c r="BJ8" s="61"/>
      <c r="BK8" s="61"/>
      <c r="BL8" s="229"/>
      <c r="BM8" s="228"/>
      <c r="BN8" s="228"/>
      <c r="BO8" s="228"/>
      <c r="BP8" s="228"/>
      <c r="BQ8" s="228"/>
      <c r="BR8" s="228"/>
      <c r="BS8" s="228"/>
      <c r="BT8" s="228"/>
      <c r="BY8" s="172"/>
      <c r="BZ8" s="274"/>
      <c r="CA8" s="18" t="s">
        <v>51</v>
      </c>
      <c r="CB8" s="247">
        <v>-281268.86</v>
      </c>
      <c r="CC8" s="247">
        <v>-341119.99</v>
      </c>
      <c r="CD8" s="247">
        <v>-424246.17</v>
      </c>
      <c r="CE8" s="247">
        <v>-37488.600000000006</v>
      </c>
      <c r="CF8" s="247">
        <v>-16454.500000000015</v>
      </c>
      <c r="CG8" s="247">
        <v>-60641.26999999999</v>
      </c>
      <c r="CH8" s="247">
        <v>8124.2599999999948</v>
      </c>
      <c r="CK8" s="274"/>
      <c r="CL8" s="18" t="s">
        <v>51</v>
      </c>
      <c r="CM8" s="247">
        <v>-281268.86</v>
      </c>
      <c r="CN8" s="247">
        <v>-341119.99</v>
      </c>
      <c r="CO8" s="247">
        <v>-424246.17</v>
      </c>
      <c r="CP8" s="247">
        <v>-37488.600000000006</v>
      </c>
      <c r="CQ8" s="247">
        <v>-16454.500000000015</v>
      </c>
      <c r="CR8" s="247">
        <v>-60641.26999999999</v>
      </c>
      <c r="CS8" s="247">
        <v>8124.2599999999948</v>
      </c>
      <c r="CV8" s="88"/>
    </row>
    <row r="9" spans="1:100" s="5" customFormat="1" ht="15" customHeight="1" outlineLevel="1" x14ac:dyDescent="0.35">
      <c r="A9" s="274"/>
      <c r="B9" s="18" t="s">
        <v>26</v>
      </c>
      <c r="C9" s="22">
        <f>IF('M3 Allocations - TD'!D51="","",'M3 Allocations - TD'!D69)</f>
        <v>0</v>
      </c>
      <c r="D9" s="22">
        <f>IF('M3 Allocations - TD'!E51="","",'M3 Allocations - TD'!E69)</f>
        <v>0</v>
      </c>
      <c r="E9" s="22">
        <f>IF('M3 Allocations - TD'!F51="","",'M3 Allocations - TD'!F69)</f>
        <v>28636.335868779192</v>
      </c>
      <c r="F9" s="22">
        <f>IF('M3 Allocations - TD'!G51="","",'M3 Allocations - TD'!G69)</f>
        <v>344669.92129031231</v>
      </c>
      <c r="G9" s="22">
        <f>IF('M3 Allocations - TD'!H51="","",'M3 Allocations - TD'!H69)</f>
        <v>437739.69493695599</v>
      </c>
      <c r="H9" s="22">
        <f>IF('M3 Allocations - TD'!I51="","",'M3 Allocations - TD'!I69)</f>
        <v>461093.89388914994</v>
      </c>
      <c r="I9" s="22">
        <f>IF('M3 Allocations - TD'!J51="","",'M3 Allocations - TD'!J69)</f>
        <v>425531.99443758972</v>
      </c>
      <c r="J9" s="22">
        <f>IF('M3 Allocations - TD'!K51="","",'M3 Allocations - TD'!K69)</f>
        <v>350101.97926152864</v>
      </c>
      <c r="M9" s="171"/>
      <c r="N9" s="171"/>
      <c r="O9" s="166"/>
      <c r="P9" s="159"/>
      <c r="Q9" s="150"/>
      <c r="R9" s="150"/>
      <c r="S9" s="150"/>
      <c r="T9" s="150"/>
      <c r="U9" s="150"/>
      <c r="V9" s="150"/>
      <c r="W9" s="139"/>
      <c r="X9" s="139"/>
      <c r="Y9" s="150"/>
      <c r="Z9" s="139"/>
      <c r="AA9" s="139"/>
      <c r="AB9" s="179"/>
      <c r="AC9" s="277"/>
      <c r="AD9" s="7" t="s">
        <v>11</v>
      </c>
      <c r="AE9" s="9">
        <v>3252815.75</v>
      </c>
      <c r="AF9" s="9">
        <v>1422986.87</v>
      </c>
      <c r="AG9" s="9">
        <v>2192542.7200000002</v>
      </c>
      <c r="AH9" s="10">
        <v>-3042708.5199999996</v>
      </c>
      <c r="AI9" s="10">
        <v>-3633337.7300000004</v>
      </c>
      <c r="AJ9" s="10">
        <v>-2120193.1100000003</v>
      </c>
      <c r="AK9" s="10">
        <v>-2743091.84</v>
      </c>
      <c r="AL9" s="10">
        <v>-1700039.8799999971</v>
      </c>
      <c r="AM9" s="10">
        <v>2252137.7800000003</v>
      </c>
      <c r="AN9" s="10">
        <v>7274140.3500000006</v>
      </c>
      <c r="AO9" s="10">
        <v>-5280061.1400000006</v>
      </c>
      <c r="AP9" s="10">
        <v>-3521346.42</v>
      </c>
      <c r="AQ9" s="10">
        <v>-590431.75</v>
      </c>
      <c r="AR9" s="10">
        <v>-1028938.9600000004</v>
      </c>
      <c r="AS9" s="10">
        <v>-502233.45999999996</v>
      </c>
      <c r="AT9" s="10">
        <v>-327188.16999999993</v>
      </c>
      <c r="AU9" s="10">
        <v>-1911442.3500000006</v>
      </c>
      <c r="AV9" s="10">
        <v>-922061.27000000048</v>
      </c>
      <c r="AW9" s="10">
        <v>1172961.1600000001</v>
      </c>
      <c r="AX9" s="10">
        <v>713129.13999999873</v>
      </c>
      <c r="AY9" s="10">
        <v>3772427.8999999994</v>
      </c>
      <c r="AZ9" s="10">
        <v>11730653.619999997</v>
      </c>
      <c r="BA9" s="10">
        <v>-2926067.8699999992</v>
      </c>
      <c r="BB9" s="10">
        <v>-4543349.9200000009</v>
      </c>
      <c r="BC9" s="10">
        <v>-642412.43999999948</v>
      </c>
      <c r="BF9" s="171"/>
      <c r="BG9" s="216" t="s">
        <v>108</v>
      </c>
      <c r="BH9" s="217" t="s">
        <v>109</v>
      </c>
      <c r="BI9" s="217" t="s">
        <v>110</v>
      </c>
      <c r="BJ9" s="218" t="s">
        <v>111</v>
      </c>
      <c r="BK9" s="61"/>
      <c r="BL9" s="229"/>
      <c r="BM9" s="228"/>
      <c r="BN9" s="228"/>
      <c r="BO9" s="228"/>
      <c r="BP9" s="228"/>
      <c r="BQ9" s="228"/>
      <c r="BR9" s="228"/>
      <c r="BS9" s="228"/>
      <c r="BT9" s="228"/>
      <c r="BY9" s="171"/>
      <c r="BZ9" s="274"/>
      <c r="CA9" s="18" t="s">
        <v>52</v>
      </c>
      <c r="CB9" s="247">
        <v>2032298.8200000003</v>
      </c>
      <c r="CC9" s="247">
        <v>2450166.2800000003</v>
      </c>
      <c r="CD9" s="247">
        <v>2920950.16</v>
      </c>
      <c r="CE9" s="247">
        <v>2656095.5300000003</v>
      </c>
      <c r="CF9" s="247">
        <v>1296574.93</v>
      </c>
      <c r="CG9" s="247">
        <v>998447.61999999988</v>
      </c>
      <c r="CH9" s="247">
        <v>1076114.93</v>
      </c>
      <c r="CK9" s="274"/>
      <c r="CL9" s="18" t="s">
        <v>52</v>
      </c>
      <c r="CM9" s="247">
        <v>2032298.82</v>
      </c>
      <c r="CN9" s="247">
        <v>2450166.2800000003</v>
      </c>
      <c r="CO9" s="247">
        <v>2920950.16</v>
      </c>
      <c r="CP9" s="247">
        <v>2656095.5300000003</v>
      </c>
      <c r="CQ9" s="247">
        <v>1296574.9300000002</v>
      </c>
      <c r="CR9" s="247">
        <v>998447.61999999988</v>
      </c>
      <c r="CS9" s="247">
        <v>1076114.93</v>
      </c>
      <c r="CV9" s="88"/>
    </row>
    <row r="10" spans="1:100" s="5" customFormat="1" ht="15" customHeight="1" outlineLevel="1" thickBot="1" x14ac:dyDescent="0.4">
      <c r="A10" s="274"/>
      <c r="B10" s="18" t="s">
        <v>51</v>
      </c>
      <c r="C10" s="22">
        <f>IF(C9="","",0)</f>
        <v>0</v>
      </c>
      <c r="D10" s="22">
        <f t="shared" ref="D10:J10" si="1">IF(D9="","",0)</f>
        <v>0</v>
      </c>
      <c r="E10" s="22">
        <f t="shared" si="1"/>
        <v>0</v>
      </c>
      <c r="F10" s="22">
        <f t="shared" si="1"/>
        <v>0</v>
      </c>
      <c r="G10" s="22">
        <f t="shared" si="1"/>
        <v>0</v>
      </c>
      <c r="H10" s="22">
        <f t="shared" si="1"/>
        <v>0</v>
      </c>
      <c r="I10" s="22">
        <f t="shared" si="1"/>
        <v>0</v>
      </c>
      <c r="J10" s="22">
        <f t="shared" si="1"/>
        <v>0</v>
      </c>
      <c r="M10" s="171"/>
      <c r="N10" s="171"/>
      <c r="O10" s="166"/>
      <c r="P10" s="159"/>
      <c r="Q10" s="139"/>
      <c r="R10" s="139"/>
      <c r="S10" s="139"/>
      <c r="T10" s="139"/>
      <c r="U10" s="139"/>
      <c r="V10" s="139"/>
      <c r="W10" s="150"/>
      <c r="X10" s="139"/>
      <c r="Y10" s="139"/>
      <c r="Z10" s="150"/>
      <c r="AA10" s="139"/>
      <c r="AB10" s="180"/>
      <c r="AC10" s="277"/>
      <c r="AD10" s="7" t="s">
        <v>4</v>
      </c>
      <c r="AE10" s="25">
        <v>2.7878150000000001E-2</v>
      </c>
      <c r="AF10" s="25">
        <v>2.6622739999999999E-2</v>
      </c>
      <c r="AG10" s="25">
        <v>2.677361E-2</v>
      </c>
      <c r="AH10" s="25">
        <v>2.6500570000000001E-2</v>
      </c>
      <c r="AI10" s="25">
        <v>2.594869E-2</v>
      </c>
      <c r="AJ10" s="25">
        <v>2.3511899999999999E-2</v>
      </c>
      <c r="AK10" s="25">
        <v>2.21687E-2</v>
      </c>
      <c r="AL10" s="25">
        <v>2.113932E-2</v>
      </c>
      <c r="AM10" s="25">
        <v>1.8159890000000001E-2</v>
      </c>
      <c r="AN10" s="25">
        <v>1.9151990000000001E-2</v>
      </c>
      <c r="AO10" s="25">
        <v>1.8890779999999999E-2</v>
      </c>
      <c r="AP10" s="25">
        <v>1.8035829999999999E-2</v>
      </c>
      <c r="AQ10" s="25">
        <v>1.888592E-2</v>
      </c>
      <c r="AR10" s="25">
        <v>9.3845999999999999E-3</v>
      </c>
      <c r="AS10" s="25">
        <v>1.2906700000000001E-3</v>
      </c>
      <c r="AT10" s="25">
        <v>1.2563100000000001E-3</v>
      </c>
      <c r="AU10" s="25">
        <v>1.9366299999999999E-3</v>
      </c>
      <c r="AV10" s="25">
        <v>1.3658500000000001E-3</v>
      </c>
      <c r="AW10" s="25">
        <v>1.23916E-3</v>
      </c>
      <c r="AX10" s="25">
        <v>2E-3</v>
      </c>
      <c r="AY10" s="25">
        <v>2.5244400000000002E-3</v>
      </c>
      <c r="AZ10" s="25">
        <v>2.8469900000000002E-3</v>
      </c>
      <c r="BA10" s="25">
        <v>2.0613900000000002E-3</v>
      </c>
      <c r="BB10" s="25">
        <v>2.3221700000000001E-3</v>
      </c>
      <c r="BC10" s="25">
        <v>2.1367399999999998E-3</v>
      </c>
      <c r="BF10" s="171"/>
      <c r="BG10" s="219" t="s">
        <v>41</v>
      </c>
      <c r="BH10" s="220">
        <v>-60467.71</v>
      </c>
      <c r="BI10" s="221">
        <v>1</v>
      </c>
      <c r="BJ10" s="222">
        <v>-124.32999999999993</v>
      </c>
      <c r="BK10" s="61"/>
      <c r="BL10" s="229"/>
      <c r="BM10" s="228"/>
      <c r="BN10" s="228"/>
      <c r="BO10" s="228"/>
      <c r="BP10" s="228"/>
      <c r="BQ10" s="228"/>
      <c r="BR10" s="228"/>
      <c r="BS10" s="228"/>
      <c r="BT10" s="228"/>
      <c r="BY10" s="171"/>
      <c r="BZ10" s="274"/>
      <c r="CA10" s="18" t="s">
        <v>13</v>
      </c>
      <c r="CB10" s="247">
        <v>-338958.66069875972</v>
      </c>
      <c r="CC10" s="247">
        <v>-406331.76494770299</v>
      </c>
      <c r="CD10" s="247">
        <v>-374056.09149891004</v>
      </c>
      <c r="CE10" s="247">
        <v>-566479.05339839845</v>
      </c>
      <c r="CF10" s="247">
        <v>-384327.07923458319</v>
      </c>
      <c r="CG10" s="247">
        <v>-152113.4028808627</v>
      </c>
      <c r="CH10" s="247">
        <v>-9477.251794636868</v>
      </c>
      <c r="CK10" s="274"/>
      <c r="CL10" s="18" t="s">
        <v>13</v>
      </c>
      <c r="CM10" s="247">
        <v>-338958.6606987596</v>
      </c>
      <c r="CN10" s="247">
        <v>-406331.76494770328</v>
      </c>
      <c r="CO10" s="247">
        <v>-374056.09149890981</v>
      </c>
      <c r="CP10" s="247">
        <v>-566479.05339839868</v>
      </c>
      <c r="CQ10" s="247">
        <v>-384327.07923458319</v>
      </c>
      <c r="CR10" s="247">
        <v>-152113.40288086259</v>
      </c>
      <c r="CS10" s="247">
        <v>-9477.2517946368826</v>
      </c>
      <c r="CV10" s="88"/>
    </row>
    <row r="11" spans="1:100" s="5" customFormat="1" ht="15" customHeight="1" outlineLevel="1" x14ac:dyDescent="0.35">
      <c r="A11" s="274"/>
      <c r="B11" s="18" t="s">
        <v>52</v>
      </c>
      <c r="C11" s="9">
        <f>IF(OR(C10="",C9=""),"",C9+C10)</f>
        <v>0</v>
      </c>
      <c r="D11" s="9">
        <f t="shared" ref="D11:I11" si="2">IF(OR(D10="",D9=""),"",D9+D10)</f>
        <v>0</v>
      </c>
      <c r="E11" s="9">
        <f t="shared" si="2"/>
        <v>28636.335868779192</v>
      </c>
      <c r="F11" s="9">
        <f t="shared" si="2"/>
        <v>344669.92129031231</v>
      </c>
      <c r="G11" s="9">
        <f t="shared" si="2"/>
        <v>437739.69493695599</v>
      </c>
      <c r="H11" s="9">
        <f t="shared" si="2"/>
        <v>461093.89388914994</v>
      </c>
      <c r="I11" s="9">
        <f t="shared" si="2"/>
        <v>425531.99443758972</v>
      </c>
      <c r="J11" s="9">
        <f>IF(OR(J10="",J9=""),"",J9+J10)</f>
        <v>350101.97926152864</v>
      </c>
      <c r="M11" s="171"/>
      <c r="N11" s="171"/>
      <c r="O11" s="166"/>
      <c r="P11" s="159"/>
      <c r="Q11" s="139"/>
      <c r="R11" s="139"/>
      <c r="S11" s="139"/>
      <c r="T11" s="139"/>
      <c r="U11" s="139"/>
      <c r="V11" s="139"/>
      <c r="W11" s="139"/>
      <c r="X11" s="139"/>
      <c r="Y11" s="139"/>
      <c r="Z11" s="139"/>
      <c r="AA11" s="139"/>
      <c r="AB11" s="180"/>
      <c r="AC11" s="277"/>
      <c r="AD11" s="7" t="s">
        <v>5</v>
      </c>
      <c r="AE11" s="10">
        <v>9649.86</v>
      </c>
      <c r="AF11" s="10">
        <v>12393.7</v>
      </c>
      <c r="AG11" s="10">
        <v>17383.439999999999</v>
      </c>
      <c r="AH11" s="10">
        <v>10525.09</v>
      </c>
      <c r="AI11" s="10">
        <v>2471.9699999999998</v>
      </c>
      <c r="AJ11" s="10">
        <v>-1909.47</v>
      </c>
      <c r="AK11" s="10">
        <v>-6871.48</v>
      </c>
      <c r="AL11" s="10">
        <v>-9559.32</v>
      </c>
      <c r="AM11" s="10">
        <v>-4818.26</v>
      </c>
      <c r="AN11" s="10">
        <v>6520.35</v>
      </c>
      <c r="AO11" s="10">
        <v>-1870.36</v>
      </c>
      <c r="AP11" s="10">
        <v>-7081.06</v>
      </c>
      <c r="AQ11" s="10">
        <v>-8355.19</v>
      </c>
      <c r="AR11" s="10">
        <v>-4962.99</v>
      </c>
      <c r="AS11" s="10">
        <v>-737.12</v>
      </c>
      <c r="AT11" s="10">
        <v>-751.82</v>
      </c>
      <c r="AU11" s="10">
        <v>-1467.55</v>
      </c>
      <c r="AV11" s="10">
        <v>-1140.1400000000001</v>
      </c>
      <c r="AW11" s="10">
        <v>-913.38</v>
      </c>
      <c r="AX11" s="10">
        <v>-1355.49</v>
      </c>
      <c r="AY11" s="10">
        <v>-917.61</v>
      </c>
      <c r="AZ11" s="10">
        <v>1748.02</v>
      </c>
      <c r="BA11" s="10">
        <v>763.32</v>
      </c>
      <c r="BB11" s="10">
        <v>-19.170000000000002</v>
      </c>
      <c r="BC11" s="10">
        <v>-132.03</v>
      </c>
      <c r="BD11" s="113" t="s">
        <v>90</v>
      </c>
      <c r="BE11" s="113" t="s">
        <v>89</v>
      </c>
      <c r="BF11" s="171"/>
      <c r="BG11" s="223"/>
      <c r="BH11" s="54" t="s">
        <v>42</v>
      </c>
      <c r="BI11" s="224"/>
      <c r="BJ11" s="54" t="s">
        <v>42</v>
      </c>
      <c r="BK11" s="61"/>
      <c r="BY11" s="171"/>
      <c r="BZ11" s="274"/>
      <c r="CA11" s="19" t="s">
        <v>8</v>
      </c>
      <c r="CB11" s="247">
        <v>227.64</v>
      </c>
      <c r="CC11" s="247">
        <v>224.82999999999998</v>
      </c>
      <c r="CD11" s="247">
        <v>46.440000000000026</v>
      </c>
      <c r="CE11" s="247">
        <v>-90.289999999999992</v>
      </c>
      <c r="CF11" s="247">
        <v>-440.00000000000011</v>
      </c>
      <c r="CG11" s="247">
        <v>-490.49</v>
      </c>
      <c r="CH11" s="247">
        <v>-777.29</v>
      </c>
      <c r="CK11" s="274"/>
      <c r="CL11" s="19" t="s">
        <v>8</v>
      </c>
      <c r="CM11" s="247">
        <v>227.64</v>
      </c>
      <c r="CN11" s="247">
        <v>224.82</v>
      </c>
      <c r="CO11" s="247">
        <v>46.430000000000007</v>
      </c>
      <c r="CP11" s="247">
        <v>-90.289999999999964</v>
      </c>
      <c r="CQ11" s="247">
        <v>-440.00000000000006</v>
      </c>
      <c r="CR11" s="247">
        <v>-490.50000000000006</v>
      </c>
      <c r="CS11" s="247">
        <v>-777.29</v>
      </c>
      <c r="CV11" s="88"/>
    </row>
    <row r="12" spans="1:100" s="5" customFormat="1" ht="14.5" outlineLevel="1" x14ac:dyDescent="0.35">
      <c r="A12" s="274"/>
      <c r="B12" s="18" t="s">
        <v>13</v>
      </c>
      <c r="C12" s="9">
        <f>IF(OR(C9="",C8=""),"",C8-C9)</f>
        <v>0</v>
      </c>
      <c r="D12" s="9">
        <f>IF(OR(D9="",D8=""),"",D8-D9)</f>
        <v>3542.7066619947968</v>
      </c>
      <c r="E12" s="9">
        <f t="shared" ref="E12:I12" si="3">IF(OR(E9="",E8=""),"",E8-E9)</f>
        <v>-2042.587011875763</v>
      </c>
      <c r="F12" s="9">
        <f t="shared" si="3"/>
        <v>-101305.99221352636</v>
      </c>
      <c r="G12" s="9">
        <f t="shared" si="3"/>
        <v>3390.1150170901092</v>
      </c>
      <c r="H12" s="9">
        <f t="shared" si="3"/>
        <v>77000.426341737329</v>
      </c>
      <c r="I12" s="9">
        <f t="shared" si="3"/>
        <v>-50568.7335448956</v>
      </c>
      <c r="J12" s="9">
        <f>IF(OR(J9="",J8=""),"",J8-J9)</f>
        <v>-212266.31379910326</v>
      </c>
      <c r="K12" s="113" t="s">
        <v>84</v>
      </c>
      <c r="L12" s="113" t="s">
        <v>85</v>
      </c>
      <c r="M12" s="171"/>
      <c r="N12" s="171"/>
      <c r="O12" s="166"/>
      <c r="P12" s="159"/>
      <c r="Q12" s="152"/>
      <c r="R12" s="152"/>
      <c r="S12" s="152"/>
      <c r="T12" s="152"/>
      <c r="U12" s="152"/>
      <c r="V12" s="152"/>
      <c r="W12" s="152"/>
      <c r="X12" s="152"/>
      <c r="Y12" s="152"/>
      <c r="Z12" s="152"/>
      <c r="AA12" s="152"/>
      <c r="AB12" s="181"/>
      <c r="AC12" s="277"/>
      <c r="AD12" s="8" t="s">
        <v>6</v>
      </c>
      <c r="AE12" s="10">
        <v>9649.86</v>
      </c>
      <c r="AF12" s="10">
        <v>22043.56</v>
      </c>
      <c r="AG12" s="10">
        <v>39427</v>
      </c>
      <c r="AH12" s="10">
        <v>49952.09</v>
      </c>
      <c r="AI12" s="10">
        <v>52424.06</v>
      </c>
      <c r="AJ12" s="10">
        <v>50514.59</v>
      </c>
      <c r="AK12" s="10">
        <v>43643.11</v>
      </c>
      <c r="AL12" s="10">
        <v>34083.79</v>
      </c>
      <c r="AM12" s="10">
        <v>29265.53</v>
      </c>
      <c r="AN12" s="10">
        <v>35785.879999999997</v>
      </c>
      <c r="AO12" s="10">
        <v>33915.519999999997</v>
      </c>
      <c r="AP12" s="10">
        <v>26834.459999999995</v>
      </c>
      <c r="AQ12" s="10">
        <v>18479.269999999997</v>
      </c>
      <c r="AR12" s="10">
        <v>13516.279999999997</v>
      </c>
      <c r="AS12" s="10">
        <v>12779.159999999996</v>
      </c>
      <c r="AT12" s="10">
        <v>12027.339999999997</v>
      </c>
      <c r="AU12" s="10">
        <v>10559.789999999997</v>
      </c>
      <c r="AV12" s="10">
        <v>9419.6499999999978</v>
      </c>
      <c r="AW12" s="10">
        <v>8506.2699999999986</v>
      </c>
      <c r="AX12" s="10">
        <v>7150.7799999999988</v>
      </c>
      <c r="AY12" s="10">
        <v>6233.1699999999992</v>
      </c>
      <c r="AZ12" s="10">
        <v>7981.1899999999987</v>
      </c>
      <c r="BA12" s="10">
        <v>8744.5099999999984</v>
      </c>
      <c r="BB12" s="10">
        <v>8725.3399999999983</v>
      </c>
      <c r="BC12" s="10">
        <v>8593.3099999999977</v>
      </c>
      <c r="BD12" s="188">
        <f>'MEEIA 3 calcs'!AC11</f>
        <v>9217.2999999999938</v>
      </c>
      <c r="BE12" s="189">
        <f>BB12-BD12</f>
        <v>-491.95999999999549</v>
      </c>
      <c r="BF12" s="171"/>
      <c r="BY12" s="171"/>
      <c r="BZ12" s="274"/>
      <c r="CA12" s="19" t="s">
        <v>27</v>
      </c>
      <c r="CB12" s="247">
        <v>-4668.5399999999981</v>
      </c>
      <c r="CC12" s="247">
        <v>-4443.7099999999982</v>
      </c>
      <c r="CD12" s="247">
        <v>-4397.2699999999986</v>
      </c>
      <c r="CE12" s="247">
        <v>-4487.5599999999986</v>
      </c>
      <c r="CF12" s="247">
        <v>-4927.5599999999986</v>
      </c>
      <c r="CG12" s="247">
        <v>-5418.0499999999984</v>
      </c>
      <c r="CH12" s="247">
        <v>-6195.3399999999983</v>
      </c>
      <c r="CK12" s="274"/>
      <c r="CL12" s="19" t="s">
        <v>27</v>
      </c>
      <c r="CM12" s="247">
        <v>-4668.5399999999981</v>
      </c>
      <c r="CN12" s="247">
        <v>-4443.7199999999984</v>
      </c>
      <c r="CO12" s="247">
        <v>-4397.2899999999981</v>
      </c>
      <c r="CP12" s="247">
        <v>-4487.5799999999981</v>
      </c>
      <c r="CQ12" s="247">
        <v>-4927.5799999999981</v>
      </c>
      <c r="CR12" s="247">
        <v>-5418.0799999999981</v>
      </c>
      <c r="CS12" s="247">
        <v>-6195.3699999999981</v>
      </c>
      <c r="CV12" s="88"/>
    </row>
    <row r="13" spans="1:100" s="5" customFormat="1" ht="14.5" outlineLevel="1" x14ac:dyDescent="0.35">
      <c r="A13" s="274"/>
      <c r="B13" s="19" t="s">
        <v>8</v>
      </c>
      <c r="C13" s="9">
        <f>ROUND((C12+0)*'MEEIA 3 calcs'!F9/12,2)</f>
        <v>0</v>
      </c>
      <c r="D13" s="9">
        <f>ROUND((D12+C15)*'MEEIA 3 calcs'!G9/12,2)</f>
        <v>7.86</v>
      </c>
      <c r="E13" s="9">
        <f>ROUND((E12+D15)*'MEEIA 3 calcs'!H9/12,2)</f>
        <v>3.36</v>
      </c>
      <c r="F13" s="9">
        <f>ROUND((F12+E15)*'MEEIA 3 calcs'!I9/12,2)</f>
        <v>-220.38</v>
      </c>
      <c r="G13" s="9">
        <f>ROUND((G12+F15)*'MEEIA 3 calcs'!J9/12,2)</f>
        <v>-208.94</v>
      </c>
      <c r="H13" s="9">
        <f>ROUND((H12+G15)*'MEEIA 3 calcs'!K9/12,2)</f>
        <v>-38.86</v>
      </c>
      <c r="I13" s="9">
        <f>ROUND((I12+H15)*'MEEIA 3 calcs'!L9/12,2)</f>
        <v>-130.13</v>
      </c>
      <c r="J13" s="9">
        <f>ROUND((J12+I15)*'MEEIA 3 calcs'!M9/12,2)</f>
        <v>-498.25</v>
      </c>
      <c r="K13" s="114">
        <f>SUM('MEEIA 3 calcs'!F32:M32)</f>
        <v>-1085.43</v>
      </c>
      <c r="L13" s="123">
        <f>SUM(C13:J13)-K13</f>
        <v>8.9999999999918145E-2</v>
      </c>
      <c r="M13" s="171"/>
      <c r="N13" s="171"/>
      <c r="O13" s="166"/>
      <c r="P13" s="159"/>
      <c r="Q13" s="139"/>
      <c r="R13" s="139"/>
      <c r="S13" s="139"/>
      <c r="T13" s="139"/>
      <c r="U13" s="139"/>
      <c r="V13" s="139"/>
      <c r="W13" s="139"/>
      <c r="X13" s="139"/>
      <c r="Y13" s="139"/>
      <c r="Z13" s="139"/>
      <c r="AA13" s="139"/>
      <c r="AB13" s="180"/>
      <c r="AC13" s="277"/>
      <c r="AD13" s="7" t="s">
        <v>12</v>
      </c>
      <c r="AE13" s="10">
        <v>3262465.61</v>
      </c>
      <c r="AF13" s="10">
        <v>1435380.57</v>
      </c>
      <c r="AG13" s="10">
        <v>2209926.16</v>
      </c>
      <c r="AH13" s="10">
        <v>-3032183.4299999997</v>
      </c>
      <c r="AI13" s="10">
        <v>-3630865.7600000002</v>
      </c>
      <c r="AJ13" s="10">
        <v>-2122102.5800000005</v>
      </c>
      <c r="AK13" s="10">
        <v>-2749963.32</v>
      </c>
      <c r="AL13" s="10">
        <v>-1709599.1999999972</v>
      </c>
      <c r="AM13" s="10">
        <v>2247319.5200000005</v>
      </c>
      <c r="AN13" s="10">
        <v>7280660.7000000002</v>
      </c>
      <c r="AO13" s="10">
        <v>-5281931.5000000009</v>
      </c>
      <c r="AP13" s="10">
        <v>-3528427.48</v>
      </c>
      <c r="AQ13" s="10">
        <v>-598786.93999999994</v>
      </c>
      <c r="AR13" s="10">
        <v>-1033901.9500000004</v>
      </c>
      <c r="AS13" s="10">
        <v>-502970.57999999996</v>
      </c>
      <c r="AT13" s="10">
        <v>-327939.98999999993</v>
      </c>
      <c r="AU13" s="10">
        <v>-1912909.9000000006</v>
      </c>
      <c r="AV13" s="10">
        <v>-923201.4100000005</v>
      </c>
      <c r="AW13" s="10">
        <v>1172047.7800000003</v>
      </c>
      <c r="AX13" s="10">
        <v>711773.64999999874</v>
      </c>
      <c r="AY13" s="10">
        <v>3771510.2899999996</v>
      </c>
      <c r="AZ13" s="10">
        <v>11732401.639999997</v>
      </c>
      <c r="BA13" s="10">
        <v>-2925304.5499999993</v>
      </c>
      <c r="BB13" s="10">
        <v>-4543369.0900000008</v>
      </c>
      <c r="BC13" s="10">
        <v>-642544.46999999951</v>
      </c>
      <c r="BF13" s="171"/>
      <c r="BG13" s="51" t="s">
        <v>113</v>
      </c>
      <c r="BH13" s="61"/>
      <c r="BI13" s="61"/>
      <c r="BJ13" s="61"/>
      <c r="BK13" s="61"/>
      <c r="BL13" s="61"/>
      <c r="BM13" s="61"/>
      <c r="BN13" s="61"/>
      <c r="BO13" s="61"/>
      <c r="BP13" s="61"/>
      <c r="BQ13" s="61"/>
      <c r="BR13" s="61"/>
      <c r="BS13" s="61"/>
      <c r="BT13" s="61"/>
      <c r="BU13" s="61"/>
      <c r="BY13" s="171"/>
      <c r="BZ13" s="274"/>
      <c r="CA13" s="18" t="s">
        <v>14</v>
      </c>
      <c r="CB13" s="247">
        <v>-338731.02069875965</v>
      </c>
      <c r="CC13" s="247">
        <v>-406106.93494770303</v>
      </c>
      <c r="CD13" s="247">
        <v>-374009.65149891004</v>
      </c>
      <c r="CE13" s="247">
        <v>-566569.34339839849</v>
      </c>
      <c r="CF13" s="247">
        <v>-384767.07923458319</v>
      </c>
      <c r="CG13" s="247">
        <v>-152603.89288086267</v>
      </c>
      <c r="CH13" s="247">
        <v>-10254.541794636869</v>
      </c>
      <c r="CK13" s="274"/>
      <c r="CL13" s="18" t="s">
        <v>14</v>
      </c>
      <c r="CM13" s="247">
        <v>-338731.02069875965</v>
      </c>
      <c r="CN13" s="247">
        <v>-406106.94494770333</v>
      </c>
      <c r="CO13" s="247">
        <v>-374009.66149890982</v>
      </c>
      <c r="CP13" s="247">
        <v>-566569.34339839872</v>
      </c>
      <c r="CQ13" s="247">
        <v>-384767.07923458319</v>
      </c>
      <c r="CR13" s="247">
        <v>-152603.90288086259</v>
      </c>
      <c r="CS13" s="247">
        <v>-10254.54179463688</v>
      </c>
      <c r="CV13" s="88"/>
    </row>
    <row r="14" spans="1:100" s="5" customFormat="1" ht="14.5" outlineLevel="1" x14ac:dyDescent="0.35">
      <c r="A14" s="274"/>
      <c r="B14" s="18" t="s">
        <v>14</v>
      </c>
      <c r="C14" s="9">
        <f>IF(OR(C12="",C13=""),"",C12+C13)</f>
        <v>0</v>
      </c>
      <c r="D14" s="9">
        <f>IF(OR(D12="",D13=""),"",D12+D13)</f>
        <v>3550.566661994797</v>
      </c>
      <c r="E14" s="9">
        <f t="shared" ref="E14:I14" si="4">IF(OR(E12="",E13=""),"",E12+E13)</f>
        <v>-2039.2270118757631</v>
      </c>
      <c r="F14" s="9">
        <f t="shared" si="4"/>
        <v>-101526.37221352637</v>
      </c>
      <c r="G14" s="9">
        <f t="shared" si="4"/>
        <v>3181.1750170901091</v>
      </c>
      <c r="H14" s="9">
        <f t="shared" si="4"/>
        <v>76961.566341737329</v>
      </c>
      <c r="I14" s="9">
        <f t="shared" si="4"/>
        <v>-50698.863544895597</v>
      </c>
      <c r="J14" s="9">
        <f>IF(OR(J12="",J13=""),"",J12+J13)</f>
        <v>-212764.56379910326</v>
      </c>
      <c r="M14" s="171"/>
      <c r="N14" s="171"/>
      <c r="O14" s="166"/>
      <c r="P14" s="101"/>
      <c r="Q14" s="139"/>
      <c r="R14" s="139"/>
      <c r="S14" s="139"/>
      <c r="T14" s="139"/>
      <c r="U14" s="139"/>
      <c r="V14" s="139"/>
      <c r="W14" s="139"/>
      <c r="X14" s="139"/>
      <c r="Y14" s="139"/>
      <c r="Z14" s="139"/>
      <c r="AA14" s="139"/>
      <c r="AB14" s="180"/>
      <c r="AC14" s="277"/>
      <c r="AD14" s="11" t="s">
        <v>3</v>
      </c>
      <c r="AE14" s="10">
        <v>4163379.87</v>
      </c>
      <c r="AF14" s="10">
        <v>5598760.4400000004</v>
      </c>
      <c r="AG14" s="10">
        <v>7808686.6000000006</v>
      </c>
      <c r="AH14" s="10">
        <v>4776503.1700000009</v>
      </c>
      <c r="AI14" s="10">
        <v>1145637.4100000006</v>
      </c>
      <c r="AJ14" s="10">
        <v>-976465.16999999993</v>
      </c>
      <c r="AK14" s="10">
        <v>-3726428.4899999998</v>
      </c>
      <c r="AL14" s="10">
        <v>-5436027.6899999967</v>
      </c>
      <c r="AM14" s="10">
        <v>-3188708.1699999962</v>
      </c>
      <c r="AN14" s="10">
        <v>4091952.530000004</v>
      </c>
      <c r="AO14" s="10">
        <v>-1189978.9699999969</v>
      </c>
      <c r="AP14" s="10">
        <v>-4718406.4499999974</v>
      </c>
      <c r="AQ14" s="10">
        <v>-5317193.3899999969</v>
      </c>
      <c r="AR14" s="10">
        <v>-6351095.3399999971</v>
      </c>
      <c r="AS14" s="10">
        <v>-6854065.9199999971</v>
      </c>
      <c r="AT14" s="10">
        <v>-7182005.9099999974</v>
      </c>
      <c r="AU14" s="10">
        <v>-9094915.8099999987</v>
      </c>
      <c r="AV14" s="10">
        <v>-10018117.219999999</v>
      </c>
      <c r="AW14" s="10">
        <v>-8846069.4399999976</v>
      </c>
      <c r="AX14" s="10">
        <v>-8134295.7899999991</v>
      </c>
      <c r="AY14" s="10">
        <v>-4362785.5</v>
      </c>
      <c r="AZ14" s="10">
        <v>7369616.1399999969</v>
      </c>
      <c r="BA14" s="10">
        <v>4444311.589999998</v>
      </c>
      <c r="BB14" s="10">
        <v>-99057.500000002794</v>
      </c>
      <c r="BC14" s="10">
        <v>-741601.9700000023</v>
      </c>
      <c r="BF14" s="171"/>
      <c r="BG14" s="61"/>
      <c r="BH14" s="61"/>
      <c r="BI14" s="12">
        <v>44105</v>
      </c>
      <c r="BJ14" s="12">
        <v>44136</v>
      </c>
      <c r="BK14" s="12">
        <v>44166</v>
      </c>
      <c r="BL14" s="12">
        <v>44197</v>
      </c>
      <c r="BM14" s="12">
        <v>44228</v>
      </c>
      <c r="BN14" s="12">
        <v>44256</v>
      </c>
      <c r="BO14" s="12">
        <v>44287</v>
      </c>
      <c r="BP14" s="12">
        <v>44317</v>
      </c>
      <c r="BQ14" s="12">
        <v>44348</v>
      </c>
      <c r="BR14" s="12">
        <v>44378</v>
      </c>
      <c r="BS14" s="12">
        <v>44409</v>
      </c>
      <c r="BT14" s="12">
        <v>44440</v>
      </c>
      <c r="BU14" s="12">
        <v>44470</v>
      </c>
      <c r="BY14" s="171"/>
      <c r="BZ14" s="274"/>
      <c r="CA14" s="20" t="s">
        <v>2</v>
      </c>
      <c r="CB14" s="247">
        <v>1783212.1718906779</v>
      </c>
      <c r="CC14" s="247">
        <v>1035985.2469429747</v>
      </c>
      <c r="CD14" s="247">
        <v>237729.42544406466</v>
      </c>
      <c r="CE14" s="247">
        <v>-366328.51795433403</v>
      </c>
      <c r="CF14" s="247">
        <v>-767550.09718891722</v>
      </c>
      <c r="CG14" s="247">
        <v>-980795.26006977982</v>
      </c>
      <c r="CH14" s="247">
        <v>-982925.54186441668</v>
      </c>
      <c r="CK14" s="274"/>
      <c r="CL14" s="20" t="s">
        <v>2</v>
      </c>
      <c r="CM14" s="247">
        <v>1783212.1718906779</v>
      </c>
      <c r="CN14" s="247">
        <v>1035985.2369429746</v>
      </c>
      <c r="CO14" s="247">
        <v>237729.40544406488</v>
      </c>
      <c r="CP14" s="247">
        <v>-366328.53795433382</v>
      </c>
      <c r="CQ14" s="247">
        <v>-767550.11718891724</v>
      </c>
      <c r="CR14" s="247">
        <v>-980795.29006977985</v>
      </c>
      <c r="CS14" s="247">
        <v>-982925.57186441682</v>
      </c>
      <c r="CV14" s="88"/>
    </row>
    <row r="15" spans="1:100" s="5" customFormat="1" ht="14.5" outlineLevel="1" x14ac:dyDescent="0.35">
      <c r="A15" s="274"/>
      <c r="B15" s="20" t="s">
        <v>15</v>
      </c>
      <c r="C15" s="9">
        <f>IF(OR(C14=""),"",C14)</f>
        <v>0</v>
      </c>
      <c r="D15" s="9">
        <f>IF(OR(D14="",C15=""),"",D14+C15)</f>
        <v>3550.566661994797</v>
      </c>
      <c r="E15" s="9">
        <f t="shared" ref="E15:J15" si="5">IF(OR(E14="",D15=""),"",E14+D15)</f>
        <v>1511.3396501190339</v>
      </c>
      <c r="F15" s="9">
        <f t="shared" si="5"/>
        <v>-100015.03256340734</v>
      </c>
      <c r="G15" s="9">
        <f t="shared" si="5"/>
        <v>-96833.857546317231</v>
      </c>
      <c r="H15" s="9">
        <f t="shared" si="5"/>
        <v>-19872.291204579902</v>
      </c>
      <c r="I15" s="9">
        <f t="shared" si="5"/>
        <v>-70571.154749475507</v>
      </c>
      <c r="J15" s="9">
        <f t="shared" si="5"/>
        <v>-283335.71854857879</v>
      </c>
      <c r="M15" s="171"/>
      <c r="N15" s="171"/>
      <c r="O15" s="166"/>
      <c r="P15" s="159"/>
      <c r="Q15" s="161">
        <v>43862</v>
      </c>
      <c r="R15" s="161">
        <v>43891</v>
      </c>
      <c r="S15" s="161">
        <v>43922</v>
      </c>
      <c r="T15" s="161">
        <v>43952</v>
      </c>
      <c r="U15" s="161">
        <v>43983</v>
      </c>
      <c r="V15" s="161">
        <v>44013</v>
      </c>
      <c r="W15" s="161">
        <v>44044</v>
      </c>
      <c r="X15" s="161">
        <v>44075</v>
      </c>
      <c r="Y15" s="162">
        <v>44105</v>
      </c>
      <c r="Z15" s="139"/>
      <c r="AA15" s="139"/>
      <c r="AB15" s="180"/>
      <c r="AC15" s="139"/>
      <c r="AD15" s="139"/>
      <c r="AE15" s="139"/>
      <c r="AF15" s="139"/>
      <c r="AG15" s="139"/>
      <c r="AH15" s="139"/>
      <c r="AI15" s="139"/>
      <c r="AJ15" s="139"/>
      <c r="AK15" s="151"/>
      <c r="BF15" s="171"/>
      <c r="BG15" s="277" t="s">
        <v>0</v>
      </c>
      <c r="BH15" s="7"/>
      <c r="BI15" s="61"/>
      <c r="BJ15" s="61"/>
      <c r="BK15" s="61"/>
      <c r="BL15" s="61"/>
      <c r="BM15" s="61"/>
      <c r="BN15" s="230">
        <v>-21982.399999997608</v>
      </c>
      <c r="BO15" s="61"/>
      <c r="BP15" s="61"/>
      <c r="BQ15" s="61"/>
      <c r="BR15" s="61"/>
      <c r="BS15" s="61"/>
      <c r="BT15" s="61"/>
      <c r="BU15" s="61"/>
      <c r="BY15" s="171"/>
      <c r="BZ15" s="44"/>
      <c r="CA15" s="13"/>
      <c r="CB15" s="3"/>
      <c r="CC15" s="3"/>
      <c r="CD15" s="3"/>
      <c r="CE15" s="3"/>
      <c r="CF15" s="3"/>
      <c r="CG15" s="3"/>
      <c r="CH15" s="3"/>
      <c r="CK15" s="44"/>
      <c r="CL15" s="13"/>
      <c r="CM15" s="3"/>
      <c r="CN15" s="3"/>
      <c r="CO15" s="3"/>
      <c r="CP15" s="3"/>
      <c r="CQ15" s="3"/>
      <c r="CR15" s="3"/>
      <c r="CS15" s="3"/>
    </row>
    <row r="16" spans="1:100" s="5" customFormat="1" ht="14.5" outlineLevel="1" x14ac:dyDescent="0.35">
      <c r="A16" s="44"/>
      <c r="B16" s="13"/>
      <c r="C16" s="14"/>
      <c r="D16" s="14"/>
      <c r="E16" s="14"/>
      <c r="F16" s="14"/>
      <c r="G16" s="14"/>
      <c r="H16" s="14"/>
      <c r="I16" s="14"/>
      <c r="J16" s="14"/>
      <c r="M16" s="171"/>
      <c r="N16" s="171"/>
      <c r="O16" s="166"/>
      <c r="P16" s="102"/>
      <c r="Q16" s="139"/>
      <c r="R16" s="139"/>
      <c r="S16" s="139"/>
      <c r="T16" s="139"/>
      <c r="U16" s="139"/>
      <c r="V16" s="139"/>
      <c r="W16" s="139"/>
      <c r="X16" s="139"/>
      <c r="Y16" s="139"/>
      <c r="Z16" s="139"/>
      <c r="AA16" s="139"/>
      <c r="AB16" s="180"/>
      <c r="AC16" s="139"/>
      <c r="AD16" s="139"/>
      <c r="AE16" s="139"/>
      <c r="AF16" s="139"/>
      <c r="AG16" s="139"/>
      <c r="AH16" s="139"/>
      <c r="AI16" s="139"/>
      <c r="AJ16" s="139"/>
      <c r="AK16" s="151"/>
      <c r="BF16" s="171"/>
      <c r="BG16" s="277"/>
      <c r="BH16" s="7" t="s">
        <v>9</v>
      </c>
      <c r="BI16" s="231">
        <v>5075926.8299999991</v>
      </c>
      <c r="BJ16" s="232">
        <f>8226323.59-BH6</f>
        <v>8170963.8799999999</v>
      </c>
      <c r="BK16" s="231">
        <v>17050986.669999998</v>
      </c>
      <c r="BL16" s="231">
        <v>3390691.4000000004</v>
      </c>
      <c r="BM16" s="232">
        <f>3040542.49-BI6</f>
        <v>3035434.49</v>
      </c>
      <c r="BN16" s="231">
        <v>6776151.4500000002</v>
      </c>
      <c r="BO16" s="231">
        <v>3593096.5983472401</v>
      </c>
      <c r="BP16" s="231">
        <v>3249816.752362628</v>
      </c>
      <c r="BQ16" s="231">
        <v>6101138.4180074409</v>
      </c>
      <c r="BR16" s="231">
        <v>5074049.6564757768</v>
      </c>
      <c r="BS16" s="231">
        <v>6150752.0389186945</v>
      </c>
      <c r="BT16" s="231">
        <v>4538886.177325543</v>
      </c>
      <c r="BU16" s="231">
        <v>5908069.5179605344</v>
      </c>
      <c r="BY16" s="171"/>
      <c r="BZ16" s="274" t="s">
        <v>20</v>
      </c>
      <c r="CA16" s="17"/>
      <c r="CB16" s="3"/>
      <c r="CC16" s="3"/>
      <c r="CD16" s="3"/>
      <c r="CE16" s="3"/>
      <c r="CF16" s="3"/>
      <c r="CG16" s="3"/>
      <c r="CH16" s="3"/>
      <c r="CK16" s="274" t="s">
        <v>20</v>
      </c>
      <c r="CL16" s="17"/>
      <c r="CM16" s="3"/>
      <c r="CN16" s="3"/>
      <c r="CO16" s="3"/>
      <c r="CP16" s="3"/>
      <c r="CQ16" s="3"/>
      <c r="CR16" s="3"/>
      <c r="CS16" s="3"/>
    </row>
    <row r="17" spans="1:100" s="5" customFormat="1" ht="15" customHeight="1" outlineLevel="1" x14ac:dyDescent="0.35">
      <c r="A17" s="274" t="s">
        <v>21</v>
      </c>
      <c r="B17" s="17"/>
      <c r="C17" s="9"/>
      <c r="D17" s="9"/>
      <c r="E17" s="9"/>
      <c r="F17" s="9"/>
      <c r="G17" s="9"/>
      <c r="H17" s="9"/>
      <c r="I17" s="9"/>
      <c r="J17" s="9"/>
      <c r="M17" s="171"/>
      <c r="N17" s="171"/>
      <c r="O17" s="44"/>
      <c r="P17" s="13"/>
      <c r="Q17" s="163"/>
      <c r="R17" s="164"/>
      <c r="S17" s="164"/>
      <c r="T17" s="164"/>
      <c r="U17" s="164"/>
      <c r="V17" s="164"/>
      <c r="W17" s="164"/>
      <c r="X17" s="164"/>
      <c r="Y17" s="165"/>
      <c r="Z17" s="139"/>
      <c r="AA17" s="139"/>
      <c r="AB17" s="180"/>
      <c r="AC17" s="139"/>
      <c r="AD17" s="139"/>
      <c r="AE17" s="139"/>
      <c r="AF17" s="139"/>
      <c r="AG17" s="139"/>
      <c r="AH17" s="139"/>
      <c r="AI17" s="139"/>
      <c r="AJ17" s="139"/>
      <c r="AK17" s="153"/>
      <c r="BF17" s="171"/>
      <c r="BG17" s="277"/>
      <c r="BH17" s="7" t="s">
        <v>10</v>
      </c>
      <c r="BI17" s="231">
        <v>4362797.6900000004</v>
      </c>
      <c r="BJ17" s="231">
        <v>4453895.6900000004</v>
      </c>
      <c r="BK17" s="231">
        <v>5320333.05</v>
      </c>
      <c r="BL17" s="231">
        <v>6316759.2699999996</v>
      </c>
      <c r="BM17" s="231">
        <v>7583892.4100000001</v>
      </c>
      <c r="BN17" s="231">
        <v>7418563.8899999997</v>
      </c>
      <c r="BO17" s="231">
        <v>5953301.3499999996</v>
      </c>
      <c r="BP17" s="231">
        <v>5846801.6900000004</v>
      </c>
      <c r="BQ17" s="231">
        <v>6866409.0999999996</v>
      </c>
      <c r="BR17" s="231">
        <v>8666483.5800000001</v>
      </c>
      <c r="BS17" s="231">
        <v>8626819.1899999995</v>
      </c>
      <c r="BT17" s="231">
        <v>8648916.9199999999</v>
      </c>
      <c r="BU17" s="231">
        <v>6801979.5499999998</v>
      </c>
      <c r="BY17" s="171"/>
      <c r="BZ17" s="274"/>
      <c r="CA17" s="17" t="s">
        <v>28</v>
      </c>
      <c r="CB17" s="248">
        <v>1017970.7346454827</v>
      </c>
      <c r="CC17" s="248">
        <v>1252923.0225376603</v>
      </c>
      <c r="CD17" s="248">
        <v>1434652.1574546397</v>
      </c>
      <c r="CE17" s="248">
        <v>1242256.6900827016</v>
      </c>
      <c r="CF17" s="248">
        <v>466704.19082447694</v>
      </c>
      <c r="CG17" s="248">
        <v>411086.64598257263</v>
      </c>
      <c r="CH17" s="248">
        <v>460606.66199414816</v>
      </c>
      <c r="CK17" s="274"/>
      <c r="CL17" s="17" t="s">
        <v>28</v>
      </c>
      <c r="CM17" s="248">
        <v>1011793.2887044745</v>
      </c>
      <c r="CN17" s="248">
        <v>1239697.3927115593</v>
      </c>
      <c r="CO17" s="248">
        <v>1413139.8181276456</v>
      </c>
      <c r="CP17" s="248">
        <v>1222383.3115222841</v>
      </c>
      <c r="CQ17" s="248">
        <v>459531.31527281163</v>
      </c>
      <c r="CR17" s="248">
        <v>407298.77814346319</v>
      </c>
      <c r="CS17" s="248">
        <v>460066.17977211718</v>
      </c>
    </row>
    <row r="18" spans="1:100" s="3" customFormat="1" ht="15" customHeight="1" outlineLevel="1" x14ac:dyDescent="0.35">
      <c r="A18" s="274"/>
      <c r="B18" s="17" t="s">
        <v>28</v>
      </c>
      <c r="C18" s="22">
        <f>C89</f>
        <v>0.34412602678174997</v>
      </c>
      <c r="D18" s="22">
        <f t="shared" ref="D18:J18" si="6">D89</f>
        <v>593.85341007321881</v>
      </c>
      <c r="E18" s="22">
        <f t="shared" si="6"/>
        <v>8368.5225960071712</v>
      </c>
      <c r="F18" s="22">
        <f t="shared" si="6"/>
        <v>23641.814181406706</v>
      </c>
      <c r="G18" s="22">
        <f t="shared" si="6"/>
        <v>47663.861231335664</v>
      </c>
      <c r="H18" s="22">
        <f t="shared" si="6"/>
        <v>53423.137293371561</v>
      </c>
      <c r="I18" s="22">
        <f t="shared" si="6"/>
        <v>71954.397236201956</v>
      </c>
      <c r="J18" s="22">
        <f t="shared" si="6"/>
        <v>61965.752554031846</v>
      </c>
      <c r="M18" s="172"/>
      <c r="N18" s="172"/>
      <c r="O18" s="274" t="s">
        <v>25</v>
      </c>
      <c r="P18" s="17"/>
      <c r="Q18" s="9"/>
      <c r="R18" s="9"/>
      <c r="S18" s="9"/>
      <c r="T18" s="9"/>
      <c r="U18" s="9"/>
      <c r="V18" s="9"/>
      <c r="W18" s="9"/>
      <c r="X18" s="9"/>
      <c r="Y18" s="145"/>
      <c r="Z18" s="153"/>
      <c r="AA18" s="153"/>
      <c r="AB18" s="180"/>
      <c r="AC18" s="139"/>
      <c r="AD18" s="139"/>
      <c r="AE18" s="139"/>
      <c r="AF18" s="139"/>
      <c r="AG18" s="139"/>
      <c r="AH18" s="139"/>
      <c r="AI18" s="139"/>
      <c r="AJ18" s="139"/>
      <c r="AK18" s="153"/>
      <c r="BF18" s="172"/>
      <c r="BG18" s="277"/>
      <c r="BH18" s="7" t="s">
        <v>11</v>
      </c>
      <c r="BI18" s="233">
        <v>713129.13999999873</v>
      </c>
      <c r="BJ18" s="234">
        <f t="shared" ref="BJ18:BU18" si="7">IF(OR(BJ16="",BJ17=""),"",BJ16-BJ17)</f>
        <v>3717068.1899999995</v>
      </c>
      <c r="BK18" s="234">
        <f t="shared" si="7"/>
        <v>11730653.619999997</v>
      </c>
      <c r="BL18" s="234">
        <f t="shared" si="7"/>
        <v>-2926067.8699999992</v>
      </c>
      <c r="BM18" s="234">
        <f t="shared" si="7"/>
        <v>-4548457.92</v>
      </c>
      <c r="BN18" s="234">
        <f t="shared" si="7"/>
        <v>-642412.43999999948</v>
      </c>
      <c r="BO18" s="234">
        <f t="shared" si="7"/>
        <v>-2360204.7516527595</v>
      </c>
      <c r="BP18" s="234">
        <f t="shared" si="7"/>
        <v>-2596984.9376373724</v>
      </c>
      <c r="BQ18" s="234">
        <f t="shared" si="7"/>
        <v>-765270.68199255876</v>
      </c>
      <c r="BR18" s="234">
        <f t="shared" si="7"/>
        <v>-3592433.9235242233</v>
      </c>
      <c r="BS18" s="234">
        <f t="shared" si="7"/>
        <v>-2476067.151081305</v>
      </c>
      <c r="BT18" s="234">
        <f t="shared" si="7"/>
        <v>-4110030.7426744569</v>
      </c>
      <c r="BU18" s="234">
        <f t="shared" si="7"/>
        <v>-893910.03203946538</v>
      </c>
      <c r="BY18" s="172"/>
      <c r="BZ18" s="274"/>
      <c r="CA18" s="18" t="s">
        <v>26</v>
      </c>
      <c r="CB18" s="248">
        <v>1278047.5437683114</v>
      </c>
      <c r="CC18" s="248">
        <v>1599362.0545714868</v>
      </c>
      <c r="CD18" s="248">
        <v>2061688.4651608262</v>
      </c>
      <c r="CE18" s="248">
        <v>1660014.398272939</v>
      </c>
      <c r="CF18" s="248">
        <v>727343.38262135477</v>
      </c>
      <c r="CG18" s="248">
        <v>558489.16557480057</v>
      </c>
      <c r="CH18" s="248">
        <v>521512.93435668247</v>
      </c>
      <c r="CK18" s="274"/>
      <c r="CL18" s="18" t="s">
        <v>26</v>
      </c>
      <c r="CM18" s="248">
        <v>1281347.3500728621</v>
      </c>
      <c r="CN18" s="248">
        <v>1606180.5544486165</v>
      </c>
      <c r="CO18" s="248">
        <v>2073694.4195104088</v>
      </c>
      <c r="CP18" s="248">
        <v>1671524.4079852232</v>
      </c>
      <c r="CQ18" s="248">
        <v>731304.04769213265</v>
      </c>
      <c r="CR18" s="248">
        <v>560620.84130505682</v>
      </c>
      <c r="CS18" s="248">
        <v>521764.12904962653</v>
      </c>
    </row>
    <row r="19" spans="1:100" s="5" customFormat="1" ht="15" customHeight="1" outlineLevel="1" x14ac:dyDescent="0.35">
      <c r="A19" s="274"/>
      <c r="B19" s="18" t="s">
        <v>26</v>
      </c>
      <c r="C19" s="22">
        <f>IF('M3 Allocations - TD'!D52="","",'M3 Allocations - TD'!D70)</f>
        <v>0</v>
      </c>
      <c r="D19" s="22">
        <f>IF('M3 Allocations - TD'!E52="","",'M3 Allocations - TD'!E70)</f>
        <v>0</v>
      </c>
      <c r="E19" s="22">
        <f>IF('M3 Allocations - TD'!F52="","",'M3 Allocations - TD'!F70)</f>
        <v>4662.874879564878</v>
      </c>
      <c r="F19" s="22">
        <f>IF('M3 Allocations - TD'!G52="","",'M3 Allocations - TD'!G70)</f>
        <v>60575.806014450071</v>
      </c>
      <c r="G19" s="22">
        <f>IF('M3 Allocations - TD'!H52="","",'M3 Allocations - TD'!H70)</f>
        <v>69235.226705339766</v>
      </c>
      <c r="H19" s="22">
        <f>IF('M3 Allocations - TD'!I52="","",'M3 Allocations - TD'!I70)</f>
        <v>71132.268141530934</v>
      </c>
      <c r="I19" s="22">
        <f>IF('M3 Allocations - TD'!J52="","",'M3 Allocations - TD'!J70)</f>
        <v>68766.003213137257</v>
      </c>
      <c r="J19" s="22">
        <f>IF('M3 Allocations - TD'!K52="","",'M3 Allocations - TD'!K70)</f>
        <v>61936.863591354115</v>
      </c>
      <c r="M19" s="171"/>
      <c r="N19" s="171"/>
      <c r="O19" s="274"/>
      <c r="P19" s="17" t="s">
        <v>28</v>
      </c>
      <c r="Q19" s="21">
        <v>921069.68539476907</v>
      </c>
      <c r="R19" s="21">
        <v>727242.36549864151</v>
      </c>
      <c r="S19" s="21">
        <v>330495.27100759087</v>
      </c>
      <c r="T19" s="21">
        <v>448514.38010054693</v>
      </c>
      <c r="U19" s="21">
        <v>1166466.8526526124</v>
      </c>
      <c r="V19" s="21">
        <v>1596902.1714481553</v>
      </c>
      <c r="W19" s="21">
        <v>1748272.4117888492</v>
      </c>
      <c r="X19" s="21">
        <v>1519471.01623757</v>
      </c>
      <c r="Y19" s="146">
        <v>764880.45368540613</v>
      </c>
      <c r="Z19" s="154"/>
      <c r="AA19" s="154"/>
      <c r="AB19" s="179"/>
      <c r="AC19" s="150"/>
      <c r="AD19" s="150"/>
      <c r="AE19" s="150"/>
      <c r="AF19" s="150"/>
      <c r="AG19" s="150"/>
      <c r="AH19" s="150"/>
      <c r="AI19" s="150"/>
      <c r="AJ19" s="150"/>
      <c r="AK19" s="154"/>
      <c r="BF19" s="171"/>
      <c r="BG19" s="277"/>
      <c r="BH19" s="7" t="s">
        <v>4</v>
      </c>
      <c r="BI19" s="235">
        <v>2E-3</v>
      </c>
      <c r="BJ19" s="236">
        <v>2.5244400000000002E-3</v>
      </c>
      <c r="BK19" s="236">
        <v>2.8469900000000002E-3</v>
      </c>
      <c r="BL19" s="236">
        <v>2.0613900000000002E-3</v>
      </c>
      <c r="BM19" s="236">
        <v>2.3221700000000001E-3</v>
      </c>
      <c r="BN19" s="25">
        <v>2.1367399999999998E-3</v>
      </c>
      <c r="BO19" s="25">
        <v>2.2512299999999999E-3</v>
      </c>
      <c r="BP19" s="25">
        <v>2.2427200000000001E-3</v>
      </c>
      <c r="BQ19" s="25">
        <v>2.01659E-3</v>
      </c>
      <c r="BR19" s="25">
        <v>1.3954900000000001E-3</v>
      </c>
      <c r="BS19" s="25">
        <v>2.0509899999999999E-3</v>
      </c>
      <c r="BT19" s="25">
        <v>1.9323299999999999E-3</v>
      </c>
      <c r="BU19" s="25">
        <v>1.5E-3</v>
      </c>
      <c r="BV19" s="113" t="s">
        <v>84</v>
      </c>
      <c r="BW19" s="113" t="s">
        <v>87</v>
      </c>
      <c r="BY19" s="171"/>
      <c r="BZ19" s="274"/>
      <c r="CA19" s="18" t="s">
        <v>51</v>
      </c>
      <c r="CB19" s="248">
        <v>-198628.63</v>
      </c>
      <c r="CC19" s="248">
        <v>-248528.93</v>
      </c>
      <c r="CD19" s="248">
        <v>-321239.03999999998</v>
      </c>
      <c r="CE19" s="248">
        <v>-270175.45</v>
      </c>
      <c r="CF19" s="248">
        <v>-118232.21</v>
      </c>
      <c r="CG19" s="248">
        <v>-90604.87</v>
      </c>
      <c r="CH19" s="248">
        <v>-84722.21</v>
      </c>
      <c r="CK19" s="274"/>
      <c r="CL19" s="18" t="s">
        <v>51</v>
      </c>
      <c r="CM19" s="248">
        <v>-198628.63</v>
      </c>
      <c r="CN19" s="248">
        <v>-248528.93</v>
      </c>
      <c r="CO19" s="248">
        <v>-321239.03999999998</v>
      </c>
      <c r="CP19" s="248">
        <v>-270175.45</v>
      </c>
      <c r="CQ19" s="248">
        <v>-118232.21</v>
      </c>
      <c r="CR19" s="248">
        <v>-90604.87</v>
      </c>
      <c r="CS19" s="248">
        <v>-84722.21</v>
      </c>
    </row>
    <row r="20" spans="1:100" s="5" customFormat="1" ht="15" customHeight="1" outlineLevel="1" x14ac:dyDescent="0.35">
      <c r="A20" s="274"/>
      <c r="B20" s="18" t="s">
        <v>51</v>
      </c>
      <c r="C20" s="22">
        <f>IF(C19="","",0)</f>
        <v>0</v>
      </c>
      <c r="D20" s="22">
        <f t="shared" ref="D20:J20" si="8">IF(D19="","",0)</f>
        <v>0</v>
      </c>
      <c r="E20" s="22">
        <f t="shared" si="8"/>
        <v>0</v>
      </c>
      <c r="F20" s="22">
        <f t="shared" si="8"/>
        <v>0</v>
      </c>
      <c r="G20" s="22">
        <f t="shared" si="8"/>
        <v>0</v>
      </c>
      <c r="H20" s="22">
        <f t="shared" si="8"/>
        <v>0</v>
      </c>
      <c r="I20" s="22">
        <f t="shared" si="8"/>
        <v>0</v>
      </c>
      <c r="J20" s="22">
        <f t="shared" si="8"/>
        <v>0</v>
      </c>
      <c r="M20" s="171"/>
      <c r="N20" s="171"/>
      <c r="O20" s="274"/>
      <c r="P20" s="18" t="s">
        <v>26</v>
      </c>
      <c r="Q20" s="21">
        <v>705379.12999999989</v>
      </c>
      <c r="R20" s="21">
        <v>656045.5</v>
      </c>
      <c r="S20" s="21">
        <v>537519.55000000005</v>
      </c>
      <c r="T20" s="21">
        <v>488973.88</v>
      </c>
      <c r="U20" s="21">
        <v>614590.80000000005</v>
      </c>
      <c r="V20" s="21">
        <v>791820.69</v>
      </c>
      <c r="W20" s="21">
        <v>759797.67</v>
      </c>
      <c r="X20" s="21">
        <v>707202.3</v>
      </c>
      <c r="Y20" s="146">
        <v>523078.24999999994</v>
      </c>
      <c r="Z20" s="153"/>
      <c r="AA20" s="153"/>
      <c r="AB20" s="179"/>
      <c r="AC20" s="150"/>
      <c r="AD20" s="150"/>
      <c r="AE20" s="150"/>
      <c r="AF20" s="150"/>
      <c r="AG20" s="150"/>
      <c r="AH20" s="150"/>
      <c r="AI20" s="150"/>
      <c r="AJ20" s="150"/>
      <c r="AK20" s="153"/>
      <c r="BF20" s="171"/>
      <c r="BG20" s="277"/>
      <c r="BH20" s="7" t="s">
        <v>5</v>
      </c>
      <c r="BI20" s="233">
        <v>-1351.83</v>
      </c>
      <c r="BJ20" s="237">
        <f t="shared" ref="BJ20:BL20" si="9">IF(OR(BJ19="",BJ18="",BI23=""),"",ROUND(((BI23+BJ18)*BJ19)/12,2))</f>
        <v>-924.63</v>
      </c>
      <c r="BK20" s="10">
        <f t="shared" si="9"/>
        <v>1740.1</v>
      </c>
      <c r="BL20" s="10">
        <f t="shared" si="9"/>
        <v>757.58</v>
      </c>
      <c r="BM20" s="10">
        <f>IF(OR(BM19="",BM18="",BL23=""),"",ROUND(((BL23+BM18)*BM19)/12,2))</f>
        <v>-26.62</v>
      </c>
      <c r="BN20" s="10">
        <f>IF(OR(BN19="",BN18="",BM23=""),"",ROUND(((BM23+BN18+BN15)*BN19)/12,2))+BE12</f>
        <v>-634.75999999999544</v>
      </c>
      <c r="BO20" s="10">
        <f>IF(OR(BO19="",BO18="",BN23=""),"",ROUND(((BN23+BO18)*BO19)/12,2))</f>
        <v>-593.26</v>
      </c>
      <c r="BP20" s="10">
        <f>IF(OR(BP19="",BP18="",BO23=""),"",ROUND(((BO23+BP18)*BP19)/12,2))</f>
        <v>-1076.49</v>
      </c>
      <c r="BQ20" s="10">
        <f t="shared" ref="BQ20:BU20" si="10">IF(OR(BQ19="",BQ18="",BP23=""),"",ROUND(((BP23+BQ18)*BQ19)/12,2))</f>
        <v>-1096.73</v>
      </c>
      <c r="BR20" s="10">
        <f t="shared" si="10"/>
        <v>-1176.8399999999999</v>
      </c>
      <c r="BS20" s="10">
        <f t="shared" si="10"/>
        <v>-2153.0300000000002</v>
      </c>
      <c r="BT20" s="10">
        <f t="shared" si="10"/>
        <v>-2690.64</v>
      </c>
      <c r="BU20" s="10">
        <f t="shared" si="10"/>
        <v>-2200.73</v>
      </c>
      <c r="BV20" s="240">
        <f>SUM('MEEIA 3 calcs'!$Z$10:$AK$10)</f>
        <v>-9951.7199999999939</v>
      </c>
      <c r="BW20" s="238">
        <f>SUM(BJ20:BU20)-BV20</f>
        <v>-124.32999999999993</v>
      </c>
      <c r="BY20" s="171"/>
      <c r="BZ20" s="274"/>
      <c r="CA20" s="18" t="s">
        <v>52</v>
      </c>
      <c r="CB20" s="248">
        <v>1079418.9137683115</v>
      </c>
      <c r="CC20" s="248">
        <v>1350833.1245714868</v>
      </c>
      <c r="CD20" s="248">
        <v>1740449.4251608262</v>
      </c>
      <c r="CE20" s="248">
        <v>1389838.9482729391</v>
      </c>
      <c r="CF20" s="248">
        <v>609111.17262135481</v>
      </c>
      <c r="CG20" s="248">
        <v>467884.29557480058</v>
      </c>
      <c r="CH20" s="248">
        <v>436790.72435668245</v>
      </c>
      <c r="CK20" s="274"/>
      <c r="CL20" s="18" t="s">
        <v>52</v>
      </c>
      <c r="CM20" s="248">
        <v>1082718.7200728622</v>
      </c>
      <c r="CN20" s="248">
        <v>1357651.6244486165</v>
      </c>
      <c r="CO20" s="248">
        <v>1752455.3795104087</v>
      </c>
      <c r="CP20" s="248">
        <v>1401348.9579852233</v>
      </c>
      <c r="CQ20" s="248">
        <v>613071.83769213269</v>
      </c>
      <c r="CR20" s="248">
        <v>470015.97130505682</v>
      </c>
      <c r="CS20" s="248">
        <v>437041.91904962651</v>
      </c>
      <c r="CT20" s="5" t="s">
        <v>118</v>
      </c>
      <c r="CU20" s="5" t="s">
        <v>119</v>
      </c>
      <c r="CV20" s="5" t="s">
        <v>120</v>
      </c>
    </row>
    <row r="21" spans="1:100" s="5" customFormat="1" ht="15" customHeight="1" outlineLevel="1" x14ac:dyDescent="0.35">
      <c r="A21" s="274"/>
      <c r="B21" s="18" t="s">
        <v>52</v>
      </c>
      <c r="C21" s="9">
        <f t="shared" ref="C21:I21" si="11">IF(OR(C20="",C19=""),"",C19+C20)</f>
        <v>0</v>
      </c>
      <c r="D21" s="9">
        <f t="shared" si="11"/>
        <v>0</v>
      </c>
      <c r="E21" s="9">
        <f t="shared" si="11"/>
        <v>4662.874879564878</v>
      </c>
      <c r="F21" s="9">
        <f t="shared" si="11"/>
        <v>60575.806014450071</v>
      </c>
      <c r="G21" s="9">
        <f t="shared" si="11"/>
        <v>69235.226705339766</v>
      </c>
      <c r="H21" s="9">
        <f t="shared" si="11"/>
        <v>71132.268141530934</v>
      </c>
      <c r="I21" s="9">
        <f t="shared" si="11"/>
        <v>68766.003213137257</v>
      </c>
      <c r="J21" s="9">
        <f>IF(OR(J20="",J19=""),"",J19+J20)</f>
        <v>61936.863591354115</v>
      </c>
      <c r="M21" s="171"/>
      <c r="N21" s="171"/>
      <c r="O21" s="274"/>
      <c r="P21" s="18" t="s">
        <v>51</v>
      </c>
      <c r="Q21" s="21">
        <v>196554.22</v>
      </c>
      <c r="R21" s="21">
        <v>181274.15000000002</v>
      </c>
      <c r="S21" s="21">
        <v>149642.01999999999</v>
      </c>
      <c r="T21" s="21">
        <v>136362.22</v>
      </c>
      <c r="U21" s="21">
        <v>171212.22</v>
      </c>
      <c r="V21" s="21">
        <v>216757.82</v>
      </c>
      <c r="W21" s="21">
        <v>209115.01</v>
      </c>
      <c r="X21" s="21">
        <v>195955.65999999997</v>
      </c>
      <c r="Y21" s="146">
        <v>147507.93</v>
      </c>
      <c r="Z21" s="153"/>
      <c r="AA21" s="153"/>
      <c r="AB21" s="179"/>
      <c r="AC21" s="150"/>
      <c r="AD21" s="150"/>
      <c r="AE21" s="150"/>
      <c r="AF21" s="150"/>
      <c r="AG21" s="150"/>
      <c r="AH21" s="150"/>
      <c r="AI21" s="150"/>
      <c r="AJ21" s="150"/>
      <c r="AK21" s="153"/>
      <c r="BF21" s="171"/>
      <c r="BG21" s="277"/>
      <c r="BH21" s="8" t="s">
        <v>6</v>
      </c>
      <c r="BI21" s="233">
        <v>7624.8699999999935</v>
      </c>
      <c r="BJ21" s="237">
        <f t="shared" ref="BJ21:BM21" si="12">IF(OR(BI21="",BJ20=""),"",BI21+BJ20)</f>
        <v>6700.2399999999934</v>
      </c>
      <c r="BK21" s="10">
        <f t="shared" si="12"/>
        <v>8440.3399999999929</v>
      </c>
      <c r="BL21" s="10">
        <f t="shared" si="12"/>
        <v>9197.9199999999928</v>
      </c>
      <c r="BM21" s="10">
        <f t="shared" si="12"/>
        <v>9171.299999999992</v>
      </c>
      <c r="BN21" s="10">
        <f>IF(OR(BM21="",BN20=""),"",BM21+BN20)</f>
        <v>8536.5399999999972</v>
      </c>
      <c r="BO21" s="10">
        <f t="shared" ref="BO21:BU21" si="13">IF(OR(BN21="",BO20=""),"",BN21+BO20)</f>
        <v>7943.279999999997</v>
      </c>
      <c r="BP21" s="10">
        <f t="shared" si="13"/>
        <v>6866.7899999999972</v>
      </c>
      <c r="BQ21" s="10">
        <f t="shared" si="13"/>
        <v>5770.0599999999977</v>
      </c>
      <c r="BR21" s="10">
        <f>IF(OR(BQ21="",BR20=""),"",BQ21+BR20)</f>
        <v>4593.2199999999975</v>
      </c>
      <c r="BS21" s="10">
        <f t="shared" si="13"/>
        <v>2440.1899999999973</v>
      </c>
      <c r="BT21" s="10">
        <f t="shared" si="13"/>
        <v>-250.45000000000255</v>
      </c>
      <c r="BU21" s="10">
        <f t="shared" si="13"/>
        <v>-2451.1800000000026</v>
      </c>
      <c r="BY21" s="171"/>
      <c r="BZ21" s="274"/>
      <c r="CA21" s="18" t="s">
        <v>13</v>
      </c>
      <c r="CB21" s="248">
        <v>-61448.179122828762</v>
      </c>
      <c r="CC21" s="248">
        <v>-97910.102033826523</v>
      </c>
      <c r="CD21" s="248">
        <v>-305797.26770618651</v>
      </c>
      <c r="CE21" s="248">
        <v>-147582.25819023745</v>
      </c>
      <c r="CF21" s="248">
        <v>-142406.98179687787</v>
      </c>
      <c r="CG21" s="248">
        <v>-56797.649592227943</v>
      </c>
      <c r="CH21" s="248">
        <v>23815.937637465715</v>
      </c>
      <c r="CK21" s="274"/>
      <c r="CL21" s="18" t="s">
        <v>13</v>
      </c>
      <c r="CM21" s="248">
        <v>-70925.43136838777</v>
      </c>
      <c r="CN21" s="248">
        <v>-117954.23173705721</v>
      </c>
      <c r="CO21" s="248">
        <v>-339315.56138276309</v>
      </c>
      <c r="CP21" s="248">
        <v>-178965.64646293921</v>
      </c>
      <c r="CQ21" s="248">
        <v>-153540.52241932106</v>
      </c>
      <c r="CR21" s="248">
        <v>-62717.193161593634</v>
      </c>
      <c r="CS21" s="248">
        <v>23024.260722490668</v>
      </c>
      <c r="CT21" s="249">
        <f>SUM(CM21:CS21)</f>
        <v>-900394.32580957143</v>
      </c>
      <c r="CU21" s="249">
        <f>SUM(CB21:CH21)</f>
        <v>-788126.50080471928</v>
      </c>
      <c r="CV21" s="249">
        <f>CT21-CU21</f>
        <v>-112267.82500485214</v>
      </c>
    </row>
    <row r="22" spans="1:100" s="5" customFormat="1" ht="14.5" outlineLevel="1" x14ac:dyDescent="0.35">
      <c r="A22" s="274"/>
      <c r="B22" s="18" t="s">
        <v>13</v>
      </c>
      <c r="C22" s="9">
        <f t="shared" ref="C22:I22" si="14">IF(OR(C19="",C18=""),"",C18-C19)</f>
        <v>0.34412602678174997</v>
      </c>
      <c r="D22" s="9">
        <f t="shared" si="14"/>
        <v>593.85341007321881</v>
      </c>
      <c r="E22" s="9">
        <f t="shared" si="14"/>
        <v>3705.6477164422931</v>
      </c>
      <c r="F22" s="9">
        <f t="shared" si="14"/>
        <v>-36933.991833043365</v>
      </c>
      <c r="G22" s="9">
        <f t="shared" si="14"/>
        <v>-21571.365474004102</v>
      </c>
      <c r="H22" s="9">
        <f t="shared" si="14"/>
        <v>-17709.130848159373</v>
      </c>
      <c r="I22" s="9">
        <f t="shared" si="14"/>
        <v>3188.3940230646986</v>
      </c>
      <c r="J22" s="9">
        <f>IF(OR(J19="",J18=""),"",J18-J19)</f>
        <v>28.888962677730888</v>
      </c>
      <c r="K22" s="113" t="s">
        <v>84</v>
      </c>
      <c r="L22" s="113" t="s">
        <v>86</v>
      </c>
      <c r="M22" s="171"/>
      <c r="N22" s="171"/>
      <c r="O22" s="274"/>
      <c r="P22" s="18" t="s">
        <v>52</v>
      </c>
      <c r="Q22" s="21">
        <v>901933.35</v>
      </c>
      <c r="R22" s="21">
        <v>837319.65</v>
      </c>
      <c r="S22" s="21">
        <v>687161.57000000007</v>
      </c>
      <c r="T22" s="21">
        <v>625336.1</v>
      </c>
      <c r="U22" s="21">
        <v>785803.02</v>
      </c>
      <c r="V22" s="21">
        <v>1008578.51</v>
      </c>
      <c r="W22" s="21">
        <v>968912.67999999993</v>
      </c>
      <c r="X22" s="21">
        <v>903157.96</v>
      </c>
      <c r="Y22" s="146">
        <v>670586.17999999993</v>
      </c>
      <c r="Z22" s="153"/>
      <c r="AA22" s="153"/>
      <c r="AB22" s="179"/>
      <c r="AC22" s="150"/>
      <c r="AD22" s="150"/>
      <c r="AE22" s="150"/>
      <c r="AF22" s="150"/>
      <c r="AG22" s="150"/>
      <c r="AH22" s="150"/>
      <c r="AI22" s="150"/>
      <c r="AJ22" s="150"/>
      <c r="AK22" s="153"/>
      <c r="BF22" s="171"/>
      <c r="BG22" s="277"/>
      <c r="BH22" s="7" t="s">
        <v>12</v>
      </c>
      <c r="BI22" s="233">
        <v>711777.30999999878</v>
      </c>
      <c r="BJ22" s="237">
        <f t="shared" ref="BJ22:BM22" si="15">IF(OR(BJ20="",BJ18=""),"",BJ18+BJ20)</f>
        <v>3716143.5599999996</v>
      </c>
      <c r="BK22" s="10">
        <f t="shared" si="15"/>
        <v>11732393.719999997</v>
      </c>
      <c r="BL22" s="10">
        <f t="shared" si="15"/>
        <v>-2925310.2899999991</v>
      </c>
      <c r="BM22" s="10">
        <f t="shared" si="15"/>
        <v>-4548484.54</v>
      </c>
      <c r="BN22" s="10">
        <v>-664537.6399999971</v>
      </c>
      <c r="BO22" s="10">
        <f t="shared" ref="BO22:BU22" si="16">IF(OR(BO20="",BO18=""),"",BO18+BO20)</f>
        <v>-2360798.0116527593</v>
      </c>
      <c r="BP22" s="10">
        <f t="shared" si="16"/>
        <v>-2598061.4276373726</v>
      </c>
      <c r="BQ22" s="10">
        <f t="shared" si="16"/>
        <v>-766367.41199255874</v>
      </c>
      <c r="BR22" s="10">
        <f t="shared" si="16"/>
        <v>-3593610.7635242231</v>
      </c>
      <c r="BS22" s="10">
        <f t="shared" si="16"/>
        <v>-2478220.1810813048</v>
      </c>
      <c r="BT22" s="10">
        <f t="shared" si="16"/>
        <v>-4112721.382674457</v>
      </c>
      <c r="BU22" s="10">
        <f t="shared" si="16"/>
        <v>-896110.76203946536</v>
      </c>
      <c r="BY22" s="171"/>
      <c r="BZ22" s="274"/>
      <c r="CA22" s="19" t="s">
        <v>8</v>
      </c>
      <c r="CB22" s="248">
        <v>307.64999999999998</v>
      </c>
      <c r="CC22" s="248">
        <v>447.9</v>
      </c>
      <c r="CD22" s="248">
        <v>280.74</v>
      </c>
      <c r="CE22" s="248">
        <v>251.34</v>
      </c>
      <c r="CF22" s="248">
        <v>435.39</v>
      </c>
      <c r="CG22" s="248">
        <v>306.26</v>
      </c>
      <c r="CH22" s="248">
        <v>436.47</v>
      </c>
      <c r="CK22" s="274"/>
      <c r="CL22" s="19" t="s">
        <v>8</v>
      </c>
      <c r="CM22" s="248">
        <v>306.44</v>
      </c>
      <c r="CN22" s="248">
        <v>441.49</v>
      </c>
      <c r="CO22" s="248">
        <v>268.42</v>
      </c>
      <c r="CP22" s="248">
        <v>228.05</v>
      </c>
      <c r="CQ22" s="248">
        <v>374.82</v>
      </c>
      <c r="CR22" s="248">
        <v>250.44</v>
      </c>
      <c r="CS22" s="248">
        <v>347.49</v>
      </c>
    </row>
    <row r="23" spans="1:100" s="5" customFormat="1" ht="14.5" outlineLevel="1" x14ac:dyDescent="0.35">
      <c r="A23" s="274"/>
      <c r="B23" s="19" t="s">
        <v>8</v>
      </c>
      <c r="C23" s="9">
        <f>ROUND((C22+0)*'MEEIA 3 calcs'!F9/12,2)</f>
        <v>0</v>
      </c>
      <c r="D23" s="9">
        <f>ROUND((D22+C25)*'MEEIA 3 calcs'!G9/12,2)</f>
        <v>1.32</v>
      </c>
      <c r="E23" s="9">
        <f>ROUND((E22+D25)*'MEEIA 3 calcs'!H9/12,2)</f>
        <v>9.6</v>
      </c>
      <c r="F23" s="9">
        <f>ROUND((F22+E25)*'MEEIA 3 calcs'!I9/12,2)</f>
        <v>-72.040000000000006</v>
      </c>
      <c r="G23" s="9">
        <f>ROUND((G22+F25)*'MEEIA 3 calcs'!J9/12,2)</f>
        <v>-117.35</v>
      </c>
      <c r="H23" s="9">
        <f>ROUND((H22+G25)*'MEEIA 3 calcs'!K9/12,2)</f>
        <v>-141.25</v>
      </c>
      <c r="I23" s="9">
        <f>ROUND((I22+H25)*'MEEIA 3 calcs'!L9/12,2)</f>
        <v>-127.55</v>
      </c>
      <c r="J23" s="9">
        <f>ROUND((J22+I25)*'MEEIA 3 calcs'!M9/12,2)</f>
        <v>-121.81</v>
      </c>
      <c r="K23" s="114">
        <f>SUM('MEEIA 3 calcs'!F42:M42)</f>
        <v>-569.1</v>
      </c>
      <c r="L23" s="123">
        <f>SUM(C23:J23)-K23</f>
        <v>1.999999999998181E-2</v>
      </c>
      <c r="M23" s="171"/>
      <c r="N23" s="171"/>
      <c r="O23" s="274"/>
      <c r="P23" s="18" t="s">
        <v>13</v>
      </c>
      <c r="Q23" s="21">
        <v>19136.33539476915</v>
      </c>
      <c r="R23" s="21">
        <v>-110077.28450135858</v>
      </c>
      <c r="S23" s="21">
        <v>-356666.29899240914</v>
      </c>
      <c r="T23" s="21">
        <v>-176821.71989945308</v>
      </c>
      <c r="U23" s="21">
        <v>380663.8326526123</v>
      </c>
      <c r="V23" s="21">
        <v>588323.66144815541</v>
      </c>
      <c r="W23" s="21">
        <v>779359.73178884923</v>
      </c>
      <c r="X23" s="21">
        <v>616313.05623756989</v>
      </c>
      <c r="Y23" s="146">
        <v>94294.273685406195</v>
      </c>
      <c r="Z23" s="153"/>
      <c r="AA23" s="153"/>
      <c r="AB23" s="179"/>
      <c r="AC23" s="150"/>
      <c r="AD23" s="150"/>
      <c r="AE23" s="150"/>
      <c r="AF23" s="150"/>
      <c r="AG23" s="150"/>
      <c r="AH23" s="150"/>
      <c r="AI23" s="150"/>
      <c r="AJ23" s="150"/>
      <c r="AK23" s="153"/>
      <c r="BF23" s="171"/>
      <c r="BG23" s="277"/>
      <c r="BH23" s="11" t="s">
        <v>3</v>
      </c>
      <c r="BI23" s="233">
        <v>-8112331.2599999979</v>
      </c>
      <c r="BJ23" s="237">
        <f t="shared" ref="BJ23:BM23" si="17">IF(OR(BJ22="",BI23=""),"",BJ22+BI23)</f>
        <v>-4396187.6999999983</v>
      </c>
      <c r="BK23" s="10">
        <f t="shared" si="17"/>
        <v>7336206.0199999986</v>
      </c>
      <c r="BL23" s="10">
        <f t="shared" si="17"/>
        <v>4410895.7299999995</v>
      </c>
      <c r="BM23" s="10">
        <f t="shared" si="17"/>
        <v>-137588.81000000052</v>
      </c>
      <c r="BN23" s="10">
        <f>IF(OR(BN22="",BM23=""),"",BN22+BM23)</f>
        <v>-802126.44999999763</v>
      </c>
      <c r="BO23" s="10">
        <f t="shared" ref="BO23:BU23" si="18">IF(OR(BO22="",BN23=""),"",BO22+BN23)</f>
        <v>-3162924.4616527567</v>
      </c>
      <c r="BP23" s="10">
        <f t="shared" si="18"/>
        <v>-5760985.8892901298</v>
      </c>
      <c r="BQ23" s="10">
        <f t="shared" si="18"/>
        <v>-6527353.301282689</v>
      </c>
      <c r="BR23" s="10">
        <f t="shared" si="18"/>
        <v>-10120964.064806912</v>
      </c>
      <c r="BS23" s="10">
        <f t="shared" si="18"/>
        <v>-12599184.245888216</v>
      </c>
      <c r="BT23" s="10">
        <f t="shared" si="18"/>
        <v>-16711905.628562674</v>
      </c>
      <c r="BU23" s="10">
        <f t="shared" si="18"/>
        <v>-17608016.390602138</v>
      </c>
      <c r="BY23" s="171"/>
      <c r="BZ23" s="274"/>
      <c r="CA23" s="18" t="s">
        <v>14</v>
      </c>
      <c r="CB23" s="248">
        <v>-61140.529122828761</v>
      </c>
      <c r="CC23" s="248">
        <v>-97462.202033826528</v>
      </c>
      <c r="CD23" s="248">
        <v>-305516.52770618652</v>
      </c>
      <c r="CE23" s="248">
        <v>-147330.91819023745</v>
      </c>
      <c r="CF23" s="248">
        <v>-141971.59179687785</v>
      </c>
      <c r="CG23" s="248">
        <v>-56491.389592227941</v>
      </c>
      <c r="CH23" s="248">
        <v>24252.407637465716</v>
      </c>
      <c r="CK23" s="274"/>
      <c r="CL23" s="18" t="s">
        <v>14</v>
      </c>
      <c r="CM23" s="248">
        <v>-70618.991368387768</v>
      </c>
      <c r="CN23" s="248">
        <v>-117512.74173705721</v>
      </c>
      <c r="CO23" s="248">
        <v>-339047.1413827631</v>
      </c>
      <c r="CP23" s="248">
        <v>-178737.59646293923</v>
      </c>
      <c r="CQ23" s="248">
        <v>-153165.70241932105</v>
      </c>
      <c r="CR23" s="248">
        <v>-62466.753161593631</v>
      </c>
      <c r="CS23" s="248">
        <v>23371.750722490669</v>
      </c>
    </row>
    <row r="24" spans="1:100" s="5" customFormat="1" ht="14.5" outlineLevel="1" x14ac:dyDescent="0.35">
      <c r="A24" s="274"/>
      <c r="B24" s="18" t="s">
        <v>14</v>
      </c>
      <c r="C24" s="9">
        <f t="shared" ref="C24:J24" si="19">IF(OR(C22="",C23=""),"",C22+C23)</f>
        <v>0.34412602678174997</v>
      </c>
      <c r="D24" s="9">
        <f t="shared" si="19"/>
        <v>595.17341007321886</v>
      </c>
      <c r="E24" s="9">
        <f t="shared" si="19"/>
        <v>3715.247716442293</v>
      </c>
      <c r="F24" s="9">
        <f t="shared" si="19"/>
        <v>-37006.031833043366</v>
      </c>
      <c r="G24" s="9">
        <f t="shared" si="19"/>
        <v>-21688.715474004101</v>
      </c>
      <c r="H24" s="9">
        <f t="shared" si="19"/>
        <v>-17850.380848159373</v>
      </c>
      <c r="I24" s="9">
        <f t="shared" si="19"/>
        <v>3060.8440230646984</v>
      </c>
      <c r="J24" s="9">
        <f t="shared" si="19"/>
        <v>-92.921037322269115</v>
      </c>
      <c r="M24" s="171"/>
      <c r="N24" s="171"/>
      <c r="O24" s="274"/>
      <c r="P24" s="19" t="s">
        <v>8</v>
      </c>
      <c r="Q24" s="21">
        <v>-788.05</v>
      </c>
      <c r="R24" s="21">
        <v>-714.39</v>
      </c>
      <c r="S24" s="21">
        <v>-517.45000000000005</v>
      </c>
      <c r="T24" s="21">
        <v>-75.570000000000007</v>
      </c>
      <c r="U24" s="21">
        <v>-15.789999999999996</v>
      </c>
      <c r="V24" s="21">
        <v>105.58999999999999</v>
      </c>
      <c r="W24" s="21">
        <v>186.98</v>
      </c>
      <c r="X24" s="21">
        <v>253.54000000000002</v>
      </c>
      <c r="Y24" s="146">
        <v>449.55</v>
      </c>
      <c r="Z24" s="153"/>
      <c r="AA24" s="153"/>
      <c r="AB24" s="179"/>
      <c r="AC24" s="150"/>
      <c r="AD24" s="150"/>
      <c r="AE24" s="150"/>
      <c r="AF24" s="150"/>
      <c r="AG24" s="150"/>
      <c r="AH24" s="150"/>
      <c r="AI24" s="150"/>
      <c r="AJ24" s="150"/>
      <c r="AK24" s="153"/>
      <c r="BF24" s="171"/>
      <c r="BY24" s="171"/>
      <c r="BZ24" s="274"/>
      <c r="CA24" s="20" t="s">
        <v>15</v>
      </c>
      <c r="CB24" s="248">
        <v>2409964.1436557667</v>
      </c>
      <c r="CC24" s="248">
        <v>2063973.0116219402</v>
      </c>
      <c r="CD24" s="248">
        <v>1437217.4439157536</v>
      </c>
      <c r="CE24" s="248">
        <v>1019711.0757255162</v>
      </c>
      <c r="CF24" s="248">
        <v>759507.27392863831</v>
      </c>
      <c r="CG24" s="248">
        <v>612411.01433641044</v>
      </c>
      <c r="CH24" s="248">
        <v>551941.21197387611</v>
      </c>
      <c r="CK24" s="274"/>
      <c r="CL24" s="20" t="s">
        <v>15</v>
      </c>
      <c r="CM24" s="248">
        <v>2400485.6814102079</v>
      </c>
      <c r="CN24" s="248">
        <v>2034444.0096731507</v>
      </c>
      <c r="CO24" s="248">
        <v>1374157.8282903875</v>
      </c>
      <c r="CP24" s="248">
        <v>925244.78182744829</v>
      </c>
      <c r="CQ24" s="248">
        <v>653846.86940812715</v>
      </c>
      <c r="CR24" s="248">
        <v>500775.24624653353</v>
      </c>
      <c r="CS24" s="248">
        <v>439424.78696902422</v>
      </c>
    </row>
    <row r="25" spans="1:100" s="5" customFormat="1" ht="14.5" outlineLevel="1" x14ac:dyDescent="0.35">
      <c r="A25" s="274"/>
      <c r="B25" s="20" t="s">
        <v>16</v>
      </c>
      <c r="C25" s="9">
        <f>IF(OR(C24=""),"",C24)</f>
        <v>0.34412602678174997</v>
      </c>
      <c r="D25" s="9">
        <f t="shared" ref="D25:J25" si="20">IF(OR(D24="",C25=""),"",D24+C25)</f>
        <v>595.5175361000006</v>
      </c>
      <c r="E25" s="9">
        <f t="shared" si="20"/>
        <v>4310.7652525422936</v>
      </c>
      <c r="F25" s="9">
        <f t="shared" si="20"/>
        <v>-32695.266580501073</v>
      </c>
      <c r="G25" s="9">
        <f t="shared" si="20"/>
        <v>-54383.982054505177</v>
      </c>
      <c r="H25" s="9">
        <f t="shared" si="20"/>
        <v>-72234.36290266455</v>
      </c>
      <c r="I25" s="9">
        <f t="shared" si="20"/>
        <v>-69173.518879599855</v>
      </c>
      <c r="J25" s="9">
        <f t="shared" si="20"/>
        <v>-69266.439916922129</v>
      </c>
      <c r="M25" s="171"/>
      <c r="N25" s="171"/>
      <c r="O25" s="274"/>
      <c r="P25" s="19" t="s">
        <v>27</v>
      </c>
      <c r="Q25" s="16">
        <v>-9510.0399999999991</v>
      </c>
      <c r="R25" s="16">
        <v>-10224.429999999998</v>
      </c>
      <c r="S25" s="16">
        <v>-10741.88</v>
      </c>
      <c r="T25" s="16">
        <v>-10817.449999999999</v>
      </c>
      <c r="U25" s="16">
        <v>-10833.24</v>
      </c>
      <c r="V25" s="16">
        <v>-10727.65</v>
      </c>
      <c r="W25" s="16">
        <v>-10540.67</v>
      </c>
      <c r="X25" s="16">
        <v>-10287.129999999999</v>
      </c>
      <c r="Y25" s="147">
        <v>-9837.58</v>
      </c>
      <c r="Z25" s="153"/>
      <c r="AA25" s="153"/>
      <c r="AB25" s="180"/>
      <c r="AC25" s="139"/>
      <c r="AD25" s="139"/>
      <c r="AE25" s="139"/>
      <c r="AF25" s="139"/>
      <c r="AG25" s="139"/>
      <c r="AH25" s="139"/>
      <c r="AI25" s="139"/>
      <c r="AJ25" s="139"/>
      <c r="AK25" s="153"/>
      <c r="BF25" s="171"/>
      <c r="BY25" s="171"/>
      <c r="BZ25" s="44"/>
      <c r="CA25" s="13"/>
      <c r="CB25" s="3"/>
      <c r="CC25" s="3"/>
      <c r="CD25" s="3"/>
      <c r="CE25" s="3"/>
      <c r="CF25" s="3"/>
      <c r="CG25" s="3"/>
      <c r="CH25" s="3"/>
      <c r="CK25" s="44"/>
      <c r="CL25" s="13"/>
      <c r="CM25" s="3"/>
      <c r="CN25" s="3"/>
      <c r="CO25" s="3"/>
      <c r="CP25" s="3"/>
      <c r="CQ25" s="3"/>
      <c r="CR25" s="3"/>
      <c r="CS25" s="3"/>
    </row>
    <row r="26" spans="1:100" s="5" customFormat="1" ht="18.75" customHeight="1" outlineLevel="1" x14ac:dyDescent="0.35">
      <c r="A26" s="44"/>
      <c r="B26" s="13"/>
      <c r="C26" s="14"/>
      <c r="D26" s="14"/>
      <c r="E26" s="14"/>
      <c r="F26" s="14"/>
      <c r="G26" s="14"/>
      <c r="H26" s="14"/>
      <c r="I26" s="14"/>
      <c r="J26" s="14"/>
      <c r="M26" s="171"/>
      <c r="N26" s="171"/>
      <c r="O26" s="274"/>
      <c r="P26" s="18" t="s">
        <v>14</v>
      </c>
      <c r="Q26" s="21">
        <v>18348.285394769147</v>
      </c>
      <c r="R26" s="21">
        <v>-110791.67450135859</v>
      </c>
      <c r="S26" s="21">
        <v>-357183.74899240915</v>
      </c>
      <c r="T26" s="21">
        <v>-176897.28989945308</v>
      </c>
      <c r="U26" s="21">
        <v>380648.04265261232</v>
      </c>
      <c r="V26" s="21">
        <v>588429.25144815538</v>
      </c>
      <c r="W26" s="21">
        <v>779546.71178884932</v>
      </c>
      <c r="X26" s="21">
        <v>616566.59623756993</v>
      </c>
      <c r="Y26" s="146">
        <v>94743.823685406212</v>
      </c>
      <c r="Z26" s="153"/>
      <c r="AA26" s="153"/>
      <c r="AB26" s="179"/>
      <c r="AC26" s="150"/>
      <c r="AD26" s="150"/>
      <c r="AE26" s="150"/>
      <c r="AF26" s="150"/>
      <c r="AG26" s="150"/>
      <c r="AH26" s="150"/>
      <c r="AI26" s="150"/>
      <c r="AJ26" s="150"/>
      <c r="AK26" s="153"/>
      <c r="BF26" s="171"/>
      <c r="BG26" s="171"/>
      <c r="BH26" s="171"/>
      <c r="BI26" s="171"/>
      <c r="BJ26" s="171"/>
      <c r="BK26" s="171"/>
      <c r="BL26" s="171"/>
      <c r="BM26" s="171"/>
      <c r="BN26" s="171"/>
      <c r="BO26" s="171"/>
      <c r="BP26" s="171"/>
      <c r="BQ26" s="171"/>
      <c r="BR26" s="171"/>
      <c r="BS26" s="171"/>
      <c r="BT26" s="171"/>
      <c r="BU26" s="171"/>
      <c r="BV26" s="171"/>
      <c r="BW26" s="171"/>
      <c r="BY26" s="171"/>
      <c r="BZ26" s="274" t="s">
        <v>21</v>
      </c>
      <c r="CA26" s="17"/>
      <c r="CB26" s="3"/>
      <c r="CC26" s="3"/>
      <c r="CD26" s="3"/>
      <c r="CE26" s="3"/>
      <c r="CF26" s="3"/>
      <c r="CG26" s="3"/>
      <c r="CH26" s="3"/>
      <c r="CK26" s="274" t="s">
        <v>21</v>
      </c>
      <c r="CL26" s="17"/>
      <c r="CM26" s="3"/>
      <c r="CN26" s="3"/>
      <c r="CO26" s="3"/>
      <c r="CP26" s="3"/>
      <c r="CQ26" s="3"/>
      <c r="CR26" s="3"/>
      <c r="CS26" s="3"/>
    </row>
    <row r="27" spans="1:100" s="5" customFormat="1" ht="15" customHeight="1" outlineLevel="1" x14ac:dyDescent="0.35">
      <c r="A27" s="274" t="s">
        <v>22</v>
      </c>
      <c r="B27" s="17"/>
      <c r="C27" s="9"/>
      <c r="D27" s="9"/>
      <c r="E27" s="9"/>
      <c r="F27" s="9"/>
      <c r="G27" s="9"/>
      <c r="H27" s="9"/>
      <c r="I27" s="9"/>
      <c r="J27" s="9"/>
      <c r="M27" s="171"/>
      <c r="N27" s="171"/>
      <c r="O27" s="274"/>
      <c r="P27" s="20" t="s">
        <v>2</v>
      </c>
      <c r="Q27" s="21">
        <v>-525113.90717548993</v>
      </c>
      <c r="R27" s="21">
        <v>-454631.4316768485</v>
      </c>
      <c r="S27" s="21">
        <v>-662173.16066925763</v>
      </c>
      <c r="T27" s="21">
        <v>-702708.23056871083</v>
      </c>
      <c r="U27" s="21">
        <v>-150847.96791609848</v>
      </c>
      <c r="V27" s="21">
        <v>654339.10353205702</v>
      </c>
      <c r="W27" s="21">
        <v>1643000.8253209062</v>
      </c>
      <c r="X27" s="21">
        <v>2455523.0815584762</v>
      </c>
      <c r="Y27" s="146">
        <v>2697774.8352438826</v>
      </c>
      <c r="Z27" s="153"/>
      <c r="AA27" s="153"/>
      <c r="AB27" s="179"/>
      <c r="AC27" s="150"/>
      <c r="AD27" s="150"/>
      <c r="AE27" s="150"/>
      <c r="AF27" s="150"/>
      <c r="AG27" s="150"/>
      <c r="AH27" s="150"/>
      <c r="AI27" s="150"/>
      <c r="AJ27" s="150"/>
      <c r="AK27" s="153"/>
      <c r="BF27" s="171"/>
      <c r="BG27" s="271"/>
      <c r="BY27" s="171"/>
      <c r="BZ27" s="274"/>
      <c r="CA27" s="17" t="s">
        <v>28</v>
      </c>
      <c r="CB27" s="248">
        <v>222262.13845546212</v>
      </c>
      <c r="CC27" s="248">
        <v>249509.48642011534</v>
      </c>
      <c r="CD27" s="248">
        <v>321944.69044732186</v>
      </c>
      <c r="CE27" s="248">
        <v>246962.75301226831</v>
      </c>
      <c r="CF27" s="248">
        <v>100845.58616926862</v>
      </c>
      <c r="CG27" s="248">
        <v>127422.49440160212</v>
      </c>
      <c r="CH27" s="248">
        <v>191471.00601967305</v>
      </c>
      <c r="CK27" s="274"/>
      <c r="CL27" s="17" t="s">
        <v>28</v>
      </c>
      <c r="CM27" s="248">
        <v>223625.03574520181</v>
      </c>
      <c r="CN27" s="248">
        <v>252523.31386563691</v>
      </c>
      <c r="CO27" s="248">
        <v>327101.18395832536</v>
      </c>
      <c r="CP27" s="248">
        <v>251928.48906907809</v>
      </c>
      <c r="CQ27" s="248">
        <v>102552.95286269565</v>
      </c>
      <c r="CR27" s="248">
        <v>128255.52178299883</v>
      </c>
      <c r="CS27" s="248">
        <v>191587.71421253134</v>
      </c>
    </row>
    <row r="28" spans="1:100" s="3" customFormat="1" ht="15" customHeight="1" outlineLevel="1" x14ac:dyDescent="0.35">
      <c r="A28" s="274"/>
      <c r="B28" s="17" t="s">
        <v>28</v>
      </c>
      <c r="C28" s="22">
        <f>C90</f>
        <v>0.38250960519337501</v>
      </c>
      <c r="D28" s="22">
        <f t="shared" ref="D28:J28" si="21">D90</f>
        <v>592.84700439506275</v>
      </c>
      <c r="E28" s="22">
        <f t="shared" si="21"/>
        <v>3788.6582603776305</v>
      </c>
      <c r="F28" s="22">
        <f t="shared" si="21"/>
        <v>18535.810544392894</v>
      </c>
      <c r="G28" s="22">
        <f t="shared" si="21"/>
        <v>43757.113824202133</v>
      </c>
      <c r="H28" s="22">
        <f t="shared" si="21"/>
        <v>59086.939884825857</v>
      </c>
      <c r="I28" s="22">
        <f t="shared" si="21"/>
        <v>83744.849905232913</v>
      </c>
      <c r="J28" s="22">
        <f t="shared" si="21"/>
        <v>59946.023885732408</v>
      </c>
      <c r="M28" s="172"/>
      <c r="N28" s="172"/>
      <c r="O28" s="44"/>
      <c r="P28" s="13"/>
      <c r="Q28" s="14"/>
      <c r="R28" s="14"/>
      <c r="S28" s="14"/>
      <c r="T28" s="14"/>
      <c r="U28" s="14"/>
      <c r="V28" s="14"/>
      <c r="W28" s="14"/>
      <c r="X28" s="14"/>
      <c r="Y28" s="144"/>
      <c r="Z28" s="153"/>
      <c r="AA28" s="153"/>
      <c r="AB28" s="180"/>
      <c r="AC28" s="139"/>
      <c r="AD28" s="139"/>
      <c r="AE28" s="139"/>
      <c r="AF28" s="139"/>
      <c r="AG28" s="139"/>
      <c r="AH28" s="139"/>
      <c r="AI28" s="139"/>
      <c r="AJ28" s="139"/>
      <c r="AK28" s="153"/>
      <c r="BF28" s="172"/>
      <c r="BG28" s="101"/>
      <c r="BY28" s="172"/>
      <c r="BZ28" s="274"/>
      <c r="CA28" s="18" t="s">
        <v>26</v>
      </c>
      <c r="CB28" s="248">
        <v>312397.32107489841</v>
      </c>
      <c r="CC28" s="248">
        <v>355639.37645809754</v>
      </c>
      <c r="CD28" s="248">
        <v>419510.42236398638</v>
      </c>
      <c r="CE28" s="248">
        <v>345889.73802590865</v>
      </c>
      <c r="CF28" s="248">
        <v>199586.56344967708</v>
      </c>
      <c r="CG28" s="248">
        <v>176831.15319493209</v>
      </c>
      <c r="CH28" s="248">
        <v>171543.19774187819</v>
      </c>
      <c r="CK28" s="274"/>
      <c r="CL28" s="18" t="s">
        <v>26</v>
      </c>
      <c r="CM28" s="248">
        <v>311669.3022282609</v>
      </c>
      <c r="CN28" s="248">
        <v>354085.59169796284</v>
      </c>
      <c r="CO28" s="248">
        <v>416632.60304568737</v>
      </c>
      <c r="CP28" s="248">
        <v>343013.74640381179</v>
      </c>
      <c r="CQ28" s="248">
        <v>198643.80240817316</v>
      </c>
      <c r="CR28" s="248">
        <v>176362.35535747116</v>
      </c>
      <c r="CS28" s="248">
        <v>171488.95640428353</v>
      </c>
    </row>
    <row r="29" spans="1:100" s="5" customFormat="1" ht="15" customHeight="1" outlineLevel="1" x14ac:dyDescent="0.35">
      <c r="A29" s="274"/>
      <c r="B29" s="18" t="s">
        <v>26</v>
      </c>
      <c r="C29" s="22">
        <f>IF('M3 Allocations - TD'!D53="","",'M3 Allocations - TD'!D71)</f>
        <v>0</v>
      </c>
      <c r="D29" s="22">
        <f>IF('M3 Allocations - TD'!E53="","",'M3 Allocations - TD'!E71)</f>
        <v>0</v>
      </c>
      <c r="E29" s="22">
        <f>IF('M3 Allocations - TD'!F53="","",'M3 Allocations - TD'!F71)</f>
        <v>6753.6701978728988</v>
      </c>
      <c r="F29" s="22">
        <f>IF('M3 Allocations - TD'!G53="","",'M3 Allocations - TD'!G71)</f>
        <v>107151.44580605239</v>
      </c>
      <c r="G29" s="22">
        <f>IF('M3 Allocations - TD'!H53="","",'M3 Allocations - TD'!H71)</f>
        <v>115634.5208649429</v>
      </c>
      <c r="H29" s="22">
        <f>IF('M3 Allocations - TD'!I53="","",'M3 Allocations - TD'!I71)</f>
        <v>118331.81312804784</v>
      </c>
      <c r="I29" s="22">
        <f>IF('M3 Allocations - TD'!J53="","",'M3 Allocations - TD'!J71)</f>
        <v>119601.33814288217</v>
      </c>
      <c r="J29" s="22">
        <f>IF('M3 Allocations - TD'!K53="","",'M3 Allocations - TD'!K71)</f>
        <v>109968.9574924099</v>
      </c>
      <c r="M29" s="171"/>
      <c r="N29" s="171"/>
      <c r="O29" s="274" t="s">
        <v>20</v>
      </c>
      <c r="P29" s="17"/>
      <c r="Q29" s="9"/>
      <c r="R29" s="9"/>
      <c r="S29" s="9"/>
      <c r="T29" s="9"/>
      <c r="U29" s="9"/>
      <c r="V29" s="9"/>
      <c r="W29" s="9"/>
      <c r="X29" s="9"/>
      <c r="Y29" s="145"/>
      <c r="Z29" s="153"/>
      <c r="AA29" s="153"/>
      <c r="AB29" s="180"/>
      <c r="AC29" s="139"/>
      <c r="AD29" s="139"/>
      <c r="AE29" s="139"/>
      <c r="AF29" s="139"/>
      <c r="AG29" s="139"/>
      <c r="AH29" s="139"/>
      <c r="AI29" s="139"/>
      <c r="AJ29" s="139"/>
      <c r="AK29" s="153"/>
      <c r="BF29" s="171"/>
      <c r="BG29" s="3" t="s">
        <v>114</v>
      </c>
      <c r="BY29" s="171"/>
      <c r="BZ29" s="274"/>
      <c r="CA29" s="18" t="s">
        <v>51</v>
      </c>
      <c r="CB29" s="248">
        <v>-34659.79</v>
      </c>
      <c r="CC29" s="248">
        <v>-39489.65</v>
      </c>
      <c r="CD29" s="248">
        <v>-46633.93</v>
      </c>
      <c r="CE29" s="248">
        <v>59971.88</v>
      </c>
      <c r="CF29" s="248">
        <v>34460.21</v>
      </c>
      <c r="CG29" s="248">
        <v>30482.11</v>
      </c>
      <c r="CH29" s="248">
        <v>29523.43</v>
      </c>
      <c r="CK29" s="274"/>
      <c r="CL29" s="18" t="s">
        <v>51</v>
      </c>
      <c r="CM29" s="248">
        <v>-34659.79</v>
      </c>
      <c r="CN29" s="248">
        <v>-39489.65</v>
      </c>
      <c r="CO29" s="248">
        <v>-46633.93</v>
      </c>
      <c r="CP29" s="248">
        <v>59971.88</v>
      </c>
      <c r="CQ29" s="248">
        <v>34460.21</v>
      </c>
      <c r="CR29" s="248">
        <v>30482.11</v>
      </c>
      <c r="CS29" s="248">
        <v>29523.43</v>
      </c>
    </row>
    <row r="30" spans="1:100" s="5" customFormat="1" ht="15" customHeight="1" outlineLevel="1" x14ac:dyDescent="0.35">
      <c r="A30" s="274"/>
      <c r="B30" s="18" t="s">
        <v>51</v>
      </c>
      <c r="C30" s="22">
        <f>IF(C29="","",0)</f>
        <v>0</v>
      </c>
      <c r="D30" s="22">
        <f t="shared" ref="D30:I30" si="22">IF(D29="","",0)</f>
        <v>0</v>
      </c>
      <c r="E30" s="22">
        <f t="shared" si="22"/>
        <v>0</v>
      </c>
      <c r="F30" s="22">
        <f t="shared" si="22"/>
        <v>0</v>
      </c>
      <c r="G30" s="22">
        <f t="shared" si="22"/>
        <v>0</v>
      </c>
      <c r="H30" s="22">
        <f t="shared" si="22"/>
        <v>0</v>
      </c>
      <c r="I30" s="22">
        <f t="shared" si="22"/>
        <v>0</v>
      </c>
      <c r="J30" s="22">
        <f>IF(J29="","",0)</f>
        <v>0</v>
      </c>
      <c r="M30" s="171"/>
      <c r="N30" s="171"/>
      <c r="O30" s="274"/>
      <c r="P30" s="17" t="s">
        <v>28</v>
      </c>
      <c r="Q30" s="22">
        <v>676189.22029010952</v>
      </c>
      <c r="R30" s="22">
        <v>463090.51540533279</v>
      </c>
      <c r="S30" s="22">
        <v>212999.83668866704</v>
      </c>
      <c r="T30" s="22">
        <v>239315.41925638349</v>
      </c>
      <c r="U30" s="22">
        <v>745964.63979628112</v>
      </c>
      <c r="V30" s="22">
        <v>1021961.1417325244</v>
      </c>
      <c r="W30" s="22">
        <v>1221140.287913003</v>
      </c>
      <c r="X30" s="22">
        <v>1038934.5439936385</v>
      </c>
      <c r="Y30" s="148">
        <v>456853.18990942289</v>
      </c>
      <c r="Z30" s="154"/>
      <c r="AA30" s="154"/>
      <c r="AB30" s="180"/>
      <c r="AC30" s="139"/>
      <c r="AD30" s="139"/>
      <c r="AE30" s="139"/>
      <c r="AF30" s="139"/>
      <c r="AG30" s="139"/>
      <c r="AH30" s="139"/>
      <c r="AI30" s="139"/>
      <c r="AJ30" s="139"/>
      <c r="AK30" s="154"/>
      <c r="BF30" s="171"/>
      <c r="BG30" s="51" t="s">
        <v>113</v>
      </c>
      <c r="BY30" s="171"/>
      <c r="BZ30" s="274"/>
      <c r="CA30" s="18" t="s">
        <v>52</v>
      </c>
      <c r="CB30" s="248">
        <v>277737.53107489843</v>
      </c>
      <c r="CC30" s="248">
        <v>316149.72645809752</v>
      </c>
      <c r="CD30" s="248">
        <v>372876.49236398638</v>
      </c>
      <c r="CE30" s="248">
        <v>405861.61802590865</v>
      </c>
      <c r="CF30" s="248">
        <v>234046.77344967707</v>
      </c>
      <c r="CG30" s="248">
        <v>207313.26319493208</v>
      </c>
      <c r="CH30" s="248">
        <v>201066.62774187818</v>
      </c>
      <c r="CK30" s="274"/>
      <c r="CL30" s="18" t="s">
        <v>52</v>
      </c>
      <c r="CM30" s="248">
        <v>277009.51222826092</v>
      </c>
      <c r="CN30" s="248">
        <v>314595.94169796281</v>
      </c>
      <c r="CO30" s="248">
        <v>369998.67304568738</v>
      </c>
      <c r="CP30" s="248">
        <v>402985.6264038118</v>
      </c>
      <c r="CQ30" s="248">
        <v>233104.01240817315</v>
      </c>
      <c r="CR30" s="248">
        <v>206844.46535747114</v>
      </c>
      <c r="CS30" s="248">
        <v>201012.38640428352</v>
      </c>
      <c r="CT30" s="5" t="s">
        <v>118</v>
      </c>
      <c r="CU30" s="5" t="s">
        <v>119</v>
      </c>
      <c r="CV30" s="5" t="s">
        <v>120</v>
      </c>
    </row>
    <row r="31" spans="1:100" s="5" customFormat="1" ht="15" customHeight="1" outlineLevel="1" x14ac:dyDescent="0.35">
      <c r="A31" s="274"/>
      <c r="B31" s="18" t="s">
        <v>52</v>
      </c>
      <c r="C31" s="9">
        <f t="shared" ref="C31:I31" si="23">IF(OR(C30="",C29=""),"",C29+C30)</f>
        <v>0</v>
      </c>
      <c r="D31" s="9">
        <f t="shared" si="23"/>
        <v>0</v>
      </c>
      <c r="E31" s="9">
        <f t="shared" si="23"/>
        <v>6753.6701978728988</v>
      </c>
      <c r="F31" s="9">
        <f t="shared" si="23"/>
        <v>107151.44580605239</v>
      </c>
      <c r="G31" s="9">
        <f t="shared" si="23"/>
        <v>115634.5208649429</v>
      </c>
      <c r="H31" s="9">
        <f t="shared" si="23"/>
        <v>118331.81312804784</v>
      </c>
      <c r="I31" s="9">
        <f t="shared" si="23"/>
        <v>119601.33814288217</v>
      </c>
      <c r="J31" s="9">
        <f>IF(OR(J30="",J29=""),"",J29+J30)</f>
        <v>109968.9574924099</v>
      </c>
      <c r="M31" s="171"/>
      <c r="N31" s="171"/>
      <c r="O31" s="274"/>
      <c r="P31" s="18" t="s">
        <v>26</v>
      </c>
      <c r="Q31" s="22">
        <v>474323.05163473397</v>
      </c>
      <c r="R31" s="22">
        <v>428810.25716296653</v>
      </c>
      <c r="S31" s="22">
        <v>339346.33491655142</v>
      </c>
      <c r="T31" s="22">
        <v>302925.05162387801</v>
      </c>
      <c r="U31" s="22">
        <v>399589.74786578171</v>
      </c>
      <c r="V31" s="22">
        <v>536049.73122413771</v>
      </c>
      <c r="W31" s="22">
        <v>503311.04413038632</v>
      </c>
      <c r="X31" s="22">
        <v>453730.11803544633</v>
      </c>
      <c r="Y31" s="148">
        <v>307694.93026905361</v>
      </c>
      <c r="Z31" s="153"/>
      <c r="AA31" s="153"/>
      <c r="AB31" s="180"/>
      <c r="AC31" s="139"/>
      <c r="AD31" s="139"/>
      <c r="AE31" s="139"/>
      <c r="AF31" s="139"/>
      <c r="AG31" s="139"/>
      <c r="AH31" s="139"/>
      <c r="AI31" s="139"/>
      <c r="AJ31" s="139"/>
      <c r="AK31" s="153"/>
      <c r="BF31" s="171"/>
      <c r="BG31" s="61"/>
      <c r="BH31" s="61"/>
      <c r="BI31" s="12">
        <v>44105</v>
      </c>
      <c r="BJ31" s="12">
        <v>44136</v>
      </c>
      <c r="BK31" s="12">
        <v>44166</v>
      </c>
      <c r="BL31" s="12">
        <v>44197</v>
      </c>
      <c r="BM31" s="12">
        <v>44228</v>
      </c>
      <c r="BN31" s="12">
        <v>44256</v>
      </c>
      <c r="BO31" s="12">
        <v>44287</v>
      </c>
      <c r="BP31" s="12">
        <v>44317</v>
      </c>
      <c r="BQ31" s="12">
        <v>44348</v>
      </c>
      <c r="BR31" s="12">
        <v>44378</v>
      </c>
      <c r="BS31" s="12">
        <v>44409</v>
      </c>
      <c r="BT31" s="12">
        <v>44440</v>
      </c>
      <c r="BU31" s="12">
        <v>44470</v>
      </c>
      <c r="BY31" s="171"/>
      <c r="BZ31" s="274"/>
      <c r="CA31" s="18" t="s">
        <v>13</v>
      </c>
      <c r="CB31" s="248">
        <v>-55475.392619436316</v>
      </c>
      <c r="CC31" s="248">
        <v>-66640.240037982177</v>
      </c>
      <c r="CD31" s="248">
        <v>-50931.801916664524</v>
      </c>
      <c r="CE31" s="248">
        <v>-158898.86501364034</v>
      </c>
      <c r="CF31" s="248">
        <v>-133201.18728040846</v>
      </c>
      <c r="CG31" s="248">
        <v>-79890.76879332996</v>
      </c>
      <c r="CH31" s="248">
        <v>-9595.6217222051346</v>
      </c>
      <c r="CK31" s="274"/>
      <c r="CL31" s="18" t="s">
        <v>13</v>
      </c>
      <c r="CM31" s="248">
        <v>-53384.476483059116</v>
      </c>
      <c r="CN31" s="248">
        <v>-62072.627832325903</v>
      </c>
      <c r="CO31" s="248">
        <v>-42897.489087362017</v>
      </c>
      <c r="CP31" s="248">
        <v>-151057.13733473371</v>
      </c>
      <c r="CQ31" s="248">
        <v>-130551.0595454775</v>
      </c>
      <c r="CR31" s="248">
        <v>-78588.943574472316</v>
      </c>
      <c r="CS31" s="248">
        <v>-9424.6721917521791</v>
      </c>
      <c r="CT31" s="249">
        <f>SUM(CM31:CS31)</f>
        <v>-527976.40604918275</v>
      </c>
      <c r="CU31" s="249">
        <f>SUM(CB31:CH31)</f>
        <v>-554633.87738366681</v>
      </c>
      <c r="CV31" s="249">
        <f>CT31-CU31</f>
        <v>26657.471334484057</v>
      </c>
    </row>
    <row r="32" spans="1:100" s="5" customFormat="1" ht="14.5" outlineLevel="1" x14ac:dyDescent="0.35">
      <c r="A32" s="274"/>
      <c r="B32" s="18" t="s">
        <v>13</v>
      </c>
      <c r="C32" s="9">
        <f t="shared" ref="C32:I32" si="24">IF(OR(C29="",C28=""),"",C28-C29)</f>
        <v>0.38250960519337501</v>
      </c>
      <c r="D32" s="9">
        <f t="shared" si="24"/>
        <v>592.84700439506275</v>
      </c>
      <c r="E32" s="9">
        <f t="shared" si="24"/>
        <v>-2965.0119374952683</v>
      </c>
      <c r="F32" s="9">
        <f t="shared" si="24"/>
        <v>-88615.635261659496</v>
      </c>
      <c r="G32" s="9">
        <f t="shared" si="24"/>
        <v>-71877.407040740771</v>
      </c>
      <c r="H32" s="9">
        <f t="shared" si="24"/>
        <v>-59244.873243221984</v>
      </c>
      <c r="I32" s="9">
        <f t="shared" si="24"/>
        <v>-35856.488237649261</v>
      </c>
      <c r="J32" s="9">
        <f>IF(OR(J29="",J28=""),"",J28-J29)</f>
        <v>-50022.933606677492</v>
      </c>
      <c r="K32" s="113" t="s">
        <v>84</v>
      </c>
      <c r="L32" s="113" t="s">
        <v>87</v>
      </c>
      <c r="M32" s="171"/>
      <c r="N32" s="171"/>
      <c r="O32" s="274"/>
      <c r="P32" s="18" t="s">
        <v>51</v>
      </c>
      <c r="Q32" s="22">
        <v>115732.97</v>
      </c>
      <c r="R32" s="22">
        <v>104574.51</v>
      </c>
      <c r="S32" s="22">
        <v>82818.98</v>
      </c>
      <c r="T32" s="22">
        <v>74005.649999999994</v>
      </c>
      <c r="U32" s="22">
        <v>97941.18</v>
      </c>
      <c r="V32" s="22">
        <v>131594.67000000001</v>
      </c>
      <c r="W32" s="22">
        <v>123527.13</v>
      </c>
      <c r="X32" s="22">
        <v>111322.95</v>
      </c>
      <c r="Y32" s="148">
        <v>75219.710000000006</v>
      </c>
      <c r="Z32" s="153"/>
      <c r="AA32" s="153"/>
      <c r="AB32" s="180"/>
      <c r="AC32" s="139"/>
      <c r="AD32" s="139"/>
      <c r="AE32" s="139"/>
      <c r="AF32" s="139"/>
      <c r="AG32" s="139"/>
      <c r="AH32" s="139"/>
      <c r="AI32" s="139"/>
      <c r="AJ32" s="139"/>
      <c r="AK32" s="153"/>
      <c r="BF32" s="171"/>
      <c r="BG32" s="61"/>
      <c r="BH32" s="191" t="s">
        <v>8</v>
      </c>
      <c r="BI32" s="31"/>
      <c r="BJ32" s="67">
        <v>2.5244400000000002E-3</v>
      </c>
      <c r="BK32" s="67">
        <v>2.8469900000000002E-3</v>
      </c>
      <c r="BL32" s="67">
        <v>2.0613900000000002E-3</v>
      </c>
      <c r="BM32" s="67">
        <v>2.3221700000000001E-3</v>
      </c>
      <c r="BN32" s="67">
        <v>2.1367399999999998E-3</v>
      </c>
      <c r="BO32" s="67">
        <v>2.2512299999999999E-3</v>
      </c>
      <c r="BP32" s="67">
        <v>2.2427200000000001E-3</v>
      </c>
      <c r="BQ32" s="67">
        <v>2.01659E-3</v>
      </c>
      <c r="BR32" s="67">
        <v>1.3954900000000001E-3</v>
      </c>
      <c r="BS32" s="67">
        <v>2.0509899999999999E-3</v>
      </c>
      <c r="BT32" s="67">
        <v>1.9323299999999999E-3</v>
      </c>
      <c r="BU32" s="67">
        <v>1.5E-3</v>
      </c>
      <c r="BY32" s="171"/>
      <c r="BZ32" s="274"/>
      <c r="CA32" s="19" t="s">
        <v>8</v>
      </c>
      <c r="CB32" s="248">
        <v>-36.92</v>
      </c>
      <c r="CC32" s="248">
        <v>-85.81</v>
      </c>
      <c r="CD32" s="248">
        <v>-96.32</v>
      </c>
      <c r="CE32" s="248">
        <v>-145.96</v>
      </c>
      <c r="CF32" s="248">
        <v>-396.3</v>
      </c>
      <c r="CG32" s="248">
        <v>-370.62</v>
      </c>
      <c r="CH32" s="248">
        <v>-570.75</v>
      </c>
      <c r="CK32" s="274"/>
      <c r="CL32" s="19" t="s">
        <v>8</v>
      </c>
      <c r="CM32" s="248">
        <v>-36.659999999999997</v>
      </c>
      <c r="CN32" s="248">
        <v>-84.37</v>
      </c>
      <c r="CO32" s="248">
        <v>-93.45</v>
      </c>
      <c r="CP32" s="248">
        <v>-140.4</v>
      </c>
      <c r="CQ32" s="248">
        <v>-381.85</v>
      </c>
      <c r="CR32" s="248">
        <v>-357.36</v>
      </c>
      <c r="CS32" s="248">
        <v>-549.62</v>
      </c>
    </row>
    <row r="33" spans="1:100" s="5" customFormat="1" ht="14.5" outlineLevel="1" x14ac:dyDescent="0.35">
      <c r="A33" s="274"/>
      <c r="B33" s="19" t="s">
        <v>8</v>
      </c>
      <c r="C33" s="9">
        <f>ROUND((C32+0)*'MEEIA 3 calcs'!F9/12,2)</f>
        <v>0</v>
      </c>
      <c r="D33" s="9">
        <f>ROUND((D32+C35)*'MEEIA 3 calcs'!G9/12,2)</f>
        <v>1.32</v>
      </c>
      <c r="E33" s="9">
        <f>ROUND((E32+D35)*'MEEIA 3 calcs'!H9/12,2)</f>
        <v>-5.29</v>
      </c>
      <c r="F33" s="9">
        <f>ROUND((F32+E35)*'MEEIA 3 calcs'!I9/12,2)</f>
        <v>-200.94</v>
      </c>
      <c r="G33" s="9">
        <f>ROUND((G32+F35)*'MEEIA 3 calcs'!J9/12,2)</f>
        <v>-352.62</v>
      </c>
      <c r="H33" s="9">
        <f>ROUND((H32+G35)*'MEEIA 3 calcs'!K9/12,2)</f>
        <v>-436.28</v>
      </c>
      <c r="I33" s="9">
        <f>ROUND((I32+H35)*'MEEIA 3 calcs'!L9/12,2)</f>
        <v>-478.4</v>
      </c>
      <c r="J33" s="9">
        <f>ROUND((J32+I35)*'MEEIA 3 calcs'!M9/12,2)</f>
        <v>-545.15</v>
      </c>
      <c r="K33" s="114">
        <f>SUM('MEEIA 3 calcs'!F52:M52)</f>
        <v>-2112.7799999999997</v>
      </c>
      <c r="L33" s="123">
        <f>SUM(C33:J33)-K33</f>
        <v>95.419999999999618</v>
      </c>
      <c r="M33" s="171"/>
      <c r="N33" s="171"/>
      <c r="O33" s="274"/>
      <c r="P33" s="18" t="s">
        <v>52</v>
      </c>
      <c r="Q33" s="9">
        <v>590056.021634734</v>
      </c>
      <c r="R33" s="9">
        <v>533384.76716296654</v>
      </c>
      <c r="S33" s="9">
        <v>422165.3149165514</v>
      </c>
      <c r="T33" s="9">
        <v>376930.70162387798</v>
      </c>
      <c r="U33" s="9">
        <v>497530.9278657817</v>
      </c>
      <c r="V33" s="9">
        <v>667644.40122413775</v>
      </c>
      <c r="W33" s="9">
        <v>626838.17413038632</v>
      </c>
      <c r="X33" s="9">
        <v>565053.06803544634</v>
      </c>
      <c r="Y33" s="9">
        <v>382914.64026905363</v>
      </c>
      <c r="AB33" s="180"/>
      <c r="AC33" s="139"/>
      <c r="AD33" s="139"/>
      <c r="AE33" s="139"/>
      <c r="AF33" s="139"/>
      <c r="AG33" s="139"/>
      <c r="AH33" s="139"/>
      <c r="AI33" s="139"/>
      <c r="AJ33" s="139"/>
      <c r="AK33" s="153"/>
      <c r="BF33" s="171"/>
      <c r="BG33" s="275" t="s">
        <v>65</v>
      </c>
      <c r="BH33" s="92"/>
      <c r="BI33" s="10">
        <v>0</v>
      </c>
      <c r="BJ33" s="173">
        <v>-50000</v>
      </c>
      <c r="BK33" s="31"/>
      <c r="BL33" s="31"/>
      <c r="BM33" s="31"/>
      <c r="BN33" s="31"/>
      <c r="BO33" s="31"/>
      <c r="BP33" s="31"/>
      <c r="BQ33" s="31"/>
      <c r="BR33" s="31"/>
      <c r="BS33" s="31"/>
      <c r="BT33" s="31"/>
      <c r="BU33" s="173">
        <v>-153732.06</v>
      </c>
      <c r="BY33" s="171"/>
      <c r="BZ33" s="274"/>
      <c r="CA33" s="18" t="s">
        <v>14</v>
      </c>
      <c r="CB33" s="248">
        <v>-55512.312619436314</v>
      </c>
      <c r="CC33" s="248">
        <v>-66726.050037982175</v>
      </c>
      <c r="CD33" s="248">
        <v>-51028.121916664524</v>
      </c>
      <c r="CE33" s="248">
        <v>-159044.82501364034</v>
      </c>
      <c r="CF33" s="248">
        <v>-133597.48728040844</v>
      </c>
      <c r="CG33" s="248">
        <v>-80261.388793329956</v>
      </c>
      <c r="CH33" s="248">
        <v>-10166.371722205135</v>
      </c>
      <c r="CK33" s="274"/>
      <c r="CL33" s="18" t="s">
        <v>14</v>
      </c>
      <c r="CM33" s="248">
        <v>-53421.136483059119</v>
      </c>
      <c r="CN33" s="248">
        <v>-62156.997832325906</v>
      </c>
      <c r="CO33" s="248">
        <v>-42990.939087362014</v>
      </c>
      <c r="CP33" s="248">
        <v>-151197.5373347337</v>
      </c>
      <c r="CQ33" s="248">
        <v>-130932.90954547751</v>
      </c>
      <c r="CR33" s="248">
        <v>-78946.303574472317</v>
      </c>
      <c r="CS33" s="248">
        <v>-9974.2921917521799</v>
      </c>
    </row>
    <row r="34" spans="1:100" s="5" customFormat="1" ht="14.5" outlineLevel="1" x14ac:dyDescent="0.35">
      <c r="A34" s="274"/>
      <c r="B34" s="18" t="s">
        <v>14</v>
      </c>
      <c r="C34" s="9">
        <f t="shared" ref="C34:J34" si="25">IF(OR(C32="",C33=""),"",C32+C33)</f>
        <v>0.38250960519337501</v>
      </c>
      <c r="D34" s="9">
        <f t="shared" si="25"/>
        <v>594.1670043950628</v>
      </c>
      <c r="E34" s="9">
        <f t="shared" si="25"/>
        <v>-2970.3019374952682</v>
      </c>
      <c r="F34" s="9">
        <f t="shared" si="25"/>
        <v>-88816.575261659498</v>
      </c>
      <c r="G34" s="9">
        <f t="shared" si="25"/>
        <v>-72230.027040740766</v>
      </c>
      <c r="H34" s="9">
        <f t="shared" si="25"/>
        <v>-59681.153243221983</v>
      </c>
      <c r="I34" s="9">
        <f t="shared" si="25"/>
        <v>-36334.888237649262</v>
      </c>
      <c r="J34" s="9">
        <f t="shared" si="25"/>
        <v>-50568.083606677494</v>
      </c>
      <c r="M34" s="171"/>
      <c r="N34" s="171"/>
      <c r="O34" s="274"/>
      <c r="P34" s="18" t="s">
        <v>13</v>
      </c>
      <c r="Q34" s="9">
        <v>86133.198655375512</v>
      </c>
      <c r="R34" s="9">
        <v>-70294.251757633756</v>
      </c>
      <c r="S34" s="9">
        <v>-209165.47822788436</v>
      </c>
      <c r="T34" s="9">
        <v>-137615.28236749448</v>
      </c>
      <c r="U34" s="9">
        <v>248433.71193049941</v>
      </c>
      <c r="V34" s="9">
        <v>354316.74050838663</v>
      </c>
      <c r="W34" s="9">
        <v>594302.11378261668</v>
      </c>
      <c r="X34" s="9">
        <v>473881.47595819214</v>
      </c>
      <c r="Y34" s="9">
        <v>73938.549640369252</v>
      </c>
      <c r="Z34" s="113" t="s">
        <v>84</v>
      </c>
      <c r="AA34" s="113" t="s">
        <v>87</v>
      </c>
      <c r="AB34" s="180"/>
      <c r="AC34" s="139"/>
      <c r="AD34" s="139"/>
      <c r="AE34" s="139"/>
      <c r="AF34" s="139"/>
      <c r="AG34" s="139"/>
      <c r="AH34" s="139"/>
      <c r="AI34" s="139"/>
      <c r="AJ34" s="139"/>
      <c r="AK34" s="155"/>
      <c r="BF34" s="171"/>
      <c r="BG34" s="275"/>
      <c r="BH34" s="92" t="s">
        <v>66</v>
      </c>
      <c r="BI34" s="10">
        <v>0</v>
      </c>
      <c r="BJ34" s="24">
        <v>0</v>
      </c>
      <c r="BK34" s="24">
        <v>0</v>
      </c>
      <c r="BL34" s="24">
        <v>0</v>
      </c>
      <c r="BM34" s="24">
        <v>0</v>
      </c>
      <c r="BN34" s="24">
        <v>0</v>
      </c>
      <c r="BO34" s="24">
        <v>0</v>
      </c>
      <c r="BP34" s="24">
        <v>0</v>
      </c>
      <c r="BQ34" s="24">
        <v>0</v>
      </c>
      <c r="BR34" s="24">
        <v>0</v>
      </c>
      <c r="BS34" s="24">
        <v>0</v>
      </c>
      <c r="BT34" s="24">
        <v>0</v>
      </c>
      <c r="BU34" s="24">
        <v>0</v>
      </c>
      <c r="BY34" s="171"/>
      <c r="BZ34" s="274"/>
      <c r="CA34" s="20" t="s">
        <v>16</v>
      </c>
      <c r="CB34" s="248">
        <v>-289230.94684451108</v>
      </c>
      <c r="CC34" s="248">
        <v>-395446.64688249328</v>
      </c>
      <c r="CD34" s="248">
        <v>-493108.69879915781</v>
      </c>
      <c r="CE34" s="248">
        <v>-592181.6438127982</v>
      </c>
      <c r="CF34" s="248">
        <v>-691318.92109320662</v>
      </c>
      <c r="CG34" s="248">
        <v>-741098.19988653657</v>
      </c>
      <c r="CH34" s="248">
        <v>-721741.14160874172</v>
      </c>
      <c r="CK34" s="274"/>
      <c r="CL34" s="20" t="s">
        <v>16</v>
      </c>
      <c r="CM34" s="248">
        <v>-287139.77070813393</v>
      </c>
      <c r="CN34" s="248">
        <v>-388786.41854045982</v>
      </c>
      <c r="CO34" s="248">
        <v>-478411.28762782185</v>
      </c>
      <c r="CP34" s="248">
        <v>-569636.94496255554</v>
      </c>
      <c r="CQ34" s="248">
        <v>-666109.64450803306</v>
      </c>
      <c r="CR34" s="248">
        <v>-714573.83808250539</v>
      </c>
      <c r="CS34" s="248">
        <v>-695024.70027425757</v>
      </c>
    </row>
    <row r="35" spans="1:100" s="5" customFormat="1" ht="14.5" outlineLevel="1" x14ac:dyDescent="0.35">
      <c r="A35" s="274"/>
      <c r="B35" s="20" t="s">
        <v>17</v>
      </c>
      <c r="C35" s="9">
        <f>IF(OR(C34=""),"",C34)</f>
        <v>0.38250960519337501</v>
      </c>
      <c r="D35" s="9">
        <f t="shared" ref="D35:J35" si="26">IF(OR(D34="",C35=""),"",D34+C35)</f>
        <v>594.54951400025618</v>
      </c>
      <c r="E35" s="9">
        <f t="shared" si="26"/>
        <v>-2375.752423495012</v>
      </c>
      <c r="F35" s="9">
        <f t="shared" si="26"/>
        <v>-91192.327685154509</v>
      </c>
      <c r="G35" s="9">
        <f t="shared" si="26"/>
        <v>-163422.35472589527</v>
      </c>
      <c r="H35" s="9">
        <f t="shared" si="26"/>
        <v>-223103.50796911726</v>
      </c>
      <c r="I35" s="9">
        <f t="shared" si="26"/>
        <v>-259438.39620676651</v>
      </c>
      <c r="J35" s="9">
        <f t="shared" si="26"/>
        <v>-310006.47981344402</v>
      </c>
      <c r="M35" s="171"/>
      <c r="N35" s="171"/>
      <c r="O35" s="274"/>
      <c r="P35" s="19" t="s">
        <v>8</v>
      </c>
      <c r="Q35" s="9">
        <v>-2.91</v>
      </c>
      <c r="R35" s="9">
        <v>50.9</v>
      </c>
      <c r="S35" s="9">
        <v>-73.48</v>
      </c>
      <c r="T35" s="9">
        <v>-16.95</v>
      </c>
      <c r="U35" s="9">
        <v>19.760000000000002</v>
      </c>
      <c r="V35" s="9">
        <v>108.88</v>
      </c>
      <c r="W35" s="9">
        <v>158.51</v>
      </c>
      <c r="X35" s="9">
        <v>204.25</v>
      </c>
      <c r="Y35" s="9">
        <v>354.55</v>
      </c>
      <c r="Z35" s="114">
        <v>321.81</v>
      </c>
      <c r="AA35" s="123">
        <v>481.7</v>
      </c>
      <c r="AB35" s="180"/>
      <c r="AC35" s="139"/>
      <c r="AD35" s="139"/>
      <c r="AE35" s="139"/>
      <c r="AF35" s="139"/>
      <c r="AG35" s="139"/>
      <c r="AH35" s="139"/>
      <c r="AI35" s="139"/>
      <c r="AJ35" s="139"/>
      <c r="AK35" s="156"/>
      <c r="BF35" s="171"/>
      <c r="BG35" s="275"/>
      <c r="BH35" s="92" t="s">
        <v>67</v>
      </c>
      <c r="BI35" s="10">
        <v>0</v>
      </c>
      <c r="BJ35" s="10">
        <f>IF(OR(BJ34=""),"",BJ33-BJ34)</f>
        <v>-50000</v>
      </c>
      <c r="BK35" s="10">
        <f>IF(OR(BK34=""),"",BK33-BK34)</f>
        <v>0</v>
      </c>
      <c r="BL35" s="10">
        <f t="shared" ref="BL35:BU35" si="27">IF(OR(BL34=""),"",BL33-BL34)</f>
        <v>0</v>
      </c>
      <c r="BM35" s="10">
        <f t="shared" si="27"/>
        <v>0</v>
      </c>
      <c r="BN35" s="10">
        <f t="shared" si="27"/>
        <v>0</v>
      </c>
      <c r="BO35" s="10">
        <f t="shared" si="27"/>
        <v>0</v>
      </c>
      <c r="BP35" s="10">
        <f t="shared" si="27"/>
        <v>0</v>
      </c>
      <c r="BQ35" s="10">
        <f t="shared" si="27"/>
        <v>0</v>
      </c>
      <c r="BR35" s="10">
        <f t="shared" si="27"/>
        <v>0</v>
      </c>
      <c r="BS35" s="10">
        <f t="shared" si="27"/>
        <v>0</v>
      </c>
      <c r="BT35" s="10">
        <f t="shared" si="27"/>
        <v>0</v>
      </c>
      <c r="BU35" s="10">
        <f t="shared" si="27"/>
        <v>-153732.06</v>
      </c>
      <c r="BV35" s="113" t="s">
        <v>84</v>
      </c>
      <c r="BW35" s="113" t="s">
        <v>87</v>
      </c>
      <c r="BY35" s="171"/>
      <c r="BZ35" s="44"/>
      <c r="CA35" s="13"/>
      <c r="CB35" s="3"/>
      <c r="CC35" s="3"/>
      <c r="CD35" s="3"/>
      <c r="CE35" s="3"/>
      <c r="CF35" s="3"/>
      <c r="CG35" s="3"/>
      <c r="CH35" s="3"/>
      <c r="CK35" s="44"/>
      <c r="CL35" s="13"/>
      <c r="CM35" s="3"/>
      <c r="CN35" s="3"/>
      <c r="CO35" s="3"/>
      <c r="CP35" s="3"/>
      <c r="CQ35" s="3"/>
      <c r="CR35" s="3"/>
      <c r="CS35" s="3"/>
    </row>
    <row r="36" spans="1:100" s="5" customFormat="1" ht="16.5" customHeight="1" outlineLevel="1" x14ac:dyDescent="0.35">
      <c r="A36" s="44"/>
      <c r="B36" s="13"/>
      <c r="C36" s="14"/>
      <c r="D36" s="14"/>
      <c r="E36" s="14"/>
      <c r="F36" s="14"/>
      <c r="G36" s="14"/>
      <c r="H36" s="14"/>
      <c r="I36" s="14"/>
      <c r="J36" s="14"/>
      <c r="M36" s="171"/>
      <c r="N36" s="171"/>
      <c r="O36" s="274"/>
      <c r="P36" s="18" t="s">
        <v>14</v>
      </c>
      <c r="Q36" s="9">
        <v>86130.288655375509</v>
      </c>
      <c r="R36" s="9">
        <v>-70243.351757633762</v>
      </c>
      <c r="S36" s="9">
        <v>-209238.95822788437</v>
      </c>
      <c r="T36" s="9">
        <v>-137632.23236749449</v>
      </c>
      <c r="U36" s="9">
        <v>248453.47193049942</v>
      </c>
      <c r="V36" s="9">
        <v>354425.62050838664</v>
      </c>
      <c r="W36" s="9">
        <v>594460.62378261669</v>
      </c>
      <c r="X36" s="9">
        <v>474085.72595819214</v>
      </c>
      <c r="Y36" s="9">
        <v>74293.099640369255</v>
      </c>
      <c r="AB36" s="180"/>
      <c r="AC36" s="139"/>
      <c r="AD36" s="139"/>
      <c r="AE36" s="139"/>
      <c r="AF36" s="139"/>
      <c r="AG36" s="139"/>
      <c r="AH36" s="139"/>
      <c r="AI36" s="139"/>
      <c r="AJ36" s="139"/>
      <c r="AK36" s="153"/>
      <c r="BF36" s="171"/>
      <c r="BG36" s="275"/>
      <c r="BH36" s="93" t="s">
        <v>8</v>
      </c>
      <c r="BI36" s="10">
        <v>0</v>
      </c>
      <c r="BJ36" s="10">
        <f>IF(OR(BJ32="",BJ35=""),"",((BJ35+BI39)*BJ32)/12)</f>
        <v>-10.518500000000001</v>
      </c>
      <c r="BK36" s="10">
        <f>IF(OR(BK32="",BK35=""),"",((BK35+BJ39)*BK32)/12)</f>
        <v>-11.864953838692918</v>
      </c>
      <c r="BL36" s="10">
        <f t="shared" ref="BL36:BU36" si="28">IF(OR(BL32="",BL35=""),"",((BL35+BK39)*BL32)/12)</f>
        <v>-8.5929700856590454</v>
      </c>
      <c r="BM36" s="10">
        <f t="shared" si="28"/>
        <v>-9.6817027101953688</v>
      </c>
      <c r="BN36" s="10">
        <f t="shared" si="28"/>
        <v>-8.9103229871254239</v>
      </c>
      <c r="BO36" s="10">
        <f t="shared" si="28"/>
        <v>-9.3894241650701495</v>
      </c>
      <c r="BP36" s="10">
        <f t="shared" si="28"/>
        <v>-9.3556855002249169</v>
      </c>
      <c r="BQ36" s="10">
        <f t="shared" si="28"/>
        <v>-8.4139383700435406</v>
      </c>
      <c r="BR36" s="10">
        <f t="shared" si="28"/>
        <v>-5.8234643713087815</v>
      </c>
      <c r="BS36" s="10">
        <f t="shared" si="28"/>
        <v>-8.5599009331342053</v>
      </c>
      <c r="BT36" s="10">
        <f t="shared" si="28"/>
        <v>-8.0660463544855254</v>
      </c>
      <c r="BU36" s="10">
        <f t="shared" si="28"/>
        <v>-25.478904613664493</v>
      </c>
      <c r="BV36" s="49">
        <f>SUM('MEEIA 3 calcs'!$AC$79:$AK$79)</f>
        <v>-93.633286691266136</v>
      </c>
      <c r="BW36" s="241">
        <f>SUM(BJ36:BU36)-BV36</f>
        <v>-31.022527238338242</v>
      </c>
      <c r="BY36" s="171"/>
      <c r="BZ36" s="274" t="s">
        <v>22</v>
      </c>
      <c r="CA36" s="17"/>
      <c r="CB36" s="3"/>
      <c r="CC36" s="3"/>
      <c r="CD36" s="3"/>
      <c r="CE36" s="3"/>
      <c r="CF36" s="3"/>
      <c r="CG36" s="3"/>
      <c r="CH36" s="3"/>
      <c r="CK36" s="274" t="s">
        <v>22</v>
      </c>
      <c r="CL36" s="17"/>
      <c r="CM36" s="3"/>
      <c r="CN36" s="3"/>
      <c r="CO36" s="3"/>
      <c r="CP36" s="3"/>
      <c r="CQ36" s="3"/>
      <c r="CR36" s="3"/>
      <c r="CS36" s="3"/>
    </row>
    <row r="37" spans="1:100" s="5" customFormat="1" ht="15" customHeight="1" outlineLevel="1" x14ac:dyDescent="0.35">
      <c r="A37" s="274" t="s">
        <v>23</v>
      </c>
      <c r="B37" s="17"/>
      <c r="C37" s="9"/>
      <c r="D37" s="9"/>
      <c r="E37" s="9"/>
      <c r="F37" s="9"/>
      <c r="G37" s="9"/>
      <c r="H37" s="9"/>
      <c r="I37" s="9"/>
      <c r="J37" s="9"/>
      <c r="M37" s="171"/>
      <c r="N37" s="171"/>
      <c r="O37" s="274"/>
      <c r="P37" s="20" t="s">
        <v>15</v>
      </c>
      <c r="Q37" s="9">
        <v>-1937.7221135914442</v>
      </c>
      <c r="R37" s="9">
        <v>32393.436128774789</v>
      </c>
      <c r="S37" s="9">
        <v>-94026.542099109589</v>
      </c>
      <c r="T37" s="9">
        <v>-157653.12446660409</v>
      </c>
      <c r="U37" s="9">
        <v>188741.52746389533</v>
      </c>
      <c r="V37" s="9">
        <v>674761.81797228195</v>
      </c>
      <c r="W37" s="9">
        <v>1392749.5717548986</v>
      </c>
      <c r="X37" s="9">
        <v>1978158.2477130909</v>
      </c>
      <c r="Y37" s="9">
        <v>2127671.0573534602</v>
      </c>
      <c r="AB37" s="180"/>
      <c r="AC37" s="139"/>
      <c r="AD37" s="139"/>
      <c r="AE37" s="139"/>
      <c r="AF37" s="139"/>
      <c r="AG37" s="139"/>
      <c r="AH37" s="139"/>
      <c r="AI37" s="139"/>
      <c r="AJ37" s="139"/>
      <c r="AK37" s="153"/>
      <c r="BF37" s="171"/>
      <c r="BG37" s="275"/>
      <c r="BH37" s="93" t="s">
        <v>6</v>
      </c>
      <c r="BI37" s="10">
        <v>0</v>
      </c>
      <c r="BJ37" s="10">
        <f>IF(OR(BI37="",BJ36=""),"",BI37+BJ36)</f>
        <v>-10.518500000000001</v>
      </c>
      <c r="BK37" s="10">
        <f>IF(OR(BJ37="",BK36=""),"",BJ37+BK36)</f>
        <v>-22.383453838692919</v>
      </c>
      <c r="BL37" s="10">
        <f t="shared" ref="BL37:BU37" si="29">IF(OR(BK37="",BL36=""),"",BK37+BL36)</f>
        <v>-30.976423924351963</v>
      </c>
      <c r="BM37" s="10">
        <f t="shared" si="29"/>
        <v>-40.65812663454733</v>
      </c>
      <c r="BN37" s="10">
        <f t="shared" si="29"/>
        <v>-49.568449621672755</v>
      </c>
      <c r="BO37" s="10">
        <f t="shared" si="29"/>
        <v>-58.957873786742908</v>
      </c>
      <c r="BP37" s="10">
        <f t="shared" si="29"/>
        <v>-68.313559286967831</v>
      </c>
      <c r="BQ37" s="10">
        <f t="shared" si="29"/>
        <v>-76.727497657011369</v>
      </c>
      <c r="BR37" s="10">
        <f t="shared" si="29"/>
        <v>-82.550962028320157</v>
      </c>
      <c r="BS37" s="10">
        <f t="shared" si="29"/>
        <v>-91.110862961454359</v>
      </c>
      <c r="BT37" s="10">
        <f t="shared" si="29"/>
        <v>-99.176909315939881</v>
      </c>
      <c r="BU37" s="10">
        <f t="shared" si="29"/>
        <v>-124.65581392960438</v>
      </c>
      <c r="BY37" s="171"/>
      <c r="BZ37" s="274"/>
      <c r="CA37" s="17" t="s">
        <v>28</v>
      </c>
      <c r="CB37" s="248">
        <v>343727.65210763505</v>
      </c>
      <c r="CC37" s="248">
        <v>418850.04670264991</v>
      </c>
      <c r="CD37" s="248">
        <v>627056.98298263596</v>
      </c>
      <c r="CE37" s="248">
        <v>475288.11809378932</v>
      </c>
      <c r="CF37" s="248">
        <v>288997.35659879085</v>
      </c>
      <c r="CG37" s="248">
        <v>253245.26358346242</v>
      </c>
      <c r="CH37" s="248">
        <v>337719.24594805558</v>
      </c>
      <c r="CK37" s="274"/>
      <c r="CL37" s="17" t="s">
        <v>28</v>
      </c>
      <c r="CM37" s="248">
        <v>346863.60736251896</v>
      </c>
      <c r="CN37" s="248">
        <v>425347.38911170891</v>
      </c>
      <c r="CO37" s="248">
        <v>637376.30236025481</v>
      </c>
      <c r="CP37" s="248">
        <v>484892.17267486599</v>
      </c>
      <c r="CQ37" s="248">
        <v>292490.26913272648</v>
      </c>
      <c r="CR37" s="248">
        <v>255072.04713250711</v>
      </c>
      <c r="CS37" s="248">
        <v>337988.09514378215</v>
      </c>
    </row>
    <row r="38" spans="1:100" s="3" customFormat="1" ht="15" customHeight="1" outlineLevel="1" x14ac:dyDescent="0.35">
      <c r="A38" s="274"/>
      <c r="B38" s="17" t="s">
        <v>28</v>
      </c>
      <c r="C38" s="22">
        <f>C91</f>
        <v>0</v>
      </c>
      <c r="D38" s="22">
        <f t="shared" ref="D38:J38" si="30">D91</f>
        <v>10.498979963866001</v>
      </c>
      <c r="E38" s="22">
        <f t="shared" si="30"/>
        <v>1076.2976856366847</v>
      </c>
      <c r="F38" s="22">
        <f t="shared" si="30"/>
        <v>8208.8465748072213</v>
      </c>
      <c r="G38" s="22">
        <f t="shared" si="30"/>
        <v>17844.087336984448</v>
      </c>
      <c r="H38" s="22">
        <f t="shared" si="30"/>
        <v>19824.195520493558</v>
      </c>
      <c r="I38" s="22">
        <f t="shared" si="30"/>
        <v>22243.951069283008</v>
      </c>
      <c r="J38" s="22">
        <f t="shared" si="30"/>
        <v>14376.331615218623</v>
      </c>
      <c r="M38" s="172"/>
      <c r="N38" s="172"/>
      <c r="O38" s="44"/>
      <c r="P38" s="13"/>
      <c r="Q38" s="14"/>
      <c r="R38" s="14"/>
      <c r="S38" s="14"/>
      <c r="T38" s="14"/>
      <c r="U38" s="14"/>
      <c r="V38" s="14"/>
      <c r="W38" s="14"/>
      <c r="X38" s="14"/>
      <c r="Y38" s="14"/>
      <c r="Z38" s="5"/>
      <c r="AA38" s="5"/>
      <c r="AB38" s="180"/>
      <c r="AC38" s="139"/>
      <c r="AD38" s="139"/>
      <c r="AE38" s="139"/>
      <c r="AF38" s="139"/>
      <c r="AG38" s="139"/>
      <c r="AH38" s="139"/>
      <c r="AI38" s="139"/>
      <c r="AJ38" s="139"/>
      <c r="AK38" s="153"/>
      <c r="BF38" s="172"/>
      <c r="BG38" s="275"/>
      <c r="BH38" s="92" t="s">
        <v>69</v>
      </c>
      <c r="BI38" s="10">
        <v>0</v>
      </c>
      <c r="BJ38" s="10">
        <f>IF(OR(BJ36="",BJ35=""),"",BJ35+BJ36)</f>
        <v>-50010.518499999998</v>
      </c>
      <c r="BK38" s="10">
        <f>IF(OR(BK36="",BK35=""),"",BK35+BK36)</f>
        <v>-11.864953838692918</v>
      </c>
      <c r="BL38" s="10">
        <f t="shared" ref="BL38:BU38" si="31">IF(OR(BL36="",BL35=""),"",BL35+BL36)</f>
        <v>-8.5929700856590454</v>
      </c>
      <c r="BM38" s="10">
        <f t="shared" si="31"/>
        <v>-9.6817027101953688</v>
      </c>
      <c r="BN38" s="10">
        <f t="shared" si="31"/>
        <v>-8.9103229871254239</v>
      </c>
      <c r="BO38" s="10">
        <f t="shared" si="31"/>
        <v>-9.3894241650701495</v>
      </c>
      <c r="BP38" s="10">
        <f t="shared" si="31"/>
        <v>-9.3556855002249169</v>
      </c>
      <c r="BQ38" s="10">
        <f t="shared" si="31"/>
        <v>-8.4139383700435406</v>
      </c>
      <c r="BR38" s="10">
        <f t="shared" si="31"/>
        <v>-5.8234643713087815</v>
      </c>
      <c r="BS38" s="10">
        <f t="shared" si="31"/>
        <v>-8.5599009331342053</v>
      </c>
      <c r="BT38" s="10">
        <f t="shared" si="31"/>
        <v>-8.0660463544855254</v>
      </c>
      <c r="BU38" s="10">
        <f t="shared" si="31"/>
        <v>-153757.53890461367</v>
      </c>
      <c r="BY38" s="172"/>
      <c r="BZ38" s="274"/>
      <c r="CA38" s="18" t="s">
        <v>26</v>
      </c>
      <c r="CB38" s="248">
        <v>519976.82051891321</v>
      </c>
      <c r="CC38" s="248">
        <v>567613.70409043762</v>
      </c>
      <c r="CD38" s="248">
        <v>605915.85091646248</v>
      </c>
      <c r="CE38" s="248">
        <v>491377.50787101442</v>
      </c>
      <c r="CF38" s="248">
        <v>295776.31891815155</v>
      </c>
      <c r="CG38" s="248">
        <v>275370.89343587006</v>
      </c>
      <c r="CH38" s="248">
        <v>285530.13328453153</v>
      </c>
      <c r="CK38" s="274"/>
      <c r="CL38" s="18" t="s">
        <v>26</v>
      </c>
      <c r="CM38" s="248">
        <v>518301.68729724293</v>
      </c>
      <c r="CN38" s="248">
        <v>564263.98623198015</v>
      </c>
      <c r="CO38" s="248">
        <v>600156.67821640242</v>
      </c>
      <c r="CP38" s="248">
        <v>485815.15413385612</v>
      </c>
      <c r="CQ38" s="248">
        <v>293847.62845519924</v>
      </c>
      <c r="CR38" s="248">
        <v>274342.84538315726</v>
      </c>
      <c r="CS38" s="248">
        <v>285405.182845061</v>
      </c>
    </row>
    <row r="39" spans="1:100" s="5" customFormat="1" ht="15" customHeight="1" outlineLevel="1" x14ac:dyDescent="0.35">
      <c r="A39" s="274"/>
      <c r="B39" s="18" t="s">
        <v>26</v>
      </c>
      <c r="C39" s="22">
        <f>IF('M3 Allocations - TD'!D54="","",'M3 Allocations - TD'!D72)</f>
        <v>0</v>
      </c>
      <c r="D39" s="22">
        <f>IF('M3 Allocations - TD'!E54="","",'M3 Allocations - TD'!E72)</f>
        <v>0</v>
      </c>
      <c r="E39" s="22">
        <f>IF('M3 Allocations - TD'!F54="","",'M3 Allocations - TD'!F72)</f>
        <v>2381.1324731369587</v>
      </c>
      <c r="F39" s="22">
        <f>IF('M3 Allocations - TD'!G54="","",'M3 Allocations - TD'!G72)</f>
        <v>41080.759711289073</v>
      </c>
      <c r="G39" s="22">
        <f>IF('M3 Allocations - TD'!H54="","",'M3 Allocations - TD'!H72)</f>
        <v>46620.227707662583</v>
      </c>
      <c r="H39" s="22">
        <f>IF('M3 Allocations - TD'!I54="","",'M3 Allocations - TD'!I72)</f>
        <v>48915.290383093015</v>
      </c>
      <c r="I39" s="22">
        <f>IF('M3 Allocations - TD'!J54="","",'M3 Allocations - TD'!J72)</f>
        <v>48689.064699160743</v>
      </c>
      <c r="J39" s="22">
        <f>IF('M3 Allocations - TD'!K54="","",'M3 Allocations - TD'!K72)</f>
        <v>45154.720570269681</v>
      </c>
      <c r="M39" s="171"/>
      <c r="N39" s="171"/>
      <c r="O39" s="274" t="s">
        <v>21</v>
      </c>
      <c r="P39" s="17"/>
      <c r="Q39" s="9"/>
      <c r="R39" s="9"/>
      <c r="S39" s="9"/>
      <c r="T39" s="9"/>
      <c r="U39" s="9"/>
      <c r="V39" s="9"/>
      <c r="W39" s="9"/>
      <c r="X39" s="9"/>
      <c r="Y39" s="9"/>
      <c r="AB39" s="180"/>
      <c r="AC39" s="139"/>
      <c r="AD39" s="139"/>
      <c r="AE39" s="139"/>
      <c r="AF39" s="139"/>
      <c r="AG39" s="139"/>
      <c r="AH39" s="139"/>
      <c r="AI39" s="139"/>
      <c r="AJ39" s="139"/>
      <c r="AK39" s="153"/>
      <c r="BF39" s="171"/>
      <c r="BG39" s="275"/>
      <c r="BH39" s="94" t="s">
        <v>70</v>
      </c>
      <c r="BI39" s="10">
        <v>0</v>
      </c>
      <c r="BJ39" s="10">
        <f>IF(OR(BJ38="",BI39=""),"",BJ38+BI39)</f>
        <v>-50010.518499999998</v>
      </c>
      <c r="BK39" s="10">
        <f>IF(OR(BK38="",BJ39=""),"",BK38+BJ39)</f>
        <v>-50022.383453838695</v>
      </c>
      <c r="BL39" s="10">
        <f t="shared" ref="BL39:BU39" si="32">IF(OR(BL38="",BK39=""),"",BL38+BK39)</f>
        <v>-50030.976423924352</v>
      </c>
      <c r="BM39" s="10">
        <f t="shared" si="32"/>
        <v>-50040.658126634546</v>
      </c>
      <c r="BN39" s="10">
        <f t="shared" si="32"/>
        <v>-50049.568449621671</v>
      </c>
      <c r="BO39" s="10">
        <f t="shared" si="32"/>
        <v>-50058.957873786741</v>
      </c>
      <c r="BP39" s="10">
        <f t="shared" si="32"/>
        <v>-50068.313559286966</v>
      </c>
      <c r="BQ39" s="10">
        <f t="shared" si="32"/>
        <v>-50076.727497657012</v>
      </c>
      <c r="BR39" s="10">
        <f t="shared" si="32"/>
        <v>-50082.550962028319</v>
      </c>
      <c r="BS39" s="10">
        <f t="shared" si="32"/>
        <v>-50091.110862961454</v>
      </c>
      <c r="BT39" s="10">
        <f t="shared" si="32"/>
        <v>-50099.176909315938</v>
      </c>
      <c r="BU39" s="10">
        <f t="shared" si="32"/>
        <v>-203856.71581392962</v>
      </c>
      <c r="BY39" s="171"/>
      <c r="BZ39" s="274"/>
      <c r="CA39" s="18" t="s">
        <v>51</v>
      </c>
      <c r="CB39" s="248">
        <v>-43533.32</v>
      </c>
      <c r="CC39" s="248">
        <v>-47580.19</v>
      </c>
      <c r="CD39" s="248">
        <v>-50865.22</v>
      </c>
      <c r="CE39" s="248">
        <v>38543.78</v>
      </c>
      <c r="CF39" s="248">
        <v>23075.85</v>
      </c>
      <c r="CG39" s="248">
        <v>21444.13</v>
      </c>
      <c r="CH39" s="248">
        <v>22179.41</v>
      </c>
      <c r="CK39" s="274"/>
      <c r="CL39" s="18" t="s">
        <v>51</v>
      </c>
      <c r="CM39" s="248">
        <v>-43533.32</v>
      </c>
      <c r="CN39" s="248">
        <v>-47580.19</v>
      </c>
      <c r="CO39" s="248">
        <v>-50865.22</v>
      </c>
      <c r="CP39" s="248">
        <v>38543.78</v>
      </c>
      <c r="CQ39" s="248">
        <v>23075.85</v>
      </c>
      <c r="CR39" s="248">
        <v>21444.13</v>
      </c>
      <c r="CS39" s="248">
        <v>22179.41</v>
      </c>
    </row>
    <row r="40" spans="1:100" s="5" customFormat="1" ht="15" customHeight="1" outlineLevel="1" x14ac:dyDescent="0.35">
      <c r="A40" s="274"/>
      <c r="B40" s="18" t="s">
        <v>51</v>
      </c>
      <c r="C40" s="22">
        <f>IF(C39="","",0)</f>
        <v>0</v>
      </c>
      <c r="D40" s="22">
        <f t="shared" ref="D40:I40" si="33">IF(D39="","",0)</f>
        <v>0</v>
      </c>
      <c r="E40" s="22">
        <f t="shared" si="33"/>
        <v>0</v>
      </c>
      <c r="F40" s="22">
        <f t="shared" si="33"/>
        <v>0</v>
      </c>
      <c r="G40" s="22">
        <f t="shared" si="33"/>
        <v>0</v>
      </c>
      <c r="H40" s="22">
        <f t="shared" si="33"/>
        <v>0</v>
      </c>
      <c r="I40" s="22">
        <f t="shared" si="33"/>
        <v>0</v>
      </c>
      <c r="J40" s="22">
        <f>IF(J39="","",0)</f>
        <v>0</v>
      </c>
      <c r="M40" s="171"/>
      <c r="N40" s="171"/>
      <c r="O40" s="274"/>
      <c r="P40" s="17" t="s">
        <v>28</v>
      </c>
      <c r="Q40" s="22">
        <v>88043.147483850829</v>
      </c>
      <c r="R40" s="22">
        <v>103641.60510926238</v>
      </c>
      <c r="S40" s="22">
        <v>44495.668454394727</v>
      </c>
      <c r="T40" s="22">
        <v>72447.479306892477</v>
      </c>
      <c r="U40" s="22">
        <v>100242.14080653639</v>
      </c>
      <c r="V40" s="22">
        <v>144814.88878280437</v>
      </c>
      <c r="W40" s="22">
        <v>113846.66455304027</v>
      </c>
      <c r="X40" s="22">
        <v>127713.0610159208</v>
      </c>
      <c r="Y40" s="22">
        <v>102944.20736329375</v>
      </c>
      <c r="Z40" s="3"/>
      <c r="AA40" s="3"/>
      <c r="AB40" s="180"/>
      <c r="AC40" s="139"/>
      <c r="AD40" s="139"/>
      <c r="AE40" s="139"/>
      <c r="AF40" s="139"/>
      <c r="AG40" s="139"/>
      <c r="AH40" s="139"/>
      <c r="AI40" s="139"/>
      <c r="AJ40" s="139"/>
      <c r="AK40" s="154"/>
      <c r="BF40" s="171"/>
      <c r="BY40" s="171"/>
      <c r="BZ40" s="274"/>
      <c r="CA40" s="18" t="s">
        <v>52</v>
      </c>
      <c r="CB40" s="248">
        <v>476443.50051891321</v>
      </c>
      <c r="CC40" s="248">
        <v>520033.51409043762</v>
      </c>
      <c r="CD40" s="248">
        <v>555050.63091646251</v>
      </c>
      <c r="CE40" s="248">
        <v>529921.28787101444</v>
      </c>
      <c r="CF40" s="248">
        <v>318852.16891815152</v>
      </c>
      <c r="CG40" s="248">
        <v>296815.02343587007</v>
      </c>
      <c r="CH40" s="248">
        <v>307709.54328453151</v>
      </c>
      <c r="CK40" s="274"/>
      <c r="CL40" s="18" t="s">
        <v>52</v>
      </c>
      <c r="CM40" s="248">
        <v>474768.36729724292</v>
      </c>
      <c r="CN40" s="248">
        <v>516683.79623198014</v>
      </c>
      <c r="CO40" s="248">
        <v>549291.45821640245</v>
      </c>
      <c r="CP40" s="248">
        <v>524358.93413385609</v>
      </c>
      <c r="CQ40" s="248">
        <v>316923.47845519922</v>
      </c>
      <c r="CR40" s="248">
        <v>295786.97538315726</v>
      </c>
      <c r="CS40" s="248">
        <v>307584.59284506098</v>
      </c>
      <c r="CT40" s="5" t="s">
        <v>118</v>
      </c>
      <c r="CU40" s="5" t="s">
        <v>119</v>
      </c>
      <c r="CV40" s="5" t="s">
        <v>120</v>
      </c>
    </row>
    <row r="41" spans="1:100" s="5" customFormat="1" ht="15" customHeight="1" outlineLevel="1" x14ac:dyDescent="0.35">
      <c r="A41" s="274"/>
      <c r="B41" s="18" t="s">
        <v>52</v>
      </c>
      <c r="C41" s="9">
        <f t="shared" ref="C41:I41" si="34">IF(OR(C40="",C39=""),"",C39+C40)</f>
        <v>0</v>
      </c>
      <c r="D41" s="9">
        <f t="shared" si="34"/>
        <v>0</v>
      </c>
      <c r="E41" s="9">
        <f t="shared" si="34"/>
        <v>2381.1324731369587</v>
      </c>
      <c r="F41" s="9">
        <f t="shared" si="34"/>
        <v>41080.759711289073</v>
      </c>
      <c r="G41" s="9">
        <f t="shared" si="34"/>
        <v>46620.227707662583</v>
      </c>
      <c r="H41" s="9">
        <f t="shared" si="34"/>
        <v>48915.290383093015</v>
      </c>
      <c r="I41" s="9">
        <f t="shared" si="34"/>
        <v>48689.064699160743</v>
      </c>
      <c r="J41" s="9">
        <f>IF(OR(J40="",J39=""),"",J39+J40)</f>
        <v>45154.720570269681</v>
      </c>
      <c r="M41" s="171"/>
      <c r="N41" s="171"/>
      <c r="O41" s="274"/>
      <c r="P41" s="18" t="s">
        <v>26</v>
      </c>
      <c r="Q41" s="22">
        <v>72477.677451482814</v>
      </c>
      <c r="R41" s="22">
        <v>71928.028717536567</v>
      </c>
      <c r="S41" s="22">
        <v>55453.451619799707</v>
      </c>
      <c r="T41" s="22">
        <v>50391.746026202469</v>
      </c>
      <c r="U41" s="22">
        <v>63389.498728401399</v>
      </c>
      <c r="V41" s="22">
        <v>78881.855890584935</v>
      </c>
      <c r="W41" s="22">
        <v>76955.02703194521</v>
      </c>
      <c r="X41" s="22">
        <v>73755.388306573834</v>
      </c>
      <c r="Y41" s="22">
        <v>59772.834718849517</v>
      </c>
      <c r="AB41" s="180"/>
      <c r="AC41" s="139"/>
      <c r="AD41" s="139"/>
      <c r="AE41" s="139"/>
      <c r="AF41" s="139"/>
      <c r="AG41" s="139"/>
      <c r="AH41" s="139"/>
      <c r="AI41" s="139"/>
      <c r="AJ41" s="139"/>
      <c r="AK41" s="153"/>
      <c r="BF41" s="171"/>
      <c r="BY41" s="171"/>
      <c r="BZ41" s="274"/>
      <c r="CA41" s="18" t="s">
        <v>13</v>
      </c>
      <c r="CB41" s="248">
        <v>-132715.84841127816</v>
      </c>
      <c r="CC41" s="248">
        <v>-101183.46738778771</v>
      </c>
      <c r="CD41" s="248">
        <v>72006.352066173451</v>
      </c>
      <c r="CE41" s="248">
        <v>-54633.169777225121</v>
      </c>
      <c r="CF41" s="248">
        <v>-29854.812319360673</v>
      </c>
      <c r="CG41" s="248">
        <v>-43569.759852407646</v>
      </c>
      <c r="CH41" s="248">
        <v>30009.702663524076</v>
      </c>
      <c r="CK41" s="274"/>
      <c r="CL41" s="18" t="s">
        <v>13</v>
      </c>
      <c r="CM41" s="248">
        <v>-127904.75993472396</v>
      </c>
      <c r="CN41" s="248">
        <v>-91336.407120271237</v>
      </c>
      <c r="CO41" s="248">
        <v>88084.844143852359</v>
      </c>
      <c r="CP41" s="248">
        <v>-39466.761458990106</v>
      </c>
      <c r="CQ41" s="248">
        <v>-24433.209322472743</v>
      </c>
      <c r="CR41" s="248">
        <v>-40714.928250650148</v>
      </c>
      <c r="CS41" s="248">
        <v>30403.502298721171</v>
      </c>
      <c r="CT41" s="249">
        <f>SUM(CM41:CS41)</f>
        <v>-205367.71964453466</v>
      </c>
      <c r="CU41" s="249">
        <f>SUM(CB41:CH41)</f>
        <v>-259941.00301836175</v>
      </c>
      <c r="CV41" s="249">
        <f>CT41-CU41</f>
        <v>54573.283373827086</v>
      </c>
    </row>
    <row r="42" spans="1:100" s="5" customFormat="1" ht="14.5" outlineLevel="1" x14ac:dyDescent="0.35">
      <c r="A42" s="274"/>
      <c r="B42" s="18" t="s">
        <v>13</v>
      </c>
      <c r="C42" s="9">
        <f t="shared" ref="C42:I42" si="35">IF(OR(C39="",C38=""),"",C38-C39)</f>
        <v>0</v>
      </c>
      <c r="D42" s="9">
        <f t="shared" si="35"/>
        <v>10.498979963866001</v>
      </c>
      <c r="E42" s="9">
        <f t="shared" si="35"/>
        <v>-1304.8347875002739</v>
      </c>
      <c r="F42" s="9">
        <f t="shared" si="35"/>
        <v>-32871.913136481853</v>
      </c>
      <c r="G42" s="9">
        <f t="shared" si="35"/>
        <v>-28776.140370678135</v>
      </c>
      <c r="H42" s="9">
        <f t="shared" si="35"/>
        <v>-29091.094862599457</v>
      </c>
      <c r="I42" s="9">
        <f t="shared" si="35"/>
        <v>-26445.113629877735</v>
      </c>
      <c r="J42" s="9">
        <f>IF(OR(J39="",J38=""),"",J38-J39)</f>
        <v>-30778.388955051058</v>
      </c>
      <c r="K42" s="113" t="s">
        <v>84</v>
      </c>
      <c r="L42" s="113" t="s">
        <v>87</v>
      </c>
      <c r="M42" s="171"/>
      <c r="N42" s="171"/>
      <c r="O42" s="274"/>
      <c r="P42" s="18" t="s">
        <v>51</v>
      </c>
      <c r="Q42" s="22">
        <v>17996.03</v>
      </c>
      <c r="R42" s="22">
        <v>17828.82</v>
      </c>
      <c r="S42" s="22">
        <v>13698.34</v>
      </c>
      <c r="T42" s="22">
        <v>12419.68</v>
      </c>
      <c r="U42" s="22">
        <v>15595.43</v>
      </c>
      <c r="V42" s="22">
        <v>19419.18</v>
      </c>
      <c r="W42" s="22">
        <v>18927.88</v>
      </c>
      <c r="X42" s="22">
        <v>18118.43</v>
      </c>
      <c r="Y42" s="22">
        <v>14686.23</v>
      </c>
      <c r="AB42" s="180"/>
      <c r="AC42" s="139"/>
      <c r="AD42" s="139"/>
      <c r="AE42" s="139"/>
      <c r="AF42" s="139"/>
      <c r="AG42" s="139"/>
      <c r="AH42" s="139"/>
      <c r="AI42" s="139"/>
      <c r="AJ42" s="139"/>
      <c r="AK42" s="153"/>
      <c r="BF42" s="171"/>
      <c r="BY42" s="171"/>
      <c r="BZ42" s="274"/>
      <c r="CA42" s="19" t="s">
        <v>8</v>
      </c>
      <c r="CB42" s="248">
        <v>-0.83</v>
      </c>
      <c r="CC42" s="248">
        <v>-33.700000000000003</v>
      </c>
      <c r="CD42" s="248">
        <v>-26.21</v>
      </c>
      <c r="CE42" s="248">
        <v>-37.049999999999997</v>
      </c>
      <c r="CF42" s="248">
        <v>-90.11</v>
      </c>
      <c r="CG42" s="248">
        <v>-89.72</v>
      </c>
      <c r="CH42" s="248">
        <v>-100.68</v>
      </c>
      <c r="CK42" s="274"/>
      <c r="CL42" s="19" t="s">
        <v>8</v>
      </c>
      <c r="CM42" s="248">
        <v>-0.22</v>
      </c>
      <c r="CN42" s="248">
        <v>-30.52</v>
      </c>
      <c r="CO42" s="248">
        <v>-20.21</v>
      </c>
      <c r="CP42" s="248">
        <v>-25.73</v>
      </c>
      <c r="CQ42" s="248">
        <v>-60.66</v>
      </c>
      <c r="CR42" s="248">
        <v>-62.59</v>
      </c>
      <c r="CS42" s="248">
        <v>-57.43</v>
      </c>
    </row>
    <row r="43" spans="1:100" s="5" customFormat="1" ht="14.5" outlineLevel="1" x14ac:dyDescent="0.35">
      <c r="A43" s="274"/>
      <c r="B43" s="19" t="s">
        <v>8</v>
      </c>
      <c r="C43" s="9">
        <f>ROUND((C42+0)*'MEEIA 3 calcs'!F9/12,2)</f>
        <v>0</v>
      </c>
      <c r="D43" s="9">
        <f>ROUND((D42+C45)*'MEEIA 3 calcs'!G9/12,2)</f>
        <v>0.02</v>
      </c>
      <c r="E43" s="9">
        <f>ROUND((E42+D45)*'MEEIA 3 calcs'!H9/12,2)</f>
        <v>-2.89</v>
      </c>
      <c r="F43" s="9">
        <f>ROUND((F42+E45)*'MEEIA 3 calcs'!I9/12,2)</f>
        <v>-75.459999999999994</v>
      </c>
      <c r="G43" s="9">
        <f>ROUND((G42+F45)*'MEEIA 3 calcs'!J9/12,2)</f>
        <v>-136.28</v>
      </c>
      <c r="H43" s="9">
        <f>ROUND((H42+G45)*'MEEIA 3 calcs'!K9/12,2)</f>
        <v>-180.74</v>
      </c>
      <c r="I43" s="9">
        <f>ROUND((I42+H45)*'MEEIA 3 calcs'!L9/12,2)</f>
        <v>-219.61</v>
      </c>
      <c r="J43" s="9">
        <f>ROUND((J42+I45)*'MEEIA 3 calcs'!M9/12,2)</f>
        <v>-264.02</v>
      </c>
      <c r="K43" s="114">
        <f>SUM('MEEIA 3 calcs'!F62:M62)</f>
        <v>-925.55</v>
      </c>
      <c r="L43" s="123">
        <f>SUM(C43:J43)-K43</f>
        <v>46.569999999999936</v>
      </c>
      <c r="M43" s="171"/>
      <c r="N43" s="171"/>
      <c r="O43" s="274"/>
      <c r="P43" s="18" t="s">
        <v>52</v>
      </c>
      <c r="Q43" s="9">
        <v>90473.707451482813</v>
      </c>
      <c r="R43" s="9">
        <v>89756.848717536574</v>
      </c>
      <c r="S43" s="9">
        <v>69151.791619799711</v>
      </c>
      <c r="T43" s="9">
        <v>62811.426026202469</v>
      </c>
      <c r="U43" s="9">
        <v>78984.928728401399</v>
      </c>
      <c r="V43" s="9">
        <v>98301.035890584928</v>
      </c>
      <c r="W43" s="9">
        <v>95882.907031945215</v>
      </c>
      <c r="X43" s="9">
        <v>91873.818306573841</v>
      </c>
      <c r="Y43" s="9">
        <v>74459.06471884952</v>
      </c>
      <c r="AB43" s="180"/>
      <c r="AC43" s="139"/>
      <c r="AD43" s="139"/>
      <c r="AE43" s="139"/>
      <c r="AF43" s="139"/>
      <c r="AG43" s="139"/>
      <c r="AH43" s="139"/>
      <c r="AI43" s="139"/>
      <c r="AJ43" s="139"/>
      <c r="AK43" s="153"/>
      <c r="BF43" s="171"/>
      <c r="BY43" s="171"/>
      <c r="BZ43" s="274"/>
      <c r="CA43" s="18" t="s">
        <v>14</v>
      </c>
      <c r="CB43" s="248">
        <v>-132716.67841127815</v>
      </c>
      <c r="CC43" s="248">
        <v>-101217.1673877877</v>
      </c>
      <c r="CD43" s="248">
        <v>71980.142066173445</v>
      </c>
      <c r="CE43" s="248">
        <v>-54670.219777225124</v>
      </c>
      <c r="CF43" s="248">
        <v>-29944.922319360674</v>
      </c>
      <c r="CG43" s="248">
        <v>-43659.479852407647</v>
      </c>
      <c r="CH43" s="248">
        <v>29909.022663524076</v>
      </c>
      <c r="CK43" s="274"/>
      <c r="CL43" s="18" t="s">
        <v>14</v>
      </c>
      <c r="CM43" s="248">
        <v>-127904.97993472396</v>
      </c>
      <c r="CN43" s="248">
        <v>-91366.927120271241</v>
      </c>
      <c r="CO43" s="248">
        <v>88064.634143852352</v>
      </c>
      <c r="CP43" s="248">
        <v>-39492.491458990109</v>
      </c>
      <c r="CQ43" s="248">
        <v>-24493.869322472743</v>
      </c>
      <c r="CR43" s="248">
        <v>-40777.518250650144</v>
      </c>
      <c r="CS43" s="248">
        <v>30346.07229872117</v>
      </c>
    </row>
    <row r="44" spans="1:100" s="5" customFormat="1" ht="14.5" outlineLevel="1" x14ac:dyDescent="0.35">
      <c r="A44" s="274"/>
      <c r="B44" s="18" t="s">
        <v>14</v>
      </c>
      <c r="C44" s="9">
        <f t="shared" ref="C44:J44" si="36">IF(OR(C42="",C43=""),"",C42+C43)</f>
        <v>0</v>
      </c>
      <c r="D44" s="9">
        <f t="shared" si="36"/>
        <v>10.518979963866</v>
      </c>
      <c r="E44" s="9">
        <f t="shared" si="36"/>
        <v>-1307.724787500274</v>
      </c>
      <c r="F44" s="9">
        <f t="shared" si="36"/>
        <v>-32947.373136481852</v>
      </c>
      <c r="G44" s="9">
        <f t="shared" si="36"/>
        <v>-28912.420370678134</v>
      </c>
      <c r="H44" s="9">
        <f t="shared" si="36"/>
        <v>-29271.834862599459</v>
      </c>
      <c r="I44" s="9">
        <f t="shared" si="36"/>
        <v>-26664.723629877735</v>
      </c>
      <c r="J44" s="9">
        <f t="shared" si="36"/>
        <v>-31042.408955051058</v>
      </c>
      <c r="M44" s="171"/>
      <c r="N44" s="171"/>
      <c r="O44" s="274"/>
      <c r="P44" s="18" t="s">
        <v>13</v>
      </c>
      <c r="Q44" s="9">
        <v>-2430.5599676319835</v>
      </c>
      <c r="R44" s="9">
        <v>13884.756391725808</v>
      </c>
      <c r="S44" s="9">
        <v>-24656.123165404984</v>
      </c>
      <c r="T44" s="9">
        <v>9636.0532806900083</v>
      </c>
      <c r="U44" s="9">
        <v>21257.212078134995</v>
      </c>
      <c r="V44" s="9">
        <v>46513.852892219438</v>
      </c>
      <c r="W44" s="9">
        <v>17963.75752109506</v>
      </c>
      <c r="X44" s="9">
        <v>35839.24270934696</v>
      </c>
      <c r="Y44" s="9">
        <v>28485.142644444233</v>
      </c>
      <c r="Z44" s="113" t="s">
        <v>84</v>
      </c>
      <c r="AA44" s="113" t="s">
        <v>86</v>
      </c>
      <c r="AB44" s="180"/>
      <c r="AC44" s="139"/>
      <c r="AD44" s="139"/>
      <c r="AE44" s="139"/>
      <c r="AF44" s="139"/>
      <c r="AG44" s="139"/>
      <c r="AH44" s="139"/>
      <c r="AI44" s="139"/>
      <c r="AJ44" s="139"/>
      <c r="AK44" s="155"/>
      <c r="BF44" s="171"/>
      <c r="BY44" s="171"/>
      <c r="BZ44" s="274"/>
      <c r="CA44" s="20" t="s">
        <v>17</v>
      </c>
      <c r="CB44" s="248">
        <v>-6512.098706385179</v>
      </c>
      <c r="CC44" s="248">
        <v>-155309.4560941729</v>
      </c>
      <c r="CD44" s="248">
        <v>-134194.53402799944</v>
      </c>
      <c r="CE44" s="248">
        <v>-150320.97380522458</v>
      </c>
      <c r="CF44" s="248">
        <v>-157190.04612458526</v>
      </c>
      <c r="CG44" s="248">
        <v>-179405.39597699291</v>
      </c>
      <c r="CH44" s="248">
        <v>-127316.96331346883</v>
      </c>
      <c r="CK44" s="274"/>
      <c r="CL44" s="20" t="s">
        <v>17</v>
      </c>
      <c r="CM44" s="248">
        <v>-1700.4002298309933</v>
      </c>
      <c r="CN44" s="248">
        <v>-140647.51735010225</v>
      </c>
      <c r="CO44" s="248">
        <v>-103448.1032062499</v>
      </c>
      <c r="CP44" s="248">
        <v>-104396.81466524</v>
      </c>
      <c r="CQ44" s="248">
        <v>-105814.83398771274</v>
      </c>
      <c r="CR44" s="248">
        <v>-125148.22223836288</v>
      </c>
      <c r="CS44" s="248">
        <v>-72622.739939641717</v>
      </c>
    </row>
    <row r="45" spans="1:100" s="5" customFormat="1" ht="14.5" outlineLevel="1" x14ac:dyDescent="0.35">
      <c r="A45" s="274"/>
      <c r="B45" s="20" t="s">
        <v>18</v>
      </c>
      <c r="C45" s="9">
        <f>IF(OR(C44=""),"",C44)</f>
        <v>0</v>
      </c>
      <c r="D45" s="9">
        <f t="shared" ref="D45:J45" si="37">IF(OR(D44="",C45=""),"",D44+C45)</f>
        <v>10.518979963866</v>
      </c>
      <c r="E45" s="9">
        <f t="shared" si="37"/>
        <v>-1297.205807536408</v>
      </c>
      <c r="F45" s="9">
        <f t="shared" si="37"/>
        <v>-34244.578944018263</v>
      </c>
      <c r="G45" s="9">
        <f t="shared" si="37"/>
        <v>-63156.999314696397</v>
      </c>
      <c r="H45" s="9">
        <f t="shared" si="37"/>
        <v>-92428.834177295852</v>
      </c>
      <c r="I45" s="9">
        <f t="shared" si="37"/>
        <v>-119093.55780717358</v>
      </c>
      <c r="J45" s="9">
        <f t="shared" si="37"/>
        <v>-150135.96676222465</v>
      </c>
      <c r="M45" s="171"/>
      <c r="N45" s="171"/>
      <c r="O45" s="274"/>
      <c r="P45" s="19" t="s">
        <v>8</v>
      </c>
      <c r="Q45" s="9">
        <v>26.58</v>
      </c>
      <c r="R45" s="9">
        <v>77.78</v>
      </c>
      <c r="S45" s="9">
        <v>30.14</v>
      </c>
      <c r="T45" s="9">
        <v>6.52</v>
      </c>
      <c r="U45" s="9">
        <v>10.210000000000001</v>
      </c>
      <c r="V45" s="9">
        <v>26.38</v>
      </c>
      <c r="W45" s="9">
        <v>22.8</v>
      </c>
      <c r="X45" s="9">
        <v>26.26</v>
      </c>
      <c r="Y45" s="9">
        <v>49.59</v>
      </c>
      <c r="Z45" s="114">
        <v>197.73</v>
      </c>
      <c r="AA45" s="123">
        <v>78.53</v>
      </c>
      <c r="AB45" s="180"/>
      <c r="AC45" s="139"/>
      <c r="AD45" s="139"/>
      <c r="AE45" s="139"/>
      <c r="AF45" s="139"/>
      <c r="AG45" s="139"/>
      <c r="AH45" s="139"/>
      <c r="AI45" s="139"/>
      <c r="AJ45" s="139"/>
      <c r="AK45" s="156"/>
      <c r="BF45" s="171"/>
      <c r="BY45" s="171"/>
      <c r="BZ45" s="44"/>
      <c r="CA45" s="13"/>
      <c r="CB45" s="3"/>
      <c r="CC45" s="3"/>
      <c r="CD45" s="3"/>
      <c r="CE45" s="3"/>
      <c r="CF45" s="3"/>
      <c r="CG45" s="3"/>
      <c r="CH45" s="3"/>
      <c r="CK45" s="44"/>
      <c r="CL45" s="13"/>
      <c r="CM45" s="3"/>
      <c r="CN45" s="3"/>
      <c r="CO45" s="3"/>
      <c r="CP45" s="3"/>
      <c r="CQ45" s="3"/>
      <c r="CR45" s="3"/>
      <c r="CS45" s="3"/>
    </row>
    <row r="46" spans="1:100" s="5" customFormat="1" ht="20.25" customHeight="1" outlineLevel="1" x14ac:dyDescent="0.35">
      <c r="A46" s="44"/>
      <c r="B46" s="13"/>
      <c r="C46" s="14"/>
      <c r="D46" s="14"/>
      <c r="E46" s="14"/>
      <c r="F46" s="14"/>
      <c r="G46" s="14"/>
      <c r="H46" s="14"/>
      <c r="I46" s="14"/>
      <c r="J46" s="14"/>
      <c r="M46" s="171"/>
      <c r="N46" s="171"/>
      <c r="O46" s="274"/>
      <c r="P46" s="18" t="s">
        <v>14</v>
      </c>
      <c r="Q46" s="9">
        <v>-2403.9799676319835</v>
      </c>
      <c r="R46" s="9">
        <v>13962.536391725809</v>
      </c>
      <c r="S46" s="9">
        <v>-24625.983165404985</v>
      </c>
      <c r="T46" s="9">
        <v>9642.5732806900087</v>
      </c>
      <c r="U46" s="9">
        <v>21267.422078134994</v>
      </c>
      <c r="V46" s="9">
        <v>46540.232892219436</v>
      </c>
      <c r="W46" s="9">
        <v>17986.557521095059</v>
      </c>
      <c r="X46" s="9">
        <v>35865.502709346962</v>
      </c>
      <c r="Y46" s="9">
        <v>28534.732644444233</v>
      </c>
      <c r="AB46" s="180"/>
      <c r="AC46" s="139"/>
      <c r="AD46" s="139"/>
      <c r="AE46" s="139"/>
      <c r="AF46" s="139"/>
      <c r="AG46" s="139"/>
      <c r="AH46" s="139"/>
      <c r="AI46" s="139"/>
      <c r="AJ46" s="139"/>
      <c r="AK46" s="153"/>
      <c r="BF46" s="171"/>
      <c r="BY46" s="171"/>
      <c r="BZ46" s="274" t="s">
        <v>23</v>
      </c>
      <c r="CA46" s="17"/>
      <c r="CB46" s="3"/>
      <c r="CC46" s="3"/>
      <c r="CD46" s="3"/>
      <c r="CE46" s="3"/>
      <c r="CF46" s="3"/>
      <c r="CG46" s="3"/>
      <c r="CH46" s="3"/>
      <c r="CK46" s="274" t="s">
        <v>23</v>
      </c>
      <c r="CL46" s="17"/>
      <c r="CM46" s="3"/>
      <c r="CN46" s="3"/>
      <c r="CO46" s="3"/>
      <c r="CP46" s="3"/>
      <c r="CQ46" s="3"/>
      <c r="CR46" s="3"/>
      <c r="CS46" s="3"/>
    </row>
    <row r="47" spans="1:100" s="5" customFormat="1" ht="15" customHeight="1" outlineLevel="1" x14ac:dyDescent="0.35">
      <c r="A47" s="274" t="s">
        <v>24</v>
      </c>
      <c r="B47" s="17"/>
      <c r="C47" s="9"/>
      <c r="D47" s="9"/>
      <c r="E47" s="9"/>
      <c r="F47" s="9"/>
      <c r="G47" s="9"/>
      <c r="H47" s="9"/>
      <c r="I47" s="9"/>
      <c r="J47" s="9"/>
      <c r="M47" s="171"/>
      <c r="N47" s="171"/>
      <c r="O47" s="274"/>
      <c r="P47" s="20" t="s">
        <v>16</v>
      </c>
      <c r="Q47" s="9">
        <v>17709.387711885101</v>
      </c>
      <c r="R47" s="9">
        <v>49500.744103610908</v>
      </c>
      <c r="S47" s="9">
        <v>38573.100938205927</v>
      </c>
      <c r="T47" s="9">
        <v>60635.35421889594</v>
      </c>
      <c r="U47" s="9">
        <v>97498.206297030934</v>
      </c>
      <c r="V47" s="9">
        <v>163457.61918925037</v>
      </c>
      <c r="W47" s="9">
        <v>200372.05671034544</v>
      </c>
      <c r="X47" s="9">
        <v>254355.9894196924</v>
      </c>
      <c r="Y47" s="9">
        <v>297576.95206413663</v>
      </c>
      <c r="AB47" s="180"/>
      <c r="AC47" s="139"/>
      <c r="AD47" s="139"/>
      <c r="AE47" s="139"/>
      <c r="AF47" s="139"/>
      <c r="AG47" s="139"/>
      <c r="AH47" s="139"/>
      <c r="AI47" s="139"/>
      <c r="AJ47" s="139"/>
      <c r="AK47" s="153"/>
      <c r="BF47" s="171"/>
      <c r="BY47" s="171"/>
      <c r="BZ47" s="274"/>
      <c r="CA47" s="17" t="s">
        <v>28</v>
      </c>
      <c r="CB47" s="248">
        <v>93253.892629017733</v>
      </c>
      <c r="CC47" s="248">
        <v>103488.5984224446</v>
      </c>
      <c r="CD47" s="248">
        <v>144414.82989089785</v>
      </c>
      <c r="CE47" s="248">
        <v>110066.63506595949</v>
      </c>
      <c r="CF47" s="248">
        <v>50328.1679847302</v>
      </c>
      <c r="CG47" s="248">
        <v>48818.637830727937</v>
      </c>
      <c r="CH47" s="248">
        <v>69139.5977047872</v>
      </c>
      <c r="CK47" s="274"/>
      <c r="CL47" s="17" t="s">
        <v>28</v>
      </c>
      <c r="CM47" s="248">
        <v>94499.435722133203</v>
      </c>
      <c r="CN47" s="248">
        <v>106373.63204827519</v>
      </c>
      <c r="CO47" s="248">
        <v>148860.54934641003</v>
      </c>
      <c r="CP47" s="248">
        <v>113969.38798552775</v>
      </c>
      <c r="CQ47" s="248">
        <v>51770.931765260808</v>
      </c>
      <c r="CR47" s="248">
        <v>49637.482299138559</v>
      </c>
      <c r="CS47" s="248">
        <v>69257.34742855576</v>
      </c>
    </row>
    <row r="48" spans="1:100" s="3" customFormat="1" ht="15" customHeight="1" outlineLevel="1" x14ac:dyDescent="0.35">
      <c r="A48" s="274"/>
      <c r="B48" s="17" t="s">
        <v>28</v>
      </c>
      <c r="C48" s="22">
        <f>C92</f>
        <v>0</v>
      </c>
      <c r="D48" s="22">
        <f t="shared" ref="D48:J48" si="38">D92</f>
        <v>0</v>
      </c>
      <c r="E48" s="22">
        <f t="shared" si="38"/>
        <v>178.04544936482247</v>
      </c>
      <c r="F48" s="22">
        <f t="shared" si="38"/>
        <v>661.15950808601849</v>
      </c>
      <c r="G48" s="22">
        <f t="shared" si="38"/>
        <v>877.99265710747466</v>
      </c>
      <c r="H48" s="22">
        <f t="shared" si="38"/>
        <v>967.48184726463296</v>
      </c>
      <c r="I48" s="22">
        <f t="shared" si="38"/>
        <v>1381.2114306574015</v>
      </c>
      <c r="J48" s="22">
        <f t="shared" si="38"/>
        <v>1095.1994877590121</v>
      </c>
      <c r="M48" s="172"/>
      <c r="N48" s="172"/>
      <c r="O48" s="44"/>
      <c r="P48" s="13"/>
      <c r="Q48" s="14"/>
      <c r="R48" s="14"/>
      <c r="S48" s="14"/>
      <c r="T48" s="14"/>
      <c r="U48" s="14"/>
      <c r="V48" s="14"/>
      <c r="W48" s="14"/>
      <c r="X48" s="14"/>
      <c r="Y48" s="14"/>
      <c r="Z48" s="5"/>
      <c r="AA48" s="5"/>
      <c r="AB48" s="180"/>
      <c r="AC48" s="139"/>
      <c r="AD48" s="139"/>
      <c r="AE48" s="139"/>
      <c r="AF48" s="139"/>
      <c r="AG48" s="139"/>
      <c r="AH48" s="139"/>
      <c r="AI48" s="139"/>
      <c r="AJ48" s="139"/>
      <c r="AK48" s="153"/>
      <c r="BF48" s="172"/>
      <c r="BY48" s="172"/>
      <c r="BZ48" s="274"/>
      <c r="CA48" s="18" t="s">
        <v>26</v>
      </c>
      <c r="CB48" s="248">
        <v>171603.607119394</v>
      </c>
      <c r="CC48" s="248">
        <v>225113.97993017494</v>
      </c>
      <c r="CD48" s="248">
        <v>217125.39653110137</v>
      </c>
      <c r="CE48" s="248">
        <v>162221.33538769459</v>
      </c>
      <c r="CF48" s="248">
        <v>84753.684454895163</v>
      </c>
      <c r="CG48" s="248">
        <v>72198.807943159496</v>
      </c>
      <c r="CH48" s="248">
        <v>84979.402614517516</v>
      </c>
      <c r="CK48" s="274"/>
      <c r="CL48" s="18" t="s">
        <v>26</v>
      </c>
      <c r="CM48" s="248">
        <v>170938.27536408586</v>
      </c>
      <c r="CN48" s="248">
        <v>223626.59508106788</v>
      </c>
      <c r="CO48" s="248">
        <v>214644.25749630781</v>
      </c>
      <c r="CP48" s="248">
        <v>159960.98877011714</v>
      </c>
      <c r="CQ48" s="248">
        <v>83957.029881736671</v>
      </c>
      <c r="CR48" s="248">
        <v>71737.991738818018</v>
      </c>
      <c r="CS48" s="248">
        <v>84924.677214678944</v>
      </c>
    </row>
    <row r="49" spans="1:100" s="5" customFormat="1" ht="15" customHeight="1" outlineLevel="1" x14ac:dyDescent="0.35">
      <c r="A49" s="274"/>
      <c r="B49" s="18" t="s">
        <v>26</v>
      </c>
      <c r="C49" s="22">
        <f>IF('M3 Allocations - TD'!D55="","",'M3 Allocations - TD'!D73)</f>
        <v>0</v>
      </c>
      <c r="D49" s="22">
        <f>IF('M3 Allocations - TD'!E55="","",'M3 Allocations - TD'!E73)</f>
        <v>0</v>
      </c>
      <c r="E49" s="22">
        <f>IF('M3 Allocations - TD'!F55="","",'M3 Allocations - TD'!F73)</f>
        <v>-48.583419353926594</v>
      </c>
      <c r="F49" s="22">
        <f>IF('M3 Allocations - TD'!G55="","",'M3 Allocations - TD'!G73)</f>
        <v>4125.9071778961579</v>
      </c>
      <c r="G49" s="22">
        <f>IF('M3 Allocations - TD'!H55="","",'M3 Allocations - TD'!H73)</f>
        <v>6806.3797850987785</v>
      </c>
      <c r="H49" s="22">
        <f>IF('M3 Allocations - TD'!I55="","",'M3 Allocations - TD'!I73)</f>
        <v>7524.9044581782691</v>
      </c>
      <c r="I49" s="22">
        <f>IF('M3 Allocations - TD'!J55="","",'M3 Allocations - TD'!J73)</f>
        <v>7658.4495072300715</v>
      </c>
      <c r="J49" s="22">
        <f>IF('M3 Allocations - TD'!K55="","",'M3 Allocations - TD'!K73)</f>
        <v>7241.6490844376849</v>
      </c>
      <c r="M49" s="171"/>
      <c r="N49" s="171"/>
      <c r="O49" s="274" t="s">
        <v>22</v>
      </c>
      <c r="P49" s="17"/>
      <c r="Q49" s="9"/>
      <c r="R49" s="9"/>
      <c r="S49" s="9"/>
      <c r="T49" s="9"/>
      <c r="U49" s="9"/>
      <c r="V49" s="9"/>
      <c r="W49" s="9"/>
      <c r="X49" s="9"/>
      <c r="Y49" s="9"/>
      <c r="AB49" s="180"/>
      <c r="AC49" s="139"/>
      <c r="AD49" s="139"/>
      <c r="AE49" s="139"/>
      <c r="AF49" s="139"/>
      <c r="AG49" s="139"/>
      <c r="AH49" s="139"/>
      <c r="AI49" s="139"/>
      <c r="AJ49" s="139"/>
      <c r="AK49" s="153"/>
      <c r="BF49" s="171"/>
      <c r="BY49" s="171"/>
      <c r="BZ49" s="274"/>
      <c r="CA49" s="18" t="s">
        <v>51</v>
      </c>
      <c r="CB49" s="248">
        <v>-8146.01</v>
      </c>
      <c r="CC49" s="248">
        <v>-10707.36</v>
      </c>
      <c r="CD49" s="248">
        <v>-10340.290000000001</v>
      </c>
      <c r="CE49" s="248">
        <v>58728.46</v>
      </c>
      <c r="CF49" s="248">
        <v>30610.37</v>
      </c>
      <c r="CG49" s="248">
        <v>26134.63</v>
      </c>
      <c r="CH49" s="248">
        <v>30515.41</v>
      </c>
      <c r="CK49" s="274"/>
      <c r="CL49" s="18" t="s">
        <v>51</v>
      </c>
      <c r="CM49" s="248">
        <v>-8146.01</v>
      </c>
      <c r="CN49" s="248">
        <v>-10707.36</v>
      </c>
      <c r="CO49" s="248">
        <v>-10340.290000000001</v>
      </c>
      <c r="CP49" s="248">
        <v>58728.46</v>
      </c>
      <c r="CQ49" s="248">
        <v>30610.37</v>
      </c>
      <c r="CR49" s="248">
        <v>26134.63</v>
      </c>
      <c r="CS49" s="248">
        <v>30515.41</v>
      </c>
    </row>
    <row r="50" spans="1:100" s="5" customFormat="1" ht="15" customHeight="1" outlineLevel="1" x14ac:dyDescent="0.35">
      <c r="A50" s="274"/>
      <c r="B50" s="18" t="s">
        <v>51</v>
      </c>
      <c r="C50" s="22">
        <f>IF(C49="","",0)</f>
        <v>0</v>
      </c>
      <c r="D50" s="22">
        <f t="shared" ref="D50:I50" si="39">IF(D49="","",0)</f>
        <v>0</v>
      </c>
      <c r="E50" s="22">
        <f t="shared" si="39"/>
        <v>0</v>
      </c>
      <c r="F50" s="22">
        <f t="shared" si="39"/>
        <v>0</v>
      </c>
      <c r="G50" s="22">
        <f t="shared" si="39"/>
        <v>0</v>
      </c>
      <c r="H50" s="22">
        <f t="shared" si="39"/>
        <v>0</v>
      </c>
      <c r="I50" s="22">
        <f t="shared" si="39"/>
        <v>0</v>
      </c>
      <c r="J50" s="22">
        <f>IF(J49="","",0)</f>
        <v>0</v>
      </c>
      <c r="M50" s="171"/>
      <c r="N50" s="171"/>
      <c r="O50" s="274"/>
      <c r="P50" s="17" t="s">
        <v>28</v>
      </c>
      <c r="Q50" s="22">
        <v>122696.92137199735</v>
      </c>
      <c r="R50" s="22">
        <v>123411.87388052933</v>
      </c>
      <c r="S50" s="22">
        <v>47446.211556775474</v>
      </c>
      <c r="T50" s="22">
        <v>83556.534245541465</v>
      </c>
      <c r="U50" s="22">
        <v>189049.36683437167</v>
      </c>
      <c r="V50" s="22">
        <v>265484.4397628404</v>
      </c>
      <c r="W50" s="22">
        <v>248590.59560852987</v>
      </c>
      <c r="X50" s="22">
        <v>229992.78825383674</v>
      </c>
      <c r="Y50" s="22">
        <v>142655.78999924072</v>
      </c>
      <c r="Z50" s="3"/>
      <c r="AA50" s="3"/>
      <c r="AB50" s="180"/>
      <c r="AC50" s="139"/>
      <c r="AD50" s="139"/>
      <c r="AE50" s="139"/>
      <c r="AF50" s="139"/>
      <c r="AG50" s="139"/>
      <c r="AH50" s="139"/>
      <c r="AI50" s="139"/>
      <c r="AJ50" s="139"/>
      <c r="AK50" s="154"/>
      <c r="BF50" s="171"/>
      <c r="BY50" s="171"/>
      <c r="BZ50" s="274"/>
      <c r="CA50" s="18" t="s">
        <v>52</v>
      </c>
      <c r="CB50" s="248">
        <v>163457.59711939399</v>
      </c>
      <c r="CC50" s="248">
        <v>214406.61993017496</v>
      </c>
      <c r="CD50" s="248">
        <v>206785.10653110137</v>
      </c>
      <c r="CE50" s="248">
        <v>220949.79538769458</v>
      </c>
      <c r="CF50" s="248">
        <v>115364.05445489516</v>
      </c>
      <c r="CG50" s="248">
        <v>98333.437943159501</v>
      </c>
      <c r="CH50" s="248">
        <v>115494.81261451752</v>
      </c>
      <c r="CK50" s="274"/>
      <c r="CL50" s="18" t="s">
        <v>52</v>
      </c>
      <c r="CM50" s="248">
        <v>162792.26536408585</v>
      </c>
      <c r="CN50" s="248">
        <v>212919.23508106789</v>
      </c>
      <c r="CO50" s="248">
        <v>204303.9674963078</v>
      </c>
      <c r="CP50" s="248">
        <v>218689.44877011713</v>
      </c>
      <c r="CQ50" s="248">
        <v>114567.39988173667</v>
      </c>
      <c r="CR50" s="248">
        <v>97872.621738818023</v>
      </c>
      <c r="CS50" s="248">
        <v>115440.08721467895</v>
      </c>
      <c r="CT50" s="5" t="s">
        <v>118</v>
      </c>
      <c r="CU50" s="5" t="s">
        <v>119</v>
      </c>
      <c r="CV50" s="5" t="s">
        <v>120</v>
      </c>
    </row>
    <row r="51" spans="1:100" s="5" customFormat="1" ht="15" customHeight="1" outlineLevel="1" x14ac:dyDescent="0.35">
      <c r="A51" s="274"/>
      <c r="B51" s="18" t="s">
        <v>52</v>
      </c>
      <c r="C51" s="9">
        <f t="shared" ref="C51:I51" si="40">IF(OR(C50="",C49=""),"",C49+C50)</f>
        <v>0</v>
      </c>
      <c r="D51" s="9">
        <f t="shared" si="40"/>
        <v>0</v>
      </c>
      <c r="E51" s="9">
        <f t="shared" si="40"/>
        <v>-48.583419353926594</v>
      </c>
      <c r="F51" s="9">
        <f t="shared" si="40"/>
        <v>4125.9071778961579</v>
      </c>
      <c r="G51" s="9">
        <f t="shared" si="40"/>
        <v>6806.3797850987785</v>
      </c>
      <c r="H51" s="9">
        <f t="shared" si="40"/>
        <v>7524.9044581782691</v>
      </c>
      <c r="I51" s="9">
        <f t="shared" si="40"/>
        <v>7658.4495072300715</v>
      </c>
      <c r="J51" s="9">
        <f>IF(OR(J50="",J49=""),"",J49+J50)</f>
        <v>7241.6490844376849</v>
      </c>
      <c r="M51" s="171"/>
      <c r="N51" s="171"/>
      <c r="O51" s="274"/>
      <c r="P51" s="18" t="s">
        <v>26</v>
      </c>
      <c r="Q51" s="22">
        <v>104313.87773241718</v>
      </c>
      <c r="R51" s="22">
        <v>98420.974410363575</v>
      </c>
      <c r="S51" s="22">
        <v>84560.155028366615</v>
      </c>
      <c r="T51" s="22">
        <v>79147.524446379844</v>
      </c>
      <c r="U51" s="22">
        <v>94049.927973792379</v>
      </c>
      <c r="V51" s="22">
        <v>109708.48677351972</v>
      </c>
      <c r="W51" s="22">
        <v>109463.73998502946</v>
      </c>
      <c r="X51" s="22">
        <v>109154.24836711264</v>
      </c>
      <c r="Y51" s="22">
        <v>93111.170115006884</v>
      </c>
      <c r="AB51" s="180"/>
      <c r="AC51" s="139"/>
      <c r="AD51" s="139"/>
      <c r="AE51" s="139"/>
      <c r="AF51" s="139"/>
      <c r="AG51" s="139"/>
      <c r="AH51" s="139"/>
      <c r="AI51" s="139"/>
      <c r="AJ51" s="139"/>
      <c r="AK51" s="153"/>
      <c r="BF51" s="171"/>
      <c r="BY51" s="171"/>
      <c r="BZ51" s="274"/>
      <c r="CA51" s="18" t="s">
        <v>13</v>
      </c>
      <c r="CB51" s="248">
        <v>-70203.704490376258</v>
      </c>
      <c r="CC51" s="248">
        <v>-110918.02150773036</v>
      </c>
      <c r="CD51" s="248">
        <v>-62370.276640203519</v>
      </c>
      <c r="CE51" s="248">
        <v>-110883.16032173509</v>
      </c>
      <c r="CF51" s="248">
        <v>-65035.886470164958</v>
      </c>
      <c r="CG51" s="248">
        <v>-49514.800112431563</v>
      </c>
      <c r="CH51" s="248">
        <v>-46355.214909730319</v>
      </c>
      <c r="CK51" s="274"/>
      <c r="CL51" s="18" t="s">
        <v>13</v>
      </c>
      <c r="CM51" s="248">
        <v>-68292.829641952645</v>
      </c>
      <c r="CN51" s="248">
        <v>-106545.6030327927</v>
      </c>
      <c r="CO51" s="248">
        <v>-55443.41814989777</v>
      </c>
      <c r="CP51" s="248">
        <v>-104720.06078458938</v>
      </c>
      <c r="CQ51" s="248">
        <v>-62796.468116475859</v>
      </c>
      <c r="CR51" s="248">
        <v>-48235.139439679464</v>
      </c>
      <c r="CS51" s="248">
        <v>-46182.739786123188</v>
      </c>
      <c r="CT51" s="249">
        <f>SUM(CM51:CS51)</f>
        <v>-492216.258951511</v>
      </c>
      <c r="CU51" s="249">
        <f>SUM(CB51:CH51)</f>
        <v>-515281.06445237203</v>
      </c>
      <c r="CV51" s="249">
        <f>CT51-CU51</f>
        <v>23064.805500861024</v>
      </c>
    </row>
    <row r="52" spans="1:100" s="5" customFormat="1" ht="14.5" outlineLevel="1" x14ac:dyDescent="0.35">
      <c r="A52" s="274"/>
      <c r="B52" s="18" t="s">
        <v>13</v>
      </c>
      <c r="C52" s="9">
        <f t="shared" ref="C52:I52" si="41">IF(OR(C49="",C48=""),"",C48-C49)</f>
        <v>0</v>
      </c>
      <c r="D52" s="9">
        <f t="shared" si="41"/>
        <v>0</v>
      </c>
      <c r="E52" s="9">
        <f t="shared" si="41"/>
        <v>226.62886871874906</v>
      </c>
      <c r="F52" s="9">
        <f t="shared" si="41"/>
        <v>-3464.7476698101395</v>
      </c>
      <c r="G52" s="9">
        <f t="shared" si="41"/>
        <v>-5928.3871279913037</v>
      </c>
      <c r="H52" s="9">
        <f t="shared" si="41"/>
        <v>-6557.4226109136362</v>
      </c>
      <c r="I52" s="9">
        <f t="shared" si="41"/>
        <v>-6277.2380765726703</v>
      </c>
      <c r="J52" s="9">
        <f>IF(OR(J49="",J48=""),"",J48-J49)</f>
        <v>-6146.4495966786726</v>
      </c>
      <c r="K52" s="113" t="s">
        <v>84</v>
      </c>
      <c r="L52" s="113" t="s">
        <v>87</v>
      </c>
      <c r="M52" s="171"/>
      <c r="N52" s="171"/>
      <c r="O52" s="274"/>
      <c r="P52" s="18" t="s">
        <v>51</v>
      </c>
      <c r="Q52" s="22">
        <v>40612.01</v>
      </c>
      <c r="R52" s="22">
        <v>38351.11</v>
      </c>
      <c r="S52" s="22">
        <v>32774.379999999997</v>
      </c>
      <c r="T52" s="22">
        <v>30569.17</v>
      </c>
      <c r="U52" s="22">
        <v>36225.06</v>
      </c>
      <c r="V52" s="22">
        <v>42295.91</v>
      </c>
      <c r="W52" s="22">
        <v>42141.33</v>
      </c>
      <c r="X52" s="22">
        <v>41942.74</v>
      </c>
      <c r="Y52" s="22">
        <v>35788.269999999997</v>
      </c>
      <c r="AB52" s="180"/>
      <c r="AC52" s="139"/>
      <c r="AD52" s="139"/>
      <c r="AE52" s="139"/>
      <c r="AF52" s="139"/>
      <c r="AG52" s="139"/>
      <c r="AH52" s="139"/>
      <c r="AI52" s="139"/>
      <c r="AJ52" s="139"/>
      <c r="AK52" s="153"/>
      <c r="BF52" s="171"/>
      <c r="BY52" s="171"/>
      <c r="BZ52" s="274"/>
      <c r="CA52" s="19" t="s">
        <v>8</v>
      </c>
      <c r="CB52" s="248">
        <v>-25.96</v>
      </c>
      <c r="CC52" s="248">
        <v>-70.53</v>
      </c>
      <c r="CD52" s="248">
        <v>-77.709999999999994</v>
      </c>
      <c r="CE52" s="248">
        <v>-110.94</v>
      </c>
      <c r="CF52" s="248">
        <v>-277.91000000000003</v>
      </c>
      <c r="CG52" s="248">
        <v>-254.26</v>
      </c>
      <c r="CH52" s="248">
        <v>-414.91</v>
      </c>
      <c r="CK52" s="274"/>
      <c r="CL52" s="19" t="s">
        <v>8</v>
      </c>
      <c r="CM52" s="248">
        <v>-25.71</v>
      </c>
      <c r="CN52" s="248">
        <v>-69.17</v>
      </c>
      <c r="CO52" s="248">
        <v>-75.13</v>
      </c>
      <c r="CP52" s="248">
        <v>-106.16</v>
      </c>
      <c r="CQ52" s="248">
        <v>-265.5</v>
      </c>
      <c r="CR52" s="248">
        <v>-242.8</v>
      </c>
      <c r="CS52" s="248">
        <v>-396.63</v>
      </c>
    </row>
    <row r="53" spans="1:100" s="5" customFormat="1" ht="14.5" outlineLevel="1" x14ac:dyDescent="0.35">
      <c r="A53" s="274"/>
      <c r="B53" s="19" t="s">
        <v>8</v>
      </c>
      <c r="C53" s="9">
        <f>ROUND((C52+0)*'MEEIA 3 calcs'!F9/12,2)</f>
        <v>0</v>
      </c>
      <c r="D53" s="9">
        <f>ROUND((D52+C55)*'MEEIA 3 calcs'!G9/12,2)</f>
        <v>0</v>
      </c>
      <c r="E53" s="9">
        <f>ROUND((E52+D55)*'MEEIA 3 calcs'!H9/12,2)</f>
        <v>0.51</v>
      </c>
      <c r="F53" s="9">
        <f>ROUND((F52+E55)*'MEEIA 3 calcs'!I9/12,2)</f>
        <v>-7.15</v>
      </c>
      <c r="G53" s="9">
        <f>ROUND((G52+F55)*'MEEIA 3 calcs'!J9/12,2)</f>
        <v>-19.84</v>
      </c>
      <c r="H53" s="9">
        <f>ROUND((H52+G55)*'MEEIA 3 calcs'!K9/12,2)</f>
        <v>-30.86</v>
      </c>
      <c r="I53" s="9">
        <f>ROUND((I52+H55)*'MEEIA 3 calcs'!L9/12,2)</f>
        <v>-40.75</v>
      </c>
      <c r="J53" s="9">
        <f>ROUND((J52+I55)*'MEEIA 3 calcs'!M9/12,2)</f>
        <v>-49.76</v>
      </c>
      <c r="K53" s="114">
        <f>SUM('MEEIA 3 calcs'!F72:M72)</f>
        <v>-163.53</v>
      </c>
      <c r="L53" s="123">
        <f>SUM(C53:J53)-K53</f>
        <v>15.680000000000007</v>
      </c>
      <c r="M53" s="171"/>
      <c r="N53" s="171"/>
      <c r="O53" s="274"/>
      <c r="P53" s="18" t="s">
        <v>52</v>
      </c>
      <c r="Q53" s="9">
        <v>144925.88773241718</v>
      </c>
      <c r="R53" s="9">
        <v>136772.08441036358</v>
      </c>
      <c r="S53" s="9">
        <v>117334.5350283666</v>
      </c>
      <c r="T53" s="9">
        <v>109716.69444637984</v>
      </c>
      <c r="U53" s="9">
        <v>130274.98797379238</v>
      </c>
      <c r="V53" s="9">
        <v>152004.39677351972</v>
      </c>
      <c r="W53" s="9">
        <v>151605.06998502946</v>
      </c>
      <c r="X53" s="9">
        <v>151096.98836711264</v>
      </c>
      <c r="Y53" s="9">
        <v>128899.44011500687</v>
      </c>
      <c r="AB53" s="180"/>
      <c r="AC53" s="139"/>
      <c r="AD53" s="139"/>
      <c r="AE53" s="139"/>
      <c r="AF53" s="139"/>
      <c r="AG53" s="139"/>
      <c r="AH53" s="139"/>
      <c r="AI53" s="139"/>
      <c r="AJ53" s="139"/>
      <c r="AK53" s="153"/>
      <c r="BF53" s="171"/>
      <c r="BY53" s="171"/>
      <c r="BZ53" s="274"/>
      <c r="CA53" s="18" t="s">
        <v>14</v>
      </c>
      <c r="CB53" s="248">
        <v>-70229.664490376264</v>
      </c>
      <c r="CC53" s="248">
        <v>-110988.55150773036</v>
      </c>
      <c r="CD53" s="248">
        <v>-62447.986640203519</v>
      </c>
      <c r="CE53" s="248">
        <v>-110994.1003217351</v>
      </c>
      <c r="CF53" s="248">
        <v>-65313.796470164962</v>
      </c>
      <c r="CG53" s="248">
        <v>-49769.060112431565</v>
      </c>
      <c r="CH53" s="248">
        <v>-46770.124909730323</v>
      </c>
      <c r="CK53" s="274"/>
      <c r="CL53" s="18" t="s">
        <v>14</v>
      </c>
      <c r="CM53" s="248">
        <v>-68318.539641952651</v>
      </c>
      <c r="CN53" s="248">
        <v>-106614.7730327927</v>
      </c>
      <c r="CO53" s="248">
        <v>-55518.548149897768</v>
      </c>
      <c r="CP53" s="248">
        <v>-104826.22078458939</v>
      </c>
      <c r="CQ53" s="248">
        <v>-63061.968116475859</v>
      </c>
      <c r="CR53" s="248">
        <v>-48477.939439679467</v>
      </c>
      <c r="CS53" s="248">
        <v>-46579.369786123185</v>
      </c>
    </row>
    <row r="54" spans="1:100" s="5" customFormat="1" ht="14.5" outlineLevel="1" x14ac:dyDescent="0.35">
      <c r="A54" s="274"/>
      <c r="B54" s="18" t="s">
        <v>14</v>
      </c>
      <c r="C54" s="9">
        <f t="shared" ref="C54:J54" si="42">IF(OR(C52="",C53=""),"",C52+C53)</f>
        <v>0</v>
      </c>
      <c r="D54" s="9">
        <f t="shared" si="42"/>
        <v>0</v>
      </c>
      <c r="E54" s="9">
        <f t="shared" si="42"/>
        <v>227.13886871874905</v>
      </c>
      <c r="F54" s="9">
        <f t="shared" si="42"/>
        <v>-3471.8976698101396</v>
      </c>
      <c r="G54" s="9">
        <f t="shared" si="42"/>
        <v>-5948.2271279913039</v>
      </c>
      <c r="H54" s="9">
        <f t="shared" si="42"/>
        <v>-6588.2826109136358</v>
      </c>
      <c r="I54" s="9">
        <f t="shared" si="42"/>
        <v>-6317.9880765726703</v>
      </c>
      <c r="J54" s="9">
        <f t="shared" si="42"/>
        <v>-6196.2095966786728</v>
      </c>
      <c r="M54" s="171"/>
      <c r="N54" s="171"/>
      <c r="O54" s="274"/>
      <c r="P54" s="18" t="s">
        <v>13</v>
      </c>
      <c r="Q54" s="9">
        <v>-22228.966360419829</v>
      </c>
      <c r="R54" s="9">
        <v>-13360.21052983425</v>
      </c>
      <c r="S54" s="9">
        <v>-69888.323471591139</v>
      </c>
      <c r="T54" s="9">
        <v>-26160.160200838378</v>
      </c>
      <c r="U54" s="9">
        <v>58774.378860579294</v>
      </c>
      <c r="V54" s="9">
        <v>113480.04298932067</v>
      </c>
      <c r="W54" s="9">
        <v>96985.525623500405</v>
      </c>
      <c r="X54" s="9">
        <v>78895.799886724097</v>
      </c>
      <c r="Y54" s="9">
        <v>13756.349884233845</v>
      </c>
      <c r="Z54" s="113" t="s">
        <v>84</v>
      </c>
      <c r="AA54" s="113" t="s">
        <v>87</v>
      </c>
      <c r="AB54" s="180"/>
      <c r="AC54" s="139"/>
      <c r="AD54" s="139"/>
      <c r="AE54" s="139"/>
      <c r="AF54" s="139"/>
      <c r="AG54" s="139"/>
      <c r="AH54" s="139"/>
      <c r="AI54" s="139"/>
      <c r="AJ54" s="139"/>
      <c r="AK54" s="155"/>
      <c r="BF54" s="171"/>
      <c r="BY54" s="171"/>
      <c r="BZ54" s="274"/>
      <c r="CA54" s="20" t="s">
        <v>18</v>
      </c>
      <c r="CB54" s="248">
        <v>-203337.21655740903</v>
      </c>
      <c r="CC54" s="248">
        <v>-325033.1280651394</v>
      </c>
      <c r="CD54" s="248">
        <v>-397821.40470534295</v>
      </c>
      <c r="CE54" s="248">
        <v>-450087.04502707807</v>
      </c>
      <c r="CF54" s="248">
        <v>-484790.47149724304</v>
      </c>
      <c r="CG54" s="248">
        <v>-508424.90160967462</v>
      </c>
      <c r="CH54" s="248">
        <v>-524679.61651940492</v>
      </c>
      <c r="CK54" s="274"/>
      <c r="CL54" s="20" t="s">
        <v>18</v>
      </c>
      <c r="CM54" s="248">
        <v>-201426.09170898545</v>
      </c>
      <c r="CN54" s="248">
        <v>-318748.22474177816</v>
      </c>
      <c r="CO54" s="248">
        <v>-384607.06289167592</v>
      </c>
      <c r="CP54" s="248">
        <v>-430704.82367626531</v>
      </c>
      <c r="CQ54" s="248">
        <v>-463156.42179274117</v>
      </c>
      <c r="CR54" s="248">
        <v>-485499.73123242066</v>
      </c>
      <c r="CS54" s="248">
        <v>-501563.69101854385</v>
      </c>
    </row>
    <row r="55" spans="1:100" s="5" customFormat="1" ht="14.5" outlineLevel="1" x14ac:dyDescent="0.35">
      <c r="A55" s="274"/>
      <c r="B55" s="20" t="s">
        <v>19</v>
      </c>
      <c r="C55" s="9">
        <f>IF(OR(C54=""),"",C54)</f>
        <v>0</v>
      </c>
      <c r="D55" s="9">
        <f t="shared" ref="D55:J55" si="43">IF(OR(D54="",C55=""),"",D54+C55)</f>
        <v>0</v>
      </c>
      <c r="E55" s="9">
        <f t="shared" si="43"/>
        <v>227.13886871874905</v>
      </c>
      <c r="F55" s="9">
        <f t="shared" si="43"/>
        <v>-3244.7588010913905</v>
      </c>
      <c r="G55" s="9">
        <f t="shared" si="43"/>
        <v>-9192.9859290826935</v>
      </c>
      <c r="H55" s="9">
        <f t="shared" si="43"/>
        <v>-15781.26853999633</v>
      </c>
      <c r="I55" s="9">
        <f t="shared" si="43"/>
        <v>-22099.256616569</v>
      </c>
      <c r="J55" s="9">
        <f t="shared" si="43"/>
        <v>-28295.466213247673</v>
      </c>
      <c r="M55" s="171"/>
      <c r="N55" s="171"/>
      <c r="O55" s="274"/>
      <c r="P55" s="19" t="s">
        <v>8</v>
      </c>
      <c r="Q55" s="9">
        <v>-419.27</v>
      </c>
      <c r="R55" s="9">
        <v>-400.36</v>
      </c>
      <c r="S55" s="9">
        <v>-228.28</v>
      </c>
      <c r="T55" s="9">
        <v>-30.95</v>
      </c>
      <c r="U55" s="9">
        <v>-20.18</v>
      </c>
      <c r="V55" s="9">
        <v>-5.97</v>
      </c>
      <c r="W55" s="9">
        <v>11.62</v>
      </c>
      <c r="X55" s="9">
        <v>23.03</v>
      </c>
      <c r="Y55" s="9">
        <v>45.42</v>
      </c>
      <c r="Z55" s="114">
        <v>-1201.2799999999997</v>
      </c>
      <c r="AA55" s="123">
        <v>176.33999999999946</v>
      </c>
      <c r="AB55" s="180"/>
      <c r="AC55" s="139"/>
      <c r="AD55" s="139"/>
      <c r="AE55" s="139"/>
      <c r="AF55" s="139"/>
      <c r="AG55" s="139"/>
      <c r="AH55" s="139"/>
      <c r="AI55" s="139"/>
      <c r="AJ55" s="139"/>
      <c r="AK55" s="156"/>
      <c r="BF55" s="171"/>
      <c r="BY55" s="171"/>
      <c r="BZ55" s="44"/>
      <c r="CA55" s="13"/>
      <c r="CB55" s="3"/>
      <c r="CC55" s="3"/>
      <c r="CD55" s="3"/>
      <c r="CE55" s="3"/>
      <c r="CF55" s="3"/>
      <c r="CG55" s="3"/>
      <c r="CH55" s="3"/>
      <c r="CK55" s="44"/>
      <c r="CL55" s="13"/>
      <c r="CM55" s="3"/>
      <c r="CN55" s="3"/>
      <c r="CO55" s="3"/>
      <c r="CP55" s="3"/>
      <c r="CQ55" s="3"/>
      <c r="CR55" s="3"/>
      <c r="CS55" s="3"/>
    </row>
    <row r="56" spans="1:100" s="5" customFormat="1" ht="16.5" customHeight="1" outlineLevel="1" x14ac:dyDescent="0.35">
      <c r="A56" s="44"/>
      <c r="B56" s="13"/>
      <c r="C56" s="107"/>
      <c r="D56" s="14"/>
      <c r="E56" s="14"/>
      <c r="F56" s="14"/>
      <c r="G56" s="14"/>
      <c r="H56" s="14"/>
      <c r="I56" s="14"/>
      <c r="J56" s="14"/>
      <c r="M56" s="171"/>
      <c r="N56" s="171"/>
      <c r="O56" s="274"/>
      <c r="P56" s="18" t="s">
        <v>14</v>
      </c>
      <c r="Q56" s="9">
        <v>-22648.236360419829</v>
      </c>
      <c r="R56" s="9">
        <v>-13760.570529834251</v>
      </c>
      <c r="S56" s="9">
        <v>-70116.603471591137</v>
      </c>
      <c r="T56" s="9">
        <v>-26191.110200838379</v>
      </c>
      <c r="U56" s="9">
        <v>58754.198860579294</v>
      </c>
      <c r="V56" s="9">
        <v>113474.07298932067</v>
      </c>
      <c r="W56" s="9">
        <v>96997.145623500401</v>
      </c>
      <c r="X56" s="9">
        <v>78918.829886724096</v>
      </c>
      <c r="Y56" s="9">
        <v>13801.769884233845</v>
      </c>
      <c r="AB56" s="180"/>
      <c r="AC56" s="139"/>
      <c r="AD56" s="139"/>
      <c r="AE56" s="139"/>
      <c r="AF56" s="139"/>
      <c r="AG56" s="139"/>
      <c r="AH56" s="139"/>
      <c r="AI56" s="139"/>
      <c r="AJ56" s="139"/>
      <c r="AK56" s="153"/>
      <c r="BF56" s="171"/>
      <c r="BY56" s="171"/>
      <c r="BZ56" s="274" t="s">
        <v>24</v>
      </c>
      <c r="CA56" s="17"/>
      <c r="CB56" s="3"/>
      <c r="CC56" s="3"/>
      <c r="CD56" s="3"/>
      <c r="CE56" s="3"/>
      <c r="CF56" s="3"/>
      <c r="CG56" s="3"/>
      <c r="CH56" s="3"/>
      <c r="CK56" s="274" t="s">
        <v>24</v>
      </c>
      <c r="CL56" s="17"/>
      <c r="CM56" s="3"/>
      <c r="CN56" s="3"/>
      <c r="CO56" s="3"/>
      <c r="CP56" s="3"/>
      <c r="CQ56" s="3"/>
      <c r="CR56" s="3"/>
      <c r="CS56" s="3"/>
    </row>
    <row r="57" spans="1:100" ht="14.5" x14ac:dyDescent="0.35">
      <c r="O57" s="274"/>
      <c r="P57" s="20" t="s">
        <v>17</v>
      </c>
      <c r="Q57" s="9">
        <v>-279378.1186167358</v>
      </c>
      <c r="R57" s="9">
        <v>-254787.57914657006</v>
      </c>
      <c r="S57" s="9">
        <v>-292129.80261816119</v>
      </c>
      <c r="T57" s="9">
        <v>-287751.74281899957</v>
      </c>
      <c r="U57" s="9">
        <v>-192772.48395842029</v>
      </c>
      <c r="V57" s="9">
        <v>-37002.500969099608</v>
      </c>
      <c r="W57" s="9">
        <v>102135.97465440081</v>
      </c>
      <c r="X57" s="9">
        <v>222997.54454112489</v>
      </c>
      <c r="Y57" s="9">
        <v>272587.58442535874</v>
      </c>
      <c r="Z57" s="5"/>
      <c r="AA57" s="5"/>
      <c r="AB57" s="180"/>
      <c r="AC57" s="139"/>
      <c r="AD57" s="139"/>
      <c r="AE57" s="139"/>
      <c r="AF57" s="139"/>
      <c r="AG57" s="139"/>
      <c r="AH57" s="139"/>
      <c r="AI57" s="139"/>
      <c r="AJ57" s="139"/>
      <c r="AK57" s="153"/>
      <c r="BZ57" s="274"/>
      <c r="CA57" s="17" t="s">
        <v>28</v>
      </c>
      <c r="CB57" s="248">
        <v>16125.741463642871</v>
      </c>
      <c r="CC57" s="248">
        <v>19063.36096942682</v>
      </c>
      <c r="CD57" s="248">
        <v>18825.407725594807</v>
      </c>
      <c r="CE57" s="248">
        <v>15042.280346882986</v>
      </c>
      <c r="CF57" s="248">
        <v>5372.5491881501548</v>
      </c>
      <c r="CG57" s="248">
        <v>5761.1753207721658</v>
      </c>
      <c r="CH57" s="248">
        <v>7701.1665386990999</v>
      </c>
      <c r="CK57" s="274"/>
      <c r="CL57" s="17" t="s">
        <v>28</v>
      </c>
      <c r="CM57" s="248">
        <v>16558.791766912029</v>
      </c>
      <c r="CN57" s="248">
        <v>19892.787315116471</v>
      </c>
      <c r="CO57" s="248">
        <v>20416.214708454521</v>
      </c>
      <c r="CP57" s="248">
        <v>16443.115349845692</v>
      </c>
      <c r="CQ57" s="248">
        <v>5902.3817319222526</v>
      </c>
      <c r="CR57" s="248">
        <v>6070.3877610296313</v>
      </c>
      <c r="CS57" s="248">
        <v>7738.3416483766814</v>
      </c>
    </row>
    <row r="58" spans="1:100" ht="14.5" x14ac:dyDescent="0.35">
      <c r="O58" s="44"/>
      <c r="P58" s="13"/>
      <c r="Q58" s="14"/>
      <c r="R58" s="14"/>
      <c r="S58" s="14"/>
      <c r="T58" s="14"/>
      <c r="U58" s="14"/>
      <c r="V58" s="14"/>
      <c r="W58" s="14"/>
      <c r="X58" s="14"/>
      <c r="Y58" s="14"/>
      <c r="Z58" s="5"/>
      <c r="AA58" s="5"/>
      <c r="AB58" s="180"/>
      <c r="AC58" s="139"/>
      <c r="AD58" s="139"/>
      <c r="AE58" s="139"/>
      <c r="AF58" s="139"/>
      <c r="AG58" s="139"/>
      <c r="AH58" s="139"/>
      <c r="AI58" s="139"/>
      <c r="AJ58" s="139"/>
      <c r="AK58" s="153"/>
      <c r="BZ58" s="274"/>
      <c r="CA58" s="18" t="s">
        <v>26</v>
      </c>
      <c r="CB58" s="248">
        <v>31542.387518483061</v>
      </c>
      <c r="CC58" s="248">
        <v>43557.154949803051</v>
      </c>
      <c r="CD58" s="248">
        <v>40956.195027623748</v>
      </c>
      <c r="CE58" s="248">
        <v>34081.150442443461</v>
      </c>
      <c r="CF58" s="248">
        <v>5569.4805559214219</v>
      </c>
      <c r="CG58" s="248">
        <v>-23801.130148762259</v>
      </c>
      <c r="CH58" s="248">
        <v>4425.0020023903071</v>
      </c>
      <c r="CK58" s="274"/>
      <c r="CL58" s="18" t="s">
        <v>26</v>
      </c>
      <c r="CM58" s="248">
        <v>31311.065037548167</v>
      </c>
      <c r="CN58" s="248">
        <v>43129.542540372691</v>
      </c>
      <c r="CO58" s="248">
        <v>40068.371731193831</v>
      </c>
      <c r="CP58" s="248">
        <v>33269.832706991961</v>
      </c>
      <c r="CQ58" s="248">
        <v>5276.9215627583089</v>
      </c>
      <c r="CR58" s="248">
        <v>-23975.143784503343</v>
      </c>
      <c r="CS58" s="248">
        <v>4407.7244863500364</v>
      </c>
    </row>
    <row r="59" spans="1:100" s="1" customFormat="1" ht="14.5" x14ac:dyDescent="0.35">
      <c r="B59" s="40"/>
      <c r="C59" s="40"/>
      <c r="D59" s="40"/>
      <c r="E59" s="40"/>
      <c r="F59" s="40"/>
      <c r="G59" s="40"/>
      <c r="H59" s="40"/>
      <c r="I59" s="40"/>
      <c r="J59" s="40"/>
      <c r="K59" s="40"/>
      <c r="L59" s="40"/>
      <c r="M59" s="170"/>
      <c r="N59" s="170"/>
      <c r="O59" s="274" t="s">
        <v>23</v>
      </c>
      <c r="P59" s="17"/>
      <c r="Q59" s="9"/>
      <c r="R59" s="9"/>
      <c r="S59" s="9"/>
      <c r="T59" s="9"/>
      <c r="U59" s="9"/>
      <c r="V59" s="9"/>
      <c r="W59" s="9"/>
      <c r="X59" s="9"/>
      <c r="Y59" s="9"/>
      <c r="Z59" s="5"/>
      <c r="AA59" s="5"/>
      <c r="AB59" s="180"/>
      <c r="AC59" s="139"/>
      <c r="AD59" s="139"/>
      <c r="AE59" s="139"/>
      <c r="AF59" s="139"/>
      <c r="AG59" s="139"/>
      <c r="AH59" s="139"/>
      <c r="AI59" s="139"/>
      <c r="AJ59" s="139"/>
      <c r="AK59" s="153"/>
      <c r="BF59" s="214"/>
      <c r="BY59" s="214"/>
      <c r="BZ59" s="274"/>
      <c r="CA59" s="18" t="s">
        <v>51</v>
      </c>
      <c r="CB59" s="248">
        <v>3698.89</v>
      </c>
      <c r="CC59" s="248">
        <v>5186.1400000000003</v>
      </c>
      <c r="CD59" s="248">
        <v>4832.3100000000004</v>
      </c>
      <c r="CE59" s="248">
        <v>75442.73</v>
      </c>
      <c r="CF59" s="248">
        <v>13631.28</v>
      </c>
      <c r="CG59" s="248">
        <v>-48097.27</v>
      </c>
      <c r="CH59" s="248">
        <v>10628.22</v>
      </c>
      <c r="CK59" s="274"/>
      <c r="CL59" s="18" t="s">
        <v>51</v>
      </c>
      <c r="CM59" s="248">
        <v>3698.89</v>
      </c>
      <c r="CN59" s="248">
        <v>5186.1400000000003</v>
      </c>
      <c r="CO59" s="248">
        <v>4832.3100000000004</v>
      </c>
      <c r="CP59" s="248">
        <v>75442.73</v>
      </c>
      <c r="CQ59" s="248">
        <v>13631.28</v>
      </c>
      <c r="CR59" s="248">
        <v>-48097.27</v>
      </c>
      <c r="CS59" s="248">
        <v>10628.22</v>
      </c>
    </row>
    <row r="60" spans="1:100" ht="14.5" x14ac:dyDescent="0.35">
      <c r="C60" s="12">
        <v>43525</v>
      </c>
      <c r="D60" s="12">
        <v>43556</v>
      </c>
      <c r="E60" s="12">
        <v>43586</v>
      </c>
      <c r="F60" s="12">
        <v>43617</v>
      </c>
      <c r="G60" s="12">
        <v>43677</v>
      </c>
      <c r="H60" s="12">
        <v>43708</v>
      </c>
      <c r="I60" s="12">
        <v>43738</v>
      </c>
      <c r="J60" s="12">
        <v>43769</v>
      </c>
      <c r="O60" s="274"/>
      <c r="P60" s="17" t="s">
        <v>28</v>
      </c>
      <c r="Q60" s="22">
        <v>29425.974245256413</v>
      </c>
      <c r="R60" s="22">
        <v>32165.147795809222</v>
      </c>
      <c r="S60" s="22">
        <v>21213.003373036219</v>
      </c>
      <c r="T60" s="22">
        <v>41395.000804902586</v>
      </c>
      <c r="U60" s="22">
        <v>92952.761963081415</v>
      </c>
      <c r="V60" s="22">
        <v>123951.10916307675</v>
      </c>
      <c r="W60" s="22">
        <v>122809.27801030048</v>
      </c>
      <c r="X60" s="22">
        <v>96049.861338882605</v>
      </c>
      <c r="Y60" s="22">
        <v>51830.00376307463</v>
      </c>
      <c r="Z60" s="3"/>
      <c r="AA60" s="3"/>
      <c r="AB60" s="180"/>
      <c r="AC60" s="139"/>
      <c r="AD60" s="139"/>
      <c r="AE60" s="139"/>
      <c r="AF60" s="139"/>
      <c r="AG60" s="139"/>
      <c r="AH60" s="139"/>
      <c r="AI60" s="139"/>
      <c r="AJ60" s="139"/>
      <c r="AK60" s="154"/>
      <c r="BZ60" s="274"/>
      <c r="CA60" s="18" t="s">
        <v>52</v>
      </c>
      <c r="CB60" s="248">
        <v>35241.277518483061</v>
      </c>
      <c r="CC60" s="248">
        <v>48743.29494980305</v>
      </c>
      <c r="CD60" s="248">
        <v>45788.505027623745</v>
      </c>
      <c r="CE60" s="248">
        <v>109523.88044244345</v>
      </c>
      <c r="CF60" s="248">
        <v>19200.760555921421</v>
      </c>
      <c r="CG60" s="248">
        <v>-71898.400148762259</v>
      </c>
      <c r="CH60" s="248">
        <v>15053.222002390306</v>
      </c>
      <c r="CK60" s="274"/>
      <c r="CL60" s="18" t="s">
        <v>52</v>
      </c>
      <c r="CM60" s="248">
        <v>35009.95503754817</v>
      </c>
      <c r="CN60" s="248">
        <v>48315.682540372691</v>
      </c>
      <c r="CO60" s="248">
        <v>44900.681731193828</v>
      </c>
      <c r="CP60" s="248">
        <v>108712.56270699196</v>
      </c>
      <c r="CQ60" s="248">
        <v>18908.20156275831</v>
      </c>
      <c r="CR60" s="248">
        <v>-72072.41378450334</v>
      </c>
      <c r="CS60" s="248">
        <v>15035.944486350036</v>
      </c>
      <c r="CT60" s="5" t="s">
        <v>118</v>
      </c>
      <c r="CU60" s="5" t="s">
        <v>119</v>
      </c>
      <c r="CV60" s="5" t="s">
        <v>120</v>
      </c>
    </row>
    <row r="61" spans="1:100" ht="14.5" x14ac:dyDescent="0.35">
      <c r="B61" s="39" t="s">
        <v>38</v>
      </c>
      <c r="C61" s="31"/>
      <c r="D61" s="31"/>
      <c r="E61" s="31"/>
      <c r="F61" s="31"/>
      <c r="G61" s="31"/>
      <c r="H61" s="31"/>
      <c r="I61" s="31"/>
      <c r="J61" s="31"/>
      <c r="O61" s="274"/>
      <c r="P61" s="18" t="s">
        <v>26</v>
      </c>
      <c r="Q61" s="22">
        <v>43471.756585125317</v>
      </c>
      <c r="R61" s="22">
        <v>37573.855689531287</v>
      </c>
      <c r="S61" s="22">
        <v>36905.295455925545</v>
      </c>
      <c r="T61" s="22">
        <v>34871.894488322658</v>
      </c>
      <c r="U61" s="22">
        <v>40727.091457001268</v>
      </c>
      <c r="V61" s="22">
        <v>42825.077518324979</v>
      </c>
      <c r="W61" s="22">
        <v>44954.202556147626</v>
      </c>
      <c r="X61" s="22">
        <v>45054.75137109276</v>
      </c>
      <c r="Y61" s="22">
        <v>40035.738044047088</v>
      </c>
      <c r="Z61" s="5"/>
      <c r="AA61" s="5"/>
      <c r="AB61" s="180"/>
      <c r="AC61" s="139"/>
      <c r="AD61" s="139"/>
      <c r="AE61" s="139"/>
      <c r="AF61" s="139"/>
      <c r="AG61" s="139"/>
      <c r="AH61" s="139"/>
      <c r="AI61" s="139"/>
      <c r="AJ61" s="139"/>
      <c r="AK61" s="153"/>
      <c r="BZ61" s="274"/>
      <c r="CA61" s="18" t="s">
        <v>13</v>
      </c>
      <c r="CB61" s="248">
        <v>-19115.536054840188</v>
      </c>
      <c r="CC61" s="248">
        <v>-29679.93398037623</v>
      </c>
      <c r="CD61" s="248">
        <v>-26963.097302028938</v>
      </c>
      <c r="CE61" s="248">
        <v>-94481.600095560469</v>
      </c>
      <c r="CF61" s="248">
        <v>-13828.211367771266</v>
      </c>
      <c r="CG61" s="248">
        <v>77659.575469534422</v>
      </c>
      <c r="CH61" s="248">
        <v>-7352.0554636912066</v>
      </c>
      <c r="CK61" s="274"/>
      <c r="CL61" s="18" t="s">
        <v>13</v>
      </c>
      <c r="CM61" s="248">
        <v>-18451.163270636142</v>
      </c>
      <c r="CN61" s="248">
        <v>-28422.895225256219</v>
      </c>
      <c r="CO61" s="248">
        <v>-24484.467022739307</v>
      </c>
      <c r="CP61" s="248">
        <v>-92269.447357146273</v>
      </c>
      <c r="CQ61" s="248">
        <v>-13005.819830836057</v>
      </c>
      <c r="CR61" s="248">
        <v>78142.801545532973</v>
      </c>
      <c r="CS61" s="248">
        <v>-7297.6028379733543</v>
      </c>
      <c r="CT61" s="249">
        <f>SUM(CM61:CS61)</f>
        <v>-105788.59399905437</v>
      </c>
      <c r="CU61" s="249">
        <f>SUM(CB61:CH61)</f>
        <v>-113760.85879473387</v>
      </c>
      <c r="CV61" s="249">
        <f>CT61-CU61</f>
        <v>7972.2647956794972</v>
      </c>
    </row>
    <row r="62" spans="1:100" ht="14.5" x14ac:dyDescent="0.35">
      <c r="B62" s="40" t="s">
        <v>33</v>
      </c>
      <c r="C62" s="45">
        <v>0</v>
      </c>
      <c r="D62" s="45">
        <v>3542.7066619947968</v>
      </c>
      <c r="E62" s="45">
        <v>30136.455518898227</v>
      </c>
      <c r="F62" s="45">
        <v>273500.38459568418</v>
      </c>
      <c r="G62" s="45">
        <v>714630.19454973028</v>
      </c>
      <c r="H62" s="45">
        <v>1252115.2720556506</v>
      </c>
      <c r="I62" s="45">
        <v>1625934.6179925092</v>
      </c>
      <c r="J62" s="45">
        <v>1762960.5580065004</v>
      </c>
      <c r="O62" s="274"/>
      <c r="P62" s="18" t="s">
        <v>51</v>
      </c>
      <c r="Q62" s="22">
        <v>20708.53</v>
      </c>
      <c r="R62" s="22">
        <v>17927.830000000002</v>
      </c>
      <c r="S62" s="22">
        <v>17511.97</v>
      </c>
      <c r="T62" s="22">
        <v>16485.95</v>
      </c>
      <c r="U62" s="22">
        <v>19200.04</v>
      </c>
      <c r="V62" s="22">
        <v>20208.66</v>
      </c>
      <c r="W62" s="22">
        <v>21182.03</v>
      </c>
      <c r="X62" s="22">
        <v>21187.42</v>
      </c>
      <c r="Y62" s="22">
        <v>18832.849999999999</v>
      </c>
      <c r="Z62" s="5"/>
      <c r="AA62" s="5"/>
      <c r="AB62" s="180"/>
      <c r="AC62" s="139"/>
      <c r="AD62" s="139"/>
      <c r="AE62" s="139"/>
      <c r="AF62" s="139"/>
      <c r="AG62" s="139"/>
      <c r="AH62" s="139"/>
      <c r="AI62" s="139"/>
      <c r="AJ62" s="139"/>
      <c r="AK62" s="153"/>
      <c r="BZ62" s="274"/>
      <c r="CA62" s="19" t="s">
        <v>8</v>
      </c>
      <c r="CB62" s="248">
        <v>-16.3</v>
      </c>
      <c r="CC62" s="248">
        <v>-33.03</v>
      </c>
      <c r="CD62" s="248">
        <v>-34.06</v>
      </c>
      <c r="CE62" s="248">
        <v>-47.68</v>
      </c>
      <c r="CF62" s="248">
        <v>-111.07</v>
      </c>
      <c r="CG62" s="248">
        <v>-82.15</v>
      </c>
      <c r="CH62" s="248">
        <v>-127.42</v>
      </c>
      <c r="CK62" s="274"/>
      <c r="CL62" s="19" t="s">
        <v>8</v>
      </c>
      <c r="CM62" s="248">
        <v>-16.21</v>
      </c>
      <c r="CN62" s="248">
        <v>-32.61</v>
      </c>
      <c r="CO62" s="248">
        <v>-33.200000000000003</v>
      </c>
      <c r="CP62" s="248">
        <v>-46.05</v>
      </c>
      <c r="CQ62" s="248">
        <v>-106.81</v>
      </c>
      <c r="CR62" s="248">
        <v>-78.19</v>
      </c>
      <c r="CS62" s="248">
        <v>-121.1</v>
      </c>
    </row>
    <row r="63" spans="1:100" ht="14.5" x14ac:dyDescent="0.35">
      <c r="B63" s="40" t="s">
        <v>34</v>
      </c>
      <c r="C63" s="45">
        <v>0.34412602678174997</v>
      </c>
      <c r="D63" s="45">
        <v>594.19753610000055</v>
      </c>
      <c r="E63" s="45">
        <v>8962.7201321071716</v>
      </c>
      <c r="F63" s="45">
        <v>32604.534313513876</v>
      </c>
      <c r="G63" s="45">
        <v>80268.39554484954</v>
      </c>
      <c r="H63" s="45">
        <v>133550.07117798761</v>
      </c>
      <c r="I63" s="45">
        <v>205226.49945065699</v>
      </c>
      <c r="J63" s="45">
        <v>266976.49556192581</v>
      </c>
      <c r="O63" s="274"/>
      <c r="P63" s="18" t="s">
        <v>52</v>
      </c>
      <c r="Q63" s="9">
        <v>64180.286585125315</v>
      </c>
      <c r="R63" s="9">
        <v>55501.685689531289</v>
      </c>
      <c r="S63" s="9">
        <v>54417.265455925546</v>
      </c>
      <c r="T63" s="9">
        <v>51357.844488322662</v>
      </c>
      <c r="U63" s="9">
        <v>59927.131457001269</v>
      </c>
      <c r="V63" s="9">
        <v>63033.737518324982</v>
      </c>
      <c r="W63" s="9">
        <v>66136.232556147617</v>
      </c>
      <c r="X63" s="9">
        <v>66242.171371092758</v>
      </c>
      <c r="Y63" s="9">
        <v>58868.588044047086</v>
      </c>
      <c r="Z63" s="5"/>
      <c r="AA63" s="5"/>
      <c r="AB63" s="180"/>
      <c r="AC63" s="139"/>
      <c r="AD63" s="139"/>
      <c r="AE63" s="139"/>
      <c r="AF63" s="139"/>
      <c r="AG63" s="139"/>
      <c r="AH63" s="139"/>
      <c r="AI63" s="139"/>
      <c r="AJ63" s="139"/>
      <c r="AK63" s="153"/>
      <c r="BZ63" s="274"/>
      <c r="CA63" s="18" t="s">
        <v>14</v>
      </c>
      <c r="CB63" s="248">
        <v>-19131.836054840187</v>
      </c>
      <c r="CC63" s="248">
        <v>-29712.963980376229</v>
      </c>
      <c r="CD63" s="248">
        <v>-26997.15730202894</v>
      </c>
      <c r="CE63" s="248">
        <v>-94529.280095560462</v>
      </c>
      <c r="CF63" s="248">
        <v>-13939.281367771266</v>
      </c>
      <c r="CG63" s="248">
        <v>77577.425469534428</v>
      </c>
      <c r="CH63" s="248">
        <v>-7479.4754636912066</v>
      </c>
      <c r="CK63" s="274"/>
      <c r="CL63" s="18" t="s">
        <v>14</v>
      </c>
      <c r="CM63" s="248">
        <v>-18467.373270636141</v>
      </c>
      <c r="CN63" s="248">
        <v>-28455.50522525622</v>
      </c>
      <c r="CO63" s="248">
        <v>-24517.667022739308</v>
      </c>
      <c r="CP63" s="248">
        <v>-92315.497357146276</v>
      </c>
      <c r="CQ63" s="248">
        <v>-13112.629830836056</v>
      </c>
      <c r="CR63" s="248">
        <v>78064.611545532971</v>
      </c>
      <c r="CS63" s="248">
        <v>-7418.7028379733547</v>
      </c>
    </row>
    <row r="64" spans="1:100" ht="14.5" x14ac:dyDescent="0.35">
      <c r="B64" s="40" t="s">
        <v>35</v>
      </c>
      <c r="C64" s="45">
        <v>0.38250960519337501</v>
      </c>
      <c r="D64" s="45">
        <v>592.84700439506275</v>
      </c>
      <c r="E64" s="45">
        <v>3788.6582603776305</v>
      </c>
      <c r="F64" s="45">
        <v>18535.810544392894</v>
      </c>
      <c r="G64" s="45">
        <v>43757.113824202133</v>
      </c>
      <c r="H64" s="45">
        <v>58774.468786924044</v>
      </c>
      <c r="I64" s="45">
        <v>83102.627859122615</v>
      </c>
      <c r="J64" s="45">
        <v>59438.654651636796</v>
      </c>
      <c r="O64" s="274"/>
      <c r="P64" s="18" t="s">
        <v>13</v>
      </c>
      <c r="Q64" s="9">
        <v>-34754.312339868906</v>
      </c>
      <c r="R64" s="9">
        <v>-23336.537893722067</v>
      </c>
      <c r="S64" s="9">
        <v>-33204.262082889327</v>
      </c>
      <c r="T64" s="9">
        <v>-9962.8436834200766</v>
      </c>
      <c r="U64" s="9">
        <v>33025.630506080146</v>
      </c>
      <c r="V64" s="9">
        <v>60917.371644751765</v>
      </c>
      <c r="W64" s="9">
        <v>56673.04545415286</v>
      </c>
      <c r="X64" s="9">
        <v>29807.689967789847</v>
      </c>
      <c r="Y64" s="9">
        <v>-7038.5842809724563</v>
      </c>
      <c r="Z64" s="113" t="s">
        <v>84</v>
      </c>
      <c r="AA64" s="113" t="s">
        <v>87</v>
      </c>
      <c r="AB64" s="180"/>
      <c r="AC64" s="139"/>
      <c r="AD64" s="139"/>
      <c r="AE64" s="139"/>
      <c r="AF64" s="139"/>
      <c r="AG64" s="139"/>
      <c r="AH64" s="139"/>
      <c r="AI64" s="139"/>
      <c r="AJ64" s="139"/>
      <c r="AK64" s="155"/>
      <c r="BZ64" s="274"/>
      <c r="CA64" s="20" t="s">
        <v>19</v>
      </c>
      <c r="CB64" s="248">
        <v>-127671.70965678364</v>
      </c>
      <c r="CC64" s="248">
        <v>-152198.53363715988</v>
      </c>
      <c r="CD64" s="248">
        <v>-174363.38093918882</v>
      </c>
      <c r="CE64" s="248">
        <v>-193449.93103474929</v>
      </c>
      <c r="CF64" s="248">
        <v>-193757.93240252056</v>
      </c>
      <c r="CG64" s="248">
        <v>-164277.77693298613</v>
      </c>
      <c r="CH64" s="248">
        <v>-161129.03239667733</v>
      </c>
      <c r="CK64" s="274"/>
      <c r="CL64" s="20" t="s">
        <v>19</v>
      </c>
      <c r="CM64" s="248">
        <v>-127007.24687257959</v>
      </c>
      <c r="CN64" s="248">
        <v>-150276.61209783581</v>
      </c>
      <c r="CO64" s="248">
        <v>-169961.96912057512</v>
      </c>
      <c r="CP64" s="248">
        <v>-186834.7364777214</v>
      </c>
      <c r="CQ64" s="248">
        <v>-186316.08630855745</v>
      </c>
      <c r="CR64" s="248">
        <v>-156348.74476302447</v>
      </c>
      <c r="CS64" s="248">
        <v>-153139.22760099784</v>
      </c>
    </row>
    <row r="65" spans="2:97" ht="14.5" x14ac:dyDescent="0.35">
      <c r="B65" s="40" t="s">
        <v>36</v>
      </c>
      <c r="C65" s="45">
        <v>0</v>
      </c>
      <c r="D65" s="45">
        <v>10.498979963866001</v>
      </c>
      <c r="E65" s="45">
        <v>1076.2976856366847</v>
      </c>
      <c r="F65" s="45">
        <v>8208.8465748072213</v>
      </c>
      <c r="G65" s="45">
        <v>17844.087336984448</v>
      </c>
      <c r="H65" s="45">
        <v>19693.510444666666</v>
      </c>
      <c r="I65" s="45">
        <v>21979.473223835281</v>
      </c>
      <c r="J65" s="45">
        <v>14165.40710660777</v>
      </c>
      <c r="O65" s="274"/>
      <c r="P65" s="19" t="s">
        <v>8</v>
      </c>
      <c r="Q65" s="9">
        <v>-328.55</v>
      </c>
      <c r="R65" s="9">
        <v>-353.07</v>
      </c>
      <c r="S65" s="9">
        <v>-187.99</v>
      </c>
      <c r="T65" s="9">
        <v>-25.17</v>
      </c>
      <c r="U65" s="9">
        <v>-19.04</v>
      </c>
      <c r="V65" s="9">
        <v>-16.260000000000002</v>
      </c>
      <c r="W65" s="9">
        <v>-2.61</v>
      </c>
      <c r="X65" s="9">
        <v>2.9</v>
      </c>
      <c r="Y65" s="9">
        <v>6.65</v>
      </c>
      <c r="Z65" s="114">
        <v>-1011.1099999999999</v>
      </c>
      <c r="AA65" s="123">
        <v>87.969999999999914</v>
      </c>
      <c r="AB65" s="180"/>
      <c r="AC65" s="139"/>
      <c r="AD65" s="139"/>
      <c r="AE65" s="139"/>
      <c r="AF65" s="139"/>
      <c r="AG65" s="139"/>
      <c r="AH65" s="139"/>
      <c r="AI65" s="139"/>
      <c r="AJ65" s="139"/>
      <c r="AK65" s="156"/>
    </row>
    <row r="66" spans="2:97" ht="14.5" x14ac:dyDescent="0.35">
      <c r="B66" s="40" t="s">
        <v>37</v>
      </c>
      <c r="C66" s="45">
        <v>0</v>
      </c>
      <c r="D66" s="45">
        <v>0</v>
      </c>
      <c r="E66" s="45">
        <v>178.04544936482247</v>
      </c>
      <c r="F66" s="45">
        <v>661.15950808601849</v>
      </c>
      <c r="G66" s="45">
        <v>877.99265710747466</v>
      </c>
      <c r="H66" s="45">
        <v>909.22642550037904</v>
      </c>
      <c r="I66" s="45">
        <v>1261.0041997151543</v>
      </c>
      <c r="J66" s="45">
        <v>997.60306748635742</v>
      </c>
      <c r="O66" s="274"/>
      <c r="P66" s="18" t="s">
        <v>14</v>
      </c>
      <c r="Q66" s="9">
        <v>-35082.862339868909</v>
      </c>
      <c r="R66" s="9">
        <v>-23689.607893722066</v>
      </c>
      <c r="S66" s="9">
        <v>-33392.252082889325</v>
      </c>
      <c r="T66" s="9">
        <v>-9988.0136834200766</v>
      </c>
      <c r="U66" s="9">
        <v>33006.590506080145</v>
      </c>
      <c r="V66" s="9">
        <v>60901.111644751763</v>
      </c>
      <c r="W66" s="9">
        <v>56670.435454152859</v>
      </c>
      <c r="X66" s="9">
        <v>29810.589967789849</v>
      </c>
      <c r="Y66" s="9">
        <v>-7031.9342809724567</v>
      </c>
      <c r="Z66" s="5"/>
      <c r="AA66" s="5"/>
      <c r="AB66" s="180"/>
      <c r="AC66" s="139"/>
      <c r="AD66" s="139"/>
      <c r="AE66" s="139"/>
      <c r="AF66" s="139"/>
      <c r="AG66" s="139"/>
      <c r="AH66" s="139"/>
      <c r="AI66" s="139"/>
      <c r="AJ66" s="139"/>
      <c r="AK66" s="153"/>
    </row>
    <row r="67" spans="2:97" ht="14.5" x14ac:dyDescent="0.35">
      <c r="B67" s="40" t="s">
        <v>29</v>
      </c>
      <c r="C67" s="45">
        <v>0</v>
      </c>
      <c r="D67" s="45">
        <v>0</v>
      </c>
      <c r="E67" s="45">
        <v>0</v>
      </c>
      <c r="F67" s="45">
        <v>0</v>
      </c>
      <c r="G67" s="45">
        <v>0</v>
      </c>
      <c r="H67" s="45">
        <v>1171.3068451326408</v>
      </c>
      <c r="I67" s="45">
        <v>3700.907022561827</v>
      </c>
      <c r="J67" s="45">
        <v>5539.3571582453487</v>
      </c>
      <c r="O67" s="274"/>
      <c r="P67" s="20" t="s">
        <v>18</v>
      </c>
      <c r="Q67" s="9">
        <v>-218928.41939694106</v>
      </c>
      <c r="R67" s="9">
        <v>-224690.19729066311</v>
      </c>
      <c r="S67" s="9">
        <v>-240570.47937355243</v>
      </c>
      <c r="T67" s="9">
        <v>-234072.5430569725</v>
      </c>
      <c r="U67" s="9">
        <v>-181865.91255089236</v>
      </c>
      <c r="V67" s="9">
        <v>-100756.1409061406</v>
      </c>
      <c r="W67" s="9">
        <v>-22903.675451987743</v>
      </c>
      <c r="X67" s="9">
        <v>28094.334515802104</v>
      </c>
      <c r="Y67" s="9">
        <v>39895.250234829648</v>
      </c>
      <c r="Z67" s="5"/>
      <c r="AA67" s="5"/>
      <c r="AB67" s="180"/>
      <c r="AC67" s="139"/>
      <c r="AD67" s="139"/>
      <c r="AE67" s="139"/>
      <c r="AF67" s="139"/>
      <c r="AG67" s="139"/>
      <c r="AH67" s="139"/>
      <c r="AI67" s="139"/>
      <c r="AJ67" s="139"/>
      <c r="AK67" s="153"/>
    </row>
    <row r="68" spans="2:97" ht="14.5" x14ac:dyDescent="0.35">
      <c r="B68" s="35" t="s">
        <v>31</v>
      </c>
      <c r="C68" s="48">
        <f>SUM(C62:C67)</f>
        <v>0.72663563197512504</v>
      </c>
      <c r="D68" s="48">
        <f t="shared" ref="D68:J68" si="44">SUM(D62:D67)</f>
        <v>4740.2501824537267</v>
      </c>
      <c r="E68" s="48">
        <f t="shared" si="44"/>
        <v>44142.177046384539</v>
      </c>
      <c r="F68" s="48">
        <f t="shared" si="44"/>
        <v>333510.73553648428</v>
      </c>
      <c r="G68" s="48">
        <f t="shared" si="44"/>
        <v>857377.78391287383</v>
      </c>
      <c r="H68" s="48">
        <f t="shared" si="44"/>
        <v>1466213.8557358622</v>
      </c>
      <c r="I68" s="48">
        <f t="shared" si="44"/>
        <v>1941205.129748401</v>
      </c>
      <c r="J68" s="48">
        <f t="shared" si="44"/>
        <v>2110078.0755524025</v>
      </c>
      <c r="O68" s="44"/>
      <c r="P68" s="13"/>
      <c r="Q68" s="14"/>
      <c r="R68" s="14"/>
      <c r="S68" s="14"/>
      <c r="T68" s="14"/>
      <c r="U68" s="14"/>
      <c r="V68" s="14"/>
      <c r="W68" s="14"/>
      <c r="X68" s="14"/>
      <c r="Y68" s="14"/>
      <c r="Z68" s="5"/>
      <c r="AA68" s="5"/>
      <c r="AB68" s="180"/>
      <c r="AC68" s="139"/>
      <c r="AD68" s="139"/>
      <c r="AE68" s="139"/>
      <c r="AF68" s="139"/>
      <c r="AG68" s="139"/>
      <c r="AH68" s="139"/>
      <c r="AI68" s="139"/>
      <c r="AJ68" s="139"/>
      <c r="AK68" s="153"/>
      <c r="BZ68" s="29"/>
      <c r="CA68" s="29" t="s">
        <v>32</v>
      </c>
      <c r="CK68" s="29"/>
      <c r="CL68" s="29" t="s">
        <v>32</v>
      </c>
    </row>
    <row r="69" spans="2:97" ht="14.5" x14ac:dyDescent="0.35">
      <c r="C69" s="49"/>
      <c r="D69" s="49"/>
      <c r="E69" s="49"/>
      <c r="F69" s="49"/>
      <c r="G69" s="49"/>
      <c r="H69" s="49"/>
      <c r="I69" s="49"/>
      <c r="J69" s="49"/>
      <c r="O69" s="274" t="s">
        <v>24</v>
      </c>
      <c r="P69" s="17"/>
      <c r="Q69" s="9"/>
      <c r="R69" s="9"/>
      <c r="S69" s="9"/>
      <c r="T69" s="9"/>
      <c r="U69" s="9"/>
      <c r="V69" s="9"/>
      <c r="W69" s="9"/>
      <c r="X69" s="9"/>
      <c r="Y69" s="9"/>
      <c r="Z69" s="5"/>
      <c r="AA69" s="5"/>
      <c r="AB69" s="180"/>
      <c r="AC69" s="139"/>
      <c r="AD69" s="139"/>
      <c r="AE69" s="139"/>
      <c r="AF69" s="139"/>
      <c r="AG69" s="139"/>
      <c r="AH69" s="139"/>
      <c r="AI69" s="139"/>
      <c r="AJ69" s="139"/>
      <c r="AK69" s="153"/>
      <c r="CA69" s="40" t="s">
        <v>33</v>
      </c>
      <c r="CB69" s="47">
        <v>849229853</v>
      </c>
      <c r="CC69" s="47">
        <v>1063566547</v>
      </c>
      <c r="CD69" s="47">
        <v>1372451320</v>
      </c>
      <c r="CE69" s="47">
        <v>1445914846</v>
      </c>
      <c r="CF69" s="47">
        <v>1156058653</v>
      </c>
      <c r="CG69" s="47">
        <v>900363528</v>
      </c>
      <c r="CH69" s="47">
        <v>837159184</v>
      </c>
      <c r="CL69" s="40" t="s">
        <v>33</v>
      </c>
      <c r="CM69" s="47">
        <v>616534565.60039997</v>
      </c>
      <c r="CN69" s="47">
        <v>621003419.78059995</v>
      </c>
      <c r="CO69" s="47">
        <v>656971283.38569999</v>
      </c>
      <c r="CP69" s="47">
        <v>646272651.48329997</v>
      </c>
      <c r="CQ69" s="47">
        <v>615981334.59430003</v>
      </c>
      <c r="CR69" s="47">
        <v>577077250.67460001</v>
      </c>
      <c r="CS69" s="47">
        <v>787949883.91209996</v>
      </c>
    </row>
    <row r="70" spans="2:97" ht="14.5" x14ac:dyDescent="0.35">
      <c r="B70" s="39" t="s">
        <v>39</v>
      </c>
      <c r="C70" s="49"/>
      <c r="D70" s="49"/>
      <c r="E70" s="49"/>
      <c r="F70" s="49"/>
      <c r="G70" s="49"/>
      <c r="H70" s="49"/>
      <c r="I70" s="49"/>
      <c r="J70" s="49"/>
      <c r="O70" s="274"/>
      <c r="P70" s="17" t="s">
        <v>28</v>
      </c>
      <c r="Q70" s="22">
        <v>4714.4220035550234</v>
      </c>
      <c r="R70" s="22">
        <v>4933.2233077077817</v>
      </c>
      <c r="S70" s="22">
        <v>4340.5509347173938</v>
      </c>
      <c r="T70" s="22">
        <v>11799.946486826884</v>
      </c>
      <c r="U70" s="22">
        <v>38257.943252341713</v>
      </c>
      <c r="V70" s="22">
        <v>40690.592006909494</v>
      </c>
      <c r="W70" s="22">
        <v>41885.585703975645</v>
      </c>
      <c r="X70" s="22">
        <v>26780.761635291285</v>
      </c>
      <c r="Y70" s="22">
        <v>10597.262650374174</v>
      </c>
      <c r="Z70" s="3"/>
      <c r="AA70" s="3"/>
      <c r="AB70" s="180"/>
      <c r="AC70" s="139"/>
      <c r="AD70" s="139"/>
      <c r="AE70" s="139"/>
      <c r="AF70" s="139"/>
      <c r="AG70" s="139"/>
      <c r="AH70" s="139"/>
      <c r="AI70" s="139"/>
      <c r="AJ70" s="139"/>
      <c r="AK70" s="154"/>
      <c r="CA70" s="40" t="s">
        <v>34</v>
      </c>
      <c r="CB70" s="47">
        <v>219607166</v>
      </c>
      <c r="CC70" s="47">
        <v>250466096</v>
      </c>
      <c r="CD70" s="47">
        <v>295383726</v>
      </c>
      <c r="CE70" s="47">
        <v>301077290</v>
      </c>
      <c r="CF70" s="47">
        <v>261058604</v>
      </c>
      <c r="CG70" s="47">
        <v>230949228</v>
      </c>
      <c r="CH70" s="47">
        <v>223998788</v>
      </c>
      <c r="CL70" s="40" t="s">
        <v>34</v>
      </c>
      <c r="CM70" s="47">
        <v>219607159</v>
      </c>
      <c r="CN70" s="47">
        <v>250528302</v>
      </c>
      <c r="CO70" s="47">
        <v>295412831</v>
      </c>
      <c r="CP70" s="47">
        <v>301068791</v>
      </c>
      <c r="CQ70" s="47">
        <v>261058604</v>
      </c>
      <c r="CR70" s="47">
        <v>230949228</v>
      </c>
      <c r="CS70" s="47">
        <v>223998788</v>
      </c>
    </row>
    <row r="71" spans="2:97" ht="14.5" x14ac:dyDescent="0.35">
      <c r="B71" s="42" t="s">
        <v>33</v>
      </c>
      <c r="C71" s="49">
        <v>0</v>
      </c>
      <c r="D71" s="49">
        <v>3542.7066619947968</v>
      </c>
      <c r="E71" s="49">
        <v>26593.748856903429</v>
      </c>
      <c r="F71" s="49">
        <v>243363.92907678595</v>
      </c>
      <c r="G71" s="49">
        <v>441129.8099540461</v>
      </c>
      <c r="H71" s="49">
        <v>537485.07750592032</v>
      </c>
      <c r="I71" s="49">
        <v>373819.34593685856</v>
      </c>
      <c r="J71" s="49">
        <v>137025.9400139912</v>
      </c>
      <c r="O71" s="274"/>
      <c r="P71" s="18" t="s">
        <v>26</v>
      </c>
      <c r="Q71" s="22">
        <v>10792.766596240668</v>
      </c>
      <c r="R71" s="22">
        <v>19312.38401960209</v>
      </c>
      <c r="S71" s="22">
        <v>21254.31297935671</v>
      </c>
      <c r="T71" s="22">
        <v>21637.663415217026</v>
      </c>
      <c r="U71" s="22">
        <v>16834.533975023267</v>
      </c>
      <c r="V71" s="22">
        <v>24355.538593432568</v>
      </c>
      <c r="W71" s="22">
        <v>25113.656296491379</v>
      </c>
      <c r="X71" s="22">
        <v>25507.793919774442</v>
      </c>
      <c r="Y71" s="22">
        <v>22463.576853042847</v>
      </c>
      <c r="Z71" s="5"/>
      <c r="AA71" s="5"/>
      <c r="AB71" s="180"/>
      <c r="AC71" s="139"/>
      <c r="AD71" s="139"/>
      <c r="AE71" s="139"/>
      <c r="AF71" s="139"/>
      <c r="AG71" s="139"/>
      <c r="AH71" s="139"/>
      <c r="AI71" s="139"/>
      <c r="AJ71" s="139"/>
      <c r="AK71" s="153"/>
      <c r="AL71" s="2"/>
      <c r="AM71" s="2"/>
      <c r="AN71" s="2"/>
      <c r="AO71" s="2"/>
      <c r="AP71" s="2"/>
      <c r="AQ71" s="2"/>
      <c r="CA71" s="40" t="s">
        <v>35</v>
      </c>
      <c r="CB71" s="47">
        <v>505304455</v>
      </c>
      <c r="CC71" s="47">
        <v>555282313.60000002</v>
      </c>
      <c r="CD71" s="47">
        <v>590675076</v>
      </c>
      <c r="CE71" s="47">
        <v>582248455</v>
      </c>
      <c r="CF71" s="47">
        <v>534070902</v>
      </c>
      <c r="CG71" s="47">
        <v>506459043</v>
      </c>
      <c r="CH71" s="47">
        <v>516003997</v>
      </c>
      <c r="CL71" s="40" t="s">
        <v>35</v>
      </c>
      <c r="CM71" s="47">
        <v>505304455</v>
      </c>
      <c r="CN71" s="47">
        <v>552284069</v>
      </c>
      <c r="CO71" s="47">
        <v>590858313</v>
      </c>
      <c r="CP71" s="47">
        <v>582248455</v>
      </c>
      <c r="CQ71" s="47">
        <v>534070902</v>
      </c>
      <c r="CR71" s="47">
        <v>506459043</v>
      </c>
      <c r="CS71" s="47">
        <v>516003997</v>
      </c>
    </row>
    <row r="72" spans="2:97" ht="14.5" x14ac:dyDescent="0.35">
      <c r="B72" s="42" t="s">
        <v>34</v>
      </c>
      <c r="C72" s="49">
        <v>0.34412602678174997</v>
      </c>
      <c r="D72" s="49">
        <v>593.85341007321881</v>
      </c>
      <c r="E72" s="49">
        <v>8368.5225960071712</v>
      </c>
      <c r="F72" s="49">
        <v>23641.814181406706</v>
      </c>
      <c r="G72" s="49">
        <v>47663.861231335664</v>
      </c>
      <c r="H72" s="49">
        <v>53281.675633138075</v>
      </c>
      <c r="I72" s="49">
        <v>71676.428272669378</v>
      </c>
      <c r="J72" s="49">
        <v>61749.996111268818</v>
      </c>
      <c r="O72" s="274"/>
      <c r="P72" s="18" t="s">
        <v>51</v>
      </c>
      <c r="Q72" s="22">
        <v>1504.68</v>
      </c>
      <c r="R72" s="22">
        <v>2591.88</v>
      </c>
      <c r="S72" s="22">
        <v>2838.35</v>
      </c>
      <c r="T72" s="22">
        <v>2881.77</v>
      </c>
      <c r="U72" s="22">
        <v>2250.5100000000002</v>
      </c>
      <c r="V72" s="22">
        <v>3239.4</v>
      </c>
      <c r="W72" s="22">
        <v>3336.64</v>
      </c>
      <c r="X72" s="22">
        <v>3384.12</v>
      </c>
      <c r="Y72" s="22">
        <v>2980.87</v>
      </c>
      <c r="Z72" s="5"/>
      <c r="AA72" s="5"/>
      <c r="AB72" s="180"/>
      <c r="AC72" s="139"/>
      <c r="AD72" s="139"/>
      <c r="AE72" s="139"/>
      <c r="AF72" s="139"/>
      <c r="AG72" s="139"/>
      <c r="AH72" s="139"/>
      <c r="AI72" s="139"/>
      <c r="AJ72" s="139"/>
      <c r="AK72" s="153"/>
      <c r="AL72" s="2"/>
      <c r="AM72" s="2"/>
      <c r="AN72" s="2"/>
      <c r="AO72" s="2"/>
      <c r="AP72" s="2"/>
      <c r="AQ72" s="2"/>
      <c r="CA72" s="40" t="s">
        <v>36</v>
      </c>
      <c r="CB72" s="47">
        <v>200697530</v>
      </c>
      <c r="CC72" s="47">
        <v>269908616.5</v>
      </c>
      <c r="CD72" s="47">
        <v>254759231</v>
      </c>
      <c r="CE72" s="47">
        <v>236605471</v>
      </c>
      <c r="CF72" s="47">
        <v>220600472</v>
      </c>
      <c r="CG72" s="47">
        <v>227017145</v>
      </c>
      <c r="CH72" s="47">
        <v>225997805</v>
      </c>
      <c r="CL72" s="40" t="s">
        <v>36</v>
      </c>
      <c r="CM72" s="47">
        <v>200697530</v>
      </c>
      <c r="CN72" s="47">
        <v>263803028</v>
      </c>
      <c r="CO72" s="47">
        <v>254759231</v>
      </c>
      <c r="CP72" s="47">
        <v>236605471</v>
      </c>
      <c r="CQ72" s="47">
        <v>220600472</v>
      </c>
      <c r="CR72" s="47">
        <v>227017145</v>
      </c>
      <c r="CS72" s="47">
        <v>225997805</v>
      </c>
    </row>
    <row r="73" spans="2:97" ht="14.5" x14ac:dyDescent="0.35">
      <c r="B73" s="42" t="s">
        <v>35</v>
      </c>
      <c r="C73" s="49">
        <v>0.38250960519337501</v>
      </c>
      <c r="D73" s="49">
        <v>592.84700439506275</v>
      </c>
      <c r="E73" s="49">
        <v>3788.6582603776305</v>
      </c>
      <c r="F73" s="49">
        <v>18535.810544392894</v>
      </c>
      <c r="G73" s="49">
        <v>43757.113824202133</v>
      </c>
      <c r="H73" s="49">
        <v>58774.468786924044</v>
      </c>
      <c r="I73" s="49">
        <v>83102.627859122615</v>
      </c>
      <c r="J73" s="49">
        <v>59438.654651636796</v>
      </c>
      <c r="O73" s="274"/>
      <c r="P73" s="18" t="s">
        <v>52</v>
      </c>
      <c r="Q73" s="9">
        <v>12297.446596240668</v>
      </c>
      <c r="R73" s="9">
        <v>21904.264019602091</v>
      </c>
      <c r="S73" s="9">
        <v>24092.662979356708</v>
      </c>
      <c r="T73" s="9">
        <v>24519.433415217027</v>
      </c>
      <c r="U73" s="9">
        <v>19085.043975023269</v>
      </c>
      <c r="V73" s="9">
        <v>27594.938593432569</v>
      </c>
      <c r="W73" s="9">
        <v>28450.296296491379</v>
      </c>
      <c r="X73" s="9">
        <v>28891.913919774441</v>
      </c>
      <c r="Y73" s="9">
        <v>25444.446853042846</v>
      </c>
      <c r="Z73" s="5"/>
      <c r="AA73" s="5"/>
      <c r="AB73" s="180"/>
      <c r="AC73" s="139"/>
      <c r="AD73" s="139"/>
      <c r="AE73" s="139"/>
      <c r="AF73" s="139"/>
      <c r="AG73" s="139"/>
      <c r="AH73" s="139"/>
      <c r="AI73" s="139"/>
      <c r="AJ73" s="139"/>
      <c r="AK73" s="153"/>
      <c r="AL73" s="2"/>
      <c r="AM73" s="2"/>
      <c r="AN73" s="2"/>
      <c r="AO73" s="2"/>
      <c r="AP73" s="2"/>
      <c r="AQ73" s="2"/>
      <c r="CA73" s="40" t="s">
        <v>37</v>
      </c>
      <c r="CB73" s="47">
        <v>69778498</v>
      </c>
      <c r="CC73" s="47">
        <v>120928612.40000001</v>
      </c>
      <c r="CD73" s="47">
        <v>91160220</v>
      </c>
      <c r="CE73" s="47">
        <v>84926008</v>
      </c>
      <c r="CF73" s="47">
        <v>81012090</v>
      </c>
      <c r="CG73" s="47">
        <v>85726323</v>
      </c>
      <c r="CH73" s="47">
        <v>71350428</v>
      </c>
      <c r="CL73" s="40" t="s">
        <v>37</v>
      </c>
      <c r="CM73" s="47">
        <v>69778498</v>
      </c>
      <c r="CN73" s="47">
        <v>110311543</v>
      </c>
      <c r="CO73" s="47">
        <v>91160220</v>
      </c>
      <c r="CP73" s="47">
        <v>84926008</v>
      </c>
      <c r="CQ73" s="47">
        <v>81012090</v>
      </c>
      <c r="CR73" s="47">
        <v>85726323</v>
      </c>
      <c r="CS73" s="47">
        <v>71350428</v>
      </c>
    </row>
    <row r="74" spans="2:97" ht="14.5" x14ac:dyDescent="0.35">
      <c r="B74" s="42" t="s">
        <v>35</v>
      </c>
      <c r="C74" s="49">
        <v>0</v>
      </c>
      <c r="D74" s="49">
        <v>10.498979963866001</v>
      </c>
      <c r="E74" s="49">
        <v>1076.2976856366847</v>
      </c>
      <c r="F74" s="49">
        <v>8208.8465748072213</v>
      </c>
      <c r="G74" s="49">
        <v>17844.087336984448</v>
      </c>
      <c r="H74" s="49">
        <v>19693.510444666666</v>
      </c>
      <c r="I74" s="49">
        <v>21979.473223835281</v>
      </c>
      <c r="J74" s="49">
        <v>14165.40710660777</v>
      </c>
      <c r="O74" s="274"/>
      <c r="P74" s="18" t="s">
        <v>13</v>
      </c>
      <c r="Q74" s="9">
        <v>-7583.0245926856451</v>
      </c>
      <c r="R74" s="9">
        <v>-16971.040711894311</v>
      </c>
      <c r="S74" s="9">
        <v>-19752.112044639314</v>
      </c>
      <c r="T74" s="9">
        <v>-12719.486928390143</v>
      </c>
      <c r="U74" s="9">
        <v>19172.899277318444</v>
      </c>
      <c r="V74" s="9">
        <v>13095.653413476924</v>
      </c>
      <c r="W74" s="9">
        <v>13435.289407484266</v>
      </c>
      <c r="X74" s="9">
        <v>-2111.1522844831561</v>
      </c>
      <c r="Y74" s="9">
        <v>-14847.184202668672</v>
      </c>
      <c r="Z74" s="113" t="s">
        <v>84</v>
      </c>
      <c r="AA74" s="113" t="s">
        <v>87</v>
      </c>
      <c r="AB74" s="180"/>
      <c r="AC74" s="139"/>
      <c r="AD74" s="139"/>
      <c r="AE74" s="139"/>
      <c r="AF74" s="139"/>
      <c r="AG74" s="139"/>
      <c r="AH74" s="139"/>
      <c r="AI74" s="139"/>
      <c r="AJ74" s="139"/>
      <c r="AK74" s="155"/>
      <c r="AL74" s="2"/>
      <c r="AM74" s="2"/>
      <c r="AN74" s="2"/>
      <c r="AO74" s="2"/>
      <c r="AP74" s="2"/>
      <c r="AQ74" s="2"/>
      <c r="BZ74" s="35"/>
      <c r="CA74" s="35" t="s">
        <v>31</v>
      </c>
      <c r="CB74" s="37">
        <v>1844617502</v>
      </c>
      <c r="CC74" s="37">
        <v>2260152185.5</v>
      </c>
      <c r="CD74" s="37">
        <v>2604429573</v>
      </c>
      <c r="CE74" s="37">
        <v>2650772070</v>
      </c>
      <c r="CF74" s="37">
        <v>2252800721</v>
      </c>
      <c r="CG74" s="37">
        <v>1950515267</v>
      </c>
      <c r="CH74" s="37">
        <v>1874510202</v>
      </c>
      <c r="CK74" s="35"/>
      <c r="CL74" s="35" t="s">
        <v>31</v>
      </c>
      <c r="CM74" s="37">
        <v>1611922207.6004</v>
      </c>
      <c r="CN74" s="37">
        <v>1797930361.7806001</v>
      </c>
      <c r="CO74" s="37">
        <v>1889161878.3857</v>
      </c>
      <c r="CP74" s="37">
        <v>1851121376.4833</v>
      </c>
      <c r="CQ74" s="37">
        <v>1712723402.5943</v>
      </c>
      <c r="CR74" s="37">
        <v>1627228989.6746001</v>
      </c>
      <c r="CS74" s="37">
        <v>1825300901.9120998</v>
      </c>
    </row>
    <row r="75" spans="2:97" ht="14.5" x14ac:dyDescent="0.35">
      <c r="B75" s="42" t="s">
        <v>35</v>
      </c>
      <c r="C75" s="49">
        <v>0</v>
      </c>
      <c r="D75" s="49">
        <v>0</v>
      </c>
      <c r="E75" s="49">
        <v>178.04544936482247</v>
      </c>
      <c r="F75" s="49">
        <v>661.15950808601849</v>
      </c>
      <c r="G75" s="49">
        <v>877.99265710747466</v>
      </c>
      <c r="H75" s="49">
        <v>909.22642550037904</v>
      </c>
      <c r="I75" s="49">
        <v>1261.0041997151543</v>
      </c>
      <c r="J75" s="49">
        <v>997.60306748635742</v>
      </c>
      <c r="O75" s="274"/>
      <c r="P75" s="19" t="s">
        <v>8</v>
      </c>
      <c r="Q75" s="9">
        <v>-63.9</v>
      </c>
      <c r="R75" s="9">
        <v>-89.64</v>
      </c>
      <c r="S75" s="9">
        <v>-57.84</v>
      </c>
      <c r="T75" s="9">
        <v>-9.02</v>
      </c>
      <c r="U75" s="9">
        <v>-6.54</v>
      </c>
      <c r="V75" s="9">
        <v>-7.44</v>
      </c>
      <c r="W75" s="9">
        <v>-3.34</v>
      </c>
      <c r="X75" s="9">
        <v>-2.9</v>
      </c>
      <c r="Y75" s="9">
        <v>-6.66</v>
      </c>
      <c r="Z75" s="114">
        <v>-258.16000000000003</v>
      </c>
      <c r="AA75" s="123">
        <v>10.880000000000024</v>
      </c>
      <c r="AB75" s="180"/>
      <c r="AC75" s="139"/>
      <c r="AD75" s="139"/>
      <c r="AE75" s="139"/>
      <c r="AF75" s="139"/>
      <c r="AG75" s="139"/>
      <c r="AH75" s="139"/>
      <c r="AI75" s="139"/>
      <c r="AJ75" s="139"/>
      <c r="AK75" s="156"/>
      <c r="AL75" s="2"/>
      <c r="AM75" s="2"/>
      <c r="AN75" s="2"/>
      <c r="AO75" s="2"/>
      <c r="AP75" s="2"/>
      <c r="AQ75" s="2"/>
    </row>
    <row r="76" spans="2:97" ht="14.5" x14ac:dyDescent="0.35">
      <c r="B76" s="42" t="s">
        <v>35</v>
      </c>
      <c r="C76" s="49">
        <v>0</v>
      </c>
      <c r="D76" s="49">
        <v>0</v>
      </c>
      <c r="E76" s="49">
        <v>0</v>
      </c>
      <c r="F76" s="49">
        <v>0</v>
      </c>
      <c r="G76" s="49">
        <v>0</v>
      </c>
      <c r="H76" s="49">
        <v>1252.115980693439</v>
      </c>
      <c r="I76" s="49">
        <v>2448.7910418683878</v>
      </c>
      <c r="J76" s="49">
        <v>1841.3720541763271</v>
      </c>
      <c r="O76" s="274"/>
      <c r="P76" s="18" t="s">
        <v>14</v>
      </c>
      <c r="Q76" s="9">
        <v>-7646.9245926856447</v>
      </c>
      <c r="R76" s="9">
        <v>-17060.680711894311</v>
      </c>
      <c r="S76" s="9">
        <v>-19809.952044639314</v>
      </c>
      <c r="T76" s="9">
        <v>-12728.506928390143</v>
      </c>
      <c r="U76" s="9">
        <v>19166.359277318443</v>
      </c>
      <c r="V76" s="9">
        <v>13088.213413476924</v>
      </c>
      <c r="W76" s="9">
        <v>13431.949407484266</v>
      </c>
      <c r="X76" s="9">
        <v>-2114.0522844831562</v>
      </c>
      <c r="Y76" s="9">
        <v>-14853.844202668672</v>
      </c>
      <c r="Z76" s="5"/>
      <c r="AA76" s="5"/>
      <c r="AB76" s="180"/>
      <c r="AC76" s="139"/>
      <c r="AD76" s="139"/>
      <c r="AE76" s="139"/>
      <c r="AF76" s="139"/>
      <c r="AG76" s="139"/>
      <c r="AH76" s="139"/>
      <c r="AI76" s="139"/>
      <c r="AJ76" s="139"/>
      <c r="AK76" s="153"/>
      <c r="AL76" s="2"/>
      <c r="AM76" s="2"/>
      <c r="AN76" s="2"/>
      <c r="AO76" s="2"/>
      <c r="AP76" s="2"/>
      <c r="AQ76" s="2"/>
    </row>
    <row r="77" spans="2:97" ht="14.5" x14ac:dyDescent="0.35">
      <c r="B77" s="38" t="s">
        <v>31</v>
      </c>
      <c r="C77" s="48">
        <f>SUM(C71:C76)</f>
        <v>0.72663563197512504</v>
      </c>
      <c r="D77" s="48">
        <f t="shared" ref="D77:J77" si="45">SUM(D71:D76)</f>
        <v>4739.9060564269448</v>
      </c>
      <c r="E77" s="48">
        <f t="shared" si="45"/>
        <v>40005.272848289744</v>
      </c>
      <c r="F77" s="48">
        <f t="shared" si="45"/>
        <v>294411.55988547887</v>
      </c>
      <c r="G77" s="48">
        <f t="shared" si="45"/>
        <v>551272.8650036758</v>
      </c>
      <c r="H77" s="48">
        <f t="shared" si="45"/>
        <v>671396.07477684284</v>
      </c>
      <c r="I77" s="48">
        <f t="shared" si="45"/>
        <v>554287.6705340693</v>
      </c>
      <c r="J77" s="48">
        <f t="shared" si="45"/>
        <v>275218.97300516727</v>
      </c>
      <c r="O77" s="274"/>
      <c r="P77" s="20" t="s">
        <v>19</v>
      </c>
      <c r="Q77" s="9">
        <v>-42579.034760106762</v>
      </c>
      <c r="R77" s="9">
        <v>-57047.835472001068</v>
      </c>
      <c r="S77" s="9">
        <v>-74019.437516640377</v>
      </c>
      <c r="T77" s="9">
        <v>-83866.174445030512</v>
      </c>
      <c r="U77" s="9">
        <v>-62449.305167712067</v>
      </c>
      <c r="V77" s="9">
        <v>-46121.691754235144</v>
      </c>
      <c r="W77" s="9">
        <v>-29353.102346750878</v>
      </c>
      <c r="X77" s="9">
        <v>-28083.034631234033</v>
      </c>
      <c r="Y77" s="9">
        <v>-39956.008833902706</v>
      </c>
      <c r="Z77" s="5"/>
      <c r="AA77" s="5"/>
      <c r="AB77" s="180"/>
      <c r="AC77" s="139"/>
      <c r="AD77" s="139"/>
      <c r="AE77" s="139"/>
      <c r="AF77" s="139"/>
      <c r="AG77" s="139"/>
      <c r="AH77" s="139"/>
      <c r="AI77" s="139"/>
      <c r="AJ77" s="139"/>
      <c r="AK77" s="153"/>
      <c r="AL77" s="2"/>
      <c r="AM77" s="2"/>
      <c r="AN77" s="2"/>
      <c r="AO77" s="2"/>
      <c r="AP77" s="2"/>
      <c r="AQ77" s="2"/>
    </row>
    <row r="78" spans="2:97" ht="14.5" x14ac:dyDescent="0.35">
      <c r="B78" s="38"/>
      <c r="O78" s="44"/>
      <c r="P78" s="13"/>
      <c r="Q78" s="167"/>
      <c r="R78" s="167"/>
      <c r="S78" s="167"/>
      <c r="T78" s="167"/>
      <c r="U78" s="167"/>
      <c r="V78" s="167"/>
      <c r="W78" s="167"/>
      <c r="X78" s="167"/>
      <c r="Y78" s="167"/>
      <c r="Z78" s="5"/>
      <c r="AA78" s="5"/>
      <c r="AB78" s="180"/>
      <c r="AC78" s="139"/>
      <c r="AD78" s="139"/>
      <c r="AE78" s="139"/>
      <c r="AF78" s="139"/>
      <c r="AG78" s="139"/>
      <c r="AH78" s="139"/>
      <c r="AI78" s="139"/>
      <c r="AJ78" s="139"/>
      <c r="AK78" s="153"/>
      <c r="AL78" s="2"/>
      <c r="AM78" s="2"/>
      <c r="AN78" s="2"/>
      <c r="AO78" s="2"/>
      <c r="AP78" s="2"/>
      <c r="AQ78" s="2"/>
    </row>
    <row r="79" spans="2:97" ht="14.5" x14ac:dyDescent="0.35">
      <c r="B79" s="29" t="s">
        <v>32</v>
      </c>
      <c r="O79" s="166"/>
      <c r="P79" s="159"/>
      <c r="Q79" s="31"/>
      <c r="R79" s="31"/>
      <c r="S79" s="31"/>
      <c r="T79" s="31"/>
      <c r="U79" s="31"/>
      <c r="V79" s="117"/>
      <c r="W79" s="31"/>
      <c r="X79" s="31"/>
      <c r="Y79" s="31"/>
      <c r="Z79" s="139"/>
      <c r="AA79" s="31"/>
      <c r="AB79" s="178"/>
      <c r="AC79" s="31"/>
      <c r="AD79" s="31"/>
      <c r="AE79" s="31"/>
      <c r="AF79" s="31"/>
      <c r="AG79" s="31"/>
      <c r="AH79" s="31"/>
      <c r="AI79" s="31"/>
      <c r="AJ79" s="31"/>
      <c r="AK79" s="149"/>
      <c r="AL79" s="149"/>
      <c r="AM79" s="149"/>
      <c r="AN79" s="149"/>
      <c r="AO79" s="149"/>
      <c r="AP79" s="149"/>
      <c r="AQ79" s="149"/>
      <c r="AR79" s="149"/>
    </row>
    <row r="80" spans="2:97" ht="14.5" x14ac:dyDescent="0.35">
      <c r="B80" s="40" t="s">
        <v>33</v>
      </c>
      <c r="C80" s="47">
        <v>1268128455</v>
      </c>
      <c r="D80" s="47">
        <v>872933544</v>
      </c>
      <c r="E80" s="47">
        <v>738196558</v>
      </c>
      <c r="F80" s="47">
        <v>978975302</v>
      </c>
      <c r="G80" s="47">
        <v>1243909773</v>
      </c>
      <c r="H80" s="47">
        <v>1310015315</v>
      </c>
      <c r="I80" s="47">
        <v>1208033233</v>
      </c>
      <c r="J80" s="120">
        <v>993546162</v>
      </c>
      <c r="O80" s="166"/>
      <c r="P80" s="159"/>
      <c r="Q80" s="139"/>
      <c r="R80" s="139"/>
      <c r="S80" s="139"/>
      <c r="T80" s="139"/>
      <c r="U80" s="139"/>
      <c r="V80" s="139"/>
      <c r="W80" s="150"/>
      <c r="X80" s="139"/>
      <c r="Y80" s="139"/>
      <c r="Z80" s="150"/>
      <c r="AA80" s="139"/>
      <c r="AB80" s="180"/>
      <c r="AC80" s="139"/>
      <c r="AD80" s="139"/>
      <c r="AE80" s="139"/>
      <c r="AF80" s="139"/>
      <c r="AG80" s="139"/>
      <c r="AH80" s="139"/>
      <c r="AI80" s="139"/>
      <c r="AJ80" s="139"/>
      <c r="AK80" s="151"/>
      <c r="AL80" s="149"/>
      <c r="AM80" s="149"/>
      <c r="AN80" s="149"/>
      <c r="AO80" s="149"/>
      <c r="AP80" s="149"/>
      <c r="AQ80" s="149"/>
      <c r="AR80" s="149"/>
    </row>
    <row r="81" spans="2:77" ht="14.5" x14ac:dyDescent="0.35">
      <c r="B81" s="40" t="s">
        <v>34</v>
      </c>
      <c r="C81" s="47">
        <v>290178959</v>
      </c>
      <c r="D81" s="47">
        <v>235096003</v>
      </c>
      <c r="E81" s="47">
        <v>221772499</v>
      </c>
      <c r="F81" s="47">
        <v>258735845</v>
      </c>
      <c r="G81" s="47">
        <v>295975497</v>
      </c>
      <c r="H81" s="47">
        <v>304175879</v>
      </c>
      <c r="I81" s="47">
        <v>293549572</v>
      </c>
      <c r="J81" s="120">
        <v>264736629</v>
      </c>
      <c r="O81" s="166"/>
      <c r="P81" s="159"/>
      <c r="Q81" s="139"/>
      <c r="R81" s="139"/>
      <c r="S81" s="139"/>
      <c r="T81" s="139"/>
      <c r="U81" s="139"/>
      <c r="V81" s="139"/>
      <c r="W81" s="139"/>
      <c r="X81" s="139"/>
      <c r="Y81" s="139"/>
      <c r="Z81" s="139"/>
      <c r="AA81" s="139"/>
      <c r="AB81" s="180"/>
      <c r="AC81" s="139"/>
      <c r="AD81" s="139"/>
      <c r="AE81" s="139"/>
      <c r="AF81" s="139"/>
      <c r="AG81" s="139"/>
      <c r="AH81" s="139"/>
      <c r="AI81" s="139"/>
      <c r="AJ81" s="139"/>
      <c r="AK81" s="151"/>
      <c r="AL81" s="149"/>
      <c r="AM81" s="149"/>
      <c r="AN81" s="149"/>
      <c r="AO81" s="149"/>
      <c r="AP81" s="149"/>
      <c r="AQ81" s="149"/>
      <c r="AR81" s="149"/>
    </row>
    <row r="82" spans="2:77" ht="14.5" x14ac:dyDescent="0.35">
      <c r="B82" s="40" t="s">
        <v>35</v>
      </c>
      <c r="C82" s="47">
        <v>599641261</v>
      </c>
      <c r="D82" s="47">
        <v>546450417</v>
      </c>
      <c r="E82" s="47">
        <v>548775486</v>
      </c>
      <c r="F82" s="47">
        <v>609609142</v>
      </c>
      <c r="G82" s="47">
        <v>656813642</v>
      </c>
      <c r="H82" s="47">
        <v>671886437</v>
      </c>
      <c r="I82" s="47">
        <v>678219627</v>
      </c>
      <c r="J82" s="120">
        <v>622550219</v>
      </c>
      <c r="O82" s="101"/>
      <c r="P82" s="160"/>
      <c r="Q82" s="139"/>
      <c r="R82" s="139"/>
      <c r="S82" s="139"/>
      <c r="T82" s="139"/>
      <c r="U82" s="139"/>
      <c r="V82" s="139"/>
      <c r="W82" s="139"/>
      <c r="X82" s="139"/>
      <c r="Y82" s="139"/>
      <c r="Z82" s="139"/>
      <c r="AA82" s="139"/>
      <c r="AB82" s="180"/>
      <c r="AC82" s="139"/>
      <c r="AD82" s="139"/>
      <c r="AE82" s="139"/>
      <c r="AF82" s="139"/>
      <c r="AG82" s="139"/>
      <c r="AH82" s="139"/>
      <c r="AI82" s="139"/>
      <c r="AJ82" s="139"/>
      <c r="AK82" s="151"/>
      <c r="AL82" s="149"/>
      <c r="AM82" s="149"/>
      <c r="AN82" s="149"/>
      <c r="AO82" s="149"/>
      <c r="AP82" s="149"/>
      <c r="AQ82" s="149"/>
      <c r="AR82" s="149"/>
    </row>
    <row r="83" spans="2:77" ht="14.5" x14ac:dyDescent="0.35">
      <c r="B83" s="40" t="s">
        <v>36</v>
      </c>
      <c r="C83" s="47">
        <v>242499726</v>
      </c>
      <c r="D83" s="47">
        <v>232539680</v>
      </c>
      <c r="E83" s="47">
        <v>229224298</v>
      </c>
      <c r="F83" s="47">
        <v>266349220</v>
      </c>
      <c r="G83" s="47">
        <v>267674678</v>
      </c>
      <c r="H83" s="47">
        <v>281003685</v>
      </c>
      <c r="I83" s="47">
        <v>279302255</v>
      </c>
      <c r="J83" s="120">
        <v>258807768</v>
      </c>
      <c r="O83" s="166"/>
      <c r="P83" s="160"/>
      <c r="Q83" s="139"/>
      <c r="R83" s="139"/>
      <c r="S83" s="139"/>
      <c r="T83" s="139"/>
      <c r="U83" s="139"/>
      <c r="V83" s="139"/>
      <c r="W83" s="139"/>
      <c r="X83" s="139"/>
      <c r="Y83" s="139"/>
      <c r="Z83" s="139"/>
      <c r="AA83" s="139"/>
      <c r="AB83" s="180"/>
      <c r="AC83" s="139"/>
      <c r="AD83" s="139"/>
      <c r="AE83" s="139"/>
      <c r="AF83" s="139"/>
      <c r="AG83" s="139"/>
      <c r="AH83" s="139"/>
      <c r="AI83" s="139"/>
      <c r="AJ83" s="139"/>
      <c r="AK83" s="151"/>
      <c r="AL83" s="149"/>
      <c r="AM83" s="149"/>
      <c r="AN83" s="149"/>
      <c r="AO83" s="149"/>
      <c r="AP83" s="149"/>
      <c r="AQ83" s="149"/>
      <c r="AR83" s="149"/>
    </row>
    <row r="84" spans="2:77" ht="14.5" x14ac:dyDescent="0.35">
      <c r="B84" s="40" t="s">
        <v>37</v>
      </c>
      <c r="C84" s="47">
        <v>99309923</v>
      </c>
      <c r="D84" s="47">
        <v>98876748</v>
      </c>
      <c r="E84" s="47">
        <v>96480454</v>
      </c>
      <c r="F84" s="47">
        <v>121526151</v>
      </c>
      <c r="G84" s="47">
        <v>113123855</v>
      </c>
      <c r="H84" s="47">
        <v>125262874</v>
      </c>
      <c r="I84" s="47">
        <v>126945040</v>
      </c>
      <c r="J84" s="120">
        <v>119752379</v>
      </c>
      <c r="O84" s="166"/>
      <c r="P84" s="159"/>
      <c r="Q84" s="139"/>
      <c r="R84" s="139"/>
      <c r="S84" s="139"/>
      <c r="T84" s="139"/>
      <c r="U84" s="139"/>
      <c r="V84" s="139"/>
      <c r="W84" s="139"/>
      <c r="X84" s="139"/>
      <c r="Y84" s="139"/>
      <c r="Z84" s="139"/>
      <c r="AA84" s="139"/>
      <c r="AB84" s="180"/>
      <c r="AC84" s="139"/>
      <c r="AD84" s="139"/>
      <c r="AE84" s="139"/>
      <c r="AF84" s="139"/>
      <c r="AG84" s="139"/>
      <c r="AH84" s="139"/>
      <c r="AI84" s="139"/>
      <c r="AJ84" s="139"/>
      <c r="AK84" s="151"/>
      <c r="AL84" s="149"/>
      <c r="AM84" s="149"/>
      <c r="AN84" s="149"/>
      <c r="AO84" s="149"/>
      <c r="AP84" s="149"/>
      <c r="AQ84" s="149"/>
      <c r="AR84" s="149"/>
    </row>
    <row r="85" spans="2:77" s="1" customFormat="1" ht="14.5" x14ac:dyDescent="0.35">
      <c r="B85" s="35" t="s">
        <v>31</v>
      </c>
      <c r="C85" s="37">
        <f>SUM(C80:C84)</f>
        <v>2499758324</v>
      </c>
      <c r="D85" s="37">
        <f t="shared" ref="D85:J85" si="46">SUM(D80:D84)</f>
        <v>1985896392</v>
      </c>
      <c r="E85" s="37">
        <f t="shared" si="46"/>
        <v>1834449295</v>
      </c>
      <c r="F85" s="37">
        <f t="shared" si="46"/>
        <v>2235195660</v>
      </c>
      <c r="G85" s="37">
        <f t="shared" si="46"/>
        <v>2577497445</v>
      </c>
      <c r="H85" s="37">
        <f t="shared" si="46"/>
        <v>2692344190</v>
      </c>
      <c r="I85" s="37">
        <f t="shared" si="46"/>
        <v>2586049727</v>
      </c>
      <c r="J85" s="37">
        <f t="shared" si="46"/>
        <v>2259393157</v>
      </c>
      <c r="K85" s="40"/>
      <c r="L85" s="40"/>
      <c r="M85" s="170"/>
      <c r="N85" s="170"/>
      <c r="O85" s="212"/>
      <c r="P85" s="102"/>
      <c r="Q85" s="139"/>
      <c r="R85" s="139"/>
      <c r="S85" s="139"/>
      <c r="T85" s="139"/>
      <c r="U85" s="139"/>
      <c r="V85" s="139"/>
      <c r="W85" s="139"/>
      <c r="X85" s="139"/>
      <c r="Y85" s="139"/>
      <c r="Z85" s="139"/>
      <c r="AA85" s="139"/>
      <c r="AB85" s="180"/>
      <c r="AC85" s="139"/>
      <c r="AD85" s="139"/>
      <c r="AE85" s="139"/>
      <c r="AF85" s="139"/>
      <c r="AG85" s="139"/>
      <c r="AH85" s="139"/>
      <c r="AI85" s="139"/>
      <c r="AJ85" s="139"/>
      <c r="AK85" s="151"/>
      <c r="AL85" s="158"/>
      <c r="AM85" s="158"/>
      <c r="AN85" s="158"/>
      <c r="AO85" s="158"/>
      <c r="AP85" s="158"/>
      <c r="AQ85" s="158"/>
      <c r="AR85" s="158"/>
      <c r="BF85" s="214"/>
      <c r="BY85" s="214"/>
    </row>
    <row r="86" spans="2:77" s="1" customFormat="1" ht="14.5" x14ac:dyDescent="0.35">
      <c r="B86" s="40"/>
      <c r="C86" s="40"/>
      <c r="D86" s="40"/>
      <c r="E86" s="40"/>
      <c r="F86" s="40"/>
      <c r="G86" s="40"/>
      <c r="H86" s="40"/>
      <c r="I86" s="40"/>
      <c r="J86" s="40"/>
      <c r="K86" s="40"/>
      <c r="L86" s="40"/>
      <c r="M86" s="170"/>
      <c r="N86" s="170"/>
      <c r="O86" s="168"/>
      <c r="P86" s="102"/>
      <c r="Q86" s="139"/>
      <c r="R86" s="139"/>
      <c r="S86" s="139"/>
      <c r="T86" s="139"/>
      <c r="U86" s="139"/>
      <c r="V86" s="139"/>
      <c r="W86" s="139"/>
      <c r="X86" s="139"/>
      <c r="Y86" s="139"/>
      <c r="Z86" s="139"/>
      <c r="AA86" s="139"/>
      <c r="AB86" s="180"/>
      <c r="AC86" s="139"/>
      <c r="AD86" s="139"/>
      <c r="AE86" s="139"/>
      <c r="AF86" s="139"/>
      <c r="AG86" s="139"/>
      <c r="AH86" s="139"/>
      <c r="AI86" s="139"/>
      <c r="AJ86" s="139"/>
      <c r="AK86" s="153"/>
      <c r="AL86" s="158"/>
      <c r="AM86" s="158"/>
      <c r="AN86" s="158"/>
      <c r="AO86" s="158"/>
      <c r="AP86" s="158"/>
      <c r="AQ86" s="158"/>
      <c r="AR86" s="158"/>
      <c r="BF86" s="214"/>
      <c r="BY86" s="214"/>
    </row>
    <row r="87" spans="2:77" s="1" customFormat="1" ht="14.5" x14ac:dyDescent="0.35">
      <c r="B87" s="29" t="s">
        <v>40</v>
      </c>
      <c r="C87" s="40"/>
      <c r="D87" s="40"/>
      <c r="E87" s="40"/>
      <c r="F87" s="40"/>
      <c r="G87" s="40"/>
      <c r="H87" s="40"/>
      <c r="I87" s="40"/>
      <c r="J87" s="40"/>
      <c r="K87" s="40"/>
      <c r="L87" s="40"/>
      <c r="M87" s="170"/>
      <c r="N87" s="170"/>
      <c r="O87" s="168"/>
      <c r="P87" s="159"/>
      <c r="Q87" s="31"/>
      <c r="R87" s="31"/>
      <c r="S87" s="31"/>
      <c r="T87" s="139"/>
      <c r="U87" s="139"/>
      <c r="V87" s="139"/>
      <c r="W87" s="139"/>
      <c r="X87" s="139"/>
      <c r="Y87" s="139"/>
      <c r="Z87" s="139"/>
      <c r="AA87" s="139"/>
      <c r="AB87" s="180"/>
      <c r="AC87" s="139"/>
      <c r="AD87" s="139"/>
      <c r="AE87" s="139"/>
      <c r="AF87" s="139"/>
      <c r="AG87" s="139"/>
      <c r="AH87" s="157"/>
      <c r="AI87" s="139"/>
      <c r="AJ87" s="139"/>
      <c r="AK87" s="153"/>
      <c r="AL87" s="158"/>
      <c r="AM87" s="158"/>
      <c r="AN87" s="158"/>
      <c r="AO87" s="158"/>
      <c r="AP87" s="158"/>
      <c r="AQ87" s="158"/>
      <c r="AR87" s="158"/>
      <c r="BF87" s="214"/>
      <c r="BY87" s="214"/>
    </row>
    <row r="88" spans="2:77" s="1" customFormat="1" ht="14.5" x14ac:dyDescent="0.35">
      <c r="B88" s="40" t="s">
        <v>33</v>
      </c>
      <c r="C88" s="49">
        <f t="shared" ref="C88:J88" si="47">C71+(C$76*(C80/C$85))</f>
        <v>0</v>
      </c>
      <c r="D88" s="49">
        <f t="shared" si="47"/>
        <v>3542.7066619947968</v>
      </c>
      <c r="E88" s="49">
        <f t="shared" si="47"/>
        <v>26593.748856903429</v>
      </c>
      <c r="F88" s="49">
        <f t="shared" si="47"/>
        <v>243363.92907678595</v>
      </c>
      <c r="G88" s="49">
        <f t="shared" si="47"/>
        <v>441129.8099540461</v>
      </c>
      <c r="H88" s="49">
        <f t="shared" si="47"/>
        <v>538094.32023088727</v>
      </c>
      <c r="I88" s="49">
        <f t="shared" si="47"/>
        <v>374963.26089269412</v>
      </c>
      <c r="J88" s="49">
        <f t="shared" si="47"/>
        <v>137835.66546242539</v>
      </c>
      <c r="K88" s="40"/>
      <c r="L88" s="40"/>
      <c r="M88" s="170"/>
      <c r="N88" s="170"/>
      <c r="O88" s="166"/>
      <c r="P88" s="159"/>
      <c r="Q88" s="150"/>
      <c r="R88" s="150"/>
      <c r="S88" s="150"/>
      <c r="T88" s="150"/>
      <c r="U88" s="150"/>
      <c r="V88" s="150"/>
      <c r="W88" s="150"/>
      <c r="X88" s="150"/>
      <c r="Y88" s="150"/>
      <c r="Z88" s="150"/>
      <c r="AA88" s="150"/>
      <c r="AB88" s="179"/>
      <c r="AC88" s="150"/>
      <c r="AD88" s="150"/>
      <c r="AE88" s="150"/>
      <c r="AF88" s="150"/>
      <c r="AG88" s="150"/>
      <c r="AH88" s="150"/>
      <c r="AI88" s="150"/>
      <c r="AJ88" s="150"/>
      <c r="AK88" s="149"/>
      <c r="AL88" s="158"/>
      <c r="AM88" s="158"/>
      <c r="AN88" s="158"/>
      <c r="AO88" s="158"/>
      <c r="AP88" s="158"/>
      <c r="AQ88" s="158"/>
      <c r="AR88" s="158"/>
      <c r="BF88" s="214"/>
      <c r="BY88" s="214"/>
    </row>
    <row r="89" spans="2:77" s="1" customFormat="1" ht="14.5" x14ac:dyDescent="0.35">
      <c r="B89" s="40" t="s">
        <v>34</v>
      </c>
      <c r="C89" s="49">
        <f t="shared" ref="C89:J92" si="48">C72+(C$76*(C81/C$85))</f>
        <v>0.34412602678174997</v>
      </c>
      <c r="D89" s="49">
        <f t="shared" si="48"/>
        <v>593.85341007321881</v>
      </c>
      <c r="E89" s="49">
        <f t="shared" si="48"/>
        <v>8368.5225960071712</v>
      </c>
      <c r="F89" s="49">
        <f t="shared" si="48"/>
        <v>23641.814181406706</v>
      </c>
      <c r="G89" s="49">
        <f t="shared" si="48"/>
        <v>47663.861231335664</v>
      </c>
      <c r="H89" s="49">
        <f t="shared" si="48"/>
        <v>53423.137293371561</v>
      </c>
      <c r="I89" s="49">
        <f t="shared" si="48"/>
        <v>71954.397236201956</v>
      </c>
      <c r="J89" s="49">
        <f t="shared" si="48"/>
        <v>61965.752554031846</v>
      </c>
      <c r="K89" s="40"/>
      <c r="L89" s="40"/>
      <c r="M89" s="170"/>
      <c r="N89" s="170"/>
      <c r="O89" s="166"/>
      <c r="P89" s="159"/>
      <c r="Q89" s="139"/>
      <c r="R89" s="139"/>
      <c r="S89" s="139"/>
      <c r="T89" s="139"/>
      <c r="U89" s="139"/>
      <c r="V89" s="139"/>
      <c r="W89" s="139"/>
      <c r="X89" s="139"/>
      <c r="Y89" s="139"/>
      <c r="Z89" s="139"/>
      <c r="AA89" s="139"/>
      <c r="AB89" s="180"/>
      <c r="AC89" s="139"/>
      <c r="AD89" s="139"/>
      <c r="AE89" s="139"/>
      <c r="AF89" s="139"/>
      <c r="AG89" s="139"/>
      <c r="AH89" s="139"/>
      <c r="AI89" s="139"/>
      <c r="AJ89" s="139"/>
      <c r="AK89" s="149"/>
      <c r="AL89" s="158"/>
      <c r="AM89" s="158"/>
      <c r="AN89" s="158"/>
      <c r="AO89" s="158"/>
      <c r="AP89" s="158"/>
      <c r="AQ89" s="158"/>
      <c r="AR89" s="158"/>
      <c r="BF89" s="214"/>
      <c r="BY89" s="214"/>
    </row>
    <row r="90" spans="2:77" s="1" customFormat="1" ht="14.5" x14ac:dyDescent="0.35">
      <c r="B90" s="40" t="s">
        <v>35</v>
      </c>
      <c r="C90" s="49">
        <f>C73+(C$76*(C82/C$85))</f>
        <v>0.38250960519337501</v>
      </c>
      <c r="D90" s="49">
        <f t="shared" si="48"/>
        <v>592.84700439506275</v>
      </c>
      <c r="E90" s="49">
        <f t="shared" si="48"/>
        <v>3788.6582603776305</v>
      </c>
      <c r="F90" s="49">
        <f t="shared" si="48"/>
        <v>18535.810544392894</v>
      </c>
      <c r="G90" s="49">
        <f>G73+(G$76*(G82/G$85))</f>
        <v>43757.113824202133</v>
      </c>
      <c r="H90" s="49">
        <f t="shared" si="48"/>
        <v>59086.939884825857</v>
      </c>
      <c r="I90" s="49">
        <f t="shared" si="48"/>
        <v>83744.849905232913</v>
      </c>
      <c r="J90" s="49">
        <f t="shared" si="48"/>
        <v>59946.023885732408</v>
      </c>
      <c r="K90" s="40"/>
      <c r="L90" s="40"/>
      <c r="M90" s="170"/>
      <c r="N90" s="170"/>
      <c r="O90" s="166"/>
      <c r="P90" s="159"/>
      <c r="Q90" s="139"/>
      <c r="R90" s="139"/>
      <c r="S90" s="139"/>
      <c r="T90" s="139"/>
      <c r="U90" s="139"/>
      <c r="V90" s="139"/>
      <c r="W90" s="139"/>
      <c r="X90" s="139"/>
      <c r="Y90" s="139"/>
      <c r="Z90" s="139"/>
      <c r="AA90" s="139"/>
      <c r="AB90" s="180"/>
      <c r="AC90" s="139"/>
      <c r="AD90" s="139"/>
      <c r="AE90" s="139"/>
      <c r="AF90" s="139"/>
      <c r="AG90" s="139"/>
      <c r="AH90" s="139"/>
      <c r="AI90" s="139"/>
      <c r="AJ90" s="139"/>
      <c r="AK90" s="149"/>
      <c r="AL90" s="158"/>
      <c r="AM90" s="158"/>
      <c r="AN90" s="158"/>
      <c r="AO90" s="158"/>
      <c r="AP90" s="158"/>
      <c r="AQ90" s="158"/>
      <c r="AR90" s="158"/>
      <c r="BF90" s="214"/>
      <c r="BY90" s="214"/>
    </row>
    <row r="91" spans="2:77" s="1" customFormat="1" ht="14.5" x14ac:dyDescent="0.35">
      <c r="B91" s="40" t="s">
        <v>36</v>
      </c>
      <c r="C91" s="49">
        <f t="shared" si="48"/>
        <v>0</v>
      </c>
      <c r="D91" s="49">
        <f t="shared" si="48"/>
        <v>10.498979963866001</v>
      </c>
      <c r="E91" s="49">
        <f t="shared" si="48"/>
        <v>1076.2976856366847</v>
      </c>
      <c r="F91" s="49">
        <f t="shared" si="48"/>
        <v>8208.8465748072213</v>
      </c>
      <c r="G91" s="49">
        <f t="shared" si="48"/>
        <v>17844.087336984448</v>
      </c>
      <c r="H91" s="49">
        <f t="shared" si="48"/>
        <v>19824.195520493558</v>
      </c>
      <c r="I91" s="49">
        <f t="shared" si="48"/>
        <v>22243.951069283008</v>
      </c>
      <c r="J91" s="49">
        <f t="shared" si="48"/>
        <v>14376.331615218623</v>
      </c>
      <c r="K91" s="40"/>
      <c r="L91" s="40"/>
      <c r="M91" s="170"/>
      <c r="N91" s="170"/>
      <c r="O91" s="166"/>
      <c r="P91" s="160"/>
      <c r="Q91" s="175"/>
      <c r="R91" s="175"/>
      <c r="S91" s="175"/>
      <c r="T91" s="210"/>
      <c r="U91" s="211"/>
      <c r="V91" s="169"/>
      <c r="W91" s="152"/>
      <c r="X91" s="152"/>
      <c r="Y91" s="152"/>
      <c r="Z91" s="152"/>
      <c r="AA91" s="152"/>
      <c r="AB91" s="181"/>
      <c r="AC91" s="152"/>
      <c r="AD91" s="152"/>
      <c r="AE91" s="152"/>
      <c r="AF91" s="152"/>
      <c r="AG91" s="152"/>
      <c r="AH91" s="152"/>
      <c r="AI91" s="152"/>
      <c r="AJ91" s="152"/>
      <c r="AK91" s="149"/>
      <c r="AL91" s="158"/>
      <c r="AM91" s="158"/>
      <c r="AN91" s="158"/>
      <c r="AO91" s="158"/>
      <c r="AP91" s="158"/>
      <c r="AQ91" s="158"/>
      <c r="AR91" s="158"/>
      <c r="BF91" s="214"/>
      <c r="BY91" s="214"/>
    </row>
    <row r="92" spans="2:77" s="1" customFormat="1" ht="14.5" x14ac:dyDescent="0.35">
      <c r="B92" s="40" t="s">
        <v>37</v>
      </c>
      <c r="C92" s="49">
        <f t="shared" si="48"/>
        <v>0</v>
      </c>
      <c r="D92" s="49">
        <f t="shared" si="48"/>
        <v>0</v>
      </c>
      <c r="E92" s="49">
        <f t="shared" si="48"/>
        <v>178.04544936482247</v>
      </c>
      <c r="F92" s="49">
        <f t="shared" si="48"/>
        <v>661.15950808601849</v>
      </c>
      <c r="G92" s="49">
        <f t="shared" si="48"/>
        <v>877.99265710747466</v>
      </c>
      <c r="H92" s="49">
        <f t="shared" si="48"/>
        <v>967.48184726463296</v>
      </c>
      <c r="I92" s="49">
        <f t="shared" si="48"/>
        <v>1381.2114306574015</v>
      </c>
      <c r="J92" s="49">
        <f t="shared" si="48"/>
        <v>1095.1994877590121</v>
      </c>
      <c r="K92" s="40"/>
      <c r="L92" s="40"/>
      <c r="M92" s="170"/>
      <c r="N92" s="170"/>
      <c r="O92" s="166"/>
      <c r="P92" s="160"/>
      <c r="Q92" s="139"/>
      <c r="R92" s="139"/>
      <c r="S92" s="139"/>
      <c r="T92" s="139"/>
      <c r="U92" s="139"/>
      <c r="V92" s="139"/>
      <c r="W92" s="139"/>
      <c r="X92" s="139"/>
      <c r="Y92" s="139"/>
      <c r="Z92" s="139"/>
      <c r="AA92" s="139"/>
      <c r="AB92" s="180"/>
      <c r="AC92" s="139"/>
      <c r="AD92" s="139"/>
      <c r="AE92" s="139"/>
      <c r="AF92" s="139"/>
      <c r="AG92" s="139"/>
      <c r="AH92" s="139"/>
      <c r="AI92" s="139"/>
      <c r="AJ92" s="139"/>
      <c r="AK92" s="149"/>
      <c r="AL92" s="158"/>
      <c r="AM92" s="158"/>
      <c r="AN92" s="158"/>
      <c r="AO92" s="158"/>
      <c r="AP92" s="158"/>
      <c r="AQ92" s="158"/>
      <c r="AR92" s="158"/>
      <c r="BF92" s="214"/>
      <c r="BY92" s="214"/>
    </row>
    <row r="93" spans="2:77" s="1" customFormat="1" ht="14.5" x14ac:dyDescent="0.35">
      <c r="B93" s="35" t="s">
        <v>31</v>
      </c>
      <c r="C93" s="48">
        <f>SUM(C88:C92)</f>
        <v>0.72663563197512504</v>
      </c>
      <c r="D93" s="48">
        <f t="shared" ref="D93:J93" si="49">SUM(D88:D92)</f>
        <v>4739.9060564269448</v>
      </c>
      <c r="E93" s="48">
        <f t="shared" si="49"/>
        <v>40005.272848289744</v>
      </c>
      <c r="F93" s="48">
        <f t="shared" si="49"/>
        <v>294411.55988547887</v>
      </c>
      <c r="G93" s="48">
        <f t="shared" si="49"/>
        <v>551272.8650036758</v>
      </c>
      <c r="H93" s="48">
        <f t="shared" si="49"/>
        <v>671396.07477684296</v>
      </c>
      <c r="I93" s="48">
        <f t="shared" si="49"/>
        <v>554287.67053406942</v>
      </c>
      <c r="J93" s="48">
        <f t="shared" si="49"/>
        <v>275218.97300516727</v>
      </c>
      <c r="K93" s="40"/>
      <c r="L93" s="40"/>
      <c r="M93" s="170"/>
      <c r="N93" s="170"/>
      <c r="O93" s="166"/>
      <c r="P93" s="159"/>
      <c r="Q93" s="139"/>
      <c r="R93" s="139"/>
      <c r="S93" s="139"/>
      <c r="T93" s="139"/>
      <c r="U93" s="139"/>
      <c r="V93" s="139"/>
      <c r="W93" s="139"/>
      <c r="X93" s="139"/>
      <c r="Y93" s="139"/>
      <c r="Z93" s="139"/>
      <c r="AA93" s="139"/>
      <c r="AB93" s="180"/>
      <c r="AC93" s="139"/>
      <c r="AD93" s="139"/>
      <c r="AE93" s="139"/>
      <c r="AF93" s="139"/>
      <c r="AG93" s="139"/>
      <c r="AH93" s="139"/>
      <c r="AI93" s="139"/>
      <c r="AJ93" s="139"/>
      <c r="AK93" s="149"/>
      <c r="AL93" s="158"/>
      <c r="AM93" s="158"/>
      <c r="AN93" s="158"/>
      <c r="AO93" s="158"/>
      <c r="AP93" s="158"/>
      <c r="AQ93" s="158"/>
      <c r="AR93" s="158"/>
      <c r="BF93" s="214"/>
      <c r="BY93" s="214"/>
    </row>
    <row r="94" spans="2:77" s="1" customFormat="1" ht="14.5" x14ac:dyDescent="0.35">
      <c r="C94" s="40"/>
      <c r="D94" s="40"/>
      <c r="E94" s="40"/>
      <c r="F94" s="40"/>
      <c r="G94" s="40"/>
      <c r="H94" s="40"/>
      <c r="I94" s="40"/>
      <c r="J94" s="40"/>
      <c r="K94" s="40"/>
      <c r="L94" s="40"/>
      <c r="M94" s="170"/>
      <c r="N94" s="170"/>
      <c r="O94" s="166"/>
      <c r="P94" s="102"/>
      <c r="Q94" s="139"/>
      <c r="R94" s="139"/>
      <c r="S94" s="139"/>
      <c r="T94" s="139"/>
      <c r="U94" s="139"/>
      <c r="V94" s="139"/>
      <c r="W94" s="139"/>
      <c r="X94" s="139"/>
      <c r="Y94" s="139"/>
      <c r="Z94" s="139"/>
      <c r="AA94" s="139"/>
      <c r="AB94" s="180"/>
      <c r="AC94" s="139"/>
      <c r="AD94" s="139"/>
      <c r="AE94" s="139"/>
      <c r="AF94" s="139"/>
      <c r="AG94" s="139"/>
      <c r="AH94" s="139"/>
      <c r="AI94" s="139"/>
      <c r="AJ94" s="139"/>
      <c r="AK94" s="149"/>
      <c r="AL94" s="158"/>
      <c r="AM94" s="158"/>
      <c r="AN94" s="158"/>
      <c r="AO94" s="158"/>
      <c r="AP94" s="158"/>
      <c r="AQ94" s="158"/>
      <c r="AR94" s="158"/>
      <c r="BF94" s="214"/>
      <c r="BY94" s="214"/>
    </row>
    <row r="95" spans="2:77" s="1" customFormat="1" ht="14.5" x14ac:dyDescent="0.35">
      <c r="C95" s="40"/>
      <c r="D95" s="40"/>
      <c r="E95" s="40"/>
      <c r="F95" s="40"/>
      <c r="G95" s="40"/>
      <c r="H95" s="40"/>
      <c r="I95" s="40"/>
      <c r="J95" s="40"/>
      <c r="K95" s="40"/>
      <c r="L95" s="40"/>
      <c r="M95" s="170"/>
      <c r="N95" s="170"/>
      <c r="O95" s="166"/>
      <c r="P95" s="159"/>
      <c r="Q95" s="139"/>
      <c r="R95" s="139"/>
      <c r="S95" s="139"/>
      <c r="T95" s="139"/>
      <c r="U95" s="139"/>
      <c r="V95" s="139"/>
      <c r="W95" s="139"/>
      <c r="X95" s="139"/>
      <c r="Y95" s="139"/>
      <c r="Z95" s="139"/>
      <c r="AA95" s="139"/>
      <c r="AB95" s="180"/>
      <c r="AC95" s="139"/>
      <c r="AD95" s="139"/>
      <c r="AE95" s="139"/>
      <c r="AF95" s="139"/>
      <c r="AG95" s="139"/>
      <c r="AH95" s="139"/>
      <c r="AI95" s="139"/>
      <c r="AJ95" s="139"/>
      <c r="AK95" s="149"/>
      <c r="AL95" s="158"/>
      <c r="AM95" s="158"/>
      <c r="AN95" s="158"/>
      <c r="AO95" s="158"/>
      <c r="AP95" s="158"/>
      <c r="AQ95" s="158"/>
      <c r="AR95" s="158"/>
      <c r="BF95" s="214"/>
      <c r="BY95" s="214"/>
    </row>
    <row r="96" spans="2:77" s="1" customFormat="1" ht="14.5" x14ac:dyDescent="0.35">
      <c r="C96" s="40"/>
      <c r="D96" s="40"/>
      <c r="E96" s="40"/>
      <c r="F96" s="40"/>
      <c r="G96" s="40"/>
      <c r="H96" s="40"/>
      <c r="I96" s="40"/>
      <c r="J96" s="40"/>
      <c r="K96" s="40"/>
      <c r="L96" s="40"/>
      <c r="M96" s="170"/>
      <c r="N96" s="170"/>
      <c r="O96" s="166"/>
      <c r="P96" s="102"/>
      <c r="Q96" s="139"/>
      <c r="R96" s="139"/>
      <c r="S96" s="139"/>
      <c r="T96" s="139"/>
      <c r="U96" s="139"/>
      <c r="V96" s="139"/>
      <c r="W96" s="139"/>
      <c r="X96" s="139"/>
      <c r="Y96" s="139"/>
      <c r="Z96" s="139"/>
      <c r="AA96" s="139"/>
      <c r="AB96" s="180"/>
      <c r="AC96" s="139"/>
      <c r="AD96" s="139"/>
      <c r="AE96" s="139"/>
      <c r="AF96" s="139"/>
      <c r="AG96" s="139"/>
      <c r="AH96" s="139"/>
      <c r="AI96" s="139"/>
      <c r="AJ96" s="139"/>
      <c r="AK96" s="149"/>
      <c r="AL96" s="158"/>
      <c r="AM96" s="158"/>
      <c r="AN96" s="158"/>
      <c r="AO96" s="158"/>
      <c r="AP96" s="158"/>
      <c r="AQ96" s="158"/>
      <c r="AR96" s="158"/>
      <c r="BF96" s="214"/>
      <c r="BY96" s="214"/>
    </row>
    <row r="97" spans="3:77" s="1" customFormat="1" ht="14.5" x14ac:dyDescent="0.35">
      <c r="C97" s="40"/>
      <c r="D97" s="40"/>
      <c r="E97" s="40"/>
      <c r="F97" s="40"/>
      <c r="G97" s="40"/>
      <c r="H97" s="40"/>
      <c r="I97" s="40"/>
      <c r="J97" s="40"/>
      <c r="K97" s="40"/>
      <c r="L97" s="40"/>
      <c r="M97" s="170"/>
      <c r="N97" s="170"/>
      <c r="O97" s="168"/>
      <c r="P97" s="102"/>
      <c r="Q97" s="139"/>
      <c r="R97" s="139"/>
      <c r="S97" s="139"/>
      <c r="T97" s="139"/>
      <c r="U97" s="139"/>
      <c r="V97" s="139"/>
      <c r="W97" s="139"/>
      <c r="X97" s="139"/>
      <c r="Y97" s="139"/>
      <c r="Z97" s="139"/>
      <c r="AA97" s="139"/>
      <c r="AB97" s="180"/>
      <c r="AC97" s="139"/>
      <c r="AD97" s="139"/>
      <c r="AE97" s="139"/>
      <c r="AF97" s="139"/>
      <c r="AG97" s="139"/>
      <c r="AH97" s="139"/>
      <c r="AI97" s="139"/>
      <c r="AJ97" s="139"/>
      <c r="AK97" s="153"/>
      <c r="AL97" s="158"/>
      <c r="AM97" s="158"/>
      <c r="AN97" s="158"/>
      <c r="AO97" s="158"/>
      <c r="AP97" s="158"/>
      <c r="AQ97" s="158"/>
      <c r="AR97" s="158"/>
      <c r="BF97" s="214"/>
      <c r="BY97" s="214"/>
    </row>
    <row r="98" spans="3:77" s="1" customFormat="1" ht="14.5" x14ac:dyDescent="0.35">
      <c r="C98" s="40"/>
      <c r="D98" s="40"/>
      <c r="E98" s="40"/>
      <c r="F98" s="40"/>
      <c r="G98" s="40"/>
      <c r="H98" s="40"/>
      <c r="I98" s="40"/>
      <c r="J98" s="40"/>
      <c r="K98" s="40"/>
      <c r="L98" s="40"/>
      <c r="M98" s="170"/>
      <c r="N98" s="170"/>
      <c r="O98" s="149"/>
      <c r="P98" s="149"/>
      <c r="Q98" s="158"/>
      <c r="R98" s="158"/>
      <c r="S98" s="158"/>
      <c r="T98" s="158"/>
      <c r="U98" s="158"/>
      <c r="V98" s="158"/>
      <c r="W98" s="158"/>
      <c r="X98" s="158"/>
      <c r="Y98" s="158"/>
      <c r="Z98" s="158"/>
      <c r="AA98" s="158"/>
      <c r="AB98" s="177"/>
      <c r="AC98" s="158"/>
      <c r="AD98" s="158"/>
      <c r="AE98" s="158"/>
      <c r="AF98" s="158"/>
      <c r="AG98" s="158"/>
      <c r="AH98" s="158"/>
      <c r="AI98" s="158"/>
      <c r="AJ98" s="158"/>
      <c r="AK98" s="158"/>
      <c r="AL98" s="158"/>
      <c r="AM98" s="158"/>
      <c r="AN98" s="158"/>
      <c r="AO98" s="158"/>
      <c r="AP98" s="158"/>
      <c r="AQ98" s="158"/>
      <c r="AR98" s="158"/>
      <c r="BF98" s="214"/>
      <c r="BY98" s="214"/>
    </row>
    <row r="99" spans="3:77" s="1" customFormat="1" ht="14.5" x14ac:dyDescent="0.35">
      <c r="C99" s="40"/>
      <c r="D99" s="40"/>
      <c r="E99" s="40"/>
      <c r="F99" s="40"/>
      <c r="G99" s="40"/>
      <c r="H99" s="40"/>
      <c r="I99" s="40"/>
      <c r="J99" s="40"/>
      <c r="K99" s="40"/>
      <c r="L99" s="40"/>
      <c r="M99" s="170"/>
      <c r="N99" s="170"/>
      <c r="O99" s="149"/>
      <c r="P99" s="149"/>
      <c r="Q99" s="158"/>
      <c r="R99" s="158"/>
      <c r="S99" s="158"/>
      <c r="T99" s="158"/>
      <c r="U99" s="158"/>
      <c r="V99" s="158"/>
      <c r="W99" s="158"/>
      <c r="X99" s="158"/>
      <c r="Y99" s="158"/>
      <c r="Z99" s="158"/>
      <c r="AA99" s="158"/>
      <c r="AB99" s="177"/>
      <c r="AC99" s="158"/>
      <c r="AD99" s="158"/>
      <c r="AE99" s="158"/>
      <c r="AF99" s="158"/>
      <c r="AG99" s="158"/>
      <c r="AH99" s="158"/>
      <c r="AI99" s="158"/>
      <c r="AJ99" s="158"/>
      <c r="AK99" s="158"/>
      <c r="AL99" s="158"/>
      <c r="AM99" s="158"/>
      <c r="AN99" s="158"/>
      <c r="AO99" s="158"/>
      <c r="AP99" s="158"/>
      <c r="AQ99" s="158"/>
      <c r="AR99" s="158"/>
      <c r="BF99" s="214"/>
      <c r="BY99" s="214"/>
    </row>
    <row r="100" spans="3:77" s="1" customFormat="1" ht="14.5" x14ac:dyDescent="0.35">
      <c r="C100" s="40"/>
      <c r="D100" s="40"/>
      <c r="E100" s="40"/>
      <c r="F100" s="40"/>
      <c r="G100" s="40"/>
      <c r="H100" s="40"/>
      <c r="I100" s="40"/>
      <c r="J100" s="40"/>
      <c r="K100" s="40"/>
      <c r="L100" s="40"/>
      <c r="M100" s="170"/>
      <c r="N100" s="170"/>
      <c r="O100" s="149"/>
      <c r="P100" s="149"/>
      <c r="Q100" s="158"/>
      <c r="R100" s="158"/>
      <c r="S100" s="158"/>
      <c r="T100" s="158"/>
      <c r="U100" s="158"/>
      <c r="V100" s="158"/>
      <c r="W100" s="158"/>
      <c r="X100" s="158"/>
      <c r="Y100" s="158"/>
      <c r="Z100" s="158"/>
      <c r="AA100" s="158"/>
      <c r="AB100" s="177"/>
      <c r="AC100" s="158"/>
      <c r="AD100" s="158"/>
      <c r="AE100" s="158"/>
      <c r="AF100" s="158"/>
      <c r="AG100" s="158"/>
      <c r="AH100" s="158"/>
      <c r="AI100" s="158"/>
      <c r="AJ100" s="158"/>
      <c r="AK100" s="158"/>
      <c r="AL100" s="158"/>
      <c r="AM100" s="158"/>
      <c r="AN100" s="158"/>
      <c r="AO100" s="158"/>
      <c r="AP100" s="158"/>
      <c r="AQ100" s="158"/>
      <c r="AR100" s="158"/>
      <c r="BF100" s="214"/>
      <c r="BY100" s="214"/>
    </row>
    <row r="101" spans="3:77" s="1" customFormat="1" ht="14.5" x14ac:dyDescent="0.35">
      <c r="C101" s="40"/>
      <c r="D101" s="40"/>
      <c r="E101" s="40"/>
      <c r="F101" s="40"/>
      <c r="G101" s="40"/>
      <c r="H101" s="40"/>
      <c r="I101" s="40"/>
      <c r="J101" s="40"/>
      <c r="K101" s="40"/>
      <c r="L101" s="40"/>
      <c r="M101" s="170"/>
      <c r="N101" s="170"/>
      <c r="O101" s="149"/>
      <c r="P101" s="149"/>
      <c r="Q101" s="158"/>
      <c r="R101" s="158"/>
      <c r="S101" s="158"/>
      <c r="T101" s="158"/>
      <c r="U101" s="158"/>
      <c r="V101" s="158"/>
      <c r="W101" s="158"/>
      <c r="X101" s="158"/>
      <c r="Y101" s="158"/>
      <c r="Z101" s="158"/>
      <c r="AA101" s="158"/>
      <c r="AB101" s="177"/>
      <c r="AC101" s="158"/>
      <c r="AD101" s="158"/>
      <c r="AE101" s="158"/>
      <c r="AF101" s="158"/>
      <c r="AG101" s="158"/>
      <c r="AH101" s="158"/>
      <c r="AI101" s="158"/>
      <c r="AJ101" s="158"/>
      <c r="AK101" s="158"/>
      <c r="AL101" s="158"/>
      <c r="AM101" s="158"/>
      <c r="AN101" s="158"/>
      <c r="AO101" s="158"/>
      <c r="AP101" s="158"/>
      <c r="AQ101" s="158"/>
      <c r="AR101" s="158"/>
      <c r="BF101" s="214"/>
      <c r="BY101" s="214"/>
    </row>
    <row r="102" spans="3:77" s="1" customFormat="1" ht="14.5" x14ac:dyDescent="0.35">
      <c r="C102" s="40"/>
      <c r="D102" s="40"/>
      <c r="E102" s="40"/>
      <c r="F102" s="40"/>
      <c r="G102" s="40"/>
      <c r="H102" s="40"/>
      <c r="I102" s="40"/>
      <c r="J102" s="40"/>
      <c r="K102" s="40"/>
      <c r="L102" s="40"/>
      <c r="M102" s="170"/>
      <c r="N102" s="170"/>
      <c r="O102" s="40"/>
      <c r="P102" s="40"/>
      <c r="AB102" s="182"/>
      <c r="BF102" s="214"/>
      <c r="BY102" s="214"/>
    </row>
    <row r="103" spans="3:77" s="1" customFormat="1" ht="14.5" x14ac:dyDescent="0.35">
      <c r="C103" s="40"/>
      <c r="D103" s="40"/>
      <c r="E103" s="40"/>
      <c r="F103" s="40"/>
      <c r="G103" s="40"/>
      <c r="H103" s="40"/>
      <c r="I103" s="40"/>
      <c r="J103" s="40"/>
      <c r="K103" s="40"/>
      <c r="L103" s="40"/>
      <c r="M103" s="170"/>
      <c r="N103" s="170"/>
      <c r="O103" s="40"/>
      <c r="P103" s="40"/>
      <c r="AB103" s="182"/>
      <c r="BF103" s="214"/>
      <c r="BY103" s="214"/>
    </row>
    <row r="104" spans="3:77" s="1" customFormat="1" ht="14.5" x14ac:dyDescent="0.35">
      <c r="C104" s="40"/>
      <c r="D104" s="40"/>
      <c r="E104" s="40"/>
      <c r="F104" s="40"/>
      <c r="G104" s="40"/>
      <c r="H104" s="40"/>
      <c r="I104" s="40"/>
      <c r="J104" s="40"/>
      <c r="K104" s="40"/>
      <c r="L104" s="40"/>
      <c r="M104" s="170"/>
      <c r="N104" s="170"/>
      <c r="O104" s="40"/>
      <c r="P104" s="40"/>
      <c r="AB104" s="182"/>
      <c r="BF104" s="214"/>
      <c r="BY104" s="214"/>
    </row>
    <row r="105" spans="3:77" s="1" customFormat="1" ht="14.5" x14ac:dyDescent="0.35">
      <c r="C105" s="40"/>
      <c r="D105" s="40"/>
      <c r="E105" s="40"/>
      <c r="F105" s="40"/>
      <c r="G105" s="40"/>
      <c r="H105" s="40"/>
      <c r="I105" s="40"/>
      <c r="J105" s="40"/>
      <c r="K105" s="40"/>
      <c r="L105" s="40"/>
      <c r="M105" s="170"/>
      <c r="N105" s="170"/>
      <c r="O105" s="40"/>
      <c r="P105" s="40"/>
      <c r="AB105" s="182"/>
      <c r="BF105" s="214"/>
      <c r="BY105" s="214"/>
    </row>
    <row r="106" spans="3:77" s="1" customFormat="1" ht="14.5" x14ac:dyDescent="0.35">
      <c r="C106" s="40"/>
      <c r="D106" s="40"/>
      <c r="E106" s="40"/>
      <c r="F106" s="40"/>
      <c r="G106" s="40"/>
      <c r="H106" s="40"/>
      <c r="I106" s="40"/>
      <c r="J106" s="40"/>
      <c r="K106" s="40"/>
      <c r="L106" s="40"/>
      <c r="M106" s="170"/>
      <c r="N106" s="170"/>
      <c r="O106" s="40"/>
      <c r="P106" s="40"/>
      <c r="AB106" s="182"/>
      <c r="BF106" s="214"/>
      <c r="BY106" s="214"/>
    </row>
    <row r="107" spans="3:77" s="1" customFormat="1" ht="14.5" x14ac:dyDescent="0.35">
      <c r="C107" s="40"/>
      <c r="D107" s="40"/>
      <c r="E107" s="40"/>
      <c r="F107" s="40"/>
      <c r="G107" s="40"/>
      <c r="H107" s="40"/>
      <c r="I107" s="40"/>
      <c r="J107" s="40"/>
      <c r="K107" s="40"/>
      <c r="L107" s="40"/>
      <c r="M107" s="170"/>
      <c r="N107" s="170"/>
      <c r="O107" s="40"/>
      <c r="P107" s="40"/>
      <c r="AB107" s="182"/>
      <c r="BF107" s="214"/>
      <c r="BY107" s="214"/>
    </row>
    <row r="108" spans="3:77" s="1" customFormat="1" ht="14.5" x14ac:dyDescent="0.35">
      <c r="C108" s="40"/>
      <c r="D108" s="40"/>
      <c r="E108" s="40"/>
      <c r="F108" s="40"/>
      <c r="G108" s="40"/>
      <c r="H108" s="40"/>
      <c r="I108" s="40"/>
      <c r="J108" s="40"/>
      <c r="K108" s="40"/>
      <c r="L108" s="40"/>
      <c r="M108" s="170"/>
      <c r="N108" s="170"/>
      <c r="O108" s="40"/>
      <c r="P108" s="40"/>
      <c r="AB108" s="182"/>
      <c r="BF108" s="214"/>
      <c r="BY108" s="214"/>
    </row>
    <row r="109" spans="3:77" s="1" customFormat="1" ht="14.5" x14ac:dyDescent="0.35">
      <c r="C109" s="40"/>
      <c r="D109" s="40"/>
      <c r="E109" s="40"/>
      <c r="F109" s="40"/>
      <c r="G109" s="40"/>
      <c r="H109" s="40"/>
      <c r="I109" s="40"/>
      <c r="J109" s="40"/>
      <c r="K109" s="40"/>
      <c r="L109" s="40"/>
      <c r="M109" s="170"/>
      <c r="N109" s="170"/>
      <c r="O109" s="40"/>
      <c r="P109" s="40"/>
      <c r="AB109" s="182"/>
      <c r="BF109" s="214"/>
      <c r="BY109" s="214"/>
    </row>
    <row r="110" spans="3:77" s="1" customFormat="1" ht="14.5" x14ac:dyDescent="0.35">
      <c r="C110" s="40"/>
      <c r="D110" s="40"/>
      <c r="E110" s="40"/>
      <c r="F110" s="40"/>
      <c r="G110" s="40"/>
      <c r="H110" s="40"/>
      <c r="I110" s="40"/>
      <c r="J110" s="40"/>
      <c r="K110" s="40"/>
      <c r="L110" s="40"/>
      <c r="M110" s="170"/>
      <c r="N110" s="170"/>
      <c r="O110" s="40"/>
      <c r="P110" s="40"/>
      <c r="AB110" s="182"/>
      <c r="BF110" s="214"/>
      <c r="BY110" s="214"/>
    </row>
    <row r="111" spans="3:77" s="1" customFormat="1" ht="14.5" x14ac:dyDescent="0.35">
      <c r="C111" s="40"/>
      <c r="D111" s="40"/>
      <c r="E111" s="40"/>
      <c r="F111" s="40"/>
      <c r="G111" s="40"/>
      <c r="H111" s="40"/>
      <c r="I111" s="40"/>
      <c r="J111" s="40"/>
      <c r="K111" s="40"/>
      <c r="L111" s="40"/>
      <c r="M111" s="170"/>
      <c r="N111" s="170"/>
      <c r="O111" s="40"/>
      <c r="P111" s="40"/>
      <c r="AB111" s="182"/>
      <c r="BF111" s="214"/>
      <c r="BY111" s="214"/>
    </row>
    <row r="112" spans="3:77" s="1" customFormat="1" ht="14.5" x14ac:dyDescent="0.35">
      <c r="C112" s="40"/>
      <c r="D112" s="40"/>
      <c r="E112" s="40"/>
      <c r="F112" s="40"/>
      <c r="G112" s="40"/>
      <c r="H112" s="40"/>
      <c r="I112" s="40"/>
      <c r="J112" s="40"/>
      <c r="K112" s="40"/>
      <c r="L112" s="40"/>
      <c r="M112" s="170"/>
      <c r="N112" s="170"/>
      <c r="O112" s="40"/>
      <c r="P112" s="40"/>
      <c r="AB112" s="182"/>
      <c r="BF112" s="214"/>
      <c r="BY112" s="214"/>
    </row>
    <row r="113" spans="3:77" s="1" customFormat="1" ht="14.5" x14ac:dyDescent="0.35">
      <c r="C113" s="40"/>
      <c r="D113" s="40"/>
      <c r="E113" s="40"/>
      <c r="F113" s="40"/>
      <c r="G113" s="40"/>
      <c r="H113" s="40"/>
      <c r="I113" s="40"/>
      <c r="J113" s="40"/>
      <c r="K113" s="40"/>
      <c r="L113" s="40"/>
      <c r="M113" s="170"/>
      <c r="N113" s="170"/>
      <c r="O113" s="40"/>
      <c r="P113" s="40"/>
      <c r="AB113" s="182"/>
      <c r="BF113" s="214"/>
      <c r="BY113" s="214"/>
    </row>
    <row r="114" spans="3:77" s="1" customFormat="1" ht="14.5" x14ac:dyDescent="0.35">
      <c r="C114" s="40"/>
      <c r="D114" s="40"/>
      <c r="E114" s="40"/>
      <c r="F114" s="40"/>
      <c r="G114" s="40"/>
      <c r="H114" s="40"/>
      <c r="I114" s="40"/>
      <c r="J114" s="40"/>
      <c r="K114" s="40"/>
      <c r="L114" s="40"/>
      <c r="M114" s="170"/>
      <c r="N114" s="170"/>
      <c r="O114" s="40"/>
      <c r="P114" s="40"/>
      <c r="AB114" s="182"/>
      <c r="BF114" s="214"/>
      <c r="BY114" s="214"/>
    </row>
    <row r="115" spans="3:77" s="1" customFormat="1" ht="14.5" x14ac:dyDescent="0.35">
      <c r="C115" s="40"/>
      <c r="D115" s="40"/>
      <c r="E115" s="40"/>
      <c r="F115" s="40"/>
      <c r="G115" s="40"/>
      <c r="H115" s="40"/>
      <c r="I115" s="40"/>
      <c r="J115" s="40"/>
      <c r="K115" s="40"/>
      <c r="L115" s="40"/>
      <c r="M115" s="170"/>
      <c r="N115" s="170"/>
      <c r="O115" s="40"/>
      <c r="P115" s="40"/>
      <c r="AB115" s="182"/>
      <c r="BF115" s="214"/>
      <c r="BY115" s="214"/>
    </row>
    <row r="116" spans="3:77" s="1" customFormat="1" ht="14.5" x14ac:dyDescent="0.35">
      <c r="C116" s="40"/>
      <c r="D116" s="40"/>
      <c r="E116" s="40"/>
      <c r="F116" s="40"/>
      <c r="G116" s="40"/>
      <c r="H116" s="40"/>
      <c r="I116" s="40"/>
      <c r="J116" s="40"/>
      <c r="K116" s="40"/>
      <c r="L116" s="40"/>
      <c r="M116" s="170"/>
      <c r="N116" s="170"/>
      <c r="O116" s="40"/>
      <c r="P116" s="40"/>
      <c r="AB116" s="182"/>
      <c r="BF116" s="214"/>
      <c r="BY116" s="214"/>
    </row>
    <row r="117" spans="3:77" s="1" customFormat="1" ht="14.5" x14ac:dyDescent="0.35">
      <c r="C117" s="40"/>
      <c r="D117" s="40"/>
      <c r="E117" s="40"/>
      <c r="F117" s="40"/>
      <c r="G117" s="40"/>
      <c r="H117" s="40"/>
      <c r="I117" s="40"/>
      <c r="J117" s="40"/>
      <c r="K117" s="40"/>
      <c r="L117" s="40"/>
      <c r="M117" s="170"/>
      <c r="N117" s="170"/>
      <c r="O117" s="40"/>
      <c r="P117" s="40"/>
      <c r="AB117" s="182"/>
      <c r="BF117" s="214"/>
      <c r="BY117" s="214"/>
    </row>
    <row r="118" spans="3:77" s="1" customFormat="1" ht="14.5" x14ac:dyDescent="0.35">
      <c r="C118" s="40"/>
      <c r="D118" s="40"/>
      <c r="E118" s="40"/>
      <c r="F118" s="40"/>
      <c r="G118" s="40"/>
      <c r="H118" s="40"/>
      <c r="I118" s="40"/>
      <c r="J118" s="40"/>
      <c r="K118" s="40"/>
      <c r="L118" s="40"/>
      <c r="M118" s="170"/>
      <c r="N118" s="170"/>
      <c r="O118" s="40"/>
      <c r="P118" s="40"/>
      <c r="AB118" s="182"/>
      <c r="BF118" s="214"/>
      <c r="BY118" s="214"/>
    </row>
    <row r="119" spans="3:77" s="1" customFormat="1" ht="14.5" x14ac:dyDescent="0.35">
      <c r="C119" s="40"/>
      <c r="D119" s="40"/>
      <c r="E119" s="40"/>
      <c r="F119" s="40"/>
      <c r="G119" s="40"/>
      <c r="H119" s="40"/>
      <c r="I119" s="40"/>
      <c r="J119" s="40"/>
      <c r="K119" s="40"/>
      <c r="L119" s="40"/>
      <c r="M119" s="170"/>
      <c r="N119" s="170"/>
      <c r="O119" s="40"/>
      <c r="P119" s="40"/>
      <c r="AB119" s="182"/>
      <c r="BF119" s="214"/>
      <c r="BY119" s="214"/>
    </row>
    <row r="120" spans="3:77" s="1" customFormat="1" ht="14.5" x14ac:dyDescent="0.35">
      <c r="C120" s="40"/>
      <c r="D120" s="40"/>
      <c r="E120" s="40"/>
      <c r="F120" s="40"/>
      <c r="G120" s="40"/>
      <c r="H120" s="40"/>
      <c r="I120" s="40"/>
      <c r="J120" s="40"/>
      <c r="K120" s="40"/>
      <c r="L120" s="40"/>
      <c r="M120" s="170"/>
      <c r="N120" s="170"/>
      <c r="O120" s="40"/>
      <c r="P120" s="40"/>
      <c r="AB120" s="182"/>
      <c r="BF120" s="214"/>
      <c r="BY120" s="214"/>
    </row>
    <row r="121" spans="3:77" s="1" customFormat="1" ht="14.5" x14ac:dyDescent="0.35">
      <c r="C121" s="40"/>
      <c r="D121" s="40"/>
      <c r="E121" s="40"/>
      <c r="F121" s="40"/>
      <c r="G121" s="40"/>
      <c r="H121" s="40"/>
      <c r="I121" s="40"/>
      <c r="J121" s="40"/>
      <c r="K121" s="40"/>
      <c r="L121" s="40"/>
      <c r="M121" s="170"/>
      <c r="N121" s="170"/>
      <c r="O121" s="40"/>
      <c r="P121" s="40"/>
      <c r="AB121" s="182"/>
      <c r="BF121" s="214"/>
      <c r="BY121" s="214"/>
    </row>
    <row r="122" spans="3:77" s="1" customFormat="1" ht="14.5" x14ac:dyDescent="0.35">
      <c r="C122" s="40"/>
      <c r="D122" s="40"/>
      <c r="E122" s="40"/>
      <c r="F122" s="40"/>
      <c r="G122" s="40"/>
      <c r="H122" s="40"/>
      <c r="I122" s="40"/>
      <c r="J122" s="40"/>
      <c r="K122" s="40"/>
      <c r="L122" s="40"/>
      <c r="M122" s="170"/>
      <c r="N122" s="170"/>
      <c r="O122" s="40"/>
      <c r="P122" s="40"/>
      <c r="AB122" s="182"/>
      <c r="BF122" s="214"/>
      <c r="BY122" s="214"/>
    </row>
    <row r="123" spans="3:77" s="1" customFormat="1" ht="14.5" x14ac:dyDescent="0.35">
      <c r="C123" s="40"/>
      <c r="D123" s="40"/>
      <c r="E123" s="40"/>
      <c r="F123" s="40"/>
      <c r="G123" s="40"/>
      <c r="H123" s="40"/>
      <c r="I123" s="40"/>
      <c r="J123" s="40"/>
      <c r="K123" s="40"/>
      <c r="L123" s="40"/>
      <c r="M123" s="170"/>
      <c r="N123" s="170"/>
      <c r="O123" s="40"/>
      <c r="P123" s="40"/>
      <c r="AB123" s="182"/>
      <c r="BF123" s="214"/>
      <c r="BY123" s="214"/>
    </row>
    <row r="124" spans="3:77" s="1" customFormat="1" ht="14.5" x14ac:dyDescent="0.35">
      <c r="C124" s="40"/>
      <c r="D124" s="40"/>
      <c r="E124" s="40"/>
      <c r="F124" s="40"/>
      <c r="G124" s="40"/>
      <c r="H124" s="40"/>
      <c r="I124" s="40"/>
      <c r="J124" s="40"/>
      <c r="K124" s="40"/>
      <c r="L124" s="40"/>
      <c r="M124" s="170"/>
      <c r="N124" s="170"/>
      <c r="O124" s="40"/>
      <c r="P124" s="40"/>
      <c r="AB124" s="182"/>
      <c r="BF124" s="214"/>
      <c r="BY124" s="214"/>
    </row>
    <row r="125" spans="3:77" s="1" customFormat="1" ht="14.5" x14ac:dyDescent="0.35">
      <c r="C125" s="40"/>
      <c r="D125" s="40"/>
      <c r="E125" s="40"/>
      <c r="F125" s="40"/>
      <c r="G125" s="40"/>
      <c r="H125" s="40"/>
      <c r="I125" s="40"/>
      <c r="J125" s="40"/>
      <c r="K125" s="40"/>
      <c r="L125" s="40"/>
      <c r="M125" s="170"/>
      <c r="N125" s="170"/>
      <c r="O125" s="40"/>
      <c r="P125" s="40"/>
      <c r="AB125" s="182"/>
      <c r="BF125" s="214"/>
      <c r="BY125" s="214"/>
    </row>
    <row r="126" spans="3:77" s="1" customFormat="1" ht="15" customHeight="1" x14ac:dyDescent="0.35">
      <c r="C126" s="40"/>
      <c r="D126" s="40"/>
      <c r="E126" s="40"/>
      <c r="F126" s="40"/>
      <c r="G126" s="40"/>
      <c r="H126" s="40"/>
      <c r="I126" s="40"/>
      <c r="J126" s="40"/>
      <c r="K126" s="40"/>
      <c r="L126" s="40"/>
      <c r="M126" s="170"/>
      <c r="N126" s="170"/>
      <c r="O126" s="40"/>
      <c r="P126" s="40"/>
      <c r="AB126" s="182"/>
      <c r="BF126" s="214"/>
      <c r="BY126" s="214"/>
    </row>
    <row r="127" spans="3:77" s="1" customFormat="1" ht="15" customHeight="1" x14ac:dyDescent="0.35">
      <c r="C127" s="40"/>
      <c r="D127" s="40"/>
      <c r="E127" s="40"/>
      <c r="F127" s="40"/>
      <c r="G127" s="40"/>
      <c r="H127" s="40"/>
      <c r="I127" s="40"/>
      <c r="J127" s="40"/>
      <c r="K127" s="40"/>
      <c r="L127" s="40"/>
      <c r="M127" s="170"/>
      <c r="N127" s="170"/>
      <c r="O127" s="40"/>
      <c r="P127" s="40"/>
      <c r="AB127" s="182"/>
      <c r="BF127" s="214"/>
      <c r="BY127" s="214"/>
    </row>
    <row r="128" spans="3:77" s="1" customFormat="1" ht="15" customHeight="1" x14ac:dyDescent="0.35">
      <c r="C128" s="40"/>
      <c r="D128" s="40"/>
      <c r="E128" s="40"/>
      <c r="F128" s="40"/>
      <c r="G128" s="40"/>
      <c r="H128" s="40"/>
      <c r="I128" s="40"/>
      <c r="J128" s="40"/>
      <c r="K128" s="40"/>
      <c r="L128" s="40"/>
      <c r="M128" s="170"/>
      <c r="N128" s="170"/>
      <c r="O128" s="40"/>
      <c r="P128" s="40"/>
      <c r="AB128" s="182"/>
      <c r="BF128" s="214"/>
      <c r="BY128" s="214"/>
    </row>
    <row r="129" spans="3:77" s="1" customFormat="1" ht="15" customHeight="1" x14ac:dyDescent="0.35">
      <c r="C129" s="40"/>
      <c r="D129" s="40"/>
      <c r="E129" s="40"/>
      <c r="F129" s="40"/>
      <c r="G129" s="40"/>
      <c r="H129" s="40"/>
      <c r="I129" s="40"/>
      <c r="J129" s="40"/>
      <c r="K129" s="40"/>
      <c r="L129" s="40"/>
      <c r="M129" s="170"/>
      <c r="N129" s="170"/>
      <c r="O129" s="40"/>
      <c r="P129" s="40"/>
      <c r="AB129" s="182"/>
      <c r="BF129" s="214"/>
      <c r="BY129" s="214"/>
    </row>
    <row r="130" spans="3:77" s="1" customFormat="1" ht="15" customHeight="1" x14ac:dyDescent="0.35">
      <c r="C130" s="40"/>
      <c r="D130" s="40"/>
      <c r="E130" s="40"/>
      <c r="F130" s="40"/>
      <c r="G130" s="40"/>
      <c r="H130" s="40"/>
      <c r="I130" s="40"/>
      <c r="J130" s="40"/>
      <c r="K130" s="40"/>
      <c r="L130" s="40"/>
      <c r="M130" s="170"/>
      <c r="N130" s="170"/>
      <c r="O130" s="40"/>
      <c r="P130" s="40"/>
      <c r="AB130" s="182"/>
      <c r="BF130" s="214"/>
      <c r="BY130" s="214"/>
    </row>
    <row r="131" spans="3:77" s="1" customFormat="1" ht="15" customHeight="1" x14ac:dyDescent="0.35">
      <c r="C131" s="40"/>
      <c r="D131" s="40"/>
      <c r="E131" s="40"/>
      <c r="F131" s="40"/>
      <c r="G131" s="40"/>
      <c r="H131" s="40"/>
      <c r="I131" s="40"/>
      <c r="J131" s="40"/>
      <c r="K131" s="40"/>
      <c r="L131" s="40"/>
      <c r="M131" s="170"/>
      <c r="N131" s="170"/>
      <c r="O131" s="40"/>
      <c r="P131" s="40"/>
      <c r="AB131" s="182"/>
      <c r="BF131" s="214"/>
      <c r="BY131" s="214"/>
    </row>
    <row r="132" spans="3:77" s="1" customFormat="1" ht="15" customHeight="1" x14ac:dyDescent="0.35">
      <c r="C132" s="40"/>
      <c r="D132" s="40"/>
      <c r="E132" s="40"/>
      <c r="F132" s="40"/>
      <c r="G132" s="40"/>
      <c r="H132" s="40"/>
      <c r="I132" s="40"/>
      <c r="J132" s="40"/>
      <c r="K132" s="40"/>
      <c r="L132" s="40"/>
      <c r="M132" s="170"/>
      <c r="N132" s="170"/>
      <c r="O132" s="40"/>
      <c r="P132" s="40"/>
      <c r="AB132" s="182"/>
      <c r="BF132" s="214"/>
      <c r="BY132" s="214"/>
    </row>
    <row r="133" spans="3:77" s="1" customFormat="1" ht="15" customHeight="1" x14ac:dyDescent="0.35">
      <c r="C133" s="40"/>
      <c r="D133" s="40"/>
      <c r="E133" s="40"/>
      <c r="F133" s="40"/>
      <c r="G133" s="40"/>
      <c r="H133" s="40"/>
      <c r="I133" s="40"/>
      <c r="J133" s="40"/>
      <c r="K133" s="40"/>
      <c r="L133" s="40"/>
      <c r="M133" s="170"/>
      <c r="N133" s="170"/>
      <c r="O133" s="40"/>
      <c r="P133" s="40"/>
      <c r="AB133" s="182"/>
      <c r="BF133" s="214"/>
      <c r="BY133" s="214"/>
    </row>
    <row r="134" spans="3:77" s="1" customFormat="1" ht="15" customHeight="1" x14ac:dyDescent="0.35">
      <c r="C134" s="40"/>
      <c r="D134" s="40"/>
      <c r="E134" s="40"/>
      <c r="F134" s="40"/>
      <c r="G134" s="40"/>
      <c r="H134" s="40"/>
      <c r="I134" s="40"/>
      <c r="J134" s="40"/>
      <c r="K134" s="40"/>
      <c r="L134" s="40"/>
      <c r="M134" s="170"/>
      <c r="N134" s="170"/>
      <c r="O134" s="40"/>
      <c r="P134" s="40"/>
      <c r="AB134" s="182"/>
      <c r="BF134" s="214"/>
      <c r="BY134" s="214"/>
    </row>
    <row r="135" spans="3:77" s="1" customFormat="1" ht="15" customHeight="1" x14ac:dyDescent="0.35">
      <c r="C135" s="40"/>
      <c r="D135" s="40"/>
      <c r="E135" s="40"/>
      <c r="F135" s="40"/>
      <c r="G135" s="40"/>
      <c r="H135" s="40"/>
      <c r="I135" s="40"/>
      <c r="J135" s="40"/>
      <c r="K135" s="40"/>
      <c r="L135" s="40"/>
      <c r="M135" s="170"/>
      <c r="N135" s="170"/>
      <c r="O135" s="40"/>
      <c r="P135" s="40"/>
      <c r="AB135" s="182"/>
      <c r="BF135" s="214"/>
      <c r="BY135" s="214"/>
    </row>
    <row r="136" spans="3:77" s="1" customFormat="1" ht="15" customHeight="1" x14ac:dyDescent="0.35">
      <c r="C136" s="40"/>
      <c r="D136" s="40"/>
      <c r="E136" s="40"/>
      <c r="F136" s="40"/>
      <c r="G136" s="40"/>
      <c r="H136" s="40"/>
      <c r="I136" s="40"/>
      <c r="J136" s="40"/>
      <c r="K136" s="40"/>
      <c r="L136" s="40"/>
      <c r="M136" s="170"/>
      <c r="N136" s="170"/>
      <c r="O136" s="40"/>
      <c r="P136" s="40"/>
      <c r="AB136" s="182"/>
      <c r="BF136" s="214"/>
      <c r="BY136" s="214"/>
    </row>
    <row r="137" spans="3:77" s="1" customFormat="1" ht="15" customHeight="1" x14ac:dyDescent="0.35">
      <c r="C137" s="40"/>
      <c r="D137" s="40"/>
      <c r="E137" s="40"/>
      <c r="F137" s="40"/>
      <c r="G137" s="40"/>
      <c r="H137" s="40"/>
      <c r="I137" s="40"/>
      <c r="J137" s="40"/>
      <c r="K137" s="40"/>
      <c r="L137" s="40"/>
      <c r="M137" s="170"/>
      <c r="N137" s="170"/>
      <c r="O137" s="40"/>
      <c r="P137" s="40"/>
      <c r="AB137" s="182"/>
      <c r="BF137" s="214"/>
      <c r="BY137" s="214"/>
    </row>
    <row r="138" spans="3:77" s="1" customFormat="1" ht="15" customHeight="1" x14ac:dyDescent="0.35">
      <c r="C138" s="40"/>
      <c r="D138" s="40"/>
      <c r="E138" s="40"/>
      <c r="F138" s="40"/>
      <c r="G138" s="40"/>
      <c r="H138" s="40"/>
      <c r="I138" s="40"/>
      <c r="J138" s="40"/>
      <c r="K138" s="40"/>
      <c r="L138" s="40"/>
      <c r="M138" s="170"/>
      <c r="N138" s="170"/>
      <c r="O138" s="40"/>
      <c r="P138" s="40"/>
      <c r="AB138" s="182"/>
      <c r="BF138" s="214"/>
      <c r="BY138" s="214"/>
    </row>
    <row r="139" spans="3:77" s="1" customFormat="1" ht="15" customHeight="1" x14ac:dyDescent="0.35">
      <c r="C139" s="40"/>
      <c r="D139" s="40"/>
      <c r="E139" s="40"/>
      <c r="F139" s="40"/>
      <c r="G139" s="40"/>
      <c r="H139" s="40"/>
      <c r="I139" s="40"/>
      <c r="J139" s="40"/>
      <c r="K139" s="40"/>
      <c r="L139" s="40"/>
      <c r="M139" s="170"/>
      <c r="N139" s="170"/>
      <c r="O139" s="40"/>
      <c r="P139" s="40"/>
      <c r="AB139" s="182"/>
      <c r="BF139" s="214"/>
      <c r="BY139" s="214"/>
    </row>
    <row r="140" spans="3:77" s="1" customFormat="1" ht="15" customHeight="1" x14ac:dyDescent="0.35">
      <c r="C140" s="40"/>
      <c r="D140" s="40"/>
      <c r="E140" s="40"/>
      <c r="F140" s="40"/>
      <c r="G140" s="40"/>
      <c r="H140" s="40"/>
      <c r="I140" s="40"/>
      <c r="J140" s="40"/>
      <c r="K140" s="40"/>
      <c r="L140" s="40"/>
      <c r="M140" s="170"/>
      <c r="N140" s="170"/>
      <c r="O140" s="40"/>
      <c r="P140" s="40"/>
      <c r="AB140" s="182"/>
      <c r="BF140" s="214"/>
      <c r="BY140" s="214"/>
    </row>
    <row r="141" spans="3:77" s="1" customFormat="1" ht="15" customHeight="1" x14ac:dyDescent="0.35">
      <c r="C141" s="40"/>
      <c r="D141" s="40"/>
      <c r="E141" s="40"/>
      <c r="F141" s="40"/>
      <c r="G141" s="40"/>
      <c r="H141" s="40"/>
      <c r="I141" s="40"/>
      <c r="J141" s="40"/>
      <c r="K141" s="40"/>
      <c r="L141" s="40"/>
      <c r="M141" s="170"/>
      <c r="N141" s="170"/>
      <c r="O141" s="40"/>
      <c r="P141" s="40"/>
      <c r="AB141" s="182"/>
      <c r="BF141" s="214"/>
      <c r="BY141" s="214"/>
    </row>
    <row r="142" spans="3:77" s="1" customFormat="1" ht="15" customHeight="1" x14ac:dyDescent="0.35">
      <c r="C142" s="40"/>
      <c r="D142" s="40"/>
      <c r="E142" s="40"/>
      <c r="F142" s="40"/>
      <c r="G142" s="40"/>
      <c r="H142" s="40"/>
      <c r="I142" s="40"/>
      <c r="J142" s="40"/>
      <c r="K142" s="40"/>
      <c r="L142" s="40"/>
      <c r="M142" s="170"/>
      <c r="N142" s="170"/>
      <c r="O142" s="40"/>
      <c r="P142" s="40"/>
      <c r="AB142" s="182"/>
      <c r="BF142" s="214"/>
      <c r="BY142" s="214"/>
    </row>
    <row r="143" spans="3:77" s="1" customFormat="1" ht="15" customHeight="1" x14ac:dyDescent="0.35">
      <c r="C143" s="40"/>
      <c r="D143" s="40"/>
      <c r="E143" s="40"/>
      <c r="F143" s="40"/>
      <c r="G143" s="40"/>
      <c r="H143" s="40"/>
      <c r="I143" s="40"/>
      <c r="J143" s="40"/>
      <c r="K143" s="40"/>
      <c r="L143" s="40"/>
      <c r="M143" s="170"/>
      <c r="N143" s="170"/>
      <c r="O143" s="40"/>
      <c r="P143" s="40"/>
      <c r="AB143" s="182"/>
      <c r="BF143" s="214"/>
      <c r="BY143" s="214"/>
    </row>
    <row r="144" spans="3:77" s="1" customFormat="1" ht="15" customHeight="1" x14ac:dyDescent="0.35">
      <c r="C144" s="40"/>
      <c r="D144" s="40"/>
      <c r="E144" s="40"/>
      <c r="F144" s="40"/>
      <c r="G144" s="40"/>
      <c r="H144" s="40"/>
      <c r="I144" s="40"/>
      <c r="J144" s="40"/>
      <c r="K144" s="40"/>
      <c r="L144" s="40"/>
      <c r="M144" s="170"/>
      <c r="N144" s="170"/>
      <c r="O144" s="40"/>
      <c r="P144" s="40"/>
      <c r="AB144" s="182"/>
      <c r="BF144" s="214"/>
      <c r="BY144" s="214"/>
    </row>
    <row r="145" spans="3:77" s="1" customFormat="1" ht="15" customHeight="1" x14ac:dyDescent="0.35">
      <c r="C145" s="40"/>
      <c r="D145" s="40"/>
      <c r="E145" s="40"/>
      <c r="F145" s="40"/>
      <c r="G145" s="40"/>
      <c r="H145" s="40"/>
      <c r="I145" s="40"/>
      <c r="J145" s="40"/>
      <c r="K145" s="40"/>
      <c r="L145" s="40"/>
      <c r="M145" s="170"/>
      <c r="N145" s="170"/>
      <c r="O145" s="40"/>
      <c r="P145" s="40"/>
      <c r="AB145" s="182"/>
      <c r="BF145" s="214"/>
      <c r="BY145" s="214"/>
    </row>
    <row r="146" spans="3:77" s="1" customFormat="1" ht="15" customHeight="1" x14ac:dyDescent="0.35">
      <c r="C146" s="40"/>
      <c r="D146" s="40"/>
      <c r="E146" s="40"/>
      <c r="F146" s="40"/>
      <c r="G146" s="40"/>
      <c r="H146" s="40"/>
      <c r="I146" s="40"/>
      <c r="J146" s="40"/>
      <c r="K146" s="40"/>
      <c r="L146" s="40"/>
      <c r="M146" s="170"/>
      <c r="N146" s="170"/>
      <c r="O146" s="40"/>
      <c r="P146" s="40"/>
      <c r="AB146" s="182"/>
      <c r="BF146" s="214"/>
      <c r="BY146" s="214"/>
    </row>
    <row r="147" spans="3:77" s="1" customFormat="1" ht="15" customHeight="1" x14ac:dyDescent="0.35">
      <c r="C147" s="40"/>
      <c r="D147" s="40"/>
      <c r="E147" s="40"/>
      <c r="F147" s="40"/>
      <c r="G147" s="40"/>
      <c r="H147" s="40"/>
      <c r="I147" s="40"/>
      <c r="J147" s="40"/>
      <c r="K147" s="40"/>
      <c r="L147" s="40"/>
      <c r="M147" s="170"/>
      <c r="N147" s="170"/>
      <c r="O147" s="40"/>
      <c r="P147" s="40"/>
      <c r="AB147" s="182"/>
      <c r="BF147" s="214"/>
      <c r="BY147" s="214"/>
    </row>
    <row r="148" spans="3:77" s="1" customFormat="1" ht="15" customHeight="1" x14ac:dyDescent="0.35">
      <c r="C148" s="40"/>
      <c r="D148" s="40"/>
      <c r="E148" s="40"/>
      <c r="F148" s="40"/>
      <c r="G148" s="40"/>
      <c r="H148" s="40"/>
      <c r="I148" s="40"/>
      <c r="J148" s="40"/>
      <c r="K148" s="40"/>
      <c r="L148" s="40"/>
      <c r="M148" s="170"/>
      <c r="N148" s="170"/>
      <c r="O148" s="40"/>
      <c r="P148" s="40"/>
      <c r="AB148" s="182"/>
      <c r="BF148" s="214"/>
      <c r="BY148" s="214"/>
    </row>
    <row r="149" spans="3:77" s="1" customFormat="1" ht="15" customHeight="1" x14ac:dyDescent="0.35">
      <c r="C149" s="40"/>
      <c r="D149" s="40"/>
      <c r="E149" s="40"/>
      <c r="F149" s="40"/>
      <c r="G149" s="40"/>
      <c r="H149" s="40"/>
      <c r="I149" s="40"/>
      <c r="J149" s="40"/>
      <c r="K149" s="40"/>
      <c r="L149" s="40"/>
      <c r="M149" s="170"/>
      <c r="N149" s="170"/>
      <c r="O149" s="40"/>
      <c r="P149" s="40"/>
      <c r="AB149" s="182"/>
      <c r="BF149" s="214"/>
      <c r="BY149" s="214"/>
    </row>
    <row r="150" spans="3:77" s="1" customFormat="1" ht="15" customHeight="1" x14ac:dyDescent="0.35">
      <c r="C150" s="40"/>
      <c r="D150" s="40"/>
      <c r="E150" s="40"/>
      <c r="F150" s="40"/>
      <c r="G150" s="40"/>
      <c r="H150" s="40"/>
      <c r="I150" s="40"/>
      <c r="J150" s="40"/>
      <c r="K150" s="40"/>
      <c r="L150" s="40"/>
      <c r="M150" s="170"/>
      <c r="N150" s="170"/>
      <c r="O150" s="40"/>
      <c r="P150" s="40"/>
      <c r="AB150" s="182"/>
      <c r="BF150" s="214"/>
      <c r="BY150" s="214"/>
    </row>
    <row r="151" spans="3:77" s="1" customFormat="1" ht="15" customHeight="1" x14ac:dyDescent="0.35">
      <c r="C151" s="40"/>
      <c r="D151" s="40"/>
      <c r="E151" s="40"/>
      <c r="F151" s="40"/>
      <c r="G151" s="40"/>
      <c r="H151" s="40"/>
      <c r="I151" s="40"/>
      <c r="J151" s="40"/>
      <c r="K151" s="40"/>
      <c r="L151" s="40"/>
      <c r="M151" s="170"/>
      <c r="N151" s="170"/>
      <c r="O151" s="40"/>
      <c r="P151" s="40"/>
      <c r="AB151" s="182"/>
      <c r="BF151" s="214"/>
      <c r="BY151" s="214"/>
    </row>
    <row r="152" spans="3:77" s="1" customFormat="1" ht="15" customHeight="1" x14ac:dyDescent="0.35">
      <c r="C152" s="40"/>
      <c r="D152" s="40"/>
      <c r="E152" s="40"/>
      <c r="F152" s="40"/>
      <c r="G152" s="40"/>
      <c r="H152" s="40"/>
      <c r="I152" s="40"/>
      <c r="J152" s="40"/>
      <c r="K152" s="40"/>
      <c r="L152" s="40"/>
      <c r="M152" s="170"/>
      <c r="N152" s="170"/>
      <c r="O152" s="40"/>
      <c r="P152" s="40"/>
      <c r="AB152" s="182"/>
      <c r="BF152" s="214"/>
      <c r="BY152" s="214"/>
    </row>
    <row r="153" spans="3:77" s="1" customFormat="1" ht="15" customHeight="1" x14ac:dyDescent="0.35">
      <c r="C153" s="40"/>
      <c r="D153" s="40"/>
      <c r="E153" s="40"/>
      <c r="F153" s="40"/>
      <c r="G153" s="40"/>
      <c r="H153" s="40"/>
      <c r="I153" s="40"/>
      <c r="J153" s="40"/>
      <c r="K153" s="40"/>
      <c r="L153" s="40"/>
      <c r="M153" s="170"/>
      <c r="N153" s="170"/>
      <c r="O153" s="40"/>
      <c r="P153" s="40"/>
      <c r="AB153" s="182"/>
      <c r="BF153" s="214"/>
      <c r="BY153" s="214"/>
    </row>
    <row r="154" spans="3:77" s="1" customFormat="1" ht="15" customHeight="1" x14ac:dyDescent="0.35">
      <c r="C154" s="40"/>
      <c r="D154" s="40"/>
      <c r="E154" s="40"/>
      <c r="F154" s="40"/>
      <c r="G154" s="40"/>
      <c r="H154" s="40"/>
      <c r="I154" s="40"/>
      <c r="J154" s="40"/>
      <c r="K154" s="40"/>
      <c r="L154" s="40"/>
      <c r="M154" s="170"/>
      <c r="N154" s="170"/>
      <c r="O154" s="40"/>
      <c r="P154" s="40"/>
      <c r="AB154" s="182"/>
      <c r="BF154" s="214"/>
      <c r="BY154" s="214"/>
    </row>
    <row r="155" spans="3:77" s="1" customFormat="1" ht="15" customHeight="1" x14ac:dyDescent="0.35">
      <c r="C155" s="40"/>
      <c r="D155" s="40"/>
      <c r="E155" s="40"/>
      <c r="F155" s="40"/>
      <c r="G155" s="40"/>
      <c r="H155" s="40"/>
      <c r="I155" s="40"/>
      <c r="J155" s="40"/>
      <c r="K155" s="40"/>
      <c r="L155" s="40"/>
      <c r="M155" s="170"/>
      <c r="N155" s="170"/>
      <c r="O155" s="40"/>
      <c r="P155" s="40"/>
      <c r="AB155" s="182"/>
      <c r="BF155" s="214"/>
      <c r="BY155" s="214"/>
    </row>
    <row r="156" spans="3:77" s="1" customFormat="1" ht="15" customHeight="1" x14ac:dyDescent="0.35">
      <c r="C156" s="40"/>
      <c r="D156" s="40"/>
      <c r="E156" s="40"/>
      <c r="F156" s="40"/>
      <c r="G156" s="40"/>
      <c r="H156" s="40"/>
      <c r="I156" s="40"/>
      <c r="J156" s="40"/>
      <c r="K156" s="40"/>
      <c r="L156" s="40"/>
      <c r="M156" s="170"/>
      <c r="N156" s="170"/>
      <c r="O156" s="40"/>
      <c r="P156" s="40"/>
      <c r="AB156" s="182"/>
      <c r="BF156" s="214"/>
      <c r="BY156" s="214"/>
    </row>
    <row r="157" spans="3:77" s="1" customFormat="1" ht="15" customHeight="1" x14ac:dyDescent="0.35">
      <c r="C157" s="40"/>
      <c r="D157" s="40"/>
      <c r="E157" s="40"/>
      <c r="F157" s="40"/>
      <c r="G157" s="40"/>
      <c r="H157" s="40"/>
      <c r="I157" s="40"/>
      <c r="J157" s="40"/>
      <c r="K157" s="40"/>
      <c r="L157" s="40"/>
      <c r="M157" s="170"/>
      <c r="N157" s="170"/>
      <c r="O157" s="40"/>
      <c r="P157" s="40"/>
      <c r="AB157" s="182"/>
      <c r="BF157" s="214"/>
      <c r="BY157" s="214"/>
    </row>
    <row r="158" spans="3:77" s="1" customFormat="1" ht="15" customHeight="1" x14ac:dyDescent="0.35">
      <c r="C158" s="40"/>
      <c r="D158" s="40"/>
      <c r="E158" s="40"/>
      <c r="F158" s="40"/>
      <c r="G158" s="40"/>
      <c r="H158" s="40"/>
      <c r="I158" s="40"/>
      <c r="J158" s="40"/>
      <c r="K158" s="40"/>
      <c r="L158" s="40"/>
      <c r="M158" s="170"/>
      <c r="N158" s="170"/>
      <c r="O158" s="40"/>
      <c r="P158" s="40"/>
      <c r="AB158" s="182"/>
      <c r="BF158" s="214"/>
      <c r="BY158" s="214"/>
    </row>
    <row r="159" spans="3:77" s="1" customFormat="1" ht="15" customHeight="1" x14ac:dyDescent="0.35">
      <c r="C159" s="40"/>
      <c r="D159" s="40"/>
      <c r="E159" s="40"/>
      <c r="F159" s="40"/>
      <c r="G159" s="40"/>
      <c r="H159" s="40"/>
      <c r="I159" s="40"/>
      <c r="J159" s="40"/>
      <c r="K159" s="40"/>
      <c r="L159" s="40"/>
      <c r="M159" s="170"/>
      <c r="N159" s="170"/>
      <c r="O159" s="40"/>
      <c r="P159" s="40"/>
      <c r="AB159" s="182"/>
      <c r="BF159" s="214"/>
      <c r="BY159" s="214"/>
    </row>
    <row r="160" spans="3:77" s="1" customFormat="1" ht="15" customHeight="1" x14ac:dyDescent="0.35">
      <c r="C160" s="40"/>
      <c r="D160" s="40"/>
      <c r="E160" s="40"/>
      <c r="F160" s="40"/>
      <c r="G160" s="40"/>
      <c r="H160" s="40"/>
      <c r="I160" s="40"/>
      <c r="J160" s="40"/>
      <c r="K160" s="40"/>
      <c r="L160" s="40"/>
      <c r="M160" s="170"/>
      <c r="N160" s="170"/>
      <c r="O160" s="40"/>
      <c r="P160" s="40"/>
      <c r="AB160" s="182"/>
      <c r="BF160" s="214"/>
      <c r="BY160" s="214"/>
    </row>
    <row r="161" spans="3:77" s="1" customFormat="1" ht="15" customHeight="1" x14ac:dyDescent="0.35">
      <c r="C161" s="40"/>
      <c r="D161" s="40"/>
      <c r="E161" s="40"/>
      <c r="F161" s="40"/>
      <c r="G161" s="40"/>
      <c r="H161" s="40"/>
      <c r="I161" s="40"/>
      <c r="J161" s="40"/>
      <c r="K161" s="40"/>
      <c r="L161" s="40"/>
      <c r="M161" s="170"/>
      <c r="N161" s="170"/>
      <c r="O161" s="40"/>
      <c r="P161" s="40"/>
      <c r="AB161" s="182"/>
      <c r="BF161" s="214"/>
      <c r="BY161" s="214"/>
    </row>
    <row r="162" spans="3:77" s="1" customFormat="1" ht="15" customHeight="1" x14ac:dyDescent="0.35">
      <c r="C162" s="40"/>
      <c r="D162" s="40"/>
      <c r="E162" s="40"/>
      <c r="F162" s="40"/>
      <c r="G162" s="40"/>
      <c r="H162" s="40"/>
      <c r="I162" s="40"/>
      <c r="J162" s="40"/>
      <c r="K162" s="40"/>
      <c r="L162" s="40"/>
      <c r="M162" s="170"/>
      <c r="N162" s="170"/>
      <c r="O162" s="40"/>
      <c r="P162" s="40"/>
      <c r="AB162" s="182"/>
      <c r="BF162" s="214"/>
      <c r="BY162" s="214"/>
    </row>
    <row r="163" spans="3:77" s="1" customFormat="1" ht="15" customHeight="1" x14ac:dyDescent="0.35">
      <c r="C163" s="40"/>
      <c r="D163" s="40"/>
      <c r="E163" s="40"/>
      <c r="F163" s="40"/>
      <c r="G163" s="40"/>
      <c r="H163" s="40"/>
      <c r="I163" s="40"/>
      <c r="J163" s="40"/>
      <c r="K163" s="40"/>
      <c r="L163" s="40"/>
      <c r="M163" s="170"/>
      <c r="N163" s="170"/>
      <c r="O163" s="40"/>
      <c r="P163" s="40"/>
      <c r="AB163" s="182"/>
      <c r="BF163" s="214"/>
      <c r="BY163" s="214"/>
    </row>
    <row r="164" spans="3:77" s="1" customFormat="1" ht="15" customHeight="1" x14ac:dyDescent="0.35">
      <c r="C164" s="40"/>
      <c r="D164" s="40"/>
      <c r="E164" s="40"/>
      <c r="F164" s="40"/>
      <c r="G164" s="40"/>
      <c r="H164" s="40"/>
      <c r="I164" s="40"/>
      <c r="J164" s="40"/>
      <c r="K164" s="40"/>
      <c r="L164" s="40"/>
      <c r="M164" s="170"/>
      <c r="N164" s="170"/>
      <c r="O164" s="40"/>
      <c r="P164" s="40"/>
      <c r="AB164" s="182"/>
      <c r="BF164" s="214"/>
      <c r="BY164" s="214"/>
    </row>
    <row r="165" spans="3:77" s="1" customFormat="1" ht="15" customHeight="1" x14ac:dyDescent="0.35">
      <c r="C165" s="40"/>
      <c r="D165" s="40"/>
      <c r="E165" s="40"/>
      <c r="F165" s="40"/>
      <c r="G165" s="40"/>
      <c r="H165" s="40"/>
      <c r="I165" s="40"/>
      <c r="J165" s="40"/>
      <c r="K165" s="40"/>
      <c r="L165" s="40"/>
      <c r="M165" s="170"/>
      <c r="N165" s="170"/>
      <c r="O165" s="40"/>
      <c r="P165" s="40"/>
      <c r="AB165" s="182"/>
      <c r="BF165" s="214"/>
      <c r="BY165" s="214"/>
    </row>
    <row r="166" spans="3:77" s="1" customFormat="1" ht="15" customHeight="1" x14ac:dyDescent="0.35">
      <c r="C166" s="40"/>
      <c r="D166" s="40"/>
      <c r="E166" s="40"/>
      <c r="F166" s="40"/>
      <c r="G166" s="40"/>
      <c r="H166" s="40"/>
      <c r="I166" s="40"/>
      <c r="J166" s="40"/>
      <c r="K166" s="40"/>
      <c r="L166" s="40"/>
      <c r="M166" s="170"/>
      <c r="N166" s="170"/>
      <c r="O166" s="40"/>
      <c r="P166" s="40"/>
      <c r="AB166" s="182"/>
      <c r="BF166" s="214"/>
      <c r="BY166" s="214"/>
    </row>
    <row r="167" spans="3:77" s="1" customFormat="1" ht="15" customHeight="1" x14ac:dyDescent="0.35">
      <c r="C167" s="40"/>
      <c r="D167" s="40"/>
      <c r="E167" s="40"/>
      <c r="F167" s="40"/>
      <c r="G167" s="40"/>
      <c r="H167" s="40"/>
      <c r="I167" s="40"/>
      <c r="J167" s="40"/>
      <c r="K167" s="40"/>
      <c r="L167" s="40"/>
      <c r="M167" s="170"/>
      <c r="N167" s="170"/>
      <c r="O167" s="40"/>
      <c r="P167" s="40"/>
      <c r="AB167" s="182"/>
      <c r="BF167" s="214"/>
      <c r="BY167" s="214"/>
    </row>
    <row r="168" spans="3:77" s="1" customFormat="1" ht="15" customHeight="1" x14ac:dyDescent="0.35">
      <c r="C168" s="40"/>
      <c r="D168" s="40"/>
      <c r="E168" s="40"/>
      <c r="F168" s="40"/>
      <c r="G168" s="40"/>
      <c r="H168" s="40"/>
      <c r="I168" s="40"/>
      <c r="J168" s="40"/>
      <c r="K168" s="40"/>
      <c r="L168" s="40"/>
      <c r="M168" s="170"/>
      <c r="N168" s="170"/>
      <c r="O168" s="40"/>
      <c r="P168" s="40"/>
      <c r="AB168" s="182"/>
      <c r="BF168" s="214"/>
      <c r="BY168" s="214"/>
    </row>
    <row r="169" spans="3:77" s="1" customFormat="1" ht="15" customHeight="1" x14ac:dyDescent="0.35">
      <c r="C169" s="40"/>
      <c r="D169" s="40"/>
      <c r="E169" s="40"/>
      <c r="F169" s="40"/>
      <c r="G169" s="40"/>
      <c r="H169" s="40"/>
      <c r="I169" s="40"/>
      <c r="J169" s="40"/>
      <c r="K169" s="40"/>
      <c r="L169" s="40"/>
      <c r="M169" s="170"/>
      <c r="N169" s="170"/>
      <c r="O169" s="40"/>
      <c r="P169" s="40"/>
      <c r="AB169" s="182"/>
      <c r="BF169" s="214"/>
      <c r="BY169" s="214"/>
    </row>
    <row r="170" spans="3:77" s="1" customFormat="1" ht="15" customHeight="1" x14ac:dyDescent="0.35">
      <c r="C170" s="40"/>
      <c r="D170" s="40"/>
      <c r="E170" s="40"/>
      <c r="F170" s="40"/>
      <c r="G170" s="40"/>
      <c r="H170" s="40"/>
      <c r="I170" s="40"/>
      <c r="J170" s="40"/>
      <c r="K170" s="40"/>
      <c r="L170" s="40"/>
      <c r="M170" s="170"/>
      <c r="N170" s="170"/>
      <c r="O170" s="40"/>
      <c r="P170" s="40"/>
      <c r="AB170" s="182"/>
      <c r="BF170" s="214"/>
      <c r="BY170" s="214"/>
    </row>
    <row r="171" spans="3:77" s="1" customFormat="1" ht="15" customHeight="1" x14ac:dyDescent="0.35">
      <c r="C171" s="40"/>
      <c r="D171" s="40"/>
      <c r="E171" s="40"/>
      <c r="F171" s="40"/>
      <c r="G171" s="40"/>
      <c r="H171" s="40"/>
      <c r="I171" s="40"/>
      <c r="J171" s="40"/>
      <c r="K171" s="40"/>
      <c r="L171" s="40"/>
      <c r="M171" s="170"/>
      <c r="N171" s="170"/>
      <c r="O171" s="40"/>
      <c r="P171" s="40"/>
      <c r="AB171" s="182"/>
      <c r="BF171" s="214"/>
      <c r="BY171" s="214"/>
    </row>
    <row r="172" spans="3:77" s="1" customFormat="1" ht="15" customHeight="1" x14ac:dyDescent="0.35">
      <c r="C172" s="40"/>
      <c r="D172" s="40"/>
      <c r="E172" s="40"/>
      <c r="F172" s="40"/>
      <c r="G172" s="40"/>
      <c r="H172" s="40"/>
      <c r="I172" s="40"/>
      <c r="J172" s="40"/>
      <c r="K172" s="40"/>
      <c r="L172" s="40"/>
      <c r="M172" s="170"/>
      <c r="N172" s="170"/>
      <c r="O172" s="40"/>
      <c r="P172" s="40"/>
      <c r="AB172" s="182"/>
      <c r="BF172" s="214"/>
      <c r="BY172" s="214"/>
    </row>
    <row r="173" spans="3:77" s="1" customFormat="1" ht="15" customHeight="1" x14ac:dyDescent="0.35">
      <c r="C173" s="40"/>
      <c r="D173" s="40"/>
      <c r="E173" s="40"/>
      <c r="F173" s="40"/>
      <c r="G173" s="40"/>
      <c r="H173" s="40"/>
      <c r="I173" s="40"/>
      <c r="J173" s="40"/>
      <c r="K173" s="40"/>
      <c r="L173" s="40"/>
      <c r="M173" s="170"/>
      <c r="N173" s="170"/>
      <c r="O173" s="40"/>
      <c r="P173" s="40"/>
      <c r="AB173" s="182"/>
      <c r="BF173" s="214"/>
      <c r="BY173" s="214"/>
    </row>
    <row r="174" spans="3:77" s="1" customFormat="1" ht="15" customHeight="1" x14ac:dyDescent="0.35">
      <c r="C174" s="40"/>
      <c r="D174" s="40"/>
      <c r="E174" s="40"/>
      <c r="F174" s="40"/>
      <c r="G174" s="40"/>
      <c r="H174" s="40"/>
      <c r="I174" s="40"/>
      <c r="J174" s="40"/>
      <c r="K174" s="40"/>
      <c r="L174" s="40"/>
      <c r="M174" s="170"/>
      <c r="N174" s="170"/>
      <c r="O174" s="40"/>
      <c r="P174" s="40"/>
      <c r="AB174" s="182"/>
      <c r="BF174" s="214"/>
      <c r="BY174" s="214"/>
    </row>
    <row r="175" spans="3:77" s="1" customFormat="1" ht="15" customHeight="1" x14ac:dyDescent="0.35">
      <c r="C175" s="40"/>
      <c r="D175" s="40"/>
      <c r="E175" s="40"/>
      <c r="F175" s="40"/>
      <c r="G175" s="40"/>
      <c r="H175" s="40"/>
      <c r="I175" s="40"/>
      <c r="J175" s="40"/>
      <c r="K175" s="40"/>
      <c r="L175" s="40"/>
      <c r="M175" s="170"/>
      <c r="N175" s="170"/>
      <c r="O175" s="40"/>
      <c r="P175" s="40"/>
      <c r="AB175" s="182"/>
      <c r="BF175" s="214"/>
      <c r="BY175" s="214"/>
    </row>
    <row r="176" spans="3:77" s="1" customFormat="1" ht="15" customHeight="1" x14ac:dyDescent="0.35">
      <c r="C176" s="40"/>
      <c r="D176" s="40"/>
      <c r="E176" s="40"/>
      <c r="F176" s="40"/>
      <c r="G176" s="40"/>
      <c r="H176" s="40"/>
      <c r="I176" s="40"/>
      <c r="J176" s="40"/>
      <c r="K176" s="40"/>
      <c r="L176" s="40"/>
      <c r="M176" s="170"/>
      <c r="N176" s="170"/>
      <c r="O176" s="40"/>
      <c r="P176" s="40"/>
      <c r="AB176" s="182"/>
      <c r="BF176" s="214"/>
      <c r="BY176" s="214"/>
    </row>
    <row r="177" spans="2:77" s="1" customFormat="1" ht="15" customHeight="1" x14ac:dyDescent="0.35">
      <c r="C177" s="40"/>
      <c r="D177" s="40"/>
      <c r="E177" s="40"/>
      <c r="F177" s="40"/>
      <c r="G177" s="40"/>
      <c r="H177" s="40"/>
      <c r="I177" s="40"/>
      <c r="J177" s="40"/>
      <c r="K177" s="40"/>
      <c r="L177" s="40"/>
      <c r="M177" s="170"/>
      <c r="N177" s="170"/>
      <c r="O177" s="40"/>
      <c r="P177" s="40"/>
      <c r="AB177" s="182"/>
      <c r="BF177" s="214"/>
      <c r="BY177" s="214"/>
    </row>
    <row r="178" spans="2:77" s="1" customFormat="1" ht="15" customHeight="1" x14ac:dyDescent="0.35">
      <c r="C178" s="40"/>
      <c r="D178" s="40"/>
      <c r="E178" s="40"/>
      <c r="F178" s="40"/>
      <c r="G178" s="40"/>
      <c r="H178" s="40"/>
      <c r="I178" s="40"/>
      <c r="J178" s="40"/>
      <c r="K178" s="40"/>
      <c r="L178" s="40"/>
      <c r="M178" s="170"/>
      <c r="N178" s="170"/>
      <c r="O178" s="40"/>
      <c r="P178" s="40"/>
      <c r="AB178" s="182"/>
      <c r="BF178" s="214"/>
      <c r="BY178" s="214"/>
    </row>
    <row r="179" spans="2:77" s="1" customFormat="1" ht="15" customHeight="1" x14ac:dyDescent="0.35">
      <c r="C179" s="40"/>
      <c r="D179" s="40"/>
      <c r="E179" s="40"/>
      <c r="F179" s="40"/>
      <c r="G179" s="40"/>
      <c r="H179" s="40"/>
      <c r="I179" s="40"/>
      <c r="J179" s="40"/>
      <c r="K179" s="40"/>
      <c r="L179" s="40"/>
      <c r="M179" s="170"/>
      <c r="N179" s="170"/>
      <c r="O179" s="40"/>
      <c r="P179" s="40"/>
      <c r="AB179" s="182"/>
      <c r="BF179" s="214"/>
      <c r="BY179" s="214"/>
    </row>
    <row r="180" spans="2:77" s="1" customFormat="1" ht="15" customHeight="1" x14ac:dyDescent="0.35">
      <c r="C180" s="40"/>
      <c r="D180" s="40"/>
      <c r="E180" s="40"/>
      <c r="F180" s="40"/>
      <c r="G180" s="40"/>
      <c r="H180" s="40"/>
      <c r="I180" s="40"/>
      <c r="J180" s="40"/>
      <c r="K180" s="40"/>
      <c r="L180" s="40"/>
      <c r="M180" s="170"/>
      <c r="N180" s="170"/>
      <c r="O180" s="40"/>
      <c r="P180" s="40"/>
      <c r="AB180" s="182"/>
      <c r="BF180" s="214"/>
      <c r="BY180" s="214"/>
    </row>
    <row r="181" spans="2:77" s="1" customFormat="1" ht="15" customHeight="1" x14ac:dyDescent="0.35">
      <c r="C181" s="40"/>
      <c r="D181" s="40"/>
      <c r="E181" s="40"/>
      <c r="F181" s="40"/>
      <c r="G181" s="40"/>
      <c r="H181" s="40"/>
      <c r="I181" s="40"/>
      <c r="J181" s="40"/>
      <c r="K181" s="40"/>
      <c r="L181" s="40"/>
      <c r="M181" s="170"/>
      <c r="N181" s="170"/>
      <c r="O181" s="40"/>
      <c r="P181" s="40"/>
      <c r="AB181" s="182"/>
      <c r="BF181" s="214"/>
      <c r="BY181" s="214"/>
    </row>
    <row r="182" spans="2:77" s="1" customFormat="1" ht="15" customHeight="1" x14ac:dyDescent="0.35">
      <c r="C182" s="40"/>
      <c r="D182" s="40"/>
      <c r="E182" s="40"/>
      <c r="F182" s="40"/>
      <c r="G182" s="40"/>
      <c r="H182" s="40"/>
      <c r="I182" s="40"/>
      <c r="J182" s="40"/>
      <c r="K182" s="40"/>
      <c r="L182" s="40"/>
      <c r="M182" s="170"/>
      <c r="N182" s="170"/>
      <c r="O182" s="40"/>
      <c r="P182" s="40"/>
      <c r="AB182" s="182"/>
      <c r="BF182" s="214"/>
      <c r="BY182" s="214"/>
    </row>
    <row r="183" spans="2:77" s="1" customFormat="1" ht="15" customHeight="1" x14ac:dyDescent="0.35">
      <c r="C183" s="40"/>
      <c r="D183" s="40"/>
      <c r="E183" s="40"/>
      <c r="F183" s="40"/>
      <c r="G183" s="40"/>
      <c r="H183" s="40"/>
      <c r="I183" s="40"/>
      <c r="J183" s="40"/>
      <c r="K183" s="40"/>
      <c r="L183" s="40"/>
      <c r="M183" s="170"/>
      <c r="N183" s="170"/>
      <c r="O183" s="40"/>
      <c r="P183" s="40"/>
      <c r="AB183" s="182"/>
      <c r="BF183" s="214"/>
      <c r="BY183" s="214"/>
    </row>
    <row r="184" spans="2:77" s="1" customFormat="1" ht="15" customHeight="1" x14ac:dyDescent="0.35">
      <c r="C184" s="40"/>
      <c r="D184" s="40"/>
      <c r="E184" s="40"/>
      <c r="F184" s="40"/>
      <c r="G184" s="40"/>
      <c r="H184" s="40"/>
      <c r="I184" s="40"/>
      <c r="J184" s="40"/>
      <c r="K184" s="40"/>
      <c r="L184" s="40"/>
      <c r="M184" s="170"/>
      <c r="N184" s="170"/>
      <c r="O184" s="40"/>
      <c r="P184" s="40"/>
      <c r="AB184" s="182"/>
      <c r="BF184" s="214"/>
      <c r="BY184" s="214"/>
    </row>
    <row r="185" spans="2:77" s="1" customFormat="1" ht="15" customHeight="1" x14ac:dyDescent="0.35">
      <c r="C185" s="40"/>
      <c r="D185" s="40"/>
      <c r="E185" s="40"/>
      <c r="F185" s="40"/>
      <c r="G185" s="40"/>
      <c r="H185" s="40"/>
      <c r="I185" s="40"/>
      <c r="J185" s="40"/>
      <c r="K185" s="40"/>
      <c r="L185" s="40"/>
      <c r="M185" s="170"/>
      <c r="N185" s="170"/>
      <c r="O185" s="40"/>
      <c r="P185" s="40"/>
      <c r="AB185" s="182"/>
      <c r="BF185" s="214"/>
      <c r="BY185" s="214"/>
    </row>
    <row r="186" spans="2:77" s="1" customFormat="1" ht="15" customHeight="1" x14ac:dyDescent="0.35">
      <c r="C186" s="40"/>
      <c r="D186" s="40"/>
      <c r="E186" s="40"/>
      <c r="F186" s="40"/>
      <c r="G186" s="40"/>
      <c r="H186" s="40"/>
      <c r="I186" s="40"/>
      <c r="J186" s="40"/>
      <c r="K186" s="40"/>
      <c r="L186" s="40"/>
      <c r="M186" s="170"/>
      <c r="N186" s="170"/>
      <c r="O186" s="40"/>
      <c r="P186" s="40"/>
      <c r="AB186" s="182"/>
      <c r="BF186" s="214"/>
      <c r="BY186" s="214"/>
    </row>
    <row r="187" spans="2:77" s="1" customFormat="1" ht="15" customHeight="1" x14ac:dyDescent="0.35">
      <c r="C187" s="40"/>
      <c r="D187" s="40"/>
      <c r="E187" s="40"/>
      <c r="F187" s="40"/>
      <c r="G187" s="40"/>
      <c r="H187" s="40"/>
      <c r="I187" s="40"/>
      <c r="J187" s="40"/>
      <c r="K187" s="40"/>
      <c r="L187" s="40"/>
      <c r="M187" s="170"/>
      <c r="N187" s="170"/>
      <c r="O187" s="40"/>
      <c r="P187" s="40"/>
      <c r="AB187" s="182"/>
      <c r="BF187" s="214"/>
      <c r="BY187" s="214"/>
    </row>
    <row r="188" spans="2:77" s="1" customFormat="1" ht="15" customHeight="1" x14ac:dyDescent="0.35">
      <c r="C188" s="40"/>
      <c r="D188" s="40"/>
      <c r="E188" s="40"/>
      <c r="F188" s="40"/>
      <c r="G188" s="40"/>
      <c r="H188" s="40"/>
      <c r="I188" s="40"/>
      <c r="J188" s="40"/>
      <c r="K188" s="40"/>
      <c r="L188" s="40"/>
      <c r="M188" s="170"/>
      <c r="N188" s="170"/>
      <c r="O188" s="40"/>
      <c r="P188" s="40"/>
      <c r="AB188" s="182"/>
      <c r="BF188" s="214"/>
      <c r="BY188" s="214"/>
    </row>
    <row r="189" spans="2:77" s="1" customFormat="1" ht="15" customHeight="1" x14ac:dyDescent="0.35">
      <c r="C189" s="40"/>
      <c r="D189" s="40"/>
      <c r="E189" s="40"/>
      <c r="F189" s="40"/>
      <c r="G189" s="40"/>
      <c r="H189" s="40"/>
      <c r="I189" s="40"/>
      <c r="J189" s="40"/>
      <c r="K189" s="40"/>
      <c r="L189" s="40"/>
      <c r="M189" s="170"/>
      <c r="N189" s="170"/>
      <c r="O189" s="40"/>
      <c r="P189" s="40"/>
      <c r="AB189" s="182"/>
      <c r="BF189" s="214"/>
      <c r="BY189" s="214"/>
    </row>
    <row r="190" spans="2:77" ht="15" customHeight="1" x14ac:dyDescent="0.35">
      <c r="B190" s="1"/>
    </row>
    <row r="191" spans="2:77" ht="15" customHeight="1" x14ac:dyDescent="0.35">
      <c r="B191" s="1"/>
    </row>
    <row r="192" spans="2:77" ht="15" customHeight="1" x14ac:dyDescent="0.35">
      <c r="B192" s="1"/>
    </row>
    <row r="193" spans="2:2" ht="15" customHeight="1" x14ac:dyDescent="0.35">
      <c r="B193" s="1"/>
    </row>
    <row r="194" spans="2:2" ht="15" customHeight="1" x14ac:dyDescent="0.35"/>
    <row r="195" spans="2:2" ht="15" customHeight="1" x14ac:dyDescent="0.35"/>
    <row r="196" spans="2:2" ht="15" customHeight="1" x14ac:dyDescent="0.35"/>
    <row r="197" spans="2:2" ht="15" customHeight="1" x14ac:dyDescent="0.35"/>
    <row r="198" spans="2:2" ht="15" customHeight="1" x14ac:dyDescent="0.35"/>
    <row r="199" spans="2:2" ht="15" customHeight="1" x14ac:dyDescent="0.35"/>
    <row r="200" spans="2:2" ht="15" customHeight="1" x14ac:dyDescent="0.35"/>
    <row r="201" spans="2:2" ht="15" customHeight="1" x14ac:dyDescent="0.35"/>
    <row r="202" spans="2:2" ht="15" customHeight="1" x14ac:dyDescent="0.35"/>
    <row r="203" spans="2:2" ht="15" customHeight="1" x14ac:dyDescent="0.35"/>
    <row r="204" spans="2:2" ht="15" customHeight="1" x14ac:dyDescent="0.35"/>
    <row r="205" spans="2:2" ht="15" customHeight="1" x14ac:dyDescent="0.35"/>
    <row r="206" spans="2:2" ht="15" customHeight="1" x14ac:dyDescent="0.35"/>
    <row r="207" spans="2:2" ht="15" customHeight="1" x14ac:dyDescent="0.35"/>
    <row r="208" spans="2:2" ht="15" customHeight="1" x14ac:dyDescent="0.35"/>
    <row r="209" ht="15" customHeight="1" x14ac:dyDescent="0.35"/>
    <row r="210" ht="15" customHeight="1" x14ac:dyDescent="0.35"/>
    <row r="211" ht="15" customHeight="1" x14ac:dyDescent="0.35"/>
    <row r="212" ht="15" customHeight="1" x14ac:dyDescent="0.35"/>
    <row r="213" ht="15" customHeight="1" x14ac:dyDescent="0.35"/>
    <row r="214" ht="15" customHeight="1" x14ac:dyDescent="0.35"/>
    <row r="215" ht="15" customHeight="1" x14ac:dyDescent="0.35"/>
    <row r="216" ht="15" customHeight="1" x14ac:dyDescent="0.35"/>
    <row r="217" ht="15" customHeight="1" x14ac:dyDescent="0.35"/>
    <row r="218" ht="15" customHeight="1" x14ac:dyDescent="0.35"/>
    <row r="219" ht="15" customHeight="1" x14ac:dyDescent="0.35"/>
    <row r="220" ht="15" customHeight="1" x14ac:dyDescent="0.35"/>
    <row r="221" ht="15" customHeight="1" x14ac:dyDescent="0.35"/>
    <row r="222" ht="15" customHeight="1" x14ac:dyDescent="0.35"/>
    <row r="223" ht="15" customHeight="1" x14ac:dyDescent="0.35"/>
    <row r="224" ht="15" customHeight="1" x14ac:dyDescent="0.35"/>
    <row r="225" ht="15" customHeight="1" x14ac:dyDescent="0.35"/>
    <row r="226" ht="15" customHeight="1" x14ac:dyDescent="0.35"/>
    <row r="227" ht="15" customHeight="1" x14ac:dyDescent="0.35"/>
    <row r="228" ht="15" customHeight="1" x14ac:dyDescent="0.35"/>
    <row r="229" ht="15" customHeight="1" x14ac:dyDescent="0.35"/>
    <row r="230" ht="15" customHeight="1" x14ac:dyDescent="0.35"/>
    <row r="231" ht="15" customHeight="1" x14ac:dyDescent="0.35"/>
    <row r="232" ht="15" customHeight="1" x14ac:dyDescent="0.35"/>
    <row r="233" ht="15" customHeight="1" x14ac:dyDescent="0.35"/>
    <row r="234" ht="15" customHeight="1" x14ac:dyDescent="0.35"/>
    <row r="235" ht="15" customHeight="1" x14ac:dyDescent="0.35"/>
    <row r="236" ht="15" customHeight="1" x14ac:dyDescent="0.35"/>
    <row r="237" ht="15" customHeight="1" x14ac:dyDescent="0.35"/>
    <row r="238" ht="15" customHeight="1" x14ac:dyDescent="0.35"/>
    <row r="239" ht="15" customHeight="1" x14ac:dyDescent="0.35"/>
    <row r="240" ht="15" customHeight="1" x14ac:dyDescent="0.35"/>
    <row r="241" ht="15" customHeight="1" x14ac:dyDescent="0.35"/>
    <row r="242" ht="15" customHeight="1" x14ac:dyDescent="0.35"/>
    <row r="243" ht="15" customHeight="1" x14ac:dyDescent="0.35"/>
    <row r="244" ht="15" customHeight="1" x14ac:dyDescent="0.35"/>
    <row r="245" ht="15" customHeight="1" x14ac:dyDescent="0.35"/>
    <row r="246" ht="15" customHeight="1" x14ac:dyDescent="0.35"/>
    <row r="247" ht="15" customHeight="1" x14ac:dyDescent="0.35"/>
    <row r="248" ht="15" customHeight="1" x14ac:dyDescent="0.35"/>
    <row r="249" ht="15" customHeight="1" x14ac:dyDescent="0.35"/>
    <row r="250" ht="15" customHeight="1" x14ac:dyDescent="0.35"/>
    <row r="251" ht="15" customHeight="1" x14ac:dyDescent="0.35"/>
    <row r="252" ht="15" customHeight="1" x14ac:dyDescent="0.35"/>
    <row r="253" ht="15" customHeight="1" x14ac:dyDescent="0.35"/>
    <row r="254" ht="15" customHeight="1" x14ac:dyDescent="0.35"/>
    <row r="255" ht="15" customHeight="1" x14ac:dyDescent="0.35"/>
    <row r="256" ht="15" customHeight="1" x14ac:dyDescent="0.35"/>
    <row r="257" ht="15" customHeight="1" x14ac:dyDescent="0.35"/>
    <row r="258" ht="15" customHeight="1" x14ac:dyDescent="0.35"/>
    <row r="259" ht="15" customHeight="1" x14ac:dyDescent="0.35"/>
    <row r="260" ht="15" customHeight="1" x14ac:dyDescent="0.35"/>
    <row r="261" ht="15" customHeight="1" x14ac:dyDescent="0.35"/>
    <row r="262" ht="15" customHeight="1" x14ac:dyDescent="0.35"/>
    <row r="263" ht="15" customHeight="1" x14ac:dyDescent="0.35"/>
    <row r="264" ht="15" customHeight="1" x14ac:dyDescent="0.35"/>
    <row r="265" ht="15" customHeight="1" x14ac:dyDescent="0.35"/>
    <row r="266" ht="15" customHeight="1" x14ac:dyDescent="0.35"/>
    <row r="267" ht="15" customHeight="1" x14ac:dyDescent="0.35"/>
    <row r="268" ht="15" customHeight="1" x14ac:dyDescent="0.35"/>
  </sheetData>
  <mergeCells count="28">
    <mergeCell ref="BG15:BG23"/>
    <mergeCell ref="BG33:BG39"/>
    <mergeCell ref="BM4:BS6"/>
    <mergeCell ref="BL4:BL6"/>
    <mergeCell ref="A47:A55"/>
    <mergeCell ref="AC6:AC14"/>
    <mergeCell ref="A7:A15"/>
    <mergeCell ref="A17:A25"/>
    <mergeCell ref="A27:A35"/>
    <mergeCell ref="A37:A45"/>
    <mergeCell ref="O59:O67"/>
    <mergeCell ref="O69:O77"/>
    <mergeCell ref="O18:O27"/>
    <mergeCell ref="O29:O37"/>
    <mergeCell ref="O39:O47"/>
    <mergeCell ref="O49:O57"/>
    <mergeCell ref="BZ56:BZ64"/>
    <mergeCell ref="CK5:CK14"/>
    <mergeCell ref="CK16:CK24"/>
    <mergeCell ref="CK26:CK34"/>
    <mergeCell ref="CK36:CK44"/>
    <mergeCell ref="CK46:CK54"/>
    <mergeCell ref="CK56:CK64"/>
    <mergeCell ref="BZ5:BZ14"/>
    <mergeCell ref="BZ16:BZ24"/>
    <mergeCell ref="BZ26:BZ34"/>
    <mergeCell ref="BZ36:BZ44"/>
    <mergeCell ref="BZ46:BZ54"/>
  </mergeCells>
  <printOptions headings="1"/>
  <pageMargins left="0.2" right="0.2" top="0.5" bottom="0.5" header="0.3" footer="0.3"/>
  <pageSetup orientation="portrait" cellComments="asDisplayed" r:id="rId1"/>
  <headerFooter>
    <oddHeader>&amp;C&amp;A</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dimension ref="A1:BJ74"/>
  <sheetViews>
    <sheetView workbookViewId="0">
      <pane xSplit="1" ySplit="3" topLeftCell="AQ5" activePane="bottomRight" state="frozen"/>
      <selection activeCell="AL26" sqref="AL26"/>
      <selection pane="topRight" activeCell="AL26" sqref="AL26"/>
      <selection pane="bottomLeft" activeCell="AL26" sqref="AL26"/>
      <selection pane="bottomRight" activeCell="G15" sqref="G15"/>
    </sheetView>
  </sheetViews>
  <sheetFormatPr defaultColWidth="9.1796875" defaultRowHeight="14.5" x14ac:dyDescent="0.35"/>
  <cols>
    <col min="1" max="1" width="39.1796875" style="40" customWidth="1"/>
    <col min="2" max="3" width="11" style="40" customWidth="1"/>
    <col min="4" max="4" width="16" style="40" customWidth="1"/>
    <col min="5" max="18" width="14.1796875" style="40" customWidth="1"/>
    <col min="19" max="19" width="15" style="40" bestFit="1" customWidth="1"/>
    <col min="20" max="20" width="14.1796875" style="40" customWidth="1"/>
    <col min="21" max="21" width="15" style="40" customWidth="1"/>
    <col min="22" max="32" width="15.26953125" style="40" bestFit="1" customWidth="1"/>
    <col min="33" max="33" width="16" style="40" bestFit="1" customWidth="1"/>
    <col min="34" max="34" width="15.26953125" style="40" bestFit="1" customWidth="1"/>
    <col min="35" max="36" width="16" style="40" bestFit="1" customWidth="1"/>
    <col min="37" max="37" width="15.26953125" style="40" bestFit="1" customWidth="1"/>
    <col min="38" max="39" width="16" style="40" bestFit="1" customWidth="1"/>
    <col min="40" max="42" width="15.26953125" style="40" bestFit="1" customWidth="1"/>
    <col min="43" max="43" width="16" style="40" bestFit="1" customWidth="1"/>
    <col min="44" max="44" width="15.26953125" style="40" bestFit="1" customWidth="1"/>
    <col min="45" max="47" width="16" style="40" bestFit="1" customWidth="1"/>
    <col min="48" max="48" width="16.1796875" style="40" customWidth="1"/>
    <col min="49" max="62" width="15.26953125" style="40" bestFit="1" customWidth="1"/>
    <col min="63" max="16384" width="9.1796875" style="40"/>
  </cols>
  <sheetData>
    <row r="1" spans="1:62" x14ac:dyDescent="0.35">
      <c r="A1" s="35" t="s">
        <v>30</v>
      </c>
    </row>
    <row r="2" spans="1:62" x14ac:dyDescent="0.35">
      <c r="A2" s="27"/>
    </row>
    <row r="3" spans="1:62" x14ac:dyDescent="0.35">
      <c r="B3" s="12">
        <v>43466</v>
      </c>
      <c r="C3" s="12">
        <v>43497</v>
      </c>
      <c r="D3" s="12">
        <v>43525</v>
      </c>
      <c r="E3" s="12">
        <v>43556</v>
      </c>
      <c r="F3" s="12">
        <v>43586</v>
      </c>
      <c r="G3" s="12">
        <v>43617</v>
      </c>
      <c r="H3" s="12">
        <v>43647</v>
      </c>
      <c r="I3" s="12">
        <v>43678</v>
      </c>
      <c r="J3" s="12">
        <v>43709</v>
      </c>
      <c r="K3" s="12">
        <v>43739</v>
      </c>
      <c r="L3" s="12">
        <v>43770</v>
      </c>
      <c r="M3" s="12">
        <v>43800</v>
      </c>
      <c r="N3" s="12">
        <v>43831</v>
      </c>
      <c r="O3" s="12">
        <v>43862</v>
      </c>
      <c r="P3" s="12">
        <v>43891</v>
      </c>
      <c r="Q3" s="12">
        <v>43922</v>
      </c>
      <c r="R3" s="12">
        <v>43952</v>
      </c>
      <c r="S3" s="12">
        <v>43983</v>
      </c>
      <c r="T3" s="12">
        <v>44013</v>
      </c>
      <c r="U3" s="12">
        <v>44044</v>
      </c>
      <c r="V3" s="12">
        <v>44075</v>
      </c>
      <c r="W3" s="12">
        <v>44105</v>
      </c>
      <c r="X3" s="12">
        <v>44136</v>
      </c>
      <c r="Y3" s="12">
        <v>44166</v>
      </c>
      <c r="Z3" s="12">
        <v>44197</v>
      </c>
      <c r="AA3" s="12">
        <v>44228</v>
      </c>
      <c r="AB3" s="12">
        <v>44256</v>
      </c>
      <c r="AC3" s="12">
        <v>44287</v>
      </c>
      <c r="AD3" s="12">
        <v>44317</v>
      </c>
      <c r="AE3" s="12">
        <v>44348</v>
      </c>
      <c r="AF3" s="12">
        <v>44378</v>
      </c>
      <c r="AG3" s="12">
        <v>44409</v>
      </c>
      <c r="AH3" s="12">
        <v>44440</v>
      </c>
      <c r="AI3" s="12">
        <v>44470</v>
      </c>
      <c r="AJ3" s="12">
        <v>44501</v>
      </c>
      <c r="AK3" s="12">
        <v>44531</v>
      </c>
      <c r="AL3" s="12">
        <v>44562</v>
      </c>
      <c r="AM3" s="12">
        <v>44593</v>
      </c>
      <c r="AN3" s="12">
        <v>44621</v>
      </c>
      <c r="AO3" s="12">
        <v>44652</v>
      </c>
      <c r="AP3" s="12">
        <v>44682</v>
      </c>
      <c r="AQ3" s="12">
        <v>44713</v>
      </c>
      <c r="AR3" s="12">
        <v>44743</v>
      </c>
      <c r="AS3" s="12">
        <v>44774</v>
      </c>
      <c r="AT3" s="12">
        <v>44805</v>
      </c>
      <c r="AU3" s="12">
        <v>44835</v>
      </c>
      <c r="AV3" s="12">
        <v>44866</v>
      </c>
      <c r="AW3" s="12">
        <v>44896</v>
      </c>
      <c r="AX3" s="12">
        <v>44927</v>
      </c>
      <c r="AY3" s="12">
        <v>44958</v>
      </c>
      <c r="AZ3" s="12">
        <v>44986</v>
      </c>
      <c r="BA3" s="12">
        <v>45017</v>
      </c>
      <c r="BB3" s="12">
        <v>45047</v>
      </c>
      <c r="BC3" s="12">
        <v>45078</v>
      </c>
      <c r="BD3" s="12">
        <v>45108</v>
      </c>
      <c r="BE3" s="12">
        <v>45139</v>
      </c>
      <c r="BF3" s="12">
        <v>45170</v>
      </c>
      <c r="BG3" s="12">
        <v>45200</v>
      </c>
      <c r="BH3" s="12">
        <v>45231</v>
      </c>
      <c r="BI3" s="12">
        <v>45261</v>
      </c>
      <c r="BJ3" s="12">
        <v>45292</v>
      </c>
    </row>
    <row r="4" spans="1:62" s="2" customFormat="1" x14ac:dyDescent="0.35">
      <c r="A4" s="137" t="s">
        <v>38</v>
      </c>
      <c r="B4" s="34"/>
      <c r="C4" s="34"/>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row>
    <row r="5" spans="1:62" x14ac:dyDescent="0.35">
      <c r="A5" s="40" t="s">
        <v>33</v>
      </c>
      <c r="B5" s="41"/>
      <c r="C5" s="41"/>
      <c r="D5" s="45">
        <v>0</v>
      </c>
      <c r="E5" s="45">
        <v>3542.7066619947968</v>
      </c>
      <c r="F5" s="45">
        <v>30136.455518898227</v>
      </c>
      <c r="G5" s="45">
        <v>273500.38459568418</v>
      </c>
      <c r="H5" s="45">
        <v>714630.19454973028</v>
      </c>
      <c r="I5" s="45">
        <v>1252115.2720556506</v>
      </c>
      <c r="J5" s="45">
        <v>1625934.6179925092</v>
      </c>
      <c r="K5" s="45">
        <v>1762960.5580065004</v>
      </c>
      <c r="L5" s="45">
        <v>2036259.811498007</v>
      </c>
      <c r="M5" s="45">
        <v>2499434.2156662</v>
      </c>
      <c r="N5" s="45">
        <f>3024353.08836572+6554.1</f>
        <v>3030907.1883657202</v>
      </c>
      <c r="O5" s="45">
        <f>3505159.86672899+192583.941016507</f>
        <v>3697743.8077454967</v>
      </c>
      <c r="P5" s="45">
        <f>3914603.11678053+237854.1</f>
        <v>4152457.2167805303</v>
      </c>
      <c r="Q5" s="45">
        <f>4070172.11038659+291838.588071724</f>
        <v>4362010.6984583139</v>
      </c>
      <c r="R5" s="45">
        <f>4229610.15303022+367485.985727049</f>
        <v>4597096.1387572698</v>
      </c>
      <c r="S5" s="45">
        <f>4592560.83505275+739295.933491184</f>
        <v>5331856.7685439344</v>
      </c>
      <c r="T5" s="45">
        <f>4990515.09833128+1344897.95339866</f>
        <v>6335413.0517299399</v>
      </c>
      <c r="U5" s="45">
        <f>5418265.12134377+2113348.33467618</f>
        <v>7531613.4560199501</v>
      </c>
      <c r="V5" s="45">
        <f>5789061.85817861+2752702.49586261</f>
        <v>8541764.3540412206</v>
      </c>
      <c r="W5" s="45">
        <f>5952563.39140542+3033444.35764041</f>
        <v>8986007.7490458302</v>
      </c>
      <c r="X5" s="45">
        <f>6134018.54500076+3442711.84437844</f>
        <v>9576730.3893791996</v>
      </c>
      <c r="Y5" s="45">
        <f>6322661.25581799+3993133.58828793</f>
        <v>10315794.84410592</v>
      </c>
      <c r="Z5" s="45">
        <f>6984.86+4559187.38175189+6509848.95791205</f>
        <v>11076021.199663941</v>
      </c>
      <c r="AA5" s="45">
        <f>6677794.05853156+5094820.43416596+38291.8049859144</f>
        <v>11810906.297683435</v>
      </c>
      <c r="AB5" s="45">
        <f>6858524.1413342+5634008.99556086+108423.687063481</f>
        <v>12600956.823958542</v>
      </c>
      <c r="AC5" s="45">
        <f>7024584.84737362+6091540.15699686+197422.977619697</f>
        <v>13313547.981990177</v>
      </c>
      <c r="AD5" s="45">
        <f>7197760.72201452+6577186.55853686+326606.30736373</f>
        <v>14101553.587915111</v>
      </c>
      <c r="AE5" s="45">
        <f>7874415.13583633+7588257.96393303+811663.040210789</f>
        <v>16274336.13998015</v>
      </c>
      <c r="AF5" s="45">
        <f>8012134.15630774+9371259.89153676+1546655.20030572</f>
        <v>18930049.248150218</v>
      </c>
      <c r="AG5" s="45">
        <f>10852823.9399505+8439884.17932023+2402203.76938233</f>
        <v>21694911.888653059</v>
      </c>
      <c r="AH5" s="45">
        <f>8810680.91615507+11910809.4471491+3066829.20571084</f>
        <v>23788319.569015007</v>
      </c>
      <c r="AI5" s="45">
        <f>8974182.44938188+12349883.7615509+3324782.66781071</f>
        <v>24648848.878743492</v>
      </c>
      <c r="AJ5" s="46">
        <f>12861596.6003085+9155637.60297722+3613076.53428695</f>
        <v>25630310.73757267</v>
      </c>
      <c r="AK5" s="46">
        <f>9344280.31379445+13437972.9515877+4051260.68849144</f>
        <v>26833513.95387359</v>
      </c>
      <c r="AL5" s="46">
        <f>9531468.01588851+14011128.6257676+4661679.55294169+632.764547216621</f>
        <v>28204908.959145017</v>
      </c>
      <c r="AM5" s="46">
        <f>14520794.458196+9699413.11650802+5166009.79211778+5737.54224147814</f>
        <v>29391954.90906328</v>
      </c>
      <c r="AN5" s="46">
        <f>9699413.11650802+14520794.458196+5595900.41022824+18573.8326925126</f>
        <v>29834681.817624774</v>
      </c>
      <c r="AO5" s="46">
        <f>9699413.11650802+14520794.458196+5977459.732555+31754.7587333806</f>
        <v>30229422.065992404</v>
      </c>
      <c r="AP5" s="46">
        <f>9699413.11650802+14520794.458196+6395560.0926955+58082.0856497526</f>
        <v>30673849.753049273</v>
      </c>
      <c r="AQ5" s="46">
        <f>9699413.11650802+14520794.458196+7605739.92725045+259398.980000996</f>
        <v>32085346.481955465</v>
      </c>
      <c r="AR5" s="46">
        <f>9699413.11650802+14520794.458196+9039880.06402909+619576.334553113</f>
        <v>33879663.973286226</v>
      </c>
      <c r="AS5" s="46">
        <f>9699413.11650802+14520794.458196+1053741.44131795+10330774.9142283</f>
        <v>35604723.930250272</v>
      </c>
      <c r="AT5" s="46">
        <f>9699413.11650802+14520794.458196+11258398.7953183+1306770.70420712</f>
        <v>36785377.074229442</v>
      </c>
      <c r="AU5" s="46">
        <f>9699413.11650802+14520794.458196+11630977.3781916+1356995.49979424</f>
        <v>37208180.452689856</v>
      </c>
      <c r="AV5" s="133">
        <f>AU5+AV14</f>
        <v>37688732.512343034</v>
      </c>
      <c r="AW5" s="133">
        <f t="shared" ref="AW5:BI5" si="0">AV5+AW14</f>
        <v>38296733.693152957</v>
      </c>
      <c r="AX5" s="133">
        <f t="shared" si="0"/>
        <v>38922789.027794637</v>
      </c>
      <c r="AY5" s="133">
        <f t="shared" si="0"/>
        <v>39474830.156988807</v>
      </c>
      <c r="AZ5" s="133">
        <f t="shared" si="0"/>
        <v>40001954.298647642</v>
      </c>
      <c r="BA5" s="133">
        <f t="shared" si="0"/>
        <v>40444897.567322172</v>
      </c>
      <c r="BB5" s="133">
        <f t="shared" si="0"/>
        <v>40967062.849228509</v>
      </c>
      <c r="BC5" s="133">
        <f t="shared" si="0"/>
        <v>42813090.045913555</v>
      </c>
      <c r="BD5" s="133">
        <f t="shared" si="0"/>
        <v>43560781.005589373</v>
      </c>
      <c r="BE5" s="133">
        <f t="shared" si="0"/>
        <v>44355876.62440145</v>
      </c>
      <c r="BF5" s="133">
        <f t="shared" si="0"/>
        <v>44793431.656604983</v>
      </c>
      <c r="BG5" s="133">
        <f t="shared" si="0"/>
        <v>44893942.716410592</v>
      </c>
      <c r="BH5" s="133">
        <f t="shared" si="0"/>
        <v>45041433.93166329</v>
      </c>
      <c r="BI5" s="133">
        <f t="shared" si="0"/>
        <v>45302702.297777534</v>
      </c>
      <c r="BJ5" s="133">
        <f t="shared" ref="BJ5:BJ10" si="1">BI5+BJ14</f>
        <v>45585474.003890894</v>
      </c>
    </row>
    <row r="6" spans="1:62" x14ac:dyDescent="0.35">
      <c r="A6" s="40" t="s">
        <v>34</v>
      </c>
      <c r="B6" s="41"/>
      <c r="C6" s="41"/>
      <c r="D6" s="45">
        <v>0.34412602678174997</v>
      </c>
      <c r="E6" s="45">
        <v>594.19753610000055</v>
      </c>
      <c r="F6" s="45">
        <v>8962.7201321071716</v>
      </c>
      <c r="G6" s="45">
        <v>32604.534313513876</v>
      </c>
      <c r="H6" s="45">
        <v>80268.39554484954</v>
      </c>
      <c r="I6" s="45">
        <v>133550.07117798761</v>
      </c>
      <c r="J6" s="45">
        <v>205226.49945065699</v>
      </c>
      <c r="K6" s="45">
        <v>266976.49556192581</v>
      </c>
      <c r="L6" s="45">
        <v>331278.27644167107</v>
      </c>
      <c r="M6" s="45">
        <v>412157.92982770345</v>
      </c>
      <c r="N6" s="45">
        <f>521623.159550585+1670.75143089162</f>
        <v>523293.91098147666</v>
      </c>
      <c r="O6" s="45">
        <f>603271.52828092+5976.78656574626</f>
        <v>609248.3148466663</v>
      </c>
      <c r="P6" s="45">
        <f>696199.317917802+14714.26</f>
        <v>710913.57791780203</v>
      </c>
      <c r="Q6" s="45">
        <f>723200.088718607+31418.0762713889</f>
        <v>754618.16498999589</v>
      </c>
      <c r="R6" s="45">
        <f>760016.621421969+66060.9194407934</f>
        <v>826077.54086276237</v>
      </c>
      <c r="S6" s="45">
        <f>804930.798867774+118900.240162753</f>
        <v>923831.039030527</v>
      </c>
      <c r="T6" s="45">
        <f>863286.796642103+201559.391010265</f>
        <v>1064846.1876523681</v>
      </c>
      <c r="U6" s="45">
        <f>893954.349070289+279384.341901059</f>
        <v>1173338.690971348</v>
      </c>
      <c r="V6" s="45">
        <f>925829.706887215+369147.536894573</f>
        <v>1294977.243781788</v>
      </c>
      <c r="W6" s="45">
        <f>949608.155526296+444877.201813712</f>
        <v>1394485.357340008</v>
      </c>
      <c r="X6" s="45">
        <f>969602.013839408+518731.625150986</f>
        <v>1488333.6389903941</v>
      </c>
      <c r="Y6" s="45">
        <f>990182.866694943+608329.824854209</f>
        <v>1598512.6915491521</v>
      </c>
      <c r="Z6" s="45">
        <f>0+776593.090757675+1011824.79610248</f>
        <v>1788417.886860155</v>
      </c>
      <c r="AA6" s="45">
        <f>1029034.80579473+894412.886148724+2123.67623167265</f>
        <v>1925571.3681751268</v>
      </c>
      <c r="AB6" s="45">
        <f>1048478.70553725+1021695.85675042+14720.0229147457</f>
        <v>2084894.5852024157</v>
      </c>
      <c r="AC6" s="45">
        <f>1067642.90338983+1141192.13644484+38669.3259791895</f>
        <v>2247504.3658138593</v>
      </c>
      <c r="AD6" s="45">
        <f>1092339.59759687+1294229.77021522+80015.0557464889</f>
        <v>2466584.4235585788</v>
      </c>
      <c r="AE6" s="45">
        <f>1507535.79045081+1122256.74477558+157730.002941148</f>
        <v>2787522.5381675377</v>
      </c>
      <c r="AF6" s="45">
        <f>1160368.10063368+1782072.99359045+278580.137918406</f>
        <v>3221021.232142536</v>
      </c>
      <c r="AG6" s="45">
        <f>2010411.61875989+1191035.65306186+394500.368310462</f>
        <v>3595947.6401322121</v>
      </c>
      <c r="AH6" s="45">
        <f>1222911.01087879+2193597.58661084+503852.755941809</f>
        <v>3920361.353431439</v>
      </c>
      <c r="AI6" s="45">
        <f>1246689.45951787+2322986.34341785+591339.197045792</f>
        <v>4161014.9999815118</v>
      </c>
      <c r="AJ6" s="46">
        <f>2438002.99350982+1266683.31783098+669149.789756822</f>
        <v>4373836.1010976229</v>
      </c>
      <c r="AK6" s="46">
        <f>1287264.17068652+2563126.31875897+761246.262553569</f>
        <v>4611636.7519990588</v>
      </c>
      <c r="AL6" s="46">
        <f>1308906.10009405+2693284.97400714+917775.9449877+0</f>
        <v>4919967.0190888904</v>
      </c>
      <c r="AM6" s="46">
        <f>2798291.22504549+1326116.1097863+1029761.45613839+1264.66094753981</f>
        <v>5155433.45191772</v>
      </c>
      <c r="AN6" s="46">
        <f>1326116.1097863+2798291.22504549+1120571.98756963+5885.2189218921</f>
        <v>5250864.5413233126</v>
      </c>
      <c r="AO6" s="46">
        <f>1326116.1097863+2798291.22504549+1221750.85239912+27935.8888811939</f>
        <v>5374094.0761121036</v>
      </c>
      <c r="AP6" s="46">
        <f>1326116.1097863+2798291.22504549+1357118.54572102+79710.1912231151</f>
        <v>5561236.0717759244</v>
      </c>
      <c r="AQ6" s="46">
        <f>1326116.1097863+2798291.22504549+1511441.5707505+176626.529760109</f>
        <v>5812475.4353423994</v>
      </c>
      <c r="AR6" s="46">
        <f>1326116.1097863+2798291.22504549+1707023.36628322+319999.721179796</f>
        <v>6151430.4222948067</v>
      </c>
      <c r="AS6" s="46">
        <f>1326116.1097863+2798291.22504549+454846.511296653+1849884.17316714</f>
        <v>6429138.0192955835</v>
      </c>
      <c r="AT6" s="46">
        <f>1326116.1097863+2798291.22504549+2003391.23629245+577270.594516963</f>
        <v>6705069.1656412026</v>
      </c>
      <c r="AU6" s="46">
        <f>1326116.1097863+2798291.22504549+2097895.00412851+651968.092678614</f>
        <v>6874270.4316389142</v>
      </c>
      <c r="AV6" s="133">
        <f t="shared" ref="AV6:BI10" si="2">AU6+AV15</f>
        <v>7020130.0676439684</v>
      </c>
      <c r="AW6" s="133">
        <f t="shared" si="2"/>
        <v>7191211.0941089159</v>
      </c>
      <c r="AX6" s="133">
        <f t="shared" si="2"/>
        <v>7383812.7576146955</v>
      </c>
      <c r="AY6" s="133">
        <f t="shared" si="2"/>
        <v>7535673.2130871471</v>
      </c>
      <c r="AZ6" s="133">
        <f t="shared" si="2"/>
        <v>7708150.8029146865</v>
      </c>
      <c r="BA6" s="133">
        <f t="shared" si="2"/>
        <v>7899761.1822357578</v>
      </c>
      <c r="BB6" s="133">
        <f t="shared" si="2"/>
        <v>8163049.3635428669</v>
      </c>
      <c r="BC6" s="133">
        <f t="shared" si="2"/>
        <v>8502831.4116838463</v>
      </c>
      <c r="BD6" s="133">
        <f t="shared" si="2"/>
        <v>8640056.8367415573</v>
      </c>
      <c r="BE6" s="133">
        <f t="shared" si="2"/>
        <v>8761268.456178803</v>
      </c>
      <c r="BF6" s="133">
        <f t="shared" si="2"/>
        <v>8897391.4037342872</v>
      </c>
      <c r="BG6" s="133">
        <f t="shared" si="2"/>
        <v>9002239.3085820675</v>
      </c>
      <c r="BH6" s="133">
        <f t="shared" si="2"/>
        <v>9096648.9911890179</v>
      </c>
      <c r="BI6" s="133">
        <f t="shared" si="2"/>
        <v>9212075.1622912548</v>
      </c>
      <c r="BJ6" s="133">
        <f t="shared" si="1"/>
        <v>9344010.0323683675</v>
      </c>
    </row>
    <row r="7" spans="1:62" x14ac:dyDescent="0.35">
      <c r="A7" s="40" t="s">
        <v>35</v>
      </c>
      <c r="B7" s="41"/>
      <c r="C7" s="41"/>
      <c r="D7" s="45">
        <v>0.36790548240712501</v>
      </c>
      <c r="E7" s="45">
        <v>549.75215057062348</v>
      </c>
      <c r="F7" s="45">
        <v>4372.2897437101055</v>
      </c>
      <c r="G7" s="45">
        <v>21153.622105764334</v>
      </c>
      <c r="H7" s="45">
        <v>61231.340486306894</v>
      </c>
      <c r="I7" s="45">
        <v>115000.17366148013</v>
      </c>
      <c r="J7" s="45">
        <v>193945.10714767221</v>
      </c>
      <c r="K7" s="45">
        <v>249871.45813878858</v>
      </c>
      <c r="L7" s="45">
        <v>333751.90722352377</v>
      </c>
      <c r="M7" s="45">
        <v>433032.97939606744</v>
      </c>
      <c r="N7" s="45">
        <f>579533.27131616+1779.61011819965</f>
        <v>581312.88143435959</v>
      </c>
      <c r="O7" s="45">
        <f>692712.313764346+6993.22536134082</f>
        <v>699705.53912568674</v>
      </c>
      <c r="P7" s="45">
        <f>802057.022470645+16835.3</f>
        <v>818892.32247064507</v>
      </c>
      <c r="Q7" s="45">
        <f>830485.556909839+33972.3172811836</f>
        <v>864457.87419102259</v>
      </c>
      <c r="R7" s="45">
        <f>873501.622596128+72093.2191642493</f>
        <v>945594.84176037728</v>
      </c>
      <c r="S7" s="45">
        <f>959608.626292992+169282.073851875</f>
        <v>1128890.7001448669</v>
      </c>
      <c r="T7" s="45">
        <f>1063968.34972717+322181.463908298</f>
        <v>1386149.813635468</v>
      </c>
      <c r="U7" s="45">
        <f>1132109.73254343+490797.70403803</f>
        <v>1622907.4365814601</v>
      </c>
      <c r="V7" s="45">
        <f>1180839.16663709+658085.33680828</f>
        <v>1838924.5034453701</v>
      </c>
      <c r="W7" s="45">
        <f>1205402.21221795+767856.843398324</f>
        <v>1973259.055616274</v>
      </c>
      <c r="X7" s="45">
        <f>1226779.22699359+875811.838749238</f>
        <v>2102591.065742828</v>
      </c>
      <c r="Y7" s="45">
        <f>1249739.71635683+1010773.71532626</f>
        <v>2260513.43168309</v>
      </c>
      <c r="Z7" s="45">
        <f>0+1256264.46478952+1274915.30517198</f>
        <v>2531179.7699615001</v>
      </c>
      <c r="AA7" s="45">
        <f>1295256.89646395+1432232.05331903+2525.18742867228</f>
        <v>2730014.137211652</v>
      </c>
      <c r="AB7" s="45">
        <f>1316919.61101593+1620232.2612029+12344.7393347992</f>
        <v>2949496.6115536294</v>
      </c>
      <c r="AC7" s="45">
        <f>1336562.80719841+1792062.84696792+29608.4619412363</f>
        <v>3158234.1161075658</v>
      </c>
      <c r="AD7" s="45">
        <f>1364213.18002425+2030517.79850015+64728.979249387</f>
        <v>3459459.957773787</v>
      </c>
      <c r="AE7" s="45">
        <f>2549754.60617245+1425464.68121639+168386.099342775</f>
        <v>4143605.3867316148</v>
      </c>
      <c r="AF7" s="45">
        <f>1501263.09053358+3187898.63459364+372102.983002732</f>
        <v>5061264.7081299517</v>
      </c>
      <c r="AG7" s="45">
        <f>3763039.58282068+1569404.47334984+630628.382039808</f>
        <v>5963072.4382103272</v>
      </c>
      <c r="AH7" s="45">
        <f>1618133.9074435+4145741.85127576+829495.511948318</f>
        <v>6593371.2706675781</v>
      </c>
      <c r="AI7" s="45">
        <f>1642696.95302437+4340932.71194229+946771.635258247</f>
        <v>6930401.3002249068</v>
      </c>
      <c r="AJ7" s="46">
        <f>4511328.49568154+1664073.9678+1077003.16208399</f>
        <v>7252405.6255655298</v>
      </c>
      <c r="AK7" s="46">
        <f>1687034.45716324+4693010.40818545+1265252.36631532</f>
        <v>7645297.2316640103</v>
      </c>
      <c r="AL7" s="46">
        <f>1712210.0459784+4891543.24166763+1641376.33795409+0</f>
        <v>8245129.6256001201</v>
      </c>
      <c r="AM7" s="46">
        <f>5052739.86375009+1732551.63727036+1911640.27318468+1253.42360332781</f>
        <v>8698185.1978084575</v>
      </c>
      <c r="AN7" s="46">
        <f>1732551.63727036+5052739.86375009+2185253.32904143+5560.80473366166</f>
        <v>8976105.6347955409</v>
      </c>
      <c r="AO7" s="46">
        <f>1732551.63727036+5052739.86375009+2421802.76369268+13061.702246392</f>
        <v>9220155.966959523</v>
      </c>
      <c r="AP7" s="46">
        <f>1732551.63727036+5052739.86375009+2732242.85704468+30368.5390695881</f>
        <v>9547902.8971347176</v>
      </c>
      <c r="AQ7" s="46">
        <f>1732551.63727036+5052739.86375009+3554036.62270559+100531.273858199</f>
        <v>10439859.397584239</v>
      </c>
      <c r="AR7" s="46">
        <f>1732551.63727036+5052739.86375009+4555528.26111546+212895.505013392</f>
        <v>11553715.267149301</v>
      </c>
      <c r="AS7" s="46">
        <f>1732551.63727036+5052739.86375009+322105.295763935+5405425.46925048</f>
        <v>12512822.266034864</v>
      </c>
      <c r="AT7" s="46">
        <f>1732551.63727036+5052739.86375009+5940374.03413964+432894.262969335</f>
        <v>13158559.798129426</v>
      </c>
      <c r="AU7" s="46">
        <f>1732551.63727036+5052739.86375009+6185683.31482982+516541.208139873</f>
        <v>13487516.023990141</v>
      </c>
      <c r="AV7" s="133">
        <f t="shared" si="2"/>
        <v>13839234.757640867</v>
      </c>
      <c r="AW7" s="133">
        <f t="shared" si="2"/>
        <v>14321155.822766429</v>
      </c>
      <c r="AX7" s="133">
        <f t="shared" si="2"/>
        <v>14871766.209571667</v>
      </c>
      <c r="AY7" s="133">
        <f t="shared" si="2"/>
        <v>15327530.21524254</v>
      </c>
      <c r="AZ7" s="133">
        <f t="shared" si="2"/>
        <v>15785288.659577824</v>
      </c>
      <c r="BA7" s="133">
        <f t="shared" si="2"/>
        <v>16202894.66607102</v>
      </c>
      <c r="BB7" s="133">
        <f t="shared" si="2"/>
        <v>16766506.452667106</v>
      </c>
      <c r="BC7" s="133">
        <f t="shared" si="2"/>
        <v>18271223.339102317</v>
      </c>
      <c r="BD7" s="133">
        <f t="shared" si="2"/>
        <v>19120246.1302706</v>
      </c>
      <c r="BE7" s="133">
        <f t="shared" si="2"/>
        <v>19953020.046049539</v>
      </c>
      <c r="BF7" s="133">
        <f t="shared" si="2"/>
        <v>20537078.895778336</v>
      </c>
      <c r="BG7" s="133">
        <f t="shared" si="2"/>
        <v>20819403.904032927</v>
      </c>
      <c r="BH7" s="133">
        <f t="shared" si="2"/>
        <v>21106087.831722297</v>
      </c>
      <c r="BI7" s="133">
        <f t="shared" si="2"/>
        <v>21494069.432562716</v>
      </c>
      <c r="BJ7" s="133">
        <f t="shared" si="1"/>
        <v>21940777.022708211</v>
      </c>
    </row>
    <row r="8" spans="1:62" x14ac:dyDescent="0.35">
      <c r="A8" s="40" t="s">
        <v>36</v>
      </c>
      <c r="B8" s="41"/>
      <c r="C8" s="41"/>
      <c r="D8" s="45">
        <v>0</v>
      </c>
      <c r="E8" s="45">
        <v>9.4764517045030008</v>
      </c>
      <c r="F8" s="45">
        <v>1001.8612523359196</v>
      </c>
      <c r="G8" s="45">
        <v>8293.9860897862109</v>
      </c>
      <c r="H8" s="45">
        <v>24288.931102469891</v>
      </c>
      <c r="I8" s="45">
        <v>41453.172801788984</v>
      </c>
      <c r="J8" s="45">
        <v>61773.602905509295</v>
      </c>
      <c r="K8" s="45">
        <v>74844.476160899911</v>
      </c>
      <c r="L8" s="45">
        <v>95075.729248894699</v>
      </c>
      <c r="M8" s="45">
        <v>112674.42131148028</v>
      </c>
      <c r="N8" s="45">
        <f>149116.898347914+2495.31522954858</f>
        <v>151612.21357746256</v>
      </c>
      <c r="O8" s="45">
        <f>172665.632653367+6538.78485075769</f>
        <v>179204.41750412469</v>
      </c>
      <c r="P8" s="45">
        <f>198999.065865354+10691.96</f>
        <v>209691.02586535399</v>
      </c>
      <c r="Q8" s="45">
        <f>214433.573100532+15615.411023237</f>
        <v>230048.98412376898</v>
      </c>
      <c r="R8" s="45">
        <f>242343.682470679+27991.6814994831</f>
        <v>270335.36397016211</v>
      </c>
      <c r="S8" s="45">
        <f>297369.307609895+63323.2565301678</f>
        <v>360692.56414006278</v>
      </c>
      <c r="T8" s="45">
        <f>362730.224368532+118569.426249392</f>
        <v>481299.650617924</v>
      </c>
      <c r="U8" s="45">
        <f>412752.536562742+186293.939799171</f>
        <v>599046.47636191302</v>
      </c>
      <c r="V8" s="45">
        <f>448555.758987872+240533.431923752</f>
        <v>689089.190911624</v>
      </c>
      <c r="W8" s="45">
        <f>466039.889115418+271152.510747429</f>
        <v>737192.39986284706</v>
      </c>
      <c r="X8" s="45">
        <f>479807.654110303+301823.984581678</f>
        <v>781631.63869198097</v>
      </c>
      <c r="Y8" s="45">
        <f>492620.282531948+334587.787583975</f>
        <v>827208.07011592295</v>
      </c>
      <c r="Z8" s="45">
        <f>0+404998.961227826+507702.970763227</f>
        <v>912701.93199105305</v>
      </c>
      <c r="AA8" s="45">
        <f>519531.525065896+453258.730301713+316.371186578605</f>
        <v>973106.62655418762</v>
      </c>
      <c r="AB8" s="45">
        <f>532830.166075627+502500.843764669+3963.41790250729</f>
        <v>1039294.4277428032</v>
      </c>
      <c r="AC8" s="45">
        <f>547019.363809894+546654.322579609+11464.3819369255</f>
        <v>1105138.0683264285</v>
      </c>
      <c r="AD8" s="45">
        <f>567945.679235313+609646.330934998+24787.8771092902</f>
        <v>1202379.8872796011</v>
      </c>
      <c r="AE8" s="45">
        <f>773000.268499781+613523.115995542+60077.2894046587</f>
        <v>1446600.6738999817</v>
      </c>
      <c r="AF8" s="45">
        <f>669235.396164724+967864.058982049+112905.624081451</f>
        <v>1750005.079228224</v>
      </c>
      <c r="AG8" s="45">
        <f>1151960.04943504+719257.708358934+173117.579850733</f>
        <v>2044335.3376447072</v>
      </c>
      <c r="AH8" s="45">
        <f>755060.930784064+1260176.06694011+217693.762991659</f>
        <v>2232930.7607158329</v>
      </c>
      <c r="AI8" s="45">
        <f>772545.06091161+1307692.62083338+257419.588297883</f>
        <v>2337657.270042873</v>
      </c>
      <c r="AJ8" s="46">
        <f>1351673.1816212+786312.825906495+284297.053843323</f>
        <v>2422283.0613710182</v>
      </c>
      <c r="AK8" s="46">
        <f>799125.45432814+1399034.41595677+314994.051434842</f>
        <v>2513153.9217197523</v>
      </c>
      <c r="AL8" s="46">
        <f>814208.142559419+1452580.08108288+379038.513362365+0</f>
        <v>2645826.7370046638</v>
      </c>
      <c r="AM8" s="46">
        <f>1496870.2614464+826036.696862088+423523.44703517+428.435255762638</f>
        <v>2746858.8405994209</v>
      </c>
      <c r="AN8" s="46">
        <f>826036.696862088+1496870.2614464+468169.116884432+1535.56018610456</f>
        <v>2792611.6353790243</v>
      </c>
      <c r="AO8" s="46">
        <f>826036.696862088+1496870.2614464+510857.629586714+3544.1139690049</f>
        <v>2837308.7018642067</v>
      </c>
      <c r="AP8" s="46">
        <f>826036.696862088+1496870.2614464+570980.908547959+8192.78926688263</f>
        <v>2902080.6561233299</v>
      </c>
      <c r="AQ8" s="46">
        <f>826036.696862088+1496870.2614464+728804.508263821+43751.9016745368</f>
        <v>3095463.3682468459</v>
      </c>
      <c r="AR8" s="46">
        <f>826036.696862088+1496870.2614464+918526.047082301+122033.571667777</f>
        <v>3363466.5770585663</v>
      </c>
      <c r="AS8" s="46">
        <f>826036.696862088+1496870.2614464+190553.352008513+1080573.10443634</f>
        <v>3594033.4147533411</v>
      </c>
      <c r="AT8" s="46">
        <f>826036.696862088+1496870.2614464+1181826.60791387+238338.634425976</f>
        <v>3743072.2006483339</v>
      </c>
      <c r="AU8" s="46">
        <f>826036.696862088+1496870.2614464+1226826.21548337+257812.134799825</f>
        <v>3807545.3085916834</v>
      </c>
      <c r="AV8" s="133">
        <f t="shared" si="2"/>
        <v>3868761.2710490245</v>
      </c>
      <c r="AW8" s="133">
        <f t="shared" si="2"/>
        <v>3957615.435373975</v>
      </c>
      <c r="AX8" s="133">
        <f t="shared" si="2"/>
        <v>4078456.6169793732</v>
      </c>
      <c r="AY8" s="133">
        <f t="shared" si="2"/>
        <v>4183681.8384153824</v>
      </c>
      <c r="AZ8" s="133">
        <f t="shared" si="2"/>
        <v>4291305.9859047327</v>
      </c>
      <c r="BA8" s="133">
        <f t="shared" si="2"/>
        <v>4396840.9794713566</v>
      </c>
      <c r="BB8" s="133">
        <f t="shared" si="2"/>
        <v>4556297.1056015957</v>
      </c>
      <c r="BC8" s="133">
        <f t="shared" si="2"/>
        <v>5053536.3938274151</v>
      </c>
      <c r="BD8" s="133">
        <f t="shared" si="2"/>
        <v>5422967.1982363407</v>
      </c>
      <c r="BE8" s="133">
        <f t="shared" si="2"/>
        <v>5806063.0709987264</v>
      </c>
      <c r="BF8" s="133">
        <f t="shared" si="2"/>
        <v>6033343.0206385702</v>
      </c>
      <c r="BG8" s="133">
        <f t="shared" si="2"/>
        <v>6121738.8030143008</v>
      </c>
      <c r="BH8" s="133">
        <f t="shared" si="2"/>
        <v>6210243.7615975514</v>
      </c>
      <c r="BI8" s="133">
        <f t="shared" si="2"/>
        <v>6326570.4254177315</v>
      </c>
      <c r="BJ8" s="133">
        <f t="shared" si="1"/>
        <v>6473454.981496104</v>
      </c>
    </row>
    <row r="9" spans="1:62" x14ac:dyDescent="0.35">
      <c r="A9" s="40" t="s">
        <v>37</v>
      </c>
      <c r="B9" s="41"/>
      <c r="C9" s="41"/>
      <c r="D9" s="45">
        <v>0</v>
      </c>
      <c r="E9" s="45">
        <v>0</v>
      </c>
      <c r="F9" s="45">
        <v>158.37627524588399</v>
      </c>
      <c r="G9" s="45">
        <v>755.54938000889456</v>
      </c>
      <c r="H9" s="45">
        <v>755.54938000889456</v>
      </c>
      <c r="I9" s="45">
        <v>925.36208771611018</v>
      </c>
      <c r="J9" s="45">
        <v>1379.3004935951622</v>
      </c>
      <c r="K9" s="45">
        <v>1835.58070746455</v>
      </c>
      <c r="L9" s="45">
        <v>6155.0061088806679</v>
      </c>
      <c r="M9" s="45">
        <v>8236.874151785245</v>
      </c>
      <c r="N9" s="45">
        <f>13562.7597608119+138.626164131286</f>
        <v>13701.385924943186</v>
      </c>
      <c r="O9" s="45">
        <f>17263.8824571859+353.550591382716</f>
        <v>17617.433048568615</v>
      </c>
      <c r="P9" s="45">
        <f>21317.282792059+586.93</f>
        <v>21904.212792058999</v>
      </c>
      <c r="Q9" s="45">
        <f>24168.0082624545+1718.74950926182</f>
        <v>25886.757771716319</v>
      </c>
      <c r="R9" s="45">
        <f>32203.5396191439+4982.55613938445</f>
        <v>37186.095758528347</v>
      </c>
      <c r="S9" s="45">
        <f>64792.9795908073+9659.39721839115</f>
        <v>74452.376809198453</v>
      </c>
      <c r="T9" s="45">
        <f>98806.2177037551+14952.0147372461</f>
        <v>113758.23244100119</v>
      </c>
      <c r="U9" s="45">
        <f>131838.40615304+21745.3743989093</f>
        <v>153583.78055194931</v>
      </c>
      <c r="V9" s="45">
        <f>149160.350157108+28725.5832532046</f>
        <v>177885.9334103126</v>
      </c>
      <c r="W9" s="45">
        <f>152614.128399062+34345.9926874673</f>
        <v>186960.12108652928</v>
      </c>
      <c r="X9" s="45">
        <f>155340.05703449+40087.6628308016</f>
        <v>195427.71986529158</v>
      </c>
      <c r="Y9" s="45">
        <f>158077.383578233+47393.8114639495</f>
        <v>205471.19504218252</v>
      </c>
      <c r="Z9" s="45">
        <f>0+55585.5858286291+160980.543334341</f>
        <v>216566.12916297009</v>
      </c>
      <c r="AA9" s="45">
        <f>163459.380508858+61970.7946914559+81.8331600744329</f>
        <v>225512.00836038834</v>
      </c>
      <c r="AB9" s="45">
        <f>166001.096711098+68438.977931473+539.260172682086</f>
        <v>234979.3348152531</v>
      </c>
      <c r="AC9" s="45">
        <f>168884.624573979+74783.2787675966+1316.83630350934</f>
        <v>244984.73964508492</v>
      </c>
      <c r="AD9" s="45">
        <f>175990.498122691+85254.1162564587+2444.8295092239</f>
        <v>263689.44388837361</v>
      </c>
      <c r="AE9" s="45">
        <f>112907.344246724+206920.02007512+5341.09515724763</f>
        <v>325168.45947909163</v>
      </c>
      <c r="AF9" s="45">
        <f>239230.818921814+142785.098528873+10311.9184670297</f>
        <v>392327.83591771673</v>
      </c>
      <c r="AG9" s="45">
        <f>171189.624703516+272263.007371098+15791.68697787</f>
        <v>459244.31905248394</v>
      </c>
      <c r="AH9" s="45">
        <f>289584.951375166+188671.00399183+20474.7546551417</f>
        <v>498730.71002213767</v>
      </c>
      <c r="AI9" s="45">
        <f>293038.72961712+197791.085502065+24292.1815736763</f>
        <v>515121.99669286131</v>
      </c>
      <c r="AJ9" s="46">
        <f>204735.633126684+295764.658252548+27747.6293437107</f>
        <v>528247.92072294268</v>
      </c>
      <c r="AK9" s="46">
        <f>298501.984796291+211647.654332588+31508.4493580767</f>
        <v>541658.08848695562</v>
      </c>
      <c r="AL9" s="46">
        <f>301405.144552399+218731.113645004+36145.6056325904+0</f>
        <v>556281.86382999341</v>
      </c>
      <c r="AM9" s="46">
        <f>224490.252079482+303883.981726917+39707.0999284502+0</f>
        <v>568081.33373484912</v>
      </c>
      <c r="AN9" s="46">
        <f>303883.981726917+224490.252079482+42919.4493251829+479.9651912062</f>
        <v>571773.64832278807</v>
      </c>
      <c r="AO9" s="46">
        <f>303883.981726917+224490.252079482+46248.9804806207+1355.21961145865</f>
        <v>575978.43389847828</v>
      </c>
      <c r="AP9" s="46">
        <f>303883.981726917+224490.252079482+51372.9123126338+2553.53283171903</f>
        <v>582300.67895075178</v>
      </c>
      <c r="AQ9" s="46">
        <f>303883.981726917+224490.252079482+64237.6461575233+6687.53924973621</f>
        <v>599299.41921365843</v>
      </c>
      <c r="AR9" s="46">
        <f>303883.981726917+224490.252079482+78647.7499756518+16731.9671927205</f>
        <v>623753.95097477117</v>
      </c>
      <c r="AS9" s="46">
        <f>303883.981726917+224490.252079482+27999.2815485758+91886.0464180515</f>
        <v>648259.56177302625</v>
      </c>
      <c r="AT9" s="46">
        <f>303883.981726917+224490.252079482+101109.981598991+36978.7722125651</f>
        <v>666462.98761795496</v>
      </c>
      <c r="AU9" s="46">
        <f>303883.981726917+224490.252079482+105469.788634032+40470.2048695911</f>
        <v>674314.22731002199</v>
      </c>
      <c r="AV9" s="133">
        <f t="shared" si="2"/>
        <v>680893.46979352646</v>
      </c>
      <c r="AW9" s="133">
        <f t="shared" si="2"/>
        <v>690326.88501639315</v>
      </c>
      <c r="AX9" s="133">
        <f t="shared" si="2"/>
        <v>702173.84302319307</v>
      </c>
      <c r="AY9" s="133">
        <f t="shared" si="2"/>
        <v>712018.24169801525</v>
      </c>
      <c r="AZ9" s="133">
        <f t="shared" si="2"/>
        <v>722970.95766097831</v>
      </c>
      <c r="BA9" s="133">
        <f t="shared" si="2"/>
        <v>734872.84581456659</v>
      </c>
      <c r="BB9" s="133">
        <f t="shared" si="2"/>
        <v>756833.33045877714</v>
      </c>
      <c r="BC9" s="133">
        <f t="shared" si="2"/>
        <v>830829.90483664814</v>
      </c>
      <c r="BD9" s="133">
        <f t="shared" si="2"/>
        <v>893356.91408449586</v>
      </c>
      <c r="BE9" s="133">
        <f t="shared" si="2"/>
        <v>963722.06868036254</v>
      </c>
      <c r="BF9" s="133">
        <f t="shared" si="2"/>
        <v>1005388.6942262291</v>
      </c>
      <c r="BG9" s="133">
        <f t="shared" si="2"/>
        <v>1018322.0359159498</v>
      </c>
      <c r="BH9" s="133">
        <f t="shared" si="2"/>
        <v>1030962.0496631997</v>
      </c>
      <c r="BI9" s="133">
        <f t="shared" si="2"/>
        <v>1046714.6057515743</v>
      </c>
      <c r="BJ9" s="133">
        <f t="shared" si="1"/>
        <v>1064675.5795417051</v>
      </c>
    </row>
    <row r="10" spans="1:62" x14ac:dyDescent="0.35">
      <c r="A10" s="40" t="s">
        <v>29</v>
      </c>
      <c r="B10" s="41"/>
      <c r="C10" s="41"/>
      <c r="D10" s="45">
        <v>0</v>
      </c>
      <c r="E10" s="45">
        <v>0</v>
      </c>
      <c r="F10" s="45">
        <v>0</v>
      </c>
      <c r="G10" s="45">
        <v>0</v>
      </c>
      <c r="H10" s="45">
        <v>0</v>
      </c>
      <c r="I10" s="45">
        <v>1171.3068451326408</v>
      </c>
      <c r="J10" s="45">
        <v>3700.907022561827</v>
      </c>
      <c r="K10" s="45">
        <v>5539.3571582453487</v>
      </c>
      <c r="L10" s="45">
        <v>8956.0281318371599</v>
      </c>
      <c r="M10" s="45">
        <v>18324.45392310356</v>
      </c>
      <c r="N10" s="45">
        <f>43332.3471457788+0</f>
        <v>43332.347145778796</v>
      </c>
      <c r="O10" s="45">
        <f>61312.2701812421+397.830372724897</f>
        <v>61710.100553967</v>
      </c>
      <c r="P10" s="45">
        <f>77306.9724967612+1306.65</f>
        <v>78613.622496761192</v>
      </c>
      <c r="Q10" s="45">
        <f>82025.5913960804+3919.1783998443</f>
        <v>85944.769795924702</v>
      </c>
      <c r="R10" s="45">
        <f>86341.6270464909+8850.02127569848</f>
        <v>95191.648322189387</v>
      </c>
      <c r="S10" s="45">
        <f>93970.6450995064+24254.3883158056</f>
        <v>118225.03341531199</v>
      </c>
      <c r="T10" s="45">
        <f>102742.311172409+50641.4062829469</f>
        <v>153383.71745535589</v>
      </c>
      <c r="U10" s="45">
        <f>108938.808668724+93694.416165562</f>
        <v>202633.224834286</v>
      </c>
      <c r="V10" s="45">
        <f>114763.827420578+145189.028547583</f>
        <v>259952.85596816102</v>
      </c>
      <c r="W10" s="45">
        <f>118480.956904006+171088.895388388</f>
        <v>289569.85229239397</v>
      </c>
      <c r="X10" s="45">
        <f>123214.252638179+208353.48222588</f>
        <v>331567.73486405902</v>
      </c>
      <c r="Y10" s="45">
        <f>129344.073402799+259500.738190466</f>
        <v>388844.81159326504</v>
      </c>
      <c r="Z10" s="45">
        <f>799.79+312354.038127241+135524.962639303</f>
        <v>448678.790766544</v>
      </c>
      <c r="AA10" s="45">
        <f>140836.478882876+358768.703391212+4016.66050210166</f>
        <v>503621.84277618962</v>
      </c>
      <c r="AB10" s="45">
        <f>145722.158768433+404265.534773745+9755.2033449081</f>
        <v>559742.8968870861</v>
      </c>
      <c r="AC10" s="45">
        <f>149269.970968584+441306.979228605+15201.2788528235</f>
        <v>605778.22905001254</v>
      </c>
      <c r="AD10" s="45">
        <f>152562.42364876+479567.999959514+21941.0554776762</f>
        <v>654071.47908595018</v>
      </c>
      <c r="AE10" s="45">
        <f>573057.378040444+158294.666836985+41763.4466717188</f>
        <v>773115.49154914788</v>
      </c>
      <c r="AF10" s="45">
        <f>164852.742236285+680247.898900916+75559.8480492728</f>
        <v>920660.48918647377</v>
      </c>
      <c r="AG10" s="45">
        <f>785035.64649227+171049.2397326+119424.045189374</f>
        <v>1075508.931414244</v>
      </c>
      <c r="AH10" s="45">
        <f>176874.258484454+857256.672063742+160309.586464035</f>
        <v>1194440.5170122311</v>
      </c>
      <c r="AI10" s="45">
        <f>180591.387967882+889673.520472137+183844.378463774</f>
        <v>1254109.286903793</v>
      </c>
      <c r="AJ10" s="46">
        <f>928572.722849741+185324.683702055+219513.039009099</f>
        <v>1333410.4455608949</v>
      </c>
      <c r="AK10" s="46">
        <f>191454.504466675+975140.175482978+272473.779249956</f>
        <v>1439068.4591996088</v>
      </c>
      <c r="AL10" s="46">
        <f>197635.393703179+1021778.67845845+339694.198613752+0</f>
        <v>1559108.270775381</v>
      </c>
      <c r="AM10" s="46">
        <f>1062703.1835047+202946.909946752+394633.358575045+41.7668954428973</f>
        <v>1660325.2189219401</v>
      </c>
      <c r="AN10" s="46">
        <f>202946.909946752+1062703.1835047+440953.812245364+445.619668828348</f>
        <v>1707049.5253656444</v>
      </c>
      <c r="AO10" s="46">
        <f>202946.909946752+1062703.1835047+475391.946886287+1419.73476576688</f>
        <v>1742461.7751035059</v>
      </c>
      <c r="AP10" s="46">
        <f>202946.909946752+1062703.1835047+508134.549056442+4903.99859369373</f>
        <v>1778688.6411015878</v>
      </c>
      <c r="AQ10" s="46">
        <f>202946.909946752+1062703.1835047+587362.608319045+23954.5361468206</f>
        <v>1876967.2379173175</v>
      </c>
      <c r="AR10" s="46">
        <f>202946.909946752+1062703.1835047+679496.996258472+67791.5834972967</f>
        <v>2012938.6732072209</v>
      </c>
      <c r="AS10" s="46">
        <f>202946.909946752+1062703.1835047+122922.206635666+749459.303019057</f>
        <v>2138031.6031061751</v>
      </c>
      <c r="AT10" s="46">
        <f>202946.909946752+1062703.1835047+800766.761361204+175897.299313043</f>
        <v>2242314.1541256988</v>
      </c>
      <c r="AU10" s="46">
        <f>202946.909946752+1062703.1835047+827223.420147666+207333.733696471</f>
        <v>2300207.2472955892</v>
      </c>
      <c r="AV10" s="133">
        <f t="shared" si="2"/>
        <v>2373780.0155115556</v>
      </c>
      <c r="AW10" s="133">
        <f t="shared" si="2"/>
        <v>2489699.488016665</v>
      </c>
      <c r="AX10" s="133">
        <f t="shared" si="2"/>
        <v>2619566.3947600345</v>
      </c>
      <c r="AY10" s="133">
        <f t="shared" si="2"/>
        <v>2730934.2402446801</v>
      </c>
      <c r="AZ10" s="133">
        <f t="shared" si="2"/>
        <v>2833499.1502286075</v>
      </c>
      <c r="BA10" s="133">
        <f t="shared" si="2"/>
        <v>2915904.5601675892</v>
      </c>
      <c r="BB10" s="133">
        <f t="shared" si="2"/>
        <v>3006332.9141624998</v>
      </c>
      <c r="BC10" s="133">
        <f t="shared" si="2"/>
        <v>3215030.1651054039</v>
      </c>
      <c r="BD10" s="133">
        <f t="shared" si="2"/>
        <v>3364889.5941102072</v>
      </c>
      <c r="BE10" s="133">
        <f t="shared" si="2"/>
        <v>3513104.4040751131</v>
      </c>
      <c r="BF10" s="133">
        <f t="shared" si="2"/>
        <v>3636719.2374365842</v>
      </c>
      <c r="BG10" s="133">
        <f t="shared" si="2"/>
        <v>3709321.777534104</v>
      </c>
      <c r="BH10" s="133">
        <f t="shared" si="2"/>
        <v>3805360.0372436456</v>
      </c>
      <c r="BI10" s="133">
        <f t="shared" si="2"/>
        <v>3951548.2095227828</v>
      </c>
      <c r="BJ10" s="133">
        <f t="shared" si="1"/>
        <v>4114720.9588733199</v>
      </c>
    </row>
    <row r="11" spans="1:62" x14ac:dyDescent="0.35">
      <c r="A11" s="35" t="s">
        <v>31</v>
      </c>
      <c r="B11" s="33"/>
      <c r="C11" s="33"/>
      <c r="D11" s="48">
        <f>SUM(D5:D10)</f>
        <v>0.71203150918887492</v>
      </c>
      <c r="E11" s="48">
        <f t="shared" ref="E11:AW11" si="3">SUM(E5:E10)</f>
        <v>4696.1328003699246</v>
      </c>
      <c r="F11" s="48">
        <f t="shared" si="3"/>
        <v>44631.702922297307</v>
      </c>
      <c r="G11" s="48">
        <f t="shared" si="3"/>
        <v>336308.07648475753</v>
      </c>
      <c r="H11" s="48">
        <f t="shared" si="3"/>
        <v>881174.41106336564</v>
      </c>
      <c r="I11" s="48">
        <f t="shared" si="3"/>
        <v>1544215.3586297561</v>
      </c>
      <c r="J11" s="48">
        <f t="shared" si="3"/>
        <v>2091960.0350125048</v>
      </c>
      <c r="K11" s="48">
        <f t="shared" si="3"/>
        <v>2362027.9257338243</v>
      </c>
      <c r="L11" s="48">
        <f t="shared" si="3"/>
        <v>2811476.7586528142</v>
      </c>
      <c r="M11" s="48">
        <f t="shared" si="3"/>
        <v>3483860.8742763405</v>
      </c>
      <c r="N11" s="48">
        <f t="shared" si="3"/>
        <v>4344159.9274297412</v>
      </c>
      <c r="O11" s="48">
        <f t="shared" si="3"/>
        <v>5265229.6128245099</v>
      </c>
      <c r="P11" s="48">
        <f t="shared" si="3"/>
        <v>5992471.9783231523</v>
      </c>
      <c r="Q11" s="48">
        <f t="shared" si="3"/>
        <v>6322967.2493307423</v>
      </c>
      <c r="R11" s="48">
        <f t="shared" si="3"/>
        <v>6771481.6294312896</v>
      </c>
      <c r="S11" s="48">
        <f t="shared" si="3"/>
        <v>7937948.4820839018</v>
      </c>
      <c r="T11" s="48">
        <f t="shared" si="3"/>
        <v>9534850.6535320561</v>
      </c>
      <c r="U11" s="48">
        <f t="shared" si="3"/>
        <v>11283123.065320907</v>
      </c>
      <c r="V11" s="48">
        <f t="shared" si="3"/>
        <v>12802594.081558477</v>
      </c>
      <c r="W11" s="48">
        <f t="shared" si="3"/>
        <v>13567474.535243882</v>
      </c>
      <c r="X11" s="48">
        <f t="shared" si="3"/>
        <v>14476282.187533755</v>
      </c>
      <c r="Y11" s="48">
        <f t="shared" si="3"/>
        <v>15596345.04408953</v>
      </c>
      <c r="Z11" s="48">
        <f t="shared" si="3"/>
        <v>16973565.708406165</v>
      </c>
      <c r="AA11" s="48">
        <f t="shared" si="3"/>
        <v>18168732.280760981</v>
      </c>
      <c r="AB11" s="48">
        <f t="shared" si="3"/>
        <v>19469364.680159729</v>
      </c>
      <c r="AC11" s="48">
        <f t="shared" si="3"/>
        <v>20675187.500933129</v>
      </c>
      <c r="AD11" s="48">
        <f t="shared" si="3"/>
        <v>22147738.779501401</v>
      </c>
      <c r="AE11" s="48">
        <f t="shared" si="3"/>
        <v>25750348.689807523</v>
      </c>
      <c r="AF11" s="48">
        <f t="shared" si="3"/>
        <v>30275328.592755113</v>
      </c>
      <c r="AG11" s="48">
        <f t="shared" si="3"/>
        <v>34833020.555107035</v>
      </c>
      <c r="AH11" s="48">
        <f t="shared" si="3"/>
        <v>38228154.180864222</v>
      </c>
      <c r="AI11" s="48">
        <f t="shared" si="3"/>
        <v>39847153.732589431</v>
      </c>
      <c r="AJ11" s="48">
        <f t="shared" si="3"/>
        <v>41540493.891890675</v>
      </c>
      <c r="AK11" s="48">
        <f t="shared" si="3"/>
        <v>43584328.406942971</v>
      </c>
      <c r="AL11" s="48">
        <f t="shared" si="3"/>
        <v>46131222.475444056</v>
      </c>
      <c r="AM11" s="48">
        <f t="shared" si="3"/>
        <v>48220838.952045664</v>
      </c>
      <c r="AN11" s="48">
        <f t="shared" si="3"/>
        <v>49133086.802811086</v>
      </c>
      <c r="AO11" s="48">
        <f t="shared" si="3"/>
        <v>49979421.019930221</v>
      </c>
      <c r="AP11" s="48">
        <f t="shared" si="3"/>
        <v>51046058.698135592</v>
      </c>
      <c r="AQ11" s="48">
        <f t="shared" si="3"/>
        <v>53909411.340259925</v>
      </c>
      <c r="AR11" s="48">
        <f t="shared" si="3"/>
        <v>57584968.863970898</v>
      </c>
      <c r="AS11" s="48">
        <f t="shared" si="3"/>
        <v>60927008.79521326</v>
      </c>
      <c r="AT11" s="48">
        <f t="shared" si="3"/>
        <v>63300855.380392052</v>
      </c>
      <c r="AU11" s="48">
        <f t="shared" si="3"/>
        <v>64352033.691516206</v>
      </c>
      <c r="AV11" s="48">
        <f>SUM(AV5:AV10)</f>
        <v>65471532.093981981</v>
      </c>
      <c r="AW11" s="48">
        <f t="shared" si="3"/>
        <v>66946742.418435343</v>
      </c>
      <c r="AX11" s="48">
        <f t="shared" ref="AX11:AY11" si="4">SUM(AX5:AX10)</f>
        <v>68578564.849743605</v>
      </c>
      <c r="AY11" s="48">
        <f t="shared" si="4"/>
        <v>69964667.905676588</v>
      </c>
      <c r="AZ11" s="48">
        <f t="shared" ref="AZ11:BA11" si="5">SUM(AZ5:AZ10)</f>
        <v>71343169.854934469</v>
      </c>
      <c r="BA11" s="48">
        <f t="shared" si="5"/>
        <v>72595171.801082477</v>
      </c>
      <c r="BB11" s="48">
        <f t="shared" ref="BB11:BC11" si="6">SUM(BB5:BB10)</f>
        <v>74216082.015661359</v>
      </c>
      <c r="BC11" s="48">
        <f t="shared" si="6"/>
        <v>78686541.260469183</v>
      </c>
      <c r="BD11" s="48">
        <f t="shared" ref="BD11:BE11" si="7">SUM(BD5:BD10)</f>
        <v>81002297.679032579</v>
      </c>
      <c r="BE11" s="48">
        <f t="shared" si="7"/>
        <v>83353054.67038399</v>
      </c>
      <c r="BF11" s="48">
        <f t="shared" ref="BF11:BG11" si="8">SUM(BF5:BF10)</f>
        <v>84903352.908418983</v>
      </c>
      <c r="BG11" s="48">
        <f t="shared" si="8"/>
        <v>85564968.545489952</v>
      </c>
      <c r="BH11" s="48">
        <f t="shared" ref="BH11:BI11" si="9">SUM(BH5:BH10)</f>
        <v>86290736.603078991</v>
      </c>
      <c r="BI11" s="48">
        <f t="shared" si="9"/>
        <v>87333680.133323595</v>
      </c>
      <c r="BJ11" s="48">
        <f t="shared" ref="BJ11" si="10">SUM(BJ5:BJ10)</f>
        <v>88523112.578878596</v>
      </c>
    </row>
    <row r="12" spans="1:62" x14ac:dyDescent="0.35">
      <c r="B12" s="41"/>
      <c r="C12" s="41"/>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row>
    <row r="13" spans="1:62" x14ac:dyDescent="0.35">
      <c r="A13" s="137" t="s">
        <v>39</v>
      </c>
      <c r="B13" s="41"/>
      <c r="C13" s="41"/>
      <c r="D13" s="49"/>
      <c r="E13" s="49"/>
      <c r="F13" s="49"/>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250" t="s">
        <v>123</v>
      </c>
      <c r="AW13" s="49"/>
      <c r="AX13" s="49"/>
      <c r="AY13" s="49"/>
      <c r="AZ13" s="49"/>
      <c r="BA13" s="49"/>
      <c r="BB13" s="49"/>
      <c r="BC13" s="49"/>
      <c r="BD13" s="49"/>
      <c r="BE13" s="49"/>
      <c r="BF13" s="49"/>
      <c r="BG13" s="49"/>
      <c r="BH13" s="49"/>
      <c r="BI13" s="49"/>
      <c r="BJ13" s="49"/>
    </row>
    <row r="14" spans="1:62" x14ac:dyDescent="0.35">
      <c r="A14" s="42" t="s">
        <v>33</v>
      </c>
      <c r="B14" s="41"/>
      <c r="C14" s="41"/>
      <c r="D14" s="49">
        <f>D5-C5</f>
        <v>0</v>
      </c>
      <c r="E14" s="49">
        <f>IF(E5="","",E5-D5)</f>
        <v>3542.7066619947968</v>
      </c>
      <c r="F14" s="49">
        <f>IF(F5="","",F5-E5)</f>
        <v>26593.748856903429</v>
      </c>
      <c r="G14" s="49">
        <f t="shared" ref="G14:AU19" si="11">IF(G5="","",G5-F5)</f>
        <v>243363.92907678595</v>
      </c>
      <c r="H14" s="49">
        <f t="shared" si="11"/>
        <v>441129.8099540461</v>
      </c>
      <c r="I14" s="49">
        <f t="shared" si="11"/>
        <v>537485.07750592032</v>
      </c>
      <c r="J14" s="49">
        <f t="shared" si="11"/>
        <v>373819.34593685856</v>
      </c>
      <c r="K14" s="49">
        <f>IF(K5="","",K5-J5)</f>
        <v>137025.9400139912</v>
      </c>
      <c r="L14" s="49">
        <f>IF(L5="","",L5-K5)</f>
        <v>273299.25349150668</v>
      </c>
      <c r="M14" s="49">
        <f t="shared" si="11"/>
        <v>463174.404168193</v>
      </c>
      <c r="N14" s="49">
        <f t="shared" si="11"/>
        <v>531472.97269952018</v>
      </c>
      <c r="O14" s="49">
        <f t="shared" si="11"/>
        <v>666836.61937977653</v>
      </c>
      <c r="P14" s="49">
        <f t="shared" si="11"/>
        <v>454713.40903503355</v>
      </c>
      <c r="Q14" s="49">
        <f t="shared" si="11"/>
        <v>209553.48167778365</v>
      </c>
      <c r="R14" s="49">
        <f t="shared" si="11"/>
        <v>235085.44029895589</v>
      </c>
      <c r="S14" s="49">
        <f t="shared" si="11"/>
        <v>734760.62978666462</v>
      </c>
      <c r="T14" s="49">
        <f t="shared" si="11"/>
        <v>1003556.2831860054</v>
      </c>
      <c r="U14" s="49">
        <f t="shared" si="11"/>
        <v>1196200.4042900102</v>
      </c>
      <c r="V14" s="49">
        <f t="shared" si="11"/>
        <v>1010150.8980212705</v>
      </c>
      <c r="W14" s="49">
        <f t="shared" si="11"/>
        <v>444243.3950046096</v>
      </c>
      <c r="X14" s="49">
        <f>IF(X5="","",X5-W5)</f>
        <v>590722.64033336937</v>
      </c>
      <c r="Y14" s="49">
        <f t="shared" si="11"/>
        <v>739064.45472672023</v>
      </c>
      <c r="Z14" s="49">
        <f t="shared" si="11"/>
        <v>760226.35555802099</v>
      </c>
      <c r="AA14" s="49">
        <f t="shared" si="11"/>
        <v>734885.09801949374</v>
      </c>
      <c r="AB14" s="49">
        <f t="shared" si="11"/>
        <v>790050.52627510764</v>
      </c>
      <c r="AC14" s="49">
        <f t="shared" si="11"/>
        <v>712591.15803163499</v>
      </c>
      <c r="AD14" s="49">
        <f t="shared" si="11"/>
        <v>788005.60592493415</v>
      </c>
      <c r="AE14" s="49">
        <f t="shared" si="11"/>
        <v>2172782.5520650391</v>
      </c>
      <c r="AF14" s="49">
        <f t="shared" si="11"/>
        <v>2655713.1081700679</v>
      </c>
      <c r="AG14" s="49">
        <f t="shared" si="11"/>
        <v>2764862.6405028403</v>
      </c>
      <c r="AH14" s="49">
        <f t="shared" si="11"/>
        <v>2093407.6803619489</v>
      </c>
      <c r="AI14" s="49">
        <f t="shared" si="11"/>
        <v>860529.3097284846</v>
      </c>
      <c r="AJ14" s="49">
        <f t="shared" si="11"/>
        <v>981461.85882917792</v>
      </c>
      <c r="AK14" s="49">
        <f t="shared" si="11"/>
        <v>1203203.2163009197</v>
      </c>
      <c r="AL14" s="49">
        <f t="shared" si="11"/>
        <v>1371395.0052714273</v>
      </c>
      <c r="AM14" s="49">
        <f t="shared" si="11"/>
        <v>1187045.9499182627</v>
      </c>
      <c r="AN14" s="49">
        <f t="shared" si="11"/>
        <v>442726.9085614942</v>
      </c>
      <c r="AO14" s="49">
        <f t="shared" si="11"/>
        <v>394740.24836762995</v>
      </c>
      <c r="AP14" s="49">
        <f t="shared" si="11"/>
        <v>444427.68705686927</v>
      </c>
      <c r="AQ14" s="49">
        <f t="shared" si="11"/>
        <v>1411496.7289061919</v>
      </c>
      <c r="AR14" s="49">
        <f t="shared" si="11"/>
        <v>1794317.4913307615</v>
      </c>
      <c r="AS14" s="49">
        <f t="shared" si="11"/>
        <v>1725059.9569640458</v>
      </c>
      <c r="AT14" s="49">
        <f t="shared" si="11"/>
        <v>1180653.1439791694</v>
      </c>
      <c r="AU14" s="49">
        <f>IF(AU5="","",AU5-AT5)</f>
        <v>422803.37846041471</v>
      </c>
      <c r="AV14" s="251">
        <v>480552.05965318042</v>
      </c>
      <c r="AW14" s="251">
        <v>608001.18080991926</v>
      </c>
      <c r="AX14" s="251">
        <v>626055.33464167651</v>
      </c>
      <c r="AY14" s="251">
        <v>552041.12919417256</v>
      </c>
      <c r="AZ14" s="251">
        <v>527124.14165883337</v>
      </c>
      <c r="BA14" s="251">
        <v>442943.268674533</v>
      </c>
      <c r="BB14" s="251">
        <v>522165.28190633608</v>
      </c>
      <c r="BC14" s="251">
        <v>1846027.1966850492</v>
      </c>
      <c r="BD14" s="251">
        <v>747690.95967581961</v>
      </c>
      <c r="BE14" s="251">
        <v>795095.61881207419</v>
      </c>
      <c r="BF14" s="251">
        <v>437555.03220353607</v>
      </c>
      <c r="BG14" s="251">
        <v>100511.05980560697</v>
      </c>
      <c r="BH14" s="251">
        <v>147491.21525269997</v>
      </c>
      <c r="BI14" s="251">
        <v>261268.36611424692</v>
      </c>
      <c r="BJ14" s="251">
        <v>282771.70611335948</v>
      </c>
    </row>
    <row r="15" spans="1:62" x14ac:dyDescent="0.35">
      <c r="A15" s="42" t="s">
        <v>34</v>
      </c>
      <c r="B15" s="41"/>
      <c r="C15" s="41"/>
      <c r="D15" s="49">
        <f t="shared" ref="D15:D19" si="12">D6-C6</f>
        <v>0.34412602678174997</v>
      </c>
      <c r="E15" s="49">
        <f t="shared" ref="E15:T19" si="13">IF(E6="","",E6-D6)</f>
        <v>593.85341007321881</v>
      </c>
      <c r="F15" s="49">
        <f t="shared" si="13"/>
        <v>8368.5225960071712</v>
      </c>
      <c r="G15" s="49">
        <f t="shared" si="13"/>
        <v>23641.814181406706</v>
      </c>
      <c r="H15" s="49">
        <f t="shared" si="13"/>
        <v>47663.861231335664</v>
      </c>
      <c r="I15" s="49">
        <f t="shared" si="13"/>
        <v>53281.675633138075</v>
      </c>
      <c r="J15" s="49">
        <f t="shared" si="13"/>
        <v>71676.428272669378</v>
      </c>
      <c r="K15" s="49">
        <f t="shared" si="13"/>
        <v>61749.996111268818</v>
      </c>
      <c r="L15" s="49">
        <f t="shared" si="13"/>
        <v>64301.78087974526</v>
      </c>
      <c r="M15" s="49">
        <f t="shared" si="13"/>
        <v>80879.653386032383</v>
      </c>
      <c r="N15" s="49">
        <f t="shared" si="13"/>
        <v>111135.9811537732</v>
      </c>
      <c r="O15" s="49">
        <f t="shared" si="13"/>
        <v>85954.403865189641</v>
      </c>
      <c r="P15" s="49">
        <f t="shared" si="13"/>
        <v>101665.26307113573</v>
      </c>
      <c r="Q15" s="49">
        <f t="shared" si="13"/>
        <v>43704.587072193855</v>
      </c>
      <c r="R15" s="49">
        <f t="shared" si="13"/>
        <v>71459.375872766483</v>
      </c>
      <c r="S15" s="49">
        <f t="shared" si="13"/>
        <v>97753.498167764628</v>
      </c>
      <c r="T15" s="49">
        <f t="shared" si="13"/>
        <v>141015.1486218411</v>
      </c>
      <c r="U15" s="49">
        <f t="shared" si="11"/>
        <v>108492.50331897987</v>
      </c>
      <c r="V15" s="49">
        <f t="shared" si="11"/>
        <v>121638.55281044007</v>
      </c>
      <c r="W15" s="49">
        <f t="shared" si="11"/>
        <v>99508.113558219979</v>
      </c>
      <c r="X15" s="49">
        <f t="shared" si="11"/>
        <v>93848.281650386052</v>
      </c>
      <c r="Y15" s="49">
        <f t="shared" si="11"/>
        <v>110179.05255875806</v>
      </c>
      <c r="Z15" s="49">
        <f t="shared" si="11"/>
        <v>189905.1953110029</v>
      </c>
      <c r="AA15" s="49">
        <f t="shared" si="11"/>
        <v>137153.48131497181</v>
      </c>
      <c r="AB15" s="49">
        <f t="shared" si="11"/>
        <v>159323.21702728886</v>
      </c>
      <c r="AC15" s="49">
        <f t="shared" si="11"/>
        <v>162609.78061144357</v>
      </c>
      <c r="AD15" s="49">
        <f t="shared" si="11"/>
        <v>219080.05774471955</v>
      </c>
      <c r="AE15" s="49">
        <f t="shared" si="11"/>
        <v>320938.11460895883</v>
      </c>
      <c r="AF15" s="49">
        <f t="shared" si="11"/>
        <v>433498.69397499831</v>
      </c>
      <c r="AG15" s="49">
        <f t="shared" si="11"/>
        <v>374926.40798967611</v>
      </c>
      <c r="AH15" s="49">
        <f t="shared" si="11"/>
        <v>324413.71329922695</v>
      </c>
      <c r="AI15" s="49">
        <f t="shared" si="11"/>
        <v>240653.64655007282</v>
      </c>
      <c r="AJ15" s="49">
        <f t="shared" si="11"/>
        <v>212821.10111611104</v>
      </c>
      <c r="AK15" s="49">
        <f t="shared" si="11"/>
        <v>237800.65090143587</v>
      </c>
      <c r="AL15" s="49">
        <f t="shared" si="11"/>
        <v>308330.26708983164</v>
      </c>
      <c r="AM15" s="49">
        <f t="shared" si="11"/>
        <v>235466.43282882962</v>
      </c>
      <c r="AN15" s="49">
        <f t="shared" si="11"/>
        <v>95431.089405592531</v>
      </c>
      <c r="AO15" s="49">
        <f t="shared" si="11"/>
        <v>123229.53478879109</v>
      </c>
      <c r="AP15" s="49">
        <f t="shared" si="11"/>
        <v>187141.99566382077</v>
      </c>
      <c r="AQ15" s="49">
        <f t="shared" si="11"/>
        <v>251239.36356647499</v>
      </c>
      <c r="AR15" s="49">
        <f t="shared" si="11"/>
        <v>338954.98695240729</v>
      </c>
      <c r="AS15" s="49">
        <f t="shared" si="11"/>
        <v>277707.59700077679</v>
      </c>
      <c r="AT15" s="49">
        <f t="shared" si="11"/>
        <v>275931.14634561911</v>
      </c>
      <c r="AU15" s="49">
        <f t="shared" si="11"/>
        <v>169201.26599771157</v>
      </c>
      <c r="AV15" s="251">
        <v>145859.63600505408</v>
      </c>
      <c r="AW15" s="251">
        <v>171081.02646494721</v>
      </c>
      <c r="AX15" s="251">
        <v>192601.66350577975</v>
      </c>
      <c r="AY15" s="251">
        <v>151860.45547245166</v>
      </c>
      <c r="AZ15" s="251">
        <v>172477.58982753946</v>
      </c>
      <c r="BA15" s="251">
        <v>191610.37932107094</v>
      </c>
      <c r="BB15" s="251">
        <v>263288.18130710907</v>
      </c>
      <c r="BC15" s="251">
        <v>339782.0481409803</v>
      </c>
      <c r="BD15" s="251">
        <v>137225.42505771076</v>
      </c>
      <c r="BE15" s="251">
        <v>121211.61943724488</v>
      </c>
      <c r="BF15" s="251">
        <v>136122.94755548515</v>
      </c>
      <c r="BG15" s="251">
        <v>104847.90484777978</v>
      </c>
      <c r="BH15" s="251">
        <v>94409.682606949587</v>
      </c>
      <c r="BI15" s="251">
        <v>115426.17110223707</v>
      </c>
      <c r="BJ15" s="251">
        <v>131934.87007711222</v>
      </c>
    </row>
    <row r="16" spans="1:62" x14ac:dyDescent="0.35">
      <c r="A16" s="42" t="s">
        <v>35</v>
      </c>
      <c r="B16" s="41"/>
      <c r="C16" s="41"/>
      <c r="D16" s="49">
        <f t="shared" si="12"/>
        <v>0.36790548240712501</v>
      </c>
      <c r="E16" s="49">
        <f t="shared" si="13"/>
        <v>549.3842450882164</v>
      </c>
      <c r="F16" s="49">
        <f t="shared" si="13"/>
        <v>3822.5375931394819</v>
      </c>
      <c r="G16" s="49">
        <f t="shared" si="13"/>
        <v>16781.332362054229</v>
      </c>
      <c r="H16" s="49">
        <f t="shared" si="13"/>
        <v>40077.718380542559</v>
      </c>
      <c r="I16" s="49">
        <f t="shared" si="13"/>
        <v>53768.83317517324</v>
      </c>
      <c r="J16" s="49">
        <f t="shared" si="13"/>
        <v>78944.93348619208</v>
      </c>
      <c r="K16" s="49">
        <f t="shared" si="13"/>
        <v>55926.350991116371</v>
      </c>
      <c r="L16" s="49">
        <f t="shared" si="13"/>
        <v>83880.449084735184</v>
      </c>
      <c r="M16" s="49">
        <f t="shared" si="13"/>
        <v>99281.072172543674</v>
      </c>
      <c r="N16" s="49">
        <f t="shared" si="13"/>
        <v>148279.90203829214</v>
      </c>
      <c r="O16" s="49">
        <f t="shared" si="13"/>
        <v>118392.65769132716</v>
      </c>
      <c r="P16" s="49">
        <f t="shared" si="13"/>
        <v>119186.78334495833</v>
      </c>
      <c r="Q16" s="49">
        <f t="shared" si="13"/>
        <v>45565.551720377523</v>
      </c>
      <c r="R16" s="49">
        <f t="shared" si="13"/>
        <v>81136.967569354689</v>
      </c>
      <c r="S16" s="49">
        <f t="shared" si="13"/>
        <v>183295.85838448966</v>
      </c>
      <c r="T16" s="49">
        <f t="shared" si="13"/>
        <v>257259.11349060107</v>
      </c>
      <c r="U16" s="49">
        <f t="shared" si="11"/>
        <v>236757.62294599204</v>
      </c>
      <c r="V16" s="49">
        <f t="shared" si="11"/>
        <v>216017.06686391006</v>
      </c>
      <c r="W16" s="49">
        <f t="shared" si="11"/>
        <v>134334.55217090389</v>
      </c>
      <c r="X16" s="49">
        <f t="shared" si="11"/>
        <v>129332.01012655394</v>
      </c>
      <c r="Y16" s="49">
        <f t="shared" si="11"/>
        <v>157922.3659402621</v>
      </c>
      <c r="Z16" s="49">
        <f t="shared" si="11"/>
        <v>270666.33827841002</v>
      </c>
      <c r="AA16" s="49">
        <f t="shared" si="11"/>
        <v>198834.36725015193</v>
      </c>
      <c r="AB16" s="49">
        <f t="shared" si="11"/>
        <v>219482.47434197739</v>
      </c>
      <c r="AC16" s="49">
        <f t="shared" si="11"/>
        <v>208737.50455393642</v>
      </c>
      <c r="AD16" s="49">
        <f t="shared" si="11"/>
        <v>301225.84166622115</v>
      </c>
      <c r="AE16" s="49">
        <f t="shared" si="11"/>
        <v>684145.42895782785</v>
      </c>
      <c r="AF16" s="49">
        <f t="shared" si="11"/>
        <v>917659.32139833691</v>
      </c>
      <c r="AG16" s="49">
        <f t="shared" si="11"/>
        <v>901807.73008037545</v>
      </c>
      <c r="AH16" s="49">
        <f t="shared" si="11"/>
        <v>630298.83245725092</v>
      </c>
      <c r="AI16" s="49">
        <f t="shared" si="11"/>
        <v>337030.02955732867</v>
      </c>
      <c r="AJ16" s="49">
        <f t="shared" si="11"/>
        <v>322004.32534062304</v>
      </c>
      <c r="AK16" s="49">
        <f t="shared" si="11"/>
        <v>392891.60609848052</v>
      </c>
      <c r="AL16" s="49">
        <f t="shared" si="11"/>
        <v>599832.39393610973</v>
      </c>
      <c r="AM16" s="49">
        <f t="shared" si="11"/>
        <v>453055.57220833749</v>
      </c>
      <c r="AN16" s="49">
        <f t="shared" si="11"/>
        <v>277920.43698708341</v>
      </c>
      <c r="AO16" s="49">
        <f t="shared" si="11"/>
        <v>244050.33216398209</v>
      </c>
      <c r="AP16" s="49">
        <f t="shared" si="11"/>
        <v>327746.93017519452</v>
      </c>
      <c r="AQ16" s="49">
        <f t="shared" si="11"/>
        <v>891956.50044952147</v>
      </c>
      <c r="AR16" s="49">
        <f t="shared" si="11"/>
        <v>1113855.8695650622</v>
      </c>
      <c r="AS16" s="49">
        <f t="shared" si="11"/>
        <v>959106.99888556264</v>
      </c>
      <c r="AT16" s="49">
        <f t="shared" si="11"/>
        <v>645737.53209456243</v>
      </c>
      <c r="AU16" s="49">
        <f t="shared" si="11"/>
        <v>328956.22586071491</v>
      </c>
      <c r="AV16" s="251">
        <v>351718.73365072533</v>
      </c>
      <c r="AW16" s="251">
        <v>481921.06512556295</v>
      </c>
      <c r="AX16" s="251">
        <v>550610.3868052375</v>
      </c>
      <c r="AY16" s="251">
        <v>455764.00567087258</v>
      </c>
      <c r="AZ16" s="251">
        <v>457758.44433528365</v>
      </c>
      <c r="BA16" s="251">
        <v>417606.00649319548</v>
      </c>
      <c r="BB16" s="251">
        <v>563611.78659608669</v>
      </c>
      <c r="BC16" s="251">
        <v>1504716.8864352102</v>
      </c>
      <c r="BD16" s="251">
        <v>849022.79116828437</v>
      </c>
      <c r="BE16" s="251">
        <v>832773.91577893845</v>
      </c>
      <c r="BF16" s="251">
        <v>584058.84972879675</v>
      </c>
      <c r="BG16" s="251">
        <v>282325.00825459295</v>
      </c>
      <c r="BH16" s="251">
        <v>286683.92768936866</v>
      </c>
      <c r="BI16" s="251">
        <v>387981.60084041837</v>
      </c>
      <c r="BJ16" s="251">
        <v>446707.59014549508</v>
      </c>
    </row>
    <row r="17" spans="1:62" x14ac:dyDescent="0.35">
      <c r="A17" s="42" t="s">
        <v>36</v>
      </c>
      <c r="B17" s="41"/>
      <c r="C17" s="41"/>
      <c r="D17" s="49">
        <f t="shared" si="12"/>
        <v>0</v>
      </c>
      <c r="E17" s="49">
        <f t="shared" si="13"/>
        <v>9.4764517045030008</v>
      </c>
      <c r="F17" s="49">
        <f t="shared" si="13"/>
        <v>992.38480063141662</v>
      </c>
      <c r="G17" s="49">
        <f t="shared" si="13"/>
        <v>7292.1248374502911</v>
      </c>
      <c r="H17" s="49">
        <f t="shared" si="13"/>
        <v>15994.94501268368</v>
      </c>
      <c r="I17" s="49">
        <f t="shared" si="13"/>
        <v>17164.241699319093</v>
      </c>
      <c r="J17" s="49">
        <f t="shared" si="13"/>
        <v>20320.430103720311</v>
      </c>
      <c r="K17" s="49">
        <f t="shared" si="13"/>
        <v>13070.873255390616</v>
      </c>
      <c r="L17" s="49">
        <f t="shared" si="13"/>
        <v>20231.253087994788</v>
      </c>
      <c r="M17" s="49">
        <f t="shared" si="13"/>
        <v>17598.692062585586</v>
      </c>
      <c r="N17" s="49">
        <f t="shared" si="13"/>
        <v>38937.79226598228</v>
      </c>
      <c r="O17" s="49">
        <f t="shared" si="13"/>
        <v>27592.203926662129</v>
      </c>
      <c r="P17" s="49">
        <f t="shared" si="13"/>
        <v>30486.6083612293</v>
      </c>
      <c r="Q17" s="49">
        <f t="shared" si="13"/>
        <v>20357.95825841499</v>
      </c>
      <c r="R17" s="49">
        <f t="shared" si="13"/>
        <v>40286.379846393131</v>
      </c>
      <c r="S17" s="49">
        <f t="shared" si="13"/>
        <v>90357.200169900665</v>
      </c>
      <c r="T17" s="49">
        <f t="shared" si="13"/>
        <v>120607.08647786122</v>
      </c>
      <c r="U17" s="49">
        <f t="shared" si="11"/>
        <v>117746.82574398903</v>
      </c>
      <c r="V17" s="49">
        <f t="shared" si="11"/>
        <v>90042.714549710974</v>
      </c>
      <c r="W17" s="49">
        <f t="shared" si="11"/>
        <v>48103.20895122306</v>
      </c>
      <c r="X17" s="49">
        <f t="shared" si="11"/>
        <v>44439.238829133916</v>
      </c>
      <c r="Y17" s="49">
        <f t="shared" si="11"/>
        <v>45576.431423941976</v>
      </c>
      <c r="Z17" s="49">
        <f t="shared" si="11"/>
        <v>85493.861875130096</v>
      </c>
      <c r="AA17" s="49">
        <f t="shared" si="11"/>
        <v>60404.694563134573</v>
      </c>
      <c r="AB17" s="49">
        <f t="shared" si="11"/>
        <v>66187.801188615616</v>
      </c>
      <c r="AC17" s="49">
        <f t="shared" si="11"/>
        <v>65843.640583625296</v>
      </c>
      <c r="AD17" s="49">
        <f t="shared" si="11"/>
        <v>97241.818953172537</v>
      </c>
      <c r="AE17" s="49">
        <f t="shared" si="11"/>
        <v>244220.78662038059</v>
      </c>
      <c r="AF17" s="49">
        <f t="shared" si="11"/>
        <v>303404.40532824234</v>
      </c>
      <c r="AG17" s="49">
        <f t="shared" si="11"/>
        <v>294330.25841648318</v>
      </c>
      <c r="AH17" s="49">
        <f t="shared" si="11"/>
        <v>188595.42307112576</v>
      </c>
      <c r="AI17" s="49">
        <f t="shared" si="11"/>
        <v>104726.50932704005</v>
      </c>
      <c r="AJ17" s="49">
        <f t="shared" si="11"/>
        <v>84625.791328145191</v>
      </c>
      <c r="AK17" s="49">
        <f t="shared" si="11"/>
        <v>90870.860348734073</v>
      </c>
      <c r="AL17" s="49">
        <f t="shared" si="11"/>
        <v>132672.81528491154</v>
      </c>
      <c r="AM17" s="49">
        <f t="shared" si="11"/>
        <v>101032.10359475715</v>
      </c>
      <c r="AN17" s="49">
        <f t="shared" si="11"/>
        <v>45752.79477960337</v>
      </c>
      <c r="AO17" s="49">
        <f t="shared" si="11"/>
        <v>44697.066485182382</v>
      </c>
      <c r="AP17" s="49">
        <f t="shared" si="11"/>
        <v>64771.954259123188</v>
      </c>
      <c r="AQ17" s="49">
        <f t="shared" si="11"/>
        <v>193382.71212351602</v>
      </c>
      <c r="AR17" s="49">
        <f t="shared" si="11"/>
        <v>268003.20881172037</v>
      </c>
      <c r="AS17" s="49">
        <f t="shared" si="11"/>
        <v>230566.83769477485</v>
      </c>
      <c r="AT17" s="49">
        <f t="shared" si="11"/>
        <v>149038.78589499276</v>
      </c>
      <c r="AU17" s="49">
        <f t="shared" si="11"/>
        <v>64473.107943349518</v>
      </c>
      <c r="AV17" s="251">
        <v>61215.96245734112</v>
      </c>
      <c r="AW17" s="251">
        <v>88854.164324950398</v>
      </c>
      <c r="AX17" s="251">
        <v>120841.18160539823</v>
      </c>
      <c r="AY17" s="251">
        <v>105225.22143600933</v>
      </c>
      <c r="AZ17" s="251">
        <v>107624.14748934993</v>
      </c>
      <c r="BA17" s="251">
        <v>105534.99356662401</v>
      </c>
      <c r="BB17" s="251">
        <v>159456.12613023922</v>
      </c>
      <c r="BC17" s="251">
        <v>497239.28822581953</v>
      </c>
      <c r="BD17" s="251">
        <v>369430.80440892524</v>
      </c>
      <c r="BE17" s="251">
        <v>383095.87276238529</v>
      </c>
      <c r="BF17" s="251">
        <v>227279.94963984366</v>
      </c>
      <c r="BG17" s="251">
        <v>88395.782375730298</v>
      </c>
      <c r="BH17" s="251">
        <v>88504.958583250322</v>
      </c>
      <c r="BI17" s="251">
        <v>116326.66382018049</v>
      </c>
      <c r="BJ17" s="251">
        <v>146884.55607837287</v>
      </c>
    </row>
    <row r="18" spans="1:62" x14ac:dyDescent="0.35">
      <c r="A18" s="42" t="s">
        <v>37</v>
      </c>
      <c r="B18" s="41"/>
      <c r="C18" s="41"/>
      <c r="D18" s="49">
        <f t="shared" si="12"/>
        <v>0</v>
      </c>
      <c r="E18" s="49">
        <f t="shared" si="13"/>
        <v>0</v>
      </c>
      <c r="F18" s="49">
        <f t="shared" si="13"/>
        <v>158.37627524588399</v>
      </c>
      <c r="G18" s="49">
        <f t="shared" si="13"/>
        <v>597.17310476301054</v>
      </c>
      <c r="H18" s="49">
        <f t="shared" si="13"/>
        <v>0</v>
      </c>
      <c r="I18" s="49">
        <f t="shared" si="13"/>
        <v>169.81270770721562</v>
      </c>
      <c r="J18" s="49">
        <f t="shared" si="13"/>
        <v>453.93840587905197</v>
      </c>
      <c r="K18" s="49">
        <f t="shared" si="13"/>
        <v>456.28021386938781</v>
      </c>
      <c r="L18" s="49">
        <f t="shared" si="13"/>
        <v>4319.4254014161179</v>
      </c>
      <c r="M18" s="49">
        <f t="shared" si="13"/>
        <v>2081.8680429045771</v>
      </c>
      <c r="N18" s="49">
        <f t="shared" si="13"/>
        <v>5464.5117731579412</v>
      </c>
      <c r="O18" s="49">
        <f t="shared" si="13"/>
        <v>3916.0471236254289</v>
      </c>
      <c r="P18" s="49">
        <f t="shared" si="13"/>
        <v>4286.7797434903841</v>
      </c>
      <c r="Q18" s="49">
        <f t="shared" si="13"/>
        <v>3982.5449796573193</v>
      </c>
      <c r="R18" s="49">
        <f t="shared" si="13"/>
        <v>11299.337986812028</v>
      </c>
      <c r="S18" s="49">
        <f t="shared" si="13"/>
        <v>37266.281050670106</v>
      </c>
      <c r="T18" s="49">
        <f t="shared" si="13"/>
        <v>39305.85563180274</v>
      </c>
      <c r="U18" s="49">
        <f t="shared" si="11"/>
        <v>39825.548110948119</v>
      </c>
      <c r="V18" s="49">
        <f t="shared" si="11"/>
        <v>24302.15285836329</v>
      </c>
      <c r="W18" s="49">
        <f t="shared" si="11"/>
        <v>9074.1876762166794</v>
      </c>
      <c r="X18" s="49">
        <f t="shared" si="11"/>
        <v>8467.5987787623017</v>
      </c>
      <c r="Y18" s="49">
        <f t="shared" si="11"/>
        <v>10043.475176890934</v>
      </c>
      <c r="Z18" s="49">
        <f t="shared" si="11"/>
        <v>11094.93412078757</v>
      </c>
      <c r="AA18" s="49">
        <f t="shared" si="11"/>
        <v>8945.8791974182532</v>
      </c>
      <c r="AB18" s="49">
        <f t="shared" si="11"/>
        <v>9467.3264548647567</v>
      </c>
      <c r="AC18" s="49">
        <f t="shared" si="11"/>
        <v>10005.404829831823</v>
      </c>
      <c r="AD18" s="49">
        <f t="shared" si="11"/>
        <v>18704.704243288696</v>
      </c>
      <c r="AE18" s="49">
        <f t="shared" si="11"/>
        <v>61479.015590718016</v>
      </c>
      <c r="AF18" s="49">
        <f t="shared" si="11"/>
        <v>67159.376438625099</v>
      </c>
      <c r="AG18" s="49">
        <f t="shared" si="11"/>
        <v>66916.483134767215</v>
      </c>
      <c r="AH18" s="49">
        <f t="shared" si="11"/>
        <v>39486.39096965373</v>
      </c>
      <c r="AI18" s="49">
        <f t="shared" si="11"/>
        <v>16391.286670723639</v>
      </c>
      <c r="AJ18" s="49">
        <f t="shared" si="11"/>
        <v>13125.924030081369</v>
      </c>
      <c r="AK18" s="49">
        <f t="shared" si="11"/>
        <v>13410.167764012935</v>
      </c>
      <c r="AL18" s="49">
        <f t="shared" si="11"/>
        <v>14623.775343037792</v>
      </c>
      <c r="AM18" s="49">
        <f t="shared" si="11"/>
        <v>11799.469904855709</v>
      </c>
      <c r="AN18" s="49">
        <f t="shared" si="11"/>
        <v>3692.3145879389485</v>
      </c>
      <c r="AO18" s="49">
        <f t="shared" si="11"/>
        <v>4204.7855756902136</v>
      </c>
      <c r="AP18" s="49">
        <f t="shared" si="11"/>
        <v>6322.2450522735016</v>
      </c>
      <c r="AQ18" s="49">
        <f t="shared" si="11"/>
        <v>16998.740262906649</v>
      </c>
      <c r="AR18" s="49">
        <f t="shared" si="11"/>
        <v>24454.531761112739</v>
      </c>
      <c r="AS18" s="49">
        <f t="shared" si="11"/>
        <v>24505.610798255075</v>
      </c>
      <c r="AT18" s="49">
        <f t="shared" si="11"/>
        <v>18203.425844928715</v>
      </c>
      <c r="AU18" s="49">
        <f t="shared" si="11"/>
        <v>7851.239692067029</v>
      </c>
      <c r="AV18" s="251">
        <v>6579.2424835044949</v>
      </c>
      <c r="AW18" s="251">
        <v>9433.415222866648</v>
      </c>
      <c r="AX18" s="251">
        <v>11846.95800679991</v>
      </c>
      <c r="AY18" s="251">
        <v>9844.3986748222214</v>
      </c>
      <c r="AZ18" s="251">
        <v>10952.715962963086</v>
      </c>
      <c r="BA18" s="251">
        <v>11901.888153588321</v>
      </c>
      <c r="BB18" s="251">
        <v>21960.484644210501</v>
      </c>
      <c r="BC18" s="251">
        <v>73996.574377871031</v>
      </c>
      <c r="BD18" s="251">
        <v>62527.009247847767</v>
      </c>
      <c r="BE18" s="251">
        <v>70365.154595866654</v>
      </c>
      <c r="BF18" s="251">
        <v>41666.625545866598</v>
      </c>
      <c r="BG18" s="251">
        <v>12933.341689720763</v>
      </c>
      <c r="BH18" s="251">
        <v>12640.013747249901</v>
      </c>
      <c r="BI18" s="251">
        <v>15752.556088374615</v>
      </c>
      <c r="BJ18" s="251">
        <v>17960.973790130844</v>
      </c>
    </row>
    <row r="19" spans="1:62" x14ac:dyDescent="0.35">
      <c r="A19" s="42" t="s">
        <v>29</v>
      </c>
      <c r="B19" s="41"/>
      <c r="C19" s="41"/>
      <c r="D19" s="49">
        <f t="shared" si="12"/>
        <v>0</v>
      </c>
      <c r="E19" s="49">
        <f t="shared" si="13"/>
        <v>0</v>
      </c>
      <c r="F19" s="49">
        <f t="shared" si="13"/>
        <v>0</v>
      </c>
      <c r="G19" s="49">
        <f t="shared" si="13"/>
        <v>0</v>
      </c>
      <c r="H19" s="49">
        <f t="shared" si="13"/>
        <v>0</v>
      </c>
      <c r="I19" s="49">
        <f t="shared" si="13"/>
        <v>1171.3068451326408</v>
      </c>
      <c r="J19" s="49">
        <f t="shared" si="13"/>
        <v>2529.6001774291863</v>
      </c>
      <c r="K19" s="49">
        <f t="shared" si="13"/>
        <v>1838.4501356835217</v>
      </c>
      <c r="L19" s="49">
        <f t="shared" si="13"/>
        <v>3416.6709735918112</v>
      </c>
      <c r="M19" s="49">
        <f t="shared" si="13"/>
        <v>9368.4257912663998</v>
      </c>
      <c r="N19" s="49">
        <f t="shared" si="13"/>
        <v>25007.893222675237</v>
      </c>
      <c r="O19" s="49">
        <f t="shared" si="13"/>
        <v>18377.753408188204</v>
      </c>
      <c r="P19" s="49">
        <f t="shared" si="13"/>
        <v>16903.521942794192</v>
      </c>
      <c r="Q19" s="49">
        <f t="shared" si="13"/>
        <v>7331.1472991635092</v>
      </c>
      <c r="R19" s="49">
        <f t="shared" si="13"/>
        <v>9246.8785262646852</v>
      </c>
      <c r="S19" s="49">
        <f t="shared" si="13"/>
        <v>23033.385093122604</v>
      </c>
      <c r="T19" s="49">
        <f t="shared" si="13"/>
        <v>35158.684040043896</v>
      </c>
      <c r="U19" s="49">
        <f t="shared" si="11"/>
        <v>49249.50737893011</v>
      </c>
      <c r="V19" s="49">
        <f t="shared" si="11"/>
        <v>57319.631133875024</v>
      </c>
      <c r="W19" s="49">
        <f t="shared" si="11"/>
        <v>29616.996324232954</v>
      </c>
      <c r="X19" s="49">
        <f t="shared" si="11"/>
        <v>41997.882571665046</v>
      </c>
      <c r="Y19" s="49">
        <f t="shared" si="11"/>
        <v>57277.076729206019</v>
      </c>
      <c r="Z19" s="49">
        <f t="shared" si="11"/>
        <v>59833.97917327896</v>
      </c>
      <c r="AA19" s="49">
        <f t="shared" si="11"/>
        <v>54943.052009645617</v>
      </c>
      <c r="AB19" s="49">
        <f t="shared" si="11"/>
        <v>56121.054110896483</v>
      </c>
      <c r="AC19" s="49">
        <f t="shared" si="11"/>
        <v>46035.332162926439</v>
      </c>
      <c r="AD19" s="49">
        <f t="shared" si="11"/>
        <v>48293.250035937643</v>
      </c>
      <c r="AE19" s="49">
        <f t="shared" si="11"/>
        <v>119044.01246319769</v>
      </c>
      <c r="AF19" s="49">
        <f t="shared" si="11"/>
        <v>147544.9976373259</v>
      </c>
      <c r="AG19" s="49">
        <f t="shared" si="11"/>
        <v>154848.44222777023</v>
      </c>
      <c r="AH19" s="49">
        <f t="shared" si="11"/>
        <v>118931.58559798705</v>
      </c>
      <c r="AI19" s="49">
        <f t="shared" si="11"/>
        <v>59668.76989156194</v>
      </c>
      <c r="AJ19" s="49">
        <f t="shared" si="11"/>
        <v>79301.158657101914</v>
      </c>
      <c r="AK19" s="49">
        <f t="shared" si="11"/>
        <v>105658.01363871386</v>
      </c>
      <c r="AL19" s="49">
        <f t="shared" si="11"/>
        <v>120039.81157577224</v>
      </c>
      <c r="AM19" s="49">
        <f t="shared" si="11"/>
        <v>101216.94814655907</v>
      </c>
      <c r="AN19" s="49">
        <f t="shared" si="11"/>
        <v>46724.306443704292</v>
      </c>
      <c r="AO19" s="49">
        <f t="shared" si="11"/>
        <v>35412.249737861566</v>
      </c>
      <c r="AP19" s="49">
        <f t="shared" si="11"/>
        <v>36226.865998081863</v>
      </c>
      <c r="AQ19" s="49">
        <f t="shared" si="11"/>
        <v>98278.596815729747</v>
      </c>
      <c r="AR19" s="49">
        <f t="shared" si="11"/>
        <v>135971.43528990331</v>
      </c>
      <c r="AS19" s="49">
        <f t="shared" si="11"/>
        <v>125092.92989895423</v>
      </c>
      <c r="AT19" s="49">
        <f t="shared" si="11"/>
        <v>104282.55101952376</v>
      </c>
      <c r="AU19" s="49">
        <f t="shared" si="11"/>
        <v>57893.093169890344</v>
      </c>
      <c r="AV19" s="251">
        <v>73572.768215966324</v>
      </c>
      <c r="AW19" s="251">
        <v>115919.47250510931</v>
      </c>
      <c r="AX19" s="251">
        <v>129866.9067433696</v>
      </c>
      <c r="AY19" s="251">
        <v>111367.8454846454</v>
      </c>
      <c r="AZ19" s="251">
        <v>102564.90998392738</v>
      </c>
      <c r="BA19" s="251">
        <v>82405.409938981669</v>
      </c>
      <c r="BB19" s="251">
        <v>90428.353994910591</v>
      </c>
      <c r="BC19" s="251">
        <v>208697.25094290392</v>
      </c>
      <c r="BD19" s="251">
        <v>149859.4290048031</v>
      </c>
      <c r="BE19" s="251">
        <v>148214.80996490575</v>
      </c>
      <c r="BF19" s="251">
        <v>123614.83336147125</v>
      </c>
      <c r="BG19" s="251">
        <v>72602.540097519959</v>
      </c>
      <c r="BH19" s="251">
        <v>96038.259709541904</v>
      </c>
      <c r="BI19" s="251">
        <v>146188.17227913733</v>
      </c>
      <c r="BJ19" s="251">
        <v>163172.74935053688</v>
      </c>
    </row>
    <row r="20" spans="1:62" x14ac:dyDescent="0.35">
      <c r="A20" s="38" t="s">
        <v>31</v>
      </c>
      <c r="B20" s="41"/>
      <c r="C20" s="41"/>
      <c r="D20" s="48">
        <f>SUM(D14:D19)</f>
        <v>0.71203150918887492</v>
      </c>
      <c r="E20" s="48">
        <f t="shared" ref="E20:AW20" si="14">SUM(E14:E19)</f>
        <v>4695.4207688607357</v>
      </c>
      <c r="F20" s="48">
        <f t="shared" si="14"/>
        <v>39935.570121927383</v>
      </c>
      <c r="G20" s="48">
        <f t="shared" si="14"/>
        <v>291676.37356246018</v>
      </c>
      <c r="H20" s="48">
        <f t="shared" si="14"/>
        <v>544866.33457860793</v>
      </c>
      <c r="I20" s="48">
        <f t="shared" si="14"/>
        <v>663040.9475663905</v>
      </c>
      <c r="J20" s="48">
        <f t="shared" si="14"/>
        <v>547744.67638274853</v>
      </c>
      <c r="K20" s="48">
        <f t="shared" si="14"/>
        <v>270067.89072131994</v>
      </c>
      <c r="L20" s="48">
        <f t="shared" si="14"/>
        <v>449448.83291898988</v>
      </c>
      <c r="M20" s="48">
        <f t="shared" si="14"/>
        <v>672384.11562352569</v>
      </c>
      <c r="N20" s="48">
        <f t="shared" si="14"/>
        <v>860299.05315340089</v>
      </c>
      <c r="O20" s="48">
        <f t="shared" si="14"/>
        <v>921069.68539476907</v>
      </c>
      <c r="P20" s="48">
        <f t="shared" si="14"/>
        <v>727242.36549864151</v>
      </c>
      <c r="Q20" s="48">
        <f t="shared" si="14"/>
        <v>330495.27100759087</v>
      </c>
      <c r="R20" s="48">
        <f t="shared" si="14"/>
        <v>448514.38010054693</v>
      </c>
      <c r="S20" s="48">
        <f t="shared" si="14"/>
        <v>1166466.8526526121</v>
      </c>
      <c r="T20" s="48">
        <f t="shared" si="14"/>
        <v>1596902.1714481555</v>
      </c>
      <c r="U20" s="48">
        <f t="shared" si="14"/>
        <v>1748272.4117888496</v>
      </c>
      <c r="V20" s="48">
        <f t="shared" si="14"/>
        <v>1519471.01623757</v>
      </c>
      <c r="W20" s="48">
        <f t="shared" si="14"/>
        <v>764880.45368540613</v>
      </c>
      <c r="X20" s="48">
        <f t="shared" si="14"/>
        <v>908807.65228987066</v>
      </c>
      <c r="Y20" s="48">
        <f t="shared" si="14"/>
        <v>1120062.856555779</v>
      </c>
      <c r="Z20" s="48">
        <f t="shared" si="14"/>
        <v>1377220.6643166305</v>
      </c>
      <c r="AA20" s="48">
        <f t="shared" si="14"/>
        <v>1195166.5723548159</v>
      </c>
      <c r="AB20" s="48">
        <f t="shared" si="14"/>
        <v>1300632.3993987509</v>
      </c>
      <c r="AC20" s="48">
        <f t="shared" si="14"/>
        <v>1205822.8207733985</v>
      </c>
      <c r="AD20" s="48">
        <f t="shared" si="14"/>
        <v>1472551.2785682736</v>
      </c>
      <c r="AE20" s="48">
        <f t="shared" si="14"/>
        <v>3602609.9103061217</v>
      </c>
      <c r="AF20" s="48">
        <f t="shared" si="14"/>
        <v>4524979.9029475963</v>
      </c>
      <c r="AG20" s="48">
        <f t="shared" si="14"/>
        <v>4557691.9623519126</v>
      </c>
      <c r="AH20" s="48">
        <f t="shared" si="14"/>
        <v>3395133.6257571932</v>
      </c>
      <c r="AI20" s="48">
        <f t="shared" si="14"/>
        <v>1618999.5517252118</v>
      </c>
      <c r="AJ20" s="48">
        <f t="shared" si="14"/>
        <v>1693340.1593012405</v>
      </c>
      <c r="AK20" s="48">
        <f t="shared" si="14"/>
        <v>2043834.5150522969</v>
      </c>
      <c r="AL20" s="48">
        <f t="shared" si="14"/>
        <v>2546894.0685010902</v>
      </c>
      <c r="AM20" s="48">
        <f t="shared" si="14"/>
        <v>2089616.4766016018</v>
      </c>
      <c r="AN20" s="48">
        <f t="shared" si="14"/>
        <v>912247.85076541675</v>
      </c>
      <c r="AO20" s="48">
        <f t="shared" si="14"/>
        <v>846334.21711913729</v>
      </c>
      <c r="AP20" s="48">
        <f t="shared" si="14"/>
        <v>1066637.678205363</v>
      </c>
      <c r="AQ20" s="48">
        <f t="shared" si="14"/>
        <v>2863352.6421243409</v>
      </c>
      <c r="AR20" s="48">
        <f t="shared" si="14"/>
        <v>3675557.523710967</v>
      </c>
      <c r="AS20" s="48">
        <f t="shared" si="14"/>
        <v>3342039.9312423691</v>
      </c>
      <c r="AT20" s="48">
        <f t="shared" si="14"/>
        <v>2373846.5851787962</v>
      </c>
      <c r="AU20" s="48">
        <f t="shared" si="14"/>
        <v>1051178.3111241481</v>
      </c>
      <c r="AV20" s="48">
        <f>SUM(AV14:AV19)</f>
        <v>1119498.4024657719</v>
      </c>
      <c r="AW20" s="48">
        <f t="shared" si="14"/>
        <v>1475210.324453356</v>
      </c>
      <c r="AX20" s="48">
        <f t="shared" ref="AX20:AY20" si="15">SUM(AX14:AX19)</f>
        <v>1631822.4313082614</v>
      </c>
      <c r="AY20" s="48">
        <f t="shared" si="15"/>
        <v>1386103.0559329735</v>
      </c>
      <c r="AZ20" s="48">
        <f t="shared" ref="AZ20:BA20" si="16">SUM(AZ14:AZ19)</f>
        <v>1378501.949257897</v>
      </c>
      <c r="BA20" s="48">
        <f t="shared" si="16"/>
        <v>1252001.9461479937</v>
      </c>
      <c r="BB20" s="48">
        <f t="shared" ref="BB20:BC20" si="17">SUM(BB14:BB19)</f>
        <v>1620910.2145788921</v>
      </c>
      <c r="BC20" s="48">
        <f t="shared" si="17"/>
        <v>4470459.2448078338</v>
      </c>
      <c r="BD20" s="48">
        <f t="shared" ref="BD20:BE20" si="18">SUM(BD14:BD19)</f>
        <v>2315756.4185633911</v>
      </c>
      <c r="BE20" s="48">
        <f t="shared" si="18"/>
        <v>2350756.9913514154</v>
      </c>
      <c r="BF20" s="48">
        <f t="shared" ref="BF20:BG20" si="19">SUM(BF14:BF19)</f>
        <v>1550298.2380349995</v>
      </c>
      <c r="BG20" s="48">
        <f t="shared" si="19"/>
        <v>661615.6370709507</v>
      </c>
      <c r="BH20" s="48">
        <f t="shared" ref="BH20:BI20" si="20">SUM(BH14:BH19)</f>
        <v>725768.05758906028</v>
      </c>
      <c r="BI20" s="48">
        <f t="shared" si="20"/>
        <v>1042943.5302445947</v>
      </c>
      <c r="BJ20" s="48">
        <f t="shared" ref="BJ20" si="21">SUM(BJ14:BJ19)</f>
        <v>1189432.4455550073</v>
      </c>
    </row>
    <row r="21" spans="1:62" x14ac:dyDescent="0.35">
      <c r="A21" s="38"/>
      <c r="B21" s="41"/>
      <c r="C21" s="41"/>
    </row>
    <row r="22" spans="1:62" x14ac:dyDescent="0.35">
      <c r="A22" s="29" t="s">
        <v>32</v>
      </c>
      <c r="B22" s="41"/>
      <c r="C22" s="41"/>
      <c r="AV22" s="252" t="s">
        <v>124</v>
      </c>
      <c r="AW22" s="253"/>
    </row>
    <row r="23" spans="1:62" x14ac:dyDescent="0.35">
      <c r="A23" s="40" t="s">
        <v>33</v>
      </c>
      <c r="B23" s="41"/>
      <c r="C23" s="41"/>
      <c r="D23" s="47">
        <v>1268128455</v>
      </c>
      <c r="E23" s="47">
        <v>872933544</v>
      </c>
      <c r="F23" s="47">
        <v>738196558</v>
      </c>
      <c r="G23" s="47">
        <v>978975302</v>
      </c>
      <c r="H23" s="47">
        <v>1243909773</v>
      </c>
      <c r="I23" s="47">
        <v>1310015315</v>
      </c>
      <c r="J23" s="47">
        <v>1208033233</v>
      </c>
      <c r="K23" s="120">
        <v>993546162</v>
      </c>
      <c r="L23" s="47">
        <v>897156231</v>
      </c>
      <c r="M23" s="47">
        <v>1208147189</v>
      </c>
      <c r="N23" s="47">
        <v>1334184680</v>
      </c>
      <c r="O23" s="47">
        <v>1302694951</v>
      </c>
      <c r="P23" s="47">
        <v>1123586700</v>
      </c>
      <c r="Q23" s="47">
        <v>886578697</v>
      </c>
      <c r="R23" s="47">
        <v>790098101</v>
      </c>
      <c r="S23" s="47">
        <v>1041013964</v>
      </c>
      <c r="T23" s="47">
        <v>1397050553</v>
      </c>
      <c r="U23" s="47">
        <v>1310723723</v>
      </c>
      <c r="V23" s="47">
        <v>1275164339</v>
      </c>
      <c r="W23" s="47">
        <v>800796996</v>
      </c>
      <c r="X23" s="47">
        <v>856955103</v>
      </c>
      <c r="Y23" s="47">
        <v>1137867523</v>
      </c>
      <c r="Z23" s="47">
        <v>1482496943</v>
      </c>
      <c r="AA23" s="47">
        <v>1507047480</v>
      </c>
      <c r="AB23" s="47">
        <v>1193201650</v>
      </c>
      <c r="AC23" s="47">
        <v>803567941</v>
      </c>
      <c r="AD23" s="47">
        <v>753161249</v>
      </c>
      <c r="AE23" s="47">
        <v>1061485022</v>
      </c>
      <c r="AF23" s="47">
        <v>1299384453</v>
      </c>
      <c r="AG23" s="47">
        <v>1325635096</v>
      </c>
      <c r="AH23" s="47">
        <v>1302322503</v>
      </c>
      <c r="AI23" s="47">
        <v>902367562</v>
      </c>
      <c r="AJ23" s="47">
        <v>849229853</v>
      </c>
      <c r="AK23" s="47">
        <v>1063566547</v>
      </c>
      <c r="AL23" s="47">
        <v>1372451320</v>
      </c>
      <c r="AM23" s="47">
        <v>1445914846</v>
      </c>
      <c r="AN23" s="47">
        <v>1156058653</v>
      </c>
      <c r="AO23" s="47">
        <v>900363528</v>
      </c>
      <c r="AP23" s="47">
        <v>837159184</v>
      </c>
      <c r="AQ23" s="47">
        <v>1060197293</v>
      </c>
      <c r="AR23" s="47">
        <v>1457350528</v>
      </c>
      <c r="AS23" s="47">
        <v>1390553772</v>
      </c>
      <c r="AT23" s="47">
        <v>1159635260</v>
      </c>
      <c r="AU23" s="47">
        <v>837049627</v>
      </c>
      <c r="AV23" s="254">
        <f>'[116]PPC.1, PCR.2F, EO.3'!B27</f>
        <v>823809710.89954734</v>
      </c>
      <c r="AW23" s="254">
        <f>'[116]PPC.1, PCR.2F, EO.3'!C27</f>
        <v>1184020781.8935058</v>
      </c>
      <c r="AX23" s="254">
        <f>'[116]PPC.1, PCR.2F, EO.3'!D27</f>
        <v>1463715224.8515413</v>
      </c>
      <c r="AY23" s="254">
        <f>'[116]PPC.1, PCR.2F, EO.3'!E27</f>
        <v>1336664994.0460832</v>
      </c>
      <c r="AZ23" s="254">
        <f>'[116]PPC.1, PCR.2F, EO.3'!F27</f>
        <v>1119079665.4526877</v>
      </c>
      <c r="BA23" s="254">
        <f>'[116]PPC.1, PCR.2F, EO.3'!G27</f>
        <v>861310496.59871697</v>
      </c>
      <c r="BB23" s="254">
        <f>'[116]PPC.1, PCR.2F, EO.3'!H27</f>
        <v>719637418.50404811</v>
      </c>
      <c r="BC23" s="254">
        <f>'[116]PPC.1, PCR.2F, EO.3'!I27</f>
        <v>953087156.89234209</v>
      </c>
      <c r="BD23" s="254">
        <f>'[116]PPC.1, PCR.2F, EO.3'!J27</f>
        <v>1248214161.8172109</v>
      </c>
      <c r="BE23" s="254">
        <f>'[116]PPC.1, PCR.2F, EO.3'!K27</f>
        <v>1255176708.3970134</v>
      </c>
      <c r="BF23" s="254">
        <f>'[116]PPC.1, PCR.2F, EO.3'!L27</f>
        <v>1155438853.4211845</v>
      </c>
      <c r="BG23" s="254">
        <f>'[116]PPC.1, PCR.2F, EO.3'!M27</f>
        <v>799316341.7253443</v>
      </c>
      <c r="BH23" s="254">
        <f>'[116]PPC.1, PCR.2F, EO.3'!N27</f>
        <v>823435842.64099085</v>
      </c>
      <c r="BI23" s="254">
        <f>'[116]PPC.1, PCR.2F, EO.3'!O27</f>
        <v>1182253404.6712387</v>
      </c>
      <c r="BJ23" s="254">
        <f>'[116]PPC.1, PCR.2F, EO.3'!P27</f>
        <v>1463243391.1134698</v>
      </c>
    </row>
    <row r="24" spans="1:62" x14ac:dyDescent="0.35">
      <c r="A24" s="40" t="s">
        <v>34</v>
      </c>
      <c r="B24" s="41"/>
      <c r="C24" s="41"/>
      <c r="D24" s="47">
        <v>290178959</v>
      </c>
      <c r="E24" s="47">
        <v>235096003</v>
      </c>
      <c r="F24" s="47">
        <v>221772499</v>
      </c>
      <c r="G24" s="47">
        <v>258735845</v>
      </c>
      <c r="H24" s="47">
        <v>295975497</v>
      </c>
      <c r="I24" s="47">
        <v>304175879</v>
      </c>
      <c r="J24" s="47">
        <v>293549572</v>
      </c>
      <c r="K24" s="120">
        <v>264736629</v>
      </c>
      <c r="L24" s="47">
        <v>237145043</v>
      </c>
      <c r="M24" s="47">
        <v>278572550</v>
      </c>
      <c r="N24" s="47">
        <v>297050898</v>
      </c>
      <c r="O24" s="47">
        <v>290934660</v>
      </c>
      <c r="P24" s="47">
        <v>265078600</v>
      </c>
      <c r="Q24" s="47">
        <v>203506574</v>
      </c>
      <c r="R24" s="47">
        <v>184563246</v>
      </c>
      <c r="S24" s="47">
        <v>231230759</v>
      </c>
      <c r="T24" s="47">
        <v>288425422</v>
      </c>
      <c r="U24" s="47">
        <v>281389691</v>
      </c>
      <c r="V24" s="47">
        <v>269111017</v>
      </c>
      <c r="W24" s="47">
        <v>218212399</v>
      </c>
      <c r="X24" s="47">
        <v>218068919</v>
      </c>
      <c r="Y24" s="47">
        <v>251883126</v>
      </c>
      <c r="Z24" s="47">
        <v>300425840</v>
      </c>
      <c r="AA24" s="47">
        <v>303577891</v>
      </c>
      <c r="AB24" s="47">
        <v>265359424</v>
      </c>
      <c r="AC24" s="47">
        <v>211100441</v>
      </c>
      <c r="AD24" s="47">
        <v>205986967</v>
      </c>
      <c r="AE24" s="47">
        <v>264522271</v>
      </c>
      <c r="AF24" s="47">
        <v>291815734</v>
      </c>
      <c r="AG24" s="47">
        <v>291413887</v>
      </c>
      <c r="AH24" s="47">
        <v>294374400</v>
      </c>
      <c r="AI24" s="47">
        <v>245524134</v>
      </c>
      <c r="AJ24" s="47">
        <v>219607166</v>
      </c>
      <c r="AK24" s="47">
        <v>250466096</v>
      </c>
      <c r="AL24" s="47">
        <v>295383726</v>
      </c>
      <c r="AM24" s="47">
        <v>301077290</v>
      </c>
      <c r="AN24" s="47">
        <v>261058604</v>
      </c>
      <c r="AO24" s="47">
        <v>230949228</v>
      </c>
      <c r="AP24" s="47">
        <v>223998788</v>
      </c>
      <c r="AQ24" s="47">
        <v>260692423</v>
      </c>
      <c r="AR24" s="47">
        <v>312328749</v>
      </c>
      <c r="AS24" s="47">
        <v>305346654</v>
      </c>
      <c r="AT24" s="47">
        <v>279929276</v>
      </c>
      <c r="AU24" s="47">
        <v>230143220</v>
      </c>
      <c r="AV24" s="254">
        <f>'[116]PPC.1, PCR.2F, EO.3'!B28</f>
        <v>214006590.80418369</v>
      </c>
      <c r="AW24" s="254">
        <f>'[116]PPC.1, PCR.2F, EO.3'!C28</f>
        <v>259208399.28055152</v>
      </c>
      <c r="AX24" s="254">
        <f>'[116]PPC.1, PCR.2F, EO.3'!D28</f>
        <v>305953434.20188934</v>
      </c>
      <c r="AY24" s="254">
        <f>'[116]PPC.1, PCR.2F, EO.3'!E28</f>
        <v>280856418.68896633</v>
      </c>
      <c r="AZ24" s="254">
        <f>'[116]PPC.1, PCR.2F, EO.3'!F28</f>
        <v>244645940.36085454</v>
      </c>
      <c r="BA24" s="254">
        <f>'[116]PPC.1, PCR.2F, EO.3'!G28</f>
        <v>211287471.96717843</v>
      </c>
      <c r="BB24" s="254">
        <f>'[116]PPC.1, PCR.2F, EO.3'!H28</f>
        <v>203754783.1300754</v>
      </c>
      <c r="BC24" s="254">
        <f>'[116]PPC.1, PCR.2F, EO.3'!I28</f>
        <v>248296251.07174692</v>
      </c>
      <c r="BD24" s="254">
        <f>'[116]PPC.1, PCR.2F, EO.3'!J28</f>
        <v>276440786.4582572</v>
      </c>
      <c r="BE24" s="254">
        <f>'[116]PPC.1, PCR.2F, EO.3'!K28</f>
        <v>276703179.2840662</v>
      </c>
      <c r="BF24" s="254">
        <f>'[116]PPC.1, PCR.2F, EO.3'!L28</f>
        <v>268461515.94519675</v>
      </c>
      <c r="BG24" s="254">
        <f>'[116]PPC.1, PCR.2F, EO.3'!M28</f>
        <v>222468642.64741558</v>
      </c>
      <c r="BH24" s="254">
        <f>'[116]PPC.1, PCR.2F, EO.3'!N28</f>
        <v>214037969.80153504</v>
      </c>
      <c r="BI24" s="254">
        <f>'[116]PPC.1, PCR.2F, EO.3'!O28</f>
        <v>259388443.35974792</v>
      </c>
      <c r="BJ24" s="254">
        <f>'[116]PPC.1, PCR.2F, EO.3'!P28</f>
        <v>309078989.07965964</v>
      </c>
    </row>
    <row r="25" spans="1:62" x14ac:dyDescent="0.35">
      <c r="A25" s="40" t="s">
        <v>35</v>
      </c>
      <c r="B25" s="41"/>
      <c r="C25" s="41"/>
      <c r="D25" s="47">
        <v>599641261</v>
      </c>
      <c r="E25" s="47">
        <v>546450417</v>
      </c>
      <c r="F25" s="47">
        <v>548775486</v>
      </c>
      <c r="G25" s="47">
        <v>609609142</v>
      </c>
      <c r="H25" s="47">
        <v>656813642</v>
      </c>
      <c r="I25" s="47">
        <v>671886437</v>
      </c>
      <c r="J25" s="47">
        <v>678219627</v>
      </c>
      <c r="K25" s="120">
        <v>622550219</v>
      </c>
      <c r="L25" s="47">
        <v>549600433</v>
      </c>
      <c r="M25" s="47">
        <v>596432225</v>
      </c>
      <c r="N25" s="47">
        <v>616923082</v>
      </c>
      <c r="O25" s="47">
        <v>599527620</v>
      </c>
      <c r="P25" s="47">
        <v>566693954</v>
      </c>
      <c r="Q25" s="47">
        <v>483801855</v>
      </c>
      <c r="R25" s="47">
        <v>451939609</v>
      </c>
      <c r="S25" s="47">
        <v>534583835</v>
      </c>
      <c r="T25" s="47">
        <v>624356693</v>
      </c>
      <c r="U25" s="47">
        <v>621885740</v>
      </c>
      <c r="V25" s="47">
        <v>619148163</v>
      </c>
      <c r="W25" s="47">
        <v>528448107.69999999</v>
      </c>
      <c r="X25" s="47">
        <v>514648084</v>
      </c>
      <c r="Y25" s="47">
        <v>553120787</v>
      </c>
      <c r="Z25" s="47">
        <v>592823385</v>
      </c>
      <c r="AA25" s="47">
        <v>585712392</v>
      </c>
      <c r="AB25" s="47">
        <v>543642088</v>
      </c>
      <c r="AC25" s="47">
        <v>483262229</v>
      </c>
      <c r="AD25" s="47">
        <v>492375125.19999999</v>
      </c>
      <c r="AE25" s="47">
        <v>586671915</v>
      </c>
      <c r="AF25" s="47">
        <v>641235470</v>
      </c>
      <c r="AG25" s="47">
        <v>634777638</v>
      </c>
      <c r="AH25" s="47">
        <v>647017474</v>
      </c>
      <c r="AI25" s="47">
        <v>568724491</v>
      </c>
      <c r="AJ25" s="47">
        <v>505304455</v>
      </c>
      <c r="AK25" s="47">
        <v>555282313.60000002</v>
      </c>
      <c r="AL25" s="47">
        <v>590675076</v>
      </c>
      <c r="AM25" s="47">
        <v>582248455</v>
      </c>
      <c r="AN25" s="47">
        <v>534070902</v>
      </c>
      <c r="AO25" s="47">
        <v>506459043</v>
      </c>
      <c r="AP25" s="47">
        <v>516003997</v>
      </c>
      <c r="AQ25" s="47">
        <v>579943536</v>
      </c>
      <c r="AR25" s="47">
        <v>650768443</v>
      </c>
      <c r="AS25" s="47">
        <v>645110540</v>
      </c>
      <c r="AT25" s="47">
        <v>617464584</v>
      </c>
      <c r="AU25" s="47">
        <v>530232061</v>
      </c>
      <c r="AV25" s="254">
        <f>'[116]PPC.1, PCR.2F, EO.3'!B29</f>
        <v>504852117.67261267</v>
      </c>
      <c r="AW25" s="254">
        <f>'[116]PPC.1, PCR.2F, EO.3'!C29</f>
        <v>560359725.04073942</v>
      </c>
      <c r="AX25" s="254">
        <f>'[116]PPC.1, PCR.2F, EO.3'!D29</f>
        <v>613374545.87154281</v>
      </c>
      <c r="AY25" s="254">
        <f>'[116]PPC.1, PCR.2F, EO.3'!E29</f>
        <v>563003155.08682692</v>
      </c>
      <c r="AZ25" s="254">
        <f>'[116]PPC.1, PCR.2F, EO.3'!F29</f>
        <v>525777849.44958454</v>
      </c>
      <c r="BA25" s="254">
        <f>'[116]PPC.1, PCR.2F, EO.3'!G29</f>
        <v>500829507.5393312</v>
      </c>
      <c r="BB25" s="254">
        <f>'[116]PPC.1, PCR.2F, EO.3'!H29</f>
        <v>504013757.42662746</v>
      </c>
      <c r="BC25" s="254">
        <f>'[116]PPC.1, PCR.2F, EO.3'!I29</f>
        <v>561164365.77195811</v>
      </c>
      <c r="BD25" s="254">
        <f>'[116]PPC.1, PCR.2F, EO.3'!J29</f>
        <v>614242841.92436695</v>
      </c>
      <c r="BE25" s="254">
        <f>'[116]PPC.1, PCR.2F, EO.3'!K29</f>
        <v>612510395.20461011</v>
      </c>
      <c r="BF25" s="254">
        <f>'[116]PPC.1, PCR.2F, EO.3'!L29</f>
        <v>609064939.63719511</v>
      </c>
      <c r="BG25" s="254">
        <f>'[116]PPC.1, PCR.2F, EO.3'!M29</f>
        <v>542930139.38885951</v>
      </c>
      <c r="BH25" s="254">
        <f>'[116]PPC.1, PCR.2F, EO.3'!N29</f>
        <v>505332973.16220433</v>
      </c>
      <c r="BI25" s="254">
        <f>'[116]PPC.1, PCR.2F, EO.3'!O29</f>
        <v>552569144.60818577</v>
      </c>
      <c r="BJ25" s="254">
        <f>'[116]PPC.1, PCR.2F, EO.3'!P29</f>
        <v>619327366.38035524</v>
      </c>
    </row>
    <row r="26" spans="1:62" x14ac:dyDescent="0.35">
      <c r="A26" s="40" t="s">
        <v>36</v>
      </c>
      <c r="B26" s="41"/>
      <c r="C26" s="41"/>
      <c r="D26" s="47">
        <v>242499726</v>
      </c>
      <c r="E26" s="47">
        <v>232539680</v>
      </c>
      <c r="F26" s="47">
        <v>229224298</v>
      </c>
      <c r="G26" s="47">
        <v>266349220</v>
      </c>
      <c r="H26" s="47">
        <v>267674678</v>
      </c>
      <c r="I26" s="47">
        <v>281003685</v>
      </c>
      <c r="J26" s="47">
        <v>279302255</v>
      </c>
      <c r="K26" s="120">
        <v>258807768</v>
      </c>
      <c r="L26" s="47">
        <v>239334214</v>
      </c>
      <c r="M26" s="47">
        <v>241025466</v>
      </c>
      <c r="N26" s="47">
        <v>247898204</v>
      </c>
      <c r="O26" s="47">
        <v>255420215</v>
      </c>
      <c r="P26" s="47">
        <v>225135566</v>
      </c>
      <c r="Q26" s="47">
        <v>219961316</v>
      </c>
      <c r="R26" s="47">
        <v>207074154</v>
      </c>
      <c r="S26" s="47">
        <v>241165089</v>
      </c>
      <c r="T26" s="47">
        <v>253833450</v>
      </c>
      <c r="U26" s="47">
        <v>266058831</v>
      </c>
      <c r="V26" s="47">
        <v>266126792</v>
      </c>
      <c r="W26" s="47">
        <v>236673642.40000001</v>
      </c>
      <c r="X26" s="47">
        <v>234876378</v>
      </c>
      <c r="Y26" s="47">
        <v>245759481</v>
      </c>
      <c r="Z26" s="47">
        <v>241302585</v>
      </c>
      <c r="AA26" s="47">
        <v>254211213</v>
      </c>
      <c r="AB26" s="47">
        <v>216207694</v>
      </c>
      <c r="AC26" s="47">
        <v>214809052</v>
      </c>
      <c r="AD26" s="47">
        <v>221576502.5</v>
      </c>
      <c r="AE26" s="47">
        <v>232417188</v>
      </c>
      <c r="AF26" s="47">
        <v>286577542</v>
      </c>
      <c r="AG26" s="47">
        <v>263115351</v>
      </c>
      <c r="AH26" s="47">
        <v>266455046</v>
      </c>
      <c r="AI26" s="47">
        <v>230080105</v>
      </c>
      <c r="AJ26" s="47">
        <v>200697530</v>
      </c>
      <c r="AK26" s="47">
        <v>269908616.5</v>
      </c>
      <c r="AL26" s="47">
        <v>254759231</v>
      </c>
      <c r="AM26" s="47">
        <v>236605471</v>
      </c>
      <c r="AN26" s="47">
        <v>220600472</v>
      </c>
      <c r="AO26" s="47">
        <v>227017145</v>
      </c>
      <c r="AP26" s="47">
        <v>225997805</v>
      </c>
      <c r="AQ26" s="47">
        <v>251076328</v>
      </c>
      <c r="AR26" s="47">
        <v>267504084</v>
      </c>
      <c r="AS26" s="47">
        <v>272015339</v>
      </c>
      <c r="AT26" s="47">
        <v>258297228</v>
      </c>
      <c r="AU26" s="47">
        <v>229178636</v>
      </c>
      <c r="AV26" s="254">
        <f>'[116]PPC.1, PCR.2F, EO.3'!B30</f>
        <v>223136740.16275239</v>
      </c>
      <c r="AW26" s="254">
        <f>'[116]PPC.1, PCR.2F, EO.3'!C30</f>
        <v>232535693.78009516</v>
      </c>
      <c r="AX26" s="254">
        <f>'[116]PPC.1, PCR.2F, EO.3'!D30</f>
        <v>241558091.74347511</v>
      </c>
      <c r="AY26" s="254">
        <f>'[116]PPC.1, PCR.2F, EO.3'!E30</f>
        <v>223273876.06086823</v>
      </c>
      <c r="AZ26" s="254">
        <f>'[116]PPC.1, PCR.2F, EO.3'!F30</f>
        <v>219930504.46499082</v>
      </c>
      <c r="BA26" s="254">
        <f>'[116]PPC.1, PCR.2F, EO.3'!G30</f>
        <v>219972621.34758601</v>
      </c>
      <c r="BB26" s="254">
        <f>'[116]PPC.1, PCR.2F, EO.3'!H30</f>
        <v>222450916.65547773</v>
      </c>
      <c r="BC26" s="254">
        <f>'[116]PPC.1, PCR.2F, EO.3'!I30</f>
        <v>242282151.68348587</v>
      </c>
      <c r="BD26" s="254">
        <f>'[116]PPC.1, PCR.2F, EO.3'!J30</f>
        <v>250975463.49602565</v>
      </c>
      <c r="BE26" s="254">
        <f>'[116]PPC.1, PCR.2F, EO.3'!K30</f>
        <v>250580809.74395686</v>
      </c>
      <c r="BF26" s="254">
        <f>'[116]PPC.1, PCR.2F, EO.3'!L30</f>
        <v>252332508.81780612</v>
      </c>
      <c r="BG26" s="254">
        <f>'[116]PPC.1, PCR.2F, EO.3'!M30</f>
        <v>232854682.76037392</v>
      </c>
      <c r="BH26" s="254">
        <f>'[116]PPC.1, PCR.2F, EO.3'!N30</f>
        <v>221336739.48931596</v>
      </c>
      <c r="BI26" s="254">
        <f>'[116]PPC.1, PCR.2F, EO.3'!O30</f>
        <v>230201207.14389151</v>
      </c>
      <c r="BJ26" s="254">
        <f>'[116]PPC.1, PCR.2F, EO.3'!P30</f>
        <v>241935503.49668512</v>
      </c>
    </row>
    <row r="27" spans="1:62" x14ac:dyDescent="0.35">
      <c r="A27" s="40" t="s">
        <v>37</v>
      </c>
      <c r="B27" s="41"/>
      <c r="C27" s="41"/>
      <c r="D27" s="47">
        <v>99309923</v>
      </c>
      <c r="E27" s="47">
        <v>98876748</v>
      </c>
      <c r="F27" s="47">
        <v>96480454</v>
      </c>
      <c r="G27" s="47">
        <v>121526151</v>
      </c>
      <c r="H27" s="47">
        <v>113123855</v>
      </c>
      <c r="I27" s="47">
        <v>125262874</v>
      </c>
      <c r="J27" s="47">
        <v>126945040</v>
      </c>
      <c r="K27" s="120">
        <v>119752379</v>
      </c>
      <c r="L27" s="47">
        <v>106348532</v>
      </c>
      <c r="M27" s="47">
        <v>100067076</v>
      </c>
      <c r="N27" s="47">
        <v>105899561</v>
      </c>
      <c r="O27" s="47">
        <v>111203176</v>
      </c>
      <c r="P27" s="47">
        <v>86704807</v>
      </c>
      <c r="Q27" s="47">
        <v>92097434</v>
      </c>
      <c r="R27" s="47">
        <v>93506334</v>
      </c>
      <c r="S27" s="47">
        <v>92139707</v>
      </c>
      <c r="T27" s="47">
        <v>105110654</v>
      </c>
      <c r="U27" s="47">
        <v>108265948</v>
      </c>
      <c r="V27" s="47">
        <v>109806573</v>
      </c>
      <c r="W27" s="47">
        <v>96724322.099999994</v>
      </c>
      <c r="X27" s="47">
        <v>94866307</v>
      </c>
      <c r="Y27" s="47">
        <v>96874394</v>
      </c>
      <c r="Z27" s="47">
        <v>84244327</v>
      </c>
      <c r="AA27" s="47">
        <v>112346620</v>
      </c>
      <c r="AB27" s="47">
        <v>50801494</v>
      </c>
      <c r="AC27" s="47">
        <v>85186767</v>
      </c>
      <c r="AD27" s="47">
        <v>94290468.700000003</v>
      </c>
      <c r="AE27" s="47">
        <v>96665030</v>
      </c>
      <c r="AF27" s="47">
        <v>111403127</v>
      </c>
      <c r="AG27" s="47">
        <v>106051211</v>
      </c>
      <c r="AH27" s="47">
        <v>114673513</v>
      </c>
      <c r="AI27" s="47">
        <v>105106440</v>
      </c>
      <c r="AJ27" s="47">
        <v>69778498</v>
      </c>
      <c r="AK27" s="47">
        <v>120928612.40000001</v>
      </c>
      <c r="AL27" s="47">
        <v>91160220</v>
      </c>
      <c r="AM27" s="47">
        <v>84926008</v>
      </c>
      <c r="AN27" s="47">
        <v>81012090</v>
      </c>
      <c r="AO27" s="47">
        <v>85726323</v>
      </c>
      <c r="AP27" s="47">
        <v>71350428</v>
      </c>
      <c r="AQ27" s="47">
        <v>86976917</v>
      </c>
      <c r="AR27" s="47">
        <v>99783323</v>
      </c>
      <c r="AS27" s="47">
        <v>98663196</v>
      </c>
      <c r="AT27" s="47">
        <v>102858299</v>
      </c>
      <c r="AU27" s="47">
        <v>88364839</v>
      </c>
      <c r="AV27" s="254">
        <f>'[116]PPC.1, PCR.2F, EO.3'!B31</f>
        <v>85688222.716237277</v>
      </c>
      <c r="AW27" s="254">
        <f>'[116]PPC.1, PCR.2F, EO.3'!C31</f>
        <v>83961913.884668529</v>
      </c>
      <c r="AX27" s="254">
        <f>'[116]PPC.1, PCR.2F, EO.3'!D31</f>
        <v>88463159.829218939</v>
      </c>
      <c r="AY27" s="254">
        <f>'[116]PPC.1, PCR.2F, EO.3'!E31</f>
        <v>79423268.344595075</v>
      </c>
      <c r="AZ27" s="254">
        <f>'[116]PPC.1, PCR.2F, EO.3'!F31</f>
        <v>83175188.403440759</v>
      </c>
      <c r="BA27" s="254">
        <f>'[116]PPC.1, PCR.2F, EO.3'!G31</f>
        <v>86735284.633053958</v>
      </c>
      <c r="BB27" s="254">
        <f>'[116]PPC.1, PCR.2F, EO.3'!H31</f>
        <v>93247060.641321868</v>
      </c>
      <c r="BC27" s="254">
        <f>'[116]PPC.1, PCR.2F, EO.3'!I31</f>
        <v>97836095.436305955</v>
      </c>
      <c r="BD27" s="254">
        <f>'[116]PPC.1, PCR.2F, EO.3'!J31</f>
        <v>103752963.75649156</v>
      </c>
      <c r="BE27" s="254">
        <f>'[116]PPC.1, PCR.2F, EO.3'!K31</f>
        <v>102347189.25692093</v>
      </c>
      <c r="BF27" s="254">
        <f>'[116]PPC.1, PCR.2F, EO.3'!L31</f>
        <v>98368052.772272438</v>
      </c>
      <c r="BG27" s="254">
        <f>'[116]PPC.1, PCR.2F, EO.3'!M31</f>
        <v>94567086.487890512</v>
      </c>
      <c r="BH27" s="254">
        <f>'[116]PPC.1, PCR.2F, EO.3'!N31</f>
        <v>88235436.372101769</v>
      </c>
      <c r="BI27" s="254">
        <f>'[116]PPC.1, PCR.2F, EO.3'!O31</f>
        <v>86463760.310069621</v>
      </c>
      <c r="BJ27" s="254">
        <f>'[116]PPC.1, PCR.2F, EO.3'!P31</f>
        <v>89132027.692243785</v>
      </c>
    </row>
    <row r="28" spans="1:62" x14ac:dyDescent="0.35">
      <c r="A28" s="35" t="s">
        <v>31</v>
      </c>
      <c r="B28" s="33"/>
      <c r="C28" s="33"/>
      <c r="D28" s="37">
        <f>SUM(D23:D27)</f>
        <v>2499758324</v>
      </c>
      <c r="E28" s="37">
        <f t="shared" ref="E28:AW28" si="22">SUM(E23:E27)</f>
        <v>1985896392</v>
      </c>
      <c r="F28" s="37">
        <f t="shared" si="22"/>
        <v>1834449295</v>
      </c>
      <c r="G28" s="37">
        <f t="shared" si="22"/>
        <v>2235195660</v>
      </c>
      <c r="H28" s="37">
        <f t="shared" si="22"/>
        <v>2577497445</v>
      </c>
      <c r="I28" s="37">
        <f t="shared" si="22"/>
        <v>2692344190</v>
      </c>
      <c r="J28" s="37">
        <f t="shared" si="22"/>
        <v>2586049727</v>
      </c>
      <c r="K28" s="37">
        <f t="shared" si="22"/>
        <v>2259393157</v>
      </c>
      <c r="L28" s="37">
        <f t="shared" si="22"/>
        <v>2029584453</v>
      </c>
      <c r="M28" s="37">
        <f t="shared" si="22"/>
        <v>2424244506</v>
      </c>
      <c r="N28" s="37">
        <f t="shared" si="22"/>
        <v>2601956425</v>
      </c>
      <c r="O28" s="37">
        <f t="shared" si="22"/>
        <v>2559780622</v>
      </c>
      <c r="P28" s="37">
        <f t="shared" si="22"/>
        <v>2267199627</v>
      </c>
      <c r="Q28" s="37">
        <f t="shared" si="22"/>
        <v>1885945876</v>
      </c>
      <c r="R28" s="37">
        <f t="shared" si="22"/>
        <v>1727181444</v>
      </c>
      <c r="S28" s="37">
        <f t="shared" si="22"/>
        <v>2140133354</v>
      </c>
      <c r="T28" s="37">
        <f t="shared" si="22"/>
        <v>2668776772</v>
      </c>
      <c r="U28" s="37">
        <f t="shared" si="22"/>
        <v>2588323933</v>
      </c>
      <c r="V28" s="37">
        <f t="shared" si="22"/>
        <v>2539356884</v>
      </c>
      <c r="W28" s="37">
        <f t="shared" si="22"/>
        <v>1880855467.2</v>
      </c>
      <c r="X28" s="37">
        <f t="shared" si="22"/>
        <v>1919414791</v>
      </c>
      <c r="Y28" s="37">
        <f t="shared" si="22"/>
        <v>2285505311</v>
      </c>
      <c r="Z28" s="37">
        <f t="shared" si="22"/>
        <v>2701293080</v>
      </c>
      <c r="AA28" s="37">
        <f t="shared" si="22"/>
        <v>2762895596</v>
      </c>
      <c r="AB28" s="37">
        <f t="shared" si="22"/>
        <v>2269212350</v>
      </c>
      <c r="AC28" s="37">
        <f t="shared" si="22"/>
        <v>1797926430</v>
      </c>
      <c r="AD28" s="37">
        <f t="shared" si="22"/>
        <v>1767390312.4000001</v>
      </c>
      <c r="AE28" s="37">
        <f t="shared" si="22"/>
        <v>2241761426</v>
      </c>
      <c r="AF28" s="37">
        <f t="shared" si="22"/>
        <v>2630416326</v>
      </c>
      <c r="AG28" s="37">
        <f t="shared" si="22"/>
        <v>2620993183</v>
      </c>
      <c r="AH28" s="37">
        <f t="shared" si="22"/>
        <v>2624842936</v>
      </c>
      <c r="AI28" s="37">
        <f t="shared" si="22"/>
        <v>2051802732</v>
      </c>
      <c r="AJ28" s="37">
        <f t="shared" si="22"/>
        <v>1844617502</v>
      </c>
      <c r="AK28" s="37">
        <f t="shared" si="22"/>
        <v>2260152185.5</v>
      </c>
      <c r="AL28" s="37">
        <f t="shared" si="22"/>
        <v>2604429573</v>
      </c>
      <c r="AM28" s="37">
        <f t="shared" si="22"/>
        <v>2650772070</v>
      </c>
      <c r="AN28" s="37">
        <f t="shared" si="22"/>
        <v>2252800721</v>
      </c>
      <c r="AO28" s="37">
        <f t="shared" si="22"/>
        <v>1950515267</v>
      </c>
      <c r="AP28" s="37">
        <f t="shared" si="22"/>
        <v>1874510202</v>
      </c>
      <c r="AQ28" s="37">
        <f t="shared" si="22"/>
        <v>2238886497</v>
      </c>
      <c r="AR28" s="37">
        <f t="shared" si="22"/>
        <v>2787735127</v>
      </c>
      <c r="AS28" s="37">
        <f t="shared" si="22"/>
        <v>2711689501</v>
      </c>
      <c r="AT28" s="37">
        <f t="shared" si="22"/>
        <v>2418184647</v>
      </c>
      <c r="AU28" s="37">
        <f t="shared" si="22"/>
        <v>1914968383</v>
      </c>
      <c r="AV28" s="37">
        <f>SUM(AV23:AV27)</f>
        <v>1851493382.2553334</v>
      </c>
      <c r="AW28" s="37">
        <f t="shared" si="22"/>
        <v>2320086513.87956</v>
      </c>
      <c r="AX28" s="37">
        <f t="shared" ref="AX28:AY28" si="23">SUM(AX23:AX27)</f>
        <v>2713064456.4976673</v>
      </c>
      <c r="AY28" s="37">
        <f t="shared" si="23"/>
        <v>2483221712.2273397</v>
      </c>
      <c r="AZ28" s="37">
        <f t="shared" ref="AZ28:BA28" si="24">SUM(AZ23:AZ27)</f>
        <v>2192609148.1315584</v>
      </c>
      <c r="BA28" s="37">
        <f t="shared" si="24"/>
        <v>1880135382.0858665</v>
      </c>
      <c r="BB28" s="37">
        <f t="shared" ref="BB28:BC28" si="25">SUM(BB23:BB27)</f>
        <v>1743103936.3575506</v>
      </c>
      <c r="BC28" s="37">
        <f t="shared" si="25"/>
        <v>2102666020.8558388</v>
      </c>
      <c r="BD28" s="37">
        <f t="shared" ref="BD28:BE28" si="26">SUM(BD23:BD27)</f>
        <v>2493626217.4523525</v>
      </c>
      <c r="BE28" s="37">
        <f t="shared" si="26"/>
        <v>2497318281.8865676</v>
      </c>
      <c r="BF28" s="37">
        <f t="shared" ref="BF28:BG28" si="27">SUM(BF23:BF27)</f>
        <v>2383665870.5936551</v>
      </c>
      <c r="BG28" s="37">
        <f t="shared" si="27"/>
        <v>1892136893.0098836</v>
      </c>
      <c r="BH28" s="37">
        <f t="shared" ref="BH28:BI28" si="28">SUM(BH23:BH27)</f>
        <v>1852378961.4661479</v>
      </c>
      <c r="BI28" s="37">
        <f t="shared" si="28"/>
        <v>2310875960.0931334</v>
      </c>
      <c r="BJ28" s="37">
        <f t="shared" ref="BJ28" si="29">SUM(BJ23:BJ27)</f>
        <v>2722717277.7624135</v>
      </c>
    </row>
    <row r="29" spans="1:62" x14ac:dyDescent="0.35">
      <c r="B29" s="41"/>
      <c r="C29" s="41"/>
    </row>
    <row r="30" spans="1:62" x14ac:dyDescent="0.35">
      <c r="A30" s="136" t="s">
        <v>40</v>
      </c>
      <c r="B30" s="41"/>
      <c r="C30" s="41"/>
    </row>
    <row r="31" spans="1:62" x14ac:dyDescent="0.35">
      <c r="A31" s="40" t="s">
        <v>33</v>
      </c>
      <c r="B31" s="41"/>
      <c r="C31" s="41"/>
      <c r="D31" s="255">
        <f>D14+(D$19*(D23/D$28))</f>
        <v>0</v>
      </c>
      <c r="E31" s="256">
        <f>IF(E14="","",E14+(E$19*(E23/E$28)))</f>
        <v>3542.7066619947968</v>
      </c>
      <c r="F31" s="256">
        <f t="shared" ref="E31:AW35" si="30">IF(F14="","",F14+(F$19*(F23/F$28)))</f>
        <v>26593.748856903429</v>
      </c>
      <c r="G31" s="255">
        <f t="shared" si="30"/>
        <v>243363.92907678595</v>
      </c>
      <c r="H31" s="255">
        <f t="shared" si="30"/>
        <v>441129.8099540461</v>
      </c>
      <c r="I31" s="256">
        <f t="shared" si="30"/>
        <v>538055.00088770315</v>
      </c>
      <c r="J31" s="255">
        <f>IF(J14="","",J14+(J$19*(J23/J$28)))</f>
        <v>375001.00963366695</v>
      </c>
      <c r="K31" s="255">
        <f>IF(K14="","",K14+(K$19*(K23/K$28)))</f>
        <v>137834.38057719183</v>
      </c>
      <c r="L31" s="255">
        <f t="shared" si="30"/>
        <v>274809.55657286098</v>
      </c>
      <c r="M31" s="255">
        <f t="shared" si="30"/>
        <v>467843.25553902646</v>
      </c>
      <c r="N31" s="255">
        <f t="shared" si="30"/>
        <v>544296.07292371744</v>
      </c>
      <c r="O31" s="255">
        <f t="shared" si="30"/>
        <v>676189.22029010952</v>
      </c>
      <c r="P31" s="255">
        <f t="shared" si="30"/>
        <v>463090.51540533279</v>
      </c>
      <c r="Q31" s="255">
        <f>IF(Q14="","",Q14+(Q$19*(Q23/Q$28)))</f>
        <v>212999.83668866704</v>
      </c>
      <c r="R31" s="255">
        <f t="shared" si="30"/>
        <v>239315.41925638349</v>
      </c>
      <c r="S31" s="255">
        <f t="shared" si="30"/>
        <v>745964.63979628112</v>
      </c>
      <c r="T31" s="255">
        <f t="shared" si="30"/>
        <v>1021961.1417325244</v>
      </c>
      <c r="U31" s="255">
        <f t="shared" si="30"/>
        <v>1221140.287913003</v>
      </c>
      <c r="V31" s="255">
        <f t="shared" si="30"/>
        <v>1038934.5439936385</v>
      </c>
      <c r="W31" s="255">
        <f t="shared" si="30"/>
        <v>456853.18990942289</v>
      </c>
      <c r="X31" s="255">
        <f t="shared" si="30"/>
        <v>609473.30327174987</v>
      </c>
      <c r="Y31" s="255">
        <f t="shared" si="30"/>
        <v>767580.56672561402</v>
      </c>
      <c r="Z31" s="255">
        <f t="shared" si="30"/>
        <v>793063.84804214339</v>
      </c>
      <c r="AA31" s="255">
        <f t="shared" si="30"/>
        <v>764854.30430963449</v>
      </c>
      <c r="AB31" s="255">
        <f t="shared" si="30"/>
        <v>819560.20806617534</v>
      </c>
      <c r="AC31" s="255">
        <f t="shared" si="30"/>
        <v>733166.25858200283</v>
      </c>
      <c r="AD31" s="255">
        <f t="shared" si="30"/>
        <v>808585.44290839287</v>
      </c>
      <c r="AE31" s="255">
        <f t="shared" si="30"/>
        <v>2229150.475396621</v>
      </c>
      <c r="AF31" s="255">
        <f t="shared" si="30"/>
        <v>2728598.0253418689</v>
      </c>
      <c r="AG31" s="255">
        <f t="shared" si="30"/>
        <v>2843181.2454154654</v>
      </c>
      <c r="AH31" s="255">
        <f t="shared" si="30"/>
        <v>2152415.8892408246</v>
      </c>
      <c r="AI31" s="255">
        <f t="shared" si="30"/>
        <v>886771.1903804827</v>
      </c>
      <c r="AJ31" s="255">
        <f t="shared" si="30"/>
        <v>1017970.7346454827</v>
      </c>
      <c r="AK31" s="255">
        <f t="shared" si="30"/>
        <v>1252923.0225376603</v>
      </c>
      <c r="AL31" s="255">
        <f t="shared" si="30"/>
        <v>1434652.1574546397</v>
      </c>
      <c r="AM31" s="255">
        <f t="shared" si="30"/>
        <v>1242256.6900827016</v>
      </c>
      <c r="AN31" s="255">
        <f t="shared" si="30"/>
        <v>466704.19082447694</v>
      </c>
      <c r="AO31" s="255">
        <f t="shared" si="30"/>
        <v>411086.64598257263</v>
      </c>
      <c r="AP31" s="255">
        <f t="shared" si="30"/>
        <v>460606.66199414816</v>
      </c>
      <c r="AQ31" s="255">
        <f t="shared" si="30"/>
        <v>1458035.3553365585</v>
      </c>
      <c r="AR31" s="255">
        <f t="shared" si="30"/>
        <v>1865399.5827007205</v>
      </c>
      <c r="AS31" s="255">
        <f t="shared" si="30"/>
        <v>1789207.583547906</v>
      </c>
      <c r="AT31" s="255">
        <f t="shared" si="30"/>
        <v>1230661.6176145528</v>
      </c>
      <c r="AU31" s="255">
        <f t="shared" si="30"/>
        <v>448108.96181830607</v>
      </c>
      <c r="AV31" s="257">
        <f>IF(AV14="","",AV14+(AV$19*(AV23/AV$28)))</f>
        <v>513287.7753165249</v>
      </c>
      <c r="AW31" s="257">
        <f t="shared" si="30"/>
        <v>667158.91637326952</v>
      </c>
      <c r="AX31" s="257">
        <f t="shared" ref="AX31" si="31">IF(AX14="","",AX14+(AX$19*(AX23/AX$28)))</f>
        <v>696119.34220677242</v>
      </c>
      <c r="AY31" s="258">
        <f>IF(AY14="","",AY14+(AY$19*(AY23/AY$28)))</f>
        <v>611988.05209222366</v>
      </c>
      <c r="AZ31" s="258">
        <f t="shared" ref="AZ31:BA31" si="32">IF(AZ14="","",AZ14+(AZ$19*(AZ23/AZ$28)))</f>
        <v>579471.9598962093</v>
      </c>
      <c r="BA31" s="258">
        <f t="shared" si="32"/>
        <v>480694.08451111492</v>
      </c>
      <c r="BB31" s="258">
        <f t="shared" ref="BB31:BC31" si="33">IF(BB14="","",BB14+(BB$19*(BB23/BB$28)))</f>
        <v>559498.47006059613</v>
      </c>
      <c r="BC31" s="258">
        <f t="shared" si="33"/>
        <v>1940624.5638272928</v>
      </c>
      <c r="BD31" s="258">
        <f t="shared" ref="BD31:BE31" si="34">IF(BD14="","",BD14+(BD$19*(BD23/BD$28)))</f>
        <v>822704.87325134547</v>
      </c>
      <c r="BE31" s="258">
        <f t="shared" si="34"/>
        <v>869589.83873461478</v>
      </c>
      <c r="BF31" s="258">
        <f t="shared" ref="BF31:BG31" si="35">IF(BF14="","",BF14+(BF$19*(BF23/BF$28)))</f>
        <v>497475.08353583846</v>
      </c>
      <c r="BG31" s="258">
        <f t="shared" si="35"/>
        <v>131181.35483822654</v>
      </c>
      <c r="BH31" s="258">
        <f t="shared" ref="BH31:BI31" si="36">IF(BH14="","",BH14+(BH$19*(BH23/BH$28)))</f>
        <v>190182.98996769052</v>
      </c>
      <c r="BI31" s="258">
        <f t="shared" si="36"/>
        <v>336058.82106913347</v>
      </c>
      <c r="BJ31" s="258">
        <f t="shared" ref="BJ31" si="37">IF(BJ14="","",BJ14+(BJ$19*(BJ23/BJ$28)))</f>
        <v>370464.04532428447</v>
      </c>
    </row>
    <row r="32" spans="1:62" x14ac:dyDescent="0.35">
      <c r="A32" s="40" t="s">
        <v>34</v>
      </c>
      <c r="B32" s="41"/>
      <c r="C32" s="41"/>
      <c r="D32" s="255">
        <f>D15+(D$19*(D24/D$28))</f>
        <v>0.34412602678174997</v>
      </c>
      <c r="E32" s="255">
        <f>IF(E15="","",E15+(E$19*(E24/E$28)))</f>
        <v>593.85341007321881</v>
      </c>
      <c r="F32" s="255">
        <f t="shared" si="30"/>
        <v>8368.5225960071712</v>
      </c>
      <c r="G32" s="255">
        <f t="shared" si="30"/>
        <v>23641.814181406706</v>
      </c>
      <c r="H32" s="255">
        <f t="shared" si="30"/>
        <v>47663.861231335664</v>
      </c>
      <c r="I32" s="256">
        <f t="shared" si="30"/>
        <v>53414.007632337976</v>
      </c>
      <c r="J32" s="255">
        <f t="shared" si="30"/>
        <v>71963.570102025027</v>
      </c>
      <c r="K32" s="255">
        <f t="shared" si="30"/>
        <v>61965.410188273323</v>
      </c>
      <c r="L32" s="255">
        <f t="shared" si="30"/>
        <v>64700.998849587129</v>
      </c>
      <c r="M32" s="255">
        <f t="shared" si="30"/>
        <v>81956.189294724609</v>
      </c>
      <c r="N32" s="255">
        <f t="shared" si="30"/>
        <v>113990.99327753842</v>
      </c>
      <c r="O32" s="255">
        <f t="shared" si="30"/>
        <v>88043.147483850829</v>
      </c>
      <c r="P32" s="255">
        <f t="shared" si="30"/>
        <v>103641.60510926238</v>
      </c>
      <c r="Q32" s="255">
        <f t="shared" si="30"/>
        <v>44495.668454394727</v>
      </c>
      <c r="R32" s="255">
        <f t="shared" si="30"/>
        <v>72447.479306892477</v>
      </c>
      <c r="S32" s="255">
        <f t="shared" si="30"/>
        <v>100242.14080653639</v>
      </c>
      <c r="T32" s="255">
        <f t="shared" si="30"/>
        <v>144814.88878280437</v>
      </c>
      <c r="U32" s="255">
        <f t="shared" si="30"/>
        <v>113846.66455304027</v>
      </c>
      <c r="V32" s="255">
        <f t="shared" si="30"/>
        <v>127713.0610159208</v>
      </c>
      <c r="W32" s="255">
        <f t="shared" si="30"/>
        <v>102944.20736329375</v>
      </c>
      <c r="X32" s="255">
        <f t="shared" si="30"/>
        <v>98619.753088261379</v>
      </c>
      <c r="Y32" s="255">
        <f t="shared" si="30"/>
        <v>116491.49867964754</v>
      </c>
      <c r="Z32" s="255">
        <f t="shared" si="30"/>
        <v>196559.66519683803</v>
      </c>
      <c r="AA32" s="255">
        <f t="shared" si="30"/>
        <v>143190.44336244816</v>
      </c>
      <c r="AB32" s="255">
        <f t="shared" si="30"/>
        <v>165885.95699877734</v>
      </c>
      <c r="AC32" s="255">
        <f t="shared" si="30"/>
        <v>168014.93999895826</v>
      </c>
      <c r="AD32" s="255">
        <f t="shared" si="30"/>
        <v>224708.57117023846</v>
      </c>
      <c r="AE32" s="255">
        <f t="shared" si="30"/>
        <v>334985.01191056194</v>
      </c>
      <c r="AF32" s="255">
        <f t="shared" si="30"/>
        <v>449867.18718954525</v>
      </c>
      <c r="AG32" s="255">
        <f t="shared" si="30"/>
        <v>392143.15877642907</v>
      </c>
      <c r="AH32" s="255">
        <f t="shared" si="30"/>
        <v>337751.81199888035</v>
      </c>
      <c r="AI32" s="255">
        <f t="shared" si="30"/>
        <v>247793.76914859904</v>
      </c>
      <c r="AJ32" s="255">
        <f t="shared" si="30"/>
        <v>222262.13845546212</v>
      </c>
      <c r="AK32" s="255">
        <f t="shared" si="30"/>
        <v>249509.48642011534</v>
      </c>
      <c r="AL32" s="255">
        <f t="shared" si="30"/>
        <v>321944.69044732186</v>
      </c>
      <c r="AM32" s="255">
        <f t="shared" si="30"/>
        <v>246962.75301226831</v>
      </c>
      <c r="AN32" s="255">
        <f t="shared" si="30"/>
        <v>100845.58616926862</v>
      </c>
      <c r="AO32" s="255">
        <f t="shared" si="30"/>
        <v>127422.49440160212</v>
      </c>
      <c r="AP32" s="255">
        <f t="shared" si="30"/>
        <v>191471.00601967305</v>
      </c>
      <c r="AQ32" s="255">
        <f t="shared" si="30"/>
        <v>262682.7688338983</v>
      </c>
      <c r="AR32" s="255">
        <f t="shared" si="30"/>
        <v>354188.78297288192</v>
      </c>
      <c r="AS32" s="255">
        <f t="shared" si="30"/>
        <v>291793.54141646903</v>
      </c>
      <c r="AT32" s="255">
        <f t="shared" si="30"/>
        <v>288002.90399346605</v>
      </c>
      <c r="AU32" s="255">
        <f t="shared" si="30"/>
        <v>176158.92806469859</v>
      </c>
      <c r="AV32" s="257">
        <f t="shared" si="30"/>
        <v>154363.61309340104</v>
      </c>
      <c r="AW32" s="257">
        <f t="shared" si="30"/>
        <v>184031.96632591443</v>
      </c>
      <c r="AX32" s="257">
        <f t="shared" ref="AX32:AY32" si="38">IF(AX15="","",AX15+(AX$19*(AX24/AX$28)))</f>
        <v>207246.80988707975</v>
      </c>
      <c r="AY32" s="258">
        <f t="shared" si="38"/>
        <v>164456.34011936397</v>
      </c>
      <c r="AZ32" s="258">
        <f t="shared" ref="AZ32:BA32" si="39">IF(AZ15="","",AZ15+(AZ$19*(AZ24/AZ$28)))</f>
        <v>183921.53042790896</v>
      </c>
      <c r="BA32" s="258">
        <f t="shared" si="39"/>
        <v>200871.00539530077</v>
      </c>
      <c r="BB32" s="258">
        <f t="shared" ref="BB32:BC32" si="40">IF(BB15="","",BB15+(BB$19*(BB24/BB$28)))</f>
        <v>273858.52612288902</v>
      </c>
      <c r="BC32" s="258">
        <f t="shared" si="40"/>
        <v>364426.35422864469</v>
      </c>
      <c r="BD32" s="258">
        <f t="shared" ref="BD32:BE32" si="41">IF(BD15="","",BD15+(BD$19*(BD24/BD$28)))</f>
        <v>153838.68414294682</v>
      </c>
      <c r="BE32" s="258">
        <f t="shared" si="41"/>
        <v>137633.83899641596</v>
      </c>
      <c r="BF32" s="258">
        <f t="shared" ref="BF32:BG32" si="42">IF(BF15="","",BF15+(BF$19*(BF24/BF$28)))</f>
        <v>150045.12765922112</v>
      </c>
      <c r="BG32" s="258">
        <f t="shared" si="42"/>
        <v>113384.17334289729</v>
      </c>
      <c r="BH32" s="258">
        <f t="shared" ref="BH32:BI32" si="43">IF(BH15="","",BH15+(BH$19*(BH24/BH$28)))</f>
        <v>105506.67439918689</v>
      </c>
      <c r="BI32" s="258">
        <f t="shared" si="43"/>
        <v>131835.32637492591</v>
      </c>
      <c r="BJ32" s="258">
        <f t="shared" ref="BJ32" si="44">IF(BJ15="","",BJ15+(BJ$19*(BJ24/BJ$28)))</f>
        <v>150458.00827677862</v>
      </c>
    </row>
    <row r="33" spans="1:62" x14ac:dyDescent="0.35">
      <c r="A33" s="40" t="s">
        <v>35</v>
      </c>
      <c r="B33" s="41"/>
      <c r="C33" s="41"/>
      <c r="D33" s="255">
        <f>D16+(D$19*(D25/D$28))</f>
        <v>0.36790548240712501</v>
      </c>
      <c r="E33" s="255">
        <f t="shared" si="30"/>
        <v>549.3842450882164</v>
      </c>
      <c r="F33" s="255">
        <f t="shared" si="30"/>
        <v>3822.5375931394819</v>
      </c>
      <c r="G33" s="255">
        <f t="shared" si="30"/>
        <v>16781.332362054229</v>
      </c>
      <c r="H33" s="255">
        <f t="shared" si="30"/>
        <v>40077.718380542559</v>
      </c>
      <c r="I33" s="256">
        <f t="shared" si="30"/>
        <v>54061.137994792116</v>
      </c>
      <c r="J33" s="255">
        <f t="shared" si="30"/>
        <v>79608.348605740233</v>
      </c>
      <c r="K33" s="255">
        <f t="shared" si="30"/>
        <v>56432.915123633284</v>
      </c>
      <c r="L33" s="255">
        <f t="shared" si="30"/>
        <v>84805.665004540322</v>
      </c>
      <c r="M33" s="255">
        <f t="shared" si="30"/>
        <v>101585.96799703788</v>
      </c>
      <c r="N33" s="255">
        <f t="shared" si="30"/>
        <v>154209.2659634623</v>
      </c>
      <c r="O33" s="255">
        <f t="shared" si="30"/>
        <v>122696.92137199735</v>
      </c>
      <c r="P33" s="255">
        <f t="shared" si="30"/>
        <v>123411.87388052933</v>
      </c>
      <c r="Q33" s="255">
        <f t="shared" si="30"/>
        <v>47446.211556775474</v>
      </c>
      <c r="R33" s="255">
        <f t="shared" si="30"/>
        <v>83556.534245541465</v>
      </c>
      <c r="S33" s="255">
        <f t="shared" si="30"/>
        <v>189049.36683437167</v>
      </c>
      <c r="T33" s="255">
        <f t="shared" si="30"/>
        <v>265484.4397628404</v>
      </c>
      <c r="U33" s="255">
        <f t="shared" si="30"/>
        <v>248590.59560852987</v>
      </c>
      <c r="V33" s="255">
        <f t="shared" si="30"/>
        <v>229992.78825383674</v>
      </c>
      <c r="W33" s="255">
        <f t="shared" si="30"/>
        <v>142655.78999924072</v>
      </c>
      <c r="X33" s="255">
        <f t="shared" si="30"/>
        <v>140592.80164431839</v>
      </c>
      <c r="Y33" s="255">
        <f t="shared" si="30"/>
        <v>171784.13279113677</v>
      </c>
      <c r="Z33" s="255">
        <f t="shared" si="30"/>
        <v>283797.45031291858</v>
      </c>
      <c r="AA33" s="255">
        <f t="shared" si="30"/>
        <v>210481.86723637651</v>
      </c>
      <c r="AB33" s="255">
        <f t="shared" si="30"/>
        <v>232927.56555946911</v>
      </c>
      <c r="AC33" s="255">
        <f t="shared" si="30"/>
        <v>221111.27962203597</v>
      </c>
      <c r="AD33" s="255">
        <f t="shared" si="30"/>
        <v>314679.79966629087</v>
      </c>
      <c r="AE33" s="255">
        <f t="shared" si="30"/>
        <v>715299.40366319334</v>
      </c>
      <c r="AF33" s="255">
        <f t="shared" si="30"/>
        <v>953627.42461110547</v>
      </c>
      <c r="AG33" s="255">
        <f t="shared" si="30"/>
        <v>939310.43288894033</v>
      </c>
      <c r="AH33" s="255">
        <f t="shared" si="30"/>
        <v>659615.18241367524</v>
      </c>
      <c r="AI33" s="255">
        <f t="shared" si="30"/>
        <v>353569.18814987835</v>
      </c>
      <c r="AJ33" s="255">
        <f t="shared" si="30"/>
        <v>343727.65210763505</v>
      </c>
      <c r="AK33" s="255">
        <f t="shared" si="30"/>
        <v>418850.04670264991</v>
      </c>
      <c r="AL33" s="255">
        <f t="shared" si="30"/>
        <v>627056.98298263596</v>
      </c>
      <c r="AM33" s="255">
        <f t="shared" si="30"/>
        <v>475288.11809378932</v>
      </c>
      <c r="AN33" s="255">
        <f t="shared" si="30"/>
        <v>288997.35659879085</v>
      </c>
      <c r="AO33" s="255">
        <f t="shared" si="30"/>
        <v>253245.26358346242</v>
      </c>
      <c r="AP33" s="255">
        <f t="shared" si="30"/>
        <v>337719.24594805558</v>
      </c>
      <c r="AQ33" s="255">
        <f t="shared" si="30"/>
        <v>917413.81462190335</v>
      </c>
      <c r="AR33" s="255">
        <f t="shared" si="30"/>
        <v>1145597.0197120309</v>
      </c>
      <c r="AS33" s="255">
        <f t="shared" si="30"/>
        <v>988866.58881189337</v>
      </c>
      <c r="AT33" s="255">
        <f t="shared" si="30"/>
        <v>672365.26793086936</v>
      </c>
      <c r="AU33" s="255">
        <f t="shared" si="30"/>
        <v>344986.1375718661</v>
      </c>
      <c r="AV33" s="257">
        <f t="shared" si="30"/>
        <v>371780.0356207178</v>
      </c>
      <c r="AW33" s="257">
        <f t="shared" si="30"/>
        <v>509918.55718081078</v>
      </c>
      <c r="AX33" s="257">
        <f t="shared" ref="AX33:AY33" si="45">IF(AX16="","",AX16+(AX$19*(AX25/AX$28)))</f>
        <v>579970.9332370339</v>
      </c>
      <c r="AY33" s="258">
        <f t="shared" si="45"/>
        <v>481013.64329861308</v>
      </c>
      <c r="AZ33" s="258">
        <f t="shared" ref="AZ33:BA33" si="46">IF(AZ16="","",AZ16+(AZ$19*(AZ25/AZ$28)))</f>
        <v>482353.0501939216</v>
      </c>
      <c r="BA33" s="258">
        <f t="shared" si="46"/>
        <v>439557.11771186197</v>
      </c>
      <c r="BB33" s="258">
        <f t="shared" ref="BB33:BC33" si="47">IF(BB16="","",BB16+(BB$19*(BB25/BB$28)))</f>
        <v>589758.89895366621</v>
      </c>
      <c r="BC33" s="258">
        <f t="shared" si="47"/>
        <v>1560414.4909535244</v>
      </c>
      <c r="BD33" s="258">
        <f t="shared" ref="BD33:BE33" si="48">IF(BD16="","",BD16+(BD$19*(BD25/BD$28)))</f>
        <v>885936.93688781303</v>
      </c>
      <c r="BE33" s="258">
        <f t="shared" si="48"/>
        <v>869126.15509310376</v>
      </c>
      <c r="BF33" s="258">
        <f t="shared" ref="BF33:BG33" si="49">IF(BF16="","",BF16+(BF$19*(BF25/BF$28)))</f>
        <v>615644.42636031331</v>
      </c>
      <c r="BG33" s="258">
        <f t="shared" si="49"/>
        <v>303157.59566449653</v>
      </c>
      <c r="BH33" s="258">
        <f t="shared" ref="BH33:BI33" si="50">IF(BH16="","",BH16+(BH$19*(BH25/BH$28)))</f>
        <v>312883.37193156331</v>
      </c>
      <c r="BI33" s="258">
        <f t="shared" si="50"/>
        <v>422937.64119182754</v>
      </c>
      <c r="BJ33" s="258">
        <f t="shared" ref="BJ33" si="51">IF(BJ16="","",BJ16+(BJ$19*(BJ25/BJ$28)))</f>
        <v>483823.94811100553</v>
      </c>
    </row>
    <row r="34" spans="1:62" x14ac:dyDescent="0.35">
      <c r="A34" s="40" t="s">
        <v>36</v>
      </c>
      <c r="B34" s="41"/>
      <c r="C34" s="41"/>
      <c r="D34" s="255">
        <f>D17+(D$19*(D26/D$28))</f>
        <v>0</v>
      </c>
      <c r="E34" s="255">
        <f t="shared" si="30"/>
        <v>9.4764517045030008</v>
      </c>
      <c r="F34" s="255">
        <f t="shared" si="30"/>
        <v>992.38480063141662</v>
      </c>
      <c r="G34" s="255">
        <f t="shared" si="30"/>
        <v>7292.1248374502911</v>
      </c>
      <c r="H34" s="255">
        <f t="shared" si="30"/>
        <v>15994.94501268368</v>
      </c>
      <c r="I34" s="256">
        <f t="shared" si="30"/>
        <v>17286.492613957165</v>
      </c>
      <c r="J34" s="255">
        <f t="shared" si="30"/>
        <v>20593.63561343183</v>
      </c>
      <c r="K34" s="255">
        <f t="shared" si="30"/>
        <v>13281.46306563299</v>
      </c>
      <c r="L34" s="255">
        <f t="shared" si="30"/>
        <v>20634.15638219006</v>
      </c>
      <c r="M34" s="255">
        <f t="shared" si="30"/>
        <v>18530.128304448888</v>
      </c>
      <c r="N34" s="255">
        <f t="shared" si="30"/>
        <v>41320.38859087076</v>
      </c>
      <c r="O34" s="255">
        <f t="shared" si="30"/>
        <v>29425.974245256413</v>
      </c>
      <c r="P34" s="255">
        <f t="shared" si="30"/>
        <v>32165.147795809222</v>
      </c>
      <c r="Q34" s="255">
        <f t="shared" si="30"/>
        <v>21213.003373036219</v>
      </c>
      <c r="R34" s="255">
        <f t="shared" si="30"/>
        <v>41395.000804902586</v>
      </c>
      <c r="S34" s="255">
        <f t="shared" si="30"/>
        <v>92952.761963081415</v>
      </c>
      <c r="T34" s="255">
        <f t="shared" si="30"/>
        <v>123951.10916307675</v>
      </c>
      <c r="U34" s="255">
        <f t="shared" si="30"/>
        <v>122809.27801030048</v>
      </c>
      <c r="V34" s="255">
        <f t="shared" si="30"/>
        <v>96049.861338882605</v>
      </c>
      <c r="W34" s="255">
        <f t="shared" si="30"/>
        <v>51830.00376307463</v>
      </c>
      <c r="X34" s="255">
        <f t="shared" si="30"/>
        <v>49578.466987818043</v>
      </c>
      <c r="Y34" s="255">
        <f t="shared" si="30"/>
        <v>51735.412802116007</v>
      </c>
      <c r="Z34" s="255">
        <f t="shared" si="30"/>
        <v>90838.744276912417</v>
      </c>
      <c r="AA34" s="255">
        <f t="shared" si="30"/>
        <v>65459.948883100595</v>
      </c>
      <c r="AB34" s="255">
        <f t="shared" si="30"/>
        <v>71534.944524128558</v>
      </c>
      <c r="AC34" s="255">
        <f t="shared" si="30"/>
        <v>71343.757771636898</v>
      </c>
      <c r="AD34" s="255">
        <f t="shared" si="30"/>
        <v>103296.3103477702</v>
      </c>
      <c r="AE34" s="255">
        <f t="shared" si="30"/>
        <v>256562.81120160531</v>
      </c>
      <c r="AF34" s="255">
        <f t="shared" si="30"/>
        <v>319479.07850425603</v>
      </c>
      <c r="AG34" s="255">
        <f t="shared" si="30"/>
        <v>309875.12991512951</v>
      </c>
      <c r="AH34" s="255">
        <f t="shared" si="30"/>
        <v>200668.49634980995</v>
      </c>
      <c r="AI34" s="255">
        <f t="shared" si="30"/>
        <v>111417.50190042912</v>
      </c>
      <c r="AJ34" s="255">
        <f t="shared" si="30"/>
        <v>93253.892629017733</v>
      </c>
      <c r="AK34" s="255">
        <f t="shared" si="30"/>
        <v>103488.5984224446</v>
      </c>
      <c r="AL34" s="255">
        <f t="shared" si="30"/>
        <v>144414.82989089785</v>
      </c>
      <c r="AM34" s="255">
        <f t="shared" si="30"/>
        <v>110066.63506595949</v>
      </c>
      <c r="AN34" s="255">
        <f t="shared" si="30"/>
        <v>50328.1679847302</v>
      </c>
      <c r="AO34" s="255">
        <f t="shared" si="30"/>
        <v>48818.637830727937</v>
      </c>
      <c r="AP34" s="255">
        <f t="shared" si="30"/>
        <v>69139.5977047872</v>
      </c>
      <c r="AQ34" s="255">
        <f t="shared" si="30"/>
        <v>204404.00741586328</v>
      </c>
      <c r="AR34" s="255">
        <f t="shared" si="30"/>
        <v>281050.68735267245</v>
      </c>
      <c r="AS34" s="255">
        <f t="shared" si="30"/>
        <v>243115.17544525067</v>
      </c>
      <c r="AT34" s="255">
        <f t="shared" si="30"/>
        <v>160177.67633933009</v>
      </c>
      <c r="AU34" s="255">
        <f t="shared" si="30"/>
        <v>71401.608823197399</v>
      </c>
      <c r="AV34" s="257">
        <f t="shared" si="30"/>
        <v>70082.744170847945</v>
      </c>
      <c r="AW34" s="257">
        <f t="shared" si="30"/>
        <v>100472.44441939586</v>
      </c>
      <c r="AX34" s="257">
        <f t="shared" ref="AX34:AY34" si="52">IF(AX17="","",AX17+(AX$19*(AX26/AX$28)))</f>
        <v>132403.90069171612</v>
      </c>
      <c r="AY34" s="258">
        <f t="shared" si="52"/>
        <v>115238.63683402524</v>
      </c>
      <c r="AZ34" s="258">
        <f t="shared" ref="AZ34:BA34" si="53">IF(AZ17="","",AZ17+(AZ$19*(AZ26/AZ$28)))</f>
        <v>117911.96025907849</v>
      </c>
      <c r="BA34" s="258">
        <f t="shared" si="53"/>
        <v>115176.28547050263</v>
      </c>
      <c r="BB34" s="258">
        <f t="shared" ref="BB34:BC34" si="54">IF(BB17="","",BB17+(BB$19*(BB26/BB$28)))</f>
        <v>170996.38475638215</v>
      </c>
      <c r="BC34" s="258">
        <f t="shared" si="54"/>
        <v>521286.67307312612</v>
      </c>
      <c r="BD34" s="258">
        <f t="shared" ref="BD34:BE34" si="55">IF(BD17="","",BD17+(BD$19*(BD26/BD$28)))</f>
        <v>384513.67424342514</v>
      </c>
      <c r="BE34" s="258">
        <f t="shared" si="55"/>
        <v>397967.7404640048</v>
      </c>
      <c r="BF34" s="258">
        <f t="shared" ref="BF34:BG34" si="56">IF(BF17="","",BF17+(BF$19*(BF26/BF$28)))</f>
        <v>240365.69349933293</v>
      </c>
      <c r="BG34" s="258">
        <f t="shared" si="56"/>
        <v>97330.570077645811</v>
      </c>
      <c r="BH34" s="258">
        <f t="shared" ref="BH34:BI34" si="57">IF(BH17="","",BH17+(BH$19*(BH26/BH$28)))</f>
        <v>99980.361679770867</v>
      </c>
      <c r="BI34" s="258">
        <f t="shared" si="57"/>
        <v>130889.4072603175</v>
      </c>
      <c r="BJ34" s="258">
        <f t="shared" ref="BJ34" si="58">IF(BJ17="","",BJ17+(BJ$19*(BJ26/BJ$28)))</f>
        <v>161383.77771753762</v>
      </c>
    </row>
    <row r="35" spans="1:62" x14ac:dyDescent="0.35">
      <c r="A35" s="40" t="s">
        <v>37</v>
      </c>
      <c r="B35" s="41"/>
      <c r="C35" s="41"/>
      <c r="D35" s="255">
        <f>D18+(D$19*(D27/D$28))</f>
        <v>0</v>
      </c>
      <c r="E35" s="255">
        <f t="shared" si="30"/>
        <v>0</v>
      </c>
      <c r="F35" s="255">
        <f t="shared" si="30"/>
        <v>158.37627524588399</v>
      </c>
      <c r="G35" s="255">
        <f t="shared" si="30"/>
        <v>597.17310476301054</v>
      </c>
      <c r="H35" s="255">
        <f t="shared" si="30"/>
        <v>0</v>
      </c>
      <c r="I35" s="256">
        <f t="shared" si="30"/>
        <v>224.30843760020062</v>
      </c>
      <c r="J35" s="255">
        <f t="shared" si="30"/>
        <v>578.11242788452876</v>
      </c>
      <c r="K35" s="255">
        <f t="shared" si="30"/>
        <v>553.72176658848127</v>
      </c>
      <c r="L35" s="255">
        <f t="shared" si="30"/>
        <v>4498.45610981133</v>
      </c>
      <c r="M35" s="255">
        <f t="shared" si="30"/>
        <v>2468.5744882877784</v>
      </c>
      <c r="N35" s="255">
        <f t="shared" si="30"/>
        <v>6482.3323978120161</v>
      </c>
      <c r="O35" s="255">
        <f t="shared" si="30"/>
        <v>4714.4220035550234</v>
      </c>
      <c r="P35" s="255">
        <f t="shared" si="30"/>
        <v>4933.2233077077817</v>
      </c>
      <c r="Q35" s="255">
        <f t="shared" si="30"/>
        <v>4340.5509347173938</v>
      </c>
      <c r="R35" s="255">
        <f t="shared" si="30"/>
        <v>11799.946486826884</v>
      </c>
      <c r="S35" s="255">
        <f t="shared" si="30"/>
        <v>38257.943252341713</v>
      </c>
      <c r="T35" s="255">
        <f t="shared" si="30"/>
        <v>40690.592006909494</v>
      </c>
      <c r="U35" s="255">
        <f t="shared" si="30"/>
        <v>41885.585703975645</v>
      </c>
      <c r="V35" s="255">
        <f t="shared" si="30"/>
        <v>26780.761635291285</v>
      </c>
      <c r="W35" s="255">
        <f t="shared" si="30"/>
        <v>10597.262650374174</v>
      </c>
      <c r="X35" s="255">
        <f t="shared" si="30"/>
        <v>10543.327297722915</v>
      </c>
      <c r="Y35" s="255">
        <f t="shared" si="30"/>
        <v>12471.245557264963</v>
      </c>
      <c r="Z35" s="255">
        <f t="shared" si="30"/>
        <v>12960.956487818141</v>
      </c>
      <c r="AA35" s="255">
        <f t="shared" si="30"/>
        <v>11180.008563256184</v>
      </c>
      <c r="AB35" s="255">
        <f t="shared" si="30"/>
        <v>10723.724250200386</v>
      </c>
      <c r="AC35" s="255">
        <f t="shared" si="30"/>
        <v>12186.584798764601</v>
      </c>
      <c r="AD35" s="255">
        <f t="shared" si="30"/>
        <v>21281.154475581399</v>
      </c>
      <c r="AE35" s="255">
        <f t="shared" si="30"/>
        <v>66612.208134140514</v>
      </c>
      <c r="AF35" s="255">
        <f t="shared" si="30"/>
        <v>73408.187300820806</v>
      </c>
      <c r="AG35" s="255">
        <f t="shared" si="30"/>
        <v>73181.995355948209</v>
      </c>
      <c r="AH35" s="255">
        <f t="shared" si="30"/>
        <v>44682.245754003154</v>
      </c>
      <c r="AI35" s="255">
        <f t="shared" si="30"/>
        <v>19447.902145822471</v>
      </c>
      <c r="AJ35" s="255">
        <f t="shared" si="30"/>
        <v>16125.741463642871</v>
      </c>
      <c r="AK35" s="255">
        <f t="shared" si="30"/>
        <v>19063.36096942682</v>
      </c>
      <c r="AL35" s="255">
        <f t="shared" si="30"/>
        <v>18825.407725594807</v>
      </c>
      <c r="AM35" s="255">
        <f t="shared" si="30"/>
        <v>15042.280346882986</v>
      </c>
      <c r="AN35" s="255">
        <f t="shared" si="30"/>
        <v>5372.5491881501548</v>
      </c>
      <c r="AO35" s="255">
        <f t="shared" si="30"/>
        <v>5761.1753207721658</v>
      </c>
      <c r="AP35" s="255">
        <f t="shared" si="30"/>
        <v>7701.1665386990999</v>
      </c>
      <c r="AQ35" s="255">
        <f t="shared" si="30"/>
        <v>20816.695916117322</v>
      </c>
      <c r="AR35" s="255">
        <f t="shared" si="30"/>
        <v>29321.450972661642</v>
      </c>
      <c r="AS35" s="255">
        <f t="shared" si="30"/>
        <v>29057.042020850196</v>
      </c>
      <c r="AT35" s="255">
        <f t="shared" si="30"/>
        <v>22639.119300577775</v>
      </c>
      <c r="AU35" s="255">
        <f t="shared" si="30"/>
        <v>10522.674846079888</v>
      </c>
      <c r="AV35" s="257">
        <f t="shared" si="30"/>
        <v>9984.2342642800941</v>
      </c>
      <c r="AW35" s="257">
        <f t="shared" si="30"/>
        <v>13628.440153965161</v>
      </c>
      <c r="AX35" s="257">
        <f t="shared" ref="AX35:AY35" si="59">IF(AX18="","",AX18+(AX$19*(AX27/AX$28)))</f>
        <v>16081.445285659314</v>
      </c>
      <c r="AY35" s="258">
        <f t="shared" si="59"/>
        <v>13406.383588747867</v>
      </c>
      <c r="AZ35" s="258">
        <f t="shared" ref="AZ35:BA35" si="60">IF(AZ18="","",AZ18+(AZ$19*(AZ27/AZ$28)))</f>
        <v>14843.448480778543</v>
      </c>
      <c r="BA35" s="258">
        <f t="shared" si="60"/>
        <v>15703.453059213101</v>
      </c>
      <c r="BB35" s="258">
        <f t="shared" ref="BB35:BC35" si="61">IF(BB18="","",BB18+(BB$19*(BB27/BB$28)))</f>
        <v>26797.934685358658</v>
      </c>
      <c r="BC35" s="258">
        <f t="shared" si="61"/>
        <v>83707.162725246308</v>
      </c>
      <c r="BD35" s="258">
        <f t="shared" ref="BD35:BE35" si="62">IF(BD18="","",BD18+(BD$19*(BD27/BD$28)))</f>
        <v>68762.250037860416</v>
      </c>
      <c r="BE35" s="258">
        <f t="shared" si="62"/>
        <v>76439.418063275894</v>
      </c>
      <c r="BF35" s="258">
        <f t="shared" ref="BF35:BG35" si="63">IF(BF18="","",BF18+(BF$19*(BF27/BF$28)))</f>
        <v>46767.906980293672</v>
      </c>
      <c r="BG35" s="258">
        <f t="shared" si="63"/>
        <v>16561.943147684535</v>
      </c>
      <c r="BH35" s="258">
        <f t="shared" ref="BH35:BI35" si="64">IF(BH18="","",BH18+(BH$19*(BH27/BH$28)))</f>
        <v>17214.659610848765</v>
      </c>
      <c r="BI35" s="258">
        <f t="shared" si="64"/>
        <v>21222.334348390388</v>
      </c>
      <c r="BJ35" s="258">
        <f t="shared" ref="BJ35" si="65">IF(BJ18="","",BJ18+(BJ$19*(BJ27/BJ$28)))</f>
        <v>23302.666125401181</v>
      </c>
    </row>
    <row r="36" spans="1:62" x14ac:dyDescent="0.35">
      <c r="A36" s="35" t="s">
        <v>31</v>
      </c>
      <c r="B36" s="33"/>
      <c r="C36" s="33"/>
      <c r="D36" s="48">
        <f>SUM(D31:D35)</f>
        <v>0.71203150918887492</v>
      </c>
      <c r="E36" s="48">
        <f t="shared" ref="E36:AW36" si="66">SUM(E31:E35)</f>
        <v>4695.4207688607357</v>
      </c>
      <c r="F36" s="48">
        <f t="shared" si="66"/>
        <v>39935.570121927383</v>
      </c>
      <c r="G36" s="48">
        <f t="shared" si="66"/>
        <v>291676.37356246018</v>
      </c>
      <c r="H36" s="48">
        <f t="shared" si="66"/>
        <v>544866.33457860793</v>
      </c>
      <c r="I36" s="48">
        <f t="shared" si="66"/>
        <v>663040.9475663905</v>
      </c>
      <c r="J36" s="48">
        <f t="shared" si="66"/>
        <v>547744.67638274853</v>
      </c>
      <c r="K36" s="48">
        <f t="shared" si="66"/>
        <v>270067.89072131988</v>
      </c>
      <c r="L36" s="48">
        <f t="shared" si="66"/>
        <v>449448.83291898982</v>
      </c>
      <c r="M36" s="48">
        <f t="shared" si="66"/>
        <v>672384.11562352569</v>
      </c>
      <c r="N36" s="48">
        <f t="shared" si="66"/>
        <v>860299.05315340101</v>
      </c>
      <c r="O36" s="48">
        <f t="shared" si="66"/>
        <v>921069.68539476907</v>
      </c>
      <c r="P36" s="48">
        <f t="shared" si="66"/>
        <v>727242.36549864151</v>
      </c>
      <c r="Q36" s="48">
        <f t="shared" si="66"/>
        <v>330495.27100759087</v>
      </c>
      <c r="R36" s="48">
        <f t="shared" si="66"/>
        <v>448514.38010054693</v>
      </c>
      <c r="S36" s="48">
        <f t="shared" si="66"/>
        <v>1166466.8526526124</v>
      </c>
      <c r="T36" s="48">
        <f t="shared" si="66"/>
        <v>1596902.1714481553</v>
      </c>
      <c r="U36" s="48">
        <f t="shared" si="66"/>
        <v>1748272.4117888494</v>
      </c>
      <c r="V36" s="48">
        <f t="shared" si="66"/>
        <v>1519471.0162375702</v>
      </c>
      <c r="W36" s="48">
        <f t="shared" si="66"/>
        <v>764880.45368540613</v>
      </c>
      <c r="X36" s="48">
        <f t="shared" si="66"/>
        <v>908807.65228987054</v>
      </c>
      <c r="Y36" s="48">
        <f t="shared" si="66"/>
        <v>1120062.8565557792</v>
      </c>
      <c r="Z36" s="48">
        <f t="shared" si="66"/>
        <v>1377220.6643166305</v>
      </c>
      <c r="AA36" s="48">
        <f t="shared" si="66"/>
        <v>1195166.5723548159</v>
      </c>
      <c r="AB36" s="48">
        <f t="shared" si="66"/>
        <v>1300632.3993987506</v>
      </c>
      <c r="AC36" s="48">
        <f t="shared" si="66"/>
        <v>1205822.8207733985</v>
      </c>
      <c r="AD36" s="48">
        <f t="shared" si="66"/>
        <v>1472551.2785682736</v>
      </c>
      <c r="AE36" s="48">
        <f t="shared" si="66"/>
        <v>3602609.9103061222</v>
      </c>
      <c r="AF36" s="48">
        <f t="shared" si="66"/>
        <v>4524979.9029475963</v>
      </c>
      <c r="AG36" s="48">
        <f t="shared" si="66"/>
        <v>4557691.9623519126</v>
      </c>
      <c r="AH36" s="48">
        <f t="shared" si="66"/>
        <v>3395133.6257571937</v>
      </c>
      <c r="AI36" s="48">
        <f t="shared" si="66"/>
        <v>1618999.5517252118</v>
      </c>
      <c r="AJ36" s="48">
        <f t="shared" si="66"/>
        <v>1693340.1593012405</v>
      </c>
      <c r="AK36" s="48">
        <f t="shared" si="66"/>
        <v>2043834.5150522972</v>
      </c>
      <c r="AL36" s="48">
        <f t="shared" si="66"/>
        <v>2546894.0685010902</v>
      </c>
      <c r="AM36" s="48">
        <f t="shared" si="66"/>
        <v>2089616.4766016018</v>
      </c>
      <c r="AN36" s="48">
        <f t="shared" si="66"/>
        <v>912247.85076541686</v>
      </c>
      <c r="AO36" s="48">
        <f t="shared" si="66"/>
        <v>846334.21711913741</v>
      </c>
      <c r="AP36" s="48">
        <f t="shared" si="66"/>
        <v>1066637.6782053632</v>
      </c>
      <c r="AQ36" s="48">
        <f t="shared" si="66"/>
        <v>2863352.6421243404</v>
      </c>
      <c r="AR36" s="48">
        <f t="shared" si="66"/>
        <v>3675557.5237109675</v>
      </c>
      <c r="AS36" s="48">
        <f t="shared" si="66"/>
        <v>3342039.9312423696</v>
      </c>
      <c r="AT36" s="48">
        <f t="shared" si="66"/>
        <v>2373846.5851787962</v>
      </c>
      <c r="AU36" s="48">
        <f t="shared" si="66"/>
        <v>1051178.3111241481</v>
      </c>
      <c r="AV36" s="48">
        <f>SUM(AV31:AV35)</f>
        <v>1119498.4024657719</v>
      </c>
      <c r="AW36" s="48">
        <f t="shared" si="66"/>
        <v>1475210.3244533557</v>
      </c>
      <c r="AX36" s="48">
        <f t="shared" ref="AX36:AY36" si="67">SUM(AX31:AX35)</f>
        <v>1631822.4313082616</v>
      </c>
      <c r="AY36" s="48">
        <f t="shared" si="67"/>
        <v>1386103.0559329737</v>
      </c>
      <c r="AZ36" s="48">
        <f t="shared" ref="AZ36:BA36" si="68">SUM(AZ31:AZ35)</f>
        <v>1378501.949257897</v>
      </c>
      <c r="BA36" s="48">
        <f t="shared" si="68"/>
        <v>1252001.9461479932</v>
      </c>
      <c r="BB36" s="48">
        <f t="shared" ref="BB36:BC36" si="69">SUM(BB31:BB35)</f>
        <v>1620910.2145788919</v>
      </c>
      <c r="BC36" s="48">
        <f t="shared" si="69"/>
        <v>4470459.2448078347</v>
      </c>
      <c r="BD36" s="48">
        <f t="shared" ref="BD36:BE36" si="70">SUM(BD31:BD35)</f>
        <v>2315756.4185633911</v>
      </c>
      <c r="BE36" s="48">
        <f t="shared" si="70"/>
        <v>2350756.9913514154</v>
      </c>
      <c r="BF36" s="48">
        <f t="shared" ref="BF36:BG36" si="71">SUM(BF31:BF35)</f>
        <v>1550298.2380349995</v>
      </c>
      <c r="BG36" s="48">
        <f t="shared" si="71"/>
        <v>661615.6370709507</v>
      </c>
      <c r="BH36" s="48">
        <f t="shared" ref="BH36:BI36" si="72">SUM(BH31:BH35)</f>
        <v>725768.05758906039</v>
      </c>
      <c r="BI36" s="48">
        <f t="shared" si="72"/>
        <v>1042943.5302445948</v>
      </c>
      <c r="BJ36" s="48">
        <f t="shared" ref="BJ36" si="73">SUM(BJ31:BJ35)</f>
        <v>1189432.4455550076</v>
      </c>
    </row>
    <row r="37" spans="1:62" x14ac:dyDescent="0.35">
      <c r="A37" s="35"/>
      <c r="B37" s="33"/>
      <c r="C37" s="33"/>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row>
    <row r="38" spans="1:62" x14ac:dyDescent="0.35">
      <c r="A38" s="35"/>
      <c r="B38" s="33"/>
      <c r="C38" s="33"/>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261" t="s">
        <v>127</v>
      </c>
      <c r="AV38" s="86"/>
      <c r="AW38" s="86"/>
      <c r="AX38" s="38" t="s">
        <v>126</v>
      </c>
      <c r="AY38" s="86"/>
      <c r="AZ38" s="86"/>
      <c r="BA38" s="86"/>
      <c r="BB38" s="86"/>
      <c r="BC38" s="86"/>
      <c r="BD38" s="86"/>
      <c r="BE38" s="86"/>
      <c r="BF38" s="86"/>
      <c r="BG38" s="86"/>
      <c r="BH38" s="86"/>
      <c r="BJ38" s="38" t="s">
        <v>125</v>
      </c>
    </row>
    <row r="39" spans="1:62" x14ac:dyDescent="0.35">
      <c r="A39" s="35"/>
      <c r="B39" s="33"/>
      <c r="C39" s="33"/>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40" t="s">
        <v>33</v>
      </c>
      <c r="AU39" s="262">
        <f t="shared" ref="AU39:AU44" si="74">SUM(D31:AU31)</f>
        <v>38342932.227889955</v>
      </c>
      <c r="AV39" s="86"/>
      <c r="AW39" s="40" t="s">
        <v>33</v>
      </c>
      <c r="AX39" s="260">
        <f t="shared" ref="AX39:AX44" si="75">SUM(AV31:AX31)</f>
        <v>1876566.0338965668</v>
      </c>
      <c r="AY39" s="86"/>
      <c r="AZ39" s="86"/>
      <c r="BA39" s="86"/>
      <c r="BB39" s="86"/>
      <c r="BC39" s="86"/>
      <c r="BD39" s="86"/>
      <c r="BE39" s="86"/>
      <c r="BF39" s="86"/>
      <c r="BG39" s="86"/>
      <c r="BH39" s="86"/>
      <c r="BI39" s="40" t="s">
        <v>33</v>
      </c>
      <c r="BJ39" s="259">
        <f>SUM(AY31:BJ31)</f>
        <v>7389934.1371085709</v>
      </c>
    </row>
    <row r="40" spans="1:62" x14ac:dyDescent="0.35">
      <c r="A40" s="35"/>
      <c r="B40" s="33"/>
      <c r="C40" s="33"/>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40" t="s">
        <v>34</v>
      </c>
      <c r="AU40" s="262">
        <f t="shared" si="74"/>
        <v>7135705.2754916409</v>
      </c>
      <c r="AV40" s="86"/>
      <c r="AW40" s="40" t="s">
        <v>34</v>
      </c>
      <c r="AX40" s="260">
        <f t="shared" si="75"/>
        <v>545642.3893063952</v>
      </c>
      <c r="AY40" s="86"/>
      <c r="AZ40" s="86"/>
      <c r="BA40" s="86"/>
      <c r="BB40" s="86"/>
      <c r="BC40" s="86"/>
      <c r="BD40" s="86"/>
      <c r="BE40" s="86"/>
      <c r="BF40" s="86"/>
      <c r="BG40" s="86"/>
      <c r="BH40" s="86"/>
      <c r="BI40" s="40" t="s">
        <v>34</v>
      </c>
      <c r="BJ40" s="259">
        <f t="shared" ref="BJ40:BJ42" si="76">SUM(AY32:BJ32)</f>
        <v>2130235.5894864802</v>
      </c>
    </row>
    <row r="41" spans="1:62" x14ac:dyDescent="0.35">
      <c r="A41" s="35"/>
      <c r="B41" s="33"/>
      <c r="C41" s="33"/>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40" t="s">
        <v>35</v>
      </c>
      <c r="AU41" s="262">
        <f t="shared" si="74"/>
        <v>14055729.185914094</v>
      </c>
      <c r="AV41" s="86"/>
      <c r="AW41" s="40" t="s">
        <v>35</v>
      </c>
      <c r="AX41" s="260">
        <f t="shared" si="75"/>
        <v>1461669.5260385624</v>
      </c>
      <c r="AY41" s="86"/>
      <c r="AZ41" s="86"/>
      <c r="BA41" s="86"/>
      <c r="BB41" s="86"/>
      <c r="BC41" s="86"/>
      <c r="BD41" s="86"/>
      <c r="BE41" s="86"/>
      <c r="BF41" s="86"/>
      <c r="BG41" s="86"/>
      <c r="BH41" s="86"/>
      <c r="BI41" s="40" t="s">
        <v>35</v>
      </c>
      <c r="BJ41" s="259">
        <f t="shared" si="76"/>
        <v>7446607.2763517089</v>
      </c>
    </row>
    <row r="42" spans="1:62" x14ac:dyDescent="0.35">
      <c r="A42" s="35"/>
      <c r="B42" s="33"/>
      <c r="C42" s="33"/>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40" t="s">
        <v>36</v>
      </c>
      <c r="AU42" s="262">
        <f t="shared" si="74"/>
        <v>4049177.4545000121</v>
      </c>
      <c r="AV42" s="86"/>
      <c r="AW42" s="40" t="s">
        <v>36</v>
      </c>
      <c r="AX42" s="260">
        <f t="shared" si="75"/>
        <v>302959.08928195992</v>
      </c>
      <c r="AY42" s="86"/>
      <c r="AZ42" s="86"/>
      <c r="BA42" s="86"/>
      <c r="BB42" s="86"/>
      <c r="BC42" s="86"/>
      <c r="BD42" s="86"/>
      <c r="BE42" s="86"/>
      <c r="BF42" s="86"/>
      <c r="BG42" s="86"/>
      <c r="BH42" s="86"/>
      <c r="BI42" s="40" t="s">
        <v>36</v>
      </c>
      <c r="BJ42" s="259">
        <f t="shared" si="76"/>
        <v>2553041.1653351495</v>
      </c>
    </row>
    <row r="43" spans="1:62" x14ac:dyDescent="0.35">
      <c r="A43" s="35"/>
      <c r="B43" s="33"/>
      <c r="C43" s="33"/>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40" t="s">
        <v>37</v>
      </c>
      <c r="AU43" s="262">
        <f t="shared" si="74"/>
        <v>768489.54772049224</v>
      </c>
      <c r="AV43" s="86"/>
      <c r="AW43" s="40" t="s">
        <v>37</v>
      </c>
      <c r="AX43" s="260">
        <f t="shared" si="75"/>
        <v>39694.119703904566</v>
      </c>
      <c r="AY43" s="86"/>
      <c r="AZ43" s="86"/>
      <c r="BA43" s="86"/>
      <c r="BB43" s="86"/>
      <c r="BC43" s="86"/>
      <c r="BD43" s="86"/>
      <c r="BE43" s="86"/>
      <c r="BF43" s="86"/>
      <c r="BG43" s="86"/>
      <c r="BH43" s="86"/>
      <c r="BI43" s="40" t="s">
        <v>37</v>
      </c>
      <c r="BJ43" s="259">
        <f>SUM(AY35:BJ35)</f>
        <v>424729.56085309939</v>
      </c>
    </row>
    <row r="44" spans="1:62" x14ac:dyDescent="0.35">
      <c r="A44" s="35"/>
      <c r="B44" s="33"/>
      <c r="C44" s="33"/>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35" t="s">
        <v>31</v>
      </c>
      <c r="AU44" s="262">
        <f t="shared" si="74"/>
        <v>64352033.691516206</v>
      </c>
      <c r="AV44" s="86"/>
      <c r="AW44" s="35" t="s">
        <v>31</v>
      </c>
      <c r="AX44" s="260">
        <f t="shared" si="75"/>
        <v>4226531.1582273897</v>
      </c>
      <c r="AY44" s="86"/>
      <c r="AZ44" s="86"/>
      <c r="BA44" s="86"/>
      <c r="BB44" s="86"/>
      <c r="BC44" s="86"/>
      <c r="BD44" s="86"/>
      <c r="BE44" s="86"/>
      <c r="BF44" s="86"/>
      <c r="BG44" s="86"/>
      <c r="BH44" s="86"/>
      <c r="BI44" s="35" t="s">
        <v>31</v>
      </c>
      <c r="BJ44" s="259">
        <f>SUM(AY36:BJ36)</f>
        <v>19944547.729135014</v>
      </c>
    </row>
    <row r="45" spans="1:62" x14ac:dyDescent="0.35">
      <c r="A45" s="35"/>
      <c r="B45" s="33"/>
      <c r="C45" s="33"/>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row>
    <row r="46" spans="1:62" s="89" customFormat="1" ht="15" thickBot="1" x14ac:dyDescent="0.4"/>
    <row r="47" spans="1:62" ht="15.5" x14ac:dyDescent="0.35">
      <c r="A47" s="85" t="s">
        <v>59</v>
      </c>
    </row>
    <row r="49" spans="1:62" x14ac:dyDescent="0.35">
      <c r="B49" s="12">
        <v>42370</v>
      </c>
      <c r="C49" s="12">
        <v>43497</v>
      </c>
      <c r="D49" s="12">
        <v>43525</v>
      </c>
      <c r="E49" s="12">
        <v>43556</v>
      </c>
      <c r="F49" s="12">
        <v>43586</v>
      </c>
      <c r="G49" s="12">
        <v>43617</v>
      </c>
      <c r="H49" s="12">
        <v>43647</v>
      </c>
      <c r="I49" s="12">
        <v>43678</v>
      </c>
      <c r="J49" s="12">
        <v>43709</v>
      </c>
      <c r="K49" s="12">
        <v>43739</v>
      </c>
      <c r="L49" s="12">
        <v>43770</v>
      </c>
      <c r="M49" s="12">
        <v>43800</v>
      </c>
      <c r="N49" s="12">
        <v>43831</v>
      </c>
      <c r="O49" s="12">
        <v>43862</v>
      </c>
      <c r="P49" s="12">
        <v>43891</v>
      </c>
      <c r="Q49" s="12">
        <v>43922</v>
      </c>
      <c r="R49" s="12">
        <v>43952</v>
      </c>
      <c r="S49" s="12">
        <v>43983</v>
      </c>
      <c r="T49" s="12">
        <v>44013</v>
      </c>
      <c r="U49" s="12">
        <v>44044</v>
      </c>
      <c r="V49" s="12">
        <v>44075</v>
      </c>
      <c r="W49" s="12">
        <v>44105</v>
      </c>
      <c r="X49" s="12">
        <v>44136</v>
      </c>
      <c r="Y49" s="12">
        <v>44166</v>
      </c>
      <c r="Z49" s="12">
        <v>44197</v>
      </c>
      <c r="AA49" s="12">
        <v>44228</v>
      </c>
      <c r="AB49" s="12">
        <v>44256</v>
      </c>
      <c r="AC49" s="12">
        <v>44287</v>
      </c>
      <c r="AD49" s="12">
        <v>44317</v>
      </c>
      <c r="AE49" s="12">
        <v>44348</v>
      </c>
      <c r="AF49" s="12">
        <v>44378</v>
      </c>
      <c r="AG49" s="12">
        <v>44409</v>
      </c>
      <c r="AH49" s="12">
        <v>44440</v>
      </c>
      <c r="AI49" s="12">
        <v>44470</v>
      </c>
      <c r="AJ49" s="12">
        <v>44501</v>
      </c>
      <c r="AK49" s="12">
        <v>44531</v>
      </c>
      <c r="AL49" s="12">
        <v>44562</v>
      </c>
      <c r="AM49" s="12">
        <v>44593</v>
      </c>
      <c r="AN49" s="12">
        <v>44621</v>
      </c>
      <c r="AO49" s="12">
        <v>44652</v>
      </c>
      <c r="AP49" s="12">
        <v>44682</v>
      </c>
      <c r="AQ49" s="12">
        <v>44713</v>
      </c>
      <c r="AR49" s="12">
        <v>44743</v>
      </c>
      <c r="AS49" s="12">
        <v>44774</v>
      </c>
      <c r="AT49" s="12">
        <v>44805</v>
      </c>
      <c r="AU49" s="12">
        <v>44835</v>
      </c>
      <c r="AV49" s="12">
        <v>44866</v>
      </c>
      <c r="AW49" s="12">
        <v>44896</v>
      </c>
      <c r="AX49" s="12">
        <v>44927</v>
      </c>
      <c r="AY49" s="12">
        <v>44958</v>
      </c>
      <c r="AZ49" s="12">
        <v>44986</v>
      </c>
      <c r="BA49" s="12">
        <v>45017</v>
      </c>
      <c r="BB49" s="12">
        <v>45047</v>
      </c>
      <c r="BC49" s="12">
        <v>45078</v>
      </c>
      <c r="BD49" s="12">
        <v>45108</v>
      </c>
      <c r="BE49" s="12">
        <v>45139</v>
      </c>
      <c r="BF49" s="12">
        <v>45170</v>
      </c>
      <c r="BG49" s="12">
        <v>45200</v>
      </c>
      <c r="BH49" s="12">
        <v>45231</v>
      </c>
      <c r="BI49" s="12">
        <v>45261</v>
      </c>
      <c r="BJ49" s="12">
        <v>45292</v>
      </c>
    </row>
    <row r="50" spans="1:62" s="2" customFormat="1" x14ac:dyDescent="0.35">
      <c r="A50" s="39" t="s">
        <v>60</v>
      </c>
      <c r="B50" s="34"/>
      <c r="C50" s="34"/>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263" t="s">
        <v>128</v>
      </c>
      <c r="AW50" s="264"/>
      <c r="AX50" s="31"/>
      <c r="AY50" s="31"/>
      <c r="AZ50" s="31"/>
      <c r="BA50" s="31"/>
      <c r="BB50" s="31"/>
      <c r="BC50" s="31"/>
      <c r="BD50" s="31"/>
      <c r="BE50" s="31"/>
      <c r="BF50" s="31"/>
      <c r="BG50" s="31"/>
      <c r="BH50" s="31"/>
      <c r="BI50" s="31"/>
      <c r="BJ50" s="31"/>
    </row>
    <row r="51" spans="1:62" x14ac:dyDescent="0.35">
      <c r="A51" s="40" t="s">
        <v>33</v>
      </c>
      <c r="B51" s="41"/>
      <c r="C51" s="41"/>
      <c r="D51" s="45">
        <v>0</v>
      </c>
      <c r="E51" s="45">
        <v>0</v>
      </c>
      <c r="F51" s="45">
        <v>28084.31</v>
      </c>
      <c r="G51" s="45">
        <v>338961.47</v>
      </c>
      <c r="H51" s="45">
        <v>431295.26</v>
      </c>
      <c r="I51" s="45">
        <v>454282.99</v>
      </c>
      <c r="J51" s="45">
        <v>419095.06</v>
      </c>
      <c r="K51" s="45">
        <v>344369.99</v>
      </c>
      <c r="L51" s="45">
        <v>308922.03999999998</v>
      </c>
      <c r="M51" s="45">
        <v>415727.27</v>
      </c>
      <c r="N51" s="45">
        <v>459121.81</v>
      </c>
      <c r="O51" s="45">
        <v>465524.23</v>
      </c>
      <c r="P51" s="45">
        <v>420640.46</v>
      </c>
      <c r="Q51" s="45">
        <v>333131.02</v>
      </c>
      <c r="R51" s="45">
        <v>297680.28000000003</v>
      </c>
      <c r="S51" s="45">
        <v>393958.55</v>
      </c>
      <c r="T51" s="45">
        <v>529326.34</v>
      </c>
      <c r="U51" s="45">
        <v>496875.44</v>
      </c>
      <c r="V51" s="45">
        <v>447785.36</v>
      </c>
      <c r="W51" s="45">
        <v>302563.73</v>
      </c>
      <c r="X51" s="45">
        <v>322763.34999999998</v>
      </c>
      <c r="Y51" s="45">
        <v>427989.89</v>
      </c>
      <c r="Z51" s="45">
        <v>556980.75</v>
      </c>
      <c r="AA51" s="45">
        <v>1353651.15</v>
      </c>
      <c r="AB51" s="45">
        <v>1757169.11</v>
      </c>
      <c r="AC51" s="45">
        <v>1185680.5900000001</v>
      </c>
      <c r="AD51" s="45">
        <v>1113985.45</v>
      </c>
      <c r="AE51" s="45">
        <v>1461163.75</v>
      </c>
      <c r="AF51" s="45">
        <v>1930056.97</v>
      </c>
      <c r="AG51" s="45">
        <v>1969181.34</v>
      </c>
      <c r="AH51" s="45">
        <v>1934282.8</v>
      </c>
      <c r="AI51" s="46">
        <v>1339485.02</v>
      </c>
      <c r="AJ51" s="46">
        <v>1255189.19</v>
      </c>
      <c r="AK51" s="46">
        <v>1570523</v>
      </c>
      <c r="AL51" s="46">
        <v>2029998.28</v>
      </c>
      <c r="AM51" s="46">
        <v>1633369.11</v>
      </c>
      <c r="AN51" s="46">
        <v>714783.1</v>
      </c>
      <c r="AO51" s="46">
        <v>547759.59</v>
      </c>
      <c r="AP51" s="46">
        <v>512195.47</v>
      </c>
      <c r="AQ51" s="46">
        <v>651024.82999999996</v>
      </c>
      <c r="AR51" s="46">
        <v>895488.58</v>
      </c>
      <c r="AS51" s="46">
        <v>853007.9</v>
      </c>
      <c r="AT51" s="46">
        <v>710408.72</v>
      </c>
      <c r="AU51" s="46">
        <v>511382.36</v>
      </c>
      <c r="AV51" s="265">
        <f>'[115]TDR (M3)'!AV22</f>
        <v>496744.51458413625</v>
      </c>
      <c r="AW51" s="265">
        <f>'[115]TDR (M3)'!AW22</f>
        <v>713946.21934838651</v>
      </c>
      <c r="AX51" s="265">
        <f>'[115]TDR (M3)'!AX22</f>
        <v>882597.64268176735</v>
      </c>
      <c r="AY51" s="133"/>
      <c r="AZ51" s="133"/>
      <c r="BA51" s="133"/>
      <c r="BB51" s="133"/>
      <c r="BC51" s="133"/>
      <c r="BD51" s="133"/>
      <c r="BE51" s="133"/>
      <c r="BF51" s="133"/>
      <c r="BG51" s="133"/>
      <c r="BH51" s="133"/>
      <c r="BI51" s="133"/>
      <c r="BJ51" s="133"/>
    </row>
    <row r="52" spans="1:62" x14ac:dyDescent="0.35">
      <c r="A52" s="40" t="s">
        <v>34</v>
      </c>
      <c r="B52" s="41"/>
      <c r="C52" s="41"/>
      <c r="D52" s="45">
        <v>0</v>
      </c>
      <c r="E52" s="45">
        <v>0</v>
      </c>
      <c r="F52" s="45">
        <v>4774.55</v>
      </c>
      <c r="G52" s="45">
        <v>61751.54</v>
      </c>
      <c r="H52" s="45">
        <v>70665.5</v>
      </c>
      <c r="I52" s="45">
        <v>72630.98</v>
      </c>
      <c r="J52" s="45">
        <v>70137.22</v>
      </c>
      <c r="K52" s="45">
        <v>63135.64</v>
      </c>
      <c r="L52" s="45">
        <v>56628.27</v>
      </c>
      <c r="M52" s="45">
        <v>66553.34</v>
      </c>
      <c r="N52" s="45">
        <v>70974.64</v>
      </c>
      <c r="O52" s="45">
        <v>74514.039999999994</v>
      </c>
      <c r="P52" s="45">
        <v>73821.710000000006</v>
      </c>
      <c r="Q52" s="45">
        <v>56719.11</v>
      </c>
      <c r="R52" s="45">
        <v>51424.73</v>
      </c>
      <c r="S52" s="45">
        <v>64574.18</v>
      </c>
      <c r="T52" s="45">
        <v>80406.710000000006</v>
      </c>
      <c r="U52" s="45">
        <v>78372.460000000006</v>
      </c>
      <c r="V52" s="45">
        <v>75020.86</v>
      </c>
      <c r="W52" s="45">
        <v>60809.53</v>
      </c>
      <c r="X52" s="45">
        <v>60774.8</v>
      </c>
      <c r="Y52" s="45">
        <v>70212.570000000007</v>
      </c>
      <c r="Z52" s="45">
        <v>83755.55</v>
      </c>
      <c r="AA52" s="45">
        <v>247981.23</v>
      </c>
      <c r="AB52" s="45">
        <v>383476.26</v>
      </c>
      <c r="AC52" s="45">
        <v>305019.12</v>
      </c>
      <c r="AD52" s="45">
        <v>298211.62</v>
      </c>
      <c r="AE52" s="45">
        <v>355738.71</v>
      </c>
      <c r="AF52" s="45">
        <v>421100.95</v>
      </c>
      <c r="AG52" s="45">
        <v>421260.25</v>
      </c>
      <c r="AH52" s="45">
        <v>425647.35</v>
      </c>
      <c r="AI52" s="46">
        <v>355043.17</v>
      </c>
      <c r="AJ52" s="46">
        <v>317440.44</v>
      </c>
      <c r="AK52" s="46">
        <v>361675.89</v>
      </c>
      <c r="AL52" s="46">
        <v>427108.58</v>
      </c>
      <c r="AM52" s="46">
        <v>352548.03</v>
      </c>
      <c r="AN52" s="46">
        <v>202576.3</v>
      </c>
      <c r="AO52" s="46">
        <v>179190.8</v>
      </c>
      <c r="AP52" s="46">
        <v>173555.15</v>
      </c>
      <c r="AQ52" s="46">
        <v>201857.14</v>
      </c>
      <c r="AR52" s="46">
        <v>241561.15</v>
      </c>
      <c r="AS52" s="46">
        <v>236616.94</v>
      </c>
      <c r="AT52" s="46">
        <v>216950.84</v>
      </c>
      <c r="AU52" s="46">
        <v>178443.25</v>
      </c>
      <c r="AV52" s="265">
        <f>'[115]TDR (M3)'!AV23</f>
        <v>165855.10787324235</v>
      </c>
      <c r="AW52" s="265">
        <f>'[115]TDR (M3)'!AW23</f>
        <v>200886.50944242743</v>
      </c>
      <c r="AX52" s="265">
        <f>'[115]TDR (M3)'!AX23</f>
        <v>237113.91150646424</v>
      </c>
      <c r="AY52" s="133"/>
      <c r="AZ52" s="133"/>
      <c r="BA52" s="133"/>
      <c r="BB52" s="133"/>
      <c r="BC52" s="133"/>
      <c r="BD52" s="133"/>
      <c r="BE52" s="133"/>
      <c r="BF52" s="133"/>
      <c r="BG52" s="133"/>
      <c r="BH52" s="133"/>
      <c r="BI52" s="133"/>
      <c r="BJ52" s="133"/>
    </row>
    <row r="53" spans="1:62" x14ac:dyDescent="0.35">
      <c r="A53" s="40" t="s">
        <v>35</v>
      </c>
      <c r="B53" s="41"/>
      <c r="C53" s="41"/>
      <c r="D53" s="45">
        <v>0</v>
      </c>
      <c r="E53" s="45">
        <v>0</v>
      </c>
      <c r="F53" s="45">
        <v>7030.01</v>
      </c>
      <c r="G53" s="45">
        <v>109921.60000000001</v>
      </c>
      <c r="H53" s="45">
        <v>118808.51</v>
      </c>
      <c r="I53" s="45">
        <v>121642.28</v>
      </c>
      <c r="J53" s="45">
        <v>122769.41</v>
      </c>
      <c r="K53" s="45">
        <v>112787.98</v>
      </c>
      <c r="L53" s="45">
        <v>99578.23</v>
      </c>
      <c r="M53" s="45">
        <v>107954.61</v>
      </c>
      <c r="N53" s="45">
        <v>111669.28</v>
      </c>
      <c r="O53" s="45">
        <v>108510.2</v>
      </c>
      <c r="P53" s="45">
        <v>102469.35</v>
      </c>
      <c r="Q53" s="45">
        <v>87569.04</v>
      </c>
      <c r="R53" s="45">
        <v>81676.990000000005</v>
      </c>
      <c r="S53" s="45">
        <v>96788.800000000003</v>
      </c>
      <c r="T53" s="45">
        <v>113009.35</v>
      </c>
      <c r="U53" s="45">
        <v>112596.34</v>
      </c>
      <c r="V53" s="45">
        <v>112065.74</v>
      </c>
      <c r="W53" s="45">
        <v>95621.75</v>
      </c>
      <c r="X53" s="45">
        <v>93151.01</v>
      </c>
      <c r="Y53" s="45">
        <v>100114.88</v>
      </c>
      <c r="Z53" s="45">
        <v>107296.64</v>
      </c>
      <c r="AA53" s="45">
        <v>327311.55</v>
      </c>
      <c r="AB53" s="45">
        <v>570755.55000000005</v>
      </c>
      <c r="AC53" s="45">
        <v>508276</v>
      </c>
      <c r="AD53" s="45">
        <v>517711.44</v>
      </c>
      <c r="AE53" s="45">
        <v>575315.39</v>
      </c>
      <c r="AF53" s="45">
        <v>673826.02</v>
      </c>
      <c r="AG53" s="45">
        <v>667802.68999999994</v>
      </c>
      <c r="AH53" s="45">
        <v>680633.38</v>
      </c>
      <c r="AI53" s="46">
        <v>598281.09</v>
      </c>
      <c r="AJ53" s="46">
        <v>531580.77</v>
      </c>
      <c r="AK53" s="46">
        <v>580996.63</v>
      </c>
      <c r="AL53" s="46">
        <v>621109.79</v>
      </c>
      <c r="AM53" s="46">
        <v>504253.87</v>
      </c>
      <c r="AN53" s="46">
        <v>301892.69</v>
      </c>
      <c r="AO53" s="46">
        <v>280545.46999999997</v>
      </c>
      <c r="AP53" s="46">
        <v>290164.87</v>
      </c>
      <c r="AQ53" s="46">
        <v>325613.77</v>
      </c>
      <c r="AR53" s="46">
        <v>365143.97</v>
      </c>
      <c r="AS53" s="46">
        <v>362549.21</v>
      </c>
      <c r="AT53" s="46">
        <v>346741.86</v>
      </c>
      <c r="AU53" s="46">
        <v>297961.13</v>
      </c>
      <c r="AV53" s="265">
        <f>'[115]TDR (M3)'!AV24</f>
        <v>283726.8901320083</v>
      </c>
      <c r="AW53" s="265">
        <f>'[115]TDR (M3)'!AW24</f>
        <v>314922.16547289555</v>
      </c>
      <c r="AX53" s="265">
        <f>'[115]TDR (M3)'!AX24</f>
        <v>344716.49477980705</v>
      </c>
      <c r="AY53" s="133"/>
      <c r="AZ53" s="133"/>
      <c r="BA53" s="133"/>
      <c r="BB53" s="133"/>
      <c r="BC53" s="133"/>
      <c r="BD53" s="133"/>
      <c r="BE53" s="133"/>
      <c r="BF53" s="133"/>
      <c r="BG53" s="133"/>
      <c r="BH53" s="133"/>
      <c r="BI53" s="133"/>
      <c r="BJ53" s="133"/>
    </row>
    <row r="54" spans="1:62" x14ac:dyDescent="0.35">
      <c r="A54" s="40" t="s">
        <v>36</v>
      </c>
      <c r="B54" s="41"/>
      <c r="C54" s="41"/>
      <c r="D54" s="45">
        <v>0</v>
      </c>
      <c r="E54" s="45">
        <v>0</v>
      </c>
      <c r="F54" s="45">
        <v>2496.56</v>
      </c>
      <c r="G54" s="45">
        <v>42291.09</v>
      </c>
      <c r="H54" s="45">
        <v>47913.74</v>
      </c>
      <c r="I54" s="45">
        <v>50299.83</v>
      </c>
      <c r="J54" s="45">
        <v>49993.73</v>
      </c>
      <c r="K54" s="45">
        <v>46326.65</v>
      </c>
      <c r="L54" s="45">
        <v>42840.77</v>
      </c>
      <c r="M54" s="45">
        <v>43135.040000000001</v>
      </c>
      <c r="N54" s="45">
        <v>44374.04</v>
      </c>
      <c r="O54" s="45">
        <v>45259.54</v>
      </c>
      <c r="P54" s="45">
        <v>39182.19</v>
      </c>
      <c r="Q54" s="45">
        <v>38273.29</v>
      </c>
      <c r="R54" s="45">
        <v>36030.870000000003</v>
      </c>
      <c r="S54" s="45">
        <v>41962.67</v>
      </c>
      <c r="T54" s="45">
        <v>44167.05</v>
      </c>
      <c r="U54" s="45">
        <v>46294.41</v>
      </c>
      <c r="V54" s="45">
        <v>46306.19</v>
      </c>
      <c r="W54" s="45">
        <v>41160.14</v>
      </c>
      <c r="X54" s="45">
        <v>40868.620000000003</v>
      </c>
      <c r="Y54" s="45">
        <v>42762.14</v>
      </c>
      <c r="Z54" s="45">
        <v>41986.66</v>
      </c>
      <c r="AA54" s="45">
        <v>113037.43</v>
      </c>
      <c r="AB54" s="45">
        <v>187949.41</v>
      </c>
      <c r="AC54" s="45">
        <v>188602.4</v>
      </c>
      <c r="AD54" s="45">
        <v>195382.67</v>
      </c>
      <c r="AE54" s="45">
        <v>188207.84</v>
      </c>
      <c r="AF54" s="45">
        <v>251615.09</v>
      </c>
      <c r="AG54" s="45">
        <v>231015.31</v>
      </c>
      <c r="AH54" s="45">
        <v>233947.55</v>
      </c>
      <c r="AI54" s="46">
        <v>202010.25</v>
      </c>
      <c r="AJ54" s="46">
        <v>176212.48000000001</v>
      </c>
      <c r="AK54" s="46">
        <v>231619.08</v>
      </c>
      <c r="AL54" s="46">
        <v>223678.57</v>
      </c>
      <c r="AM54" s="46">
        <v>167453.84</v>
      </c>
      <c r="AN54" s="46">
        <v>87280.08</v>
      </c>
      <c r="AO54" s="46">
        <v>74518.28</v>
      </c>
      <c r="AP54" s="46">
        <v>87009.31</v>
      </c>
      <c r="AQ54" s="46">
        <v>99059.55</v>
      </c>
      <c r="AR54" s="46">
        <v>102989.08</v>
      </c>
      <c r="AS54" s="46">
        <v>102162.93</v>
      </c>
      <c r="AT54" s="46">
        <v>99521.61</v>
      </c>
      <c r="AU54" s="46">
        <v>88233.75</v>
      </c>
      <c r="AV54" s="265">
        <f>'[115]TDR (M3)'!AV25</f>
        <v>85907.644962659659</v>
      </c>
      <c r="AW54" s="265">
        <f>'[115]TDR (M3)'!AW25</f>
        <v>89526.242105336627</v>
      </c>
      <c r="AX54" s="265">
        <f>'[115]TDR (M3)'!AX25</f>
        <v>92999.865321237914</v>
      </c>
      <c r="AY54" s="133"/>
      <c r="AZ54" s="133"/>
      <c r="BA54" s="133"/>
      <c r="BB54" s="133"/>
      <c r="BC54" s="133"/>
      <c r="BD54" s="133"/>
      <c r="BE54" s="133"/>
      <c r="BF54" s="133"/>
      <c r="BG54" s="133"/>
      <c r="BH54" s="133"/>
      <c r="BI54" s="133"/>
      <c r="BJ54" s="133"/>
    </row>
    <row r="55" spans="1:62" x14ac:dyDescent="0.35">
      <c r="A55" s="40" t="s">
        <v>37</v>
      </c>
      <c r="B55" s="41"/>
      <c r="C55" s="41"/>
      <c r="D55" s="45">
        <v>0</v>
      </c>
      <c r="E55" s="45">
        <v>0</v>
      </c>
      <c r="F55" s="45">
        <v>0</v>
      </c>
      <c r="G55" s="45">
        <v>4678.1400000000003</v>
      </c>
      <c r="H55" s="45">
        <v>7353.04</v>
      </c>
      <c r="I55" s="45">
        <v>8142.09</v>
      </c>
      <c r="J55" s="45">
        <v>8251.43</v>
      </c>
      <c r="K55" s="45">
        <v>7783.91</v>
      </c>
      <c r="L55" s="45">
        <v>6912.68</v>
      </c>
      <c r="M55" s="45">
        <v>6504.34</v>
      </c>
      <c r="N55" s="45">
        <v>6883.48</v>
      </c>
      <c r="O55" s="45">
        <v>11571.12</v>
      </c>
      <c r="P55" s="45">
        <v>19931.79</v>
      </c>
      <c r="Q55" s="45">
        <v>21827.09</v>
      </c>
      <c r="R55" s="45">
        <v>22161.01</v>
      </c>
      <c r="S55" s="45">
        <v>17306.599999999999</v>
      </c>
      <c r="T55" s="45">
        <v>24911.24</v>
      </c>
      <c r="U55" s="45">
        <v>25659.02</v>
      </c>
      <c r="V55" s="45">
        <v>26024.15</v>
      </c>
      <c r="W55" s="45">
        <v>22923.1</v>
      </c>
      <c r="X55" s="45">
        <v>22483.33</v>
      </c>
      <c r="Y55" s="45">
        <v>22959.24</v>
      </c>
      <c r="Z55" s="45">
        <v>20997.32</v>
      </c>
      <c r="AA55" s="45">
        <v>34921.4</v>
      </c>
      <c r="AB55" s="45">
        <v>24946.880000000001</v>
      </c>
      <c r="AC55" s="45">
        <v>42288.49</v>
      </c>
      <c r="AD55" s="45">
        <v>42963.199999999997</v>
      </c>
      <c r="AE55" s="45">
        <v>41464.47</v>
      </c>
      <c r="AF55" s="45">
        <v>52916.49</v>
      </c>
      <c r="AG55" s="45">
        <v>50374.33</v>
      </c>
      <c r="AH55" s="45">
        <v>54469.919999999998</v>
      </c>
      <c r="AI55" s="46">
        <v>49925.55</v>
      </c>
      <c r="AJ55" s="46">
        <v>33144.800000000003</v>
      </c>
      <c r="AK55" s="46">
        <v>46471.67</v>
      </c>
      <c r="AL55" s="46">
        <v>43301.11</v>
      </c>
      <c r="AM55" s="46">
        <v>35959.279999999999</v>
      </c>
      <c r="AN55" s="46">
        <v>6497.26</v>
      </c>
      <c r="AO55" s="46">
        <v>-22925.25</v>
      </c>
      <c r="AP55" s="46">
        <v>5065.87</v>
      </c>
      <c r="AQ55" s="46">
        <v>6175.37</v>
      </c>
      <c r="AR55" s="46">
        <v>7084.63</v>
      </c>
      <c r="AS55" s="46">
        <v>7005.11</v>
      </c>
      <c r="AT55" s="46">
        <v>7302.95</v>
      </c>
      <c r="AU55" s="46">
        <v>6273.92</v>
      </c>
      <c r="AV55" s="265">
        <f>'[115]TDR (M3)'!AV26</f>
        <v>6083.8638128528473</v>
      </c>
      <c r="AW55" s="265">
        <f>'[115]TDR (M3)'!AW26</f>
        <v>5961.2958858114662</v>
      </c>
      <c r="AX55" s="265">
        <f>'[115]TDR (M3)'!AX26</f>
        <v>6280.8843478745448</v>
      </c>
      <c r="AY55" s="133"/>
      <c r="AZ55" s="133"/>
      <c r="BA55" s="133"/>
      <c r="BB55" s="133"/>
      <c r="BC55" s="133"/>
      <c r="BD55" s="133"/>
      <c r="BE55" s="133"/>
      <c r="BF55" s="133"/>
      <c r="BG55" s="133"/>
      <c r="BH55" s="133"/>
      <c r="BI55" s="133"/>
      <c r="BJ55" s="133"/>
    </row>
    <row r="56" spans="1:62" x14ac:dyDescent="0.35">
      <c r="A56" s="35" t="s">
        <v>31</v>
      </c>
      <c r="B56" s="33"/>
      <c r="C56" s="33"/>
      <c r="D56" s="48">
        <f>SUM(D51:D55)</f>
        <v>0</v>
      </c>
      <c r="E56" s="48">
        <f t="shared" ref="E56:AW56" si="77">SUM(E51:E55)</f>
        <v>0</v>
      </c>
      <c r="F56" s="48">
        <f t="shared" si="77"/>
        <v>42385.43</v>
      </c>
      <c r="G56" s="48">
        <f t="shared" si="77"/>
        <v>557603.83999999997</v>
      </c>
      <c r="H56" s="48">
        <f t="shared" si="77"/>
        <v>676036.05</v>
      </c>
      <c r="I56" s="48">
        <f t="shared" si="77"/>
        <v>706998.16999999993</v>
      </c>
      <c r="J56" s="48">
        <f t="shared" si="77"/>
        <v>670246.85000000009</v>
      </c>
      <c r="K56" s="48">
        <f t="shared" si="77"/>
        <v>574404.17000000004</v>
      </c>
      <c r="L56" s="48">
        <f t="shared" si="77"/>
        <v>514881.99</v>
      </c>
      <c r="M56" s="48">
        <f t="shared" si="77"/>
        <v>639874.6</v>
      </c>
      <c r="N56" s="48">
        <f t="shared" si="77"/>
        <v>693023.25</v>
      </c>
      <c r="O56" s="48">
        <f t="shared" si="77"/>
        <v>705379.13</v>
      </c>
      <c r="P56" s="48">
        <f t="shared" si="77"/>
        <v>656045.5</v>
      </c>
      <c r="Q56" s="48">
        <f t="shared" si="77"/>
        <v>537519.54999999993</v>
      </c>
      <c r="R56" s="48">
        <f t="shared" si="77"/>
        <v>488973.88</v>
      </c>
      <c r="S56" s="48">
        <f t="shared" si="77"/>
        <v>614590.80000000005</v>
      </c>
      <c r="T56" s="48">
        <f t="shared" si="77"/>
        <v>791820.69</v>
      </c>
      <c r="U56" s="48">
        <f t="shared" si="77"/>
        <v>759797.67</v>
      </c>
      <c r="V56" s="48">
        <f t="shared" si="77"/>
        <v>707202.29999999993</v>
      </c>
      <c r="W56" s="48">
        <f t="shared" si="77"/>
        <v>523078.25</v>
      </c>
      <c r="X56" s="48">
        <f t="shared" si="77"/>
        <v>540041.11</v>
      </c>
      <c r="Y56" s="48">
        <f t="shared" si="77"/>
        <v>664038.72000000009</v>
      </c>
      <c r="Z56" s="48">
        <f t="shared" si="77"/>
        <v>811016.92</v>
      </c>
      <c r="AA56" s="48">
        <f t="shared" si="77"/>
        <v>2076902.7599999998</v>
      </c>
      <c r="AB56" s="48">
        <f t="shared" si="77"/>
        <v>2924297.21</v>
      </c>
      <c r="AC56" s="48">
        <f t="shared" si="77"/>
        <v>2229866.6</v>
      </c>
      <c r="AD56" s="48">
        <f t="shared" si="77"/>
        <v>2168254.38</v>
      </c>
      <c r="AE56" s="48">
        <f t="shared" si="77"/>
        <v>2621890.16</v>
      </c>
      <c r="AF56" s="48">
        <f t="shared" si="77"/>
        <v>3329515.52</v>
      </c>
      <c r="AG56" s="48">
        <f t="shared" si="77"/>
        <v>3339633.92</v>
      </c>
      <c r="AH56" s="48">
        <f t="shared" si="77"/>
        <v>3328980.9999999995</v>
      </c>
      <c r="AI56" s="48">
        <f t="shared" si="77"/>
        <v>2544745.0799999996</v>
      </c>
      <c r="AJ56" s="48">
        <f t="shared" si="77"/>
        <v>2313567.6799999997</v>
      </c>
      <c r="AK56" s="48">
        <f t="shared" si="77"/>
        <v>2791286.27</v>
      </c>
      <c r="AL56" s="48">
        <f t="shared" si="77"/>
        <v>3345196.3299999996</v>
      </c>
      <c r="AM56" s="48">
        <f t="shared" si="77"/>
        <v>2693584.13</v>
      </c>
      <c r="AN56" s="48">
        <f t="shared" si="77"/>
        <v>1313029.43</v>
      </c>
      <c r="AO56" s="48">
        <f t="shared" si="77"/>
        <v>1059088.8899999999</v>
      </c>
      <c r="AP56" s="48">
        <f t="shared" si="77"/>
        <v>1067990.6700000002</v>
      </c>
      <c r="AQ56" s="48">
        <f t="shared" si="77"/>
        <v>1283730.6600000001</v>
      </c>
      <c r="AR56" s="48">
        <f t="shared" si="77"/>
        <v>1612267.41</v>
      </c>
      <c r="AS56" s="48">
        <f t="shared" si="77"/>
        <v>1561342.09</v>
      </c>
      <c r="AT56" s="48">
        <f t="shared" si="77"/>
        <v>1380925.98</v>
      </c>
      <c r="AU56" s="48">
        <f t="shared" si="77"/>
        <v>1082294.4099999999</v>
      </c>
      <c r="AV56" s="48">
        <f>SUM(AV51:AV55)</f>
        <v>1038318.0213648995</v>
      </c>
      <c r="AW56" s="48">
        <f t="shared" si="77"/>
        <v>1325242.4322548576</v>
      </c>
      <c r="AX56" s="48">
        <f t="shared" ref="AX56:AY56" si="78">SUM(AX51:AX55)</f>
        <v>1563708.7986371508</v>
      </c>
      <c r="AY56" s="48">
        <f t="shared" si="78"/>
        <v>0</v>
      </c>
      <c r="AZ56" s="48">
        <f t="shared" ref="AZ56:BA56" si="79">SUM(AZ51:AZ55)</f>
        <v>0</v>
      </c>
      <c r="BA56" s="48">
        <f t="shared" si="79"/>
        <v>0</v>
      </c>
      <c r="BB56" s="48">
        <f t="shared" ref="BB56:BC56" si="80">SUM(BB51:BB55)</f>
        <v>0</v>
      </c>
      <c r="BC56" s="48">
        <f t="shared" si="80"/>
        <v>0</v>
      </c>
      <c r="BD56" s="48">
        <f t="shared" ref="BD56:BE56" si="81">SUM(BD51:BD55)</f>
        <v>0</v>
      </c>
      <c r="BE56" s="48">
        <f t="shared" si="81"/>
        <v>0</v>
      </c>
      <c r="BF56" s="48">
        <f t="shared" ref="BF56:BG56" si="82">SUM(BF51:BF55)</f>
        <v>0</v>
      </c>
      <c r="BG56" s="48">
        <f t="shared" si="82"/>
        <v>0</v>
      </c>
      <c r="BH56" s="48">
        <f t="shared" ref="BH56:BI56" si="83">SUM(BH51:BH55)</f>
        <v>0</v>
      </c>
      <c r="BI56" s="48">
        <f t="shared" si="83"/>
        <v>0</v>
      </c>
      <c r="BJ56" s="48">
        <f t="shared" ref="BJ56" si="84">SUM(BJ51:BJ55)</f>
        <v>0</v>
      </c>
    </row>
    <row r="57" spans="1:62" x14ac:dyDescent="0.35">
      <c r="A57" s="35"/>
      <c r="B57" s="33"/>
      <c r="C57" s="33"/>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86"/>
      <c r="AM57" s="86"/>
      <c r="AN57" s="86"/>
      <c r="AO57" s="86"/>
      <c r="AP57" s="86"/>
      <c r="AQ57" s="86"/>
      <c r="AR57" s="86"/>
      <c r="AS57" s="86"/>
      <c r="AT57" s="86"/>
      <c r="AU57" s="86"/>
      <c r="AV57" s="263" t="s">
        <v>129</v>
      </c>
      <c r="AW57" s="266"/>
      <c r="AX57" s="86"/>
      <c r="AY57" s="86"/>
      <c r="AZ57" s="86"/>
      <c r="BA57" s="86"/>
      <c r="BB57" s="86"/>
      <c r="BC57" s="86"/>
      <c r="BD57" s="86"/>
      <c r="BE57" s="86"/>
      <c r="BF57" s="86"/>
      <c r="BG57" s="86"/>
      <c r="BH57" s="86"/>
      <c r="BI57" s="86"/>
      <c r="BJ57" s="86"/>
    </row>
    <row r="58" spans="1:62" x14ac:dyDescent="0.35">
      <c r="A58" s="39" t="s">
        <v>61</v>
      </c>
      <c r="B58" s="41"/>
      <c r="C58" s="41"/>
      <c r="D58" s="45">
        <v>0</v>
      </c>
      <c r="E58" s="45">
        <v>0</v>
      </c>
      <c r="F58" s="45">
        <v>-923.75</v>
      </c>
      <c r="G58" s="45">
        <v>-10157.06</v>
      </c>
      <c r="H58" s="45">
        <v>-12455.509999999998</v>
      </c>
      <c r="I58" s="45">
        <v>-13265.509999999998</v>
      </c>
      <c r="J58" s="45">
        <v>-12079.850000000002</v>
      </c>
      <c r="K58" s="121">
        <v>-10230.949999999997</v>
      </c>
      <c r="L58" s="45">
        <v>-11242.28</v>
      </c>
      <c r="M58" s="45">
        <v>-15494.33</v>
      </c>
      <c r="N58" s="45">
        <v>-17112.689999999999</v>
      </c>
      <c r="O58" s="45">
        <v>-17916.879999999997</v>
      </c>
      <c r="P58" s="45">
        <v>-16196.53</v>
      </c>
      <c r="Q58" s="45">
        <v>-11729.169999999998</v>
      </c>
      <c r="R58" s="45">
        <v>-9666.880000000001</v>
      </c>
      <c r="S58" s="45">
        <v>-10964.7</v>
      </c>
      <c r="T58" s="45">
        <v>-14109.349999999999</v>
      </c>
      <c r="U58" s="45">
        <v>-13038.06</v>
      </c>
      <c r="V58" s="45">
        <v>-11941.109999999999</v>
      </c>
      <c r="W58" s="45">
        <v>-8935.6699999999983</v>
      </c>
      <c r="X58" s="45">
        <v>-10579.18</v>
      </c>
      <c r="Y58" s="45">
        <v>-14636.740000000002</v>
      </c>
      <c r="Z58" s="45">
        <v>-19698.789999999997</v>
      </c>
      <c r="AA58" s="45">
        <v>-48385.84</v>
      </c>
      <c r="AB58" s="45">
        <v>-64618.5</v>
      </c>
      <c r="AC58" s="45">
        <v>-42103.360000000001</v>
      </c>
      <c r="AD58" s="45">
        <v>-36788.399999999994</v>
      </c>
      <c r="AE58" s="45">
        <v>-41724.590000000004</v>
      </c>
      <c r="AF58" s="45">
        <v>-54881.069999999992</v>
      </c>
      <c r="AG58" s="45">
        <v>-55914.9</v>
      </c>
      <c r="AH58" s="45">
        <v>-55481.14</v>
      </c>
      <c r="AI58" s="46">
        <v>-39206.850000000013</v>
      </c>
      <c r="AJ58" s="46">
        <v>-42360.3</v>
      </c>
      <c r="AK58" s="46">
        <v>-54472.2</v>
      </c>
      <c r="AL58" s="46">
        <v>-66993.759999999995</v>
      </c>
      <c r="AM58" s="46">
        <v>-58621.54</v>
      </c>
      <c r="AN58" s="46">
        <v>-25799.879999999997</v>
      </c>
      <c r="AO58" s="46">
        <v>-19928.739999999994</v>
      </c>
      <c r="AP58" s="46">
        <v>-16836.810000000001</v>
      </c>
      <c r="AQ58" s="46">
        <v>-19254.710000000003</v>
      </c>
      <c r="AR58" s="46">
        <v>-26122.889999999996</v>
      </c>
      <c r="AS58" s="46">
        <v>-25874.140000000003</v>
      </c>
      <c r="AT58" s="46">
        <v>-22617.429999999997</v>
      </c>
      <c r="AU58" s="46">
        <v>-17799.38</v>
      </c>
      <c r="AV58" s="265">
        <f>'[115]TDR (M3)'!AV36</f>
        <v>-23903.222704377586</v>
      </c>
      <c r="AW58" s="265">
        <f>'[115]TDR (M3)'!AW36</f>
        <v>-34354.914808309171</v>
      </c>
      <c r="AX58" s="265">
        <f>'[115]TDR (M3)'!AX36</f>
        <v>-42470.37942440663</v>
      </c>
      <c r="AY58" s="133"/>
      <c r="AZ58" s="133"/>
      <c r="BA58" s="133"/>
      <c r="BB58" s="133"/>
      <c r="BC58" s="133"/>
      <c r="BD58" s="133"/>
      <c r="BE58" s="133"/>
      <c r="BF58" s="133"/>
      <c r="BG58" s="133"/>
      <c r="BH58" s="133"/>
      <c r="BI58" s="133"/>
      <c r="BJ58" s="133"/>
    </row>
    <row r="59" spans="1:62" x14ac:dyDescent="0.35">
      <c r="B59" s="41"/>
      <c r="C59" s="41"/>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row>
    <row r="60" spans="1:62" x14ac:dyDescent="0.35">
      <c r="A60" s="29" t="s">
        <v>32</v>
      </c>
      <c r="B60" s="41"/>
      <c r="C60" s="41"/>
      <c r="S60" s="90"/>
    </row>
    <row r="61" spans="1:62" x14ac:dyDescent="0.35">
      <c r="A61" s="40" t="s">
        <v>33</v>
      </c>
      <c r="B61" s="41"/>
      <c r="C61" s="41"/>
      <c r="D61" s="87">
        <f t="shared" ref="D61:AI61" si="85">+D23</f>
        <v>1268128455</v>
      </c>
      <c r="E61" s="87">
        <f t="shared" si="85"/>
        <v>872933544</v>
      </c>
      <c r="F61" s="87">
        <f t="shared" si="85"/>
        <v>738196558</v>
      </c>
      <c r="G61" s="87">
        <f t="shared" si="85"/>
        <v>978975302</v>
      </c>
      <c r="H61" s="87">
        <f t="shared" si="85"/>
        <v>1243909773</v>
      </c>
      <c r="I61" s="87">
        <f t="shared" si="85"/>
        <v>1310015315</v>
      </c>
      <c r="J61" s="87">
        <f t="shared" si="85"/>
        <v>1208033233</v>
      </c>
      <c r="K61" s="87">
        <f t="shared" si="85"/>
        <v>993546162</v>
      </c>
      <c r="L61" s="87">
        <f t="shared" si="85"/>
        <v>897156231</v>
      </c>
      <c r="M61" s="87">
        <f t="shared" si="85"/>
        <v>1208147189</v>
      </c>
      <c r="N61" s="87">
        <f t="shared" si="85"/>
        <v>1334184680</v>
      </c>
      <c r="O61" s="87">
        <f t="shared" si="85"/>
        <v>1302694951</v>
      </c>
      <c r="P61" s="87">
        <f t="shared" si="85"/>
        <v>1123586700</v>
      </c>
      <c r="Q61" s="87">
        <f t="shared" si="85"/>
        <v>886578697</v>
      </c>
      <c r="R61" s="87">
        <f t="shared" si="85"/>
        <v>790098101</v>
      </c>
      <c r="S61" s="87">
        <f t="shared" si="85"/>
        <v>1041013964</v>
      </c>
      <c r="T61" s="87">
        <f t="shared" si="85"/>
        <v>1397050553</v>
      </c>
      <c r="U61" s="87">
        <f t="shared" si="85"/>
        <v>1310723723</v>
      </c>
      <c r="V61" s="87">
        <f t="shared" si="85"/>
        <v>1275164339</v>
      </c>
      <c r="W61" s="87">
        <f t="shared" si="85"/>
        <v>800796996</v>
      </c>
      <c r="X61" s="87">
        <f t="shared" si="85"/>
        <v>856955103</v>
      </c>
      <c r="Y61" s="87">
        <f t="shared" si="85"/>
        <v>1137867523</v>
      </c>
      <c r="Z61" s="87">
        <f t="shared" si="85"/>
        <v>1482496943</v>
      </c>
      <c r="AA61" s="87">
        <f t="shared" si="85"/>
        <v>1507047480</v>
      </c>
      <c r="AB61" s="87">
        <f t="shared" si="85"/>
        <v>1193201650</v>
      </c>
      <c r="AC61" s="87">
        <f t="shared" si="85"/>
        <v>803567941</v>
      </c>
      <c r="AD61" s="87">
        <f t="shared" si="85"/>
        <v>753161249</v>
      </c>
      <c r="AE61" s="87">
        <f t="shared" si="85"/>
        <v>1061485022</v>
      </c>
      <c r="AF61" s="87">
        <f t="shared" si="85"/>
        <v>1299384453</v>
      </c>
      <c r="AG61" s="87">
        <f t="shared" si="85"/>
        <v>1325635096</v>
      </c>
      <c r="AH61" s="87">
        <f t="shared" si="85"/>
        <v>1302322503</v>
      </c>
      <c r="AI61" s="87">
        <f t="shared" si="85"/>
        <v>902367562</v>
      </c>
      <c r="AJ61" s="87">
        <f t="shared" ref="AJ61:BJ61" si="86">+AJ23</f>
        <v>849229853</v>
      </c>
      <c r="AK61" s="87">
        <f t="shared" si="86"/>
        <v>1063566547</v>
      </c>
      <c r="AL61" s="87">
        <f t="shared" si="86"/>
        <v>1372451320</v>
      </c>
      <c r="AM61" s="87">
        <f t="shared" si="86"/>
        <v>1445914846</v>
      </c>
      <c r="AN61" s="87">
        <f t="shared" si="86"/>
        <v>1156058653</v>
      </c>
      <c r="AO61" s="87">
        <f t="shared" si="86"/>
        <v>900363528</v>
      </c>
      <c r="AP61" s="87">
        <f t="shared" si="86"/>
        <v>837159184</v>
      </c>
      <c r="AQ61" s="87">
        <f t="shared" si="86"/>
        <v>1060197293</v>
      </c>
      <c r="AR61" s="87">
        <f t="shared" si="86"/>
        <v>1457350528</v>
      </c>
      <c r="AS61" s="87">
        <f t="shared" si="86"/>
        <v>1390553772</v>
      </c>
      <c r="AT61" s="87">
        <f t="shared" si="86"/>
        <v>1159635260</v>
      </c>
      <c r="AU61" s="87">
        <f t="shared" si="86"/>
        <v>837049627</v>
      </c>
      <c r="AV61" s="87">
        <f t="shared" si="86"/>
        <v>823809710.89954734</v>
      </c>
      <c r="AW61" s="87">
        <f t="shared" si="86"/>
        <v>1184020781.8935058</v>
      </c>
      <c r="AX61" s="87">
        <f t="shared" si="86"/>
        <v>1463715224.8515413</v>
      </c>
      <c r="AY61" s="87">
        <f t="shared" si="86"/>
        <v>1336664994.0460832</v>
      </c>
      <c r="AZ61" s="87">
        <f t="shared" si="86"/>
        <v>1119079665.4526877</v>
      </c>
      <c r="BA61" s="87">
        <f t="shared" si="86"/>
        <v>861310496.59871697</v>
      </c>
      <c r="BB61" s="87">
        <f t="shared" si="86"/>
        <v>719637418.50404811</v>
      </c>
      <c r="BC61" s="87">
        <f t="shared" si="86"/>
        <v>953087156.89234209</v>
      </c>
      <c r="BD61" s="87">
        <f t="shared" si="86"/>
        <v>1248214161.8172109</v>
      </c>
      <c r="BE61" s="87">
        <f t="shared" si="86"/>
        <v>1255176708.3970134</v>
      </c>
      <c r="BF61" s="87">
        <f t="shared" si="86"/>
        <v>1155438853.4211845</v>
      </c>
      <c r="BG61" s="87">
        <f t="shared" si="86"/>
        <v>799316341.7253443</v>
      </c>
      <c r="BH61" s="87">
        <f t="shared" si="86"/>
        <v>823435842.64099085</v>
      </c>
      <c r="BI61" s="87">
        <f t="shared" si="86"/>
        <v>1182253404.6712387</v>
      </c>
      <c r="BJ61" s="87">
        <f t="shared" si="86"/>
        <v>1463243391.1134698</v>
      </c>
    </row>
    <row r="62" spans="1:62" x14ac:dyDescent="0.35">
      <c r="A62" s="40" t="s">
        <v>34</v>
      </c>
      <c r="B62" s="41"/>
      <c r="C62" s="41"/>
      <c r="D62" s="87">
        <f t="shared" ref="D62:AI62" si="87">+D24</f>
        <v>290178959</v>
      </c>
      <c r="E62" s="87">
        <f t="shared" si="87"/>
        <v>235096003</v>
      </c>
      <c r="F62" s="87">
        <f t="shared" si="87"/>
        <v>221772499</v>
      </c>
      <c r="G62" s="87">
        <f t="shared" si="87"/>
        <v>258735845</v>
      </c>
      <c r="H62" s="87">
        <f t="shared" si="87"/>
        <v>295975497</v>
      </c>
      <c r="I62" s="87">
        <f t="shared" si="87"/>
        <v>304175879</v>
      </c>
      <c r="J62" s="87">
        <f t="shared" si="87"/>
        <v>293549572</v>
      </c>
      <c r="K62" s="87">
        <f t="shared" si="87"/>
        <v>264736629</v>
      </c>
      <c r="L62" s="87">
        <f t="shared" si="87"/>
        <v>237145043</v>
      </c>
      <c r="M62" s="87">
        <f t="shared" si="87"/>
        <v>278572550</v>
      </c>
      <c r="N62" s="87">
        <f t="shared" si="87"/>
        <v>297050898</v>
      </c>
      <c r="O62" s="87">
        <f t="shared" si="87"/>
        <v>290934660</v>
      </c>
      <c r="P62" s="87">
        <f t="shared" si="87"/>
        <v>265078600</v>
      </c>
      <c r="Q62" s="87">
        <f t="shared" si="87"/>
        <v>203506574</v>
      </c>
      <c r="R62" s="87">
        <f t="shared" si="87"/>
        <v>184563246</v>
      </c>
      <c r="S62" s="87">
        <f t="shared" si="87"/>
        <v>231230759</v>
      </c>
      <c r="T62" s="87">
        <f t="shared" si="87"/>
        <v>288425422</v>
      </c>
      <c r="U62" s="87">
        <f t="shared" si="87"/>
        <v>281389691</v>
      </c>
      <c r="V62" s="87">
        <f t="shared" si="87"/>
        <v>269111017</v>
      </c>
      <c r="W62" s="87">
        <f t="shared" si="87"/>
        <v>218212399</v>
      </c>
      <c r="X62" s="87">
        <f t="shared" si="87"/>
        <v>218068919</v>
      </c>
      <c r="Y62" s="87">
        <f t="shared" si="87"/>
        <v>251883126</v>
      </c>
      <c r="Z62" s="87">
        <f t="shared" si="87"/>
        <v>300425840</v>
      </c>
      <c r="AA62" s="87">
        <f t="shared" si="87"/>
        <v>303577891</v>
      </c>
      <c r="AB62" s="87">
        <f t="shared" si="87"/>
        <v>265359424</v>
      </c>
      <c r="AC62" s="87">
        <f t="shared" si="87"/>
        <v>211100441</v>
      </c>
      <c r="AD62" s="87">
        <f t="shared" si="87"/>
        <v>205986967</v>
      </c>
      <c r="AE62" s="87">
        <f t="shared" si="87"/>
        <v>264522271</v>
      </c>
      <c r="AF62" s="87">
        <f t="shared" si="87"/>
        <v>291815734</v>
      </c>
      <c r="AG62" s="87">
        <f t="shared" si="87"/>
        <v>291413887</v>
      </c>
      <c r="AH62" s="87">
        <f t="shared" si="87"/>
        <v>294374400</v>
      </c>
      <c r="AI62" s="87">
        <f t="shared" si="87"/>
        <v>245524134</v>
      </c>
      <c r="AJ62" s="87">
        <f t="shared" ref="AJ62:BJ62" si="88">+AJ24</f>
        <v>219607166</v>
      </c>
      <c r="AK62" s="87">
        <f t="shared" si="88"/>
        <v>250466096</v>
      </c>
      <c r="AL62" s="87">
        <f t="shared" si="88"/>
        <v>295383726</v>
      </c>
      <c r="AM62" s="87">
        <f t="shared" si="88"/>
        <v>301077290</v>
      </c>
      <c r="AN62" s="87">
        <f t="shared" si="88"/>
        <v>261058604</v>
      </c>
      <c r="AO62" s="87">
        <f t="shared" si="88"/>
        <v>230949228</v>
      </c>
      <c r="AP62" s="87">
        <f t="shared" si="88"/>
        <v>223998788</v>
      </c>
      <c r="AQ62" s="87">
        <f t="shared" si="88"/>
        <v>260692423</v>
      </c>
      <c r="AR62" s="87">
        <f t="shared" si="88"/>
        <v>312328749</v>
      </c>
      <c r="AS62" s="87">
        <f t="shared" si="88"/>
        <v>305346654</v>
      </c>
      <c r="AT62" s="87">
        <f t="shared" si="88"/>
        <v>279929276</v>
      </c>
      <c r="AU62" s="87">
        <f t="shared" si="88"/>
        <v>230143220</v>
      </c>
      <c r="AV62" s="87">
        <f t="shared" si="88"/>
        <v>214006590.80418369</v>
      </c>
      <c r="AW62" s="87">
        <f t="shared" si="88"/>
        <v>259208399.28055152</v>
      </c>
      <c r="AX62" s="87">
        <f t="shared" si="88"/>
        <v>305953434.20188934</v>
      </c>
      <c r="AY62" s="87">
        <f t="shared" si="88"/>
        <v>280856418.68896633</v>
      </c>
      <c r="AZ62" s="87">
        <f t="shared" si="88"/>
        <v>244645940.36085454</v>
      </c>
      <c r="BA62" s="87">
        <f t="shared" si="88"/>
        <v>211287471.96717843</v>
      </c>
      <c r="BB62" s="87">
        <f t="shared" si="88"/>
        <v>203754783.1300754</v>
      </c>
      <c r="BC62" s="87">
        <f t="shared" si="88"/>
        <v>248296251.07174692</v>
      </c>
      <c r="BD62" s="87">
        <f t="shared" si="88"/>
        <v>276440786.4582572</v>
      </c>
      <c r="BE62" s="87">
        <f t="shared" si="88"/>
        <v>276703179.2840662</v>
      </c>
      <c r="BF62" s="87">
        <f t="shared" si="88"/>
        <v>268461515.94519675</v>
      </c>
      <c r="BG62" s="87">
        <f t="shared" si="88"/>
        <v>222468642.64741558</v>
      </c>
      <c r="BH62" s="87">
        <f t="shared" si="88"/>
        <v>214037969.80153504</v>
      </c>
      <c r="BI62" s="87">
        <f t="shared" si="88"/>
        <v>259388443.35974792</v>
      </c>
      <c r="BJ62" s="87">
        <f t="shared" si="88"/>
        <v>309078989.07965964</v>
      </c>
    </row>
    <row r="63" spans="1:62" x14ac:dyDescent="0.35">
      <c r="A63" s="40" t="s">
        <v>35</v>
      </c>
      <c r="B63" s="41"/>
      <c r="C63" s="41"/>
      <c r="D63" s="87">
        <f t="shared" ref="D63:AI63" si="89">+D25</f>
        <v>599641261</v>
      </c>
      <c r="E63" s="87">
        <f t="shared" si="89"/>
        <v>546450417</v>
      </c>
      <c r="F63" s="87">
        <f t="shared" si="89"/>
        <v>548775486</v>
      </c>
      <c r="G63" s="87">
        <f t="shared" si="89"/>
        <v>609609142</v>
      </c>
      <c r="H63" s="87">
        <f t="shared" si="89"/>
        <v>656813642</v>
      </c>
      <c r="I63" s="87">
        <f t="shared" si="89"/>
        <v>671886437</v>
      </c>
      <c r="J63" s="87">
        <f t="shared" si="89"/>
        <v>678219627</v>
      </c>
      <c r="K63" s="87">
        <f t="shared" si="89"/>
        <v>622550219</v>
      </c>
      <c r="L63" s="87">
        <f t="shared" si="89"/>
        <v>549600433</v>
      </c>
      <c r="M63" s="87">
        <f t="shared" si="89"/>
        <v>596432225</v>
      </c>
      <c r="N63" s="87">
        <f t="shared" si="89"/>
        <v>616923082</v>
      </c>
      <c r="O63" s="87">
        <f t="shared" si="89"/>
        <v>599527620</v>
      </c>
      <c r="P63" s="87">
        <f t="shared" si="89"/>
        <v>566693954</v>
      </c>
      <c r="Q63" s="87">
        <f t="shared" si="89"/>
        <v>483801855</v>
      </c>
      <c r="R63" s="87">
        <f t="shared" si="89"/>
        <v>451939609</v>
      </c>
      <c r="S63" s="87">
        <f t="shared" si="89"/>
        <v>534583835</v>
      </c>
      <c r="T63" s="87">
        <f t="shared" si="89"/>
        <v>624356693</v>
      </c>
      <c r="U63" s="87">
        <f t="shared" si="89"/>
        <v>621885740</v>
      </c>
      <c r="V63" s="87">
        <f t="shared" si="89"/>
        <v>619148163</v>
      </c>
      <c r="W63" s="87">
        <f t="shared" si="89"/>
        <v>528448107.69999999</v>
      </c>
      <c r="X63" s="87">
        <f t="shared" si="89"/>
        <v>514648084</v>
      </c>
      <c r="Y63" s="87">
        <f t="shared" si="89"/>
        <v>553120787</v>
      </c>
      <c r="Z63" s="87">
        <f t="shared" si="89"/>
        <v>592823385</v>
      </c>
      <c r="AA63" s="87">
        <f t="shared" si="89"/>
        <v>585712392</v>
      </c>
      <c r="AB63" s="87">
        <f t="shared" si="89"/>
        <v>543642088</v>
      </c>
      <c r="AC63" s="87">
        <f t="shared" si="89"/>
        <v>483262229</v>
      </c>
      <c r="AD63" s="87">
        <f t="shared" si="89"/>
        <v>492375125.19999999</v>
      </c>
      <c r="AE63" s="87">
        <f t="shared" si="89"/>
        <v>586671915</v>
      </c>
      <c r="AF63" s="87">
        <f t="shared" si="89"/>
        <v>641235470</v>
      </c>
      <c r="AG63" s="87">
        <f t="shared" si="89"/>
        <v>634777638</v>
      </c>
      <c r="AH63" s="87">
        <f t="shared" si="89"/>
        <v>647017474</v>
      </c>
      <c r="AI63" s="87">
        <f t="shared" si="89"/>
        <v>568724491</v>
      </c>
      <c r="AJ63" s="87">
        <f t="shared" ref="AJ63:BJ63" si="90">+AJ25</f>
        <v>505304455</v>
      </c>
      <c r="AK63" s="87">
        <f t="shared" si="90"/>
        <v>555282313.60000002</v>
      </c>
      <c r="AL63" s="87">
        <f t="shared" si="90"/>
        <v>590675076</v>
      </c>
      <c r="AM63" s="87">
        <f t="shared" si="90"/>
        <v>582248455</v>
      </c>
      <c r="AN63" s="87">
        <f t="shared" si="90"/>
        <v>534070902</v>
      </c>
      <c r="AO63" s="87">
        <f t="shared" si="90"/>
        <v>506459043</v>
      </c>
      <c r="AP63" s="87">
        <f t="shared" si="90"/>
        <v>516003997</v>
      </c>
      <c r="AQ63" s="87">
        <f t="shared" si="90"/>
        <v>579943536</v>
      </c>
      <c r="AR63" s="87">
        <f t="shared" si="90"/>
        <v>650768443</v>
      </c>
      <c r="AS63" s="87">
        <f t="shared" si="90"/>
        <v>645110540</v>
      </c>
      <c r="AT63" s="87">
        <f t="shared" si="90"/>
        <v>617464584</v>
      </c>
      <c r="AU63" s="87">
        <f t="shared" si="90"/>
        <v>530232061</v>
      </c>
      <c r="AV63" s="87">
        <f t="shared" si="90"/>
        <v>504852117.67261267</v>
      </c>
      <c r="AW63" s="87">
        <f t="shared" si="90"/>
        <v>560359725.04073942</v>
      </c>
      <c r="AX63" s="87">
        <f t="shared" si="90"/>
        <v>613374545.87154281</v>
      </c>
      <c r="AY63" s="87">
        <f t="shared" si="90"/>
        <v>563003155.08682692</v>
      </c>
      <c r="AZ63" s="87">
        <f t="shared" si="90"/>
        <v>525777849.44958454</v>
      </c>
      <c r="BA63" s="87">
        <f t="shared" si="90"/>
        <v>500829507.5393312</v>
      </c>
      <c r="BB63" s="87">
        <f t="shared" si="90"/>
        <v>504013757.42662746</v>
      </c>
      <c r="BC63" s="87">
        <f t="shared" si="90"/>
        <v>561164365.77195811</v>
      </c>
      <c r="BD63" s="87">
        <f t="shared" si="90"/>
        <v>614242841.92436695</v>
      </c>
      <c r="BE63" s="87">
        <f t="shared" si="90"/>
        <v>612510395.20461011</v>
      </c>
      <c r="BF63" s="87">
        <f t="shared" si="90"/>
        <v>609064939.63719511</v>
      </c>
      <c r="BG63" s="87">
        <f t="shared" si="90"/>
        <v>542930139.38885951</v>
      </c>
      <c r="BH63" s="87">
        <f t="shared" si="90"/>
        <v>505332973.16220433</v>
      </c>
      <c r="BI63" s="87">
        <f t="shared" si="90"/>
        <v>552569144.60818577</v>
      </c>
      <c r="BJ63" s="87">
        <f t="shared" si="90"/>
        <v>619327366.38035524</v>
      </c>
    </row>
    <row r="64" spans="1:62" x14ac:dyDescent="0.35">
      <c r="A64" s="40" t="s">
        <v>36</v>
      </c>
      <c r="B64" s="41"/>
      <c r="C64" s="41"/>
      <c r="D64" s="87">
        <f t="shared" ref="D64:AI64" si="91">+D26</f>
        <v>242499726</v>
      </c>
      <c r="E64" s="87">
        <f t="shared" si="91"/>
        <v>232539680</v>
      </c>
      <c r="F64" s="87">
        <f t="shared" si="91"/>
        <v>229224298</v>
      </c>
      <c r="G64" s="87">
        <f t="shared" si="91"/>
        <v>266349220</v>
      </c>
      <c r="H64" s="87">
        <f t="shared" si="91"/>
        <v>267674678</v>
      </c>
      <c r="I64" s="87">
        <f t="shared" si="91"/>
        <v>281003685</v>
      </c>
      <c r="J64" s="87">
        <f t="shared" si="91"/>
        <v>279302255</v>
      </c>
      <c r="K64" s="87">
        <f t="shared" si="91"/>
        <v>258807768</v>
      </c>
      <c r="L64" s="87">
        <f t="shared" si="91"/>
        <v>239334214</v>
      </c>
      <c r="M64" s="87">
        <f t="shared" si="91"/>
        <v>241025466</v>
      </c>
      <c r="N64" s="87">
        <f t="shared" si="91"/>
        <v>247898204</v>
      </c>
      <c r="O64" s="87">
        <f t="shared" si="91"/>
        <v>255420215</v>
      </c>
      <c r="P64" s="87">
        <f t="shared" si="91"/>
        <v>225135566</v>
      </c>
      <c r="Q64" s="87">
        <f t="shared" si="91"/>
        <v>219961316</v>
      </c>
      <c r="R64" s="87">
        <f t="shared" si="91"/>
        <v>207074154</v>
      </c>
      <c r="S64" s="87">
        <f t="shared" si="91"/>
        <v>241165089</v>
      </c>
      <c r="T64" s="87">
        <f t="shared" si="91"/>
        <v>253833450</v>
      </c>
      <c r="U64" s="87">
        <f t="shared" si="91"/>
        <v>266058831</v>
      </c>
      <c r="V64" s="87">
        <f t="shared" si="91"/>
        <v>266126792</v>
      </c>
      <c r="W64" s="87">
        <f t="shared" si="91"/>
        <v>236673642.40000001</v>
      </c>
      <c r="X64" s="87">
        <f t="shared" si="91"/>
        <v>234876378</v>
      </c>
      <c r="Y64" s="87">
        <f t="shared" si="91"/>
        <v>245759481</v>
      </c>
      <c r="Z64" s="87">
        <f t="shared" si="91"/>
        <v>241302585</v>
      </c>
      <c r="AA64" s="87">
        <f t="shared" si="91"/>
        <v>254211213</v>
      </c>
      <c r="AB64" s="87">
        <f t="shared" si="91"/>
        <v>216207694</v>
      </c>
      <c r="AC64" s="87">
        <f t="shared" si="91"/>
        <v>214809052</v>
      </c>
      <c r="AD64" s="87">
        <f t="shared" si="91"/>
        <v>221576502.5</v>
      </c>
      <c r="AE64" s="87">
        <f t="shared" si="91"/>
        <v>232417188</v>
      </c>
      <c r="AF64" s="87">
        <f t="shared" si="91"/>
        <v>286577542</v>
      </c>
      <c r="AG64" s="87">
        <f t="shared" si="91"/>
        <v>263115351</v>
      </c>
      <c r="AH64" s="87">
        <f t="shared" si="91"/>
        <v>266455046</v>
      </c>
      <c r="AI64" s="87">
        <f t="shared" si="91"/>
        <v>230080105</v>
      </c>
      <c r="AJ64" s="87">
        <f t="shared" ref="AJ64:BJ64" si="92">+AJ26</f>
        <v>200697530</v>
      </c>
      <c r="AK64" s="87">
        <f t="shared" si="92"/>
        <v>269908616.5</v>
      </c>
      <c r="AL64" s="87">
        <f t="shared" si="92"/>
        <v>254759231</v>
      </c>
      <c r="AM64" s="87">
        <f t="shared" si="92"/>
        <v>236605471</v>
      </c>
      <c r="AN64" s="87">
        <f t="shared" si="92"/>
        <v>220600472</v>
      </c>
      <c r="AO64" s="87">
        <f t="shared" si="92"/>
        <v>227017145</v>
      </c>
      <c r="AP64" s="87">
        <f t="shared" si="92"/>
        <v>225997805</v>
      </c>
      <c r="AQ64" s="87">
        <f t="shared" si="92"/>
        <v>251076328</v>
      </c>
      <c r="AR64" s="87">
        <f t="shared" si="92"/>
        <v>267504084</v>
      </c>
      <c r="AS64" s="87">
        <f t="shared" si="92"/>
        <v>272015339</v>
      </c>
      <c r="AT64" s="87">
        <f t="shared" si="92"/>
        <v>258297228</v>
      </c>
      <c r="AU64" s="87">
        <f t="shared" si="92"/>
        <v>229178636</v>
      </c>
      <c r="AV64" s="87">
        <f t="shared" si="92"/>
        <v>223136740.16275239</v>
      </c>
      <c r="AW64" s="87">
        <f t="shared" si="92"/>
        <v>232535693.78009516</v>
      </c>
      <c r="AX64" s="87">
        <f t="shared" si="92"/>
        <v>241558091.74347511</v>
      </c>
      <c r="AY64" s="87">
        <f t="shared" si="92"/>
        <v>223273876.06086823</v>
      </c>
      <c r="AZ64" s="87">
        <f t="shared" si="92"/>
        <v>219930504.46499082</v>
      </c>
      <c r="BA64" s="87">
        <f t="shared" si="92"/>
        <v>219972621.34758601</v>
      </c>
      <c r="BB64" s="87">
        <f t="shared" si="92"/>
        <v>222450916.65547773</v>
      </c>
      <c r="BC64" s="87">
        <f t="shared" si="92"/>
        <v>242282151.68348587</v>
      </c>
      <c r="BD64" s="87">
        <f t="shared" si="92"/>
        <v>250975463.49602565</v>
      </c>
      <c r="BE64" s="87">
        <f t="shared" si="92"/>
        <v>250580809.74395686</v>
      </c>
      <c r="BF64" s="87">
        <f t="shared" si="92"/>
        <v>252332508.81780612</v>
      </c>
      <c r="BG64" s="87">
        <f t="shared" si="92"/>
        <v>232854682.76037392</v>
      </c>
      <c r="BH64" s="87">
        <f t="shared" si="92"/>
        <v>221336739.48931596</v>
      </c>
      <c r="BI64" s="87">
        <f t="shared" si="92"/>
        <v>230201207.14389151</v>
      </c>
      <c r="BJ64" s="87">
        <f t="shared" si="92"/>
        <v>241935503.49668512</v>
      </c>
    </row>
    <row r="65" spans="1:62" x14ac:dyDescent="0.35">
      <c r="A65" s="40" t="s">
        <v>37</v>
      </c>
      <c r="B65" s="41"/>
      <c r="C65" s="41"/>
      <c r="D65" s="87">
        <f t="shared" ref="D65:AI65" si="93">+D27</f>
        <v>99309923</v>
      </c>
      <c r="E65" s="87">
        <f t="shared" si="93"/>
        <v>98876748</v>
      </c>
      <c r="F65" s="87">
        <f t="shared" si="93"/>
        <v>96480454</v>
      </c>
      <c r="G65" s="87">
        <f t="shared" si="93"/>
        <v>121526151</v>
      </c>
      <c r="H65" s="87">
        <f t="shared" si="93"/>
        <v>113123855</v>
      </c>
      <c r="I65" s="87">
        <f t="shared" si="93"/>
        <v>125262874</v>
      </c>
      <c r="J65" s="87">
        <f t="shared" si="93"/>
        <v>126945040</v>
      </c>
      <c r="K65" s="87">
        <f t="shared" si="93"/>
        <v>119752379</v>
      </c>
      <c r="L65" s="87">
        <f t="shared" si="93"/>
        <v>106348532</v>
      </c>
      <c r="M65" s="87">
        <f t="shared" si="93"/>
        <v>100067076</v>
      </c>
      <c r="N65" s="87">
        <f t="shared" si="93"/>
        <v>105899561</v>
      </c>
      <c r="O65" s="87">
        <f t="shared" si="93"/>
        <v>111203176</v>
      </c>
      <c r="P65" s="87">
        <f t="shared" si="93"/>
        <v>86704807</v>
      </c>
      <c r="Q65" s="87">
        <f t="shared" si="93"/>
        <v>92097434</v>
      </c>
      <c r="R65" s="87">
        <f t="shared" si="93"/>
        <v>93506334</v>
      </c>
      <c r="S65" s="87">
        <f t="shared" si="93"/>
        <v>92139707</v>
      </c>
      <c r="T65" s="87">
        <f t="shared" si="93"/>
        <v>105110654</v>
      </c>
      <c r="U65" s="87">
        <f t="shared" si="93"/>
        <v>108265948</v>
      </c>
      <c r="V65" s="87">
        <f t="shared" si="93"/>
        <v>109806573</v>
      </c>
      <c r="W65" s="87">
        <f t="shared" si="93"/>
        <v>96724322.099999994</v>
      </c>
      <c r="X65" s="87">
        <f t="shared" si="93"/>
        <v>94866307</v>
      </c>
      <c r="Y65" s="87">
        <f t="shared" si="93"/>
        <v>96874394</v>
      </c>
      <c r="Z65" s="87">
        <f t="shared" si="93"/>
        <v>84244327</v>
      </c>
      <c r="AA65" s="87">
        <f t="shared" si="93"/>
        <v>112346620</v>
      </c>
      <c r="AB65" s="87">
        <f t="shared" si="93"/>
        <v>50801494</v>
      </c>
      <c r="AC65" s="87">
        <f t="shared" si="93"/>
        <v>85186767</v>
      </c>
      <c r="AD65" s="87">
        <f t="shared" si="93"/>
        <v>94290468.700000003</v>
      </c>
      <c r="AE65" s="87">
        <f t="shared" si="93"/>
        <v>96665030</v>
      </c>
      <c r="AF65" s="87">
        <f t="shared" si="93"/>
        <v>111403127</v>
      </c>
      <c r="AG65" s="87">
        <f t="shared" si="93"/>
        <v>106051211</v>
      </c>
      <c r="AH65" s="87">
        <f t="shared" si="93"/>
        <v>114673513</v>
      </c>
      <c r="AI65" s="87">
        <f t="shared" si="93"/>
        <v>105106440</v>
      </c>
      <c r="AJ65" s="87">
        <f t="shared" ref="AJ65:BJ65" si="94">+AJ27</f>
        <v>69778498</v>
      </c>
      <c r="AK65" s="87">
        <f t="shared" si="94"/>
        <v>120928612.40000001</v>
      </c>
      <c r="AL65" s="87">
        <f t="shared" si="94"/>
        <v>91160220</v>
      </c>
      <c r="AM65" s="87">
        <f t="shared" si="94"/>
        <v>84926008</v>
      </c>
      <c r="AN65" s="87">
        <f t="shared" si="94"/>
        <v>81012090</v>
      </c>
      <c r="AO65" s="87">
        <f t="shared" si="94"/>
        <v>85726323</v>
      </c>
      <c r="AP65" s="87">
        <f t="shared" si="94"/>
        <v>71350428</v>
      </c>
      <c r="AQ65" s="87">
        <f t="shared" si="94"/>
        <v>86976917</v>
      </c>
      <c r="AR65" s="87">
        <f t="shared" si="94"/>
        <v>99783323</v>
      </c>
      <c r="AS65" s="87">
        <f t="shared" si="94"/>
        <v>98663196</v>
      </c>
      <c r="AT65" s="87">
        <f t="shared" si="94"/>
        <v>102858299</v>
      </c>
      <c r="AU65" s="87">
        <f t="shared" si="94"/>
        <v>88364839</v>
      </c>
      <c r="AV65" s="87">
        <f t="shared" si="94"/>
        <v>85688222.716237277</v>
      </c>
      <c r="AW65" s="87">
        <f t="shared" si="94"/>
        <v>83961913.884668529</v>
      </c>
      <c r="AX65" s="87">
        <f t="shared" si="94"/>
        <v>88463159.829218939</v>
      </c>
      <c r="AY65" s="87">
        <f t="shared" si="94"/>
        <v>79423268.344595075</v>
      </c>
      <c r="AZ65" s="87">
        <f t="shared" si="94"/>
        <v>83175188.403440759</v>
      </c>
      <c r="BA65" s="87">
        <f t="shared" si="94"/>
        <v>86735284.633053958</v>
      </c>
      <c r="BB65" s="87">
        <f t="shared" si="94"/>
        <v>93247060.641321868</v>
      </c>
      <c r="BC65" s="87">
        <f t="shared" si="94"/>
        <v>97836095.436305955</v>
      </c>
      <c r="BD65" s="87">
        <f t="shared" si="94"/>
        <v>103752963.75649156</v>
      </c>
      <c r="BE65" s="87">
        <f t="shared" si="94"/>
        <v>102347189.25692093</v>
      </c>
      <c r="BF65" s="87">
        <f t="shared" si="94"/>
        <v>98368052.772272438</v>
      </c>
      <c r="BG65" s="87">
        <f t="shared" si="94"/>
        <v>94567086.487890512</v>
      </c>
      <c r="BH65" s="87">
        <f t="shared" si="94"/>
        <v>88235436.372101769</v>
      </c>
      <c r="BI65" s="87">
        <f t="shared" si="94"/>
        <v>86463760.310069621</v>
      </c>
      <c r="BJ65" s="87">
        <f t="shared" si="94"/>
        <v>89132027.692243785</v>
      </c>
    </row>
    <row r="66" spans="1:62" x14ac:dyDescent="0.35">
      <c r="A66" s="35" t="s">
        <v>31</v>
      </c>
      <c r="B66" s="33"/>
      <c r="C66" s="33"/>
      <c r="D66" s="37">
        <f>SUM(D61:D65)</f>
        <v>2499758324</v>
      </c>
      <c r="E66" s="37">
        <f t="shared" ref="E66:AW66" si="95">SUM(E61:E65)</f>
        <v>1985896392</v>
      </c>
      <c r="F66" s="37">
        <f t="shared" si="95"/>
        <v>1834449295</v>
      </c>
      <c r="G66" s="37">
        <f t="shared" si="95"/>
        <v>2235195660</v>
      </c>
      <c r="H66" s="37">
        <f t="shared" si="95"/>
        <v>2577497445</v>
      </c>
      <c r="I66" s="37">
        <f t="shared" si="95"/>
        <v>2692344190</v>
      </c>
      <c r="J66" s="37">
        <f t="shared" si="95"/>
        <v>2586049727</v>
      </c>
      <c r="K66" s="37">
        <f t="shared" si="95"/>
        <v>2259393157</v>
      </c>
      <c r="L66" s="37">
        <f t="shared" si="95"/>
        <v>2029584453</v>
      </c>
      <c r="M66" s="37">
        <f t="shared" si="95"/>
        <v>2424244506</v>
      </c>
      <c r="N66" s="37">
        <f t="shared" si="95"/>
        <v>2601956425</v>
      </c>
      <c r="O66" s="37">
        <f t="shared" si="95"/>
        <v>2559780622</v>
      </c>
      <c r="P66" s="37">
        <f t="shared" si="95"/>
        <v>2267199627</v>
      </c>
      <c r="Q66" s="37">
        <f t="shared" si="95"/>
        <v>1885945876</v>
      </c>
      <c r="R66" s="37">
        <f t="shared" si="95"/>
        <v>1727181444</v>
      </c>
      <c r="S66" s="37">
        <f t="shared" si="95"/>
        <v>2140133354</v>
      </c>
      <c r="T66" s="37">
        <f t="shared" si="95"/>
        <v>2668776772</v>
      </c>
      <c r="U66" s="37">
        <f t="shared" si="95"/>
        <v>2588323933</v>
      </c>
      <c r="V66" s="37">
        <f t="shared" si="95"/>
        <v>2539356884</v>
      </c>
      <c r="W66" s="37">
        <f t="shared" si="95"/>
        <v>1880855467.2</v>
      </c>
      <c r="X66" s="37">
        <f t="shared" si="95"/>
        <v>1919414791</v>
      </c>
      <c r="Y66" s="37">
        <f t="shared" si="95"/>
        <v>2285505311</v>
      </c>
      <c r="Z66" s="37">
        <f t="shared" si="95"/>
        <v>2701293080</v>
      </c>
      <c r="AA66" s="37">
        <f t="shared" si="95"/>
        <v>2762895596</v>
      </c>
      <c r="AB66" s="37">
        <f t="shared" si="95"/>
        <v>2269212350</v>
      </c>
      <c r="AC66" s="37">
        <f t="shared" si="95"/>
        <v>1797926430</v>
      </c>
      <c r="AD66" s="37">
        <f t="shared" si="95"/>
        <v>1767390312.4000001</v>
      </c>
      <c r="AE66" s="37">
        <f t="shared" si="95"/>
        <v>2241761426</v>
      </c>
      <c r="AF66" s="37">
        <f t="shared" si="95"/>
        <v>2630416326</v>
      </c>
      <c r="AG66" s="37">
        <f t="shared" si="95"/>
        <v>2620993183</v>
      </c>
      <c r="AH66" s="37">
        <f t="shared" si="95"/>
        <v>2624842936</v>
      </c>
      <c r="AI66" s="37">
        <f t="shared" si="95"/>
        <v>2051802732</v>
      </c>
      <c r="AJ66" s="37">
        <f t="shared" si="95"/>
        <v>1844617502</v>
      </c>
      <c r="AK66" s="37">
        <f t="shared" si="95"/>
        <v>2260152185.5</v>
      </c>
      <c r="AL66" s="37">
        <f t="shared" si="95"/>
        <v>2604429573</v>
      </c>
      <c r="AM66" s="37">
        <f t="shared" si="95"/>
        <v>2650772070</v>
      </c>
      <c r="AN66" s="37">
        <f t="shared" si="95"/>
        <v>2252800721</v>
      </c>
      <c r="AO66" s="37">
        <f t="shared" si="95"/>
        <v>1950515267</v>
      </c>
      <c r="AP66" s="37">
        <f t="shared" si="95"/>
        <v>1874510202</v>
      </c>
      <c r="AQ66" s="37">
        <f t="shared" si="95"/>
        <v>2238886497</v>
      </c>
      <c r="AR66" s="37">
        <f t="shared" si="95"/>
        <v>2787735127</v>
      </c>
      <c r="AS66" s="37">
        <f t="shared" si="95"/>
        <v>2711689501</v>
      </c>
      <c r="AT66" s="37">
        <f t="shared" si="95"/>
        <v>2418184647</v>
      </c>
      <c r="AU66" s="37">
        <f t="shared" si="95"/>
        <v>1914968383</v>
      </c>
      <c r="AV66" s="37">
        <f t="shared" si="95"/>
        <v>1851493382.2553334</v>
      </c>
      <c r="AW66" s="37">
        <f t="shared" si="95"/>
        <v>2320086513.87956</v>
      </c>
      <c r="AX66" s="37">
        <f t="shared" ref="AX66:AY66" si="96">SUM(AX61:AX65)</f>
        <v>2713064456.4976673</v>
      </c>
      <c r="AY66" s="37">
        <f t="shared" si="96"/>
        <v>2483221712.2273397</v>
      </c>
      <c r="AZ66" s="37">
        <f t="shared" ref="AZ66:BA66" si="97">SUM(AZ61:AZ65)</f>
        <v>2192609148.1315584</v>
      </c>
      <c r="BA66" s="37">
        <f t="shared" si="97"/>
        <v>1880135382.0858665</v>
      </c>
      <c r="BB66" s="37">
        <f t="shared" ref="BB66:BC66" si="98">SUM(BB61:BB65)</f>
        <v>1743103936.3575506</v>
      </c>
      <c r="BC66" s="37">
        <f t="shared" si="98"/>
        <v>2102666020.8558388</v>
      </c>
      <c r="BD66" s="37">
        <f t="shared" ref="BD66:BE66" si="99">SUM(BD61:BD65)</f>
        <v>2493626217.4523525</v>
      </c>
      <c r="BE66" s="37">
        <f t="shared" si="99"/>
        <v>2497318281.8865676</v>
      </c>
      <c r="BF66" s="37">
        <f t="shared" ref="BF66:BG66" si="100">SUM(BF61:BF65)</f>
        <v>2383665870.5936551</v>
      </c>
      <c r="BG66" s="37">
        <f t="shared" si="100"/>
        <v>1892136893.0098836</v>
      </c>
      <c r="BH66" s="37">
        <f t="shared" ref="BH66:BI66" si="101">SUM(BH61:BH65)</f>
        <v>1852378961.4661479</v>
      </c>
      <c r="BI66" s="37">
        <f t="shared" si="101"/>
        <v>2310875960.0931334</v>
      </c>
      <c r="BJ66" s="37">
        <f t="shared" ref="BJ66" si="102">SUM(BJ61:BJ65)</f>
        <v>2722717277.7624135</v>
      </c>
    </row>
    <row r="67" spans="1:62" x14ac:dyDescent="0.35">
      <c r="B67" s="41"/>
      <c r="C67" s="41"/>
      <c r="O67" s="88"/>
    </row>
    <row r="68" spans="1:62" x14ac:dyDescent="0.35">
      <c r="A68" s="29" t="s">
        <v>62</v>
      </c>
      <c r="B68" s="41"/>
      <c r="C68" s="41"/>
      <c r="D68" s="88"/>
    </row>
    <row r="69" spans="1:62" x14ac:dyDescent="0.35">
      <c r="A69" s="40" t="s">
        <v>33</v>
      </c>
      <c r="B69" s="41"/>
      <c r="C69" s="41"/>
      <c r="D69" s="49">
        <f>IF(D51="","",+(D51-D58)+(D58*D61/D66))</f>
        <v>0</v>
      </c>
      <c r="E69" s="49">
        <f t="shared" ref="E69:AW69" si="103">IF(E51="","",+(E51-E58)+(E58*E61/E66))</f>
        <v>0</v>
      </c>
      <c r="F69" s="49">
        <f t="shared" si="103"/>
        <v>28636.335868779192</v>
      </c>
      <c r="G69" s="49">
        <f t="shared" si="103"/>
        <v>344669.92129031231</v>
      </c>
      <c r="H69" s="49">
        <f t="shared" si="103"/>
        <v>437739.69493695599</v>
      </c>
      <c r="I69" s="52">
        <f t="shared" si="103"/>
        <v>461093.89388914994</v>
      </c>
      <c r="J69" s="49">
        <f t="shared" si="103"/>
        <v>425531.99443758972</v>
      </c>
      <c r="K69" s="49">
        <f t="shared" si="103"/>
        <v>350101.97926152864</v>
      </c>
      <c r="L69" s="49">
        <f t="shared" si="103"/>
        <v>315194.78964232601</v>
      </c>
      <c r="M69" s="49">
        <f t="shared" si="103"/>
        <v>423499.84124645527</v>
      </c>
      <c r="N69" s="49">
        <f t="shared" si="103"/>
        <v>467459.76087976695</v>
      </c>
      <c r="O69" s="49">
        <f t="shared" si="103"/>
        <v>474323.05163473397</v>
      </c>
      <c r="P69" s="49">
        <f t="shared" si="103"/>
        <v>428810.25716296653</v>
      </c>
      <c r="Q69" s="49">
        <f t="shared" si="103"/>
        <v>339346.33491655142</v>
      </c>
      <c r="R69" s="49">
        <f t="shared" si="103"/>
        <v>302925.05162387801</v>
      </c>
      <c r="S69" s="49">
        <f t="shared" si="103"/>
        <v>399589.74786578171</v>
      </c>
      <c r="T69" s="49">
        <f t="shared" si="103"/>
        <v>536049.73122413771</v>
      </c>
      <c r="U69" s="49">
        <f t="shared" si="103"/>
        <v>503311.04413038632</v>
      </c>
      <c r="V69" s="49">
        <f t="shared" si="103"/>
        <v>453730.11803544633</v>
      </c>
      <c r="W69" s="49">
        <f t="shared" si="103"/>
        <v>307694.93026905361</v>
      </c>
      <c r="X69" s="49">
        <f t="shared" si="103"/>
        <v>328619.27667869348</v>
      </c>
      <c r="Y69" s="49">
        <f t="shared" si="103"/>
        <v>435339.54516653361</v>
      </c>
      <c r="Z69" s="49">
        <f t="shared" si="103"/>
        <v>565868.64496161381</v>
      </c>
      <c r="AA69" s="49">
        <f t="shared" si="103"/>
        <v>1375644.4768897495</v>
      </c>
      <c r="AB69" s="49">
        <f t="shared" si="103"/>
        <v>1787809.7846895901</v>
      </c>
      <c r="AC69" s="49">
        <f t="shared" si="103"/>
        <v>1208966.210998087</v>
      </c>
      <c r="AD69" s="49">
        <f t="shared" si="103"/>
        <v>1135096.7258818494</v>
      </c>
      <c r="AE69" s="49">
        <f t="shared" si="103"/>
        <v>1483131.5421443433</v>
      </c>
      <c r="AF69" s="49">
        <f t="shared" si="103"/>
        <v>1957827.6512690852</v>
      </c>
      <c r="AG69" s="49">
        <f t="shared" si="103"/>
        <v>1996815.833049651</v>
      </c>
      <c r="AH69" s="49">
        <f t="shared" si="103"/>
        <v>1962236.8311878431</v>
      </c>
      <c r="AI69" s="49">
        <f t="shared" si="103"/>
        <v>1361448.9893388003</v>
      </c>
      <c r="AJ69" s="49">
        <f t="shared" si="103"/>
        <v>1278047.5437683114</v>
      </c>
      <c r="AK69" s="49">
        <f t="shared" si="103"/>
        <v>1599362.0545714868</v>
      </c>
      <c r="AL69" s="49">
        <f t="shared" si="103"/>
        <v>2061688.4651608262</v>
      </c>
      <c r="AM69" s="49">
        <f t="shared" si="103"/>
        <v>1660014.398272939</v>
      </c>
      <c r="AN69" s="49">
        <f t="shared" si="103"/>
        <v>727343.38262135477</v>
      </c>
      <c r="AO69" s="49">
        <f t="shared" si="103"/>
        <v>558489.16557480057</v>
      </c>
      <c r="AP69" s="49">
        <f t="shared" si="103"/>
        <v>521512.93435668247</v>
      </c>
      <c r="AQ69" s="49">
        <f t="shared" si="103"/>
        <v>661161.70778882992</v>
      </c>
      <c r="AR69" s="49">
        <f t="shared" si="103"/>
        <v>907955.1483625297</v>
      </c>
      <c r="AS69" s="49">
        <f t="shared" si="103"/>
        <v>865613.78677226591</v>
      </c>
      <c r="AT69" s="49">
        <f t="shared" si="103"/>
        <v>722180.00996221579</v>
      </c>
      <c r="AU69" s="49">
        <f t="shared" si="103"/>
        <v>521401.47348380275</v>
      </c>
      <c r="AV69" s="49">
        <f t="shared" si="103"/>
        <v>510012.15674883407</v>
      </c>
      <c r="AW69" s="49">
        <f t="shared" si="103"/>
        <v>730768.62713599822</v>
      </c>
      <c r="AX69" s="49">
        <f t="shared" ref="AX69:AY69" si="104">IF(AX51="","",+(AX51-AX58)+(AX58*AX61/AX66))</f>
        <v>902154.9870620399</v>
      </c>
      <c r="AY69" s="49" t="str">
        <f t="shared" si="104"/>
        <v/>
      </c>
      <c r="AZ69" s="49" t="str">
        <f t="shared" ref="AZ69:BA69" si="105">IF(AZ51="","",+(AZ51-AZ58)+(AZ58*AZ61/AZ66))</f>
        <v/>
      </c>
      <c r="BA69" s="49" t="str">
        <f t="shared" si="105"/>
        <v/>
      </c>
      <c r="BB69" s="49" t="str">
        <f t="shared" ref="BB69:BC69" si="106">IF(BB51="","",+(BB51-BB58)+(BB58*BB61/BB66))</f>
        <v/>
      </c>
      <c r="BC69" s="49" t="str">
        <f t="shared" si="106"/>
        <v/>
      </c>
      <c r="BD69" s="49" t="str">
        <f t="shared" ref="BD69:BE69" si="107">IF(BD51="","",+(BD51-BD58)+(BD58*BD61/BD66))</f>
        <v/>
      </c>
      <c r="BE69" s="49" t="str">
        <f t="shared" si="107"/>
        <v/>
      </c>
      <c r="BF69" s="49" t="str">
        <f t="shared" ref="BF69:BG69" si="108">IF(BF51="","",+(BF51-BF58)+(BF58*BF61/BF66))</f>
        <v/>
      </c>
      <c r="BG69" s="49" t="str">
        <f t="shared" si="108"/>
        <v/>
      </c>
      <c r="BH69" s="49" t="str">
        <f t="shared" ref="BH69:BI69" si="109">IF(BH51="","",+(BH51-BH58)+(BH58*BH61/BH66))</f>
        <v/>
      </c>
      <c r="BI69" s="49" t="str">
        <f t="shared" si="109"/>
        <v/>
      </c>
      <c r="BJ69" s="49" t="str">
        <f t="shared" ref="BJ69" si="110">IF(BJ51="","",+(BJ51-BJ58)+(BJ58*BJ61/BJ66))</f>
        <v/>
      </c>
    </row>
    <row r="70" spans="1:62" x14ac:dyDescent="0.35">
      <c r="A70" s="40" t="s">
        <v>34</v>
      </c>
      <c r="B70" s="41"/>
      <c r="C70" s="41"/>
      <c r="D70" s="49">
        <f>IF(D52="","",+D52+(D58*D62/D66))</f>
        <v>0</v>
      </c>
      <c r="E70" s="49">
        <f t="shared" ref="E70:AW70" si="111">IF(E52="","",+E52+(E58*E62/E66))</f>
        <v>0</v>
      </c>
      <c r="F70" s="49">
        <f t="shared" si="111"/>
        <v>4662.874879564878</v>
      </c>
      <c r="G70" s="49">
        <f>IF(G52="","",+G52+(G58*G62/G66))</f>
        <v>60575.806014450071</v>
      </c>
      <c r="H70" s="49">
        <f t="shared" si="111"/>
        <v>69235.226705339766</v>
      </c>
      <c r="I70" s="49">
        <f t="shared" si="111"/>
        <v>71132.268141530934</v>
      </c>
      <c r="J70" s="49">
        <f t="shared" si="111"/>
        <v>68766.003213137257</v>
      </c>
      <c r="K70" s="49">
        <f t="shared" si="111"/>
        <v>61936.863591354115</v>
      </c>
      <c r="L70" s="49">
        <f t="shared" si="111"/>
        <v>55314.675500358826</v>
      </c>
      <c r="M70" s="49">
        <f t="shared" si="111"/>
        <v>64772.869833744619</v>
      </c>
      <c r="N70" s="49">
        <f t="shared" si="111"/>
        <v>69020.979330338465</v>
      </c>
      <c r="O70" s="49">
        <f t="shared" si="111"/>
        <v>72477.677451482814</v>
      </c>
      <c r="P70" s="49">
        <f t="shared" si="111"/>
        <v>71928.028717536567</v>
      </c>
      <c r="Q70" s="49">
        <f t="shared" si="111"/>
        <v>55453.451619799707</v>
      </c>
      <c r="R70" s="49">
        <f t="shared" si="111"/>
        <v>50391.746026202469</v>
      </c>
      <c r="S70" s="49">
        <f t="shared" si="111"/>
        <v>63389.498728401399</v>
      </c>
      <c r="T70" s="49">
        <f t="shared" si="111"/>
        <v>78881.855890584935</v>
      </c>
      <c r="U70" s="49">
        <f t="shared" si="111"/>
        <v>76955.02703194521</v>
      </c>
      <c r="V70" s="49">
        <f t="shared" si="111"/>
        <v>73755.388306573834</v>
      </c>
      <c r="W70" s="49">
        <f t="shared" si="111"/>
        <v>59772.834718849517</v>
      </c>
      <c r="X70" s="49">
        <f t="shared" si="111"/>
        <v>59572.876185864705</v>
      </c>
      <c r="Y70" s="49">
        <f t="shared" si="111"/>
        <v>68599.470346323797</v>
      </c>
      <c r="Z70" s="49">
        <f t="shared" si="111"/>
        <v>81564.73791205966</v>
      </c>
      <c r="AA70" s="49">
        <f t="shared" si="111"/>
        <v>242664.75286538465</v>
      </c>
      <c r="AB70" s="49">
        <f t="shared" si="111"/>
        <v>375919.83719992841</v>
      </c>
      <c r="AC70" s="49">
        <f t="shared" si="111"/>
        <v>300075.62636462261</v>
      </c>
      <c r="AD70" s="49">
        <f t="shared" si="111"/>
        <v>293923.98139317043</v>
      </c>
      <c r="AE70" s="49">
        <f t="shared" si="111"/>
        <v>350815.31218641665</v>
      </c>
      <c r="AF70" s="49">
        <f t="shared" si="111"/>
        <v>415012.49945076351</v>
      </c>
      <c r="AG70" s="49">
        <f t="shared" si="111"/>
        <v>415043.37829811877</v>
      </c>
      <c r="AH70" s="49">
        <f t="shared" si="111"/>
        <v>419425.17682734353</v>
      </c>
      <c r="AI70" s="49">
        <f t="shared" si="111"/>
        <v>350351.57477839955</v>
      </c>
      <c r="AJ70" s="49">
        <f t="shared" si="111"/>
        <v>312397.32107489841</v>
      </c>
      <c r="AK70" s="49">
        <f t="shared" si="111"/>
        <v>355639.37645809754</v>
      </c>
      <c r="AL70" s="49">
        <f t="shared" si="111"/>
        <v>419510.42236398638</v>
      </c>
      <c r="AM70" s="49">
        <f t="shared" si="111"/>
        <v>345889.73802590865</v>
      </c>
      <c r="AN70" s="49">
        <f t="shared" si="111"/>
        <v>199586.56344967708</v>
      </c>
      <c r="AO70" s="49">
        <f t="shared" si="111"/>
        <v>176831.15319493209</v>
      </c>
      <c r="AP70" s="49">
        <f t="shared" si="111"/>
        <v>171543.19774187819</v>
      </c>
      <c r="AQ70" s="49">
        <f t="shared" si="111"/>
        <v>199615.15184616181</v>
      </c>
      <c r="AR70" s="49">
        <f t="shared" si="111"/>
        <v>238634.42662698543</v>
      </c>
      <c r="AS70" s="49">
        <f t="shared" si="111"/>
        <v>233703.41244781748</v>
      </c>
      <c r="AT70" s="49">
        <f t="shared" si="111"/>
        <v>214332.64423371092</v>
      </c>
      <c r="AU70" s="49">
        <f t="shared" si="111"/>
        <v>176304.098950004</v>
      </c>
      <c r="AV70" s="49">
        <f t="shared" si="111"/>
        <v>163092.23156527209</v>
      </c>
      <c r="AW70" s="49">
        <f t="shared" si="111"/>
        <v>197048.25495423991</v>
      </c>
      <c r="AX70" s="49">
        <f t="shared" ref="AX70:AY70" si="112">IF(AX52="","",+AX52+(AX58*AX62/AX66))</f>
        <v>232324.50873144556</v>
      </c>
      <c r="AY70" s="49" t="str">
        <f t="shared" si="112"/>
        <v/>
      </c>
      <c r="AZ70" s="49" t="str">
        <f t="shared" ref="AZ70:BA70" si="113">IF(AZ52="","",+AZ52+(AZ58*AZ62/AZ66))</f>
        <v/>
      </c>
      <c r="BA70" s="49" t="str">
        <f t="shared" si="113"/>
        <v/>
      </c>
      <c r="BB70" s="49" t="str">
        <f t="shared" ref="BB70:BC70" si="114">IF(BB52="","",+BB52+(BB58*BB62/BB66))</f>
        <v/>
      </c>
      <c r="BC70" s="49" t="str">
        <f t="shared" si="114"/>
        <v/>
      </c>
      <c r="BD70" s="49" t="str">
        <f t="shared" ref="BD70:BE70" si="115">IF(BD52="","",+BD52+(BD58*BD62/BD66))</f>
        <v/>
      </c>
      <c r="BE70" s="49" t="str">
        <f t="shared" si="115"/>
        <v/>
      </c>
      <c r="BF70" s="49" t="str">
        <f t="shared" ref="BF70:BG70" si="116">IF(BF52="","",+BF52+(BF58*BF62/BF66))</f>
        <v/>
      </c>
      <c r="BG70" s="49" t="str">
        <f t="shared" si="116"/>
        <v/>
      </c>
      <c r="BH70" s="49" t="str">
        <f t="shared" ref="BH70:BI70" si="117">IF(BH52="","",+BH52+(BH58*BH62/BH66))</f>
        <v/>
      </c>
      <c r="BI70" s="49" t="str">
        <f t="shared" si="117"/>
        <v/>
      </c>
      <c r="BJ70" s="49" t="str">
        <f t="shared" ref="BJ70" si="118">IF(BJ52="","",+BJ52+(BJ58*BJ62/BJ66))</f>
        <v/>
      </c>
    </row>
    <row r="71" spans="1:62" x14ac:dyDescent="0.35">
      <c r="A71" s="40" t="s">
        <v>35</v>
      </c>
      <c r="B71" s="41"/>
      <c r="C71" s="41"/>
      <c r="D71" s="49">
        <f>IF(D53="","",+D53+(D58*D63/D66))</f>
        <v>0</v>
      </c>
      <c r="E71" s="49">
        <f t="shared" ref="E71:AW71" si="119">IF(E53="","",+E53+(E58*E63/E66))</f>
        <v>0</v>
      </c>
      <c r="F71" s="49">
        <f t="shared" si="119"/>
        <v>6753.6701978728988</v>
      </c>
      <c r="G71" s="49">
        <f>IF(G53="","",+G53+(G58*G63/G66))</f>
        <v>107151.44580605239</v>
      </c>
      <c r="H71" s="49">
        <f t="shared" si="119"/>
        <v>115634.5208649429</v>
      </c>
      <c r="I71" s="49">
        <f t="shared" si="119"/>
        <v>118331.81312804784</v>
      </c>
      <c r="J71" s="49">
        <f t="shared" si="119"/>
        <v>119601.33814288217</v>
      </c>
      <c r="K71" s="49">
        <f t="shared" si="119"/>
        <v>109968.9574924099</v>
      </c>
      <c r="L71" s="49">
        <f t="shared" si="119"/>
        <v>96533.881711475129</v>
      </c>
      <c r="M71" s="49">
        <f t="shared" si="119"/>
        <v>104142.56971532079</v>
      </c>
      <c r="N71" s="49">
        <f t="shared" si="119"/>
        <v>107611.86637282498</v>
      </c>
      <c r="O71" s="49">
        <f t="shared" si="119"/>
        <v>104313.87773241718</v>
      </c>
      <c r="P71" s="49">
        <f t="shared" si="119"/>
        <v>98420.974410363575</v>
      </c>
      <c r="Q71" s="49">
        <f t="shared" si="119"/>
        <v>84560.155028366615</v>
      </c>
      <c r="R71" s="49">
        <f t="shared" si="119"/>
        <v>79147.524446379844</v>
      </c>
      <c r="S71" s="49">
        <f t="shared" si="119"/>
        <v>94049.927973792379</v>
      </c>
      <c r="T71" s="49">
        <f t="shared" si="119"/>
        <v>109708.48677351972</v>
      </c>
      <c r="U71" s="49">
        <f t="shared" si="119"/>
        <v>109463.73998502946</v>
      </c>
      <c r="V71" s="49">
        <f t="shared" si="119"/>
        <v>109154.24836711264</v>
      </c>
      <c r="W71" s="49">
        <f t="shared" si="119"/>
        <v>93111.170115006884</v>
      </c>
      <c r="X71" s="49">
        <f t="shared" si="119"/>
        <v>90314.439841834988</v>
      </c>
      <c r="Y71" s="49">
        <f t="shared" si="119"/>
        <v>96572.606390330679</v>
      </c>
      <c r="Z71" s="49">
        <f t="shared" si="119"/>
        <v>102973.56100695563</v>
      </c>
      <c r="AA71" s="49">
        <f t="shared" si="119"/>
        <v>317054.12799449282</v>
      </c>
      <c r="AB71" s="49">
        <f t="shared" si="119"/>
        <v>555274.69988765684</v>
      </c>
      <c r="AC71" s="49">
        <f t="shared" si="119"/>
        <v>496959.09444564459</v>
      </c>
      <c r="AD71" s="49">
        <f t="shared" si="119"/>
        <v>507462.60422851134</v>
      </c>
      <c r="AE71" s="49">
        <f t="shared" si="119"/>
        <v>564396.00989380945</v>
      </c>
      <c r="AF71" s="49">
        <f t="shared" si="119"/>
        <v>660447.26760719228</v>
      </c>
      <c r="AG71" s="49">
        <f t="shared" si="119"/>
        <v>654260.67532357096</v>
      </c>
      <c r="AH71" s="49">
        <f t="shared" si="119"/>
        <v>666957.41235823918</v>
      </c>
      <c r="AI71" s="49">
        <f t="shared" si="119"/>
        <v>587413.62430156593</v>
      </c>
      <c r="AJ71" s="49">
        <f t="shared" si="119"/>
        <v>519976.82051891321</v>
      </c>
      <c r="AK71" s="49">
        <f t="shared" si="119"/>
        <v>567613.70409043762</v>
      </c>
      <c r="AL71" s="49">
        <f t="shared" si="119"/>
        <v>605915.85091646248</v>
      </c>
      <c r="AM71" s="49">
        <f t="shared" si="119"/>
        <v>491377.50787101442</v>
      </c>
      <c r="AN71" s="49">
        <f t="shared" si="119"/>
        <v>295776.31891815155</v>
      </c>
      <c r="AO71" s="49">
        <f t="shared" si="119"/>
        <v>275370.89343587006</v>
      </c>
      <c r="AP71" s="49">
        <f t="shared" si="119"/>
        <v>285530.13328453153</v>
      </c>
      <c r="AQ71" s="49">
        <f t="shared" si="119"/>
        <v>320626.18147462484</v>
      </c>
      <c r="AR71" s="49">
        <f t="shared" si="119"/>
        <v>359045.8467287785</v>
      </c>
      <c r="AS71" s="49">
        <f t="shared" si="119"/>
        <v>356393.75583709526</v>
      </c>
      <c r="AT71" s="49">
        <f t="shared" si="119"/>
        <v>340966.67570072628</v>
      </c>
      <c r="AU71" s="49">
        <f t="shared" si="119"/>
        <v>293032.69252515415</v>
      </c>
      <c r="AV71" s="49">
        <f t="shared" si="119"/>
        <v>277209.1284607214</v>
      </c>
      <c r="AW71" s="49">
        <f t="shared" si="119"/>
        <v>306624.58238682727</v>
      </c>
      <c r="AX71" s="49">
        <f t="shared" ref="AX71:AY71" si="120">IF(AX53="","",+AX53+(AX58*AX63/AX66))</f>
        <v>335114.71416967508</v>
      </c>
      <c r="AY71" s="49" t="str">
        <f t="shared" si="120"/>
        <v/>
      </c>
      <c r="AZ71" s="49" t="str">
        <f t="shared" ref="AZ71:BA71" si="121">IF(AZ53="","",+AZ53+(AZ58*AZ63/AZ66))</f>
        <v/>
      </c>
      <c r="BA71" s="49" t="str">
        <f t="shared" si="121"/>
        <v/>
      </c>
      <c r="BB71" s="49" t="str">
        <f t="shared" ref="BB71:BC71" si="122">IF(BB53="","",+BB53+(BB58*BB63/BB66))</f>
        <v/>
      </c>
      <c r="BC71" s="49" t="str">
        <f t="shared" si="122"/>
        <v/>
      </c>
      <c r="BD71" s="49" t="str">
        <f t="shared" ref="BD71:BE71" si="123">IF(BD53="","",+BD53+(BD58*BD63/BD66))</f>
        <v/>
      </c>
      <c r="BE71" s="49" t="str">
        <f t="shared" si="123"/>
        <v/>
      </c>
      <c r="BF71" s="49" t="str">
        <f t="shared" ref="BF71:BG71" si="124">IF(BF53="","",+BF53+(BF58*BF63/BF66))</f>
        <v/>
      </c>
      <c r="BG71" s="49" t="str">
        <f t="shared" si="124"/>
        <v/>
      </c>
      <c r="BH71" s="49" t="str">
        <f t="shared" ref="BH71:BI71" si="125">IF(BH53="","",+BH53+(BH58*BH63/BH66))</f>
        <v/>
      </c>
      <c r="BI71" s="49" t="str">
        <f t="shared" si="125"/>
        <v/>
      </c>
      <c r="BJ71" s="49" t="str">
        <f t="shared" ref="BJ71" si="126">IF(BJ53="","",+BJ53+(BJ58*BJ63/BJ66))</f>
        <v/>
      </c>
    </row>
    <row r="72" spans="1:62" x14ac:dyDescent="0.35">
      <c r="A72" s="40" t="s">
        <v>36</v>
      </c>
      <c r="B72" s="41"/>
      <c r="C72" s="41"/>
      <c r="D72" s="49">
        <f>IF(D54="","",+D54+(D58*D64/D66))</f>
        <v>0</v>
      </c>
      <c r="E72" s="49">
        <f t="shared" ref="E72:AW72" si="127">IF(E54="","",+E54+(E58*E64/E66))</f>
        <v>0</v>
      </c>
      <c r="F72" s="49">
        <f t="shared" si="127"/>
        <v>2381.1324731369587</v>
      </c>
      <c r="G72" s="49">
        <f>IF(G54="","",+G54+(G58*G64/G66))</f>
        <v>41080.759711289073</v>
      </c>
      <c r="H72" s="49">
        <f t="shared" si="127"/>
        <v>46620.227707662583</v>
      </c>
      <c r="I72" s="49">
        <f t="shared" si="127"/>
        <v>48915.290383093015</v>
      </c>
      <c r="J72" s="49">
        <f t="shared" si="127"/>
        <v>48689.064699160743</v>
      </c>
      <c r="K72" s="49">
        <f t="shared" si="127"/>
        <v>45154.720570269681</v>
      </c>
      <c r="L72" s="49">
        <f t="shared" si="127"/>
        <v>41515.04923810179</v>
      </c>
      <c r="M72" s="49">
        <f t="shared" si="127"/>
        <v>41594.548478057877</v>
      </c>
      <c r="N72" s="49">
        <f t="shared" si="127"/>
        <v>42743.649469302021</v>
      </c>
      <c r="O72" s="49">
        <f t="shared" si="127"/>
        <v>43471.756585125317</v>
      </c>
      <c r="P72" s="49">
        <f t="shared" si="127"/>
        <v>37573.855689531287</v>
      </c>
      <c r="Q72" s="49">
        <f t="shared" si="127"/>
        <v>36905.295455925545</v>
      </c>
      <c r="R72" s="49">
        <f t="shared" si="127"/>
        <v>34871.894488322658</v>
      </c>
      <c r="S72" s="49">
        <f t="shared" si="127"/>
        <v>40727.091457001268</v>
      </c>
      <c r="T72" s="49">
        <f t="shared" si="127"/>
        <v>42825.077518324979</v>
      </c>
      <c r="U72" s="49">
        <f t="shared" si="127"/>
        <v>44954.202556147626</v>
      </c>
      <c r="V72" s="49">
        <f t="shared" si="127"/>
        <v>45054.75137109276</v>
      </c>
      <c r="W72" s="49">
        <f t="shared" si="127"/>
        <v>40035.738044047088</v>
      </c>
      <c r="X72" s="49">
        <f t="shared" si="127"/>
        <v>39574.059026383933</v>
      </c>
      <c r="Y72" s="49">
        <f t="shared" si="127"/>
        <v>41188.257144152223</v>
      </c>
      <c r="Z72" s="49">
        <f t="shared" si="127"/>
        <v>40226.995717895465</v>
      </c>
      <c r="AA72" s="49">
        <f t="shared" si="127"/>
        <v>108585.49808616596</v>
      </c>
      <c r="AB72" s="49">
        <f t="shared" si="127"/>
        <v>181792.64072508441</v>
      </c>
      <c r="AC72" s="49">
        <f t="shared" si="127"/>
        <v>183572.05910467496</v>
      </c>
      <c r="AD72" s="49">
        <f t="shared" si="127"/>
        <v>190770.53370651661</v>
      </c>
      <c r="AE72" s="49">
        <f t="shared" si="127"/>
        <v>183881.99525765545</v>
      </c>
      <c r="AF72" s="49">
        <f t="shared" si="127"/>
        <v>245635.92921565124</v>
      </c>
      <c r="AG72" s="49">
        <f t="shared" si="127"/>
        <v>225402.14448890529</v>
      </c>
      <c r="AH72" s="49">
        <f t="shared" si="127"/>
        <v>228315.5064563354</v>
      </c>
      <c r="AI72" s="49">
        <f t="shared" si="127"/>
        <v>197613.76683715408</v>
      </c>
      <c r="AJ72" s="49">
        <f t="shared" si="127"/>
        <v>171603.607119394</v>
      </c>
      <c r="AK72" s="49">
        <f t="shared" si="127"/>
        <v>225113.97993017494</v>
      </c>
      <c r="AL72" s="49">
        <f t="shared" si="127"/>
        <v>217125.39653110137</v>
      </c>
      <c r="AM72" s="49">
        <f t="shared" si="127"/>
        <v>162221.33538769459</v>
      </c>
      <c r="AN72" s="49">
        <f t="shared" si="127"/>
        <v>84753.684454895163</v>
      </c>
      <c r="AO72" s="49">
        <f t="shared" si="127"/>
        <v>72198.807943159496</v>
      </c>
      <c r="AP72" s="49">
        <f t="shared" si="127"/>
        <v>84979.402614517516</v>
      </c>
      <c r="AQ72" s="49">
        <f t="shared" si="127"/>
        <v>96900.261492082005</v>
      </c>
      <c r="AR72" s="49">
        <f t="shared" si="127"/>
        <v>100482.39287136923</v>
      </c>
      <c r="AS72" s="49">
        <f t="shared" si="127"/>
        <v>99567.440007197365</v>
      </c>
      <c r="AT72" s="49">
        <f t="shared" si="127"/>
        <v>97105.740111514999</v>
      </c>
      <c r="AU72" s="49">
        <f t="shared" si="127"/>
        <v>86103.564631792964</v>
      </c>
      <c r="AV72" s="49">
        <f t="shared" si="127"/>
        <v>83026.896241245355</v>
      </c>
      <c r="AW72" s="49">
        <f t="shared" si="127"/>
        <v>86082.946391183374</v>
      </c>
      <c r="AX72" s="49">
        <f t="shared" ref="AX72:AY72" si="128">IF(AX54="","",+AX54+(AX58*AX64/AX66))</f>
        <v>89218.50886108783</v>
      </c>
      <c r="AY72" s="49" t="str">
        <f t="shared" si="128"/>
        <v/>
      </c>
      <c r="AZ72" s="49" t="str">
        <f t="shared" ref="AZ72:BA72" si="129">IF(AZ54="","",+AZ54+(AZ58*AZ64/AZ66))</f>
        <v/>
      </c>
      <c r="BA72" s="49" t="str">
        <f t="shared" si="129"/>
        <v/>
      </c>
      <c r="BB72" s="49" t="str">
        <f t="shared" ref="BB72:BC72" si="130">IF(BB54="","",+BB54+(BB58*BB64/BB66))</f>
        <v/>
      </c>
      <c r="BC72" s="49" t="str">
        <f t="shared" si="130"/>
        <v/>
      </c>
      <c r="BD72" s="49" t="str">
        <f t="shared" ref="BD72:BE72" si="131">IF(BD54="","",+BD54+(BD58*BD64/BD66))</f>
        <v/>
      </c>
      <c r="BE72" s="49" t="str">
        <f t="shared" si="131"/>
        <v/>
      </c>
      <c r="BF72" s="49" t="str">
        <f t="shared" ref="BF72:BG72" si="132">IF(BF54="","",+BF54+(BF58*BF64/BF66))</f>
        <v/>
      </c>
      <c r="BG72" s="49" t="str">
        <f t="shared" si="132"/>
        <v/>
      </c>
      <c r="BH72" s="49" t="str">
        <f t="shared" ref="BH72:BI72" si="133">IF(BH54="","",+BH54+(BH58*BH64/BH66))</f>
        <v/>
      </c>
      <c r="BI72" s="49" t="str">
        <f t="shared" si="133"/>
        <v/>
      </c>
      <c r="BJ72" s="49" t="str">
        <f t="shared" ref="BJ72" si="134">IF(BJ54="","",+BJ54+(BJ58*BJ64/BJ66))</f>
        <v/>
      </c>
    </row>
    <row r="73" spans="1:62" x14ac:dyDescent="0.35">
      <c r="A73" s="40" t="s">
        <v>37</v>
      </c>
      <c r="B73" s="41"/>
      <c r="C73" s="41"/>
      <c r="D73" s="49">
        <f>IF(D55="","",+D55+(D58*D65/D66))</f>
        <v>0</v>
      </c>
      <c r="E73" s="49">
        <f t="shared" ref="E73:AW73" si="135">IF(E55="","",+E55+(E58*E65/E66))</f>
        <v>0</v>
      </c>
      <c r="F73" s="49">
        <f>IF(F55="","",+F55+(F58*F65/F66))</f>
        <v>-48.583419353926594</v>
      </c>
      <c r="G73" s="49">
        <f>IF(G55="","",+G55+(G58*G65/G66))</f>
        <v>4125.9071778961579</v>
      </c>
      <c r="H73" s="49">
        <f t="shared" si="135"/>
        <v>6806.3797850987785</v>
      </c>
      <c r="I73" s="49">
        <f t="shared" si="135"/>
        <v>7524.9044581782691</v>
      </c>
      <c r="J73" s="49">
        <f t="shared" si="135"/>
        <v>7658.4495072300715</v>
      </c>
      <c r="K73" s="49">
        <f t="shared" si="135"/>
        <v>7241.6490844376849</v>
      </c>
      <c r="L73" s="49">
        <f t="shared" si="135"/>
        <v>6323.5939077382554</v>
      </c>
      <c r="M73" s="49">
        <f t="shared" si="135"/>
        <v>5864.7707264215042</v>
      </c>
      <c r="N73" s="49">
        <f t="shared" si="135"/>
        <v>6186.9939477675571</v>
      </c>
      <c r="O73" s="49">
        <f t="shared" si="135"/>
        <v>10792.766596240668</v>
      </c>
      <c r="P73" s="49">
        <f t="shared" si="135"/>
        <v>19312.38401960209</v>
      </c>
      <c r="Q73" s="49">
        <f t="shared" si="135"/>
        <v>21254.31297935671</v>
      </c>
      <c r="R73" s="49">
        <f t="shared" si="135"/>
        <v>21637.663415217026</v>
      </c>
      <c r="S73" s="49">
        <f t="shared" si="135"/>
        <v>16834.533975023267</v>
      </c>
      <c r="T73" s="49">
        <f t="shared" si="135"/>
        <v>24355.538593432568</v>
      </c>
      <c r="U73" s="49">
        <f t="shared" si="135"/>
        <v>25113.656296491379</v>
      </c>
      <c r="V73" s="49">
        <f t="shared" si="135"/>
        <v>25507.793919774442</v>
      </c>
      <c r="W73" s="49">
        <f t="shared" si="135"/>
        <v>22463.576853042847</v>
      </c>
      <c r="X73" s="49">
        <f t="shared" si="135"/>
        <v>21960.458267222853</v>
      </c>
      <c r="Y73" s="49">
        <f t="shared" si="135"/>
        <v>22338.840952659717</v>
      </c>
      <c r="Z73" s="49">
        <f t="shared" si="135"/>
        <v>20382.980401475455</v>
      </c>
      <c r="AA73" s="49">
        <f t="shared" si="135"/>
        <v>32953.904164207008</v>
      </c>
      <c r="AB73" s="49">
        <f t="shared" si="135"/>
        <v>23500.247497740351</v>
      </c>
      <c r="AC73" s="49">
        <f t="shared" si="135"/>
        <v>40293.609086971141</v>
      </c>
      <c r="AD73" s="49">
        <f t="shared" si="135"/>
        <v>41000.534789952151</v>
      </c>
      <c r="AE73" s="49">
        <f t="shared" si="135"/>
        <v>39665.300517775315</v>
      </c>
      <c r="AF73" s="49">
        <f t="shared" si="135"/>
        <v>50592.172457307752</v>
      </c>
      <c r="AG73" s="49">
        <f t="shared" si="135"/>
        <v>48111.888839753803</v>
      </c>
      <c r="AH73" s="49">
        <f t="shared" si="135"/>
        <v>52046.073170238742</v>
      </c>
      <c r="AI73" s="49">
        <f t="shared" si="135"/>
        <v>47917.124744080225</v>
      </c>
      <c r="AJ73" s="49">
        <f t="shared" si="135"/>
        <v>31542.387518483061</v>
      </c>
      <c r="AK73" s="49">
        <f t="shared" si="135"/>
        <v>43557.154949803051</v>
      </c>
      <c r="AL73" s="49">
        <f t="shared" si="135"/>
        <v>40956.195027623748</v>
      </c>
      <c r="AM73" s="49">
        <f t="shared" si="135"/>
        <v>34081.150442443461</v>
      </c>
      <c r="AN73" s="49">
        <f t="shared" si="135"/>
        <v>5569.4805559214219</v>
      </c>
      <c r="AO73" s="49">
        <f t="shared" si="135"/>
        <v>-23801.130148762259</v>
      </c>
      <c r="AP73" s="49">
        <f t="shared" si="135"/>
        <v>4425.0020023903071</v>
      </c>
      <c r="AQ73" s="49">
        <f t="shared" si="135"/>
        <v>5427.3573983012948</v>
      </c>
      <c r="AR73" s="49">
        <f t="shared" si="135"/>
        <v>6149.5954103370386</v>
      </c>
      <c r="AS73" s="49">
        <f t="shared" si="135"/>
        <v>6063.694935624073</v>
      </c>
      <c r="AT73" s="49">
        <f t="shared" si="135"/>
        <v>6340.9099918320171</v>
      </c>
      <c r="AU73" s="49">
        <f t="shared" si="135"/>
        <v>5452.5804092461303</v>
      </c>
      <c r="AV73" s="49">
        <f t="shared" si="135"/>
        <v>4977.6083488265322</v>
      </c>
      <c r="AW73" s="49">
        <f t="shared" si="135"/>
        <v>4718.0213866088397</v>
      </c>
      <c r="AX73" s="49">
        <f t="shared" ref="AX73:AY73" si="136">IF(AX55="","",+AX55+(AX58*AX65/AX66))</f>
        <v>4896.0798129027144</v>
      </c>
      <c r="AY73" s="49" t="str">
        <f t="shared" si="136"/>
        <v/>
      </c>
      <c r="AZ73" s="49" t="str">
        <f t="shared" ref="AZ73:BA73" si="137">IF(AZ55="","",+AZ55+(AZ58*AZ65/AZ66))</f>
        <v/>
      </c>
      <c r="BA73" s="49" t="str">
        <f t="shared" si="137"/>
        <v/>
      </c>
      <c r="BB73" s="49" t="str">
        <f t="shared" ref="BB73:BC73" si="138">IF(BB55="","",+BB55+(BB58*BB65/BB66))</f>
        <v/>
      </c>
      <c r="BC73" s="49" t="str">
        <f t="shared" si="138"/>
        <v/>
      </c>
      <c r="BD73" s="49" t="str">
        <f t="shared" ref="BD73:BE73" si="139">IF(BD55="","",+BD55+(BD58*BD65/BD66))</f>
        <v/>
      </c>
      <c r="BE73" s="49" t="str">
        <f t="shared" si="139"/>
        <v/>
      </c>
      <c r="BF73" s="49" t="str">
        <f t="shared" ref="BF73:BG73" si="140">IF(BF55="","",+BF55+(BF58*BF65/BF66))</f>
        <v/>
      </c>
      <c r="BG73" s="49" t="str">
        <f t="shared" si="140"/>
        <v/>
      </c>
      <c r="BH73" s="49" t="str">
        <f t="shared" ref="BH73:BI73" si="141">IF(BH55="","",+BH55+(BH58*BH65/BH66))</f>
        <v/>
      </c>
      <c r="BI73" s="49" t="str">
        <f t="shared" si="141"/>
        <v/>
      </c>
      <c r="BJ73" s="49" t="str">
        <f t="shared" ref="BJ73" si="142">IF(BJ55="","",+BJ55+(BJ58*BJ65/BJ66))</f>
        <v/>
      </c>
    </row>
    <row r="74" spans="1:62" x14ac:dyDescent="0.35">
      <c r="A74" s="35" t="s">
        <v>31</v>
      </c>
      <c r="B74" s="33"/>
      <c r="C74" s="33"/>
      <c r="D74" s="48">
        <f>SUM(D69:D73)</f>
        <v>0</v>
      </c>
      <c r="E74" s="48">
        <f t="shared" ref="E74:AW74" si="143">SUM(E69:E73)</f>
        <v>0</v>
      </c>
      <c r="F74" s="48">
        <f t="shared" si="143"/>
        <v>42385.43</v>
      </c>
      <c r="G74" s="48">
        <f t="shared" si="143"/>
        <v>557603.83999999997</v>
      </c>
      <c r="H74" s="48">
        <f t="shared" si="143"/>
        <v>676036.05000000016</v>
      </c>
      <c r="I74" s="48">
        <f t="shared" si="143"/>
        <v>706998.17000000016</v>
      </c>
      <c r="J74" s="48">
        <f t="shared" si="143"/>
        <v>670246.85</v>
      </c>
      <c r="K74" s="48">
        <f t="shared" si="143"/>
        <v>574404.16999999993</v>
      </c>
      <c r="L74" s="48">
        <f t="shared" si="143"/>
        <v>514881.99000000005</v>
      </c>
      <c r="M74" s="48">
        <f t="shared" si="143"/>
        <v>639874.6</v>
      </c>
      <c r="N74" s="48">
        <f t="shared" si="143"/>
        <v>693023.25</v>
      </c>
      <c r="O74" s="48">
        <f t="shared" si="143"/>
        <v>705379.13</v>
      </c>
      <c r="P74" s="48">
        <f t="shared" si="143"/>
        <v>656045.50000000012</v>
      </c>
      <c r="Q74" s="48">
        <f t="shared" si="143"/>
        <v>537519.55000000005</v>
      </c>
      <c r="R74" s="48">
        <f t="shared" si="143"/>
        <v>488973.88</v>
      </c>
      <c r="S74" s="48">
        <f t="shared" si="143"/>
        <v>614590.80000000005</v>
      </c>
      <c r="T74" s="48">
        <f t="shared" si="143"/>
        <v>791820.69</v>
      </c>
      <c r="U74" s="48">
        <f t="shared" si="143"/>
        <v>759797.66999999993</v>
      </c>
      <c r="V74" s="48">
        <f t="shared" si="143"/>
        <v>707202.29999999993</v>
      </c>
      <c r="W74" s="48">
        <f t="shared" si="143"/>
        <v>523078.25</v>
      </c>
      <c r="X74" s="48">
        <f t="shared" si="143"/>
        <v>540041.10999999987</v>
      </c>
      <c r="Y74" s="48">
        <f t="shared" si="143"/>
        <v>664038.72</v>
      </c>
      <c r="Z74" s="48">
        <f t="shared" si="143"/>
        <v>811016.91999999993</v>
      </c>
      <c r="AA74" s="48">
        <f t="shared" si="143"/>
        <v>2076902.7599999998</v>
      </c>
      <c r="AB74" s="48">
        <f t="shared" si="143"/>
        <v>2924297.21</v>
      </c>
      <c r="AC74" s="48">
        <f t="shared" si="143"/>
        <v>2229866.6</v>
      </c>
      <c r="AD74" s="48">
        <f t="shared" si="143"/>
        <v>2168254.38</v>
      </c>
      <c r="AE74" s="48">
        <f t="shared" si="143"/>
        <v>2621890.16</v>
      </c>
      <c r="AF74" s="48">
        <f t="shared" si="143"/>
        <v>3329515.5199999996</v>
      </c>
      <c r="AG74" s="48">
        <f t="shared" si="143"/>
        <v>3339633.92</v>
      </c>
      <c r="AH74" s="48">
        <f t="shared" si="143"/>
        <v>3328981</v>
      </c>
      <c r="AI74" s="48">
        <f t="shared" si="143"/>
        <v>2544745.0799999996</v>
      </c>
      <c r="AJ74" s="48">
        <f t="shared" si="143"/>
        <v>2313567.6800000002</v>
      </c>
      <c r="AK74" s="48">
        <f t="shared" si="143"/>
        <v>2791286.27</v>
      </c>
      <c r="AL74" s="48">
        <f t="shared" si="143"/>
        <v>3345196.33</v>
      </c>
      <c r="AM74" s="48">
        <f t="shared" si="143"/>
        <v>2693584.13</v>
      </c>
      <c r="AN74" s="48">
        <f t="shared" si="143"/>
        <v>1313029.4299999997</v>
      </c>
      <c r="AO74" s="48">
        <f t="shared" si="143"/>
        <v>1059088.8899999999</v>
      </c>
      <c r="AP74" s="48">
        <f t="shared" si="143"/>
        <v>1067990.6700000002</v>
      </c>
      <c r="AQ74" s="48">
        <f t="shared" si="143"/>
        <v>1283730.6599999999</v>
      </c>
      <c r="AR74" s="48">
        <f t="shared" si="143"/>
        <v>1612267.4099999997</v>
      </c>
      <c r="AS74" s="48">
        <f t="shared" si="143"/>
        <v>1561342.09</v>
      </c>
      <c r="AT74" s="48">
        <f t="shared" si="143"/>
        <v>1380925.98</v>
      </c>
      <c r="AU74" s="48">
        <f t="shared" si="143"/>
        <v>1082294.4099999999</v>
      </c>
      <c r="AV74" s="48">
        <f t="shared" si="143"/>
        <v>1038318.0213648995</v>
      </c>
      <c r="AW74" s="48">
        <f t="shared" si="143"/>
        <v>1325242.4322548578</v>
      </c>
      <c r="AX74" s="48">
        <f t="shared" ref="AX74:AY74" si="144">SUM(AX69:AX73)</f>
        <v>1563708.798637151</v>
      </c>
      <c r="AY74" s="48">
        <f t="shared" si="144"/>
        <v>0</v>
      </c>
      <c r="AZ74" s="48">
        <f t="shared" ref="AZ74:BA74" si="145">SUM(AZ69:AZ73)</f>
        <v>0</v>
      </c>
      <c r="BA74" s="48">
        <f t="shared" si="145"/>
        <v>0</v>
      </c>
      <c r="BB74" s="48">
        <f t="shared" ref="BB74:BC74" si="146">SUM(BB69:BB73)</f>
        <v>0</v>
      </c>
      <c r="BC74" s="48">
        <f t="shared" si="146"/>
        <v>0</v>
      </c>
      <c r="BD74" s="48">
        <f t="shared" ref="BD74:BE74" si="147">SUM(BD69:BD73)</f>
        <v>0</v>
      </c>
      <c r="BE74" s="48">
        <f t="shared" si="147"/>
        <v>0</v>
      </c>
      <c r="BF74" s="48">
        <f t="shared" ref="BF74:BG74" si="148">SUM(BF69:BF73)</f>
        <v>0</v>
      </c>
      <c r="BG74" s="48">
        <f t="shared" si="148"/>
        <v>0</v>
      </c>
      <c r="BH74" s="48">
        <f t="shared" ref="BH74:BI74" si="149">SUM(BH69:BH73)</f>
        <v>0</v>
      </c>
      <c r="BI74" s="48">
        <f t="shared" si="149"/>
        <v>0</v>
      </c>
      <c r="BJ74" s="48">
        <f t="shared" ref="BJ74" si="150">SUM(BJ69:BJ73)</f>
        <v>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2:AL37"/>
  <sheetViews>
    <sheetView workbookViewId="0">
      <pane xSplit="1" topLeftCell="U1" activePane="topRight" state="frozen"/>
      <selection pane="topRight" activeCell="Z10" sqref="Z10"/>
    </sheetView>
  </sheetViews>
  <sheetFormatPr defaultRowHeight="14.5" x14ac:dyDescent="0.35"/>
  <cols>
    <col min="1" max="1" width="9.1796875" style="61"/>
    <col min="2" max="2" width="29.1796875" style="61" customWidth="1"/>
    <col min="3" max="38" width="13.26953125" style="61" bestFit="1" customWidth="1"/>
  </cols>
  <sheetData>
    <row r="2" spans="1:38" x14ac:dyDescent="0.35">
      <c r="C2" s="12">
        <v>43862</v>
      </c>
      <c r="D2" s="12">
        <v>43891</v>
      </c>
      <c r="E2" s="12">
        <v>43922</v>
      </c>
      <c r="F2" s="12">
        <v>43952</v>
      </c>
      <c r="G2" s="12">
        <v>43983</v>
      </c>
      <c r="H2" s="12">
        <v>44013</v>
      </c>
      <c r="I2" s="12">
        <v>44044</v>
      </c>
      <c r="J2" s="12">
        <v>44075</v>
      </c>
      <c r="K2" s="12">
        <v>44105</v>
      </c>
      <c r="L2" s="12">
        <v>44136</v>
      </c>
      <c r="M2" s="12">
        <v>44166</v>
      </c>
      <c r="N2" s="12">
        <v>44197</v>
      </c>
      <c r="O2" s="12">
        <v>44228</v>
      </c>
      <c r="P2" s="12">
        <v>44256</v>
      </c>
      <c r="Q2" s="12">
        <v>44287</v>
      </c>
      <c r="R2" s="12">
        <v>44317</v>
      </c>
      <c r="S2" s="12">
        <v>44348</v>
      </c>
      <c r="T2" s="12">
        <v>44378</v>
      </c>
      <c r="U2" s="12">
        <v>44409</v>
      </c>
      <c r="V2" s="12">
        <v>44440</v>
      </c>
      <c r="W2" s="12">
        <v>44470</v>
      </c>
      <c r="X2" s="12">
        <v>44501</v>
      </c>
      <c r="Y2" s="12">
        <v>44531</v>
      </c>
      <c r="Z2" s="12">
        <v>44562</v>
      </c>
      <c r="AA2" s="12">
        <v>44593</v>
      </c>
      <c r="AB2" s="12">
        <v>44621</v>
      </c>
      <c r="AC2" s="12">
        <v>44652</v>
      </c>
      <c r="AD2" s="12">
        <v>44682</v>
      </c>
      <c r="AE2" s="12">
        <v>44713</v>
      </c>
      <c r="AF2" s="12">
        <v>44743</v>
      </c>
      <c r="AG2" s="12">
        <v>44774</v>
      </c>
      <c r="AH2" s="12">
        <v>44805</v>
      </c>
      <c r="AI2" s="12">
        <v>44835</v>
      </c>
      <c r="AJ2" s="12">
        <v>44866</v>
      </c>
      <c r="AK2" s="12">
        <v>44896</v>
      </c>
      <c r="AL2" s="12">
        <v>44927</v>
      </c>
    </row>
    <row r="3" spans="1:38" x14ac:dyDescent="0.35">
      <c r="A3" s="287" t="s">
        <v>33</v>
      </c>
      <c r="B3" s="78" t="s">
        <v>53</v>
      </c>
      <c r="C3" s="69">
        <f>IF(+'M3 Allocations - TD'!O51="","",'M3 Allocations - TD'!O51)</f>
        <v>465524.23</v>
      </c>
      <c r="D3" s="69">
        <f>IF(+'M3 Allocations - TD'!P51="","",'M3 Allocations - TD'!P51)</f>
        <v>420640.46</v>
      </c>
      <c r="E3" s="69">
        <f>IF(+'M3 Allocations - TD'!Q51="","",'M3 Allocations - TD'!Q51)</f>
        <v>333131.02</v>
      </c>
      <c r="F3" s="69">
        <f>IF(+'M3 Allocations - TD'!R51="","",'M3 Allocations - TD'!R51)</f>
        <v>297680.28000000003</v>
      </c>
      <c r="G3" s="69">
        <f>IF(+'M3 Allocations - TD'!S51="","",'M3 Allocations - TD'!S51)</f>
        <v>393958.55</v>
      </c>
      <c r="H3" s="69">
        <f>IF(+'M3 Allocations - TD'!T51="","",'M3 Allocations - TD'!T51)</f>
        <v>529326.34</v>
      </c>
      <c r="I3" s="69">
        <f>IF(+'M3 Allocations - TD'!U51="","",'M3 Allocations - TD'!U51)</f>
        <v>496875.44</v>
      </c>
      <c r="J3" s="69">
        <f>IF(+'M3 Allocations - TD'!V51="","",'M3 Allocations - TD'!V51)</f>
        <v>447785.36</v>
      </c>
      <c r="K3" s="69">
        <f>IF(+'M3 Allocations - TD'!W51="","",'M3 Allocations - TD'!W51)</f>
        <v>302563.73</v>
      </c>
      <c r="L3" s="69">
        <f>IF(+'M3 Allocations - TD'!X51="","",'M3 Allocations - TD'!X51)</f>
        <v>322763.34999999998</v>
      </c>
      <c r="M3" s="69">
        <f>IF(+'M3 Allocations - TD'!Y51="","",'M3 Allocations - TD'!Y51)</f>
        <v>427989.89</v>
      </c>
      <c r="N3" s="69">
        <f>IF(+'M3 Allocations - TD'!Z51="","",'M3 Allocations - TD'!Z51)</f>
        <v>556980.75</v>
      </c>
      <c r="O3" s="69">
        <f>IF(+'M3 Allocations - TD'!AA51="","",'M3 Allocations - TD'!AA51)</f>
        <v>1353651.15</v>
      </c>
      <c r="P3" s="69">
        <f>IF(+'M3 Allocations - TD'!AB51="","",'M3 Allocations - TD'!AB51)</f>
        <v>1757169.11</v>
      </c>
      <c r="Q3" s="69">
        <f>IF(+'M3 Allocations - TD'!AC51="","",'M3 Allocations - TD'!AC51)</f>
        <v>1185680.5900000001</v>
      </c>
      <c r="R3" s="69">
        <f>IF(+'M3 Allocations - TD'!AD51="","",'M3 Allocations - TD'!AD51)</f>
        <v>1113985.45</v>
      </c>
      <c r="S3" s="69">
        <f>IF(+'M3 Allocations - TD'!AE51="","",'M3 Allocations - TD'!AE51)</f>
        <v>1461163.75</v>
      </c>
      <c r="T3" s="69">
        <f>IF(+'M3 Allocations - TD'!AF51="","",'M3 Allocations - TD'!AF51)</f>
        <v>1930056.97</v>
      </c>
      <c r="U3" s="69">
        <f>IF(+'M3 Allocations - TD'!AG51="","",'M3 Allocations - TD'!AG51)</f>
        <v>1969181.34</v>
      </c>
      <c r="V3" s="69">
        <f>IF(+'M3 Allocations - TD'!AH51="","",'M3 Allocations - TD'!AH51)</f>
        <v>1934282.8</v>
      </c>
      <c r="W3" s="69">
        <f>IF(+'M3 Allocations - TD'!AI51="","",'M3 Allocations - TD'!AI51)</f>
        <v>1339485.02</v>
      </c>
      <c r="X3" s="69">
        <f>IF(+'M3 Allocations - TD'!AJ51="","",'M3 Allocations - TD'!AJ51)</f>
        <v>1255189.19</v>
      </c>
      <c r="Y3" s="69">
        <f>IF(+'M3 Allocations - TD'!AK51="","",'M3 Allocations - TD'!AK51)</f>
        <v>1570523</v>
      </c>
      <c r="Z3" s="69">
        <f>IF(+'M3 Allocations - TD'!AL51="","",'M3 Allocations - TD'!AL51)</f>
        <v>2029998.28</v>
      </c>
      <c r="AA3" s="69">
        <f>IF(+'M3 Allocations - TD'!AM51="","",'M3 Allocations - TD'!AM51)</f>
        <v>1633369.11</v>
      </c>
      <c r="AB3" s="69">
        <f>IF(+'M3 Allocations - TD'!AN51="","",'M3 Allocations - TD'!AN51)</f>
        <v>714783.1</v>
      </c>
      <c r="AC3" s="69">
        <f>IF(+'M3 Allocations - TD'!AO51="","",'M3 Allocations - TD'!AO51)</f>
        <v>547759.59</v>
      </c>
      <c r="AD3" s="69">
        <f>IF(+'M3 Allocations - TD'!AP51="","",'M3 Allocations - TD'!AP51)</f>
        <v>512195.47</v>
      </c>
      <c r="AE3" s="69">
        <f>IF(+'M3 Allocations - TD'!AQ51="","",'M3 Allocations - TD'!AQ51)</f>
        <v>651024.82999999996</v>
      </c>
      <c r="AF3" s="69">
        <f>IF(+'M3 Allocations - TD'!AR51="","",'M3 Allocations - TD'!AR51)</f>
        <v>895488.58</v>
      </c>
      <c r="AG3" s="69">
        <f>IF(+'M3 Allocations - TD'!AS51="","",'M3 Allocations - TD'!AS51)</f>
        <v>853007.9</v>
      </c>
      <c r="AH3" s="69">
        <f>IF(+'M3 Allocations - TD'!AT51="","",'M3 Allocations - TD'!AT51)</f>
        <v>710408.72</v>
      </c>
      <c r="AI3" s="69">
        <f>IF(+'M3 Allocations - TD'!AU51="","",'M3 Allocations - TD'!AU51)</f>
        <v>511382.36</v>
      </c>
      <c r="AJ3" s="69">
        <f>IF(+'M3 Allocations - TD'!AV51="","",'M3 Allocations - TD'!AV51)</f>
        <v>496744.51458413625</v>
      </c>
      <c r="AK3" s="69">
        <f>IF(+'M3 Allocations - TD'!AW51="","",'M3 Allocations - TD'!AW51)</f>
        <v>713946.21934838651</v>
      </c>
      <c r="AL3" s="69">
        <f>IF(+'M3 Allocations - TD'!AX51="","",'M3 Allocations - TD'!AX51)</f>
        <v>882597.64268176735</v>
      </c>
    </row>
    <row r="4" spans="1:38" x14ac:dyDescent="0.35">
      <c r="A4" s="288"/>
      <c r="B4" s="79" t="s">
        <v>55</v>
      </c>
      <c r="C4" s="130">
        <v>4.8599964800191556E-4</v>
      </c>
      <c r="D4" s="135">
        <f t="shared" ref="D4:H5" si="0">IF(D3="","",C4)</f>
        <v>4.8599964800191556E-4</v>
      </c>
      <c r="E4" s="135">
        <f t="shared" si="0"/>
        <v>4.8599964800191556E-4</v>
      </c>
      <c r="F4" s="135">
        <f t="shared" si="0"/>
        <v>4.8599964800191556E-4</v>
      </c>
      <c r="G4" s="135">
        <f t="shared" si="0"/>
        <v>4.8599964800191556E-4</v>
      </c>
      <c r="H4" s="135">
        <f t="shared" si="0"/>
        <v>4.8599964800191556E-4</v>
      </c>
      <c r="I4" s="135">
        <f t="shared" ref="I4:Z5" si="1">IF(I3="","",H4)</f>
        <v>4.8599964800191556E-4</v>
      </c>
      <c r="J4" s="135">
        <f t="shared" si="1"/>
        <v>4.8599964800191556E-4</v>
      </c>
      <c r="K4" s="135">
        <f t="shared" si="1"/>
        <v>4.8599964800191556E-4</v>
      </c>
      <c r="L4" s="135">
        <f t="shared" si="1"/>
        <v>4.8599964800191556E-4</v>
      </c>
      <c r="M4" s="135">
        <f t="shared" si="1"/>
        <v>4.8599964800191556E-4</v>
      </c>
      <c r="N4" s="135">
        <f t="shared" si="1"/>
        <v>4.8599964800191556E-4</v>
      </c>
      <c r="O4" s="130">
        <v>1.2863998837670668E-3</v>
      </c>
      <c r="P4" s="135">
        <f t="shared" si="1"/>
        <v>1.2863998837670668E-3</v>
      </c>
      <c r="Q4" s="135">
        <f t="shared" ref="Q4:U4" si="2">IF(Q3="","",P4)</f>
        <v>1.2863998837670668E-3</v>
      </c>
      <c r="R4" s="135">
        <f t="shared" si="2"/>
        <v>1.2863998837670668E-3</v>
      </c>
      <c r="S4" s="135">
        <f t="shared" si="2"/>
        <v>1.2863998837670668E-3</v>
      </c>
      <c r="T4" s="135">
        <f t="shared" si="2"/>
        <v>1.2863998837670668E-3</v>
      </c>
      <c r="U4" s="135">
        <f t="shared" si="2"/>
        <v>1.2863998837670668E-3</v>
      </c>
      <c r="V4" s="135">
        <f>IF(V3="","",U4)</f>
        <v>1.2863998837670668E-3</v>
      </c>
      <c r="W4" s="135">
        <f>IF(W3="","",V4)</f>
        <v>1.2863998837670668E-3</v>
      </c>
      <c r="X4" s="135">
        <f>IF(X3="","",W4)</f>
        <v>1.2863998837670668E-3</v>
      </c>
      <c r="Y4" s="135">
        <f>IF(Y3="","",X4)</f>
        <v>1.2863998837670668E-3</v>
      </c>
      <c r="Z4" s="135">
        <f>IF(Z3="","",Y4)</f>
        <v>1.2863998837670668E-3</v>
      </c>
      <c r="AA4" s="130">
        <v>5.2763466985880809E-4</v>
      </c>
      <c r="AB4" s="135">
        <f t="shared" ref="AB4:AL5" si="3">IF(AB3="","",AA4)</f>
        <v>5.2763466985880809E-4</v>
      </c>
      <c r="AC4" s="135">
        <f t="shared" si="3"/>
        <v>5.2763466985880809E-4</v>
      </c>
      <c r="AD4" s="135">
        <f t="shared" si="3"/>
        <v>5.2763466985880809E-4</v>
      </c>
      <c r="AE4" s="135">
        <f t="shared" si="3"/>
        <v>5.2763466985880809E-4</v>
      </c>
      <c r="AF4" s="135">
        <f t="shared" si="3"/>
        <v>5.2763466985880809E-4</v>
      </c>
      <c r="AG4" s="135">
        <f t="shared" si="3"/>
        <v>5.2763466985880809E-4</v>
      </c>
      <c r="AH4" s="135">
        <f t="shared" si="3"/>
        <v>5.2763466985880809E-4</v>
      </c>
      <c r="AI4" s="135">
        <f t="shared" si="3"/>
        <v>5.2763466985880809E-4</v>
      </c>
      <c r="AJ4" s="135">
        <f>IF(AJ3="","",AI4)</f>
        <v>5.2763466985880809E-4</v>
      </c>
      <c r="AK4" s="135">
        <f>IF(AK3="","",AJ4)</f>
        <v>5.2763466985880809E-4</v>
      </c>
      <c r="AL4" s="135">
        <f>IF(AL3="","",AK4)</f>
        <v>5.2763466985880809E-4</v>
      </c>
    </row>
    <row r="5" spans="1:38" x14ac:dyDescent="0.35">
      <c r="A5" s="288"/>
      <c r="B5" s="79" t="s">
        <v>71</v>
      </c>
      <c r="C5" s="131">
        <v>-9.6766427460826909E-5</v>
      </c>
      <c r="D5" s="134">
        <f t="shared" si="0"/>
        <v>-9.6766427460826909E-5</v>
      </c>
      <c r="E5" s="134">
        <f t="shared" si="0"/>
        <v>-9.6766427460826909E-5</v>
      </c>
      <c r="F5" s="134">
        <f t="shared" si="0"/>
        <v>-9.6766427460826909E-5</v>
      </c>
      <c r="G5" s="134">
        <f t="shared" si="0"/>
        <v>-9.6766427460826909E-5</v>
      </c>
      <c r="H5" s="134">
        <f t="shared" si="0"/>
        <v>-9.6766427460826909E-5</v>
      </c>
      <c r="I5" s="134">
        <f t="shared" si="1"/>
        <v>-9.6766427460826909E-5</v>
      </c>
      <c r="J5" s="134">
        <f t="shared" si="1"/>
        <v>-9.6766427460826909E-5</v>
      </c>
      <c r="K5" s="134">
        <f t="shared" si="1"/>
        <v>-9.6766427460826909E-5</v>
      </c>
      <c r="L5" s="134">
        <f t="shared" si="1"/>
        <v>-9.6766427460826909E-5</v>
      </c>
      <c r="M5" s="134">
        <f t="shared" si="1"/>
        <v>-9.6766427460826909E-5</v>
      </c>
      <c r="N5" s="134">
        <f t="shared" si="1"/>
        <v>-9.6766427460826909E-5</v>
      </c>
      <c r="O5" s="131">
        <v>2.418373850290787E-4</v>
      </c>
      <c r="P5" s="134">
        <f t="shared" si="1"/>
        <v>2.418373850290787E-4</v>
      </c>
      <c r="Q5" s="134">
        <f t="shared" si="1"/>
        <v>2.418373850290787E-4</v>
      </c>
      <c r="R5" s="134">
        <f t="shared" si="1"/>
        <v>2.418373850290787E-4</v>
      </c>
      <c r="S5" s="134">
        <f t="shared" si="1"/>
        <v>2.418373850290787E-4</v>
      </c>
      <c r="T5" s="134">
        <f t="shared" si="1"/>
        <v>2.418373850290787E-4</v>
      </c>
      <c r="U5" s="134">
        <f t="shared" si="1"/>
        <v>2.418373850290787E-4</v>
      </c>
      <c r="V5" s="134">
        <f t="shared" si="1"/>
        <v>2.418373850290787E-4</v>
      </c>
      <c r="W5" s="134">
        <f t="shared" si="1"/>
        <v>2.418373850290787E-4</v>
      </c>
      <c r="X5" s="134">
        <f t="shared" si="1"/>
        <v>2.418373850290787E-4</v>
      </c>
      <c r="Y5" s="134">
        <f t="shared" si="1"/>
        <v>2.418373850290787E-4</v>
      </c>
      <c r="Z5" s="134">
        <f t="shared" si="1"/>
        <v>2.418373850290787E-4</v>
      </c>
      <c r="AA5" s="131">
        <v>1.0457350290741632E-4</v>
      </c>
      <c r="AB5" s="134">
        <f t="shared" si="3"/>
        <v>1.0457350290741632E-4</v>
      </c>
      <c r="AC5" s="134">
        <f t="shared" si="3"/>
        <v>1.0457350290741632E-4</v>
      </c>
      <c r="AD5" s="134">
        <f t="shared" si="3"/>
        <v>1.0457350290741632E-4</v>
      </c>
      <c r="AE5" s="134">
        <f t="shared" si="3"/>
        <v>1.0457350290741632E-4</v>
      </c>
      <c r="AF5" s="134">
        <f t="shared" si="3"/>
        <v>1.0457350290741632E-4</v>
      </c>
      <c r="AG5" s="134">
        <f t="shared" si="3"/>
        <v>1.0457350290741632E-4</v>
      </c>
      <c r="AH5" s="134">
        <f t="shared" si="3"/>
        <v>1.0457350290741632E-4</v>
      </c>
      <c r="AI5" s="134">
        <f t="shared" si="3"/>
        <v>1.0457350290741632E-4</v>
      </c>
      <c r="AJ5" s="134">
        <f t="shared" si="3"/>
        <v>1.0457350290741632E-4</v>
      </c>
      <c r="AK5" s="134">
        <f t="shared" si="3"/>
        <v>1.0457350290741632E-4</v>
      </c>
      <c r="AL5" s="134">
        <f t="shared" si="3"/>
        <v>1.0457350290741632E-4</v>
      </c>
    </row>
    <row r="6" spans="1:38" x14ac:dyDescent="0.35">
      <c r="A6" s="288"/>
      <c r="B6" s="79" t="s">
        <v>63</v>
      </c>
      <c r="C6" s="68">
        <f t="shared" ref="C6:D6" si="4">IF(C3="","",SUM(C4:C5))</f>
        <v>3.8923322054108865E-4</v>
      </c>
      <c r="D6" s="68">
        <f t="shared" si="4"/>
        <v>3.8923322054108865E-4</v>
      </c>
      <c r="E6" s="68">
        <f t="shared" ref="E6:F6" si="5">IF(E3="","",SUM(E4:E5))</f>
        <v>3.8923322054108865E-4</v>
      </c>
      <c r="F6" s="68">
        <f t="shared" si="5"/>
        <v>3.8923322054108865E-4</v>
      </c>
      <c r="G6" s="68">
        <f t="shared" ref="G6:H6" si="6">IF(G3="","",SUM(G4:G5))</f>
        <v>3.8923322054108865E-4</v>
      </c>
      <c r="H6" s="68">
        <f t="shared" si="6"/>
        <v>3.8923322054108865E-4</v>
      </c>
      <c r="I6" s="68">
        <f t="shared" ref="I6" si="7">IF(I3="","",SUM(I4:I5))</f>
        <v>3.8923322054108865E-4</v>
      </c>
      <c r="J6" s="68">
        <f t="shared" ref="J6:P6" si="8">IF(J3="","",SUM(J4:J5))</f>
        <v>3.8923322054108865E-4</v>
      </c>
      <c r="K6" s="68">
        <f t="shared" si="8"/>
        <v>3.8923322054108865E-4</v>
      </c>
      <c r="L6" s="68">
        <f t="shared" si="8"/>
        <v>3.8923322054108865E-4</v>
      </c>
      <c r="M6" s="68">
        <f t="shared" si="8"/>
        <v>3.8923322054108865E-4</v>
      </c>
      <c r="N6" s="68">
        <f t="shared" si="8"/>
        <v>3.8923322054108865E-4</v>
      </c>
      <c r="O6" s="68">
        <f t="shared" si="8"/>
        <v>1.5282372687961455E-3</v>
      </c>
      <c r="P6" s="68">
        <f t="shared" si="8"/>
        <v>1.5282372687961455E-3</v>
      </c>
      <c r="Q6" s="68">
        <f t="shared" ref="Q6:R6" si="9">IF(Q3="","",SUM(Q4:Q5))</f>
        <v>1.5282372687961455E-3</v>
      </c>
      <c r="R6" s="68">
        <f t="shared" si="9"/>
        <v>1.5282372687961455E-3</v>
      </c>
      <c r="S6" s="68">
        <f t="shared" ref="S6:T6" si="10">IF(S3="","",SUM(S4:S5))</f>
        <v>1.5282372687961455E-3</v>
      </c>
      <c r="T6" s="68">
        <f t="shared" si="10"/>
        <v>1.5282372687961455E-3</v>
      </c>
      <c r="U6" s="68">
        <f t="shared" ref="U6:V6" si="11">IF(U3="","",SUM(U4:U5))</f>
        <v>1.5282372687961455E-3</v>
      </c>
      <c r="V6" s="68">
        <f t="shared" si="11"/>
        <v>1.5282372687961455E-3</v>
      </c>
      <c r="W6" s="68">
        <f t="shared" ref="W6:AB6" si="12">IF(W3="","",SUM(W4:W5))</f>
        <v>1.5282372687961455E-3</v>
      </c>
      <c r="X6" s="68">
        <f t="shared" si="12"/>
        <v>1.5282372687961455E-3</v>
      </c>
      <c r="Y6" s="68">
        <f t="shared" si="12"/>
        <v>1.5282372687961455E-3</v>
      </c>
      <c r="Z6" s="68">
        <f t="shared" si="12"/>
        <v>1.5282372687961455E-3</v>
      </c>
      <c r="AA6" s="68">
        <f t="shared" si="12"/>
        <v>6.3220817276622438E-4</v>
      </c>
      <c r="AB6" s="68">
        <f t="shared" si="12"/>
        <v>6.3220817276622438E-4</v>
      </c>
      <c r="AC6" s="68">
        <f t="shared" ref="AC6:AD6" si="13">IF(AC3="","",SUM(AC4:AC5))</f>
        <v>6.3220817276622438E-4</v>
      </c>
      <c r="AD6" s="68">
        <f t="shared" si="13"/>
        <v>6.3220817276622438E-4</v>
      </c>
      <c r="AE6" s="68">
        <f t="shared" ref="AE6:AF6" si="14">IF(AE3="","",SUM(AE4:AE5))</f>
        <v>6.3220817276622438E-4</v>
      </c>
      <c r="AF6" s="68">
        <f t="shared" si="14"/>
        <v>6.3220817276622438E-4</v>
      </c>
      <c r="AG6" s="68">
        <f t="shared" ref="AG6:AH6" si="15">IF(AG3="","",SUM(AG4:AG5))</f>
        <v>6.3220817276622438E-4</v>
      </c>
      <c r="AH6" s="68">
        <f t="shared" si="15"/>
        <v>6.3220817276622438E-4</v>
      </c>
      <c r="AI6" s="68">
        <f t="shared" ref="AI6:AJ6" si="16">IF(AI3="","",SUM(AI4:AI5))</f>
        <v>6.3220817276622438E-4</v>
      </c>
      <c r="AJ6" s="68">
        <f t="shared" si="16"/>
        <v>6.3220817276622438E-4</v>
      </c>
      <c r="AK6" s="68">
        <f t="shared" ref="AK6:AL6" si="17">IF(AK3="","",SUM(AK4:AK5))</f>
        <v>6.3220817276622438E-4</v>
      </c>
      <c r="AL6" s="68">
        <f t="shared" si="17"/>
        <v>6.3220817276622438E-4</v>
      </c>
    </row>
    <row r="7" spans="1:38" x14ac:dyDescent="0.35">
      <c r="A7" s="288"/>
      <c r="B7" s="79" t="s">
        <v>56</v>
      </c>
      <c r="C7" s="72">
        <f t="shared" ref="C7:D7" si="18">IF(C3="","",IFERROR(C5/C6,""))</f>
        <v>-0.24860783292419911</v>
      </c>
      <c r="D7" s="72">
        <f t="shared" si="18"/>
        <v>-0.24860783292419911</v>
      </c>
      <c r="E7" s="72">
        <f t="shared" ref="E7:F7" si="19">IF(E3="","",IFERROR(E5/E6,""))</f>
        <v>-0.24860783292419911</v>
      </c>
      <c r="F7" s="72">
        <f t="shared" si="19"/>
        <v>-0.24860783292419911</v>
      </c>
      <c r="G7" s="72">
        <f t="shared" ref="G7:H7" si="20">IF(G3="","",IFERROR(G5/G6,""))</f>
        <v>-0.24860783292419911</v>
      </c>
      <c r="H7" s="72">
        <f t="shared" si="20"/>
        <v>-0.24860783292419911</v>
      </c>
      <c r="I7" s="72">
        <f t="shared" ref="I7" si="21">IF(I3="","",IFERROR(I5/I6,""))</f>
        <v>-0.24860783292419911</v>
      </c>
      <c r="J7" s="72">
        <f t="shared" ref="J7:P7" si="22">IF(J3="","",IFERROR(J5/J6,""))</f>
        <v>-0.24860783292419911</v>
      </c>
      <c r="K7" s="72">
        <f t="shared" si="22"/>
        <v>-0.24860783292419911</v>
      </c>
      <c r="L7" s="72">
        <f t="shared" si="22"/>
        <v>-0.24860783292419911</v>
      </c>
      <c r="M7" s="72">
        <f t="shared" si="22"/>
        <v>-0.24860783292419911</v>
      </c>
      <c r="N7" s="72">
        <f t="shared" si="22"/>
        <v>-0.24860783292419911</v>
      </c>
      <c r="O7" s="72">
        <f t="shared" si="22"/>
        <v>0.15824596740765512</v>
      </c>
      <c r="P7" s="72">
        <f t="shared" si="22"/>
        <v>0.15824596740765512</v>
      </c>
      <c r="Q7" s="72">
        <f t="shared" ref="Q7:R7" si="23">IF(Q3="","",IFERROR(Q5/Q6,""))</f>
        <v>0.15824596740765512</v>
      </c>
      <c r="R7" s="72">
        <f t="shared" si="23"/>
        <v>0.15824596740765512</v>
      </c>
      <c r="S7" s="72">
        <f t="shared" ref="S7:T7" si="24">IF(S3="","",IFERROR(S5/S6,""))</f>
        <v>0.15824596740765512</v>
      </c>
      <c r="T7" s="72">
        <f t="shared" si="24"/>
        <v>0.15824596740765512</v>
      </c>
      <c r="U7" s="72">
        <f t="shared" ref="U7:V7" si="25">IF(U3="","",IFERROR(U5/U6,""))</f>
        <v>0.15824596740765512</v>
      </c>
      <c r="V7" s="72">
        <f t="shared" si="25"/>
        <v>0.15824596740765512</v>
      </c>
      <c r="W7" s="72">
        <f t="shared" ref="W7:X7" si="26">IF(W3="","",IFERROR(W5/W6,""))</f>
        <v>0.15824596740765512</v>
      </c>
      <c r="X7" s="72">
        <f t="shared" si="26"/>
        <v>0.15824596740765512</v>
      </c>
      <c r="Y7" s="72">
        <f t="shared" ref="Y7:Z7" si="27">IF(Y3="","",IFERROR(Y5/Y6,""))</f>
        <v>0.15824596740765512</v>
      </c>
      <c r="Z7" s="72">
        <f t="shared" si="27"/>
        <v>0.15824596740765512</v>
      </c>
      <c r="AA7" s="72">
        <f t="shared" ref="AA7:AB7" si="28">IF(AA3="","",IFERROR(AA5/AA6,""))</f>
        <v>0.16540991940970229</v>
      </c>
      <c r="AB7" s="72">
        <f t="shared" si="28"/>
        <v>0.16540991940970229</v>
      </c>
      <c r="AC7" s="72">
        <f t="shared" ref="AC7:AD7" si="29">IF(AC3="","",IFERROR(AC5/AC6,""))</f>
        <v>0.16540991940970229</v>
      </c>
      <c r="AD7" s="72">
        <f t="shared" si="29"/>
        <v>0.16540991940970229</v>
      </c>
      <c r="AE7" s="72">
        <f t="shared" ref="AE7:AF7" si="30">IF(AE3="","",IFERROR(AE5/AE6,""))</f>
        <v>0.16540991940970229</v>
      </c>
      <c r="AF7" s="72">
        <f t="shared" si="30"/>
        <v>0.16540991940970229</v>
      </c>
      <c r="AG7" s="72">
        <f t="shared" ref="AG7:AH7" si="31">IF(AG3="","",IFERROR(AG5/AG6,""))</f>
        <v>0.16540991940970229</v>
      </c>
      <c r="AH7" s="72">
        <f t="shared" si="31"/>
        <v>0.16540991940970229</v>
      </c>
      <c r="AI7" s="72">
        <f t="shared" ref="AI7:AJ7" si="32">IF(AI3="","",IFERROR(AI5/AI6,""))</f>
        <v>0.16540991940970229</v>
      </c>
      <c r="AJ7" s="72">
        <f t="shared" si="32"/>
        <v>0.16540991940970229</v>
      </c>
      <c r="AK7" s="72">
        <f t="shared" ref="AK7:AL7" si="33">IF(AK3="","",IFERROR(AK5/AK6,""))</f>
        <v>0.16540991940970229</v>
      </c>
      <c r="AL7" s="72">
        <f t="shared" si="33"/>
        <v>0.16540991940970229</v>
      </c>
    </row>
    <row r="8" spans="1:38" x14ac:dyDescent="0.35">
      <c r="A8" s="288"/>
      <c r="B8" s="80" t="s">
        <v>57</v>
      </c>
      <c r="C8" s="70">
        <f t="shared" ref="C8:D8" si="34">IF(C3="","",ROUND(C7*C3,2))</f>
        <v>-115732.97</v>
      </c>
      <c r="D8" s="70">
        <f t="shared" si="34"/>
        <v>-104574.51</v>
      </c>
      <c r="E8" s="70">
        <f t="shared" ref="E8:F8" si="35">IF(E3="","",ROUND(E7*E3,2))</f>
        <v>-82818.98</v>
      </c>
      <c r="F8" s="70">
        <f t="shared" si="35"/>
        <v>-74005.649999999994</v>
      </c>
      <c r="G8" s="70">
        <f t="shared" ref="G8:H8" si="36">IF(G3="","",ROUND(G7*G3,2))</f>
        <v>-97941.18</v>
      </c>
      <c r="H8" s="70">
        <f t="shared" si="36"/>
        <v>-131594.67000000001</v>
      </c>
      <c r="I8" s="70">
        <f t="shared" ref="I8" si="37">IF(I3="","",ROUND(I7*I3,2))</f>
        <v>-123527.13</v>
      </c>
      <c r="J8" s="70">
        <f t="shared" ref="J8:P8" si="38">IF(J3="","",ROUND(J7*J3,2))</f>
        <v>-111322.95</v>
      </c>
      <c r="K8" s="70">
        <f t="shared" si="38"/>
        <v>-75219.710000000006</v>
      </c>
      <c r="L8" s="70">
        <f t="shared" si="38"/>
        <v>-80241.5</v>
      </c>
      <c r="M8" s="70">
        <f t="shared" si="38"/>
        <v>-106401.64</v>
      </c>
      <c r="N8" s="70">
        <f t="shared" si="38"/>
        <v>-138469.78</v>
      </c>
      <c r="O8" s="70">
        <f t="shared" si="38"/>
        <v>214209.84</v>
      </c>
      <c r="P8" s="70">
        <f t="shared" si="38"/>
        <v>278064.93</v>
      </c>
      <c r="Q8" s="70">
        <f t="shared" ref="Q8:R8" si="39">IF(Q3="","",ROUND(Q7*Q3,2))</f>
        <v>187629.17</v>
      </c>
      <c r="R8" s="70">
        <f t="shared" si="39"/>
        <v>176283.71</v>
      </c>
      <c r="S8" s="70">
        <f t="shared" ref="S8:T8" si="40">IF(S3="","",ROUND(S7*S3,2))</f>
        <v>231223.27</v>
      </c>
      <c r="T8" s="70">
        <f t="shared" si="40"/>
        <v>305423.73</v>
      </c>
      <c r="U8" s="70">
        <f t="shared" ref="U8:V8" si="41">IF(U3="","",ROUND(U7*U3,2))</f>
        <v>311615.01</v>
      </c>
      <c r="V8" s="70">
        <f t="shared" si="41"/>
        <v>306092.45</v>
      </c>
      <c r="W8" s="70">
        <f t="shared" ref="W8:AB8" si="42">IF(W3="","",ROUND(W7*W3,2))</f>
        <v>211968.1</v>
      </c>
      <c r="X8" s="70">
        <f t="shared" si="42"/>
        <v>198628.63</v>
      </c>
      <c r="Y8" s="70">
        <f t="shared" si="42"/>
        <v>248528.93</v>
      </c>
      <c r="Z8" s="70">
        <f t="shared" si="42"/>
        <v>321239.03999999998</v>
      </c>
      <c r="AA8" s="70">
        <f t="shared" si="42"/>
        <v>270175.45</v>
      </c>
      <c r="AB8" s="70">
        <f t="shared" si="42"/>
        <v>118232.21</v>
      </c>
      <c r="AC8" s="70">
        <f t="shared" ref="AC8:AD8" si="43">IF(AC3="","",ROUND(AC7*AC3,2))</f>
        <v>90604.87</v>
      </c>
      <c r="AD8" s="70">
        <f t="shared" si="43"/>
        <v>84722.21</v>
      </c>
      <c r="AE8" s="70">
        <f t="shared" ref="AE8:AF8" si="44">IF(AE3="","",ROUND(AE7*AE3,2))</f>
        <v>107685.96</v>
      </c>
      <c r="AF8" s="70">
        <f t="shared" si="44"/>
        <v>148122.69</v>
      </c>
      <c r="AG8" s="70">
        <f t="shared" ref="AG8:AL8" si="45">IF(AG3="","",ROUND(AG7*AG3,2))</f>
        <v>141095.97</v>
      </c>
      <c r="AH8" s="70">
        <f t="shared" si="45"/>
        <v>117508.65</v>
      </c>
      <c r="AI8" s="70">
        <f t="shared" si="45"/>
        <v>84587.71</v>
      </c>
      <c r="AJ8" s="70">
        <f t="shared" si="45"/>
        <v>82166.47</v>
      </c>
      <c r="AK8" s="70">
        <f t="shared" si="45"/>
        <v>118093.79</v>
      </c>
      <c r="AL8" s="70">
        <f t="shared" si="45"/>
        <v>145990.39999999999</v>
      </c>
    </row>
    <row r="9" spans="1:38" x14ac:dyDescent="0.35">
      <c r="A9" s="83"/>
      <c r="B9" s="81"/>
      <c r="C9" s="71"/>
      <c r="D9" s="71"/>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row>
    <row r="10" spans="1:38" x14ac:dyDescent="0.35">
      <c r="A10" s="288" t="s">
        <v>34</v>
      </c>
      <c r="B10" s="79" t="s">
        <v>53</v>
      </c>
      <c r="C10" s="69">
        <f>IF(+'M3 Allocations - TD'!O52="","",'M3 Allocations - TD'!O52)</f>
        <v>74514.039999999994</v>
      </c>
      <c r="D10" s="69">
        <f>IF(+'M3 Allocations - TD'!P52="","",'M3 Allocations - TD'!P52)</f>
        <v>73821.710000000006</v>
      </c>
      <c r="E10" s="69">
        <f>IF(+'M3 Allocations - TD'!Q52="","",'M3 Allocations - TD'!Q52)</f>
        <v>56719.11</v>
      </c>
      <c r="F10" s="69">
        <f>IF(+'M3 Allocations - TD'!R52="","",'M3 Allocations - TD'!R52)</f>
        <v>51424.73</v>
      </c>
      <c r="G10" s="69">
        <f>IF(+'M3 Allocations - TD'!S52="","",'M3 Allocations - TD'!S52)</f>
        <v>64574.18</v>
      </c>
      <c r="H10" s="69">
        <f>IF(+'M3 Allocations - TD'!T52="","",'M3 Allocations - TD'!T52)</f>
        <v>80406.710000000006</v>
      </c>
      <c r="I10" s="69">
        <f>IF(+'M3 Allocations - TD'!U52="","",'M3 Allocations - TD'!U52)</f>
        <v>78372.460000000006</v>
      </c>
      <c r="J10" s="69">
        <f>IF(+'M3 Allocations - TD'!V52="","",'M3 Allocations - TD'!V52)</f>
        <v>75020.86</v>
      </c>
      <c r="K10" s="69">
        <f>IF(+'M3 Allocations - TD'!W52="","",'M3 Allocations - TD'!W52)</f>
        <v>60809.53</v>
      </c>
      <c r="L10" s="69">
        <f>IF(+'M3 Allocations - TD'!X52="","",'M3 Allocations - TD'!X52)</f>
        <v>60774.8</v>
      </c>
      <c r="M10" s="69">
        <f>IF(+'M3 Allocations - TD'!Y52="","",'M3 Allocations - TD'!Y52)</f>
        <v>70212.570000000007</v>
      </c>
      <c r="N10" s="69">
        <f>IF(+'M3 Allocations - TD'!Z52="","",'M3 Allocations - TD'!Z52)</f>
        <v>83755.55</v>
      </c>
      <c r="O10" s="69">
        <f>IF(+'M3 Allocations - TD'!AA52="","",'M3 Allocations - TD'!AA52)</f>
        <v>247981.23</v>
      </c>
      <c r="P10" s="69">
        <f>IF(+'M3 Allocations - TD'!AB52="","",'M3 Allocations - TD'!AB52)</f>
        <v>383476.26</v>
      </c>
      <c r="Q10" s="69">
        <f>IF(+'M3 Allocations - TD'!AC52="","",'M3 Allocations - TD'!AC52)</f>
        <v>305019.12</v>
      </c>
      <c r="R10" s="69">
        <f>IF(+'M3 Allocations - TD'!AD52="","",'M3 Allocations - TD'!AD52)</f>
        <v>298211.62</v>
      </c>
      <c r="S10" s="69">
        <f>IF(+'M3 Allocations - TD'!AE52="","",'M3 Allocations - TD'!AE52)</f>
        <v>355738.71</v>
      </c>
      <c r="T10" s="69">
        <f>IF(+'M3 Allocations - TD'!AF52="","",'M3 Allocations - TD'!AF52)</f>
        <v>421100.95</v>
      </c>
      <c r="U10" s="69">
        <f>IF(+'M3 Allocations - TD'!AG52="","",'M3 Allocations - TD'!AG52)</f>
        <v>421260.25</v>
      </c>
      <c r="V10" s="69">
        <f>IF(+'M3 Allocations - TD'!AH52="","",'M3 Allocations - TD'!AH52)</f>
        <v>425647.35</v>
      </c>
      <c r="W10" s="69">
        <f>IF(+'M3 Allocations - TD'!AI52="","",'M3 Allocations - TD'!AI52)</f>
        <v>355043.17</v>
      </c>
      <c r="X10" s="69">
        <f>IF(+'M3 Allocations - TD'!AJ52="","",'M3 Allocations - TD'!AJ52)</f>
        <v>317440.44</v>
      </c>
      <c r="Y10" s="69">
        <f>IF(+'M3 Allocations - TD'!AK52="","",'M3 Allocations - TD'!AK52)</f>
        <v>361675.89</v>
      </c>
      <c r="Z10" s="69">
        <f>IF(+'M3 Allocations - TD'!AL52="","",'M3 Allocations - TD'!AL52)</f>
        <v>427108.58</v>
      </c>
      <c r="AA10" s="69">
        <f>IF(+'M3 Allocations - TD'!AM52="","",'M3 Allocations - TD'!AM52)</f>
        <v>352548.03</v>
      </c>
      <c r="AB10" s="69">
        <f>IF(+'M3 Allocations - TD'!AN52="","",'M3 Allocations - TD'!AN52)</f>
        <v>202576.3</v>
      </c>
      <c r="AC10" s="69">
        <f>IF(+'M3 Allocations - TD'!AO52="","",'M3 Allocations - TD'!AO52)</f>
        <v>179190.8</v>
      </c>
      <c r="AD10" s="69">
        <f>IF(+'M3 Allocations - TD'!AP52="","",'M3 Allocations - TD'!AP52)</f>
        <v>173555.15</v>
      </c>
      <c r="AE10" s="69">
        <f>IF(+'M3 Allocations - TD'!AQ52="","",'M3 Allocations - TD'!AQ52)</f>
        <v>201857.14</v>
      </c>
      <c r="AF10" s="69">
        <f>IF(+'M3 Allocations - TD'!AR52="","",'M3 Allocations - TD'!AR52)</f>
        <v>241561.15</v>
      </c>
      <c r="AG10" s="69">
        <f>IF(+'M3 Allocations - TD'!AS52="","",'M3 Allocations - TD'!AS52)</f>
        <v>236616.94</v>
      </c>
      <c r="AH10" s="69">
        <f>IF(+'M3 Allocations - TD'!AT52="","",'M3 Allocations - TD'!AT52)</f>
        <v>216950.84</v>
      </c>
      <c r="AI10" s="69">
        <f>IF(+'M3 Allocations - TD'!AU52="","",'M3 Allocations - TD'!AU52)</f>
        <v>178443.25</v>
      </c>
      <c r="AJ10" s="69">
        <f>IF(+'M3 Allocations - TD'!AV52="","",'M3 Allocations - TD'!AV52)</f>
        <v>165855.10787324235</v>
      </c>
      <c r="AK10" s="69">
        <f>IF(+'M3 Allocations - TD'!AW52="","",'M3 Allocations - TD'!AW52)</f>
        <v>200886.50944242743</v>
      </c>
      <c r="AL10" s="69">
        <f>IF(+'M3 Allocations - TD'!AX52="","",'M3 Allocations - TD'!AX52)</f>
        <v>237113.91150646424</v>
      </c>
    </row>
    <row r="11" spans="1:38" x14ac:dyDescent="0.35">
      <c r="A11" s="288"/>
      <c r="B11" s="79" t="s">
        <v>55</v>
      </c>
      <c r="C11" s="130">
        <v>3.4644873094528316E-4</v>
      </c>
      <c r="D11" s="134">
        <f t="shared" ref="D11:Y12" si="46">IF(D10="","",C11)</f>
        <v>3.4644873094528316E-4</v>
      </c>
      <c r="E11" s="134">
        <f t="shared" si="46"/>
        <v>3.4644873094528316E-4</v>
      </c>
      <c r="F11" s="134">
        <f t="shared" si="46"/>
        <v>3.4644873094528316E-4</v>
      </c>
      <c r="G11" s="134">
        <f t="shared" si="46"/>
        <v>3.4644873094528316E-4</v>
      </c>
      <c r="H11" s="134">
        <f t="shared" si="46"/>
        <v>3.4644873094528316E-4</v>
      </c>
      <c r="I11" s="134">
        <f t="shared" si="46"/>
        <v>3.4644873094528316E-4</v>
      </c>
      <c r="J11" s="134">
        <f t="shared" si="46"/>
        <v>3.4644873094528316E-4</v>
      </c>
      <c r="K11" s="134">
        <f t="shared" si="46"/>
        <v>3.4644873094528316E-4</v>
      </c>
      <c r="L11" s="134">
        <f t="shared" si="46"/>
        <v>3.4644873094528316E-4</v>
      </c>
      <c r="M11" s="134">
        <f t="shared" si="46"/>
        <v>3.4644873094528316E-4</v>
      </c>
      <c r="N11" s="134">
        <f t="shared" si="46"/>
        <v>3.4644873094528316E-4</v>
      </c>
      <c r="O11" s="131">
        <v>1.2887847704183462E-3</v>
      </c>
      <c r="P11" s="134">
        <f t="shared" si="46"/>
        <v>1.2887847704183462E-3</v>
      </c>
      <c r="Q11" s="134">
        <f t="shared" si="46"/>
        <v>1.2887847704183462E-3</v>
      </c>
      <c r="R11" s="134">
        <f t="shared" si="46"/>
        <v>1.2887847704183462E-3</v>
      </c>
      <c r="S11" s="134">
        <f t="shared" si="46"/>
        <v>1.2887847704183462E-3</v>
      </c>
      <c r="T11" s="134">
        <f t="shared" si="46"/>
        <v>1.2887847704183462E-3</v>
      </c>
      <c r="U11" s="134">
        <f t="shared" si="46"/>
        <v>1.2887847704183462E-3</v>
      </c>
      <c r="V11" s="134">
        <f t="shared" si="46"/>
        <v>1.2887847704183462E-3</v>
      </c>
      <c r="W11" s="134">
        <f t="shared" si="46"/>
        <v>1.2887847704183462E-3</v>
      </c>
      <c r="X11" s="134">
        <f t="shared" si="46"/>
        <v>1.2887847704183462E-3</v>
      </c>
      <c r="Y11" s="134">
        <f t="shared" si="46"/>
        <v>1.2887847704183462E-3</v>
      </c>
      <c r="Z11" s="134">
        <f>IF(Z10="","",Y11)</f>
        <v>1.2887847704183462E-3</v>
      </c>
      <c r="AA11" s="131">
        <v>9.0707916632213985E-4</v>
      </c>
      <c r="AB11" s="134">
        <f t="shared" ref="AB11:AL12" si="47">IF(AB10="","",AA11)</f>
        <v>9.0707916632213985E-4</v>
      </c>
      <c r="AC11" s="134">
        <f t="shared" si="47"/>
        <v>9.0707916632213985E-4</v>
      </c>
      <c r="AD11" s="134">
        <f t="shared" si="47"/>
        <v>9.0707916632213985E-4</v>
      </c>
      <c r="AE11" s="134">
        <f t="shared" si="47"/>
        <v>9.0707916632213985E-4</v>
      </c>
      <c r="AF11" s="134">
        <f t="shared" si="47"/>
        <v>9.0707916632213985E-4</v>
      </c>
      <c r="AG11" s="134">
        <f t="shared" si="47"/>
        <v>9.0707916632213985E-4</v>
      </c>
      <c r="AH11" s="134">
        <f t="shared" si="47"/>
        <v>9.0707916632213985E-4</v>
      </c>
      <c r="AI11" s="134">
        <f t="shared" si="47"/>
        <v>9.0707916632213985E-4</v>
      </c>
      <c r="AJ11" s="134">
        <f t="shared" si="47"/>
        <v>9.0707916632213985E-4</v>
      </c>
      <c r="AK11" s="134">
        <f t="shared" si="47"/>
        <v>9.0707916632213985E-4</v>
      </c>
      <c r="AL11" s="134">
        <f t="shared" si="47"/>
        <v>9.0707916632213985E-4</v>
      </c>
    </row>
    <row r="12" spans="1:38" x14ac:dyDescent="0.35">
      <c r="A12" s="288"/>
      <c r="B12" s="79" t="s">
        <v>54</v>
      </c>
      <c r="C12" s="131">
        <v>-6.7394838749343863E-5</v>
      </c>
      <c r="D12" s="134">
        <f t="shared" si="46"/>
        <v>-6.7394838749343863E-5</v>
      </c>
      <c r="E12" s="134">
        <f t="shared" si="46"/>
        <v>-6.7394838749343863E-5</v>
      </c>
      <c r="F12" s="134">
        <f t="shared" si="46"/>
        <v>-6.7394838749343863E-5</v>
      </c>
      <c r="G12" s="134">
        <f t="shared" si="46"/>
        <v>-6.7394838749343863E-5</v>
      </c>
      <c r="H12" s="134">
        <f t="shared" si="46"/>
        <v>-6.7394838749343863E-5</v>
      </c>
      <c r="I12" s="134">
        <f t="shared" si="46"/>
        <v>-6.7394838749343863E-5</v>
      </c>
      <c r="J12" s="134">
        <f t="shared" si="46"/>
        <v>-6.7394838749343863E-5</v>
      </c>
      <c r="K12" s="134">
        <f t="shared" si="46"/>
        <v>-6.7394838749343863E-5</v>
      </c>
      <c r="L12" s="134">
        <f t="shared" si="46"/>
        <v>-6.7394838749343863E-5</v>
      </c>
      <c r="M12" s="134">
        <f t="shared" si="46"/>
        <v>-6.7394838749343863E-5</v>
      </c>
      <c r="N12" s="134">
        <f t="shared" si="46"/>
        <v>-6.7394838749343863E-5</v>
      </c>
      <c r="O12" s="131">
        <v>1.5796346253921996E-4</v>
      </c>
      <c r="P12" s="134">
        <f t="shared" si="46"/>
        <v>1.5796346253921996E-4</v>
      </c>
      <c r="Q12" s="134">
        <f t="shared" si="46"/>
        <v>1.5796346253921996E-4</v>
      </c>
      <c r="R12" s="134">
        <f t="shared" si="46"/>
        <v>1.5796346253921996E-4</v>
      </c>
      <c r="S12" s="134">
        <f t="shared" si="46"/>
        <v>1.5796346253921996E-4</v>
      </c>
      <c r="T12" s="134">
        <f t="shared" si="46"/>
        <v>1.5796346253921996E-4</v>
      </c>
      <c r="U12" s="134">
        <f t="shared" si="46"/>
        <v>1.5796346253921996E-4</v>
      </c>
      <c r="V12" s="134">
        <f t="shared" si="46"/>
        <v>1.5796346253921996E-4</v>
      </c>
      <c r="W12" s="134">
        <f t="shared" si="46"/>
        <v>1.5796346253921996E-4</v>
      </c>
      <c r="X12" s="134">
        <f t="shared" si="46"/>
        <v>1.5796346253921996E-4</v>
      </c>
      <c r="Y12" s="134">
        <f t="shared" si="46"/>
        <v>1.5796346253921996E-4</v>
      </c>
      <c r="Z12" s="134">
        <f>IF(Z11="","",Y12)</f>
        <v>1.5796346253921996E-4</v>
      </c>
      <c r="AA12" s="131">
        <v>-1.3187057849960824E-4</v>
      </c>
      <c r="AB12" s="134">
        <f t="shared" si="47"/>
        <v>-1.3187057849960824E-4</v>
      </c>
      <c r="AC12" s="134">
        <f t="shared" si="47"/>
        <v>-1.3187057849960824E-4</v>
      </c>
      <c r="AD12" s="134">
        <f t="shared" si="47"/>
        <v>-1.3187057849960824E-4</v>
      </c>
      <c r="AE12" s="134">
        <f t="shared" si="47"/>
        <v>-1.3187057849960824E-4</v>
      </c>
      <c r="AF12" s="134">
        <f t="shared" si="47"/>
        <v>-1.3187057849960824E-4</v>
      </c>
      <c r="AG12" s="134">
        <f t="shared" si="47"/>
        <v>-1.3187057849960824E-4</v>
      </c>
      <c r="AH12" s="134">
        <f t="shared" si="47"/>
        <v>-1.3187057849960824E-4</v>
      </c>
      <c r="AI12" s="134">
        <f t="shared" si="47"/>
        <v>-1.3187057849960824E-4</v>
      </c>
      <c r="AJ12" s="134">
        <f t="shared" si="47"/>
        <v>-1.3187057849960824E-4</v>
      </c>
      <c r="AK12" s="134">
        <f t="shared" si="47"/>
        <v>-1.3187057849960824E-4</v>
      </c>
      <c r="AL12" s="134">
        <f t="shared" si="47"/>
        <v>-1.3187057849960824E-4</v>
      </c>
    </row>
    <row r="13" spans="1:38" x14ac:dyDescent="0.35">
      <c r="A13" s="288"/>
      <c r="B13" s="79" t="s">
        <v>63</v>
      </c>
      <c r="C13" s="68">
        <f t="shared" ref="C13:D13" si="48">IF(C10="","",SUM(C11:C12))</f>
        <v>2.7905389219593928E-4</v>
      </c>
      <c r="D13" s="68">
        <f t="shared" si="48"/>
        <v>2.7905389219593928E-4</v>
      </c>
      <c r="E13" s="68">
        <f t="shared" ref="E13:F13" si="49">IF(E10="","",SUM(E11:E12))</f>
        <v>2.7905389219593928E-4</v>
      </c>
      <c r="F13" s="68">
        <f t="shared" si="49"/>
        <v>2.7905389219593928E-4</v>
      </c>
      <c r="G13" s="68">
        <f t="shared" ref="G13:H13" si="50">IF(G10="","",SUM(G11:G12))</f>
        <v>2.7905389219593928E-4</v>
      </c>
      <c r="H13" s="68">
        <f t="shared" si="50"/>
        <v>2.7905389219593928E-4</v>
      </c>
      <c r="I13" s="68">
        <f t="shared" ref="I13:J13" si="51">IF(I10="","",SUM(I11:I12))</f>
        <v>2.7905389219593928E-4</v>
      </c>
      <c r="J13" s="68">
        <f t="shared" si="51"/>
        <v>2.7905389219593928E-4</v>
      </c>
      <c r="K13" s="68">
        <f t="shared" ref="K13:L13" si="52">IF(K10="","",SUM(K11:K12))</f>
        <v>2.7905389219593928E-4</v>
      </c>
      <c r="L13" s="68">
        <f t="shared" si="52"/>
        <v>2.7905389219593928E-4</v>
      </c>
      <c r="M13" s="68">
        <f t="shared" ref="M13:N13" si="53">IF(M10="","",SUM(M11:M12))</f>
        <v>2.7905389219593928E-4</v>
      </c>
      <c r="N13" s="68">
        <f t="shared" si="53"/>
        <v>2.7905389219593928E-4</v>
      </c>
      <c r="O13" s="68">
        <f t="shared" ref="O13:P13" si="54">IF(O10="","",SUM(O11:O12))</f>
        <v>1.4467482329575661E-3</v>
      </c>
      <c r="P13" s="68">
        <f t="shared" si="54"/>
        <v>1.4467482329575661E-3</v>
      </c>
      <c r="Q13" s="68">
        <f t="shared" ref="Q13:R13" si="55">IF(Q10="","",SUM(Q11:Q12))</f>
        <v>1.4467482329575661E-3</v>
      </c>
      <c r="R13" s="68">
        <f t="shared" si="55"/>
        <v>1.4467482329575661E-3</v>
      </c>
      <c r="S13" s="68">
        <f t="shared" ref="S13:T13" si="56">IF(S10="","",SUM(S11:S12))</f>
        <v>1.4467482329575661E-3</v>
      </c>
      <c r="T13" s="68">
        <f t="shared" si="56"/>
        <v>1.4467482329575661E-3</v>
      </c>
      <c r="U13" s="68">
        <f t="shared" ref="U13:V13" si="57">IF(U10="","",SUM(U11:U12))</f>
        <v>1.4467482329575661E-3</v>
      </c>
      <c r="V13" s="68">
        <f t="shared" si="57"/>
        <v>1.4467482329575661E-3</v>
      </c>
      <c r="W13" s="68">
        <f t="shared" ref="W13:X13" si="58">IF(W10="","",SUM(W11:W12))</f>
        <v>1.4467482329575661E-3</v>
      </c>
      <c r="X13" s="68">
        <f t="shared" si="58"/>
        <v>1.4467482329575661E-3</v>
      </c>
      <c r="Y13" s="68">
        <f t="shared" ref="Y13:Z13" si="59">IF(Y10="","",SUM(Y11:Y12))</f>
        <v>1.4467482329575661E-3</v>
      </c>
      <c r="Z13" s="68">
        <f t="shared" si="59"/>
        <v>1.4467482329575661E-3</v>
      </c>
      <c r="AA13" s="68">
        <f t="shared" ref="AA13:AF13" si="60">IF(AA10="","",SUM(AA11:AA12))</f>
        <v>7.7520858782253164E-4</v>
      </c>
      <c r="AB13" s="68">
        <f t="shared" si="60"/>
        <v>7.7520858782253164E-4</v>
      </c>
      <c r="AC13" s="68">
        <f t="shared" si="60"/>
        <v>7.7520858782253164E-4</v>
      </c>
      <c r="AD13" s="68">
        <f t="shared" si="60"/>
        <v>7.7520858782253164E-4</v>
      </c>
      <c r="AE13" s="68">
        <f t="shared" si="60"/>
        <v>7.7520858782253164E-4</v>
      </c>
      <c r="AF13" s="68">
        <f t="shared" si="60"/>
        <v>7.7520858782253164E-4</v>
      </c>
      <c r="AG13" s="68">
        <f t="shared" ref="AG13:AH13" si="61">IF(AG10="","",SUM(AG11:AG12))</f>
        <v>7.7520858782253164E-4</v>
      </c>
      <c r="AH13" s="68">
        <f t="shared" si="61"/>
        <v>7.7520858782253164E-4</v>
      </c>
      <c r="AI13" s="68">
        <f t="shared" ref="AI13:AJ13" si="62">IF(AI10="","",SUM(AI11:AI12))</f>
        <v>7.7520858782253164E-4</v>
      </c>
      <c r="AJ13" s="68">
        <f t="shared" si="62"/>
        <v>7.7520858782253164E-4</v>
      </c>
      <c r="AK13" s="68">
        <f t="shared" ref="AK13:AL13" si="63">IF(AK10="","",SUM(AK11:AK12))</f>
        <v>7.7520858782253164E-4</v>
      </c>
      <c r="AL13" s="68">
        <f t="shared" si="63"/>
        <v>7.7520858782253164E-4</v>
      </c>
    </row>
    <row r="14" spans="1:38" x14ac:dyDescent="0.35">
      <c r="A14" s="288"/>
      <c r="B14" s="79" t="s">
        <v>56</v>
      </c>
      <c r="C14" s="72">
        <f t="shared" ref="C14:D14" si="64">IF(C10="","",IFERROR(C12/C13,""))</f>
        <v>-0.24151191090365509</v>
      </c>
      <c r="D14" s="72">
        <f t="shared" si="64"/>
        <v>-0.24151191090365509</v>
      </c>
      <c r="E14" s="72">
        <f t="shared" ref="E14:F14" si="65">IF(E10="","",IFERROR(E12/E13,""))</f>
        <v>-0.24151191090365509</v>
      </c>
      <c r="F14" s="72">
        <f t="shared" si="65"/>
        <v>-0.24151191090365509</v>
      </c>
      <c r="G14" s="72">
        <f t="shared" ref="G14:H14" si="66">IF(G10="","",IFERROR(G12/G13,""))</f>
        <v>-0.24151191090365509</v>
      </c>
      <c r="H14" s="72">
        <f t="shared" si="66"/>
        <v>-0.24151191090365509</v>
      </c>
      <c r="I14" s="72">
        <f t="shared" ref="I14:J14" si="67">IF(I10="","",IFERROR(I12/I13,""))</f>
        <v>-0.24151191090365509</v>
      </c>
      <c r="J14" s="72">
        <f t="shared" si="67"/>
        <v>-0.24151191090365509</v>
      </c>
      <c r="K14" s="72">
        <f t="shared" ref="K14:L14" si="68">IF(K10="","",IFERROR(K12/K13,""))</f>
        <v>-0.24151191090365509</v>
      </c>
      <c r="L14" s="72">
        <f t="shared" si="68"/>
        <v>-0.24151191090365509</v>
      </c>
      <c r="M14" s="72">
        <f t="shared" ref="M14:N14" si="69">IF(M10="","",IFERROR(M12/M13,""))</f>
        <v>-0.24151191090365509</v>
      </c>
      <c r="N14" s="72">
        <f t="shared" si="69"/>
        <v>-0.24151191090365509</v>
      </c>
      <c r="O14" s="72">
        <f t="shared" ref="O14:P14" si="70">IF(O10="","",IFERROR(O12/O13,""))</f>
        <v>0.1091851774488071</v>
      </c>
      <c r="P14" s="72">
        <f t="shared" si="70"/>
        <v>0.1091851774488071</v>
      </c>
      <c r="Q14" s="72">
        <f t="shared" ref="Q14:R14" si="71">IF(Q10="","",IFERROR(Q12/Q13,""))</f>
        <v>0.1091851774488071</v>
      </c>
      <c r="R14" s="72">
        <f t="shared" si="71"/>
        <v>0.1091851774488071</v>
      </c>
      <c r="S14" s="72">
        <f t="shared" ref="S14:T14" si="72">IF(S10="","",IFERROR(S12/S13,""))</f>
        <v>0.1091851774488071</v>
      </c>
      <c r="T14" s="72">
        <f t="shared" si="72"/>
        <v>0.1091851774488071</v>
      </c>
      <c r="U14" s="72">
        <f t="shared" ref="U14:V14" si="73">IF(U10="","",IFERROR(U12/U13,""))</f>
        <v>0.1091851774488071</v>
      </c>
      <c r="V14" s="72">
        <f t="shared" si="73"/>
        <v>0.1091851774488071</v>
      </c>
      <c r="W14" s="72">
        <f t="shared" ref="W14:X14" si="74">IF(W10="","",IFERROR(W12/W13,""))</f>
        <v>0.1091851774488071</v>
      </c>
      <c r="X14" s="72">
        <f t="shared" si="74"/>
        <v>0.1091851774488071</v>
      </c>
      <c r="Y14" s="72">
        <f t="shared" ref="Y14:Z14" si="75">IF(Y10="","",IFERROR(Y12/Y13,""))</f>
        <v>0.1091851774488071</v>
      </c>
      <c r="Z14" s="72">
        <f t="shared" si="75"/>
        <v>0.1091851774488071</v>
      </c>
      <c r="AA14" s="72">
        <f t="shared" ref="AA14:AB14" si="76">IF(AA10="","",IFERROR(AA12/AA13,""))</f>
        <v>-0.17010980086020067</v>
      </c>
      <c r="AB14" s="72">
        <f t="shared" si="76"/>
        <v>-0.17010980086020067</v>
      </c>
      <c r="AC14" s="72">
        <f t="shared" ref="AC14:AD14" si="77">IF(AC10="","",IFERROR(AC12/AC13,""))</f>
        <v>-0.17010980086020067</v>
      </c>
      <c r="AD14" s="72">
        <f t="shared" si="77"/>
        <v>-0.17010980086020067</v>
      </c>
      <c r="AE14" s="72">
        <f t="shared" ref="AE14:AF14" si="78">IF(AE10="","",IFERROR(AE12/AE13,""))</f>
        <v>-0.17010980086020067</v>
      </c>
      <c r="AF14" s="72">
        <f t="shared" si="78"/>
        <v>-0.17010980086020067</v>
      </c>
      <c r="AG14" s="72">
        <f t="shared" ref="AG14:AH14" si="79">IF(AG10="","",IFERROR(AG12/AG13,""))</f>
        <v>-0.17010980086020067</v>
      </c>
      <c r="AH14" s="72">
        <f t="shared" si="79"/>
        <v>-0.17010980086020067</v>
      </c>
      <c r="AI14" s="72">
        <f t="shared" ref="AI14:AJ14" si="80">IF(AI10="","",IFERROR(AI12/AI13,""))</f>
        <v>-0.17010980086020067</v>
      </c>
      <c r="AJ14" s="72">
        <f t="shared" si="80"/>
        <v>-0.17010980086020067</v>
      </c>
      <c r="AK14" s="72">
        <f t="shared" ref="AK14:AL14" si="81">IF(AK10="","",IFERROR(AK12/AK13,""))</f>
        <v>-0.17010980086020067</v>
      </c>
      <c r="AL14" s="72">
        <f t="shared" si="81"/>
        <v>-0.17010980086020067</v>
      </c>
    </row>
    <row r="15" spans="1:38" x14ac:dyDescent="0.35">
      <c r="A15" s="288"/>
      <c r="B15" s="80" t="s">
        <v>57</v>
      </c>
      <c r="C15" s="70">
        <f t="shared" ref="C15:D15" si="82">IF(C10="","",ROUND(C14*C10,2))</f>
        <v>-17996.03</v>
      </c>
      <c r="D15" s="70">
        <f t="shared" si="82"/>
        <v>-17828.82</v>
      </c>
      <c r="E15" s="70">
        <f t="shared" ref="E15:F15" si="83">IF(E10="","",ROUND(E14*E10,2))</f>
        <v>-13698.34</v>
      </c>
      <c r="F15" s="70">
        <f t="shared" si="83"/>
        <v>-12419.68</v>
      </c>
      <c r="G15" s="70">
        <f t="shared" ref="G15:H15" si="84">IF(G10="","",ROUND(G14*G10,2))</f>
        <v>-15595.43</v>
      </c>
      <c r="H15" s="70">
        <f t="shared" si="84"/>
        <v>-19419.18</v>
      </c>
      <c r="I15" s="70">
        <f t="shared" ref="I15:J15" si="85">IF(I10="","",ROUND(I14*I10,2))</f>
        <v>-18927.88</v>
      </c>
      <c r="J15" s="70">
        <f t="shared" si="85"/>
        <v>-18118.43</v>
      </c>
      <c r="K15" s="70">
        <f t="shared" ref="K15:L15" si="86">IF(K10="","",ROUND(K14*K10,2))</f>
        <v>-14686.23</v>
      </c>
      <c r="L15" s="70">
        <f t="shared" si="86"/>
        <v>-14677.84</v>
      </c>
      <c r="M15" s="70">
        <f t="shared" ref="M15:N15" si="87">IF(M10="","",ROUND(M14*M10,2))</f>
        <v>-16957.169999999998</v>
      </c>
      <c r="N15" s="70">
        <f t="shared" si="87"/>
        <v>-20227.96</v>
      </c>
      <c r="O15" s="70">
        <f t="shared" ref="O15:P15" si="88">IF(O10="","",ROUND(O14*O10,2))</f>
        <v>27075.87</v>
      </c>
      <c r="P15" s="70">
        <f t="shared" si="88"/>
        <v>41869.919999999998</v>
      </c>
      <c r="Q15" s="70">
        <f t="shared" ref="Q15:R15" si="89">IF(Q10="","",ROUND(Q14*Q10,2))</f>
        <v>33303.57</v>
      </c>
      <c r="R15" s="70">
        <f t="shared" si="89"/>
        <v>32560.29</v>
      </c>
      <c r="S15" s="70">
        <f t="shared" ref="S15:T15" si="90">IF(S10="","",ROUND(S14*S10,2))</f>
        <v>38841.39</v>
      </c>
      <c r="T15" s="70">
        <f t="shared" si="90"/>
        <v>45977.98</v>
      </c>
      <c r="U15" s="70">
        <f t="shared" ref="U15:V15" si="91">IF(U10="","",ROUND(U14*U10,2))</f>
        <v>45995.38</v>
      </c>
      <c r="V15" s="70">
        <f t="shared" si="91"/>
        <v>46474.38</v>
      </c>
      <c r="W15" s="70">
        <f t="shared" ref="W15:X15" si="92">IF(W10="","",ROUND(W14*W10,2))</f>
        <v>38765.449999999997</v>
      </c>
      <c r="X15" s="70">
        <f t="shared" si="92"/>
        <v>34659.79</v>
      </c>
      <c r="Y15" s="70">
        <f t="shared" ref="Y15:Z15" si="93">IF(Y10="","",ROUND(Y14*Y10,2))</f>
        <v>39489.65</v>
      </c>
      <c r="Z15" s="70">
        <f t="shared" si="93"/>
        <v>46633.93</v>
      </c>
      <c r="AA15" s="70">
        <f t="shared" ref="AA15:AB15" si="94">IF(AA10="","",ROUND(AA14*AA10,2))</f>
        <v>-59971.88</v>
      </c>
      <c r="AB15" s="70">
        <f t="shared" si="94"/>
        <v>-34460.21</v>
      </c>
      <c r="AC15" s="70">
        <f t="shared" ref="AC15:AD15" si="95">IF(AC10="","",ROUND(AC14*AC10,2))</f>
        <v>-30482.11</v>
      </c>
      <c r="AD15" s="70">
        <f t="shared" si="95"/>
        <v>-29523.43</v>
      </c>
      <c r="AE15" s="70">
        <f t="shared" ref="AE15:AF15" si="96">IF(AE10="","",ROUND(AE14*AE10,2))</f>
        <v>-34337.879999999997</v>
      </c>
      <c r="AF15" s="70">
        <f t="shared" si="96"/>
        <v>-41091.919999999998</v>
      </c>
      <c r="AG15" s="70">
        <f t="shared" ref="AG15:AH15" si="97">IF(AG10="","",ROUND(AG14*AG10,2))</f>
        <v>-40250.86</v>
      </c>
      <c r="AH15" s="70">
        <f t="shared" si="97"/>
        <v>-36905.46</v>
      </c>
      <c r="AI15" s="70">
        <f t="shared" ref="AI15:AJ15" si="98">IF(AI10="","",ROUND(AI14*AI10,2))</f>
        <v>-30354.95</v>
      </c>
      <c r="AJ15" s="70">
        <f t="shared" si="98"/>
        <v>-28213.58</v>
      </c>
      <c r="AK15" s="70">
        <f t="shared" ref="AK15:AL15" si="99">IF(AK10="","",ROUND(AK14*AK10,2))</f>
        <v>-34172.76</v>
      </c>
      <c r="AL15" s="70">
        <f t="shared" si="99"/>
        <v>-40335.4</v>
      </c>
    </row>
    <row r="16" spans="1:38" x14ac:dyDescent="0.35">
      <c r="A16" s="83"/>
      <c r="B16" s="81"/>
      <c r="C16" s="71"/>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row>
    <row r="17" spans="1:38" x14ac:dyDescent="0.35">
      <c r="A17" s="288" t="s">
        <v>35</v>
      </c>
      <c r="B17" s="79" t="s">
        <v>53</v>
      </c>
      <c r="C17" s="69">
        <f>IF(+'M3 Allocations - TD'!O53="","",'M3 Allocations - TD'!O53)</f>
        <v>108510.2</v>
      </c>
      <c r="D17" s="69">
        <f>IF(+'M3 Allocations - TD'!P53="","",'M3 Allocations - TD'!P53)</f>
        <v>102469.35</v>
      </c>
      <c r="E17" s="69">
        <f>IF(+'M3 Allocations - TD'!Q53="","",'M3 Allocations - TD'!Q53)</f>
        <v>87569.04</v>
      </c>
      <c r="F17" s="69">
        <f>IF(+'M3 Allocations - TD'!R53="","",'M3 Allocations - TD'!R53)</f>
        <v>81676.990000000005</v>
      </c>
      <c r="G17" s="69">
        <f>IF(+'M3 Allocations - TD'!S53="","",'M3 Allocations - TD'!S53)</f>
        <v>96788.800000000003</v>
      </c>
      <c r="H17" s="69">
        <f>IF(+'M3 Allocations - TD'!T53="","",'M3 Allocations - TD'!T53)</f>
        <v>113009.35</v>
      </c>
      <c r="I17" s="69">
        <f>IF(+'M3 Allocations - TD'!U53="","",'M3 Allocations - TD'!U53)</f>
        <v>112596.34</v>
      </c>
      <c r="J17" s="69">
        <f>IF(+'M3 Allocations - TD'!V53="","",'M3 Allocations - TD'!V53)</f>
        <v>112065.74</v>
      </c>
      <c r="K17" s="69">
        <f>IF(+'M3 Allocations - TD'!W53="","",'M3 Allocations - TD'!W53)</f>
        <v>95621.75</v>
      </c>
      <c r="L17" s="69">
        <f>IF(+'M3 Allocations - TD'!X53="","",'M3 Allocations - TD'!X53)</f>
        <v>93151.01</v>
      </c>
      <c r="M17" s="69">
        <f>IF(+'M3 Allocations - TD'!Y53="","",'M3 Allocations - TD'!Y53)</f>
        <v>100114.88</v>
      </c>
      <c r="N17" s="69">
        <f>IF(+'M3 Allocations - TD'!Z53="","",'M3 Allocations - TD'!Z53)</f>
        <v>107296.64</v>
      </c>
      <c r="O17" s="69">
        <f>IF(+'M3 Allocations - TD'!AA53="","",'M3 Allocations - TD'!AA53)</f>
        <v>327311.55</v>
      </c>
      <c r="P17" s="69">
        <f>IF(+'M3 Allocations - TD'!AB53="","",'M3 Allocations - TD'!AB53)</f>
        <v>570755.55000000005</v>
      </c>
      <c r="Q17" s="69">
        <f>IF(+'M3 Allocations - TD'!AC53="","",'M3 Allocations - TD'!AC53)</f>
        <v>508276</v>
      </c>
      <c r="R17" s="69">
        <f>IF(+'M3 Allocations - TD'!AD53="","",'M3 Allocations - TD'!AD53)</f>
        <v>517711.44</v>
      </c>
      <c r="S17" s="69">
        <f>IF(+'M3 Allocations - TD'!AE53="","",'M3 Allocations - TD'!AE53)</f>
        <v>575315.39</v>
      </c>
      <c r="T17" s="69">
        <f>IF(+'M3 Allocations - TD'!AF53="","",'M3 Allocations - TD'!AF53)</f>
        <v>673826.02</v>
      </c>
      <c r="U17" s="69">
        <f>IF(+'M3 Allocations - TD'!AG53="","",'M3 Allocations - TD'!AG53)</f>
        <v>667802.68999999994</v>
      </c>
      <c r="V17" s="69">
        <f>IF(+'M3 Allocations - TD'!AH53="","",'M3 Allocations - TD'!AH53)</f>
        <v>680633.38</v>
      </c>
      <c r="W17" s="69">
        <f>IF(+'M3 Allocations - TD'!AI53="","",'M3 Allocations - TD'!AI53)</f>
        <v>598281.09</v>
      </c>
      <c r="X17" s="69">
        <f>IF(+'M3 Allocations - TD'!AJ53="","",'M3 Allocations - TD'!AJ53)</f>
        <v>531580.77</v>
      </c>
      <c r="Y17" s="69">
        <f>IF(+'M3 Allocations - TD'!AK53="","",'M3 Allocations - TD'!AK53)</f>
        <v>580996.63</v>
      </c>
      <c r="Z17" s="69">
        <f>IF(+'M3 Allocations - TD'!AL53="","",'M3 Allocations - TD'!AL53)</f>
        <v>621109.79</v>
      </c>
      <c r="AA17" s="69">
        <f>IF(+'M3 Allocations - TD'!AM53="","",'M3 Allocations - TD'!AM53)</f>
        <v>504253.87</v>
      </c>
      <c r="AB17" s="69">
        <f>IF(+'M3 Allocations - TD'!AN53="","",'M3 Allocations - TD'!AN53)</f>
        <v>301892.69</v>
      </c>
      <c r="AC17" s="69">
        <f>IF(+'M3 Allocations - TD'!AO53="","",'M3 Allocations - TD'!AO53)</f>
        <v>280545.46999999997</v>
      </c>
      <c r="AD17" s="69">
        <f>IF(+'M3 Allocations - TD'!AP53="","",'M3 Allocations - TD'!AP53)</f>
        <v>290164.87</v>
      </c>
      <c r="AE17" s="69">
        <f>IF(+'M3 Allocations - TD'!AQ53="","",'M3 Allocations - TD'!AQ53)</f>
        <v>325613.77</v>
      </c>
      <c r="AF17" s="69">
        <f>IF(+'M3 Allocations - TD'!AR53="","",'M3 Allocations - TD'!AR53)</f>
        <v>365143.97</v>
      </c>
      <c r="AG17" s="69">
        <f>IF(+'M3 Allocations - TD'!AS53="","",'M3 Allocations - TD'!AS53)</f>
        <v>362549.21</v>
      </c>
      <c r="AH17" s="69">
        <f>IF(+'M3 Allocations - TD'!AT53="","",'M3 Allocations - TD'!AT53)</f>
        <v>346741.86</v>
      </c>
      <c r="AI17" s="69">
        <f>IF(+'M3 Allocations - TD'!AU53="","",'M3 Allocations - TD'!AU53)</f>
        <v>297961.13</v>
      </c>
      <c r="AJ17" s="69">
        <f>IF(+'M3 Allocations - TD'!AV53="","",'M3 Allocations - TD'!AV53)</f>
        <v>283726.8901320083</v>
      </c>
      <c r="AK17" s="69">
        <f>IF(+'M3 Allocations - TD'!AW53="","",'M3 Allocations - TD'!AW53)</f>
        <v>314922.16547289555</v>
      </c>
      <c r="AL17" s="69">
        <f>IF(+'M3 Allocations - TD'!AX53="","",'M3 Allocations - TD'!AX53)</f>
        <v>344716.49477980705</v>
      </c>
    </row>
    <row r="18" spans="1:38" x14ac:dyDescent="0.35">
      <c r="A18" s="288"/>
      <c r="B18" s="79" t="s">
        <v>55</v>
      </c>
      <c r="C18" s="130">
        <v>2.4889105871721853E-4</v>
      </c>
      <c r="D18" s="134">
        <f t="shared" ref="D18:AL19" si="100">IF(D17="","",C18)</f>
        <v>2.4889105871721853E-4</v>
      </c>
      <c r="E18" s="134">
        <f t="shared" si="100"/>
        <v>2.4889105871721853E-4</v>
      </c>
      <c r="F18" s="134">
        <f t="shared" si="100"/>
        <v>2.4889105871721853E-4</v>
      </c>
      <c r="G18" s="134">
        <f t="shared" si="100"/>
        <v>2.4889105871721853E-4</v>
      </c>
      <c r="H18" s="134">
        <f t="shared" si="100"/>
        <v>2.4889105871721853E-4</v>
      </c>
      <c r="I18" s="134">
        <f t="shared" si="100"/>
        <v>2.4889105871721853E-4</v>
      </c>
      <c r="J18" s="134">
        <f t="shared" si="100"/>
        <v>2.4889105871721853E-4</v>
      </c>
      <c r="K18" s="134">
        <f t="shared" si="100"/>
        <v>2.4889105871721853E-4</v>
      </c>
      <c r="L18" s="134">
        <f t="shared" si="100"/>
        <v>2.4889105871721853E-4</v>
      </c>
      <c r="M18" s="134">
        <f t="shared" si="100"/>
        <v>2.4889105871721853E-4</v>
      </c>
      <c r="N18" s="134">
        <f t="shared" si="100"/>
        <v>2.4889105871721853E-4</v>
      </c>
      <c r="O18" s="131">
        <v>9.6618899912876528E-4</v>
      </c>
      <c r="P18" s="134">
        <f t="shared" si="100"/>
        <v>9.6618899912876528E-4</v>
      </c>
      <c r="Q18" s="134">
        <f t="shared" si="100"/>
        <v>9.6618899912876528E-4</v>
      </c>
      <c r="R18" s="134">
        <f t="shared" si="100"/>
        <v>9.6618899912876528E-4</v>
      </c>
      <c r="S18" s="134">
        <f t="shared" si="100"/>
        <v>9.6618899912876528E-4</v>
      </c>
      <c r="T18" s="134">
        <f t="shared" si="100"/>
        <v>9.6618899912876528E-4</v>
      </c>
      <c r="U18" s="134">
        <f t="shared" si="100"/>
        <v>9.6618899912876528E-4</v>
      </c>
      <c r="V18" s="134">
        <f t="shared" si="100"/>
        <v>9.6618899912876528E-4</v>
      </c>
      <c r="W18" s="134">
        <f t="shared" si="100"/>
        <v>9.6618899912876528E-4</v>
      </c>
      <c r="X18" s="134">
        <f t="shared" si="100"/>
        <v>9.6618899912876528E-4</v>
      </c>
      <c r="Y18" s="134">
        <f t="shared" si="100"/>
        <v>9.6618899912876528E-4</v>
      </c>
      <c r="Z18" s="134">
        <f t="shared" si="100"/>
        <v>9.6618899912876528E-4</v>
      </c>
      <c r="AA18" s="131">
        <v>6.0468274277493688E-4</v>
      </c>
      <c r="AB18" s="134">
        <f t="shared" si="100"/>
        <v>6.0468274277493688E-4</v>
      </c>
      <c r="AC18" s="134">
        <f t="shared" si="100"/>
        <v>6.0468274277493688E-4</v>
      </c>
      <c r="AD18" s="134">
        <f t="shared" si="100"/>
        <v>6.0468274277493688E-4</v>
      </c>
      <c r="AE18" s="134">
        <f t="shared" si="100"/>
        <v>6.0468274277493688E-4</v>
      </c>
      <c r="AF18" s="134">
        <f t="shared" si="100"/>
        <v>6.0468274277493688E-4</v>
      </c>
      <c r="AG18" s="134">
        <f t="shared" si="100"/>
        <v>6.0468274277493688E-4</v>
      </c>
      <c r="AH18" s="134">
        <f t="shared" si="100"/>
        <v>6.0468274277493688E-4</v>
      </c>
      <c r="AI18" s="134">
        <f t="shared" si="100"/>
        <v>6.0468274277493688E-4</v>
      </c>
      <c r="AJ18" s="134">
        <f t="shared" si="100"/>
        <v>6.0468274277493688E-4</v>
      </c>
      <c r="AK18" s="134">
        <f t="shared" si="100"/>
        <v>6.0468274277493688E-4</v>
      </c>
      <c r="AL18" s="134">
        <f t="shared" si="100"/>
        <v>6.0468274277493688E-4</v>
      </c>
    </row>
    <row r="19" spans="1:38" x14ac:dyDescent="0.35">
      <c r="A19" s="288"/>
      <c r="B19" s="79" t="s">
        <v>54</v>
      </c>
      <c r="C19" s="131">
        <v>-6.7783107808315319E-5</v>
      </c>
      <c r="D19" s="134">
        <f t="shared" si="100"/>
        <v>-6.7783107808315319E-5</v>
      </c>
      <c r="E19" s="134">
        <f t="shared" si="100"/>
        <v>-6.7783107808315319E-5</v>
      </c>
      <c r="F19" s="134">
        <f t="shared" si="100"/>
        <v>-6.7783107808315319E-5</v>
      </c>
      <c r="G19" s="134">
        <f t="shared" si="100"/>
        <v>-6.7783107808315319E-5</v>
      </c>
      <c r="H19" s="134">
        <f t="shared" si="100"/>
        <v>-6.7783107808315319E-5</v>
      </c>
      <c r="I19" s="134">
        <f t="shared" si="100"/>
        <v>-6.7783107808315319E-5</v>
      </c>
      <c r="J19" s="134">
        <f t="shared" si="100"/>
        <v>-6.7783107808315319E-5</v>
      </c>
      <c r="K19" s="134">
        <f t="shared" si="100"/>
        <v>-6.7783107808315319E-5</v>
      </c>
      <c r="L19" s="134">
        <f t="shared" si="100"/>
        <v>-6.7783107808315319E-5</v>
      </c>
      <c r="M19" s="134">
        <f t="shared" si="100"/>
        <v>-6.7783107808315319E-5</v>
      </c>
      <c r="N19" s="134">
        <f t="shared" si="100"/>
        <v>-6.7783107808315319E-5</v>
      </c>
      <c r="O19" s="131">
        <v>8.6183052517347037E-5</v>
      </c>
      <c r="P19" s="134">
        <f t="shared" si="100"/>
        <v>8.6183052517347037E-5</v>
      </c>
      <c r="Q19" s="134">
        <f t="shared" si="100"/>
        <v>8.6183052517347037E-5</v>
      </c>
      <c r="R19" s="134">
        <f t="shared" si="100"/>
        <v>8.6183052517347037E-5</v>
      </c>
      <c r="S19" s="134">
        <f t="shared" si="100"/>
        <v>8.6183052517347037E-5</v>
      </c>
      <c r="T19" s="134">
        <f t="shared" si="100"/>
        <v>8.6183052517347037E-5</v>
      </c>
      <c r="U19" s="134">
        <f t="shared" si="100"/>
        <v>8.6183052517347037E-5</v>
      </c>
      <c r="V19" s="134">
        <f t="shared" si="100"/>
        <v>8.6183052517347037E-5</v>
      </c>
      <c r="W19" s="134">
        <f t="shared" si="100"/>
        <v>8.6183052517347037E-5</v>
      </c>
      <c r="X19" s="134">
        <f t="shared" si="100"/>
        <v>8.6183052517347037E-5</v>
      </c>
      <c r="Y19" s="134">
        <f t="shared" si="100"/>
        <v>8.6183052517347037E-5</v>
      </c>
      <c r="Z19" s="134">
        <f t="shared" si="100"/>
        <v>8.6183052517347037E-5</v>
      </c>
      <c r="AA19" s="131">
        <v>-4.2938209831744348E-5</v>
      </c>
      <c r="AB19" s="134">
        <f t="shared" si="100"/>
        <v>-4.2938209831744348E-5</v>
      </c>
      <c r="AC19" s="134">
        <f t="shared" si="100"/>
        <v>-4.2938209831744348E-5</v>
      </c>
      <c r="AD19" s="134">
        <f t="shared" si="100"/>
        <v>-4.2938209831744348E-5</v>
      </c>
      <c r="AE19" s="134">
        <f t="shared" si="100"/>
        <v>-4.2938209831744348E-5</v>
      </c>
      <c r="AF19" s="134">
        <f t="shared" si="100"/>
        <v>-4.2938209831744348E-5</v>
      </c>
      <c r="AG19" s="134">
        <f t="shared" si="100"/>
        <v>-4.2938209831744348E-5</v>
      </c>
      <c r="AH19" s="134">
        <f t="shared" si="100"/>
        <v>-4.2938209831744348E-5</v>
      </c>
      <c r="AI19" s="134">
        <f t="shared" si="100"/>
        <v>-4.2938209831744348E-5</v>
      </c>
      <c r="AJ19" s="134">
        <f t="shared" si="100"/>
        <v>-4.2938209831744348E-5</v>
      </c>
      <c r="AK19" s="134">
        <f t="shared" si="100"/>
        <v>-4.2938209831744348E-5</v>
      </c>
      <c r="AL19" s="134">
        <f t="shared" si="100"/>
        <v>-4.2938209831744348E-5</v>
      </c>
    </row>
    <row r="20" spans="1:38" x14ac:dyDescent="0.35">
      <c r="A20" s="288"/>
      <c r="B20" s="79" t="s">
        <v>63</v>
      </c>
      <c r="C20" s="68">
        <f t="shared" ref="C20:D20" si="101">IF(C17="","",SUM(C18:C19))</f>
        <v>1.8110795090890323E-4</v>
      </c>
      <c r="D20" s="68">
        <f t="shared" si="101"/>
        <v>1.8110795090890323E-4</v>
      </c>
      <c r="E20" s="68">
        <f t="shared" ref="E20:F20" si="102">IF(E17="","",SUM(E18:E19))</f>
        <v>1.8110795090890323E-4</v>
      </c>
      <c r="F20" s="68">
        <f t="shared" si="102"/>
        <v>1.8110795090890323E-4</v>
      </c>
      <c r="G20" s="68">
        <f t="shared" ref="G20:H20" si="103">IF(G17="","",SUM(G18:G19))</f>
        <v>1.8110795090890323E-4</v>
      </c>
      <c r="H20" s="68">
        <f t="shared" si="103"/>
        <v>1.8110795090890323E-4</v>
      </c>
      <c r="I20" s="68">
        <f t="shared" ref="I20:J20" si="104">IF(I17="","",SUM(I18:I19))</f>
        <v>1.8110795090890323E-4</v>
      </c>
      <c r="J20" s="68">
        <f t="shared" si="104"/>
        <v>1.8110795090890323E-4</v>
      </c>
      <c r="K20" s="68">
        <f t="shared" ref="K20:L20" si="105">IF(K17="","",SUM(K18:K19))</f>
        <v>1.8110795090890323E-4</v>
      </c>
      <c r="L20" s="68">
        <f t="shared" si="105"/>
        <v>1.8110795090890323E-4</v>
      </c>
      <c r="M20" s="68">
        <f t="shared" ref="M20:N20" si="106">IF(M17="","",SUM(M18:M19))</f>
        <v>1.8110795090890323E-4</v>
      </c>
      <c r="N20" s="68">
        <f t="shared" si="106"/>
        <v>1.8110795090890323E-4</v>
      </c>
      <c r="O20" s="68">
        <f t="shared" ref="O20:P20" si="107">IF(O17="","",SUM(O18:O19))</f>
        <v>1.0523720516461123E-3</v>
      </c>
      <c r="P20" s="68">
        <f t="shared" si="107"/>
        <v>1.0523720516461123E-3</v>
      </c>
      <c r="Q20" s="68">
        <f t="shared" ref="Q20:R20" si="108">IF(Q17="","",SUM(Q18:Q19))</f>
        <v>1.0523720516461123E-3</v>
      </c>
      <c r="R20" s="68">
        <f t="shared" si="108"/>
        <v>1.0523720516461123E-3</v>
      </c>
      <c r="S20" s="68">
        <f t="shared" ref="S20:T20" si="109">IF(S17="","",SUM(S18:S19))</f>
        <v>1.0523720516461123E-3</v>
      </c>
      <c r="T20" s="68">
        <f t="shared" si="109"/>
        <v>1.0523720516461123E-3</v>
      </c>
      <c r="U20" s="68">
        <f t="shared" ref="U20:V20" si="110">IF(U17="","",SUM(U18:U19))</f>
        <v>1.0523720516461123E-3</v>
      </c>
      <c r="V20" s="68">
        <f t="shared" si="110"/>
        <v>1.0523720516461123E-3</v>
      </c>
      <c r="W20" s="68">
        <f t="shared" ref="W20:X20" si="111">IF(W17="","",SUM(W18:W19))</f>
        <v>1.0523720516461123E-3</v>
      </c>
      <c r="X20" s="68">
        <f t="shared" si="111"/>
        <v>1.0523720516461123E-3</v>
      </c>
      <c r="Y20" s="68">
        <f t="shared" ref="Y20:Z20" si="112">IF(Y17="","",SUM(Y18:Y19))</f>
        <v>1.0523720516461123E-3</v>
      </c>
      <c r="Z20" s="68">
        <f t="shared" si="112"/>
        <v>1.0523720516461123E-3</v>
      </c>
      <c r="AA20" s="68">
        <f t="shared" ref="AA20:AB20" si="113">IF(AA17="","",SUM(AA18:AA19))</f>
        <v>5.6174453294319249E-4</v>
      </c>
      <c r="AB20" s="68">
        <f t="shared" si="113"/>
        <v>5.6174453294319249E-4</v>
      </c>
      <c r="AC20" s="68">
        <f t="shared" ref="AC20:AD20" si="114">IF(AC17="","",SUM(AC18:AC19))</f>
        <v>5.6174453294319249E-4</v>
      </c>
      <c r="AD20" s="68">
        <f t="shared" si="114"/>
        <v>5.6174453294319249E-4</v>
      </c>
      <c r="AE20" s="68">
        <f t="shared" ref="AE20:AF20" si="115">IF(AE17="","",SUM(AE18:AE19))</f>
        <v>5.6174453294319249E-4</v>
      </c>
      <c r="AF20" s="68">
        <f t="shared" si="115"/>
        <v>5.6174453294319249E-4</v>
      </c>
      <c r="AG20" s="68">
        <f t="shared" ref="AG20:AH20" si="116">IF(AG17="","",SUM(AG18:AG19))</f>
        <v>5.6174453294319249E-4</v>
      </c>
      <c r="AH20" s="68">
        <f t="shared" si="116"/>
        <v>5.6174453294319249E-4</v>
      </c>
      <c r="AI20" s="68">
        <f t="shared" ref="AI20:AJ20" si="117">IF(AI17="","",SUM(AI18:AI19))</f>
        <v>5.6174453294319249E-4</v>
      </c>
      <c r="AJ20" s="68">
        <f t="shared" si="117"/>
        <v>5.6174453294319249E-4</v>
      </c>
      <c r="AK20" s="68">
        <f t="shared" ref="AK20:AL20" si="118">IF(AK17="","",SUM(AK18:AK19))</f>
        <v>5.6174453294319249E-4</v>
      </c>
      <c r="AL20" s="68">
        <f t="shared" si="118"/>
        <v>5.6174453294319249E-4</v>
      </c>
    </row>
    <row r="21" spans="1:38" x14ac:dyDescent="0.35">
      <c r="A21" s="288"/>
      <c r="B21" s="79" t="s">
        <v>56</v>
      </c>
      <c r="C21" s="72">
        <f t="shared" ref="C21:D21" si="119">IF(C17="","",IFERROR(C19/C20,""))</f>
        <v>-0.37426908906064554</v>
      </c>
      <c r="D21" s="72">
        <f t="shared" si="119"/>
        <v>-0.37426908906064554</v>
      </c>
      <c r="E21" s="72">
        <f t="shared" ref="E21:F21" si="120">IF(E17="","",IFERROR(E19/E20,""))</f>
        <v>-0.37426908906064554</v>
      </c>
      <c r="F21" s="72">
        <f t="shared" si="120"/>
        <v>-0.37426908906064554</v>
      </c>
      <c r="G21" s="72">
        <f t="shared" ref="G21:H21" si="121">IF(G17="","",IFERROR(G19/G20,""))</f>
        <v>-0.37426908906064554</v>
      </c>
      <c r="H21" s="72">
        <f t="shared" si="121"/>
        <v>-0.37426908906064554</v>
      </c>
      <c r="I21" s="72">
        <f t="shared" ref="I21:J21" si="122">IF(I17="","",IFERROR(I19/I20,""))</f>
        <v>-0.37426908906064554</v>
      </c>
      <c r="J21" s="72">
        <f t="shared" si="122"/>
        <v>-0.37426908906064554</v>
      </c>
      <c r="K21" s="72">
        <f t="shared" ref="K21:L21" si="123">IF(K17="","",IFERROR(K19/K20,""))</f>
        <v>-0.37426908906064554</v>
      </c>
      <c r="L21" s="72">
        <f t="shared" si="123"/>
        <v>-0.37426908906064554</v>
      </c>
      <c r="M21" s="72">
        <f t="shared" ref="M21:N21" si="124">IF(M17="","",IFERROR(M19/M20,""))</f>
        <v>-0.37426908906064554</v>
      </c>
      <c r="N21" s="72">
        <f t="shared" si="124"/>
        <v>-0.37426908906064554</v>
      </c>
      <c r="O21" s="72">
        <f t="shared" ref="O21:P21" si="125">IF(O17="","",IFERROR(O19/O20,""))</f>
        <v>8.189409095627366E-2</v>
      </c>
      <c r="P21" s="72">
        <f t="shared" si="125"/>
        <v>8.189409095627366E-2</v>
      </c>
      <c r="Q21" s="72">
        <f t="shared" ref="Q21:R21" si="126">IF(Q17="","",IFERROR(Q19/Q20,""))</f>
        <v>8.189409095627366E-2</v>
      </c>
      <c r="R21" s="72">
        <f t="shared" si="126"/>
        <v>8.189409095627366E-2</v>
      </c>
      <c r="S21" s="72">
        <f t="shared" ref="S21:T21" si="127">IF(S17="","",IFERROR(S19/S20,""))</f>
        <v>8.189409095627366E-2</v>
      </c>
      <c r="T21" s="72">
        <f t="shared" si="127"/>
        <v>8.189409095627366E-2</v>
      </c>
      <c r="U21" s="72">
        <f t="shared" ref="U21:V21" si="128">IF(U17="","",IFERROR(U19/U20,""))</f>
        <v>8.189409095627366E-2</v>
      </c>
      <c r="V21" s="72">
        <f t="shared" si="128"/>
        <v>8.189409095627366E-2</v>
      </c>
      <c r="W21" s="72">
        <f t="shared" ref="W21:X21" si="129">IF(W17="","",IFERROR(W19/W20,""))</f>
        <v>8.189409095627366E-2</v>
      </c>
      <c r="X21" s="72">
        <f t="shared" si="129"/>
        <v>8.189409095627366E-2</v>
      </c>
      <c r="Y21" s="72">
        <f t="shared" ref="Y21:Z21" si="130">IF(Y17="","",IFERROR(Y19/Y20,""))</f>
        <v>8.189409095627366E-2</v>
      </c>
      <c r="Z21" s="72">
        <f t="shared" si="130"/>
        <v>8.189409095627366E-2</v>
      </c>
      <c r="AA21" s="72">
        <f t="shared" ref="AA21:AB21" si="131">IF(AA17="","",IFERROR(AA19/AA20,""))</f>
        <v>-7.643725450566434E-2</v>
      </c>
      <c r="AB21" s="72">
        <f t="shared" si="131"/>
        <v>-7.643725450566434E-2</v>
      </c>
      <c r="AC21" s="72">
        <f t="shared" ref="AC21:AD21" si="132">IF(AC17="","",IFERROR(AC19/AC20,""))</f>
        <v>-7.643725450566434E-2</v>
      </c>
      <c r="AD21" s="72">
        <f t="shared" si="132"/>
        <v>-7.643725450566434E-2</v>
      </c>
      <c r="AE21" s="72">
        <f t="shared" ref="AE21:AF21" si="133">IF(AE17="","",IFERROR(AE19/AE20,""))</f>
        <v>-7.643725450566434E-2</v>
      </c>
      <c r="AF21" s="72">
        <f t="shared" si="133"/>
        <v>-7.643725450566434E-2</v>
      </c>
      <c r="AG21" s="72">
        <f t="shared" ref="AG21:AH21" si="134">IF(AG17="","",IFERROR(AG19/AG20,""))</f>
        <v>-7.643725450566434E-2</v>
      </c>
      <c r="AH21" s="72">
        <f t="shared" si="134"/>
        <v>-7.643725450566434E-2</v>
      </c>
      <c r="AI21" s="72">
        <f t="shared" ref="AI21:AJ21" si="135">IF(AI17="","",IFERROR(AI19/AI20,""))</f>
        <v>-7.643725450566434E-2</v>
      </c>
      <c r="AJ21" s="72">
        <f t="shared" si="135"/>
        <v>-7.643725450566434E-2</v>
      </c>
      <c r="AK21" s="72">
        <f t="shared" ref="AK21:AL21" si="136">IF(AK17="","",IFERROR(AK19/AK20,""))</f>
        <v>-7.643725450566434E-2</v>
      </c>
      <c r="AL21" s="72">
        <f t="shared" si="136"/>
        <v>-7.643725450566434E-2</v>
      </c>
    </row>
    <row r="22" spans="1:38" x14ac:dyDescent="0.35">
      <c r="A22" s="288"/>
      <c r="B22" s="80" t="s">
        <v>57</v>
      </c>
      <c r="C22" s="70">
        <f t="shared" ref="C22:D22" si="137">IF(C17="","",ROUND(C21*C17,2))</f>
        <v>-40612.01</v>
      </c>
      <c r="D22" s="70">
        <f t="shared" si="137"/>
        <v>-38351.11</v>
      </c>
      <c r="E22" s="70">
        <f t="shared" ref="E22:F22" si="138">IF(E17="","",ROUND(E21*E17,2))</f>
        <v>-32774.379999999997</v>
      </c>
      <c r="F22" s="70">
        <f t="shared" si="138"/>
        <v>-30569.17</v>
      </c>
      <c r="G22" s="70">
        <f t="shared" ref="G22:H22" si="139">IF(G17="","",ROUND(G21*G17,2))</f>
        <v>-36225.06</v>
      </c>
      <c r="H22" s="70">
        <f t="shared" si="139"/>
        <v>-42295.91</v>
      </c>
      <c r="I22" s="70">
        <f t="shared" ref="I22:J22" si="140">IF(I17="","",ROUND(I21*I17,2))</f>
        <v>-42141.33</v>
      </c>
      <c r="J22" s="70">
        <f t="shared" si="140"/>
        <v>-41942.74</v>
      </c>
      <c r="K22" s="70">
        <f t="shared" ref="K22:L22" si="141">IF(K17="","",ROUND(K21*K17,2))</f>
        <v>-35788.269999999997</v>
      </c>
      <c r="L22" s="70">
        <f t="shared" si="141"/>
        <v>-34863.54</v>
      </c>
      <c r="M22" s="70">
        <f t="shared" ref="M22:N22" si="142">IF(M17="","",ROUND(M21*M17,2))</f>
        <v>-37469.9</v>
      </c>
      <c r="N22" s="70">
        <f t="shared" si="142"/>
        <v>-40157.82</v>
      </c>
      <c r="O22" s="70">
        <f t="shared" ref="O22:P22" si="143">IF(O17="","",ROUND(O21*O17,2))</f>
        <v>26804.880000000001</v>
      </c>
      <c r="P22" s="70">
        <f t="shared" si="143"/>
        <v>46741.51</v>
      </c>
      <c r="Q22" s="70">
        <f t="shared" ref="Q22:R22" si="144">IF(Q17="","",ROUND(Q21*Q17,2))</f>
        <v>41624.800000000003</v>
      </c>
      <c r="R22" s="70">
        <f t="shared" si="144"/>
        <v>42397.51</v>
      </c>
      <c r="S22" s="70">
        <f t="shared" ref="S22:T22" si="145">IF(S17="","",ROUND(S21*S17,2))</f>
        <v>47114.93</v>
      </c>
      <c r="T22" s="70">
        <f t="shared" si="145"/>
        <v>55182.37</v>
      </c>
      <c r="U22" s="70">
        <f t="shared" ref="U22:V22" si="146">IF(U17="","",ROUND(U21*U17,2))</f>
        <v>54689.09</v>
      </c>
      <c r="V22" s="70">
        <f t="shared" si="146"/>
        <v>55739.85</v>
      </c>
      <c r="W22" s="70">
        <f t="shared" ref="W22:X22" si="147">IF(W17="","",ROUND(W21*W17,2))</f>
        <v>48995.69</v>
      </c>
      <c r="X22" s="70">
        <f t="shared" si="147"/>
        <v>43533.32</v>
      </c>
      <c r="Y22" s="70">
        <f t="shared" ref="Y22:Z22" si="148">IF(Y17="","",ROUND(Y21*Y17,2))</f>
        <v>47580.19</v>
      </c>
      <c r="Z22" s="70">
        <f t="shared" si="148"/>
        <v>50865.22</v>
      </c>
      <c r="AA22" s="70">
        <f t="shared" ref="AA22:AB22" si="149">IF(AA17="","",ROUND(AA21*AA17,2))</f>
        <v>-38543.78</v>
      </c>
      <c r="AB22" s="70">
        <f t="shared" si="149"/>
        <v>-23075.85</v>
      </c>
      <c r="AC22" s="70">
        <f t="shared" ref="AC22:AD22" si="150">IF(AC17="","",ROUND(AC21*AC17,2))</f>
        <v>-21444.13</v>
      </c>
      <c r="AD22" s="70">
        <f t="shared" si="150"/>
        <v>-22179.41</v>
      </c>
      <c r="AE22" s="70">
        <f t="shared" ref="AE22:AF22" si="151">IF(AE17="","",ROUND(AE21*AE17,2))</f>
        <v>-24889.02</v>
      </c>
      <c r="AF22" s="70">
        <f t="shared" si="151"/>
        <v>-27910.6</v>
      </c>
      <c r="AG22" s="70">
        <f t="shared" ref="AG22:AH22" si="152">IF(AG17="","",ROUND(AG21*AG17,2))</f>
        <v>-27712.27</v>
      </c>
      <c r="AH22" s="70">
        <f t="shared" si="152"/>
        <v>-26504</v>
      </c>
      <c r="AI22" s="70">
        <f t="shared" ref="AI22:AJ22" si="153">IF(AI17="","",ROUND(AI21*AI17,2))</f>
        <v>-22775.33</v>
      </c>
      <c r="AJ22" s="70">
        <f t="shared" si="153"/>
        <v>-21687.3</v>
      </c>
      <c r="AK22" s="70">
        <f t="shared" ref="AK22:AL22" si="154">IF(AK17="","",ROUND(AK21*AK17,2))</f>
        <v>-24071.79</v>
      </c>
      <c r="AL22" s="70">
        <f t="shared" si="154"/>
        <v>-26349.18</v>
      </c>
    </row>
    <row r="23" spans="1:38" x14ac:dyDescent="0.35">
      <c r="A23" s="83"/>
      <c r="B23" s="8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row>
    <row r="24" spans="1:38" x14ac:dyDescent="0.35">
      <c r="A24" s="288" t="s">
        <v>36</v>
      </c>
      <c r="B24" s="79" t="s">
        <v>53</v>
      </c>
      <c r="C24" s="69">
        <f>IF(+'M3 Allocations - TD'!O54="","",'M3 Allocations - TD'!O54)</f>
        <v>45259.54</v>
      </c>
      <c r="D24" s="69">
        <f>IF(+'M3 Allocations - TD'!P54="","",'M3 Allocations - TD'!P54)</f>
        <v>39182.19</v>
      </c>
      <c r="E24" s="69">
        <f>IF(+'M3 Allocations - TD'!Q54="","",'M3 Allocations - TD'!Q54)</f>
        <v>38273.29</v>
      </c>
      <c r="F24" s="69">
        <f>IF(+'M3 Allocations - TD'!R54="","",'M3 Allocations - TD'!R54)</f>
        <v>36030.870000000003</v>
      </c>
      <c r="G24" s="69">
        <f>IF(+'M3 Allocations - TD'!S54="","",'M3 Allocations - TD'!S54)</f>
        <v>41962.67</v>
      </c>
      <c r="H24" s="69">
        <f>IF(+'M3 Allocations - TD'!T54="","",'M3 Allocations - TD'!T54)</f>
        <v>44167.05</v>
      </c>
      <c r="I24" s="69">
        <f>IF(+'M3 Allocations - TD'!U54="","",'M3 Allocations - TD'!U54)</f>
        <v>46294.41</v>
      </c>
      <c r="J24" s="69">
        <f>IF(+'M3 Allocations - TD'!V54="","",'M3 Allocations - TD'!V54)</f>
        <v>46306.19</v>
      </c>
      <c r="K24" s="69">
        <f>IF(+'M3 Allocations - TD'!W54="","",'M3 Allocations - TD'!W54)</f>
        <v>41160.14</v>
      </c>
      <c r="L24" s="69">
        <f>IF(+'M3 Allocations - TD'!X54="","",'M3 Allocations - TD'!X54)</f>
        <v>40868.620000000003</v>
      </c>
      <c r="M24" s="69">
        <f>IF(+'M3 Allocations - TD'!Y54="","",'M3 Allocations - TD'!Y54)</f>
        <v>42762.14</v>
      </c>
      <c r="N24" s="69">
        <f>IF(+'M3 Allocations - TD'!Z54="","",'M3 Allocations - TD'!Z54)</f>
        <v>41986.66</v>
      </c>
      <c r="O24" s="69">
        <f>IF(+'M3 Allocations - TD'!AA54="","",'M3 Allocations - TD'!AA54)</f>
        <v>113037.43</v>
      </c>
      <c r="P24" s="69">
        <f>IF(+'M3 Allocations - TD'!AB54="","",'M3 Allocations - TD'!AB54)</f>
        <v>187949.41</v>
      </c>
      <c r="Q24" s="69">
        <f>IF(+'M3 Allocations - TD'!AC54="","",'M3 Allocations - TD'!AC54)</f>
        <v>188602.4</v>
      </c>
      <c r="R24" s="69">
        <f>IF(+'M3 Allocations - TD'!AD54="","",'M3 Allocations - TD'!AD54)</f>
        <v>195382.67</v>
      </c>
      <c r="S24" s="69">
        <f>IF(+'M3 Allocations - TD'!AE54="","",'M3 Allocations - TD'!AE54)</f>
        <v>188207.84</v>
      </c>
      <c r="T24" s="69">
        <f>IF(+'M3 Allocations - TD'!AF54="","",'M3 Allocations - TD'!AF54)</f>
        <v>251615.09</v>
      </c>
      <c r="U24" s="69">
        <f>IF(+'M3 Allocations - TD'!AG54="","",'M3 Allocations - TD'!AG54)</f>
        <v>231015.31</v>
      </c>
      <c r="V24" s="69">
        <f>IF(+'M3 Allocations - TD'!AH54="","",'M3 Allocations - TD'!AH54)</f>
        <v>233947.55</v>
      </c>
      <c r="W24" s="69">
        <f>IF(+'M3 Allocations - TD'!AI54="","",'M3 Allocations - TD'!AI54)</f>
        <v>202010.25</v>
      </c>
      <c r="X24" s="69">
        <f>IF(+'M3 Allocations - TD'!AJ54="","",'M3 Allocations - TD'!AJ54)</f>
        <v>176212.48000000001</v>
      </c>
      <c r="Y24" s="69">
        <f>IF(+'M3 Allocations - TD'!AK54="","",'M3 Allocations - TD'!AK54)</f>
        <v>231619.08</v>
      </c>
      <c r="Z24" s="69">
        <f>IF(+'M3 Allocations - TD'!AL54="","",'M3 Allocations - TD'!AL54)</f>
        <v>223678.57</v>
      </c>
      <c r="AA24" s="69">
        <f>IF(+'M3 Allocations - TD'!AM54="","",'M3 Allocations - TD'!AM54)</f>
        <v>167453.84</v>
      </c>
      <c r="AB24" s="69">
        <f>IF(+'M3 Allocations - TD'!AN54="","",'M3 Allocations - TD'!AN54)</f>
        <v>87280.08</v>
      </c>
      <c r="AC24" s="69">
        <f>IF(+'M3 Allocations - TD'!AO54="","",'M3 Allocations - TD'!AO54)</f>
        <v>74518.28</v>
      </c>
      <c r="AD24" s="69">
        <f>IF(+'M3 Allocations - TD'!AP54="","",'M3 Allocations - TD'!AP54)</f>
        <v>87009.31</v>
      </c>
      <c r="AE24" s="69">
        <f>IF(+'M3 Allocations - TD'!AQ54="","",'M3 Allocations - TD'!AQ54)</f>
        <v>99059.55</v>
      </c>
      <c r="AF24" s="69">
        <f>IF(+'M3 Allocations - TD'!AR54="","",'M3 Allocations - TD'!AR54)</f>
        <v>102989.08</v>
      </c>
      <c r="AG24" s="69">
        <f>IF(+'M3 Allocations - TD'!AS54="","",'M3 Allocations - TD'!AS54)</f>
        <v>102162.93</v>
      </c>
      <c r="AH24" s="69">
        <f>IF(+'M3 Allocations - TD'!AT54="","",'M3 Allocations - TD'!AT54)</f>
        <v>99521.61</v>
      </c>
      <c r="AI24" s="69">
        <f>IF(+'M3 Allocations - TD'!AU54="","",'M3 Allocations - TD'!AU54)</f>
        <v>88233.75</v>
      </c>
      <c r="AJ24" s="69">
        <f>IF(+'M3 Allocations - TD'!AV54="","",'M3 Allocations - TD'!AV54)</f>
        <v>85907.644962659659</v>
      </c>
      <c r="AK24" s="69">
        <f>IF(+'M3 Allocations - TD'!AW54="","",'M3 Allocations - TD'!AW54)</f>
        <v>89526.242105336627</v>
      </c>
      <c r="AL24" s="69">
        <f>IF(+'M3 Allocations - TD'!AX54="","",'M3 Allocations - TD'!AX54)</f>
        <v>92999.865321237914</v>
      </c>
    </row>
    <row r="25" spans="1:38" x14ac:dyDescent="0.35">
      <c r="A25" s="288"/>
      <c r="B25" s="79" t="s">
        <v>55</v>
      </c>
      <c r="C25" s="130">
        <v>2.5367471035843018E-4</v>
      </c>
      <c r="D25" s="134">
        <f t="shared" ref="D25:AL26" si="155">IF(D24="","",C25)</f>
        <v>2.5367471035843018E-4</v>
      </c>
      <c r="E25" s="134">
        <f t="shared" si="155"/>
        <v>2.5367471035843018E-4</v>
      </c>
      <c r="F25" s="134">
        <f t="shared" si="155"/>
        <v>2.5367471035843018E-4</v>
      </c>
      <c r="G25" s="134">
        <f t="shared" si="155"/>
        <v>2.5367471035843018E-4</v>
      </c>
      <c r="H25" s="134">
        <f t="shared" si="155"/>
        <v>2.5367471035843018E-4</v>
      </c>
      <c r="I25" s="134">
        <f t="shared" si="155"/>
        <v>2.5367471035843018E-4</v>
      </c>
      <c r="J25" s="134">
        <f t="shared" si="155"/>
        <v>2.5367471035843018E-4</v>
      </c>
      <c r="K25" s="134">
        <f t="shared" si="155"/>
        <v>2.5367471035843018E-4</v>
      </c>
      <c r="L25" s="134">
        <f t="shared" si="155"/>
        <v>2.5367471035843018E-4</v>
      </c>
      <c r="M25" s="134">
        <f t="shared" si="155"/>
        <v>2.5367471035843018E-4</v>
      </c>
      <c r="N25" s="134">
        <f t="shared" si="155"/>
        <v>2.5367471035843018E-4</v>
      </c>
      <c r="O25" s="131">
        <v>8.3774060384398373E-4</v>
      </c>
      <c r="P25" s="134">
        <f t="shared" si="155"/>
        <v>8.3774060384398373E-4</v>
      </c>
      <c r="Q25" s="134">
        <f t="shared" si="155"/>
        <v>8.3774060384398373E-4</v>
      </c>
      <c r="R25" s="134">
        <f t="shared" si="155"/>
        <v>8.3774060384398373E-4</v>
      </c>
      <c r="S25" s="134">
        <f t="shared" si="155"/>
        <v>8.3774060384398373E-4</v>
      </c>
      <c r="T25" s="134">
        <f t="shared" si="155"/>
        <v>8.3774060384398373E-4</v>
      </c>
      <c r="U25" s="134">
        <f t="shared" si="155"/>
        <v>8.3774060384398373E-4</v>
      </c>
      <c r="V25" s="134">
        <f t="shared" si="155"/>
        <v>8.3774060384398373E-4</v>
      </c>
      <c r="W25" s="134">
        <f t="shared" si="155"/>
        <v>8.3774060384398373E-4</v>
      </c>
      <c r="X25" s="134">
        <f t="shared" si="155"/>
        <v>8.3774060384398373E-4</v>
      </c>
      <c r="Y25" s="134">
        <f t="shared" si="155"/>
        <v>8.3774060384398373E-4</v>
      </c>
      <c r="Z25" s="134">
        <f t="shared" si="155"/>
        <v>8.3774060384398373E-4</v>
      </c>
      <c r="AA25" s="131">
        <v>5.200153279680842E-4</v>
      </c>
      <c r="AB25" s="134">
        <f t="shared" si="155"/>
        <v>5.200153279680842E-4</v>
      </c>
      <c r="AC25" s="134">
        <f t="shared" si="155"/>
        <v>5.200153279680842E-4</v>
      </c>
      <c r="AD25" s="134">
        <f t="shared" si="155"/>
        <v>5.200153279680842E-4</v>
      </c>
      <c r="AE25" s="134">
        <f t="shared" si="155"/>
        <v>5.200153279680842E-4</v>
      </c>
      <c r="AF25" s="134">
        <f t="shared" si="155"/>
        <v>5.200153279680842E-4</v>
      </c>
      <c r="AG25" s="134">
        <f t="shared" si="155"/>
        <v>5.200153279680842E-4</v>
      </c>
      <c r="AH25" s="134">
        <f t="shared" si="155"/>
        <v>5.200153279680842E-4</v>
      </c>
      <c r="AI25" s="134">
        <f t="shared" si="155"/>
        <v>5.200153279680842E-4</v>
      </c>
      <c r="AJ25" s="134">
        <f t="shared" si="155"/>
        <v>5.200153279680842E-4</v>
      </c>
      <c r="AK25" s="134">
        <f t="shared" si="155"/>
        <v>5.200153279680842E-4</v>
      </c>
      <c r="AL25" s="134">
        <f t="shared" si="155"/>
        <v>5.200153279680842E-4</v>
      </c>
    </row>
    <row r="26" spans="1:38" x14ac:dyDescent="0.35">
      <c r="A26" s="288"/>
      <c r="B26" s="79" t="s">
        <v>54</v>
      </c>
      <c r="C26" s="131">
        <v>-7.9632920155371304E-5</v>
      </c>
      <c r="D26" s="134">
        <f t="shared" si="155"/>
        <v>-7.9632920155371304E-5</v>
      </c>
      <c r="E26" s="134">
        <f t="shared" si="155"/>
        <v>-7.9632920155371304E-5</v>
      </c>
      <c r="F26" s="134">
        <f t="shared" si="155"/>
        <v>-7.9632920155371304E-5</v>
      </c>
      <c r="G26" s="134">
        <f t="shared" si="155"/>
        <v>-7.9632920155371304E-5</v>
      </c>
      <c r="H26" s="134">
        <f t="shared" si="155"/>
        <v>-7.9632920155371304E-5</v>
      </c>
      <c r="I26" s="134">
        <f t="shared" si="155"/>
        <v>-7.9632920155371304E-5</v>
      </c>
      <c r="J26" s="134">
        <f t="shared" si="155"/>
        <v>-7.9632920155371304E-5</v>
      </c>
      <c r="K26" s="134">
        <f t="shared" si="155"/>
        <v>-7.9632920155371304E-5</v>
      </c>
      <c r="L26" s="134">
        <f t="shared" si="155"/>
        <v>-7.9632920155371304E-5</v>
      </c>
      <c r="M26" s="134">
        <f t="shared" si="155"/>
        <v>-7.9632920155371304E-5</v>
      </c>
      <c r="N26" s="134">
        <f t="shared" si="155"/>
        <v>-7.9632920155371304E-5</v>
      </c>
      <c r="O26" s="131">
        <v>4.0604417384412134E-5</v>
      </c>
      <c r="P26" s="134">
        <f t="shared" si="155"/>
        <v>4.0604417384412134E-5</v>
      </c>
      <c r="Q26" s="134">
        <f t="shared" si="155"/>
        <v>4.0604417384412134E-5</v>
      </c>
      <c r="R26" s="134">
        <f t="shared" si="155"/>
        <v>4.0604417384412134E-5</v>
      </c>
      <c r="S26" s="134">
        <f t="shared" si="155"/>
        <v>4.0604417384412134E-5</v>
      </c>
      <c r="T26" s="134">
        <f t="shared" si="155"/>
        <v>4.0604417384412134E-5</v>
      </c>
      <c r="U26" s="134">
        <f t="shared" si="155"/>
        <v>4.0604417384412134E-5</v>
      </c>
      <c r="V26" s="134">
        <f t="shared" si="155"/>
        <v>4.0604417384412134E-5</v>
      </c>
      <c r="W26" s="134">
        <f t="shared" si="155"/>
        <v>4.0604417384412134E-5</v>
      </c>
      <c r="X26" s="134">
        <f t="shared" si="155"/>
        <v>4.0604417384412134E-5</v>
      </c>
      <c r="Y26" s="134">
        <f t="shared" si="155"/>
        <v>4.0604417384412134E-5</v>
      </c>
      <c r="Z26" s="134">
        <f t="shared" si="155"/>
        <v>4.0604417384412134E-5</v>
      </c>
      <c r="AA26" s="131">
        <v>-1.3502250027566654E-4</v>
      </c>
      <c r="AB26" s="134">
        <f t="shared" si="155"/>
        <v>-1.3502250027566654E-4</v>
      </c>
      <c r="AC26" s="134">
        <f t="shared" si="155"/>
        <v>-1.3502250027566654E-4</v>
      </c>
      <c r="AD26" s="134">
        <f t="shared" si="155"/>
        <v>-1.3502250027566654E-4</v>
      </c>
      <c r="AE26" s="134">
        <f t="shared" si="155"/>
        <v>-1.3502250027566654E-4</v>
      </c>
      <c r="AF26" s="134">
        <f t="shared" si="155"/>
        <v>-1.3502250027566654E-4</v>
      </c>
      <c r="AG26" s="134">
        <f t="shared" si="155"/>
        <v>-1.3502250027566654E-4</v>
      </c>
      <c r="AH26" s="134">
        <f t="shared" si="155"/>
        <v>-1.3502250027566654E-4</v>
      </c>
      <c r="AI26" s="134">
        <f t="shared" si="155"/>
        <v>-1.3502250027566654E-4</v>
      </c>
      <c r="AJ26" s="134">
        <f t="shared" si="155"/>
        <v>-1.3502250027566654E-4</v>
      </c>
      <c r="AK26" s="134">
        <f t="shared" si="155"/>
        <v>-1.3502250027566654E-4</v>
      </c>
      <c r="AL26" s="134">
        <f t="shared" si="155"/>
        <v>-1.3502250027566654E-4</v>
      </c>
    </row>
    <row r="27" spans="1:38" x14ac:dyDescent="0.35">
      <c r="A27" s="288"/>
      <c r="B27" s="79" t="s">
        <v>63</v>
      </c>
      <c r="C27" s="68">
        <f t="shared" ref="C27:D27" si="156">IF(C24="","",SUM(C25:C26))</f>
        <v>1.7404179020305888E-4</v>
      </c>
      <c r="D27" s="68">
        <f t="shared" si="156"/>
        <v>1.7404179020305888E-4</v>
      </c>
      <c r="E27" s="68">
        <f t="shared" ref="E27:F27" si="157">IF(E24="","",SUM(E25:E26))</f>
        <v>1.7404179020305888E-4</v>
      </c>
      <c r="F27" s="68">
        <f t="shared" si="157"/>
        <v>1.7404179020305888E-4</v>
      </c>
      <c r="G27" s="68">
        <f t="shared" ref="G27:H27" si="158">IF(G24="","",SUM(G25:G26))</f>
        <v>1.7404179020305888E-4</v>
      </c>
      <c r="H27" s="68">
        <f t="shared" si="158"/>
        <v>1.7404179020305888E-4</v>
      </c>
      <c r="I27" s="68">
        <f t="shared" ref="I27:J27" si="159">IF(I24="","",SUM(I25:I26))</f>
        <v>1.7404179020305888E-4</v>
      </c>
      <c r="J27" s="68">
        <f t="shared" si="159"/>
        <v>1.7404179020305888E-4</v>
      </c>
      <c r="K27" s="68">
        <f t="shared" ref="K27:L27" si="160">IF(K24="","",SUM(K25:K26))</f>
        <v>1.7404179020305888E-4</v>
      </c>
      <c r="L27" s="68">
        <f t="shared" si="160"/>
        <v>1.7404179020305888E-4</v>
      </c>
      <c r="M27" s="68">
        <f t="shared" ref="M27:N27" si="161">IF(M24="","",SUM(M25:M26))</f>
        <v>1.7404179020305888E-4</v>
      </c>
      <c r="N27" s="68">
        <f t="shared" si="161"/>
        <v>1.7404179020305888E-4</v>
      </c>
      <c r="O27" s="68">
        <f t="shared" ref="O27:P27" si="162">IF(O24="","",SUM(O25:O26))</f>
        <v>8.7834502122839588E-4</v>
      </c>
      <c r="P27" s="68">
        <f t="shared" si="162"/>
        <v>8.7834502122839588E-4</v>
      </c>
      <c r="Q27" s="68">
        <f t="shared" ref="Q27:R27" si="163">IF(Q24="","",SUM(Q25:Q26))</f>
        <v>8.7834502122839588E-4</v>
      </c>
      <c r="R27" s="68">
        <f t="shared" si="163"/>
        <v>8.7834502122839588E-4</v>
      </c>
      <c r="S27" s="68">
        <f t="shared" ref="S27:T27" si="164">IF(S24="","",SUM(S25:S26))</f>
        <v>8.7834502122839588E-4</v>
      </c>
      <c r="T27" s="68">
        <f t="shared" si="164"/>
        <v>8.7834502122839588E-4</v>
      </c>
      <c r="U27" s="68">
        <f t="shared" ref="U27:V27" si="165">IF(U24="","",SUM(U25:U26))</f>
        <v>8.7834502122839588E-4</v>
      </c>
      <c r="V27" s="68">
        <f t="shared" si="165"/>
        <v>8.7834502122839588E-4</v>
      </c>
      <c r="W27" s="68">
        <f t="shared" ref="W27:X27" si="166">IF(W24="","",SUM(W25:W26))</f>
        <v>8.7834502122839588E-4</v>
      </c>
      <c r="X27" s="68">
        <f t="shared" si="166"/>
        <v>8.7834502122839588E-4</v>
      </c>
      <c r="Y27" s="68">
        <f t="shared" ref="Y27" si="167">IF(Y24="","",SUM(Y25:Y26))</f>
        <v>8.7834502122839588E-4</v>
      </c>
      <c r="Z27" s="68">
        <f>IF(Z24="","",SUM(Z25:Z26))</f>
        <v>8.7834502122839588E-4</v>
      </c>
      <c r="AA27" s="68">
        <f t="shared" ref="AA27:AB27" si="168">IF(AA24="","",SUM(AA25:AA26))</f>
        <v>3.8499282769241766E-4</v>
      </c>
      <c r="AB27" s="68">
        <f t="shared" si="168"/>
        <v>3.8499282769241766E-4</v>
      </c>
      <c r="AC27" s="68">
        <f t="shared" ref="AC27:AD27" si="169">IF(AC24="","",SUM(AC25:AC26))</f>
        <v>3.8499282769241766E-4</v>
      </c>
      <c r="AD27" s="68">
        <f t="shared" si="169"/>
        <v>3.8499282769241766E-4</v>
      </c>
      <c r="AE27" s="68">
        <f t="shared" ref="AE27:AF27" si="170">IF(AE24="","",SUM(AE25:AE26))</f>
        <v>3.8499282769241766E-4</v>
      </c>
      <c r="AF27" s="68">
        <f t="shared" si="170"/>
        <v>3.8499282769241766E-4</v>
      </c>
      <c r="AG27" s="68">
        <f t="shared" ref="AG27:AH27" si="171">IF(AG24="","",SUM(AG25:AG26))</f>
        <v>3.8499282769241766E-4</v>
      </c>
      <c r="AH27" s="68">
        <f t="shared" si="171"/>
        <v>3.8499282769241766E-4</v>
      </c>
      <c r="AI27" s="68">
        <f t="shared" ref="AI27:AJ27" si="172">IF(AI24="","",SUM(AI25:AI26))</f>
        <v>3.8499282769241766E-4</v>
      </c>
      <c r="AJ27" s="68">
        <f t="shared" si="172"/>
        <v>3.8499282769241766E-4</v>
      </c>
      <c r="AK27" s="68">
        <f t="shared" ref="AK27:AL27" si="173">IF(AK24="","",SUM(AK25:AK26))</f>
        <v>3.8499282769241766E-4</v>
      </c>
      <c r="AL27" s="68">
        <f t="shared" si="173"/>
        <v>3.8499282769241766E-4</v>
      </c>
    </row>
    <row r="28" spans="1:38" x14ac:dyDescent="0.35">
      <c r="A28" s="288"/>
      <c r="B28" s="79" t="s">
        <v>56</v>
      </c>
      <c r="C28" s="72">
        <f t="shared" ref="C28:D28" si="174">IF(C24="","",IFERROR(C26/C27,""))</f>
        <v>-0.45755056910447539</v>
      </c>
      <c r="D28" s="72">
        <f t="shared" si="174"/>
        <v>-0.45755056910447539</v>
      </c>
      <c r="E28" s="72">
        <f t="shared" ref="E28:F28" si="175">IF(E24="","",IFERROR(E26/E27,""))</f>
        <v>-0.45755056910447539</v>
      </c>
      <c r="F28" s="72">
        <f t="shared" si="175"/>
        <v>-0.45755056910447539</v>
      </c>
      <c r="G28" s="72">
        <f t="shared" ref="G28:H28" si="176">IF(G24="","",IFERROR(G26/G27,""))</f>
        <v>-0.45755056910447539</v>
      </c>
      <c r="H28" s="72">
        <f t="shared" si="176"/>
        <v>-0.45755056910447539</v>
      </c>
      <c r="I28" s="72">
        <f t="shared" ref="I28:J28" si="177">IF(I24="","",IFERROR(I26/I27,""))</f>
        <v>-0.45755056910447539</v>
      </c>
      <c r="J28" s="72">
        <f t="shared" si="177"/>
        <v>-0.45755056910447539</v>
      </c>
      <c r="K28" s="72">
        <f t="shared" ref="K28:L28" si="178">IF(K24="","",IFERROR(K26/K27,""))</f>
        <v>-0.45755056910447539</v>
      </c>
      <c r="L28" s="72">
        <f t="shared" si="178"/>
        <v>-0.45755056910447539</v>
      </c>
      <c r="M28" s="72">
        <f t="shared" ref="M28:N28" si="179">IF(M24="","",IFERROR(M26/M27,""))</f>
        <v>-0.45755056910447539</v>
      </c>
      <c r="N28" s="72">
        <f t="shared" si="179"/>
        <v>-0.45755056910447539</v>
      </c>
      <c r="O28" s="72">
        <f t="shared" ref="O28:P28" si="180">IF(O24="","",IFERROR(O26/O27,""))</f>
        <v>4.6228323042835098E-2</v>
      </c>
      <c r="P28" s="72">
        <f t="shared" si="180"/>
        <v>4.6228323042835098E-2</v>
      </c>
      <c r="Q28" s="72">
        <f t="shared" ref="Q28:R28" si="181">IF(Q24="","",IFERROR(Q26/Q27,""))</f>
        <v>4.6228323042835098E-2</v>
      </c>
      <c r="R28" s="72">
        <f t="shared" si="181"/>
        <v>4.6228323042835098E-2</v>
      </c>
      <c r="S28" s="72">
        <f t="shared" ref="S28:T28" si="182">IF(S24="","",IFERROR(S26/S27,""))</f>
        <v>4.6228323042835098E-2</v>
      </c>
      <c r="T28" s="72">
        <f t="shared" si="182"/>
        <v>4.6228323042835098E-2</v>
      </c>
      <c r="U28" s="72">
        <f t="shared" ref="U28:V28" si="183">IF(U24="","",IFERROR(U26/U27,""))</f>
        <v>4.6228323042835098E-2</v>
      </c>
      <c r="V28" s="72">
        <f t="shared" si="183"/>
        <v>4.6228323042835098E-2</v>
      </c>
      <c r="W28" s="72">
        <f t="shared" ref="W28:X28" si="184">IF(W24="","",IFERROR(W26/W27,""))</f>
        <v>4.6228323042835098E-2</v>
      </c>
      <c r="X28" s="72">
        <f t="shared" si="184"/>
        <v>4.6228323042835098E-2</v>
      </c>
      <c r="Y28" s="72">
        <f t="shared" ref="Y28:Z28" si="185">IF(Y24="","",IFERROR(Y26/Y27,""))</f>
        <v>4.6228323042835098E-2</v>
      </c>
      <c r="Z28" s="72">
        <f t="shared" si="185"/>
        <v>4.6228323042835098E-2</v>
      </c>
      <c r="AA28" s="72">
        <f t="shared" ref="AA28:AB28" si="186">IF(AA24="","",IFERROR(AA26/AA27,""))</f>
        <v>-0.35071432651088263</v>
      </c>
      <c r="AB28" s="72">
        <f t="shared" si="186"/>
        <v>-0.35071432651088263</v>
      </c>
      <c r="AC28" s="72">
        <f t="shared" ref="AC28:AD28" si="187">IF(AC24="","",IFERROR(AC26/AC27,""))</f>
        <v>-0.35071432651088263</v>
      </c>
      <c r="AD28" s="72">
        <f t="shared" si="187"/>
        <v>-0.35071432651088263</v>
      </c>
      <c r="AE28" s="72">
        <f t="shared" ref="AE28:AF28" si="188">IF(AE24="","",IFERROR(AE26/AE27,""))</f>
        <v>-0.35071432651088263</v>
      </c>
      <c r="AF28" s="72">
        <f t="shared" si="188"/>
        <v>-0.35071432651088263</v>
      </c>
      <c r="AG28" s="72">
        <f t="shared" ref="AG28:AH28" si="189">IF(AG24="","",IFERROR(AG26/AG27,""))</f>
        <v>-0.35071432651088263</v>
      </c>
      <c r="AH28" s="72">
        <f t="shared" si="189"/>
        <v>-0.35071432651088263</v>
      </c>
      <c r="AI28" s="72">
        <f t="shared" ref="AI28:AJ28" si="190">IF(AI24="","",IFERROR(AI26/AI27,""))</f>
        <v>-0.35071432651088263</v>
      </c>
      <c r="AJ28" s="72">
        <f t="shared" si="190"/>
        <v>-0.35071432651088263</v>
      </c>
      <c r="AK28" s="72">
        <f t="shared" ref="AK28:AL28" si="191">IF(AK24="","",IFERROR(AK26/AK27,""))</f>
        <v>-0.35071432651088263</v>
      </c>
      <c r="AL28" s="72">
        <f t="shared" si="191"/>
        <v>-0.35071432651088263</v>
      </c>
    </row>
    <row r="29" spans="1:38" x14ac:dyDescent="0.35">
      <c r="A29" s="288"/>
      <c r="B29" s="80" t="s">
        <v>57</v>
      </c>
      <c r="C29" s="70">
        <f t="shared" ref="C29:D29" si="192">IF(C24="","",ROUND(C28*C24,2))</f>
        <v>-20708.53</v>
      </c>
      <c r="D29" s="70">
        <f t="shared" si="192"/>
        <v>-17927.830000000002</v>
      </c>
      <c r="E29" s="70">
        <f t="shared" ref="E29:F29" si="193">IF(E24="","",ROUND(E28*E24,2))</f>
        <v>-17511.97</v>
      </c>
      <c r="F29" s="70">
        <f t="shared" si="193"/>
        <v>-16485.95</v>
      </c>
      <c r="G29" s="70">
        <f t="shared" ref="G29:H29" si="194">IF(G24="","",ROUND(G28*G24,2))</f>
        <v>-19200.04</v>
      </c>
      <c r="H29" s="70">
        <f t="shared" si="194"/>
        <v>-20208.66</v>
      </c>
      <c r="I29" s="70">
        <f t="shared" ref="I29:J29" si="195">IF(I24="","",ROUND(I28*I24,2))</f>
        <v>-21182.03</v>
      </c>
      <c r="J29" s="70">
        <f t="shared" si="195"/>
        <v>-21187.42</v>
      </c>
      <c r="K29" s="70">
        <f t="shared" ref="K29:L29" si="196">IF(K24="","",ROUND(K28*K24,2))</f>
        <v>-18832.849999999999</v>
      </c>
      <c r="L29" s="70">
        <f t="shared" si="196"/>
        <v>-18699.46</v>
      </c>
      <c r="M29" s="70">
        <f t="shared" ref="M29:N29" si="197">IF(M24="","",ROUND(M28*M24,2))</f>
        <v>-19565.84</v>
      </c>
      <c r="N29" s="70">
        <f t="shared" si="197"/>
        <v>-19211.02</v>
      </c>
      <c r="O29" s="70">
        <f t="shared" ref="O29:P29" si="198">IF(O24="","",ROUND(O28*O24,2))</f>
        <v>5225.53</v>
      </c>
      <c r="P29" s="70">
        <f t="shared" si="198"/>
        <v>8688.59</v>
      </c>
      <c r="Q29" s="70">
        <f t="shared" ref="Q29:R29" si="199">IF(Q24="","",ROUND(Q28*Q24,2))</f>
        <v>8718.77</v>
      </c>
      <c r="R29" s="70">
        <f t="shared" si="199"/>
        <v>9032.2099999999991</v>
      </c>
      <c r="S29" s="70">
        <f t="shared" ref="S29:T29" si="200">IF(S24="","",ROUND(S28*S24,2))</f>
        <v>8700.5300000000007</v>
      </c>
      <c r="T29" s="70">
        <f t="shared" si="200"/>
        <v>11631.74</v>
      </c>
      <c r="U29" s="70">
        <f t="shared" ref="U29:V29" si="201">IF(U24="","",ROUND(U28*U24,2))</f>
        <v>10679.45</v>
      </c>
      <c r="V29" s="70">
        <f t="shared" si="201"/>
        <v>10815</v>
      </c>
      <c r="W29" s="70">
        <f t="shared" ref="W29:X29" si="202">IF(W24="","",ROUND(W28*W24,2))</f>
        <v>9338.6</v>
      </c>
      <c r="X29" s="70">
        <f t="shared" si="202"/>
        <v>8146.01</v>
      </c>
      <c r="Y29" s="70">
        <f t="shared" ref="Y29:Z29" si="203">IF(Y24="","",ROUND(Y28*Y24,2))</f>
        <v>10707.36</v>
      </c>
      <c r="Z29" s="70">
        <f t="shared" si="203"/>
        <v>10340.290000000001</v>
      </c>
      <c r="AA29" s="70">
        <f t="shared" ref="AA29:AB29" si="204">IF(AA24="","",ROUND(AA28*AA24,2))</f>
        <v>-58728.46</v>
      </c>
      <c r="AB29" s="70">
        <f t="shared" si="204"/>
        <v>-30610.37</v>
      </c>
      <c r="AC29" s="70">
        <f t="shared" ref="AC29:AD29" si="205">IF(AC24="","",ROUND(AC28*AC24,2))</f>
        <v>-26134.63</v>
      </c>
      <c r="AD29" s="70">
        <f t="shared" si="205"/>
        <v>-30515.41</v>
      </c>
      <c r="AE29" s="70">
        <f t="shared" ref="AE29:AF29" si="206">IF(AE24="","",ROUND(AE28*AE24,2))</f>
        <v>-34741.599999999999</v>
      </c>
      <c r="AF29" s="70">
        <f t="shared" si="206"/>
        <v>-36119.75</v>
      </c>
      <c r="AG29" s="70">
        <f t="shared" ref="AG29:AH29" si="207">IF(AG24="","",ROUND(AG28*AG24,2))</f>
        <v>-35830</v>
      </c>
      <c r="AH29" s="70">
        <f t="shared" si="207"/>
        <v>-34903.65</v>
      </c>
      <c r="AI29" s="70">
        <f t="shared" ref="AI29:AJ29" si="208">IF(AI24="","",ROUND(AI28*AI24,2))</f>
        <v>-30944.84</v>
      </c>
      <c r="AJ29" s="70">
        <f t="shared" si="208"/>
        <v>-30129.040000000001</v>
      </c>
      <c r="AK29" s="70">
        <f t="shared" ref="AK29:AL29" si="209">IF(AK24="","",ROUND(AK28*AK24,2))</f>
        <v>-31398.14</v>
      </c>
      <c r="AL29" s="70">
        <f t="shared" si="209"/>
        <v>-32616.39</v>
      </c>
    </row>
    <row r="30" spans="1:38" x14ac:dyDescent="0.35">
      <c r="A30" s="83"/>
      <c r="B30" s="8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row>
    <row r="31" spans="1:38" x14ac:dyDescent="0.35">
      <c r="A31" s="288" t="s">
        <v>37</v>
      </c>
      <c r="B31" s="79" t="s">
        <v>53</v>
      </c>
      <c r="C31" s="69">
        <f>IF(+'M3 Allocations - TD'!O55="","",'M3 Allocations - TD'!O55)</f>
        <v>11571.12</v>
      </c>
      <c r="D31" s="69">
        <f>IF(+'M3 Allocations - TD'!P55="","",'M3 Allocations - TD'!P55)</f>
        <v>19931.79</v>
      </c>
      <c r="E31" s="69">
        <f>IF(+'M3 Allocations - TD'!Q55="","",'M3 Allocations - TD'!Q55)</f>
        <v>21827.09</v>
      </c>
      <c r="F31" s="69">
        <f>IF(+'M3 Allocations - TD'!R55="","",'M3 Allocations - TD'!R55)</f>
        <v>22161.01</v>
      </c>
      <c r="G31" s="69">
        <f>IF(+'M3 Allocations - TD'!S55="","",'M3 Allocations - TD'!S55)</f>
        <v>17306.599999999999</v>
      </c>
      <c r="H31" s="69">
        <f>IF(+'M3 Allocations - TD'!T55="","",'M3 Allocations - TD'!T55)</f>
        <v>24911.24</v>
      </c>
      <c r="I31" s="69">
        <f>IF(+'M3 Allocations - TD'!U55="","",'M3 Allocations - TD'!U55)</f>
        <v>25659.02</v>
      </c>
      <c r="J31" s="69">
        <f>IF(+'M3 Allocations - TD'!V55="","",'M3 Allocations - TD'!V55)</f>
        <v>26024.15</v>
      </c>
      <c r="K31" s="69">
        <f>IF(+'M3 Allocations - TD'!W55="","",'M3 Allocations - TD'!W55)</f>
        <v>22923.1</v>
      </c>
      <c r="L31" s="69">
        <f>IF(+'M3 Allocations - TD'!X55="","",'M3 Allocations - TD'!X55)</f>
        <v>22483.33</v>
      </c>
      <c r="M31" s="69">
        <f>IF(+'M3 Allocations - TD'!Y55="","",'M3 Allocations - TD'!Y55)</f>
        <v>22959.24</v>
      </c>
      <c r="N31" s="69">
        <f>IF(+'M3 Allocations - TD'!Z55="","",'M3 Allocations - TD'!Z55)</f>
        <v>20997.32</v>
      </c>
      <c r="O31" s="69">
        <f>IF(+'M3 Allocations - TD'!AA55="","",'M3 Allocations - TD'!AA55)</f>
        <v>34921.4</v>
      </c>
      <c r="P31" s="69">
        <f>IF(+'M3 Allocations - TD'!AB55="","",'M3 Allocations - TD'!AB55)</f>
        <v>24946.880000000001</v>
      </c>
      <c r="Q31" s="69">
        <f>IF(+'M3 Allocations - TD'!AC55="","",'M3 Allocations - TD'!AC55)</f>
        <v>42288.49</v>
      </c>
      <c r="R31" s="69">
        <f>IF(+'M3 Allocations - TD'!AD55="","",'M3 Allocations - TD'!AD55)</f>
        <v>42963.199999999997</v>
      </c>
      <c r="S31" s="69">
        <f>IF(+'M3 Allocations - TD'!AE55="","",'M3 Allocations - TD'!AE55)</f>
        <v>41464.47</v>
      </c>
      <c r="T31" s="69">
        <f>IF(+'M3 Allocations - TD'!AF55="","",'M3 Allocations - TD'!AF55)</f>
        <v>52916.49</v>
      </c>
      <c r="U31" s="69">
        <f>IF(+'M3 Allocations - TD'!AG55="","",'M3 Allocations - TD'!AG55)</f>
        <v>50374.33</v>
      </c>
      <c r="V31" s="69">
        <f>IF(+'M3 Allocations - TD'!AH55="","",'M3 Allocations - TD'!AH55)</f>
        <v>54469.919999999998</v>
      </c>
      <c r="W31" s="69">
        <f>IF(+'M3 Allocations - TD'!AI55="","",'M3 Allocations - TD'!AI55)</f>
        <v>49925.55</v>
      </c>
      <c r="X31" s="69">
        <f>IF(+'M3 Allocations - TD'!AJ55="","",'M3 Allocations - TD'!AJ55)</f>
        <v>33144.800000000003</v>
      </c>
      <c r="Y31" s="69">
        <f>IF(+'M3 Allocations - TD'!AK55="","",'M3 Allocations - TD'!AK55)</f>
        <v>46471.67</v>
      </c>
      <c r="Z31" s="69">
        <f>IF(+'M3 Allocations - TD'!AL55="","",'M3 Allocations - TD'!AL55)</f>
        <v>43301.11</v>
      </c>
      <c r="AA31" s="69">
        <f>IF(+'M3 Allocations - TD'!AM55="","",'M3 Allocations - TD'!AM55)</f>
        <v>35959.279999999999</v>
      </c>
      <c r="AB31" s="69">
        <f>IF(+'M3 Allocations - TD'!AN55="","",'M3 Allocations - TD'!AN55)</f>
        <v>6497.26</v>
      </c>
      <c r="AC31" s="69">
        <f>IF(+'M3 Allocations - TD'!AO55="","",'M3 Allocations - TD'!AO55)</f>
        <v>-22925.25</v>
      </c>
      <c r="AD31" s="69">
        <f>IF(+'M3 Allocations - TD'!AP55="","",'M3 Allocations - TD'!AP55)</f>
        <v>5065.87</v>
      </c>
      <c r="AE31" s="69">
        <f>IF(+'M3 Allocations - TD'!AQ55="","",'M3 Allocations - TD'!AQ55)</f>
        <v>6175.37</v>
      </c>
      <c r="AF31" s="69">
        <f>IF(+'M3 Allocations - TD'!AR55="","",'M3 Allocations - TD'!AR55)</f>
        <v>7084.63</v>
      </c>
      <c r="AG31" s="69">
        <f>IF(+'M3 Allocations - TD'!AS55="","",'M3 Allocations - TD'!AS55)</f>
        <v>7005.11</v>
      </c>
      <c r="AH31" s="69">
        <f>IF(+'M3 Allocations - TD'!AT55="","",'M3 Allocations - TD'!AT55)</f>
        <v>7302.95</v>
      </c>
      <c r="AI31" s="69">
        <f>IF(+'M3 Allocations - TD'!AU55="","",'M3 Allocations - TD'!AU55)</f>
        <v>6273.92</v>
      </c>
      <c r="AJ31" s="69">
        <f>IF(+'M3 Allocations - TD'!AV55="","",'M3 Allocations - TD'!AV55)</f>
        <v>6083.8638128528473</v>
      </c>
      <c r="AK31" s="69">
        <f>IF(+'M3 Allocations - TD'!AW55="","",'M3 Allocations - TD'!AW55)</f>
        <v>5961.2958858114662</v>
      </c>
      <c r="AL31" s="69">
        <f>IF(+'M3 Allocations - TD'!AX55="","",'M3 Allocations - TD'!AX55)</f>
        <v>6280.8843478745448</v>
      </c>
    </row>
    <row r="32" spans="1:38" x14ac:dyDescent="0.35">
      <c r="A32" s="288"/>
      <c r="B32" s="79" t="s">
        <v>55</v>
      </c>
      <c r="C32" s="130">
        <v>2.6814564034692313E-4</v>
      </c>
      <c r="D32" s="134">
        <f t="shared" ref="D32:AL33" si="210">IF(D31="","",C32)</f>
        <v>2.6814564034692313E-4</v>
      </c>
      <c r="E32" s="134">
        <f t="shared" si="210"/>
        <v>2.6814564034692313E-4</v>
      </c>
      <c r="F32" s="134">
        <f t="shared" si="210"/>
        <v>2.6814564034692313E-4</v>
      </c>
      <c r="G32" s="134">
        <f t="shared" si="210"/>
        <v>2.6814564034692313E-4</v>
      </c>
      <c r="H32" s="134">
        <f t="shared" si="210"/>
        <v>2.6814564034692313E-4</v>
      </c>
      <c r="I32" s="134">
        <f t="shared" si="210"/>
        <v>2.6814564034692313E-4</v>
      </c>
      <c r="J32" s="134">
        <f t="shared" si="210"/>
        <v>2.6814564034692313E-4</v>
      </c>
      <c r="K32" s="134">
        <f t="shared" si="210"/>
        <v>2.6814564034692313E-4</v>
      </c>
      <c r="L32" s="134">
        <f t="shared" si="210"/>
        <v>2.6814564034692313E-4</v>
      </c>
      <c r="M32" s="134">
        <f t="shared" si="210"/>
        <v>2.6814564034692313E-4</v>
      </c>
      <c r="N32" s="134">
        <f t="shared" si="210"/>
        <v>2.6814564034692313E-4</v>
      </c>
      <c r="O32" s="131">
        <v>5.2795056041353157E-4</v>
      </c>
      <c r="P32" s="134">
        <f t="shared" si="210"/>
        <v>5.2795056041353157E-4</v>
      </c>
      <c r="Q32" s="134">
        <f t="shared" si="210"/>
        <v>5.2795056041353157E-4</v>
      </c>
      <c r="R32" s="134">
        <f t="shared" si="210"/>
        <v>5.2795056041353157E-4</v>
      </c>
      <c r="S32" s="134">
        <f t="shared" si="210"/>
        <v>5.2795056041353157E-4</v>
      </c>
      <c r="T32" s="134">
        <f t="shared" si="210"/>
        <v>5.2795056041353157E-4</v>
      </c>
      <c r="U32" s="134">
        <f t="shared" si="210"/>
        <v>5.2795056041353157E-4</v>
      </c>
      <c r="V32" s="134">
        <f t="shared" si="210"/>
        <v>5.2795056041353157E-4</v>
      </c>
      <c r="W32" s="134">
        <f t="shared" si="210"/>
        <v>5.2795056041353157E-4</v>
      </c>
      <c r="X32" s="134">
        <f t="shared" si="210"/>
        <v>5.2795056041353157E-4</v>
      </c>
      <c r="Y32" s="134">
        <f t="shared" si="210"/>
        <v>5.2795056041353157E-4</v>
      </c>
      <c r="Z32" s="134">
        <f t="shared" si="210"/>
        <v>5.2795056041353157E-4</v>
      </c>
      <c r="AA32" s="131">
        <v>2.1982208585506456E-4</v>
      </c>
      <c r="AB32" s="134">
        <f t="shared" si="210"/>
        <v>2.1982208585506456E-4</v>
      </c>
      <c r="AC32" s="134">
        <f t="shared" si="210"/>
        <v>2.1982208585506456E-4</v>
      </c>
      <c r="AD32" s="134">
        <f t="shared" si="210"/>
        <v>2.1982208585506456E-4</v>
      </c>
      <c r="AE32" s="134">
        <f t="shared" si="210"/>
        <v>2.1982208585506456E-4</v>
      </c>
      <c r="AF32" s="134">
        <f t="shared" si="210"/>
        <v>2.1982208585506456E-4</v>
      </c>
      <c r="AG32" s="134">
        <f t="shared" si="210"/>
        <v>2.1982208585506456E-4</v>
      </c>
      <c r="AH32" s="134">
        <f t="shared" si="210"/>
        <v>2.1982208585506456E-4</v>
      </c>
      <c r="AI32" s="134">
        <f t="shared" si="210"/>
        <v>2.1982208585506456E-4</v>
      </c>
      <c r="AJ32" s="134">
        <f t="shared" si="210"/>
        <v>2.1982208585506456E-4</v>
      </c>
      <c r="AK32" s="134">
        <f t="shared" si="210"/>
        <v>2.1982208585506456E-4</v>
      </c>
      <c r="AL32" s="134">
        <f t="shared" si="210"/>
        <v>2.1982208585506456E-4</v>
      </c>
    </row>
    <row r="33" spans="1:38" x14ac:dyDescent="0.35">
      <c r="A33" s="288"/>
      <c r="B33" s="79" t="s">
        <v>54</v>
      </c>
      <c r="C33" s="131">
        <v>-3.0856536516336082E-5</v>
      </c>
      <c r="D33" s="134">
        <f t="shared" si="210"/>
        <v>-3.0856536516336082E-5</v>
      </c>
      <c r="E33" s="134">
        <f t="shared" si="210"/>
        <v>-3.0856536516336082E-5</v>
      </c>
      <c r="F33" s="134">
        <f t="shared" si="210"/>
        <v>-3.0856536516336082E-5</v>
      </c>
      <c r="G33" s="134">
        <f t="shared" si="210"/>
        <v>-3.0856536516336082E-5</v>
      </c>
      <c r="H33" s="134">
        <f t="shared" si="210"/>
        <v>-3.0856536516336082E-5</v>
      </c>
      <c r="I33" s="134">
        <f t="shared" si="210"/>
        <v>-3.0856536516336082E-5</v>
      </c>
      <c r="J33" s="134">
        <f t="shared" si="210"/>
        <v>-3.0856536516336082E-5</v>
      </c>
      <c r="K33" s="134">
        <f t="shared" si="210"/>
        <v>-3.0856536516336082E-5</v>
      </c>
      <c r="L33" s="134">
        <f t="shared" si="210"/>
        <v>-3.0856536516336082E-5</v>
      </c>
      <c r="M33" s="134">
        <f t="shared" si="210"/>
        <v>-3.0856536516336082E-5</v>
      </c>
      <c r="N33" s="134">
        <f t="shared" si="210"/>
        <v>-3.0856536516336082E-5</v>
      </c>
      <c r="O33" s="131">
        <v>-5.3003111271666544E-5</v>
      </c>
      <c r="P33" s="134">
        <f t="shared" si="210"/>
        <v>-5.3003111271666544E-5</v>
      </c>
      <c r="Q33" s="134">
        <f t="shared" si="210"/>
        <v>-5.3003111271666544E-5</v>
      </c>
      <c r="R33" s="134">
        <f t="shared" si="210"/>
        <v>-5.3003111271666544E-5</v>
      </c>
      <c r="S33" s="134">
        <f t="shared" si="210"/>
        <v>-5.3003111271666544E-5</v>
      </c>
      <c r="T33" s="134">
        <f t="shared" si="210"/>
        <v>-5.3003111271666544E-5</v>
      </c>
      <c r="U33" s="134">
        <f t="shared" si="210"/>
        <v>-5.3003111271666544E-5</v>
      </c>
      <c r="V33" s="134">
        <f t="shared" si="210"/>
        <v>-5.3003111271666544E-5</v>
      </c>
      <c r="W33" s="134">
        <f t="shared" si="210"/>
        <v>-5.3003111271666544E-5</v>
      </c>
      <c r="X33" s="134">
        <f t="shared" si="210"/>
        <v>-5.3003111271666544E-5</v>
      </c>
      <c r="Y33" s="134">
        <f t="shared" si="210"/>
        <v>-5.3003111271666544E-5</v>
      </c>
      <c r="Z33" s="134">
        <f t="shared" si="210"/>
        <v>-5.3003111271666544E-5</v>
      </c>
      <c r="AA33" s="131">
        <v>-1.488660565499755E-4</v>
      </c>
      <c r="AB33" s="134">
        <f t="shared" si="210"/>
        <v>-1.488660565499755E-4</v>
      </c>
      <c r="AC33" s="134">
        <f t="shared" si="210"/>
        <v>-1.488660565499755E-4</v>
      </c>
      <c r="AD33" s="134">
        <f t="shared" si="210"/>
        <v>-1.488660565499755E-4</v>
      </c>
      <c r="AE33" s="134">
        <f t="shared" si="210"/>
        <v>-1.488660565499755E-4</v>
      </c>
      <c r="AF33" s="134">
        <f t="shared" si="210"/>
        <v>-1.488660565499755E-4</v>
      </c>
      <c r="AG33" s="134">
        <f t="shared" si="210"/>
        <v>-1.488660565499755E-4</v>
      </c>
      <c r="AH33" s="134">
        <f t="shared" si="210"/>
        <v>-1.488660565499755E-4</v>
      </c>
      <c r="AI33" s="134">
        <f t="shared" si="210"/>
        <v>-1.488660565499755E-4</v>
      </c>
      <c r="AJ33" s="134">
        <f t="shared" si="210"/>
        <v>-1.488660565499755E-4</v>
      </c>
      <c r="AK33" s="134">
        <f t="shared" si="210"/>
        <v>-1.488660565499755E-4</v>
      </c>
      <c r="AL33" s="134">
        <f t="shared" si="210"/>
        <v>-1.488660565499755E-4</v>
      </c>
    </row>
    <row r="34" spans="1:38" x14ac:dyDescent="0.35">
      <c r="A34" s="288"/>
      <c r="B34" s="79" t="s">
        <v>63</v>
      </c>
      <c r="C34" s="68">
        <f t="shared" ref="C34:D34" si="211">IF(C31="","",SUM(C32:C33))</f>
        <v>2.3728910383058704E-4</v>
      </c>
      <c r="D34" s="68">
        <f t="shared" si="211"/>
        <v>2.3728910383058704E-4</v>
      </c>
      <c r="E34" s="68">
        <f t="shared" ref="E34:F34" si="212">IF(E31="","",SUM(E32:E33))</f>
        <v>2.3728910383058704E-4</v>
      </c>
      <c r="F34" s="68">
        <f t="shared" si="212"/>
        <v>2.3728910383058704E-4</v>
      </c>
      <c r="G34" s="68">
        <f t="shared" ref="G34:H34" si="213">IF(G31="","",SUM(G32:G33))</f>
        <v>2.3728910383058704E-4</v>
      </c>
      <c r="H34" s="68">
        <f t="shared" si="213"/>
        <v>2.3728910383058704E-4</v>
      </c>
      <c r="I34" s="68">
        <f t="shared" ref="I34:J34" si="214">IF(I31="","",SUM(I32:I33))</f>
        <v>2.3728910383058704E-4</v>
      </c>
      <c r="J34" s="68">
        <f t="shared" si="214"/>
        <v>2.3728910383058704E-4</v>
      </c>
      <c r="K34" s="68">
        <f t="shared" ref="K34:L34" si="215">IF(K31="","",SUM(K32:K33))</f>
        <v>2.3728910383058704E-4</v>
      </c>
      <c r="L34" s="68">
        <f t="shared" si="215"/>
        <v>2.3728910383058704E-4</v>
      </c>
      <c r="M34" s="68">
        <f t="shared" ref="M34:N34" si="216">IF(M31="","",SUM(M32:M33))</f>
        <v>2.3728910383058704E-4</v>
      </c>
      <c r="N34" s="68">
        <f t="shared" si="216"/>
        <v>2.3728910383058704E-4</v>
      </c>
      <c r="O34" s="68">
        <f t="shared" ref="O34:P34" si="217">IF(O31="","",SUM(O32:O33))</f>
        <v>4.7494744914186501E-4</v>
      </c>
      <c r="P34" s="68">
        <f t="shared" si="217"/>
        <v>4.7494744914186501E-4</v>
      </c>
      <c r="Q34" s="68">
        <f t="shared" ref="Q34:R34" si="218">IF(Q31="","",SUM(Q32:Q33))</f>
        <v>4.7494744914186501E-4</v>
      </c>
      <c r="R34" s="68">
        <f t="shared" si="218"/>
        <v>4.7494744914186501E-4</v>
      </c>
      <c r="S34" s="68">
        <f t="shared" ref="S34:T34" si="219">IF(S31="","",SUM(S32:S33))</f>
        <v>4.7494744914186501E-4</v>
      </c>
      <c r="T34" s="68">
        <f t="shared" si="219"/>
        <v>4.7494744914186501E-4</v>
      </c>
      <c r="U34" s="68">
        <f t="shared" ref="U34:V34" si="220">IF(U31="","",SUM(U32:U33))</f>
        <v>4.7494744914186501E-4</v>
      </c>
      <c r="V34" s="68">
        <f t="shared" si="220"/>
        <v>4.7494744914186501E-4</v>
      </c>
      <c r="W34" s="68">
        <f t="shared" ref="W34:X34" si="221">IF(W31="","",SUM(W32:W33))</f>
        <v>4.7494744914186501E-4</v>
      </c>
      <c r="X34" s="68">
        <f t="shared" si="221"/>
        <v>4.7494744914186501E-4</v>
      </c>
      <c r="Y34" s="68">
        <f t="shared" ref="Y34:Z34" si="222">IF(Y31="","",SUM(Y32:Y33))</f>
        <v>4.7494744914186501E-4</v>
      </c>
      <c r="Z34" s="68">
        <f t="shared" si="222"/>
        <v>4.7494744914186501E-4</v>
      </c>
      <c r="AA34" s="68">
        <f t="shared" ref="AA34:AB34" si="223">IF(AA31="","",SUM(AA32:AA33))</f>
        <v>7.0956029305089066E-5</v>
      </c>
      <c r="AB34" s="68">
        <f t="shared" si="223"/>
        <v>7.0956029305089066E-5</v>
      </c>
      <c r="AC34" s="68">
        <f t="shared" ref="AC34:AD34" si="224">IF(AC31="","",SUM(AC32:AC33))</f>
        <v>7.0956029305089066E-5</v>
      </c>
      <c r="AD34" s="68">
        <f t="shared" si="224"/>
        <v>7.0956029305089066E-5</v>
      </c>
      <c r="AE34" s="68">
        <f t="shared" ref="AE34:AF34" si="225">IF(AE31="","",SUM(AE32:AE33))</f>
        <v>7.0956029305089066E-5</v>
      </c>
      <c r="AF34" s="68">
        <f t="shared" si="225"/>
        <v>7.0956029305089066E-5</v>
      </c>
      <c r="AG34" s="68">
        <f t="shared" ref="AG34:AH34" si="226">IF(AG31="","",SUM(AG32:AG33))</f>
        <v>7.0956029305089066E-5</v>
      </c>
      <c r="AH34" s="68">
        <f t="shared" si="226"/>
        <v>7.0956029305089066E-5</v>
      </c>
      <c r="AI34" s="68">
        <f t="shared" ref="AI34:AJ34" si="227">IF(AI31="","",SUM(AI32:AI33))</f>
        <v>7.0956029305089066E-5</v>
      </c>
      <c r="AJ34" s="68">
        <f t="shared" si="227"/>
        <v>7.0956029305089066E-5</v>
      </c>
      <c r="AK34" s="68">
        <f t="shared" ref="AK34:AL34" si="228">IF(AK31="","",SUM(AK32:AK33))</f>
        <v>7.0956029305089066E-5</v>
      </c>
      <c r="AL34" s="68">
        <f t="shared" si="228"/>
        <v>7.0956029305089066E-5</v>
      </c>
    </row>
    <row r="35" spans="1:38" x14ac:dyDescent="0.35">
      <c r="A35" s="288"/>
      <c r="B35" s="79" t="s">
        <v>56</v>
      </c>
      <c r="C35" s="72">
        <f t="shared" ref="C35:D35" si="229">IF(C31="","",IFERROR(C33/C34,""))</f>
        <v>-0.13003773042341699</v>
      </c>
      <c r="D35" s="72">
        <f t="shared" si="229"/>
        <v>-0.13003773042341699</v>
      </c>
      <c r="E35" s="72">
        <f t="shared" ref="E35:F35" si="230">IF(E31="","",IFERROR(E33/E34,""))</f>
        <v>-0.13003773042341699</v>
      </c>
      <c r="F35" s="72">
        <f t="shared" si="230"/>
        <v>-0.13003773042341699</v>
      </c>
      <c r="G35" s="72">
        <f t="shared" ref="G35:H35" si="231">IF(G31="","",IFERROR(G33/G34,""))</f>
        <v>-0.13003773042341699</v>
      </c>
      <c r="H35" s="72">
        <f t="shared" si="231"/>
        <v>-0.13003773042341699</v>
      </c>
      <c r="I35" s="72">
        <f t="shared" ref="I35:J35" si="232">IF(I31="","",IFERROR(I33/I34,""))</f>
        <v>-0.13003773042341699</v>
      </c>
      <c r="J35" s="72">
        <f t="shared" si="232"/>
        <v>-0.13003773042341699</v>
      </c>
      <c r="K35" s="72">
        <f t="shared" ref="K35:L35" si="233">IF(K31="","",IFERROR(K33/K34,""))</f>
        <v>-0.13003773042341699</v>
      </c>
      <c r="L35" s="72">
        <f t="shared" si="233"/>
        <v>-0.13003773042341699</v>
      </c>
      <c r="M35" s="72">
        <f t="shared" ref="M35:N35" si="234">IF(M31="","",IFERROR(M33/M34,""))</f>
        <v>-0.13003773042341699</v>
      </c>
      <c r="N35" s="72">
        <f t="shared" si="234"/>
        <v>-0.13003773042341699</v>
      </c>
      <c r="O35" s="72">
        <f t="shared" ref="O35:P35" si="235">IF(O31="","",IFERROR(O33/O34,""))</f>
        <v>-0.11159784386132099</v>
      </c>
      <c r="P35" s="72">
        <f t="shared" si="235"/>
        <v>-0.11159784386132099</v>
      </c>
      <c r="Q35" s="72">
        <f t="shared" ref="Q35:R35" si="236">IF(Q31="","",IFERROR(Q33/Q34,""))</f>
        <v>-0.11159784386132099</v>
      </c>
      <c r="R35" s="72">
        <f t="shared" si="236"/>
        <v>-0.11159784386132099</v>
      </c>
      <c r="S35" s="72">
        <f t="shared" ref="S35:T35" si="237">IF(S31="","",IFERROR(S33/S34,""))</f>
        <v>-0.11159784386132099</v>
      </c>
      <c r="T35" s="72">
        <f t="shared" si="237"/>
        <v>-0.11159784386132099</v>
      </c>
      <c r="U35" s="72">
        <f t="shared" ref="U35:V35" si="238">IF(U31="","",IFERROR(U33/U34,""))</f>
        <v>-0.11159784386132099</v>
      </c>
      <c r="V35" s="72">
        <f t="shared" si="238"/>
        <v>-0.11159784386132099</v>
      </c>
      <c r="W35" s="72">
        <f t="shared" ref="W35:X35" si="239">IF(W31="","",IFERROR(W33/W34,""))</f>
        <v>-0.11159784386132099</v>
      </c>
      <c r="X35" s="72">
        <f t="shared" si="239"/>
        <v>-0.11159784386132099</v>
      </c>
      <c r="Y35" s="72">
        <f t="shared" ref="Y35:Z35" si="240">IF(Y31="","",IFERROR(Y33/Y34,""))</f>
        <v>-0.11159784386132099</v>
      </c>
      <c r="Z35" s="72">
        <f t="shared" si="240"/>
        <v>-0.11159784386132099</v>
      </c>
      <c r="AA35" s="72">
        <f t="shared" ref="AA35:AB35" si="241">IF(AA31="","",IFERROR(AA33/AA34,""))</f>
        <v>-2.098004327580075</v>
      </c>
      <c r="AB35" s="72">
        <f t="shared" si="241"/>
        <v>-2.098004327580075</v>
      </c>
      <c r="AC35" s="72">
        <f t="shared" ref="AC35:AD35" si="242">IF(AC31="","",IFERROR(AC33/AC34,""))</f>
        <v>-2.098004327580075</v>
      </c>
      <c r="AD35" s="72">
        <f t="shared" si="242"/>
        <v>-2.098004327580075</v>
      </c>
      <c r="AE35" s="72">
        <f t="shared" ref="AE35:AF35" si="243">IF(AE31="","",IFERROR(AE33/AE34,""))</f>
        <v>-2.098004327580075</v>
      </c>
      <c r="AF35" s="72">
        <f t="shared" si="243"/>
        <v>-2.098004327580075</v>
      </c>
      <c r="AG35" s="72">
        <f t="shared" ref="AG35:AH35" si="244">IF(AG31="","",IFERROR(AG33/AG34,""))</f>
        <v>-2.098004327580075</v>
      </c>
      <c r="AH35" s="72">
        <f t="shared" si="244"/>
        <v>-2.098004327580075</v>
      </c>
      <c r="AI35" s="72">
        <f t="shared" ref="AI35:AJ35" si="245">IF(AI31="","",IFERROR(AI33/AI34,""))</f>
        <v>-2.098004327580075</v>
      </c>
      <c r="AJ35" s="72">
        <f t="shared" si="245"/>
        <v>-2.098004327580075</v>
      </c>
      <c r="AK35" s="72">
        <f t="shared" ref="AK35:AL35" si="246">IF(AK31="","",IFERROR(AK33/AK34,""))</f>
        <v>-2.098004327580075</v>
      </c>
      <c r="AL35" s="72">
        <f t="shared" si="246"/>
        <v>-2.098004327580075</v>
      </c>
    </row>
    <row r="36" spans="1:38" x14ac:dyDescent="0.35">
      <c r="A36" s="288"/>
      <c r="B36" s="80" t="s">
        <v>57</v>
      </c>
      <c r="C36" s="70">
        <f t="shared" ref="C36:D36" si="247">IF(C31="","",ROUND(C35*C31,2))</f>
        <v>-1504.68</v>
      </c>
      <c r="D36" s="70">
        <f t="shared" si="247"/>
        <v>-2591.88</v>
      </c>
      <c r="E36" s="70">
        <f t="shared" ref="E36:F36" si="248">IF(E31="","",ROUND(E35*E31,2))</f>
        <v>-2838.35</v>
      </c>
      <c r="F36" s="70">
        <f t="shared" si="248"/>
        <v>-2881.77</v>
      </c>
      <c r="G36" s="70">
        <f t="shared" ref="G36:H36" si="249">IF(G31="","",ROUND(G35*G31,2))</f>
        <v>-2250.5100000000002</v>
      </c>
      <c r="H36" s="70">
        <f t="shared" si="249"/>
        <v>-3239.4</v>
      </c>
      <c r="I36" s="70">
        <f t="shared" ref="I36:J36" si="250">IF(I31="","",ROUND(I35*I31,2))</f>
        <v>-3336.64</v>
      </c>
      <c r="J36" s="70">
        <f t="shared" si="250"/>
        <v>-3384.12</v>
      </c>
      <c r="K36" s="70">
        <f t="shared" ref="K36:L36" si="251">IF(K31="","",ROUND(K35*K31,2))</f>
        <v>-2980.87</v>
      </c>
      <c r="L36" s="70">
        <f t="shared" si="251"/>
        <v>-2923.68</v>
      </c>
      <c r="M36" s="70">
        <f t="shared" ref="M36:N36" si="252">IF(M31="","",ROUND(M35*M31,2))</f>
        <v>-2985.57</v>
      </c>
      <c r="N36" s="70">
        <f t="shared" si="252"/>
        <v>-2730.44</v>
      </c>
      <c r="O36" s="70">
        <f t="shared" ref="O36:P36" si="253">IF(O31="","",ROUND(O35*O31,2))</f>
        <v>-3897.15</v>
      </c>
      <c r="P36" s="70">
        <f t="shared" si="253"/>
        <v>-2784.02</v>
      </c>
      <c r="Q36" s="70">
        <f t="shared" ref="Q36:R36" si="254">IF(Q31="","",ROUND(Q35*Q31,2))</f>
        <v>-4719.3</v>
      </c>
      <c r="R36" s="70">
        <f t="shared" si="254"/>
        <v>-4794.6000000000004</v>
      </c>
      <c r="S36" s="70">
        <f t="shared" ref="S36:T36" si="255">IF(S31="","",ROUND(S35*S31,2))</f>
        <v>-4627.3500000000004</v>
      </c>
      <c r="T36" s="70">
        <f t="shared" si="255"/>
        <v>-5905.37</v>
      </c>
      <c r="U36" s="70">
        <f t="shared" ref="U36:V36" si="256">IF(U31="","",ROUND(U35*U31,2))</f>
        <v>-5621.67</v>
      </c>
      <c r="V36" s="70">
        <f t="shared" si="256"/>
        <v>-6078.73</v>
      </c>
      <c r="W36" s="70">
        <f t="shared" ref="W36:X36" si="257">IF(W31="","",ROUND(W35*W31,2))</f>
        <v>-5571.58</v>
      </c>
      <c r="X36" s="70">
        <f t="shared" si="257"/>
        <v>-3698.89</v>
      </c>
      <c r="Y36" s="70">
        <f t="shared" ref="Y36:Z36" si="258">IF(Y31="","",ROUND(Y35*Y31,2))</f>
        <v>-5186.1400000000003</v>
      </c>
      <c r="Z36" s="70">
        <f t="shared" si="258"/>
        <v>-4832.3100000000004</v>
      </c>
      <c r="AA36" s="70">
        <f t="shared" ref="AA36:AB36" si="259">IF(AA31="","",ROUND(AA35*AA31,2))</f>
        <v>-75442.73</v>
      </c>
      <c r="AB36" s="70">
        <f t="shared" si="259"/>
        <v>-13631.28</v>
      </c>
      <c r="AC36" s="70">
        <f t="shared" ref="AC36:AD36" si="260">IF(AC31="","",ROUND(AC35*AC31,2))</f>
        <v>48097.27</v>
      </c>
      <c r="AD36" s="70">
        <f t="shared" si="260"/>
        <v>-10628.22</v>
      </c>
      <c r="AE36" s="70">
        <f t="shared" ref="AE36:AF36" si="261">IF(AE31="","",ROUND(AE35*AE31,2))</f>
        <v>-12955.95</v>
      </c>
      <c r="AF36" s="70">
        <f t="shared" si="261"/>
        <v>-14863.58</v>
      </c>
      <c r="AG36" s="70">
        <f t="shared" ref="AG36:AH36" si="262">IF(AG31="","",ROUND(AG35*AG31,2))</f>
        <v>-14696.75</v>
      </c>
      <c r="AH36" s="70">
        <f t="shared" si="262"/>
        <v>-15321.62</v>
      </c>
      <c r="AI36" s="70">
        <f t="shared" ref="AI36:AJ36" si="263">IF(AI31="","",ROUND(AI35*AI31,2))</f>
        <v>-13162.71</v>
      </c>
      <c r="AJ36" s="70">
        <f t="shared" si="263"/>
        <v>-12763.97</v>
      </c>
      <c r="AK36" s="70">
        <f t="shared" ref="AK36:AL36" si="264">IF(AK31="","",ROUND(AK35*AK31,2))</f>
        <v>-12506.82</v>
      </c>
      <c r="AL36" s="70">
        <f t="shared" si="264"/>
        <v>-13177.32</v>
      </c>
    </row>
    <row r="37" spans="1:38" x14ac:dyDescent="0.35">
      <c r="A37" s="84"/>
      <c r="B37" s="82"/>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row>
  </sheetData>
  <mergeCells count="5">
    <mergeCell ref="A3:A8"/>
    <mergeCell ref="A10:A15"/>
    <mergeCell ref="A17:A22"/>
    <mergeCell ref="A24:A29"/>
    <mergeCell ref="A31:A3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A1:CI184"/>
  <sheetViews>
    <sheetView zoomScaleNormal="100" zoomScaleSheetLayoutView="80" workbookViewId="0">
      <pane xSplit="2" ySplit="4" topLeftCell="BT5" activePane="bottomRight" state="frozen"/>
      <selection activeCell="AL26" sqref="AL26"/>
      <selection pane="topRight" activeCell="AL26" sqref="AL26"/>
      <selection pane="bottomLeft" activeCell="AL26" sqref="AL26"/>
      <selection pane="bottomRight" activeCell="CG21" sqref="CG21:CI21"/>
    </sheetView>
  </sheetViews>
  <sheetFormatPr defaultColWidth="9.1796875" defaultRowHeight="14.5" zeroHeight="1" outlineLevelRow="1" outlineLevelCol="1" x14ac:dyDescent="0.35"/>
  <cols>
    <col min="1" max="1" width="3.1796875" style="1" customWidth="1"/>
    <col min="2" max="2" width="50" style="40" customWidth="1"/>
    <col min="3" max="3" width="7.81640625" style="40" customWidth="1" outlineLevel="1"/>
    <col min="4" max="4" width="7.1796875" style="40" customWidth="1" outlineLevel="1"/>
    <col min="5" max="14" width="18.7265625" style="40" customWidth="1" outlineLevel="1"/>
    <col min="15" max="15" width="17.81640625" style="40" customWidth="1" outlineLevel="1" collapsed="1"/>
    <col min="16" max="26" width="18.7265625" style="40" customWidth="1" outlineLevel="1"/>
    <col min="27" max="41" width="18.7265625" style="40" customWidth="1"/>
    <col min="42" max="46" width="16" style="40" customWidth="1"/>
    <col min="47" max="58" width="13.81640625" style="40" bestFit="1" customWidth="1"/>
    <col min="59" max="70" width="13.81640625" style="40" customWidth="1"/>
    <col min="71" max="87" width="13.81640625" style="40" bestFit="1" customWidth="1"/>
    <col min="88" max="16384" width="9.1796875" style="40"/>
  </cols>
  <sheetData>
    <row r="1" spans="1:87" s="2" customFormat="1" ht="15.5" x14ac:dyDescent="0.35">
      <c r="A1" s="50" t="s">
        <v>1</v>
      </c>
    </row>
    <row r="2" spans="1:87" ht="15.5" x14ac:dyDescent="0.35">
      <c r="A2" s="50" t="s">
        <v>7</v>
      </c>
      <c r="B2" s="36"/>
      <c r="C2" s="36"/>
      <c r="D2" s="36"/>
      <c r="W2" s="43"/>
      <c r="X2" s="43"/>
      <c r="Y2" s="43"/>
      <c r="BA2" s="43"/>
      <c r="BE2" s="43"/>
    </row>
    <row r="3" spans="1:87" x14ac:dyDescent="0.35">
      <c r="A3" s="6"/>
      <c r="AH3" s="43"/>
      <c r="BA3" s="43"/>
    </row>
    <row r="4" spans="1:87" x14ac:dyDescent="0.35">
      <c r="A4" s="6"/>
      <c r="C4" s="12">
        <v>42370</v>
      </c>
      <c r="D4" s="12">
        <v>42401</v>
      </c>
      <c r="E4" s="12">
        <v>42430</v>
      </c>
      <c r="F4" s="12">
        <v>42461</v>
      </c>
      <c r="G4" s="12">
        <v>42491</v>
      </c>
      <c r="H4" s="12">
        <v>42522</v>
      </c>
      <c r="I4" s="12">
        <v>42552</v>
      </c>
      <c r="J4" s="12">
        <v>42583</v>
      </c>
      <c r="K4" s="12">
        <v>42614</v>
      </c>
      <c r="L4" s="12">
        <v>42644</v>
      </c>
      <c r="M4" s="12">
        <v>42675</v>
      </c>
      <c r="N4" s="12">
        <v>42705</v>
      </c>
      <c r="O4" s="12">
        <v>42736</v>
      </c>
      <c r="P4" s="12">
        <v>42767</v>
      </c>
      <c r="Q4" s="12">
        <v>42795</v>
      </c>
      <c r="R4" s="12">
        <v>42826</v>
      </c>
      <c r="S4" s="12">
        <v>42856</v>
      </c>
      <c r="T4" s="12">
        <v>42887</v>
      </c>
      <c r="U4" s="12">
        <v>42917</v>
      </c>
      <c r="V4" s="12">
        <v>42948</v>
      </c>
      <c r="W4" s="12">
        <v>42979</v>
      </c>
      <c r="X4" s="12">
        <v>43009</v>
      </c>
      <c r="Y4" s="12">
        <v>43040</v>
      </c>
      <c r="Z4" s="12">
        <v>43070</v>
      </c>
      <c r="AA4" s="12">
        <v>43101</v>
      </c>
      <c r="AB4" s="12">
        <v>43132</v>
      </c>
      <c r="AC4" s="12">
        <v>43160</v>
      </c>
      <c r="AD4" s="12">
        <v>43191</v>
      </c>
      <c r="AE4" s="12">
        <v>43221</v>
      </c>
      <c r="AF4" s="12">
        <v>43252</v>
      </c>
      <c r="AG4" s="12">
        <v>43282</v>
      </c>
      <c r="AH4" s="12">
        <v>43313</v>
      </c>
      <c r="AI4" s="12">
        <v>43344</v>
      </c>
      <c r="AJ4" s="12">
        <v>43374</v>
      </c>
      <c r="AK4" s="12">
        <v>43405</v>
      </c>
      <c r="AL4" s="12">
        <v>43435</v>
      </c>
      <c r="AM4" s="12">
        <v>43466</v>
      </c>
      <c r="AN4" s="12">
        <v>43497</v>
      </c>
      <c r="AO4" s="12">
        <v>43525</v>
      </c>
      <c r="AP4" s="12">
        <v>43556</v>
      </c>
      <c r="AQ4" s="12">
        <v>43586</v>
      </c>
      <c r="AR4" s="12">
        <v>43617</v>
      </c>
      <c r="AS4" s="12">
        <v>43647</v>
      </c>
      <c r="AT4" s="12">
        <v>43678</v>
      </c>
      <c r="AU4" s="12">
        <v>43709</v>
      </c>
      <c r="AV4" s="12">
        <v>43739</v>
      </c>
      <c r="AW4" s="12">
        <v>43770</v>
      </c>
      <c r="AX4" s="12">
        <v>43800</v>
      </c>
      <c r="AY4" s="12">
        <v>43831</v>
      </c>
      <c r="AZ4" s="12">
        <v>43862</v>
      </c>
      <c r="BA4" s="12">
        <v>43891</v>
      </c>
      <c r="BB4" s="12">
        <v>43922</v>
      </c>
      <c r="BC4" s="12">
        <v>43952</v>
      </c>
      <c r="BD4" s="12">
        <v>43983</v>
      </c>
      <c r="BE4" s="12">
        <v>44013</v>
      </c>
      <c r="BF4" s="12">
        <v>44044</v>
      </c>
      <c r="BG4" s="12">
        <v>44075</v>
      </c>
      <c r="BH4" s="12">
        <v>44105</v>
      </c>
      <c r="BI4" s="12">
        <v>44136</v>
      </c>
      <c r="BJ4" s="12">
        <v>44166</v>
      </c>
      <c r="BK4" s="12">
        <v>44197</v>
      </c>
      <c r="BL4" s="12">
        <v>44228</v>
      </c>
      <c r="BM4" s="12">
        <v>44256</v>
      </c>
      <c r="BN4" s="12">
        <v>44287</v>
      </c>
      <c r="BO4" s="12">
        <v>44317</v>
      </c>
      <c r="BP4" s="12">
        <v>44348</v>
      </c>
      <c r="BQ4" s="12">
        <v>44378</v>
      </c>
      <c r="BR4" s="12">
        <v>44409</v>
      </c>
      <c r="BS4" s="12">
        <v>44440</v>
      </c>
      <c r="BT4" s="12">
        <v>44470</v>
      </c>
      <c r="BU4" s="12">
        <v>44501</v>
      </c>
      <c r="BV4" s="12">
        <v>44531</v>
      </c>
      <c r="BW4" s="12">
        <v>44562</v>
      </c>
      <c r="BX4" s="12">
        <v>44593</v>
      </c>
      <c r="BY4" s="12">
        <v>44621</v>
      </c>
      <c r="BZ4" s="12">
        <v>44652</v>
      </c>
      <c r="CA4" s="12">
        <v>44682</v>
      </c>
      <c r="CB4" s="12">
        <v>44713</v>
      </c>
      <c r="CC4" s="12">
        <v>44743</v>
      </c>
      <c r="CD4" s="12">
        <v>44774</v>
      </c>
      <c r="CE4" s="12">
        <v>44805</v>
      </c>
      <c r="CF4" s="12">
        <v>44835</v>
      </c>
      <c r="CG4" s="12">
        <v>44866</v>
      </c>
      <c r="CH4" s="12">
        <v>44896</v>
      </c>
      <c r="CI4" s="12">
        <v>44927</v>
      </c>
    </row>
    <row r="5" spans="1:87" s="2" customFormat="1" ht="15" customHeight="1" x14ac:dyDescent="0.35">
      <c r="A5" s="277" t="s">
        <v>0</v>
      </c>
      <c r="B5" s="7"/>
      <c r="C5" s="26"/>
      <c r="D5" s="26"/>
      <c r="E5" s="31"/>
      <c r="F5" s="31"/>
      <c r="G5" s="31"/>
      <c r="H5" s="31"/>
      <c r="I5" s="31"/>
      <c r="J5" s="31"/>
      <c r="K5" s="31"/>
      <c r="L5" s="31"/>
      <c r="M5" s="31"/>
      <c r="N5" s="31"/>
      <c r="O5" s="31"/>
      <c r="P5" s="74">
        <v>2696725.74</v>
      </c>
      <c r="Q5" s="31"/>
      <c r="R5" s="31"/>
      <c r="S5" s="31"/>
      <c r="T5" s="31"/>
      <c r="U5" s="31"/>
      <c r="V5" s="31"/>
      <c r="W5" s="31"/>
      <c r="X5" s="31"/>
      <c r="Y5" s="74">
        <f>+'MEEIA 2 adjs'!Q13</f>
        <v>-3196.0980622343154</v>
      </c>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173">
        <f>'MEEIA 2 adjs'!BM2+'MEEIA 2 adjs'!BY12</f>
        <v>-3340.5820431405446</v>
      </c>
      <c r="BN5" s="174"/>
      <c r="BO5" s="174"/>
      <c r="BP5" s="174"/>
      <c r="BQ5" s="174"/>
      <c r="BR5" s="174"/>
      <c r="BS5" s="174"/>
      <c r="BT5" s="174"/>
      <c r="BU5" s="174"/>
      <c r="BV5" s="174"/>
      <c r="BW5" s="174"/>
      <c r="BX5" s="174"/>
      <c r="BY5" s="174"/>
      <c r="BZ5" s="174"/>
      <c r="CA5" s="174"/>
      <c r="CB5" s="174"/>
      <c r="CC5" s="174"/>
      <c r="CD5" s="174"/>
      <c r="CE5" s="174"/>
      <c r="CF5" s="174"/>
      <c r="CG5" s="174"/>
      <c r="CH5" s="174"/>
      <c r="CI5" s="174"/>
    </row>
    <row r="6" spans="1:87" s="4" customFormat="1" ht="15" customHeight="1" x14ac:dyDescent="0.35">
      <c r="A6" s="277"/>
      <c r="B6" s="7" t="s">
        <v>9</v>
      </c>
      <c r="C6" s="26"/>
      <c r="D6" s="26"/>
      <c r="E6" s="23">
        <v>489577.71</v>
      </c>
      <c r="F6" s="23">
        <v>596039.34</v>
      </c>
      <c r="G6" s="23">
        <v>1517252.46</v>
      </c>
      <c r="H6" s="23">
        <v>1813501.32</v>
      </c>
      <c r="I6" s="23">
        <v>2186924.08</v>
      </c>
      <c r="J6" s="23">
        <v>3901790.85</v>
      </c>
      <c r="K6" s="23">
        <v>2101305.48</v>
      </c>
      <c r="L6" s="23">
        <v>3473901.82</v>
      </c>
      <c r="M6" s="24">
        <v>3971572.65</v>
      </c>
      <c r="N6" s="23">
        <v>3484429.82</v>
      </c>
      <c r="O6" s="23">
        <v>3674638.82</v>
      </c>
      <c r="P6" s="24">
        <v>4414025.79</v>
      </c>
      <c r="Q6" s="24">
        <v>2991594.54</v>
      </c>
      <c r="R6" s="23">
        <v>2590304.3199999998</v>
      </c>
      <c r="S6" s="23">
        <v>4657810.8899999997</v>
      </c>
      <c r="T6" s="23">
        <v>4977110.7899999982</v>
      </c>
      <c r="U6" s="23">
        <v>3348927.8400000003</v>
      </c>
      <c r="V6" s="23">
        <v>5546241.8499999996</v>
      </c>
      <c r="W6" s="23">
        <v>4343353.6899999995</v>
      </c>
      <c r="X6" s="23">
        <v>4663448.7899999991</v>
      </c>
      <c r="Y6" s="23">
        <v>3579807.37</v>
      </c>
      <c r="Z6" s="23">
        <v>5420569.8299999982</v>
      </c>
      <c r="AA6" s="23">
        <v>3574752.5799999991</v>
      </c>
      <c r="AB6" s="23">
        <v>3331489.5699999994</v>
      </c>
      <c r="AC6" s="23">
        <v>4263249.9299999988</v>
      </c>
      <c r="AD6" s="23">
        <v>4115174.5300000017</v>
      </c>
      <c r="AE6" s="23">
        <v>4740998.6900000004</v>
      </c>
      <c r="AF6" s="23">
        <v>5145804.7499999991</v>
      </c>
      <c r="AG6" s="23">
        <v>6107814.71</v>
      </c>
      <c r="AH6" s="23">
        <v>6553231.54</v>
      </c>
      <c r="AI6" s="23">
        <v>5114734.95</v>
      </c>
      <c r="AJ6" s="23">
        <v>4801059.09</v>
      </c>
      <c r="AK6" s="23">
        <v>6475373.9700000007</v>
      </c>
      <c r="AL6" s="23">
        <v>8029360.29</v>
      </c>
      <c r="AM6" s="23">
        <v>1571431.2300000002</v>
      </c>
      <c r="AN6" s="23">
        <v>9564900.9000000004</v>
      </c>
      <c r="AO6" s="23">
        <v>7004423.3000000007</v>
      </c>
      <c r="AP6" s="23">
        <v>197376.2899999998</v>
      </c>
      <c r="AQ6" s="23">
        <v>257011.13999999996</v>
      </c>
      <c r="AR6" s="23">
        <v>211431.85000000024</v>
      </c>
      <c r="AS6" s="23">
        <v>1180808.6699999997</v>
      </c>
      <c r="AT6" s="23">
        <v>-1350523.8200000005</v>
      </c>
      <c r="AU6" s="23">
        <v>85629.37000000001</v>
      </c>
      <c r="AV6" s="23">
        <v>459064.35000000003</v>
      </c>
      <c r="AW6" s="23">
        <v>41006.47</v>
      </c>
      <c r="AX6" s="23">
        <v>159031.65</v>
      </c>
      <c r="AY6" s="23">
        <v>83120.979999999952</v>
      </c>
      <c r="AZ6" s="23">
        <v>139855.28</v>
      </c>
      <c r="BA6" s="23">
        <v>209941.13000000003</v>
      </c>
      <c r="BB6" s="23">
        <v>-1300.0800000000563</v>
      </c>
      <c r="BC6" s="23">
        <v>14255.75</v>
      </c>
      <c r="BD6" s="23">
        <v>253360.02999999997</v>
      </c>
      <c r="BE6" s="23">
        <v>60801.639999999985</v>
      </c>
      <c r="BF6" s="23">
        <v>700403.20000000019</v>
      </c>
      <c r="BG6" s="23">
        <v>126526.49999999997</v>
      </c>
      <c r="BH6" s="23">
        <v>21848.7</v>
      </c>
      <c r="BI6" s="23">
        <v>5996.8600000000006</v>
      </c>
      <c r="BJ6" s="23">
        <v>-279762.15999999992</v>
      </c>
      <c r="BK6" s="23">
        <v>95606.290000000008</v>
      </c>
      <c r="BL6" s="23">
        <v>153442.74</v>
      </c>
      <c r="BM6" s="23">
        <f>225.280000000005</f>
        <v>225.280000000005</v>
      </c>
      <c r="BN6" s="23">
        <v>99299.199999999997</v>
      </c>
      <c r="BO6" s="23">
        <v>19536.79</v>
      </c>
      <c r="BP6" s="23">
        <v>3441.95</v>
      </c>
      <c r="BQ6" s="23">
        <v>-107676.22</v>
      </c>
      <c r="BR6" s="23">
        <v>405</v>
      </c>
      <c r="BS6" s="23">
        <v>0</v>
      </c>
      <c r="BT6" s="23">
        <v>0</v>
      </c>
      <c r="BU6" s="23">
        <v>73760.72</v>
      </c>
      <c r="BV6" s="23">
        <v>0</v>
      </c>
      <c r="BW6" s="23">
        <v>-96364.57</v>
      </c>
      <c r="BX6" s="243"/>
      <c r="BY6" s="243"/>
      <c r="BZ6" s="243"/>
      <c r="CA6" s="243"/>
      <c r="CB6" s="243"/>
      <c r="CC6" s="243"/>
      <c r="CD6" s="243"/>
      <c r="CE6" s="243"/>
      <c r="CF6" s="243"/>
      <c r="CG6" s="243"/>
      <c r="CH6" s="243"/>
      <c r="CI6" s="243"/>
    </row>
    <row r="7" spans="1:87" s="4" customFormat="1" x14ac:dyDescent="0.35">
      <c r="A7" s="277"/>
      <c r="B7" s="7" t="s">
        <v>10</v>
      </c>
      <c r="C7" s="26"/>
      <c r="D7" s="26"/>
      <c r="E7" s="24">
        <v>0</v>
      </c>
      <c r="F7" s="24">
        <v>0</v>
      </c>
      <c r="G7" s="24">
        <v>261356.59</v>
      </c>
      <c r="H7" s="24">
        <v>3948687.99</v>
      </c>
      <c r="I7" s="24">
        <v>5065072.49</v>
      </c>
      <c r="J7" s="24">
        <v>5065949.9800000004</v>
      </c>
      <c r="K7" s="24">
        <v>4872398.21</v>
      </c>
      <c r="L7" s="24">
        <v>3865806.8</v>
      </c>
      <c r="M7" s="23">
        <v>3385376.18</v>
      </c>
      <c r="N7" s="24">
        <v>4206736.6500000004</v>
      </c>
      <c r="O7" s="24">
        <v>5036008.79</v>
      </c>
      <c r="P7" s="23">
        <f>3600039.75-11959.19</f>
        <v>3588080.56</v>
      </c>
      <c r="Q7" s="24">
        <v>2991302.79</v>
      </c>
      <c r="R7" s="24">
        <v>2782459.66</v>
      </c>
      <c r="S7" s="24">
        <v>2731333.13</v>
      </c>
      <c r="T7" s="24">
        <v>3426060.95</v>
      </c>
      <c r="U7" s="24">
        <v>4159412.58</v>
      </c>
      <c r="V7" s="24">
        <v>4243344.03</v>
      </c>
      <c r="W7" s="24">
        <v>3595829.47</v>
      </c>
      <c r="X7" s="24">
        <v>3284010.57</v>
      </c>
      <c r="Y7" s="24">
        <v>2912003.78</v>
      </c>
      <c r="Z7" s="24">
        <v>3426009.82</v>
      </c>
      <c r="AA7" s="24">
        <v>5038749.5</v>
      </c>
      <c r="AB7" s="24">
        <v>6592700.7599999998</v>
      </c>
      <c r="AC7" s="24">
        <v>6048408.1600000001</v>
      </c>
      <c r="AD7" s="24">
        <v>5896451.8300000001</v>
      </c>
      <c r="AE7" s="24">
        <v>5602655.8799999999</v>
      </c>
      <c r="AF7" s="24">
        <v>7075374.6299999999</v>
      </c>
      <c r="AG7" s="24">
        <v>7704127.9100000001</v>
      </c>
      <c r="AH7" s="24">
        <v>7271988.1200000001</v>
      </c>
      <c r="AI7" s="24">
        <v>7138278.0300000003</v>
      </c>
      <c r="AJ7" s="24">
        <v>6192975.21</v>
      </c>
      <c r="AK7" s="24">
        <v>5652712.79</v>
      </c>
      <c r="AL7" s="24">
        <v>6720370.3499999996</v>
      </c>
      <c r="AM7" s="24">
        <v>6281361.5700000003</v>
      </c>
      <c r="AN7" s="24">
        <v>111085.01</v>
      </c>
      <c r="AO7" s="24">
        <v>-36362.01</v>
      </c>
      <c r="AP7" s="24">
        <v>124962.2</v>
      </c>
      <c r="AQ7" s="24">
        <v>216142.69</v>
      </c>
      <c r="AR7" s="24">
        <v>164533.09</v>
      </c>
      <c r="AS7" s="24">
        <v>52414.7</v>
      </c>
      <c r="AT7" s="24">
        <v>41132.15</v>
      </c>
      <c r="AU7" s="24">
        <v>99790.34</v>
      </c>
      <c r="AV7" s="23">
        <v>162041.60999999999</v>
      </c>
      <c r="AW7" s="24">
        <v>143971.22</v>
      </c>
      <c r="AX7" s="24">
        <v>8571.3799999999992</v>
      </c>
      <c r="AY7" s="24">
        <v>-35370.6</v>
      </c>
      <c r="AZ7" s="24">
        <v>118298.99</v>
      </c>
      <c r="BA7" s="24">
        <v>171428.03</v>
      </c>
      <c r="BB7" s="24">
        <v>133296.92000000001</v>
      </c>
      <c r="BC7" s="24">
        <v>117655.75</v>
      </c>
      <c r="BD7" s="24">
        <v>130053.22</v>
      </c>
      <c r="BE7" s="24">
        <v>209735.52</v>
      </c>
      <c r="BF7" s="24">
        <v>197790.51</v>
      </c>
      <c r="BG7" s="24">
        <v>179959.96</v>
      </c>
      <c r="BH7" s="24">
        <v>125626.02</v>
      </c>
      <c r="BI7" s="24">
        <v>131893.51</v>
      </c>
      <c r="BJ7" s="24">
        <v>171081.87</v>
      </c>
      <c r="BK7" s="24">
        <v>221573.25</v>
      </c>
      <c r="BL7" s="24">
        <v>139999.91</v>
      </c>
      <c r="BM7" s="24">
        <v>69598.7</v>
      </c>
      <c r="BN7" s="24">
        <v>79661.600000000006</v>
      </c>
      <c r="BO7" s="24">
        <v>83734.06</v>
      </c>
      <c r="BP7" s="24">
        <v>81721.8</v>
      </c>
      <c r="BQ7" s="24">
        <v>93432.28</v>
      </c>
      <c r="BR7" s="24">
        <v>87748.09</v>
      </c>
      <c r="BS7" s="24">
        <v>92364.89</v>
      </c>
      <c r="BT7" s="24">
        <v>92883.25</v>
      </c>
      <c r="BU7" s="24">
        <v>76286.48</v>
      </c>
      <c r="BV7" s="24">
        <v>85855.96</v>
      </c>
      <c r="BW7" s="24">
        <v>77650.67</v>
      </c>
      <c r="BX7" s="14"/>
      <c r="BY7" s="14"/>
      <c r="BZ7" s="14"/>
      <c r="CA7" s="14"/>
      <c r="CB7" s="14"/>
      <c r="CC7" s="14"/>
      <c r="CD7" s="14"/>
      <c r="CE7" s="14"/>
      <c r="CF7" s="14"/>
      <c r="CG7" s="14"/>
      <c r="CH7" s="14"/>
      <c r="CI7" s="14"/>
    </row>
    <row r="8" spans="1:87" s="4" customFormat="1" x14ac:dyDescent="0.35">
      <c r="A8" s="277"/>
      <c r="B8" s="7" t="s">
        <v>11</v>
      </c>
      <c r="C8" s="26"/>
      <c r="D8" s="26"/>
      <c r="E8" s="9">
        <f t="shared" ref="E8:AX8" si="0">IF(OR(E6="",E7=""),"",E6-E7)</f>
        <v>489577.71</v>
      </c>
      <c r="F8" s="9">
        <f t="shared" si="0"/>
        <v>596039.34</v>
      </c>
      <c r="G8" s="9">
        <f t="shared" si="0"/>
        <v>1255895.8699999999</v>
      </c>
      <c r="H8" s="9">
        <f t="shared" si="0"/>
        <v>-2135186.67</v>
      </c>
      <c r="I8" s="9">
        <f>IF(OR(I6="",I7=""),"",I6-I7)</f>
        <v>-2878148.41</v>
      </c>
      <c r="J8" s="10">
        <f t="shared" si="0"/>
        <v>-1164159.1300000004</v>
      </c>
      <c r="K8" s="10">
        <f t="shared" si="0"/>
        <v>-2771092.73</v>
      </c>
      <c r="L8" s="10">
        <f t="shared" si="0"/>
        <v>-391904.98</v>
      </c>
      <c r="M8" s="10">
        <f t="shared" si="0"/>
        <v>586196.46999999974</v>
      </c>
      <c r="N8" s="10">
        <f t="shared" si="0"/>
        <v>-722306.83000000054</v>
      </c>
      <c r="O8" s="10">
        <f t="shared" si="0"/>
        <v>-1361369.9700000002</v>
      </c>
      <c r="P8" s="10">
        <f>IF(OR(P6="",P7=""),"",P6-P7)</f>
        <v>825945.23</v>
      </c>
      <c r="Q8" s="10">
        <f t="shared" si="0"/>
        <v>291.75</v>
      </c>
      <c r="R8" s="10">
        <f t="shared" si="0"/>
        <v>-192155.34000000032</v>
      </c>
      <c r="S8" s="10">
        <f t="shared" si="0"/>
        <v>1926477.7599999998</v>
      </c>
      <c r="T8" s="10">
        <f t="shared" si="0"/>
        <v>1551049.839999998</v>
      </c>
      <c r="U8" s="10">
        <f t="shared" si="0"/>
        <v>-810484.73999999976</v>
      </c>
      <c r="V8" s="10">
        <f t="shared" si="0"/>
        <v>1302897.8199999994</v>
      </c>
      <c r="W8" s="10">
        <f t="shared" si="0"/>
        <v>747524.21999999927</v>
      </c>
      <c r="X8" s="10">
        <f>IF(OR(X6="",X7=""),"",X6-X7)</f>
        <v>1379438.2199999993</v>
      </c>
      <c r="Y8" s="10">
        <f>IF(OR(Y6="",Y7=""),"",Y6-Y7)</f>
        <v>667803.59000000032</v>
      </c>
      <c r="Z8" s="10">
        <f t="shared" si="0"/>
        <v>1994560.0099999984</v>
      </c>
      <c r="AA8" s="10">
        <f t="shared" si="0"/>
        <v>-1463996.9200000009</v>
      </c>
      <c r="AB8" s="10">
        <f t="shared" si="0"/>
        <v>-3261211.1900000004</v>
      </c>
      <c r="AC8" s="10">
        <f t="shared" si="0"/>
        <v>-1785158.2300000014</v>
      </c>
      <c r="AD8" s="10">
        <f t="shared" si="0"/>
        <v>-1781277.2999999984</v>
      </c>
      <c r="AE8" s="10">
        <f t="shared" si="0"/>
        <v>-861657.18999999948</v>
      </c>
      <c r="AF8" s="10">
        <f t="shared" si="0"/>
        <v>-1929569.8800000008</v>
      </c>
      <c r="AG8" s="10">
        <f t="shared" si="0"/>
        <v>-1596313.2000000002</v>
      </c>
      <c r="AH8" s="10">
        <f t="shared" si="0"/>
        <v>-718756.58000000007</v>
      </c>
      <c r="AI8" s="10">
        <f t="shared" si="0"/>
        <v>-2023543.08</v>
      </c>
      <c r="AJ8" s="10">
        <f t="shared" si="0"/>
        <v>-1391916.12</v>
      </c>
      <c r="AK8" s="10">
        <f t="shared" si="0"/>
        <v>822661.18000000063</v>
      </c>
      <c r="AL8" s="10">
        <f t="shared" si="0"/>
        <v>1308989.9400000004</v>
      </c>
      <c r="AM8" s="10">
        <f t="shared" si="0"/>
        <v>-4709930.34</v>
      </c>
      <c r="AN8" s="10">
        <f t="shared" si="0"/>
        <v>9453815.8900000006</v>
      </c>
      <c r="AO8" s="10">
        <f t="shared" si="0"/>
        <v>7040785.3100000005</v>
      </c>
      <c r="AP8" s="10">
        <f t="shared" si="0"/>
        <v>72414.089999999807</v>
      </c>
      <c r="AQ8" s="10">
        <f t="shared" si="0"/>
        <v>40868.449999999953</v>
      </c>
      <c r="AR8" s="10">
        <f t="shared" si="0"/>
        <v>46898.760000000242</v>
      </c>
      <c r="AS8" s="10">
        <f t="shared" si="0"/>
        <v>1128393.9699999997</v>
      </c>
      <c r="AT8" s="10">
        <f t="shared" si="0"/>
        <v>-1391655.9700000004</v>
      </c>
      <c r="AU8" s="10">
        <f t="shared" si="0"/>
        <v>-14160.969999999987</v>
      </c>
      <c r="AV8" s="10">
        <f t="shared" si="0"/>
        <v>297022.74000000005</v>
      </c>
      <c r="AW8" s="10">
        <f t="shared" si="0"/>
        <v>-102964.75</v>
      </c>
      <c r="AX8" s="10">
        <f t="shared" si="0"/>
        <v>150460.26999999999</v>
      </c>
      <c r="AY8" s="10">
        <f>IF(OR(AY6="",AY7=""),"",AY6-AY7)</f>
        <v>118491.57999999996</v>
      </c>
      <c r="AZ8" s="10">
        <f t="shared" ref="AZ8:BH8" si="1">IF(OR(AZ6="",AZ7=""),"",AZ6-AZ7)</f>
        <v>21556.289999999994</v>
      </c>
      <c r="BA8" s="10">
        <f t="shared" si="1"/>
        <v>38513.100000000035</v>
      </c>
      <c r="BB8" s="10">
        <f t="shared" si="1"/>
        <v>-134597.00000000006</v>
      </c>
      <c r="BC8" s="10">
        <f t="shared" si="1"/>
        <v>-103400</v>
      </c>
      <c r="BD8" s="10">
        <f t="shared" si="1"/>
        <v>123306.80999999997</v>
      </c>
      <c r="BE8" s="10">
        <f t="shared" si="1"/>
        <v>-148933.88</v>
      </c>
      <c r="BF8" s="10">
        <f t="shared" si="1"/>
        <v>502612.69000000018</v>
      </c>
      <c r="BG8" s="10">
        <f t="shared" si="1"/>
        <v>-53433.460000000021</v>
      </c>
      <c r="BH8" s="10">
        <f t="shared" si="1"/>
        <v>-103777.32</v>
      </c>
      <c r="BI8" s="10">
        <f t="shared" ref="BI8:BN8" si="2">IF(OR(BI6="",BI7=""),"",BI6-BI7)</f>
        <v>-125896.65000000001</v>
      </c>
      <c r="BJ8" s="10">
        <f t="shared" si="2"/>
        <v>-450844.02999999991</v>
      </c>
      <c r="BK8" s="10">
        <f t="shared" si="2"/>
        <v>-125966.95999999999</v>
      </c>
      <c r="BL8" s="10">
        <f t="shared" si="2"/>
        <v>13442.829999999987</v>
      </c>
      <c r="BM8" s="10">
        <f>IF(OR(BM6="",BM7=""),"",BM6-BM7)</f>
        <v>-69373.42</v>
      </c>
      <c r="BN8" s="10">
        <f t="shared" si="2"/>
        <v>19637.599999999991</v>
      </c>
      <c r="BO8" s="10">
        <f t="shared" ref="BO8:BP8" si="3">IF(OR(BO6="",BO7=""),"",BO6-BO7)</f>
        <v>-64197.27</v>
      </c>
      <c r="BP8" s="10">
        <f t="shared" si="3"/>
        <v>-78279.850000000006</v>
      </c>
      <c r="BQ8" s="10">
        <f t="shared" ref="BQ8:BR8" si="4">IF(OR(BQ6="",BQ7=""),"",BQ6-BQ7)</f>
        <v>-201108.5</v>
      </c>
      <c r="BR8" s="10">
        <f t="shared" si="4"/>
        <v>-87343.09</v>
      </c>
      <c r="BS8" s="10">
        <f t="shared" ref="BS8:BT8" si="5">IF(OR(BS6="",BS7=""),"",BS6-BS7)</f>
        <v>-92364.89</v>
      </c>
      <c r="BT8" s="10">
        <f t="shared" si="5"/>
        <v>-92883.25</v>
      </c>
      <c r="BU8" s="10">
        <f t="shared" ref="BU8:BV8" si="6">IF(OR(BU6="",BU7=""),"",BU6-BU7)</f>
        <v>-2525.7599999999948</v>
      </c>
      <c r="BV8" s="10">
        <f t="shared" si="6"/>
        <v>-85855.96</v>
      </c>
      <c r="BW8" s="10">
        <f t="shared" ref="BW8:BX8" si="7">IF(OR(BW6="",BW7=""),"",BW6-BW7)</f>
        <v>-174015.24</v>
      </c>
      <c r="BX8" s="14" t="str">
        <f t="shared" si="7"/>
        <v/>
      </c>
      <c r="BY8" s="14" t="str">
        <f t="shared" ref="BY8:BZ8" si="8">IF(OR(BY6="",BY7=""),"",BY6-BY7)</f>
        <v/>
      </c>
      <c r="BZ8" s="14" t="str">
        <f t="shared" si="8"/>
        <v/>
      </c>
      <c r="CA8" s="14" t="str">
        <f t="shared" ref="CA8:CB8" si="9">IF(OR(CA6="",CA7=""),"",CA6-CA7)</f>
        <v/>
      </c>
      <c r="CB8" s="14" t="str">
        <f t="shared" si="9"/>
        <v/>
      </c>
      <c r="CC8" s="14" t="str">
        <f t="shared" ref="CC8:CD8" si="10">IF(OR(CC6="",CC7=""),"",CC6-CC7)</f>
        <v/>
      </c>
      <c r="CD8" s="14" t="str">
        <f t="shared" si="10"/>
        <v/>
      </c>
      <c r="CE8" s="14" t="str">
        <f t="shared" ref="CE8:CF8" si="11">IF(OR(CE6="",CE7=""),"",CE6-CE7)</f>
        <v/>
      </c>
      <c r="CF8" s="14" t="str">
        <f t="shared" si="11"/>
        <v/>
      </c>
      <c r="CG8" s="14" t="str">
        <f t="shared" ref="CG8:CH8" si="12">IF(OR(CG6="",CG7=""),"",CG6-CG7)</f>
        <v/>
      </c>
      <c r="CH8" s="14" t="str">
        <f t="shared" si="12"/>
        <v/>
      </c>
      <c r="CI8" s="14" t="str">
        <f t="shared" ref="CI8" si="13">IF(OR(CI6="",CI7=""),"",CI6-CI7)</f>
        <v/>
      </c>
    </row>
    <row r="9" spans="1:87" s="4" customFormat="1" x14ac:dyDescent="0.35">
      <c r="A9" s="277"/>
      <c r="B9" s="7" t="s">
        <v>4</v>
      </c>
      <c r="C9" s="26"/>
      <c r="D9" s="26"/>
      <c r="E9" s="25">
        <v>7.31972E-3</v>
      </c>
      <c r="F9" s="25">
        <v>7.4556900000000001E-3</v>
      </c>
      <c r="G9" s="25">
        <v>7.55794E-3</v>
      </c>
      <c r="H9" s="25">
        <v>6.2632199999999999E-3</v>
      </c>
      <c r="I9" s="25">
        <v>6.2904299999999996E-3</v>
      </c>
      <c r="J9" s="25">
        <v>7.6456600000000003E-3</v>
      </c>
      <c r="K9" s="25">
        <v>7.5545970550536697E-3</v>
      </c>
      <c r="L9" s="25">
        <v>7.6017000000000003E-3</v>
      </c>
      <c r="M9" s="25">
        <v>7.6414500000000002E-3</v>
      </c>
      <c r="N9" s="25">
        <v>9.6220400000000001E-3</v>
      </c>
      <c r="O9" s="25">
        <v>8.9999999999999993E-3</v>
      </c>
      <c r="P9" s="25">
        <v>8.9999999999999993E-3</v>
      </c>
      <c r="Q9" s="25">
        <v>1.15E-2</v>
      </c>
      <c r="R9" s="25">
        <v>1.15E-2</v>
      </c>
      <c r="S9" s="25">
        <v>1.15E-2</v>
      </c>
      <c r="T9" s="25">
        <v>1.41E-2</v>
      </c>
      <c r="U9" s="25">
        <v>1.39185E-2</v>
      </c>
      <c r="V9" s="25">
        <v>1.466976E-2</v>
      </c>
      <c r="W9" s="25">
        <v>1.4482760000000001E-2</v>
      </c>
      <c r="X9" s="25">
        <v>1.45083E-2</v>
      </c>
      <c r="Y9" s="25">
        <v>1.4428689E-2</v>
      </c>
      <c r="Z9" s="25">
        <v>1.773541E-2</v>
      </c>
      <c r="AA9" s="25">
        <v>1.715386E-2</v>
      </c>
      <c r="AB9" s="25">
        <v>1.8275659999999999E-2</v>
      </c>
      <c r="AC9" s="25">
        <v>2.0539459999999999E-2</v>
      </c>
      <c r="AD9" s="25">
        <v>2.3111960000000001E-2</v>
      </c>
      <c r="AE9" s="25">
        <v>2.1987949999999999E-2</v>
      </c>
      <c r="AF9" s="25">
        <v>2.2795610000000001E-2</v>
      </c>
      <c r="AG9" s="25">
        <v>2.347169E-2</v>
      </c>
      <c r="AH9" s="25">
        <v>2.3254460000000001E-2</v>
      </c>
      <c r="AI9" s="25">
        <v>2.328962E-2</v>
      </c>
      <c r="AJ9" s="25">
        <v>2.457413E-2</v>
      </c>
      <c r="AK9" s="25">
        <v>2.5271160000000001E-2</v>
      </c>
      <c r="AL9" s="25">
        <v>2.7545790000000001E-2</v>
      </c>
      <c r="AM9" s="25">
        <v>2.8696949999999999E-2</v>
      </c>
      <c r="AN9" s="25">
        <v>2.8403910000000001E-2</v>
      </c>
      <c r="AO9" s="25">
        <v>2.7878150000000001E-2</v>
      </c>
      <c r="AP9" s="25">
        <v>2.6622739999999999E-2</v>
      </c>
      <c r="AQ9" s="25">
        <v>2.677361E-2</v>
      </c>
      <c r="AR9" s="25">
        <v>2.6500570000000001E-2</v>
      </c>
      <c r="AS9" s="25">
        <v>2.594869E-2</v>
      </c>
      <c r="AT9" s="25">
        <v>2.3511899999999999E-2</v>
      </c>
      <c r="AU9" s="25">
        <v>2.21687E-2</v>
      </c>
      <c r="AV9" s="25">
        <v>2.113932E-2</v>
      </c>
      <c r="AW9" s="25">
        <v>1.8159890000000001E-2</v>
      </c>
      <c r="AX9" s="25">
        <v>1.9151990000000001E-2</v>
      </c>
      <c r="AY9" s="25">
        <v>1.8890779999999999E-2</v>
      </c>
      <c r="AZ9" s="25">
        <v>1.8035829999999999E-2</v>
      </c>
      <c r="BA9" s="25">
        <v>1.888592E-2</v>
      </c>
      <c r="BB9" s="25">
        <v>9.3845999999999999E-3</v>
      </c>
      <c r="BC9" s="25">
        <v>1.2906700000000001E-3</v>
      </c>
      <c r="BD9" s="25">
        <v>1.2563100000000001E-3</v>
      </c>
      <c r="BE9" s="25">
        <v>1.9366299999999999E-3</v>
      </c>
      <c r="BF9" s="25">
        <v>1.3658500000000001E-3</v>
      </c>
      <c r="BG9" s="25">
        <v>1.23916E-3</v>
      </c>
      <c r="BH9" s="25">
        <v>2E-3</v>
      </c>
      <c r="BI9" s="25">
        <v>2.5244400000000002E-3</v>
      </c>
      <c r="BJ9" s="25">
        <v>2.8469900000000002E-3</v>
      </c>
      <c r="BK9" s="25">
        <v>2.0613900000000002E-3</v>
      </c>
      <c r="BL9" s="25">
        <v>2.3221700000000001E-3</v>
      </c>
      <c r="BM9" s="25">
        <v>2.1367399999999998E-3</v>
      </c>
      <c r="BN9" s="25">
        <v>2.2512299999999999E-3</v>
      </c>
      <c r="BO9" s="25">
        <v>2.2427200000000001E-3</v>
      </c>
      <c r="BP9" s="25">
        <v>2.01659E-3</v>
      </c>
      <c r="BQ9" s="25">
        <v>1.3954900000000001E-3</v>
      </c>
      <c r="BR9" s="25">
        <v>2.0509899999999999E-3</v>
      </c>
      <c r="BS9" s="25">
        <v>1.9323299999999999E-3</v>
      </c>
      <c r="BT9" s="25">
        <v>1.5E-3</v>
      </c>
      <c r="BU9" s="25">
        <v>1.5320900000000001E-3</v>
      </c>
      <c r="BV9" s="25">
        <v>2.6046400000000001E-3</v>
      </c>
      <c r="BW9" s="25">
        <v>2.3444999999999998E-3</v>
      </c>
      <c r="BX9" s="25">
        <v>2.9584899999999998E-3</v>
      </c>
      <c r="BY9" s="25">
        <v>6.8829599999999996E-3</v>
      </c>
      <c r="BZ9" s="25">
        <v>6.0041599999999997E-3</v>
      </c>
      <c r="CA9" s="25">
        <v>9.4970499999999999E-3</v>
      </c>
      <c r="CB9" s="25">
        <v>1.4858659999999999E-2</v>
      </c>
      <c r="CC9" s="25">
        <v>2.0566899999999999E-2</v>
      </c>
      <c r="CD9" s="25">
        <v>2.564054E-2</v>
      </c>
      <c r="CE9" s="25">
        <v>2.8416960000000002E-2</v>
      </c>
      <c r="CF9" s="25">
        <v>3.4701200000000001E-2</v>
      </c>
      <c r="CG9" s="25">
        <v>3.4701200000000001E-2</v>
      </c>
      <c r="CH9" s="25">
        <v>3.4701200000000001E-2</v>
      </c>
      <c r="CI9" s="25">
        <v>3.4701200000000001E-2</v>
      </c>
    </row>
    <row r="10" spans="1:87" s="4" customFormat="1" x14ac:dyDescent="0.35">
      <c r="A10" s="277"/>
      <c r="B10" s="7" t="s">
        <v>5</v>
      </c>
      <c r="C10" s="26"/>
      <c r="D10" s="26"/>
      <c r="E10" s="10">
        <f>IF(OR(E9="",E8=""),"",(E9*E8)/12)</f>
        <v>298.63097962010005</v>
      </c>
      <c r="F10" s="10">
        <f>IF(OR(F9="",F8="",E13=""),"",((E13+F8)*F9)/12)</f>
        <v>674.68755696024539</v>
      </c>
      <c r="G10" s="10">
        <f>IF(OR(G9="",G8="",F13=""),"",((F13+G8)*G9)/12)</f>
        <v>1475.3642034737634</v>
      </c>
      <c r="H10" s="10">
        <f>IF(OR(H9="",H8="",G13=""),"",((G13+H8)*H9)/12)</f>
        <v>108.96694451968013</v>
      </c>
      <c r="I10" s="10">
        <f t="shared" ref="I10:AL10" si="14">IF(OR(I9="",I8="",H13=""),"",((H13+I8)*I9)/12)</f>
        <v>-1399.2351294686221</v>
      </c>
      <c r="J10" s="10">
        <f t="shared" si="14"/>
        <v>-2443.3126554895016</v>
      </c>
      <c r="K10" s="10">
        <f t="shared" si="14"/>
        <v>-4160.2907351182357</v>
      </c>
      <c r="L10" s="10">
        <f>IF(OR(L9="",L8="",K13=""),"",((K13+L8)*L9)/12)</f>
        <v>-4437.1276130225706</v>
      </c>
      <c r="M10" s="10">
        <f t="shared" si="14"/>
        <v>-4089.8726909078409</v>
      </c>
      <c r="N10" s="10">
        <f>IF(OR(N9="",N8="",M13=""),"",((M13+N8)*N9)/12)</f>
        <v>-5732.3796823568009</v>
      </c>
      <c r="O10" s="10">
        <f>IF(OR(O9="",O8="",N13=""),"",((N13+O8)*O9)/12)</f>
        <v>-6387.1229241163428</v>
      </c>
      <c r="P10" s="10">
        <f>IF(OR(P9="",P8="",O13=""),"",((O13+P5+P8)*P9)/12)</f>
        <v>-3749.9100388094298</v>
      </c>
      <c r="Q10" s="10">
        <f t="shared" si="14"/>
        <v>-4794.8657862936871</v>
      </c>
      <c r="R10" s="10">
        <f t="shared" si="14"/>
        <v>-4983.609733505551</v>
      </c>
      <c r="S10" s="10">
        <f t="shared" si="14"/>
        <v>-3142.1778395001616</v>
      </c>
      <c r="T10" s="10">
        <f t="shared" si="14"/>
        <v>-2033.7917610442216</v>
      </c>
      <c r="U10" s="10">
        <f t="shared" si="14"/>
        <v>-2950.032033167759</v>
      </c>
      <c r="V10" s="10">
        <f t="shared" si="14"/>
        <v>-1520.1017399300081</v>
      </c>
      <c r="W10" s="10">
        <f t="shared" si="14"/>
        <v>-600.37464592803713</v>
      </c>
      <c r="X10" s="10">
        <f t="shared" si="14"/>
        <v>1065.6160337585422</v>
      </c>
      <c r="Y10" s="10">
        <f>IF(OR(Y9="",Y8="",X13=""),"",((X13+Y8)*Y9)/12)</f>
        <v>1864.0108541734644</v>
      </c>
      <c r="Z10" s="10">
        <f t="shared" si="14"/>
        <v>5237.0917957096526</v>
      </c>
      <c r="AA10" s="10">
        <f t="shared" si="14"/>
        <v>2980.0856561618343</v>
      </c>
      <c r="AB10" s="10">
        <f t="shared" si="14"/>
        <v>-1787.2212454908315</v>
      </c>
      <c r="AC10" s="10">
        <f t="shared" si="14"/>
        <v>-5067.1783055076858</v>
      </c>
      <c r="AD10" s="10">
        <f t="shared" si="14"/>
        <v>-9142.3192797550983</v>
      </c>
      <c r="AE10" s="10">
        <f t="shared" si="14"/>
        <v>-10293.28981248618</v>
      </c>
      <c r="AF10" s="10">
        <f t="shared" si="14"/>
        <v>-14356.412644169563</v>
      </c>
      <c r="AG10" s="10">
        <f t="shared" si="14"/>
        <v>-17932.628195218407</v>
      </c>
      <c r="AH10" s="10">
        <f t="shared" si="14"/>
        <v>-19194.271240063452</v>
      </c>
      <c r="AI10" s="10">
        <f t="shared" si="14"/>
        <v>-23187.840420324708</v>
      </c>
      <c r="AJ10" s="10">
        <f t="shared" si="14"/>
        <v>-27364.649284877389</v>
      </c>
      <c r="AK10" s="10">
        <f t="shared" si="14"/>
        <v>-26465.991815715159</v>
      </c>
      <c r="AL10" s="10">
        <f t="shared" si="14"/>
        <v>-25904.156066711101</v>
      </c>
      <c r="AM10" s="10">
        <f>IF(OR(AM9="",AM8="",AL13=""),"",((AL13+AM8)*AM9)/12)</f>
        <v>-38312.044718958496</v>
      </c>
      <c r="AN10" s="10">
        <f>IF(OR(AN9="",AN8="",AM13=""),"",((AM13+AN8)*AN9)/12)</f>
        <v>-15634.392826822654</v>
      </c>
      <c r="AO10" s="10">
        <f t="shared" ref="AO10:AX10" si="15">IF(OR(AO9="",AO8="",AN13=""),"",((AN13+AO8)*AO9)/12)</f>
        <v>975.68603367557773</v>
      </c>
      <c r="AP10" s="10">
        <f>IF(OR(AP9="",AP8="",AO13=""),"",((AO13+AP8)*AP9)/12)</f>
        <v>1094.5686438206917</v>
      </c>
      <c r="AQ10" s="10">
        <f>IF(OR(AQ9="",AQ8="",AP13=""),"",((AP13+AQ8)*AQ9)/12)</f>
        <v>1194.3966450653857</v>
      </c>
      <c r="AR10" s="10">
        <f t="shared" si="15"/>
        <v>1288.4240718537685</v>
      </c>
      <c r="AS10" s="10">
        <f t="shared" si="15"/>
        <v>3704.4072203651453</v>
      </c>
      <c r="AT10" s="10">
        <f t="shared" si="15"/>
        <v>637.0854914873712</v>
      </c>
      <c r="AU10" s="10">
        <f t="shared" si="15"/>
        <v>575.7058300414684</v>
      </c>
      <c r="AV10" s="10">
        <f t="shared" si="15"/>
        <v>1073.2259404553306</v>
      </c>
      <c r="AW10" s="10">
        <f t="shared" si="15"/>
        <v>767.76781699004562</v>
      </c>
      <c r="AX10" s="10">
        <f t="shared" si="15"/>
        <v>1051.0718609690841</v>
      </c>
      <c r="AY10" s="10">
        <f t="shared" ref="AY10" si="16">IF(OR(AY9="",AY8="",AX13=""),"",((AX13+AY8)*AY9)/12)</f>
        <v>1224.9243389959495</v>
      </c>
      <c r="AZ10" s="10">
        <f t="shared" ref="AZ10" si="17">IF(OR(AZ9="",AZ8="",AY13=""),"",((AY13+AZ8)*AZ9)/12)</f>
        <v>1203.7271341543144</v>
      </c>
      <c r="BA10" s="10">
        <f t="shared" ref="BA10" si="18">IF(OR(BA9="",BA8="",AZ13=""),"",((AZ13+BA8)*BA9)/12)</f>
        <v>1322.9702890043484</v>
      </c>
      <c r="BB10" s="10">
        <f>IF(OR(BB9="",BB8="",BA13=""),"",((BA13+BB8)*BB9)/12)</f>
        <v>553.17003574276748</v>
      </c>
      <c r="BC10" s="10">
        <f t="shared" ref="BC10" si="19">IF(OR(BC9="",BC8="",BB13=""),"",((BB13+BC8)*BC9)/12)</f>
        <v>65.016049939984811</v>
      </c>
      <c r="BD10" s="10">
        <f t="shared" ref="BD10" si="20">IF(OR(BD9="",BD8="",BC13=""),"",((BC13+BD8)*BD9)/12)</f>
        <v>76.201308475249661</v>
      </c>
      <c r="BE10" s="10">
        <f t="shared" ref="BE10" si="21">IF(OR(BE9="",BE8="",BD13=""),"",((BD13+BE8)*BE9)/12)</f>
        <v>93.442503015415454</v>
      </c>
      <c r="BF10" s="10">
        <f t="shared" ref="BF10" si="22">IF(OR(BF9="",BF8="",BE13=""),"",((BE13+BF8)*BF9)/12)</f>
        <v>123.12076784028865</v>
      </c>
      <c r="BG10" s="10">
        <f t="shared" ref="BG10" si="23">IF(OR(BG9="",BG8="",BF13=""),"",((BF13+BG8)*BG9)/12)</f>
        <v>106.19564511356218</v>
      </c>
      <c r="BH10" s="10">
        <f t="shared" ref="BH10" si="24">IF(OR(BH9="",BH8="",BG13=""),"",((BG13+BH8)*BH9)/12)</f>
        <v>154.12088712073029</v>
      </c>
      <c r="BI10" s="10">
        <f t="shared" ref="BI10" si="25">IF(OR(BI9="",BI8="",BH13=""),"",((BH13+BI8)*BI9)/12)</f>
        <v>168.08201029205179</v>
      </c>
      <c r="BJ10" s="10">
        <f t="shared" ref="BJ10:BL10" si="26">IF(OR(BJ9="",BJ8="",BI13=""),"",((BI13+BJ8)*BJ9)/12)</f>
        <v>82.635508868066111</v>
      </c>
      <c r="BK10" s="10">
        <f t="shared" si="26"/>
        <v>38.208296736128084</v>
      </c>
      <c r="BL10" s="10">
        <f t="shared" si="26"/>
        <v>45.650680716293579</v>
      </c>
      <c r="BM10" s="10">
        <f>IF(OR(BM9="",BM8="",BL13=""),"",((BL13+BM5+BM8)*BM9)/12)+'MEEIA 2 adjs'!BY12</f>
        <v>-37.536109937093315</v>
      </c>
      <c r="BN10" s="10">
        <f t="shared" ref="BN10:CI10" si="27">IF(OR(BN9="",BN8="",BM13=""),"",((BM13+BN5+BN8)*BN9)/12)</f>
        <v>34.312848816743816</v>
      </c>
      <c r="BO10" s="10">
        <f t="shared" si="27"/>
        <v>22.19151196592497</v>
      </c>
      <c r="BP10" s="10">
        <f t="shared" si="27"/>
        <v>6.8028417328419382</v>
      </c>
      <c r="BQ10" s="10">
        <f t="shared" si="27"/>
        <v>-18.67868467833663</v>
      </c>
      <c r="BR10" s="10">
        <f t="shared" si="27"/>
        <v>-42.384085643964262</v>
      </c>
      <c r="BS10" s="10">
        <f t="shared" si="27"/>
        <v>-54.812067243452852</v>
      </c>
      <c r="BT10" s="10">
        <f t="shared" si="27"/>
        <v>-54.165942954608617</v>
      </c>
      <c r="BU10" s="10">
        <f t="shared" si="27"/>
        <v>-55.654122922379315</v>
      </c>
      <c r="BV10" s="10">
        <f t="shared" si="27"/>
        <v>-113.26257151462666</v>
      </c>
      <c r="BW10" s="10">
        <f t="shared" si="27"/>
        <v>-135.97075966833361</v>
      </c>
      <c r="BX10" s="14" t="str">
        <f t="shared" si="27"/>
        <v/>
      </c>
      <c r="BY10" s="14" t="str">
        <f t="shared" si="27"/>
        <v/>
      </c>
      <c r="BZ10" s="14" t="str">
        <f t="shared" si="27"/>
        <v/>
      </c>
      <c r="CA10" s="14" t="str">
        <f t="shared" si="27"/>
        <v/>
      </c>
      <c r="CB10" s="14" t="str">
        <f t="shared" si="27"/>
        <v/>
      </c>
      <c r="CC10" s="14" t="str">
        <f t="shared" si="27"/>
        <v/>
      </c>
      <c r="CD10" s="14" t="str">
        <f t="shared" si="27"/>
        <v/>
      </c>
      <c r="CE10" s="14" t="str">
        <f t="shared" si="27"/>
        <v/>
      </c>
      <c r="CF10" s="14" t="str">
        <f t="shared" si="27"/>
        <v/>
      </c>
      <c r="CG10" s="14" t="str">
        <f t="shared" si="27"/>
        <v/>
      </c>
      <c r="CH10" s="14" t="str">
        <f t="shared" si="27"/>
        <v/>
      </c>
      <c r="CI10" s="14" t="str">
        <f t="shared" si="27"/>
        <v/>
      </c>
    </row>
    <row r="11" spans="1:87" s="4" customFormat="1" x14ac:dyDescent="0.35">
      <c r="A11" s="277"/>
      <c r="B11" s="8" t="s">
        <v>6</v>
      </c>
      <c r="C11" s="30"/>
      <c r="D11" s="30"/>
      <c r="E11" s="10">
        <f>E10</f>
        <v>298.63097962010005</v>
      </c>
      <c r="F11" s="10">
        <f>IF(OR(E11="",F10=""),"",E11+F10)</f>
        <v>973.31853658034538</v>
      </c>
      <c r="G11" s="10">
        <f t="shared" ref="G11:AX11" si="28">IF(OR(F11="",G10=""),"",F11+G10)</f>
        <v>2448.6827400541088</v>
      </c>
      <c r="H11" s="10">
        <f t="shared" si="28"/>
        <v>2557.6496845737888</v>
      </c>
      <c r="I11" s="10">
        <f t="shared" si="28"/>
        <v>1158.4145551051668</v>
      </c>
      <c r="J11" s="10">
        <f t="shared" si="28"/>
        <v>-1284.8981003843348</v>
      </c>
      <c r="K11" s="10">
        <f t="shared" si="28"/>
        <v>-5445.1888355025703</v>
      </c>
      <c r="L11" s="10">
        <f t="shared" si="28"/>
        <v>-9882.31644852514</v>
      </c>
      <c r="M11" s="10">
        <f t="shared" si="28"/>
        <v>-13972.189139432981</v>
      </c>
      <c r="N11" s="10">
        <f t="shared" si="28"/>
        <v>-19704.568821789784</v>
      </c>
      <c r="O11" s="10">
        <f t="shared" si="28"/>
        <v>-26091.691745906126</v>
      </c>
      <c r="P11" s="10">
        <f>IF(OR(O11="",P10=""),"",O11+P10)</f>
        <v>-29841.601784715556</v>
      </c>
      <c r="Q11" s="10">
        <f t="shared" si="28"/>
        <v>-34636.467571009242</v>
      </c>
      <c r="R11" s="10">
        <f t="shared" si="28"/>
        <v>-39620.077304514794</v>
      </c>
      <c r="S11" s="10">
        <f t="shared" si="28"/>
        <v>-42762.255144014955</v>
      </c>
      <c r="T11" s="10">
        <f t="shared" si="28"/>
        <v>-44796.046905059178</v>
      </c>
      <c r="U11" s="10">
        <f t="shared" si="28"/>
        <v>-47746.078938226936</v>
      </c>
      <c r="V11" s="10">
        <f t="shared" si="28"/>
        <v>-49266.180678156947</v>
      </c>
      <c r="W11" s="10">
        <f t="shared" si="28"/>
        <v>-49866.555324084984</v>
      </c>
      <c r="X11" s="10">
        <f t="shared" si="28"/>
        <v>-48800.939290326445</v>
      </c>
      <c r="Y11" s="10">
        <f>IF(OR(X11="",Y10=""),"",X11+Y10+Y5)</f>
        <v>-50133.026498387291</v>
      </c>
      <c r="Z11" s="10">
        <f t="shared" si="28"/>
        <v>-44895.934702677638</v>
      </c>
      <c r="AA11" s="10">
        <f t="shared" si="28"/>
        <v>-41915.849046515803</v>
      </c>
      <c r="AB11" s="10">
        <f t="shared" si="28"/>
        <v>-43703.070292006632</v>
      </c>
      <c r="AC11" s="10">
        <f t="shared" si="28"/>
        <v>-48770.248597514321</v>
      </c>
      <c r="AD11" s="10">
        <f t="shared" si="28"/>
        <v>-57912.567877269423</v>
      </c>
      <c r="AE11" s="10">
        <f t="shared" si="28"/>
        <v>-68205.857689755605</v>
      </c>
      <c r="AF11" s="10">
        <f t="shared" si="28"/>
        <v>-82562.270333925175</v>
      </c>
      <c r="AG11" s="10">
        <f t="shared" si="28"/>
        <v>-100494.89852914358</v>
      </c>
      <c r="AH11" s="10">
        <f t="shared" si="28"/>
        <v>-119689.16976920703</v>
      </c>
      <c r="AI11" s="10">
        <f t="shared" si="28"/>
        <v>-142877.01018953175</v>
      </c>
      <c r="AJ11" s="10">
        <f t="shared" si="28"/>
        <v>-170241.65947440913</v>
      </c>
      <c r="AK11" s="10">
        <f t="shared" si="28"/>
        <v>-196707.65129012428</v>
      </c>
      <c r="AL11" s="10">
        <f t="shared" si="28"/>
        <v>-222611.80735683537</v>
      </c>
      <c r="AM11" s="10">
        <f t="shared" si="28"/>
        <v>-260923.85207579387</v>
      </c>
      <c r="AN11" s="10">
        <f>IF(OR(AM11="",AN10=""),"",AM11+AN10)</f>
        <v>-276558.24490261654</v>
      </c>
      <c r="AO11" s="10">
        <f t="shared" si="28"/>
        <v>-275582.55886894098</v>
      </c>
      <c r="AP11" s="10">
        <f t="shared" si="28"/>
        <v>-274487.99022512027</v>
      </c>
      <c r="AQ11" s="10">
        <f>IF(OR(AP11="",AQ10=""),"",AP11+AQ10)</f>
        <v>-273293.59358005488</v>
      </c>
      <c r="AR11" s="10">
        <f t="shared" si="28"/>
        <v>-272005.16950820113</v>
      </c>
      <c r="AS11" s="10">
        <f t="shared" si="28"/>
        <v>-268300.762287836</v>
      </c>
      <c r="AT11" s="10">
        <f t="shared" si="28"/>
        <v>-267663.67679634865</v>
      </c>
      <c r="AU11" s="10">
        <f t="shared" si="28"/>
        <v>-267087.97096630716</v>
      </c>
      <c r="AV11" s="10">
        <f t="shared" si="28"/>
        <v>-266014.74502585182</v>
      </c>
      <c r="AW11" s="10">
        <f t="shared" si="28"/>
        <v>-265246.97720886179</v>
      </c>
      <c r="AX11" s="10">
        <f t="shared" si="28"/>
        <v>-264195.90534789272</v>
      </c>
      <c r="AY11" s="10">
        <f t="shared" ref="AY11" si="29">IF(OR(AX11="",AY10=""),"",AX11+AY10)</f>
        <v>-262970.98100889678</v>
      </c>
      <c r="AZ11" s="10">
        <f t="shared" ref="AZ11" si="30">IF(OR(AY11="",AZ10=""),"",AY11+AZ10)</f>
        <v>-261767.25387474246</v>
      </c>
      <c r="BA11" s="10">
        <f t="shared" ref="BA11" si="31">IF(OR(AZ11="",BA10=""),"",AZ11+BA10)</f>
        <v>-260444.2835857381</v>
      </c>
      <c r="BB11" s="10">
        <f t="shared" ref="BB11" si="32">IF(OR(BA11="",BB10=""),"",BA11+BB10)</f>
        <v>-259891.11354999532</v>
      </c>
      <c r="BC11" s="10">
        <f t="shared" ref="BC11" si="33">IF(OR(BB11="",BC10=""),"",BB11+BC10)</f>
        <v>-259826.09750005533</v>
      </c>
      <c r="BD11" s="10">
        <f t="shared" ref="BD11" si="34">IF(OR(BC11="",BD10=""),"",BC11+BD10)</f>
        <v>-259749.89619158008</v>
      </c>
      <c r="BE11" s="10">
        <f t="shared" ref="BE11" si="35">IF(OR(BD11="",BE10=""),"",BD11+BE10)</f>
        <v>-259656.45368856465</v>
      </c>
      <c r="BF11" s="10">
        <f t="shared" ref="BF11" si="36">IF(OR(BE11="",BF10=""),"",BE11+BF10)</f>
        <v>-259533.33292072435</v>
      </c>
      <c r="BG11" s="10">
        <f t="shared" ref="BG11" si="37">IF(OR(BF11="",BG10=""),"",BF11+BG10)</f>
        <v>-259427.13727561079</v>
      </c>
      <c r="BH11" s="10">
        <f t="shared" ref="BH11" si="38">IF(OR(BG11="",BH10=""),"",BG11+BH10)</f>
        <v>-259273.01638849007</v>
      </c>
      <c r="BI11" s="10">
        <f t="shared" ref="BI11" si="39">IF(OR(BH11="",BI10=""),"",BH11+BI10)</f>
        <v>-259104.93437819803</v>
      </c>
      <c r="BJ11" s="10">
        <f t="shared" ref="BJ11:CI11" si="40">IF(OR(BI11="",BJ10=""),"",BI11+BJ10)</f>
        <v>-259022.29886932997</v>
      </c>
      <c r="BK11" s="10">
        <f t="shared" si="40"/>
        <v>-258984.09057259385</v>
      </c>
      <c r="BL11" s="10">
        <f t="shared" si="40"/>
        <v>-258938.43989187756</v>
      </c>
      <c r="BM11" s="10">
        <f>IF(OR(BL11="",BM10=""),"",BL11+BM10)</f>
        <v>-258975.97600181465</v>
      </c>
      <c r="BN11" s="10">
        <f t="shared" si="40"/>
        <v>-258941.66315299791</v>
      </c>
      <c r="BO11" s="10">
        <f t="shared" si="40"/>
        <v>-258919.47164103197</v>
      </c>
      <c r="BP11" s="10">
        <f t="shared" si="40"/>
        <v>-258912.66879929914</v>
      </c>
      <c r="BQ11" s="10">
        <f t="shared" si="40"/>
        <v>-258931.34748397747</v>
      </c>
      <c r="BR11" s="10">
        <f>IF(OR(BQ11="",BR10=""),"",BQ11+BR10)</f>
        <v>-258973.73156962145</v>
      </c>
      <c r="BS11" s="10">
        <f t="shared" si="40"/>
        <v>-259028.5436368649</v>
      </c>
      <c r="BT11" s="10">
        <f t="shared" si="40"/>
        <v>-259082.70957981949</v>
      </c>
      <c r="BU11" s="10">
        <f t="shared" si="40"/>
        <v>-259138.36370274186</v>
      </c>
      <c r="BV11" s="10">
        <f t="shared" si="40"/>
        <v>-259251.62627425647</v>
      </c>
      <c r="BW11" s="10">
        <f t="shared" si="40"/>
        <v>-259387.5970339248</v>
      </c>
      <c r="BX11" s="14" t="str">
        <f t="shared" si="40"/>
        <v/>
      </c>
      <c r="BY11" s="14" t="str">
        <f t="shared" si="40"/>
        <v/>
      </c>
      <c r="BZ11" s="14" t="str">
        <f t="shared" si="40"/>
        <v/>
      </c>
      <c r="CA11" s="14" t="str">
        <f t="shared" si="40"/>
        <v/>
      </c>
      <c r="CB11" s="14" t="str">
        <f t="shared" si="40"/>
        <v/>
      </c>
      <c r="CC11" s="14" t="str">
        <f t="shared" si="40"/>
        <v/>
      </c>
      <c r="CD11" s="14" t="str">
        <f t="shared" si="40"/>
        <v/>
      </c>
      <c r="CE11" s="14" t="str">
        <f t="shared" si="40"/>
        <v/>
      </c>
      <c r="CF11" s="14" t="str">
        <f t="shared" si="40"/>
        <v/>
      </c>
      <c r="CG11" s="14" t="str">
        <f t="shared" si="40"/>
        <v/>
      </c>
      <c r="CH11" s="14" t="str">
        <f t="shared" si="40"/>
        <v/>
      </c>
      <c r="CI11" s="14" t="str">
        <f t="shared" si="40"/>
        <v/>
      </c>
    </row>
    <row r="12" spans="1:87" s="4" customFormat="1" x14ac:dyDescent="0.35">
      <c r="A12" s="277"/>
      <c r="B12" s="7" t="s">
        <v>12</v>
      </c>
      <c r="C12" s="26"/>
      <c r="D12" s="26"/>
      <c r="E12" s="10">
        <f>IF(OR(E10="",E8=""),"",E8+E10)</f>
        <v>489876.34097962012</v>
      </c>
      <c r="F12" s="10">
        <f>IF(OR(F10="",F8=""),"",F8+F10)</f>
        <v>596714.02755696024</v>
      </c>
      <c r="G12" s="10">
        <f t="shared" ref="G12:I12" si="41">IF(OR(G10="",G8=""),"",G8+G10)</f>
        <v>1257371.2342034737</v>
      </c>
      <c r="H12" s="10">
        <f>IF(OR(H10="",H8=""),"",H8+H10)</f>
        <v>-2135077.70305548</v>
      </c>
      <c r="I12" s="10">
        <f t="shared" si="41"/>
        <v>-2879547.6451294688</v>
      </c>
      <c r="J12" s="10">
        <f>IF(OR(J10="",J8=""),"",J8+J10)</f>
        <v>-1166602.4426554898</v>
      </c>
      <c r="K12" s="10">
        <f t="shared" ref="K12:N12" si="42">IF(OR(K10="",K8=""),"",K8+K10)</f>
        <v>-2775253.0207351181</v>
      </c>
      <c r="L12" s="10">
        <f>IF(OR(L10="",L8=""),"",L8+L10)</f>
        <v>-396342.10761302256</v>
      </c>
      <c r="M12" s="10">
        <f t="shared" si="42"/>
        <v>582106.59730909194</v>
      </c>
      <c r="N12" s="10">
        <f t="shared" si="42"/>
        <v>-728039.20968235738</v>
      </c>
      <c r="O12" s="10">
        <f>IF(OR(O10="",O8=""),"",O8+O10)</f>
        <v>-1367757.0929241166</v>
      </c>
      <c r="P12" s="10">
        <f>IF(OR(P10="",P8=""),"",P8+P10)</f>
        <v>822195.31996119057</v>
      </c>
      <c r="Q12" s="10">
        <f t="shared" ref="Q12:X12" si="43">IF(OR(Q10="",Q8=""),"",Q8+Q10)</f>
        <v>-4503.1157862936871</v>
      </c>
      <c r="R12" s="10">
        <f t="shared" si="43"/>
        <v>-197138.94973350587</v>
      </c>
      <c r="S12" s="10">
        <f t="shared" si="43"/>
        <v>1923335.5821604996</v>
      </c>
      <c r="T12" s="10">
        <f t="shared" si="43"/>
        <v>1549016.0482389538</v>
      </c>
      <c r="U12" s="10">
        <f>IF(OR(U10="",U8=""),"",U8+U10)</f>
        <v>-813434.77203316754</v>
      </c>
      <c r="V12" s="10">
        <f t="shared" si="43"/>
        <v>1301377.7182600694</v>
      </c>
      <c r="W12" s="10">
        <f>IF(OR(W10="",W8=""),"",W8+W10)</f>
        <v>746923.84535407124</v>
      </c>
      <c r="X12" s="10">
        <f t="shared" si="43"/>
        <v>1380503.8360337578</v>
      </c>
      <c r="Y12" s="10">
        <f>IF(OR(Y10="",Y8=""),"",Y8+Y10)</f>
        <v>669667.60085417377</v>
      </c>
      <c r="Z12" s="10">
        <f>IF(OR(Z10="",Z8=""),"",Z8+Z10)</f>
        <v>1999797.1017957081</v>
      </c>
      <c r="AA12" s="10">
        <f t="shared" ref="AA12:AX12" si="44">IF(OR(AA10="",AA8=""),"",AA8+AA10)</f>
        <v>-1461016.834343839</v>
      </c>
      <c r="AB12" s="10">
        <f t="shared" si="44"/>
        <v>-3262998.4112454914</v>
      </c>
      <c r="AC12" s="10">
        <f t="shared" si="44"/>
        <v>-1790225.408305509</v>
      </c>
      <c r="AD12" s="10">
        <f t="shared" si="44"/>
        <v>-1790419.6192797534</v>
      </c>
      <c r="AE12" s="10">
        <f t="shared" si="44"/>
        <v>-871950.47981248563</v>
      </c>
      <c r="AF12" s="10">
        <f t="shared" si="44"/>
        <v>-1943926.2926441703</v>
      </c>
      <c r="AG12" s="10">
        <f t="shared" si="44"/>
        <v>-1614245.8281952187</v>
      </c>
      <c r="AH12" s="10">
        <f t="shared" si="44"/>
        <v>-737950.85124006355</v>
      </c>
      <c r="AI12" s="10">
        <f t="shared" si="44"/>
        <v>-2046730.9204203249</v>
      </c>
      <c r="AJ12" s="10">
        <f t="shared" si="44"/>
        <v>-1419280.7692848775</v>
      </c>
      <c r="AK12" s="10">
        <f t="shared" si="44"/>
        <v>796195.18818428542</v>
      </c>
      <c r="AL12" s="10">
        <f t="shared" si="44"/>
        <v>1283085.7839332893</v>
      </c>
      <c r="AM12" s="10">
        <f t="shared" si="44"/>
        <v>-4748242.3847189583</v>
      </c>
      <c r="AN12" s="10">
        <f>IF(OR(AN10="",AN8=""),"",AN8+AN10)</f>
        <v>9438181.4971731771</v>
      </c>
      <c r="AO12" s="10">
        <f t="shared" si="44"/>
        <v>7041760.996033676</v>
      </c>
      <c r="AP12" s="10">
        <f t="shared" si="44"/>
        <v>73508.658643820498</v>
      </c>
      <c r="AQ12" s="10">
        <f t="shared" si="44"/>
        <v>42062.846645065336</v>
      </c>
      <c r="AR12" s="10">
        <f t="shared" si="44"/>
        <v>48187.184071854012</v>
      </c>
      <c r="AS12" s="10">
        <f t="shared" si="44"/>
        <v>1132098.377220365</v>
      </c>
      <c r="AT12" s="10">
        <f t="shared" si="44"/>
        <v>-1391018.8845085131</v>
      </c>
      <c r="AU12" s="10">
        <f t="shared" si="44"/>
        <v>-13585.264169958518</v>
      </c>
      <c r="AV12" s="10">
        <f t="shared" si="44"/>
        <v>298095.96594045538</v>
      </c>
      <c r="AW12" s="10">
        <f t="shared" si="44"/>
        <v>-102196.98218300995</v>
      </c>
      <c r="AX12" s="10">
        <f t="shared" si="44"/>
        <v>151511.34186096909</v>
      </c>
      <c r="AY12" s="10">
        <f t="shared" ref="AY12:BI12" si="45">IF(OR(AY10="",AY8=""),"",AY8+AY10)</f>
        <v>119716.5043389959</v>
      </c>
      <c r="AZ12" s="10">
        <f t="shared" si="45"/>
        <v>22760.017134154306</v>
      </c>
      <c r="BA12" s="10">
        <f t="shared" si="45"/>
        <v>39836.070289004383</v>
      </c>
      <c r="BB12" s="10">
        <f t="shared" si="45"/>
        <v>-134043.82996425728</v>
      </c>
      <c r="BC12" s="10">
        <f t="shared" si="45"/>
        <v>-103334.98395006002</v>
      </c>
      <c r="BD12" s="10">
        <f t="shared" si="45"/>
        <v>123383.01130847522</v>
      </c>
      <c r="BE12" s="10">
        <f t="shared" si="45"/>
        <v>-148840.43749698458</v>
      </c>
      <c r="BF12" s="10">
        <f t="shared" si="45"/>
        <v>502735.81076784048</v>
      </c>
      <c r="BG12" s="10">
        <f t="shared" si="45"/>
        <v>-53327.264354886458</v>
      </c>
      <c r="BH12" s="10">
        <f t="shared" si="45"/>
        <v>-103623.19911287927</v>
      </c>
      <c r="BI12" s="10">
        <f t="shared" si="45"/>
        <v>-125728.56798970795</v>
      </c>
      <c r="BJ12" s="10">
        <f t="shared" ref="BJ12:BO12" si="46">IF(OR(BJ10="",BJ8=""),"",BJ8+BJ10)</f>
        <v>-450761.39449113182</v>
      </c>
      <c r="BK12" s="10">
        <f t="shared" si="46"/>
        <v>-125928.75170326386</v>
      </c>
      <c r="BL12" s="10">
        <f t="shared" si="46"/>
        <v>13488.48068071628</v>
      </c>
      <c r="BM12" s="10">
        <f>IF(OR(BM10="",BM8=""),"",BM8+BM10)+'MEEIA 2 adjs'!BM2</f>
        <v>-72684.936109933813</v>
      </c>
      <c r="BN12" s="10">
        <f t="shared" si="46"/>
        <v>19671.912848816733</v>
      </c>
      <c r="BO12" s="10">
        <f t="shared" si="46"/>
        <v>-64175.078488034073</v>
      </c>
      <c r="BP12" s="10">
        <f t="shared" ref="BP12:BQ12" si="47">IF(OR(BP10="",BP8=""),"",BP8+BP10)</f>
        <v>-78273.04715826716</v>
      </c>
      <c r="BQ12" s="10">
        <f t="shared" si="47"/>
        <v>-201127.17868467834</v>
      </c>
      <c r="BR12" s="10">
        <f t="shared" ref="BR12:BS12" si="48">IF(OR(BR10="",BR8=""),"",BR8+BR10)</f>
        <v>-87385.47408564396</v>
      </c>
      <c r="BS12" s="10">
        <f t="shared" si="48"/>
        <v>-92419.702067243459</v>
      </c>
      <c r="BT12" s="10">
        <f t="shared" ref="BT12:BU12" si="49">IF(OR(BT10="",BT8=""),"",BT8+BT10)</f>
        <v>-92937.415942954613</v>
      </c>
      <c r="BU12" s="10">
        <f t="shared" si="49"/>
        <v>-2581.4141229223742</v>
      </c>
      <c r="BV12" s="10">
        <f t="shared" ref="BV12:BW12" si="50">IF(OR(BV10="",BV8=""),"",BV8+BV10)</f>
        <v>-85969.222571514634</v>
      </c>
      <c r="BW12" s="10">
        <f t="shared" si="50"/>
        <v>-174151.21075966832</v>
      </c>
      <c r="BX12" s="14" t="str">
        <f t="shared" ref="BX12:BY12" si="51">IF(OR(BX10="",BX8=""),"",BX8+BX10)</f>
        <v/>
      </c>
      <c r="BY12" s="14" t="str">
        <f t="shared" si="51"/>
        <v/>
      </c>
      <c r="BZ12" s="14" t="str">
        <f t="shared" ref="BZ12:CA12" si="52">IF(OR(BZ10="",BZ8=""),"",BZ8+BZ10)</f>
        <v/>
      </c>
      <c r="CA12" s="14" t="str">
        <f t="shared" si="52"/>
        <v/>
      </c>
      <c r="CB12" s="14" t="str">
        <f t="shared" ref="CB12:CC12" si="53">IF(OR(CB10="",CB8=""),"",CB8+CB10)</f>
        <v/>
      </c>
      <c r="CC12" s="14" t="str">
        <f t="shared" si="53"/>
        <v/>
      </c>
      <c r="CD12" s="14" t="str">
        <f t="shared" ref="CD12:CE12" si="54">IF(OR(CD10="",CD8=""),"",CD8+CD10)</f>
        <v/>
      </c>
      <c r="CE12" s="14" t="str">
        <f t="shared" si="54"/>
        <v/>
      </c>
      <c r="CF12" s="14" t="str">
        <f t="shared" ref="CF12:CG12" si="55">IF(OR(CF10="",CF8=""),"",CF8+CF10)</f>
        <v/>
      </c>
      <c r="CG12" s="14" t="str">
        <f t="shared" si="55"/>
        <v/>
      </c>
      <c r="CH12" s="14" t="str">
        <f t="shared" ref="CH12:CI12" si="56">IF(OR(CH10="",CH8=""),"",CH8+CH10)</f>
        <v/>
      </c>
      <c r="CI12" s="14" t="str">
        <f t="shared" si="56"/>
        <v/>
      </c>
    </row>
    <row r="13" spans="1:87" s="4" customFormat="1" x14ac:dyDescent="0.35">
      <c r="A13" s="277"/>
      <c r="B13" s="11" t="s">
        <v>3</v>
      </c>
      <c r="C13" s="28"/>
      <c r="D13" s="28"/>
      <c r="E13" s="10">
        <f>E12</f>
        <v>489876.34097962012</v>
      </c>
      <c r="F13" s="10">
        <f>IF(OR(F12="",E13=""),"",F12+E13)</f>
        <v>1086590.3685365804</v>
      </c>
      <c r="G13" s="10">
        <f t="shared" ref="G13:AM13" si="57">IF(OR(G12="",F13=""),"",G12+F13)</f>
        <v>2343961.602740054</v>
      </c>
      <c r="H13" s="10">
        <f t="shared" si="57"/>
        <v>208883.89968457399</v>
      </c>
      <c r="I13" s="10">
        <f t="shared" si="57"/>
        <v>-2670663.7454448948</v>
      </c>
      <c r="J13" s="10">
        <f t="shared" si="57"/>
        <v>-3837266.1881003845</v>
      </c>
      <c r="K13" s="10">
        <f t="shared" si="57"/>
        <v>-6612519.2088355031</v>
      </c>
      <c r="L13" s="10">
        <f>IF(OR(L12="",K13=""),"",L12+K13)</f>
        <v>-7008861.3164485255</v>
      </c>
      <c r="M13" s="10">
        <f t="shared" si="57"/>
        <v>-6426754.7191394335</v>
      </c>
      <c r="N13" s="10">
        <f t="shared" si="57"/>
        <v>-7154793.928821791</v>
      </c>
      <c r="O13" s="10">
        <f>IF(OR(O12="",N13=""),"",O12+N13)</f>
        <v>-8522551.0217459071</v>
      </c>
      <c r="P13" s="10">
        <f>IF(OR(P12="",O13=""),"",P12+O13+P5)</f>
        <v>-5003629.9617847167</v>
      </c>
      <c r="Q13" s="10">
        <f t="shared" si="57"/>
        <v>-5008133.0775710102</v>
      </c>
      <c r="R13" s="10">
        <f t="shared" si="57"/>
        <v>-5205272.0273045162</v>
      </c>
      <c r="S13" s="10">
        <f t="shared" si="57"/>
        <v>-3281936.4451440163</v>
      </c>
      <c r="T13" s="10">
        <f t="shared" si="57"/>
        <v>-1732920.3969050625</v>
      </c>
      <c r="U13" s="10">
        <f t="shared" si="57"/>
        <v>-2546355.1689382298</v>
      </c>
      <c r="V13" s="10">
        <f t="shared" si="57"/>
        <v>-1244977.4506781604</v>
      </c>
      <c r="W13" s="10">
        <f>IF(OR(W12="",V13=""),"",W12+V13)</f>
        <v>-498053.60532408918</v>
      </c>
      <c r="X13" s="10">
        <f t="shared" si="57"/>
        <v>882450.2307096686</v>
      </c>
      <c r="Y13" s="10">
        <f>IF(OR(Y12="",X13=""),"",Y12+X13+Y5)</f>
        <v>1548921.7335016083</v>
      </c>
      <c r="Z13" s="10">
        <f t="shared" si="57"/>
        <v>3548718.8352973163</v>
      </c>
      <c r="AA13" s="10">
        <f t="shared" si="57"/>
        <v>2087702.0009534773</v>
      </c>
      <c r="AB13" s="10">
        <f t="shared" si="57"/>
        <v>-1175296.410292014</v>
      </c>
      <c r="AC13" s="10">
        <f t="shared" si="57"/>
        <v>-2965521.818597523</v>
      </c>
      <c r="AD13" s="10">
        <f t="shared" si="57"/>
        <v>-4755941.4378772769</v>
      </c>
      <c r="AE13" s="10">
        <f t="shared" si="57"/>
        <v>-5627891.917689763</v>
      </c>
      <c r="AF13" s="10">
        <f t="shared" si="57"/>
        <v>-7571818.2103339331</v>
      </c>
      <c r="AG13" s="10">
        <f t="shared" si="57"/>
        <v>-9186064.0385291521</v>
      </c>
      <c r="AH13" s="10">
        <f t="shared" si="57"/>
        <v>-9924014.8897692151</v>
      </c>
      <c r="AI13" s="10">
        <f t="shared" si="57"/>
        <v>-11970745.81018954</v>
      </c>
      <c r="AJ13" s="10">
        <f t="shared" si="57"/>
        <v>-13390026.579474417</v>
      </c>
      <c r="AK13" s="10">
        <f t="shared" si="57"/>
        <v>-12593831.391290132</v>
      </c>
      <c r="AL13" s="10">
        <f t="shared" si="57"/>
        <v>-11310745.607356843</v>
      </c>
      <c r="AM13" s="10">
        <f t="shared" si="57"/>
        <v>-16058987.992075801</v>
      </c>
      <c r="AN13" s="10">
        <f>IF(OR(AN12="",AM13=""),"",AN12+AM13)</f>
        <v>-6620806.4949026238</v>
      </c>
      <c r="AO13" s="10">
        <f t="shared" ref="AO13:AX13" si="58">IF(OR(AO12="",AN13=""),"",AO12+AN13)</f>
        <v>420954.50113105215</v>
      </c>
      <c r="AP13" s="10">
        <f t="shared" si="58"/>
        <v>494463.15977487265</v>
      </c>
      <c r="AQ13" s="10">
        <f t="shared" si="58"/>
        <v>536526.00641993794</v>
      </c>
      <c r="AR13" s="10">
        <f t="shared" si="58"/>
        <v>584713.19049179193</v>
      </c>
      <c r="AS13" s="10">
        <f t="shared" si="58"/>
        <v>1716811.567712157</v>
      </c>
      <c r="AT13" s="10">
        <f t="shared" si="58"/>
        <v>325792.68320364389</v>
      </c>
      <c r="AU13" s="10">
        <f t="shared" si="58"/>
        <v>312207.41903368535</v>
      </c>
      <c r="AV13" s="10">
        <f t="shared" si="58"/>
        <v>610303.38497414067</v>
      </c>
      <c r="AW13" s="10">
        <f t="shared" si="58"/>
        <v>508106.40279113071</v>
      </c>
      <c r="AX13" s="10">
        <f t="shared" si="58"/>
        <v>659617.74465209979</v>
      </c>
      <c r="AY13" s="10">
        <f t="shared" ref="AY13" si="59">IF(OR(AY12="",AX13=""),"",AY12+AX13)</f>
        <v>779334.24899109569</v>
      </c>
      <c r="AZ13" s="10">
        <f t="shared" ref="AZ13" si="60">IF(OR(AZ12="",AY13=""),"",AZ12+AY13)</f>
        <v>802094.26612525003</v>
      </c>
      <c r="BA13" s="10">
        <f t="shared" ref="BA13" si="61">IF(OR(BA12="",AZ13=""),"",BA12+AZ13)</f>
        <v>841930.33641425439</v>
      </c>
      <c r="BB13" s="10">
        <f t="shared" ref="BB13" si="62">IF(OR(BB12="",BA13=""),"",BB12+BA13)</f>
        <v>707886.50644999708</v>
      </c>
      <c r="BC13" s="10">
        <f t="shared" ref="BC13" si="63">IF(OR(BC12="",BB13=""),"",BC12+BB13)</f>
        <v>604551.5224999371</v>
      </c>
      <c r="BD13" s="10">
        <f t="shared" ref="BD13" si="64">IF(OR(BD12="",BC13=""),"",BD12+BC13)</f>
        <v>727934.53380841226</v>
      </c>
      <c r="BE13" s="10">
        <f t="shared" ref="BE13" si="65">IF(OR(BE12="",BD13=""),"",BE12+BD13)</f>
        <v>579094.09631142765</v>
      </c>
      <c r="BF13" s="10">
        <f t="shared" ref="BF13" si="66">IF(OR(BF12="",BE13=""),"",BF12+BE13)</f>
        <v>1081829.9070792682</v>
      </c>
      <c r="BG13" s="10">
        <f t="shared" ref="BG13" si="67">IF(OR(BG12="",BF13=""),"",BG12+BF13)</f>
        <v>1028502.6427243818</v>
      </c>
      <c r="BH13" s="10">
        <f t="shared" ref="BH13" si="68">IF(OR(BH12="",BG13=""),"",BH12+BG13)</f>
        <v>924879.44361150253</v>
      </c>
      <c r="BI13" s="10">
        <f t="shared" ref="BI13" si="69">IF(OR(BI12="",BH13=""),"",BI12+BH13)</f>
        <v>799150.87562179461</v>
      </c>
      <c r="BJ13" s="10">
        <f t="shared" ref="BJ13:BL13" si="70">IF(OR(BJ12="",BI13=""),"",BJ12+BI13)</f>
        <v>348389.48113066278</v>
      </c>
      <c r="BK13" s="10">
        <f t="shared" si="70"/>
        <v>222460.72942739894</v>
      </c>
      <c r="BL13" s="10">
        <f t="shared" si="70"/>
        <v>235949.21010811522</v>
      </c>
      <c r="BM13" s="10">
        <f>IF(OR(BM12="",BL13=""),"",BM12+BL13)</f>
        <v>163264.27399818139</v>
      </c>
      <c r="BN13" s="10">
        <f t="shared" ref="BN13:CI13" si="71">IF(OR(BN12="",BM13=""),"",BN12+BM13+BN5)</f>
        <v>182936.18684699811</v>
      </c>
      <c r="BO13" s="10">
        <f t="shared" si="71"/>
        <v>118761.10835896403</v>
      </c>
      <c r="BP13" s="10">
        <f t="shared" si="71"/>
        <v>40488.061200696873</v>
      </c>
      <c r="BQ13" s="10">
        <f t="shared" si="71"/>
        <v>-160639.11748398148</v>
      </c>
      <c r="BR13" s="10">
        <f t="shared" si="71"/>
        <v>-248024.59156962542</v>
      </c>
      <c r="BS13" s="10">
        <f t="shared" si="71"/>
        <v>-340444.29363686888</v>
      </c>
      <c r="BT13" s="10">
        <f t="shared" si="71"/>
        <v>-433381.70957982348</v>
      </c>
      <c r="BU13" s="10">
        <f t="shared" si="71"/>
        <v>-435963.12370274583</v>
      </c>
      <c r="BV13" s="10">
        <f t="shared" si="71"/>
        <v>-521932.34627426043</v>
      </c>
      <c r="BW13" s="10">
        <f t="shared" si="71"/>
        <v>-696083.55703392881</v>
      </c>
      <c r="BX13" s="14" t="str">
        <f t="shared" si="71"/>
        <v/>
      </c>
      <c r="BY13" s="14" t="str">
        <f t="shared" si="71"/>
        <v/>
      </c>
      <c r="BZ13" s="14" t="str">
        <f t="shared" si="71"/>
        <v/>
      </c>
      <c r="CA13" s="14" t="str">
        <f t="shared" si="71"/>
        <v/>
      </c>
      <c r="CB13" s="14" t="str">
        <f t="shared" si="71"/>
        <v/>
      </c>
      <c r="CC13" s="14" t="str">
        <f t="shared" si="71"/>
        <v/>
      </c>
      <c r="CD13" s="14" t="str">
        <f t="shared" si="71"/>
        <v/>
      </c>
      <c r="CE13" s="14" t="str">
        <f t="shared" si="71"/>
        <v/>
      </c>
      <c r="CF13" s="14" t="str">
        <f t="shared" si="71"/>
        <v/>
      </c>
      <c r="CG13" s="14" t="str">
        <f t="shared" si="71"/>
        <v/>
      </c>
      <c r="CH13" s="14" t="str">
        <f t="shared" si="71"/>
        <v/>
      </c>
      <c r="CI13" s="14" t="str">
        <f t="shared" si="71"/>
        <v/>
      </c>
    </row>
    <row r="14" spans="1:87" s="5" customFormat="1" ht="8.25" customHeight="1" x14ac:dyDescent="0.35">
      <c r="A14" s="44"/>
      <c r="B14" s="13"/>
      <c r="C14" s="13"/>
      <c r="D14" s="13"/>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row>
    <row r="15" spans="1:87" s="5" customFormat="1" ht="15" customHeight="1" x14ac:dyDescent="0.35">
      <c r="A15" s="274" t="s">
        <v>25</v>
      </c>
      <c r="B15" s="17"/>
      <c r="C15" s="32"/>
      <c r="D15" s="32"/>
      <c r="E15" s="9"/>
      <c r="F15" s="9"/>
      <c r="G15" s="9"/>
      <c r="H15" s="9"/>
      <c r="I15" s="9"/>
      <c r="J15" s="9"/>
      <c r="K15" s="9"/>
      <c r="L15" s="9"/>
      <c r="M15" s="9"/>
      <c r="N15" s="9"/>
      <c r="O15" s="9"/>
      <c r="P15" s="74">
        <f>+SUM(P26,P36,P46,P56,P66)</f>
        <v>13541921.743700374</v>
      </c>
      <c r="Q15" s="9"/>
      <c r="R15" s="9"/>
      <c r="S15" s="9"/>
      <c r="T15" s="9"/>
      <c r="U15" s="9"/>
      <c r="V15" s="9"/>
      <c r="W15" s="9"/>
      <c r="X15" s="9"/>
      <c r="Y15" s="9"/>
      <c r="Z15" s="9"/>
      <c r="AA15" s="9"/>
      <c r="AB15" s="9"/>
      <c r="AC15" s="9"/>
      <c r="AD15" s="9"/>
      <c r="AE15" s="9"/>
      <c r="AF15" s="9"/>
      <c r="AG15" s="9"/>
      <c r="AH15" s="9"/>
      <c r="AI15" s="9"/>
      <c r="AJ15" s="9"/>
      <c r="AK15" s="9"/>
      <c r="AL15" s="9"/>
      <c r="AM15" s="9"/>
      <c r="AN15" s="9"/>
      <c r="AO15" s="9"/>
      <c r="AP15" s="73"/>
      <c r="AQ15" s="73"/>
      <c r="AR15" s="73"/>
      <c r="AS15" s="74">
        <f>+'MEEIA 2 adjs'!AT38</f>
        <v>-9652.3205640208907</v>
      </c>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row>
    <row r="16" spans="1:87" s="3" customFormat="1" ht="15" customHeight="1" x14ac:dyDescent="0.35">
      <c r="A16" s="274"/>
      <c r="B16" s="17" t="s">
        <v>28</v>
      </c>
      <c r="C16" s="32"/>
      <c r="D16" s="32"/>
      <c r="E16" s="21">
        <f t="shared" ref="E16:AX16" si="72">IF(E67="","",SUM(E67,E57,E47,E37,E27))</f>
        <v>0</v>
      </c>
      <c r="F16" s="21">
        <f t="shared" si="72"/>
        <v>1328.78</v>
      </c>
      <c r="G16" s="21">
        <f t="shared" si="72"/>
        <v>9526.5299999999988</v>
      </c>
      <c r="H16" s="21">
        <f t="shared" si="72"/>
        <v>131900.43</v>
      </c>
      <c r="I16" s="21">
        <f t="shared" si="72"/>
        <v>295999.55000000005</v>
      </c>
      <c r="J16" s="21">
        <f t="shared" si="72"/>
        <v>425553.79999999993</v>
      </c>
      <c r="K16" s="21">
        <f t="shared" si="72"/>
        <v>758519.65</v>
      </c>
      <c r="L16" s="21">
        <f t="shared" si="72"/>
        <v>199350.73000000013</v>
      </c>
      <c r="M16" s="21">
        <f t="shared" si="72"/>
        <v>279108.34999999986</v>
      </c>
      <c r="N16" s="21">
        <f t="shared" si="72"/>
        <v>438307.65</v>
      </c>
      <c r="O16" s="21">
        <f t="shared" si="72"/>
        <v>509660.87999999995</v>
      </c>
      <c r="P16" s="21">
        <f t="shared" si="72"/>
        <v>486201.49000000022</v>
      </c>
      <c r="Q16" s="21">
        <f t="shared" si="72"/>
        <v>514839.35999999993</v>
      </c>
      <c r="R16" s="21">
        <f t="shared" si="72"/>
        <v>312695.84999999969</v>
      </c>
      <c r="S16" s="21">
        <f t="shared" si="72"/>
        <v>392474.24999999977</v>
      </c>
      <c r="T16" s="21">
        <f t="shared" si="72"/>
        <v>1348848.3600000003</v>
      </c>
      <c r="U16" s="21">
        <f t="shared" si="72"/>
        <v>1958770.0699999998</v>
      </c>
      <c r="V16" s="21">
        <f t="shared" si="72"/>
        <v>2119352.19</v>
      </c>
      <c r="W16" s="21">
        <f t="shared" si="72"/>
        <v>1653005.4399999997</v>
      </c>
      <c r="X16" s="21">
        <f>IF(X67="","",SUM(X67,X57,X47,X37,X27))</f>
        <v>750637.88000000059</v>
      </c>
      <c r="Y16" s="21">
        <f t="shared" si="72"/>
        <v>825052.10999999894</v>
      </c>
      <c r="Z16" s="21">
        <f t="shared" si="72"/>
        <v>1097101.9800000007</v>
      </c>
      <c r="AA16" s="21">
        <f t="shared" si="72"/>
        <v>1233427.4099999992</v>
      </c>
      <c r="AB16" s="21">
        <f t="shared" si="72"/>
        <v>1062738.5799999998</v>
      </c>
      <c r="AC16" s="21">
        <f t="shared" si="72"/>
        <v>1116457.6900000016</v>
      </c>
      <c r="AD16" s="21">
        <f t="shared" si="72"/>
        <v>959793.47999999963</v>
      </c>
      <c r="AE16" s="21">
        <f t="shared" si="72"/>
        <v>1424231.0999999994</v>
      </c>
      <c r="AF16" s="21">
        <f t="shared" si="72"/>
        <v>3804569.2400000021</v>
      </c>
      <c r="AG16" s="21">
        <f t="shared" si="72"/>
        <v>5112749.5900000017</v>
      </c>
      <c r="AH16" s="21">
        <f t="shared" si="72"/>
        <v>4713867.5500000026</v>
      </c>
      <c r="AI16" s="21">
        <f t="shared" si="72"/>
        <v>3598339.959999999</v>
      </c>
      <c r="AJ16" s="21">
        <f t="shared" si="72"/>
        <v>1714525.5399999977</v>
      </c>
      <c r="AK16" s="21">
        <f t="shared" si="72"/>
        <v>1571421.2499999984</v>
      </c>
      <c r="AL16" s="21">
        <f t="shared" si="72"/>
        <v>1919519.9299999997</v>
      </c>
      <c r="AM16" s="21">
        <f t="shared" si="72"/>
        <v>2060434.7699999972</v>
      </c>
      <c r="AN16" s="21">
        <f t="shared" si="72"/>
        <v>1799627.3200000026</v>
      </c>
      <c r="AO16" s="21">
        <f t="shared" si="72"/>
        <v>2312591.7700000047</v>
      </c>
      <c r="AP16" s="21">
        <f t="shared" si="72"/>
        <v>2109913.9999999995</v>
      </c>
      <c r="AQ16" s="21">
        <f t="shared" si="72"/>
        <v>1887985.9599999981</v>
      </c>
      <c r="AR16" s="21">
        <f t="shared" si="72"/>
        <v>6123794.6400000015</v>
      </c>
      <c r="AS16" s="21">
        <f t="shared" si="72"/>
        <v>7375311.7899999972</v>
      </c>
      <c r="AT16" s="21">
        <f t="shared" si="72"/>
        <v>6969272.2200000016</v>
      </c>
      <c r="AU16" s="21">
        <f t="shared" si="72"/>
        <v>5125287.4899999984</v>
      </c>
      <c r="AV16" s="21">
        <f t="shared" si="72"/>
        <v>2223308.9999999981</v>
      </c>
      <c r="AW16" s="21">
        <f t="shared" si="72"/>
        <v>2078395.7300000028</v>
      </c>
      <c r="AX16" s="21">
        <f t="shared" si="72"/>
        <v>2228734.6799999988</v>
      </c>
      <c r="AY16" s="21">
        <f t="shared" ref="AY16:BI16" si="73">IF(AY67="","",SUM(AY67,AY57,AY47,AY37,AY27))</f>
        <v>2369847.9499999993</v>
      </c>
      <c r="AZ16" s="21">
        <f t="shared" si="73"/>
        <v>217555.38999999897</v>
      </c>
      <c r="BA16" s="21">
        <f t="shared" si="73"/>
        <v>1940172.8499999971</v>
      </c>
      <c r="BB16" s="21">
        <f>IF(BB67="","",SUM(BB67,BB57,BB47,BB37,BB27))</f>
        <v>2286.3100000023842</v>
      </c>
      <c r="BC16" s="21">
        <f t="shared" si="73"/>
        <v>33.38999999733619</v>
      </c>
      <c r="BD16" s="21">
        <f t="shared" si="73"/>
        <v>12223.310000002384</v>
      </c>
      <c r="BE16" s="21">
        <f t="shared" si="73"/>
        <v>22853.179999999702</v>
      </c>
      <c r="BF16" s="21">
        <f t="shared" si="73"/>
        <v>37353.849999999627</v>
      </c>
      <c r="BG16" s="21">
        <f t="shared" si="73"/>
        <v>34409.610000001267</v>
      </c>
      <c r="BH16" s="21">
        <f t="shared" si="73"/>
        <v>13496.160000000149</v>
      </c>
      <c r="BI16" s="21">
        <f t="shared" si="73"/>
        <v>12870.069999998435</v>
      </c>
      <c r="BJ16" s="21">
        <f>IF(BJ67="","",SUM(BJ67,BJ57,BJ47,BJ37,BJ27))</f>
        <v>17714.029999999329</v>
      </c>
      <c r="BK16" s="21">
        <f t="shared" ref="BK16:BL16" si="74">IF(BK67="","",SUM(BK67,BK57,BK47,BK37,BK27))</f>
        <v>20826.88000000082</v>
      </c>
      <c r="BL16" s="21">
        <f t="shared" si="74"/>
        <v>19099.220000000671</v>
      </c>
      <c r="BM16" s="21">
        <f t="shared" ref="BM16:BN16" si="75">IF(BM67="","",SUM(BM67,BM57,BM47,BM37,BM27))</f>
        <v>21421.460000000894</v>
      </c>
      <c r="BN16" s="21">
        <f t="shared" si="75"/>
        <v>19168.38000000082</v>
      </c>
      <c r="BO16" s="21">
        <f t="shared" ref="BO16:BP16" si="76">IF(BO67="","",SUM(BO67,BO57,BO47,BO37,BO27))</f>
        <v>25465.089999996126</v>
      </c>
      <c r="BP16" s="21">
        <f t="shared" si="76"/>
        <v>70360.550000002608</v>
      </c>
      <c r="BQ16" s="21">
        <f t="shared" ref="BQ16:BR16" si="77">IF(BQ67="","",SUM(BQ67,BQ57,BQ47,BQ37,BQ27))</f>
        <v>91202.140000000596</v>
      </c>
      <c r="BR16" s="21">
        <f t="shared" si="77"/>
        <v>84499.239999998827</v>
      </c>
      <c r="BS16" s="21">
        <f t="shared" ref="BS16:BT16" si="78">IF(BS67="","",SUM(BS67,BS57,BS47,BS37,BS27))</f>
        <v>53951.849999999627</v>
      </c>
      <c r="BT16" s="21">
        <f t="shared" si="78"/>
        <v>21911.110000000801</v>
      </c>
      <c r="BU16" s="21">
        <f t="shared" ref="BU16:BV16" si="79">IF(BU67="","",SUM(BU67,BU57,BU47,BU37,BU27))</f>
        <v>20626.079999999609</v>
      </c>
      <c r="BV16" s="21">
        <f t="shared" si="79"/>
        <v>24775.299999998882</v>
      </c>
      <c r="BW16" s="21">
        <f t="shared" ref="BW16:BX16" si="80">IF(BW67="","",SUM(BW67,BW57,BW47,BW37,BW27))</f>
        <v>25830.020000001416</v>
      </c>
      <c r="BX16" s="21">
        <f t="shared" si="80"/>
        <v>21223.889999997336</v>
      </c>
      <c r="BY16" s="21">
        <f t="shared" ref="BY16:BZ16" si="81">IF(BY67="","",SUM(BY67,BY57,BY47,BY37,BY27))</f>
        <v>0</v>
      </c>
      <c r="BZ16" s="21">
        <f t="shared" si="81"/>
        <v>0</v>
      </c>
      <c r="CA16" s="21">
        <f t="shared" ref="CA16:CB16" si="82">IF(CA67="","",SUM(CA67,CA57,CA47,CA37,CA27))</f>
        <v>0</v>
      </c>
      <c r="CB16" s="21">
        <f t="shared" si="82"/>
        <v>0</v>
      </c>
      <c r="CC16" s="21">
        <f t="shared" ref="CC16:CD16" si="83">IF(CC67="","",SUM(CC67,CC57,CC47,CC37,CC27))</f>
        <v>0</v>
      </c>
      <c r="CD16" s="21">
        <f t="shared" si="83"/>
        <v>0</v>
      </c>
      <c r="CE16" s="21">
        <f t="shared" ref="CE16:CF16" si="84">IF(CE67="","",SUM(CE67,CE57,CE47,CE37,CE27))</f>
        <v>0</v>
      </c>
      <c r="CF16" s="21">
        <f t="shared" si="84"/>
        <v>0</v>
      </c>
      <c r="CG16" s="21">
        <f t="shared" ref="CG16:CH16" si="85">IF(CG67="","",SUM(CG67,CG57,CG47,CG37,CG27))</f>
        <v>0</v>
      </c>
      <c r="CH16" s="21">
        <f t="shared" si="85"/>
        <v>0</v>
      </c>
      <c r="CI16" s="21">
        <f t="shared" ref="CI16" si="86">IF(CI67="","",SUM(CI67,CI57,CI47,CI37,CI27))</f>
        <v>0</v>
      </c>
    </row>
    <row r="17" spans="1:87" s="5" customFormat="1" ht="15" customHeight="1" x14ac:dyDescent="0.35">
      <c r="A17" s="274"/>
      <c r="B17" s="18" t="s">
        <v>26</v>
      </c>
      <c r="C17" s="26"/>
      <c r="D17" s="26"/>
      <c r="E17" s="21">
        <f t="shared" ref="E17:AX17" si="87">IF(E68="","",SUM(E68,E58,E48,E38,E28))</f>
        <v>0</v>
      </c>
      <c r="F17" s="21">
        <f t="shared" si="87"/>
        <v>0</v>
      </c>
      <c r="G17" s="21">
        <f t="shared" si="87"/>
        <v>17393.11</v>
      </c>
      <c r="H17" s="21">
        <f t="shared" si="87"/>
        <v>264954.01</v>
      </c>
      <c r="I17" s="21">
        <f t="shared" si="87"/>
        <v>347680.79</v>
      </c>
      <c r="J17" s="21">
        <f t="shared" si="87"/>
        <v>348292.31</v>
      </c>
      <c r="K17" s="21">
        <f t="shared" si="87"/>
        <v>325763.31</v>
      </c>
      <c r="L17" s="21">
        <f t="shared" si="87"/>
        <v>246495.91999999998</v>
      </c>
      <c r="M17" s="21">
        <f t="shared" si="87"/>
        <v>210020.45</v>
      </c>
      <c r="N17" s="21">
        <f t="shared" si="87"/>
        <v>286405.52</v>
      </c>
      <c r="O17" s="21">
        <f t="shared" si="87"/>
        <v>537350.65</v>
      </c>
      <c r="P17" s="21">
        <f t="shared" si="87"/>
        <v>2380685.19</v>
      </c>
      <c r="Q17" s="21">
        <f t="shared" si="87"/>
        <v>1978228.74</v>
      </c>
      <c r="R17" s="21">
        <f t="shared" si="87"/>
        <v>1865586.4</v>
      </c>
      <c r="S17" s="21">
        <f t="shared" si="87"/>
        <v>1834668.94</v>
      </c>
      <c r="T17" s="21">
        <f t="shared" si="87"/>
        <v>2295880.5499999998</v>
      </c>
      <c r="U17" s="21">
        <f t="shared" si="87"/>
        <v>2739739.71</v>
      </c>
      <c r="V17" s="21">
        <f t="shared" si="87"/>
        <v>2810029.67</v>
      </c>
      <c r="W17" s="21">
        <f t="shared" si="87"/>
        <v>2397146.59</v>
      </c>
      <c r="X17" s="21">
        <f t="shared" si="87"/>
        <v>2196198.75</v>
      </c>
      <c r="Y17" s="21">
        <f t="shared" si="87"/>
        <v>1955310.19</v>
      </c>
      <c r="Z17" s="21">
        <f t="shared" si="87"/>
        <v>2272928.3199999998</v>
      </c>
      <c r="AA17" s="21">
        <f t="shared" si="87"/>
        <v>3133513.62</v>
      </c>
      <c r="AB17" s="21">
        <f t="shared" si="87"/>
        <v>2686519.3200000003</v>
      </c>
      <c r="AC17" s="21">
        <f t="shared" si="87"/>
        <v>2253809.6799999997</v>
      </c>
      <c r="AD17" s="21">
        <f>IF(AD68="","",SUM(AD68,AD58,AD48,AD38,AD28))</f>
        <v>2191880.62</v>
      </c>
      <c r="AE17" s="21">
        <f t="shared" si="87"/>
        <v>2008078.9100000001</v>
      </c>
      <c r="AF17" s="21">
        <f t="shared" si="87"/>
        <v>2628092.91</v>
      </c>
      <c r="AG17" s="21">
        <f t="shared" si="87"/>
        <v>2927384.48</v>
      </c>
      <c r="AH17" s="21">
        <f t="shared" si="87"/>
        <v>2713828.67</v>
      </c>
      <c r="AI17" s="21">
        <f t="shared" si="87"/>
        <v>2656476.0999999996</v>
      </c>
      <c r="AJ17" s="21">
        <f t="shared" si="87"/>
        <v>2241568.5700000003</v>
      </c>
      <c r="AK17" s="21">
        <f>IF(AK68="","",SUM(AK68,AK58,AK48,AK38,AK28))</f>
        <v>2050332.6400000001</v>
      </c>
      <c r="AL17" s="21">
        <f t="shared" si="87"/>
        <v>2540211.56</v>
      </c>
      <c r="AM17" s="21">
        <f t="shared" si="87"/>
        <v>2758522.64</v>
      </c>
      <c r="AN17" s="21">
        <f t="shared" si="87"/>
        <v>3731846.29</v>
      </c>
      <c r="AO17" s="21">
        <f t="shared" si="87"/>
        <v>3504116.6100000003</v>
      </c>
      <c r="AP17" s="21">
        <f t="shared" si="87"/>
        <v>2834702.33</v>
      </c>
      <c r="AQ17" s="21">
        <f t="shared" si="87"/>
        <v>2693990.75</v>
      </c>
      <c r="AR17" s="21">
        <f t="shared" si="87"/>
        <v>3224890.5700000003</v>
      </c>
      <c r="AS17" s="21">
        <f t="shared" si="87"/>
        <v>3677369.7199999997</v>
      </c>
      <c r="AT17" s="21">
        <f t="shared" si="87"/>
        <v>3821939.25</v>
      </c>
      <c r="AU17" s="21">
        <f t="shared" si="87"/>
        <v>3698449.99</v>
      </c>
      <c r="AV17" s="21">
        <f t="shared" si="87"/>
        <v>3264460.08</v>
      </c>
      <c r="AW17" s="21">
        <f t="shared" si="87"/>
        <v>2921768.73</v>
      </c>
      <c r="AX17" s="21">
        <f t="shared" si="87"/>
        <v>3431438.0600000005</v>
      </c>
      <c r="AY17" s="21">
        <f t="shared" ref="AY17:BJ17" si="88">IF(AY68="","",SUM(AY68,AY58,AY48,AY38,AY28))</f>
        <v>3659744.19</v>
      </c>
      <c r="AZ17" s="21">
        <f t="shared" si="88"/>
        <v>2389556.5699999998</v>
      </c>
      <c r="BA17" s="21">
        <f t="shared" si="88"/>
        <v>693510.74000000011</v>
      </c>
      <c r="BB17" s="21">
        <f t="shared" si="88"/>
        <v>590167.07000000007</v>
      </c>
      <c r="BC17" s="21">
        <f t="shared" si="88"/>
        <v>548810.88</v>
      </c>
      <c r="BD17" s="21">
        <f t="shared" si="88"/>
        <v>622900.25999999989</v>
      </c>
      <c r="BE17" s="21">
        <f t="shared" si="88"/>
        <v>774512.69</v>
      </c>
      <c r="BF17" s="21">
        <f t="shared" si="88"/>
        <v>770258.37</v>
      </c>
      <c r="BG17" s="21">
        <f t="shared" si="88"/>
        <v>751740.30999999994</v>
      </c>
      <c r="BH17" s="21">
        <f t="shared" si="88"/>
        <v>622388.87</v>
      </c>
      <c r="BI17" s="21">
        <f t="shared" si="88"/>
        <v>618464.55999999994</v>
      </c>
      <c r="BJ17" s="21">
        <f t="shared" si="88"/>
        <v>686712.57000000007</v>
      </c>
      <c r="BK17" s="21">
        <f t="shared" ref="BK17:BL17" si="89">IF(BK68="","",SUM(BK68,BK58,BK48,BK38,BK28))</f>
        <v>753788.79</v>
      </c>
      <c r="BL17" s="21">
        <f t="shared" si="89"/>
        <v>123252.23000000001</v>
      </c>
      <c r="BM17" s="21">
        <f t="shared" ref="BM17:BN17" si="90">IF(BM68="","",SUM(BM68,BM58,BM48,BM38,BM28))</f>
        <v>-572800.92000000004</v>
      </c>
      <c r="BN17" s="21">
        <f t="shared" si="90"/>
        <v>-433116.61</v>
      </c>
      <c r="BO17" s="21">
        <f t="shared" ref="BO17:BP17" si="91">IF(BO68="","",SUM(BO68,BO58,BO48,BO38,BO28))</f>
        <v>-422296.81</v>
      </c>
      <c r="BP17" s="21">
        <f t="shared" si="91"/>
        <v>-511624.21</v>
      </c>
      <c r="BQ17" s="21">
        <f t="shared" ref="BQ17:BR17" si="92">IF(BQ68="","",SUM(BQ68,BQ58,BQ48,BQ38,BQ28))</f>
        <v>-644535.94999999995</v>
      </c>
      <c r="BR17" s="21">
        <f t="shared" si="92"/>
        <v>-648872.89</v>
      </c>
      <c r="BS17" s="21">
        <f t="shared" ref="BS17:BT17" si="93">IF(BS68="","",SUM(BS68,BS58,BS48,BS38,BS28))</f>
        <v>-646588.66999999993</v>
      </c>
      <c r="BT17" s="21">
        <f t="shared" si="93"/>
        <v>-495839.69999999995</v>
      </c>
      <c r="BU17" s="21">
        <f t="shared" ref="BU17:BV17" si="94">IF(BU68="","",SUM(BU68,BU58,BU48,BU38,BU28))</f>
        <v>-452926.68</v>
      </c>
      <c r="BV17" s="21">
        <f t="shared" si="94"/>
        <v>-540882.03</v>
      </c>
      <c r="BW17" s="21">
        <f t="shared" ref="BW17:BX17" si="95">IF(BW68="","",SUM(BW68,BW58,BW48,BW38,BW28))</f>
        <v>-651029.75</v>
      </c>
      <c r="BX17" s="21">
        <f t="shared" si="95"/>
        <v>-427144.88</v>
      </c>
      <c r="BY17" s="21">
        <f t="shared" ref="BY17:BZ17" si="96">IF(BY68="","",SUM(BY68,BY58,BY48,BY38,BY28))</f>
        <v>-59180.159999999996</v>
      </c>
      <c r="BZ17" s="21">
        <f t="shared" si="96"/>
        <v>-58562.48</v>
      </c>
      <c r="CA17" s="21">
        <f t="shared" ref="CA17:CB17" si="97">IF(CA68="","",SUM(CA68,CA58,CA48,CA38,CA28))</f>
        <v>-50748.47</v>
      </c>
      <c r="CB17" s="21">
        <f t="shared" si="97"/>
        <v>-58661.299999999996</v>
      </c>
      <c r="CC17" s="21">
        <f t="shared" ref="CC17:CD17" si="98">IF(CC68="","",SUM(CC68,CC58,CC48,CC38,CC28))</f>
        <v>-68462.3</v>
      </c>
      <c r="CD17" s="21">
        <f t="shared" si="98"/>
        <v>-66846.459999999992</v>
      </c>
      <c r="CE17" s="21">
        <f t="shared" ref="CE17:CF17" si="99">IF(CE68="","",SUM(CE68,CE58,CE48,CE38,CE28))</f>
        <v>-62475.11</v>
      </c>
      <c r="CF17" s="21">
        <f t="shared" si="99"/>
        <v>-52251.13</v>
      </c>
      <c r="CG17" s="21">
        <f t="shared" ref="CG17:CH17" si="100">IF(CG68="","",SUM(CG68,CG58,CG48,CG38,CG28))</f>
        <v>-50085.028663139099</v>
      </c>
      <c r="CH17" s="21">
        <f t="shared" si="100"/>
        <v>-57546.254981791295</v>
      </c>
      <c r="CI17" s="21">
        <f t="shared" ref="CI17" si="101">IF(CI68="","",SUM(CI68,CI58,CI48,CI38,CI28))</f>
        <v>-64276.487752711299</v>
      </c>
    </row>
    <row r="18" spans="1:87" s="5" customFormat="1" ht="15" customHeight="1" x14ac:dyDescent="0.35">
      <c r="A18" s="274"/>
      <c r="B18" s="18" t="s">
        <v>51</v>
      </c>
      <c r="C18" s="26"/>
      <c r="D18" s="26"/>
      <c r="E18" s="21"/>
      <c r="F18" s="21"/>
      <c r="G18" s="21"/>
      <c r="H18" s="21"/>
      <c r="I18" s="21"/>
      <c r="J18" s="21"/>
      <c r="K18" s="21"/>
      <c r="L18" s="21"/>
      <c r="M18" s="21"/>
      <c r="N18" s="21"/>
      <c r="O18" s="21">
        <f>IF(O69="","",SUM(O69,O59,O49,O39,O29))</f>
        <v>0</v>
      </c>
      <c r="P18" s="21">
        <f>IF(P69="","",SUM(P69,P59,P49,P39,P29))</f>
        <v>-1207876.0699999998</v>
      </c>
      <c r="Q18" s="21">
        <f t="shared" ref="Q18:AM18" si="102">IF(Q69="","",SUM(Q69,Q59,Q49,Q39,Q29))</f>
        <v>-991453.85</v>
      </c>
      <c r="R18" s="21">
        <f t="shared" si="102"/>
        <v>-942175.03</v>
      </c>
      <c r="S18" s="21">
        <f t="shared" si="102"/>
        <v>-924830.89</v>
      </c>
      <c r="T18" s="21">
        <f t="shared" si="102"/>
        <v>-1162964.6800000002</v>
      </c>
      <c r="U18" s="21">
        <f t="shared" si="102"/>
        <v>-1377616.51</v>
      </c>
      <c r="V18" s="21">
        <f t="shared" si="102"/>
        <v>-1419206.7000000002</v>
      </c>
      <c r="W18" s="21">
        <f t="shared" si="102"/>
        <v>-1209460.76</v>
      </c>
      <c r="X18" s="21">
        <f t="shared" si="102"/>
        <v>-1107295.8</v>
      </c>
      <c r="Y18" s="21">
        <f t="shared" si="102"/>
        <v>-988276.53</v>
      </c>
      <c r="Z18" s="21">
        <f t="shared" si="102"/>
        <v>-1145553.06</v>
      </c>
      <c r="AA18" s="21">
        <f t="shared" si="102"/>
        <v>-1569459.38</v>
      </c>
      <c r="AB18" s="21">
        <f t="shared" si="102"/>
        <v>231630.62999999998</v>
      </c>
      <c r="AC18" s="21">
        <f t="shared" si="102"/>
        <v>87666.98000000001</v>
      </c>
      <c r="AD18" s="21">
        <f t="shared" si="102"/>
        <v>85411.62</v>
      </c>
      <c r="AE18" s="21">
        <f t="shared" si="102"/>
        <v>84463.6</v>
      </c>
      <c r="AF18" s="21">
        <f t="shared" si="102"/>
        <v>105228.66999999998</v>
      </c>
      <c r="AG18" s="21">
        <f t="shared" si="102"/>
        <v>100170.55</v>
      </c>
      <c r="AH18" s="21">
        <f t="shared" si="102"/>
        <v>108068.86000000002</v>
      </c>
      <c r="AI18" s="21">
        <f t="shared" si="102"/>
        <v>105313.19999999998</v>
      </c>
      <c r="AJ18" s="21">
        <f t="shared" si="102"/>
        <v>93009.289999999979</v>
      </c>
      <c r="AK18" s="21">
        <f t="shared" si="102"/>
        <v>85572.94</v>
      </c>
      <c r="AL18" s="21">
        <f t="shared" si="102"/>
        <v>97124.979999999981</v>
      </c>
      <c r="AM18" s="21">
        <f t="shared" si="102"/>
        <v>105785.10999999999</v>
      </c>
      <c r="AN18" s="21">
        <f t="shared" ref="AN18:BJ18" si="103">IF(AN69="","",SUM(AN69,AN59,AN49,AN39,AN29))</f>
        <v>181359.25</v>
      </c>
      <c r="AO18" s="21">
        <f t="shared" si="103"/>
        <v>164712.29999999999</v>
      </c>
      <c r="AP18" s="21">
        <f t="shared" si="103"/>
        <v>113525.45999999999</v>
      </c>
      <c r="AQ18" s="21">
        <f t="shared" si="103"/>
        <v>93935.329999999987</v>
      </c>
      <c r="AR18" s="21">
        <f t="shared" si="103"/>
        <v>130300.17</v>
      </c>
      <c r="AS18" s="21">
        <f t="shared" si="103"/>
        <v>163717.59999999998</v>
      </c>
      <c r="AT18" s="21">
        <f t="shared" si="103"/>
        <v>174566.88</v>
      </c>
      <c r="AU18" s="21">
        <f t="shared" si="103"/>
        <v>159535.30000000002</v>
      </c>
      <c r="AV18" s="21">
        <f t="shared" si="103"/>
        <v>129573.49</v>
      </c>
      <c r="AW18" s="21">
        <f t="shared" si="103"/>
        <v>118167.16</v>
      </c>
      <c r="AX18" s="21">
        <f t="shared" si="103"/>
        <v>157541.19</v>
      </c>
      <c r="AY18" s="21">
        <f t="shared" si="103"/>
        <v>174576.71</v>
      </c>
      <c r="AZ18" s="21">
        <f>IF(AZ69="","",SUM(AZ69,AZ59,AZ49,AZ39,AZ29))</f>
        <v>591355.12999999989</v>
      </c>
      <c r="BA18" s="21">
        <f t="shared" si="103"/>
        <v>26216.720000000008</v>
      </c>
      <c r="BB18" s="21">
        <f t="shared" si="103"/>
        <v>-3251.070000000007</v>
      </c>
      <c r="BC18" s="21">
        <f t="shared" si="103"/>
        <v>-9025.43</v>
      </c>
      <c r="BD18" s="21">
        <f t="shared" si="103"/>
        <v>27230.33</v>
      </c>
      <c r="BE18" s="21">
        <f t="shared" si="103"/>
        <v>29309.849999999991</v>
      </c>
      <c r="BF18" s="21">
        <f t="shared" si="103"/>
        <v>19315.050000000017</v>
      </c>
      <c r="BG18" s="21">
        <f t="shared" si="103"/>
        <v>6613.2999999999884</v>
      </c>
      <c r="BH18" s="21">
        <f t="shared" si="103"/>
        <v>-14627.319999999992</v>
      </c>
      <c r="BI18" s="21">
        <f t="shared" si="103"/>
        <v>-8528.3399999999965</v>
      </c>
      <c r="BJ18" s="21">
        <f t="shared" si="103"/>
        <v>12811.640000000014</v>
      </c>
      <c r="BK18" s="21">
        <f t="shared" ref="BK18:BL18" si="104">IF(BK69="","",SUM(BK69,BK59,BK49,BK39,BK29))</f>
        <v>47263.67</v>
      </c>
      <c r="BL18" s="21">
        <f t="shared" si="104"/>
        <v>-200239.46999999997</v>
      </c>
      <c r="BM18" s="21">
        <f t="shared" ref="BM18:BN18" si="105">IF(BM69="","",SUM(BM69,BM59,BM49,BM39,BM29))</f>
        <v>614417.39</v>
      </c>
      <c r="BN18" s="21">
        <f t="shared" si="105"/>
        <v>473151.63</v>
      </c>
      <c r="BO18" s="21">
        <f t="shared" ref="BO18:BP18" si="106">IF(BO69="","",SUM(BO69,BO59,BO49,BO39,BO29))</f>
        <v>463923.9</v>
      </c>
      <c r="BP18" s="21">
        <f t="shared" si="106"/>
        <v>554127.14</v>
      </c>
      <c r="BQ18" s="21">
        <f t="shared" ref="BQ18:BR18" si="107">IF(BQ69="","",SUM(BQ69,BQ59,BQ49,BQ39,BQ29))</f>
        <v>697686.94</v>
      </c>
      <c r="BR18" s="21">
        <f t="shared" si="107"/>
        <v>699968.13</v>
      </c>
      <c r="BS18" s="21">
        <f t="shared" ref="BS18:BT18" si="108">IF(BS69="","",SUM(BS69,BS59,BS49,BS39,BS29))</f>
        <v>698521.77</v>
      </c>
      <c r="BT18" s="21">
        <f t="shared" si="108"/>
        <v>541136.61</v>
      </c>
      <c r="BU18" s="21">
        <f t="shared" ref="BU18:BV18" si="109">IF(BU69="","",SUM(BU69,BU59,BU49,BU39,BU29))</f>
        <v>492875.96</v>
      </c>
      <c r="BV18" s="21">
        <f t="shared" si="109"/>
        <v>588146.23</v>
      </c>
      <c r="BW18" s="21">
        <f t="shared" ref="BW18:BX18" si="110">IF(BW69="","",SUM(BW69,BW59,BW49,BW39,BW29))</f>
        <v>699374.74</v>
      </c>
      <c r="BX18" s="21">
        <f t="shared" si="110"/>
        <v>432869.69</v>
      </c>
      <c r="BY18" s="21">
        <f t="shared" ref="BY18:BZ18" si="111">IF(BY69="","",SUM(BY69,BY59,BY49,BY39,BY29))</f>
        <v>60881.03</v>
      </c>
      <c r="BZ18" s="21">
        <f t="shared" si="111"/>
        <v>60189.59</v>
      </c>
      <c r="CA18" s="21">
        <f t="shared" ref="CA18:CB18" si="112">IF(CA69="","",SUM(CA69,CA59,CA49,CA39,CA29))</f>
        <v>52383.22</v>
      </c>
      <c r="CB18" s="21">
        <f t="shared" si="112"/>
        <v>60505.380000000005</v>
      </c>
      <c r="CC18" s="21">
        <f t="shared" ref="CC18:CD18" si="113">IF(CC69="","",SUM(CC69,CC59,CC49,CC39,CC29))</f>
        <v>70476.759999999995</v>
      </c>
      <c r="CD18" s="21">
        <f t="shared" si="113"/>
        <v>68833.31</v>
      </c>
      <c r="CE18" s="21">
        <f t="shared" ref="CE18:CF18" si="114">IF(CE69="","",SUM(CE69,CE59,CE49,CE39,CE29))</f>
        <v>64386.179999999993</v>
      </c>
      <c r="CF18" s="21">
        <f t="shared" si="114"/>
        <v>53918.12</v>
      </c>
      <c r="CG18" s="21">
        <f t="shared" ref="CG18:CH18" si="115">IF(CG69="","",SUM(CG69,CG59,CG49,CG39,CG29))</f>
        <v>51687.14</v>
      </c>
      <c r="CH18" s="21">
        <f t="shared" si="115"/>
        <v>59276.35</v>
      </c>
      <c r="CI18" s="21">
        <f t="shared" ref="CI18" si="116">IF(CI69="","",SUM(CI69,CI59,CI49,CI39,CI29))</f>
        <v>66129.689999999988</v>
      </c>
    </row>
    <row r="19" spans="1:87" s="5" customFormat="1" ht="15" customHeight="1" x14ac:dyDescent="0.35">
      <c r="A19" s="274"/>
      <c r="B19" s="18" t="s">
        <v>52</v>
      </c>
      <c r="C19" s="26"/>
      <c r="D19" s="26"/>
      <c r="E19" s="21"/>
      <c r="F19" s="21"/>
      <c r="G19" s="21"/>
      <c r="H19" s="21"/>
      <c r="I19" s="21"/>
      <c r="J19" s="21"/>
      <c r="K19" s="21"/>
      <c r="L19" s="21"/>
      <c r="M19" s="21"/>
      <c r="N19" s="21"/>
      <c r="O19" s="21">
        <f>IF(O70="","",SUM(O70,O60,O50,O40,O30))</f>
        <v>537350.65</v>
      </c>
      <c r="P19" s="21">
        <f>IF(P70="","",SUM(P70,P60,P50,P40,P30))</f>
        <v>1172809.1200000001</v>
      </c>
      <c r="Q19" s="21">
        <f t="shared" ref="Q19:AM19" si="117">IF(Q70="","",SUM(Q70,Q60,Q50,Q40,Q30))</f>
        <v>986774.89000000013</v>
      </c>
      <c r="R19" s="21">
        <f t="shared" si="117"/>
        <v>923411.36999999988</v>
      </c>
      <c r="S19" s="21">
        <f t="shared" si="117"/>
        <v>909838.04999999993</v>
      </c>
      <c r="T19" s="21">
        <f t="shared" si="117"/>
        <v>1132915.8700000001</v>
      </c>
      <c r="U19" s="21">
        <f t="shared" si="117"/>
        <v>1362123.2</v>
      </c>
      <c r="V19" s="21">
        <f t="shared" si="117"/>
        <v>1390822.9699999997</v>
      </c>
      <c r="W19" s="21">
        <f t="shared" si="117"/>
        <v>1187685.83</v>
      </c>
      <c r="X19" s="21">
        <f t="shared" si="117"/>
        <v>1088902.95</v>
      </c>
      <c r="Y19" s="21">
        <f t="shared" si="117"/>
        <v>967033.66</v>
      </c>
      <c r="Z19" s="21">
        <f t="shared" si="117"/>
        <v>1127375.2599999998</v>
      </c>
      <c r="AA19" s="21">
        <f t="shared" si="117"/>
        <v>1564054.24</v>
      </c>
      <c r="AB19" s="21">
        <f t="shared" si="117"/>
        <v>2918149.95</v>
      </c>
      <c r="AC19" s="21">
        <f t="shared" si="117"/>
        <v>2341476.66</v>
      </c>
      <c r="AD19" s="21">
        <f t="shared" si="117"/>
        <v>2277292.2400000002</v>
      </c>
      <c r="AE19" s="21">
        <f t="shared" si="117"/>
        <v>2092542.51</v>
      </c>
      <c r="AF19" s="21">
        <f t="shared" si="117"/>
        <v>2733321.58</v>
      </c>
      <c r="AG19" s="21">
        <f t="shared" si="117"/>
        <v>3027555.0300000003</v>
      </c>
      <c r="AH19" s="21">
        <f t="shared" si="117"/>
        <v>2821897.5300000003</v>
      </c>
      <c r="AI19" s="21">
        <f t="shared" si="117"/>
        <v>2761789.3</v>
      </c>
      <c r="AJ19" s="21">
        <f t="shared" si="117"/>
        <v>2334577.86</v>
      </c>
      <c r="AK19" s="21">
        <f t="shared" si="117"/>
        <v>2135905.58</v>
      </c>
      <c r="AL19" s="21">
        <f t="shared" si="117"/>
        <v>2637336.54</v>
      </c>
      <c r="AM19" s="21">
        <f t="shared" si="117"/>
        <v>2864307.75</v>
      </c>
      <c r="AN19" s="21">
        <f t="shared" ref="AN19:BJ19" si="118">IF(AN70="","",SUM(AN70,AN60,AN50,AN40,AN30))</f>
        <v>3913205.54</v>
      </c>
      <c r="AO19" s="21">
        <f t="shared" si="118"/>
        <v>3668828.91</v>
      </c>
      <c r="AP19" s="21">
        <f t="shared" si="118"/>
        <v>2948227.79</v>
      </c>
      <c r="AQ19" s="21">
        <f t="shared" si="118"/>
        <v>2787926.08</v>
      </c>
      <c r="AR19" s="21">
        <f t="shared" si="118"/>
        <v>3355190.74</v>
      </c>
      <c r="AS19" s="21">
        <f t="shared" si="118"/>
        <v>3841087.32</v>
      </c>
      <c r="AT19" s="21">
        <f t="shared" si="118"/>
        <v>3996506.1300000004</v>
      </c>
      <c r="AU19" s="21">
        <f t="shared" si="118"/>
        <v>3857985.29</v>
      </c>
      <c r="AV19" s="21">
        <f t="shared" si="118"/>
        <v>3394033.5700000003</v>
      </c>
      <c r="AW19" s="21">
        <f t="shared" si="118"/>
        <v>3039935.89</v>
      </c>
      <c r="AX19" s="21">
        <f t="shared" si="118"/>
        <v>3588979.25</v>
      </c>
      <c r="AY19" s="21">
        <f t="shared" si="118"/>
        <v>3834320.9</v>
      </c>
      <c r="AZ19" s="21">
        <f t="shared" si="118"/>
        <v>2980911.7</v>
      </c>
      <c r="BA19" s="21">
        <f t="shared" si="118"/>
        <v>719727.46</v>
      </c>
      <c r="BB19" s="21">
        <f t="shared" si="118"/>
        <v>586916</v>
      </c>
      <c r="BC19" s="21">
        <f t="shared" si="118"/>
        <v>539785.45000000007</v>
      </c>
      <c r="BD19" s="21">
        <f t="shared" si="118"/>
        <v>650130.59</v>
      </c>
      <c r="BE19" s="21">
        <f t="shared" si="118"/>
        <v>803822.54</v>
      </c>
      <c r="BF19" s="21">
        <f t="shared" si="118"/>
        <v>789573.41999999993</v>
      </c>
      <c r="BG19" s="21">
        <f t="shared" si="118"/>
        <v>758353.60999999987</v>
      </c>
      <c r="BH19" s="21">
        <f t="shared" si="118"/>
        <v>607761.55000000005</v>
      </c>
      <c r="BI19" s="21">
        <f t="shared" si="118"/>
        <v>609936.22</v>
      </c>
      <c r="BJ19" s="21">
        <f t="shared" si="118"/>
        <v>699524.21000000008</v>
      </c>
      <c r="BK19" s="21">
        <f t="shared" ref="BK19:BL19" si="119">IF(BK70="","",SUM(BK70,BK60,BK50,BK40,BK30))</f>
        <v>801052.46000000008</v>
      </c>
      <c r="BL19" s="21">
        <f t="shared" si="119"/>
        <v>-76987.240000000005</v>
      </c>
      <c r="BM19" s="21">
        <f t="shared" ref="BM19:BN19" si="120">IF(BM70="","",SUM(BM70,BM60,BM50,BM40,BM30))</f>
        <v>41616.47</v>
      </c>
      <c r="BN19" s="21">
        <f t="shared" si="120"/>
        <v>40035.020000000019</v>
      </c>
      <c r="BO19" s="21">
        <f t="shared" ref="BO19:BP19" si="121">IF(BO70="","",SUM(BO70,BO60,BO50,BO40,BO30))</f>
        <v>41627.089999999997</v>
      </c>
      <c r="BP19" s="21">
        <f t="shared" si="121"/>
        <v>42502.93</v>
      </c>
      <c r="BQ19" s="21">
        <f t="shared" ref="BQ19" si="122">IF(BQ70="","",SUM(BQ70,BQ60,BQ50,BQ40,BQ30))</f>
        <v>53150.990000000034</v>
      </c>
      <c r="BR19" s="21">
        <f>IF(BR70="","",SUM(BR70,BR60,BR50,BR40,BR30))</f>
        <v>51095.24</v>
      </c>
      <c r="BS19" s="21">
        <f t="shared" ref="BS19:BT19" si="123">IF(BS70="","",SUM(BS70,BS60,BS50,BS40,BS30))</f>
        <v>51933.100000000079</v>
      </c>
      <c r="BT19" s="21">
        <f t="shared" si="123"/>
        <v>45296.909999999989</v>
      </c>
      <c r="BU19" s="21">
        <f t="shared" ref="BU19:BV19" si="124">IF(BU70="","",SUM(BU70,BU60,BU50,BU40,BU30))</f>
        <v>39949.280000000013</v>
      </c>
      <c r="BV19" s="21">
        <f t="shared" si="124"/>
        <v>47264.200000000004</v>
      </c>
      <c r="BW19" s="21">
        <f t="shared" ref="BW19:BX19" si="125">IF(BW70="","",SUM(BW70,BW60,BW50,BW40,BW30))</f>
        <v>48344.990000000005</v>
      </c>
      <c r="BX19" s="21">
        <f t="shared" si="125"/>
        <v>5724.8099999999795</v>
      </c>
      <c r="BY19" s="21">
        <f t="shared" ref="BY19:BZ19" si="126">IF(BY70="","",SUM(BY70,BY60,BY50,BY40,BY30))</f>
        <v>1700.8699999999994</v>
      </c>
      <c r="BZ19" s="21">
        <f t="shared" si="126"/>
        <v>1627.1099999999992</v>
      </c>
      <c r="CA19" s="21">
        <f t="shared" ref="CA19:CB19" si="127">IF(CA70="","",SUM(CA70,CA60,CA50,CA40,CA30))</f>
        <v>1634.7500000000036</v>
      </c>
      <c r="CB19" s="21">
        <f t="shared" si="127"/>
        <v>1844.0800000000004</v>
      </c>
      <c r="CC19" s="21">
        <f t="shared" ref="CC19:CD19" si="128">IF(CC70="","",SUM(CC70,CC60,CC50,CC40,CC30))</f>
        <v>2014.4600000000019</v>
      </c>
      <c r="CD19" s="21">
        <f t="shared" si="128"/>
        <v>1986.8500000000031</v>
      </c>
      <c r="CE19" s="21">
        <f t="shared" ref="CE19:CF19" si="129">IF(CE70="","",SUM(CE70,CE60,CE50,CE40,CE30))</f>
        <v>1911.0699999999956</v>
      </c>
      <c r="CF19" s="21">
        <f t="shared" si="129"/>
        <v>1666.990000000003</v>
      </c>
      <c r="CG19" s="21">
        <f t="shared" ref="CG19:CH19" si="130">IF(CG70="","",SUM(CG70,CG60,CG50,CG40,CG30))</f>
        <v>1602.1113368609003</v>
      </c>
      <c r="CH19" s="21">
        <f t="shared" si="130"/>
        <v>1730.0950182087045</v>
      </c>
      <c r="CI19" s="21">
        <f t="shared" ref="CI19" si="131">IF(CI70="","",SUM(CI70,CI60,CI50,CI40,CI30))</f>
        <v>1853.2022472887011</v>
      </c>
    </row>
    <row r="20" spans="1:87" s="5" customFormat="1" x14ac:dyDescent="0.35">
      <c r="A20" s="274"/>
      <c r="B20" s="18" t="s">
        <v>13</v>
      </c>
      <c r="C20" s="26"/>
      <c r="D20" s="26"/>
      <c r="E20" s="21">
        <f t="shared" ref="E20:N20" si="132">IF(E71="","",SUM(E71,E61,E51,E41,E31))</f>
        <v>0</v>
      </c>
      <c r="F20" s="21">
        <f t="shared" si="132"/>
        <v>1328.78</v>
      </c>
      <c r="G20" s="21">
        <f t="shared" si="132"/>
        <v>-7866.5800000000008</v>
      </c>
      <c r="H20" s="21">
        <f t="shared" si="132"/>
        <v>-133053.58000000002</v>
      </c>
      <c r="I20" s="21">
        <f t="shared" si="132"/>
        <v>-51681.239999999976</v>
      </c>
      <c r="J20" s="21">
        <f t="shared" si="132"/>
        <v>77261.489999999903</v>
      </c>
      <c r="K20" s="21">
        <f t="shared" si="132"/>
        <v>432756.34000000008</v>
      </c>
      <c r="L20" s="21">
        <f t="shared" si="132"/>
        <v>-47145.189999999871</v>
      </c>
      <c r="M20" s="21">
        <f t="shared" si="132"/>
        <v>69087.899999999878</v>
      </c>
      <c r="N20" s="21">
        <f t="shared" si="132"/>
        <v>151902.13000000003</v>
      </c>
      <c r="O20" s="21">
        <f>IF(O71="","",SUM(O71,O61,O51,O41,O31))</f>
        <v>-27689.770000000048</v>
      </c>
      <c r="P20" s="21">
        <f t="shared" ref="P20:AM20" si="133">IF(P71="","",SUM(P71,P61,P51,P41,P31))</f>
        <v>-686607.62999999977</v>
      </c>
      <c r="Q20" s="21">
        <f t="shared" si="133"/>
        <v>-471935.5300000002</v>
      </c>
      <c r="R20" s="21">
        <f>IF(R71="","",SUM(R71,R61,R51,R41,R31))</f>
        <v>-610715.52000000025</v>
      </c>
      <c r="S20" s="21">
        <f t="shared" si="133"/>
        <v>-517363.80000000016</v>
      </c>
      <c r="T20" s="21">
        <f t="shared" si="133"/>
        <v>215932.49000000043</v>
      </c>
      <c r="U20" s="21">
        <f t="shared" si="133"/>
        <v>596646.87</v>
      </c>
      <c r="V20" s="21">
        <f t="shared" si="133"/>
        <v>728529.22</v>
      </c>
      <c r="W20" s="21">
        <f t="shared" si="133"/>
        <v>465319.60999999975</v>
      </c>
      <c r="X20" s="21">
        <f t="shared" si="133"/>
        <v>-338265.06999999942</v>
      </c>
      <c r="Y20" s="21">
        <f t="shared" si="133"/>
        <v>-141981.55000000101</v>
      </c>
      <c r="Z20" s="21">
        <f t="shared" si="133"/>
        <v>-30273.279999999155</v>
      </c>
      <c r="AA20" s="21">
        <f t="shared" si="133"/>
        <v>-330626.83000000083</v>
      </c>
      <c r="AB20" s="21">
        <f t="shared" si="133"/>
        <v>-1855411.3700000003</v>
      </c>
      <c r="AC20" s="21">
        <f t="shared" si="133"/>
        <v>-1225018.9699999983</v>
      </c>
      <c r="AD20" s="21">
        <f t="shared" si="133"/>
        <v>-1317498.7600000007</v>
      </c>
      <c r="AE20" s="21">
        <f t="shared" si="133"/>
        <v>-668311.41000000061</v>
      </c>
      <c r="AF20" s="21">
        <f t="shared" si="133"/>
        <v>1071247.660000002</v>
      </c>
      <c r="AG20" s="21">
        <f t="shared" si="133"/>
        <v>2085194.560000001</v>
      </c>
      <c r="AH20" s="21">
        <f t="shared" si="133"/>
        <v>1891970.0200000023</v>
      </c>
      <c r="AI20" s="21">
        <f t="shared" si="133"/>
        <v>836550.65999999898</v>
      </c>
      <c r="AJ20" s="21">
        <f t="shared" si="133"/>
        <v>-620052.32000000216</v>
      </c>
      <c r="AK20" s="21">
        <f t="shared" si="133"/>
        <v>-564484.33000000182</v>
      </c>
      <c r="AL20" s="21">
        <f t="shared" si="133"/>
        <v>-717816.6100000001</v>
      </c>
      <c r="AM20" s="21">
        <f t="shared" si="133"/>
        <v>-803872.98000000278</v>
      </c>
      <c r="AN20" s="21">
        <f t="shared" ref="AN20:BJ20" si="134">IF(AN71="","",SUM(AN71,AN61,AN51,AN41,AN31))</f>
        <v>-2113578.2199999974</v>
      </c>
      <c r="AO20" s="21">
        <f t="shared" si="134"/>
        <v>-1356237.1399999955</v>
      </c>
      <c r="AP20" s="21">
        <f>IF(AP71="","",SUM(AP71,AP61,AP51,AP41,AP31))</f>
        <v>-838313.79000000027</v>
      </c>
      <c r="AQ20" s="21">
        <f t="shared" si="134"/>
        <v>-899940.12000000197</v>
      </c>
      <c r="AR20" s="21">
        <f t="shared" si="134"/>
        <v>2768603.9000000013</v>
      </c>
      <c r="AS20" s="21">
        <f t="shared" si="134"/>
        <v>3534224.4699999974</v>
      </c>
      <c r="AT20" s="21">
        <f t="shared" si="134"/>
        <v>2972766.0900000017</v>
      </c>
      <c r="AU20" s="21">
        <f t="shared" si="134"/>
        <v>1267302.1999999983</v>
      </c>
      <c r="AV20" s="21">
        <f t="shared" si="134"/>
        <v>-1170724.5700000017</v>
      </c>
      <c r="AW20" s="21">
        <f t="shared" si="134"/>
        <v>-961540.15999999747</v>
      </c>
      <c r="AX20" s="21">
        <f t="shared" si="134"/>
        <v>-1360244.5700000012</v>
      </c>
      <c r="AY20" s="21">
        <f t="shared" si="134"/>
        <v>-1464472.9500000002</v>
      </c>
      <c r="AZ20" s="21">
        <f t="shared" si="134"/>
        <v>-2763356.310000001</v>
      </c>
      <c r="BA20" s="21">
        <f t="shared" si="134"/>
        <v>1220445.3899999969</v>
      </c>
      <c r="BB20" s="21">
        <f t="shared" si="134"/>
        <v>-584629.68999999762</v>
      </c>
      <c r="BC20" s="21">
        <f t="shared" si="134"/>
        <v>-539752.06000000262</v>
      </c>
      <c r="BD20" s="21">
        <f t="shared" si="134"/>
        <v>-637907.27999999758</v>
      </c>
      <c r="BE20" s="21">
        <f t="shared" si="134"/>
        <v>-780969.36000000034</v>
      </c>
      <c r="BF20" s="21">
        <f t="shared" si="134"/>
        <v>-752219.5700000003</v>
      </c>
      <c r="BG20" s="21">
        <f t="shared" si="134"/>
        <v>-723943.9999999986</v>
      </c>
      <c r="BH20" s="21">
        <f t="shared" si="134"/>
        <v>-594265.3899999999</v>
      </c>
      <c r="BI20" s="21">
        <f t="shared" si="134"/>
        <v>-597066.15000000154</v>
      </c>
      <c r="BJ20" s="21">
        <f t="shared" si="134"/>
        <v>-681810.18000000075</v>
      </c>
      <c r="BK20" s="21">
        <f t="shared" ref="BK20:BL20" si="135">IF(BK71="","",SUM(BK71,BK61,BK51,BK41,BK31))</f>
        <v>-780225.57999999914</v>
      </c>
      <c r="BL20" s="21">
        <f t="shared" si="135"/>
        <v>96086.460000000676</v>
      </c>
      <c r="BM20" s="21">
        <f t="shared" ref="BM20:BN20" si="136">IF(BM71="","",SUM(BM71,BM61,BM51,BM41,BM31))</f>
        <v>-20195.009999999103</v>
      </c>
      <c r="BN20" s="21">
        <f t="shared" si="136"/>
        <v>-20866.639999999203</v>
      </c>
      <c r="BO20" s="21">
        <f t="shared" ref="BO20:BP20" si="137">IF(BO71="","",SUM(BO71,BO61,BO51,BO41,BO31))</f>
        <v>-16162.000000003867</v>
      </c>
      <c r="BP20" s="21">
        <f t="shared" si="137"/>
        <v>27857.620000002607</v>
      </c>
      <c r="BQ20" s="21">
        <f t="shared" ref="BQ20:BR20" si="138">IF(BQ71="","",SUM(BQ71,BQ61,BQ51,BQ41,BQ31))</f>
        <v>38051.150000000562</v>
      </c>
      <c r="BR20" s="21">
        <f t="shared" si="138"/>
        <v>33403.999999998829</v>
      </c>
      <c r="BS20" s="21">
        <f t="shared" ref="BS20:BT20" si="139">IF(BS71="","",SUM(BS71,BS61,BS51,BS41,BS31))</f>
        <v>2018.7499999995471</v>
      </c>
      <c r="BT20" s="21">
        <f t="shared" si="139"/>
        <v>-23385.799999999192</v>
      </c>
      <c r="BU20" s="21">
        <f t="shared" ref="BU20:BV20" si="140">IF(BU71="","",SUM(BU71,BU61,BU51,BU41,BU31))</f>
        <v>-19323.200000000405</v>
      </c>
      <c r="BV20" s="21">
        <f t="shared" si="140"/>
        <v>-22488.900000001122</v>
      </c>
      <c r="BW20" s="21">
        <f t="shared" ref="BW20:BX20" si="141">IF(BW71="","",SUM(BW71,BW61,BW51,BW41,BW31))</f>
        <v>-22514.96999999859</v>
      </c>
      <c r="BX20" s="21">
        <f t="shared" si="141"/>
        <v>15499.079999997357</v>
      </c>
      <c r="BY20" s="21">
        <f t="shared" ref="BY20:BZ20" si="142">IF(BY71="","",SUM(BY71,BY61,BY51,BY41,BY31))</f>
        <v>-1700.8699999999994</v>
      </c>
      <c r="BZ20" s="21">
        <f t="shared" si="142"/>
        <v>-1627.1099999999992</v>
      </c>
      <c r="CA20" s="21">
        <f t="shared" ref="CA20:CB20" si="143">IF(CA71="","",SUM(CA71,CA61,CA51,CA41,CA31))</f>
        <v>-1634.7500000000036</v>
      </c>
      <c r="CB20" s="21">
        <f t="shared" si="143"/>
        <v>-1844.0800000000004</v>
      </c>
      <c r="CC20" s="21">
        <f t="shared" ref="CC20:CD20" si="144">IF(CC71="","",SUM(CC71,CC61,CC51,CC41,CC31))</f>
        <v>-2014.4600000000019</v>
      </c>
      <c r="CD20" s="21">
        <f t="shared" si="144"/>
        <v>-1986.8500000000031</v>
      </c>
      <c r="CE20" s="21">
        <f t="shared" ref="CE20:CF20" si="145">IF(CE71="","",SUM(CE71,CE61,CE51,CE41,CE31))</f>
        <v>-1911.0699999999956</v>
      </c>
      <c r="CF20" s="21">
        <f t="shared" si="145"/>
        <v>-1666.9899999999825</v>
      </c>
      <c r="CG20" s="21">
        <f t="shared" ref="CG20:CH20" si="146">IF(CG71="","",SUM(CG71,CG61,CG51,CG41,CG31))</f>
        <v>-1602.1113368609003</v>
      </c>
      <c r="CH20" s="21">
        <f t="shared" si="146"/>
        <v>-1730.0950182087045</v>
      </c>
      <c r="CI20" s="21">
        <f t="shared" ref="CI20" si="147">IF(CI71="","",SUM(CI71,CI61,CI51,CI41,CI31))</f>
        <v>-1853.2022472887011</v>
      </c>
    </row>
    <row r="21" spans="1:87" s="5" customFormat="1" x14ac:dyDescent="0.35">
      <c r="A21" s="274"/>
      <c r="B21" s="19" t="s">
        <v>8</v>
      </c>
      <c r="C21" s="30"/>
      <c r="D21" s="30"/>
      <c r="E21" s="21">
        <f t="shared" ref="E21:N21" si="148">IF(E72="","",SUM(E72,E62,E52,E42,E32))</f>
        <v>0</v>
      </c>
      <c r="F21" s="21">
        <f t="shared" si="148"/>
        <v>0.8255809798499999</v>
      </c>
      <c r="G21" s="21">
        <f t="shared" si="148"/>
        <v>-4.1171717033740967</v>
      </c>
      <c r="H21" s="21">
        <f t="shared" si="148"/>
        <v>-72.859344916704288</v>
      </c>
      <c r="I21" s="21">
        <f t="shared" si="148"/>
        <v>-100.30550409638994</v>
      </c>
      <c r="J21" s="21">
        <f t="shared" si="148"/>
        <v>-72.753288511569778</v>
      </c>
      <c r="K21" s="21">
        <f t="shared" si="148"/>
        <v>200.50907880827907</v>
      </c>
      <c r="L21" s="21">
        <f t="shared" si="148"/>
        <v>172.02097202559608</v>
      </c>
      <c r="M21" s="21">
        <f t="shared" si="148"/>
        <v>217.02433769691845</v>
      </c>
      <c r="N21" s="21">
        <f t="shared" si="148"/>
        <v>395.24966455308538</v>
      </c>
      <c r="O21" s="21">
        <f>IF(O72="","",SUM(O72,O62,O52,O42,O32))</f>
        <v>349.22690574362667</v>
      </c>
      <c r="P21" s="21">
        <f t="shared" ref="P21:AM21" si="149">IF(P72="","",SUM(P72,P62,P52,P42,P32))</f>
        <v>9085.067358698212</v>
      </c>
      <c r="Q21" s="21">
        <f t="shared" si="149"/>
        <v>10214.988880944247</v>
      </c>
      <c r="R21" s="21">
        <f t="shared" si="149"/>
        <v>8736.5914682051516</v>
      </c>
      <c r="S21" s="21">
        <f t="shared" si="149"/>
        <v>7362.8607904455157</v>
      </c>
      <c r="T21" s="21">
        <f t="shared" si="149"/>
        <v>7923.3961160293629</v>
      </c>
      <c r="U21" s="21">
        <f t="shared" si="149"/>
        <v>6924.7664517725752</v>
      </c>
      <c r="V21" s="21">
        <f t="shared" si="149"/>
        <v>6462.66116279367</v>
      </c>
      <c r="W21" s="21">
        <f t="shared" si="149"/>
        <v>5489.9778987375539</v>
      </c>
      <c r="X21" s="21">
        <f t="shared" si="149"/>
        <v>3758.5776328034472</v>
      </c>
      <c r="Y21" s="21">
        <f t="shared" si="149"/>
        <v>2383.460710457091</v>
      </c>
      <c r="Z21" s="21">
        <f t="shared" si="149"/>
        <v>1195.4037651526837</v>
      </c>
      <c r="AA21" s="21">
        <f t="shared" si="149"/>
        <v>-1558.2361761768202</v>
      </c>
      <c r="AB21" s="21">
        <f t="shared" si="149"/>
        <v>-4135.4843592056523</v>
      </c>
      <c r="AC21" s="21">
        <f t="shared" si="149"/>
        <v>-6601.5401414695589</v>
      </c>
      <c r="AD21" s="21">
        <f t="shared" si="149"/>
        <v>-9814.0716615506135</v>
      </c>
      <c r="AE21" s="21">
        <f t="shared" si="149"/>
        <v>-10424.565326607853</v>
      </c>
      <c r="AF21" s="21">
        <f t="shared" si="149"/>
        <v>-8592.4080339308275</v>
      </c>
      <c r="AG21" s="21">
        <f t="shared" si="149"/>
        <v>-4589.5334392042514</v>
      </c>
      <c r="AH21" s="21">
        <f t="shared" si="149"/>
        <v>-680.13265225356713</v>
      </c>
      <c r="AI21" s="21">
        <f t="shared" si="149"/>
        <v>1145.4899555983075</v>
      </c>
      <c r="AJ21" s="21">
        <f t="shared" si="149"/>
        <v>131.71181854024999</v>
      </c>
      <c r="AK21" s="21">
        <f t="shared" si="149"/>
        <v>-872.82874485446064</v>
      </c>
      <c r="AL21" s="21">
        <f t="shared" si="149"/>
        <v>-2378.181461454757</v>
      </c>
      <c r="AM21" s="21">
        <f t="shared" si="149"/>
        <v>-4152.6707867001551</v>
      </c>
      <c r="AN21" s="21">
        <f t="shared" ref="AN21:BJ21" si="150">IF(AN72="","",SUM(AN72,AN62,AN52,AN42,AN32))</f>
        <v>-8693.6427814507442</v>
      </c>
      <c r="AO21" s="21">
        <f t="shared" si="150"/>
        <v>-11321.044918425599</v>
      </c>
      <c r="AP21" s="21">
        <f t="shared" si="150"/>
        <v>-12444.339198648122</v>
      </c>
      <c r="AQ21" s="21">
        <f t="shared" si="150"/>
        <v>-14340.930585698752</v>
      </c>
      <c r="AR21" s="21">
        <f t="shared" si="150"/>
        <v>-7824.4663662353232</v>
      </c>
      <c r="AS21" s="21">
        <f>IF(AS72="","",SUM(AS72,AS62,AS52,AS42,AS32))</f>
        <v>-9334.3642759392933</v>
      </c>
      <c r="AT21" s="21">
        <f t="shared" si="150"/>
        <v>6436.4567620007265</v>
      </c>
      <c r="AU21" s="21">
        <f t="shared" si="150"/>
        <v>8716.5698904362325</v>
      </c>
      <c r="AV21" s="21">
        <f t="shared" si="150"/>
        <v>6493.0782834717565</v>
      </c>
      <c r="AW21" s="21">
        <f t="shared" si="150"/>
        <v>4311.4565601479198</v>
      </c>
      <c r="AX21" s="21">
        <f t="shared" si="150"/>
        <v>2634.364905981166</v>
      </c>
      <c r="AY21" s="21">
        <f t="shared" si="150"/>
        <v>571.98694501053819</v>
      </c>
      <c r="AZ21" s="21">
        <f t="shared" si="150"/>
        <v>-2717.5270852719018</v>
      </c>
      <c r="BA21" s="21">
        <f t="shared" si="150"/>
        <v>-887.8602214947432</v>
      </c>
      <c r="BB21" s="21">
        <f t="shared" si="150"/>
        <v>-901.63300423930241</v>
      </c>
      <c r="BC21" s="21">
        <f t="shared" si="150"/>
        <v>-183.12335601764065</v>
      </c>
      <c r="BD21" s="21">
        <f t="shared" si="150"/>
        <v>-242.20074501515484</v>
      </c>
      <c r="BE21" s="21">
        <f t="shared" si="150"/>
        <v>-494.70415668784943</v>
      </c>
      <c r="BF21" s="21">
        <f t="shared" si="150"/>
        <v>-432.37686754103748</v>
      </c>
      <c r="BG21" s="21">
        <f t="shared" si="150"/>
        <v>-466.39017441813189</v>
      </c>
      <c r="BH21" s="21">
        <f t="shared" si="150"/>
        <v>-854.31199570538581</v>
      </c>
      <c r="BI21" s="21">
        <f t="shared" si="150"/>
        <v>-1205.9083216950889</v>
      </c>
      <c r="BJ21" s="21">
        <f t="shared" si="150"/>
        <v>-1518.9937740867333</v>
      </c>
      <c r="BK21" s="21">
        <f t="shared" ref="BK21:BL21" si="151">IF(BK72="","",SUM(BK72,BK62,BK52,BK42,BK32))</f>
        <v>-1226.0127552387839</v>
      </c>
      <c r="BL21" s="21">
        <f t="shared" si="151"/>
        <v>-1401.5041271901016</v>
      </c>
      <c r="BM21" s="21">
        <f t="shared" ref="BM21:BN21" si="152">IF(BM72="","",SUM(BM72,BM62,BM52,BM42,BM32))</f>
        <v>-1184.0324974503467</v>
      </c>
      <c r="BN21" s="21">
        <f t="shared" si="152"/>
        <v>-1162.8472145595047</v>
      </c>
      <c r="BO21" s="21">
        <f t="shared" ref="BO21:BP21" si="153">IF(BO72="","",SUM(BO72,BO62,BO52,BO42,BO32))</f>
        <v>-1074.9850853514536</v>
      </c>
      <c r="BP21" s="21">
        <f t="shared" si="153"/>
        <v>-868.97459291636187</v>
      </c>
      <c r="BQ21" s="21">
        <f t="shared" ref="BQ21:BR21" si="154">IF(BQ72="","",SUM(BQ72,BQ62,BQ52,BQ42,BQ32))</f>
        <v>-515.87606494964007</v>
      </c>
      <c r="BR21" s="21">
        <f t="shared" si="154"/>
        <v>-632.94049118212047</v>
      </c>
      <c r="BS21" s="21">
        <f t="shared" ref="BS21:BT21" si="155">IF(BS72="","",SUM(BS72,BS62,BS52,BS42,BS32))</f>
        <v>-483.61735946795693</v>
      </c>
      <c r="BT21" s="21">
        <f t="shared" si="155"/>
        <v>-310.75679356401361</v>
      </c>
      <c r="BU21" s="21">
        <f t="shared" ref="BU21:BV21" si="156">IF(BU72="","",SUM(BU72,BU62,BU52,BU42,BU32))</f>
        <v>-256.98413884328068</v>
      </c>
      <c r="BV21" s="21">
        <f t="shared" si="156"/>
        <v>-314.16559918609727</v>
      </c>
      <c r="BW21" s="21">
        <f t="shared" ref="BW21:BX21" si="157">IF(BW72="","",SUM(BW72,BW62,BW52,BW42,BW32))</f>
        <v>-150.60802193166325</v>
      </c>
      <c r="BX21" s="21">
        <f t="shared" si="157"/>
        <v>-79.545964253529533</v>
      </c>
      <c r="BY21" s="21">
        <f t="shared" ref="BY21:BZ21" si="158">IF(BY72="","",SUM(BY72,BY62,BY52,BY42,BY32))</f>
        <v>-151.16564332316423</v>
      </c>
      <c r="BZ21" s="21">
        <f t="shared" si="158"/>
        <v>-102.6392662555599</v>
      </c>
      <c r="CA21" s="21">
        <f t="shared" ref="CA21:CB21" si="159">IF(CA72="","",SUM(CA72,CA62,CA52,CA42,CA32))</f>
        <v>-122.26697962723581</v>
      </c>
      <c r="CB21" s="21">
        <f t="shared" si="159"/>
        <v>-118.80915309391108</v>
      </c>
      <c r="CC21" s="21">
        <f t="shared" ref="CC21:CD21" si="160">IF(CC72="","",SUM(CC72,CC62,CC52,CC42,CC32))</f>
        <v>-47.3174956949766</v>
      </c>
      <c r="CD21" s="21">
        <f t="shared" si="160"/>
        <v>83.74027810027917</v>
      </c>
      <c r="CE21" s="21">
        <f t="shared" ref="CE21:CF21" si="161">IF(CE72="","",SUM(CE72,CE62,CE52,CE42,CE32))</f>
        <v>240.95224114120731</v>
      </c>
      <c r="CF21" s="21">
        <f t="shared" si="161"/>
        <v>446.03223553016858</v>
      </c>
      <c r="CG21" s="272">
        <f t="shared" ref="CG21:CH21" si="162">IF(CG72="","",SUM(CG72,CG62,CG52,CG42,CG32))</f>
        <v>592.15627306824376</v>
      </c>
      <c r="CH21" s="272">
        <f t="shared" si="162"/>
        <v>760.27899278800464</v>
      </c>
      <c r="CI21" s="272">
        <f t="shared" ref="CI21" si="163">IF(CI72="","",SUM(CI72,CI62,CI52,CI42,CI32))</f>
        <v>948.3501469704147</v>
      </c>
    </row>
    <row r="22" spans="1:87" s="5" customFormat="1" x14ac:dyDescent="0.35">
      <c r="A22" s="274"/>
      <c r="B22" s="19" t="s">
        <v>27</v>
      </c>
      <c r="C22" s="30"/>
      <c r="D22" s="30"/>
      <c r="E22" s="21">
        <f>IF(E21="","",E21)</f>
        <v>0</v>
      </c>
      <c r="F22" s="16">
        <f>IF(F21="","",E22+F21)</f>
        <v>0.8255809798499999</v>
      </c>
      <c r="G22" s="16">
        <f>IF(G21="","",F22+G21)</f>
        <v>-3.2915907235240969</v>
      </c>
      <c r="H22" s="16">
        <f>IF(H21="","",G22+H21)</f>
        <v>-76.150935640228383</v>
      </c>
      <c r="I22" s="16">
        <f t="shared" ref="I22:AM22" si="164">IF(I21="","",H22+I21)</f>
        <v>-176.45643973661834</v>
      </c>
      <c r="J22" s="16">
        <f t="shared" si="164"/>
        <v>-249.20972824818813</v>
      </c>
      <c r="K22" s="16">
        <f t="shared" si="164"/>
        <v>-48.700649439909057</v>
      </c>
      <c r="L22" s="16">
        <f t="shared" si="164"/>
        <v>123.32032258568702</v>
      </c>
      <c r="M22" s="16">
        <f t="shared" si="164"/>
        <v>340.34466028260545</v>
      </c>
      <c r="N22" s="16">
        <f t="shared" si="164"/>
        <v>735.59432483569083</v>
      </c>
      <c r="O22" s="16">
        <f t="shared" si="164"/>
        <v>1084.8212305793174</v>
      </c>
      <c r="P22" s="16">
        <f t="shared" si="164"/>
        <v>10169.888589277529</v>
      </c>
      <c r="Q22" s="16">
        <f t="shared" si="164"/>
        <v>20384.877470221778</v>
      </c>
      <c r="R22" s="16">
        <f t="shared" si="164"/>
        <v>29121.46893842693</v>
      </c>
      <c r="S22" s="16">
        <f t="shared" si="164"/>
        <v>36484.329728872443</v>
      </c>
      <c r="T22" s="16">
        <f t="shared" si="164"/>
        <v>44407.725844901805</v>
      </c>
      <c r="U22" s="16">
        <f t="shared" si="164"/>
        <v>51332.492296674376</v>
      </c>
      <c r="V22" s="16">
        <f t="shared" si="164"/>
        <v>57795.153459468049</v>
      </c>
      <c r="W22" s="16">
        <f t="shared" si="164"/>
        <v>63285.131358205603</v>
      </c>
      <c r="X22" s="16">
        <f t="shared" si="164"/>
        <v>67043.708991009044</v>
      </c>
      <c r="Y22" s="16">
        <f t="shared" si="164"/>
        <v>69427.169701466133</v>
      </c>
      <c r="Z22" s="16">
        <f t="shared" si="164"/>
        <v>70622.573466618822</v>
      </c>
      <c r="AA22" s="16">
        <f t="shared" si="164"/>
        <v>69064.337290441996</v>
      </c>
      <c r="AB22" s="16">
        <f t="shared" si="164"/>
        <v>64928.852931236346</v>
      </c>
      <c r="AC22" s="16">
        <f t="shared" si="164"/>
        <v>58327.312789766787</v>
      </c>
      <c r="AD22" s="16">
        <f t="shared" si="164"/>
        <v>48513.241128216177</v>
      </c>
      <c r="AE22" s="16">
        <f t="shared" si="164"/>
        <v>38088.675801608326</v>
      </c>
      <c r="AF22" s="16">
        <f t="shared" si="164"/>
        <v>29496.267767677498</v>
      </c>
      <c r="AG22" s="16">
        <f t="shared" si="164"/>
        <v>24906.734328473249</v>
      </c>
      <c r="AH22" s="16">
        <f t="shared" si="164"/>
        <v>24226.601676219681</v>
      </c>
      <c r="AI22" s="16">
        <f t="shared" si="164"/>
        <v>25372.091631817988</v>
      </c>
      <c r="AJ22" s="16">
        <f t="shared" si="164"/>
        <v>25503.803450358238</v>
      </c>
      <c r="AK22" s="16">
        <f t="shared" si="164"/>
        <v>24630.974705503777</v>
      </c>
      <c r="AL22" s="16">
        <f t="shared" si="164"/>
        <v>22252.793244049019</v>
      </c>
      <c r="AM22" s="16">
        <f t="shared" si="164"/>
        <v>18100.122457348865</v>
      </c>
      <c r="AN22" s="16">
        <f t="shared" ref="AN22" si="165">IF(AN21="","",AM22+AN21)</f>
        <v>9406.4796758981211</v>
      </c>
      <c r="AO22" s="16">
        <f t="shared" ref="AO22" si="166">IF(AO21="","",AN22+AO21)</f>
        <v>-1914.5652425274784</v>
      </c>
      <c r="AP22" s="16">
        <f t="shared" ref="AP22" si="167">IF(AP21="","",AO22+AP21)</f>
        <v>-14358.9044411756</v>
      </c>
      <c r="AQ22" s="16">
        <f t="shared" ref="AQ22" si="168">IF(AQ21="","",AP22+AQ21)</f>
        <v>-28699.835026874352</v>
      </c>
      <c r="AR22" s="16">
        <f t="shared" ref="AR22" si="169">IF(AR21="","",AQ22+AR21)</f>
        <v>-36524.301393109679</v>
      </c>
      <c r="AS22" s="16">
        <f>IF(AS21="","",AR22+AS21)</f>
        <v>-45858.665669048976</v>
      </c>
      <c r="AT22" s="16">
        <f t="shared" ref="AT22" si="170">IF(AT21="","",AS22+AT21)</f>
        <v>-39422.208907048247</v>
      </c>
      <c r="AU22" s="16">
        <f t="shared" ref="AU22" si="171">IF(AU21="","",AT22+AU21)</f>
        <v>-30705.639016612015</v>
      </c>
      <c r="AV22" s="16">
        <f t="shared" ref="AV22" si="172">IF(AV21="","",AU22+AV21)</f>
        <v>-24212.560733140257</v>
      </c>
      <c r="AW22" s="16">
        <f t="shared" ref="AW22" si="173">IF(AW21="","",AV22+AW21)</f>
        <v>-19901.104172992338</v>
      </c>
      <c r="AX22" s="16">
        <f t="shared" ref="AX22" si="174">IF(AX21="","",AW22+AX21)</f>
        <v>-17266.739267011173</v>
      </c>
      <c r="AY22" s="16">
        <f t="shared" ref="AY22" si="175">IF(AY21="","",AX22+AY21)</f>
        <v>-16694.752322000633</v>
      </c>
      <c r="AZ22" s="16">
        <f t="shared" ref="AZ22" si="176">IF(AZ21="","",AY22+AZ21)</f>
        <v>-19412.279407272534</v>
      </c>
      <c r="BA22" s="16">
        <f t="shared" ref="BA22" si="177">IF(BA21="","",AZ22+BA21)</f>
        <v>-20300.139628767276</v>
      </c>
      <c r="BB22" s="16">
        <f t="shared" ref="BB22" si="178">IF(BB21="","",BA22+BB21)</f>
        <v>-21201.772633006578</v>
      </c>
      <c r="BC22" s="16">
        <f t="shared" ref="BC22" si="179">IF(BC21="","",BB22+BC21)</f>
        <v>-21384.895989024219</v>
      </c>
      <c r="BD22" s="16">
        <f t="shared" ref="BD22" si="180">IF(BD21="","",BC22+BD21)</f>
        <v>-21627.096734039373</v>
      </c>
      <c r="BE22" s="16">
        <f t="shared" ref="BE22" si="181">IF(BE21="","",BD22+BE21)</f>
        <v>-22121.800890727223</v>
      </c>
      <c r="BF22" s="16">
        <f t="shared" ref="BF22" si="182">IF(BF21="","",BE22+BF21)</f>
        <v>-22554.177758268263</v>
      </c>
      <c r="BG22" s="16">
        <f t="shared" ref="BG22" si="183">IF(BG21="","",BF22+BG21)</f>
        <v>-23020.567932686394</v>
      </c>
      <c r="BH22" s="16">
        <f t="shared" ref="BH22" si="184">IF(BH21="","",BG22+BH21)</f>
        <v>-23874.87992839178</v>
      </c>
      <c r="BI22" s="16">
        <f t="shared" ref="BI22" si="185">IF(BI21="","",BH22+BI21)</f>
        <v>-25080.788250086869</v>
      </c>
      <c r="BJ22" s="16">
        <f t="shared" ref="BJ22:CI22" si="186">IF(BJ21="","",BI22+BJ21)</f>
        <v>-26599.782024173601</v>
      </c>
      <c r="BK22" s="16">
        <f t="shared" si="186"/>
        <v>-27825.794779412383</v>
      </c>
      <c r="BL22" s="16">
        <f t="shared" si="186"/>
        <v>-29227.298906602486</v>
      </c>
      <c r="BM22" s="16">
        <f t="shared" si="186"/>
        <v>-30411.331404052831</v>
      </c>
      <c r="BN22" s="16">
        <f t="shared" si="186"/>
        <v>-31574.178618612335</v>
      </c>
      <c r="BO22" s="16">
        <f t="shared" si="186"/>
        <v>-32649.16370396379</v>
      </c>
      <c r="BP22" s="16">
        <f t="shared" si="186"/>
        <v>-33518.138296880148</v>
      </c>
      <c r="BQ22" s="16">
        <f t="shared" si="186"/>
        <v>-34034.014361829788</v>
      </c>
      <c r="BR22" s="16">
        <f t="shared" si="186"/>
        <v>-34666.954853011906</v>
      </c>
      <c r="BS22" s="16">
        <f t="shared" si="186"/>
        <v>-35150.572212479863</v>
      </c>
      <c r="BT22" s="16">
        <f t="shared" si="186"/>
        <v>-35461.329006043874</v>
      </c>
      <c r="BU22" s="16">
        <f t="shared" si="186"/>
        <v>-35718.313144887157</v>
      </c>
      <c r="BV22" s="16">
        <f t="shared" si="186"/>
        <v>-36032.478744073254</v>
      </c>
      <c r="BW22" s="16">
        <f t="shared" si="186"/>
        <v>-36183.086766004919</v>
      </c>
      <c r="BX22" s="16">
        <f t="shared" si="186"/>
        <v>-36262.632730258447</v>
      </c>
      <c r="BY22" s="16">
        <f t="shared" si="186"/>
        <v>-36413.798373581609</v>
      </c>
      <c r="BZ22" s="16">
        <f t="shared" si="186"/>
        <v>-36516.437639837168</v>
      </c>
      <c r="CA22" s="16">
        <f t="shared" si="186"/>
        <v>-36638.704619464406</v>
      </c>
      <c r="CB22" s="16">
        <f t="shared" si="186"/>
        <v>-36757.513772558319</v>
      </c>
      <c r="CC22" s="16">
        <f t="shared" si="186"/>
        <v>-36804.831268253292</v>
      </c>
      <c r="CD22" s="16">
        <f t="shared" si="186"/>
        <v>-36721.09099015301</v>
      </c>
      <c r="CE22" s="16">
        <f t="shared" si="186"/>
        <v>-36480.1387490118</v>
      </c>
      <c r="CF22" s="16">
        <f t="shared" si="186"/>
        <v>-36034.106513481631</v>
      </c>
      <c r="CG22" s="16">
        <f t="shared" si="186"/>
        <v>-35441.950240413389</v>
      </c>
      <c r="CH22" s="16">
        <f t="shared" si="186"/>
        <v>-34681.671247625382</v>
      </c>
      <c r="CI22" s="16">
        <f t="shared" si="186"/>
        <v>-33733.321100654968</v>
      </c>
    </row>
    <row r="23" spans="1:87" s="5" customFormat="1" x14ac:dyDescent="0.35">
      <c r="A23" s="274"/>
      <c r="B23" s="18" t="s">
        <v>14</v>
      </c>
      <c r="C23" s="26"/>
      <c r="D23" s="26"/>
      <c r="E23" s="21">
        <f t="shared" ref="E23:AM23" si="187">IF(E73="","",SUM(E73,E63,E53,E43,E33))</f>
        <v>0</v>
      </c>
      <c r="F23" s="21">
        <f t="shared" si="187"/>
        <v>1329.6055809798499</v>
      </c>
      <c r="G23" s="21">
        <f t="shared" si="187"/>
        <v>-7870.6971717033748</v>
      </c>
      <c r="H23" s="21">
        <f t="shared" si="187"/>
        <v>-133126.43934491673</v>
      </c>
      <c r="I23" s="21">
        <f t="shared" si="187"/>
        <v>-51781.545504096364</v>
      </c>
      <c r="J23" s="21">
        <f t="shared" si="187"/>
        <v>77188.736711488338</v>
      </c>
      <c r="K23" s="21">
        <f t="shared" si="187"/>
        <v>432956.84907880833</v>
      </c>
      <c r="L23" s="21">
        <f t="shared" si="187"/>
        <v>-46973.169027974276</v>
      </c>
      <c r="M23" s="21">
        <f t="shared" si="187"/>
        <v>69304.924337696793</v>
      </c>
      <c r="N23" s="21">
        <f t="shared" si="187"/>
        <v>152297.37966455313</v>
      </c>
      <c r="O23" s="21">
        <f t="shared" si="187"/>
        <v>-27340.54309425642</v>
      </c>
      <c r="P23" s="21">
        <f>IF(P73="","",SUM(P73,P63,P53,P43,P33))</f>
        <v>-677522.56264130166</v>
      </c>
      <c r="Q23" s="21">
        <f t="shared" si="187"/>
        <v>-461720.541119056</v>
      </c>
      <c r="R23" s="21">
        <f t="shared" si="187"/>
        <v>-601978.92853179516</v>
      </c>
      <c r="S23" s="21">
        <f t="shared" si="187"/>
        <v>-510000.93920955458</v>
      </c>
      <c r="T23" s="21">
        <f t="shared" si="187"/>
        <v>223855.88611602981</v>
      </c>
      <c r="U23" s="21">
        <f t="shared" si="187"/>
        <v>603571.63645177253</v>
      </c>
      <c r="V23" s="21">
        <f t="shared" si="187"/>
        <v>734991.88116279361</v>
      </c>
      <c r="W23" s="21">
        <f t="shared" si="187"/>
        <v>470809.58789873729</v>
      </c>
      <c r="X23" s="21">
        <f t="shared" si="187"/>
        <v>-334506.49236719596</v>
      </c>
      <c r="Y23" s="21">
        <f t="shared" si="187"/>
        <v>-139598.08928954392</v>
      </c>
      <c r="Z23" s="21">
        <f t="shared" si="187"/>
        <v>-29077.876234846466</v>
      </c>
      <c r="AA23" s="21">
        <f t="shared" si="187"/>
        <v>-332185.06617617764</v>
      </c>
      <c r="AB23" s="21">
        <f t="shared" si="187"/>
        <v>-1859546.8543592058</v>
      </c>
      <c r="AC23" s="21">
        <f t="shared" si="187"/>
        <v>-1231620.5101414677</v>
      </c>
      <c r="AD23" s="21">
        <f t="shared" si="187"/>
        <v>-1327312.8316615513</v>
      </c>
      <c r="AE23" s="21">
        <f t="shared" si="187"/>
        <v>-678735.9753266084</v>
      </c>
      <c r="AF23" s="21">
        <f t="shared" si="187"/>
        <v>1062655.2519660713</v>
      </c>
      <c r="AG23" s="21">
        <f t="shared" si="187"/>
        <v>2080605.0265607969</v>
      </c>
      <c r="AH23" s="21">
        <f t="shared" si="187"/>
        <v>1891289.887347749</v>
      </c>
      <c r="AI23" s="21">
        <f t="shared" si="187"/>
        <v>837696.14995559736</v>
      </c>
      <c r="AJ23" s="21">
        <f t="shared" si="187"/>
        <v>-619920.60818146192</v>
      </c>
      <c r="AK23" s="21">
        <f t="shared" si="187"/>
        <v>-565357.15874485637</v>
      </c>
      <c r="AL23" s="21">
        <f t="shared" si="187"/>
        <v>-720194.79146145482</v>
      </c>
      <c r="AM23" s="21">
        <f t="shared" si="187"/>
        <v>-808025.65078670287</v>
      </c>
      <c r="AN23" s="21">
        <f t="shared" ref="AN23:BJ23" si="188">IF(AN73="","",SUM(AN73,AN63,AN53,AN43,AN33))</f>
        <v>-2122271.8627814483</v>
      </c>
      <c r="AO23" s="21">
        <f t="shared" si="188"/>
        <v>-1367558.1849184209</v>
      </c>
      <c r="AP23" s="21">
        <f t="shared" si="188"/>
        <v>-850758.1291986485</v>
      </c>
      <c r="AQ23" s="21">
        <f t="shared" si="188"/>
        <v>-914281.05058570066</v>
      </c>
      <c r="AR23" s="21">
        <f>IF(AR73="","",SUM(AR73,AR63,AR53,AR43,AR33))</f>
        <v>2760779.4336337661</v>
      </c>
      <c r="AS23" s="21">
        <f>IF(AS73="","",SUM(AS73,AS63,AS53,AS43,AS33))</f>
        <v>3524890.1057240581</v>
      </c>
      <c r="AT23" s="21">
        <f t="shared" si="188"/>
        <v>2979202.5467620026</v>
      </c>
      <c r="AU23" s="21">
        <f t="shared" si="188"/>
        <v>1276018.7698904346</v>
      </c>
      <c r="AV23" s="21">
        <f t="shared" si="188"/>
        <v>-1164231.4917165299</v>
      </c>
      <c r="AW23" s="21">
        <f t="shared" si="188"/>
        <v>-957228.70343984955</v>
      </c>
      <c r="AX23" s="21">
        <f t="shared" si="188"/>
        <v>-1357610.2050940199</v>
      </c>
      <c r="AY23" s="21">
        <f t="shared" si="188"/>
        <v>-1463900.9630549895</v>
      </c>
      <c r="AZ23" s="21">
        <f t="shared" si="188"/>
        <v>-2766073.8370852727</v>
      </c>
      <c r="BA23" s="21">
        <f t="shared" si="188"/>
        <v>1219557.5297785022</v>
      </c>
      <c r="BB23" s="21">
        <f t="shared" si="188"/>
        <v>-585531.32300423691</v>
      </c>
      <c r="BC23" s="21">
        <f t="shared" si="188"/>
        <v>-539935.18335602037</v>
      </c>
      <c r="BD23" s="21">
        <f t="shared" si="188"/>
        <v>-638149.48074501276</v>
      </c>
      <c r="BE23" s="21">
        <f t="shared" si="188"/>
        <v>-781464.06415668817</v>
      </c>
      <c r="BF23" s="21">
        <f>IF(BF73="","",SUM(BF73,BF63,BF53,BF43,BF33))</f>
        <v>-752651.94686754141</v>
      </c>
      <c r="BG23" s="21">
        <f t="shared" si="188"/>
        <v>-724410.39017441683</v>
      </c>
      <c r="BH23" s="21">
        <f t="shared" si="188"/>
        <v>-595119.70199570525</v>
      </c>
      <c r="BI23" s="21">
        <f t="shared" si="188"/>
        <v>-598272.05832169659</v>
      </c>
      <c r="BJ23" s="21">
        <f t="shared" si="188"/>
        <v>-683329.17377408745</v>
      </c>
      <c r="BK23" s="21">
        <f t="shared" ref="BK23:BL23" si="189">IF(BK73="","",SUM(BK73,BK63,BK53,BK43,BK33))</f>
        <v>-781451.59275523794</v>
      </c>
      <c r="BL23" s="21">
        <f t="shared" si="189"/>
        <v>94684.955872810577</v>
      </c>
      <c r="BM23" s="21">
        <f t="shared" ref="BM23:BN23" si="190">IF(BM73="","",SUM(BM73,BM63,BM53,BM43,BM33))</f>
        <v>-21379.042497449453</v>
      </c>
      <c r="BN23" s="21">
        <f t="shared" si="190"/>
        <v>-22029.487214558707</v>
      </c>
      <c r="BO23" s="21">
        <f t="shared" ref="BO23:BP23" si="191">IF(BO73="","",SUM(BO73,BO63,BO53,BO43,BO33))</f>
        <v>-17236.985085355322</v>
      </c>
      <c r="BP23" s="21">
        <f t="shared" si="191"/>
        <v>26988.645407086242</v>
      </c>
      <c r="BQ23" s="21">
        <f t="shared" ref="BQ23:BR23" si="192">IF(BQ73="","",SUM(BQ73,BQ63,BQ53,BQ43,BQ33))</f>
        <v>37535.273935050915</v>
      </c>
      <c r="BR23" s="21">
        <f t="shared" si="192"/>
        <v>32771.05950881671</v>
      </c>
      <c r="BS23" s="21">
        <f t="shared" ref="BS23:BT23" si="193">IF(BS73="","",SUM(BS73,BS63,BS53,BS43,BS33))</f>
        <v>1535.1326405315895</v>
      </c>
      <c r="BT23" s="21">
        <f t="shared" si="193"/>
        <v>-23696.556793563206</v>
      </c>
      <c r="BU23" s="21">
        <f t="shared" ref="BU23:BV23" si="194">IF(BU73="","",SUM(BU73,BU63,BU53,BU43,BU33))</f>
        <v>-19580.184138843688</v>
      </c>
      <c r="BV23" s="21">
        <f t="shared" si="194"/>
        <v>-22803.065599187223</v>
      </c>
      <c r="BW23" s="21">
        <f t="shared" ref="BW23:BX23" si="195">IF(BW73="","",SUM(BW73,BW63,BW53,BW43,BW33))</f>
        <v>-22665.578021930254</v>
      </c>
      <c r="BX23" s="21">
        <f t="shared" si="195"/>
        <v>15419.534035743827</v>
      </c>
      <c r="BY23" s="21">
        <f t="shared" ref="BY23:BZ23" si="196">IF(BY73="","",SUM(BY73,BY63,BY53,BY43,BY33))</f>
        <v>-1852.0356433231636</v>
      </c>
      <c r="BZ23" s="21">
        <f t="shared" si="196"/>
        <v>-1729.7492662555592</v>
      </c>
      <c r="CA23" s="21">
        <f t="shared" ref="CA23:CB23" si="197">IF(CA73="","",SUM(CA73,CA63,CA53,CA43,CA33))</f>
        <v>-1757.0169796272394</v>
      </c>
      <c r="CB23" s="21">
        <f t="shared" si="197"/>
        <v>-1962.8891530939115</v>
      </c>
      <c r="CC23" s="21">
        <f t="shared" ref="CC23:CD23" si="198">IF(CC73="","",SUM(CC73,CC63,CC53,CC43,CC33))</f>
        <v>-2061.7774956949784</v>
      </c>
      <c r="CD23" s="21">
        <f t="shared" si="198"/>
        <v>-1903.109721899724</v>
      </c>
      <c r="CE23" s="21">
        <f t="shared" ref="CE23:CF23" si="199">IF(CE73="","",SUM(CE73,CE63,CE53,CE43,CE33))</f>
        <v>-1670.1177588587884</v>
      </c>
      <c r="CF23" s="21">
        <f t="shared" si="199"/>
        <v>-1220.9577644698138</v>
      </c>
      <c r="CG23" s="21">
        <f t="shared" ref="CG23:CH23" si="200">IF(CG73="","",SUM(CG73,CG63,CG53,CG43,CG33))</f>
        <v>-1009.9550637926565</v>
      </c>
      <c r="CH23" s="21">
        <f t="shared" si="200"/>
        <v>-969.8160254206997</v>
      </c>
      <c r="CI23" s="21">
        <f t="shared" ref="CI23" si="201">IF(CI73="","",SUM(CI73,CI63,CI53,CI43,CI33))</f>
        <v>-904.85210031828615</v>
      </c>
    </row>
    <row r="24" spans="1:87" s="5" customFormat="1" x14ac:dyDescent="0.35">
      <c r="A24" s="274"/>
      <c r="B24" s="20" t="s">
        <v>2</v>
      </c>
      <c r="C24" s="28"/>
      <c r="D24" s="28"/>
      <c r="E24" s="21">
        <f t="shared" ref="E24:AM24" si="202">IF(E74="","",SUM(E74,E64,E54,E44,E34))</f>
        <v>0</v>
      </c>
      <c r="F24" s="21">
        <f t="shared" si="202"/>
        <v>1329.6055809798499</v>
      </c>
      <c r="G24" s="21">
        <f t="shared" si="202"/>
        <v>-6541.0915907235249</v>
      </c>
      <c r="H24" s="21">
        <f t="shared" si="202"/>
        <v>-139667.53093564024</v>
      </c>
      <c r="I24" s="21">
        <f t="shared" si="202"/>
        <v>-191449.07643973659</v>
      </c>
      <c r="J24" s="21">
        <f t="shared" si="202"/>
        <v>-114260.33972824829</v>
      </c>
      <c r="K24" s="21">
        <f t="shared" si="202"/>
        <v>318696.50935056002</v>
      </c>
      <c r="L24" s="21">
        <f t="shared" si="202"/>
        <v>271723.34032258578</v>
      </c>
      <c r="M24" s="21">
        <f t="shared" si="202"/>
        <v>341028.26466028253</v>
      </c>
      <c r="N24" s="21">
        <f t="shared" si="202"/>
        <v>493325.64432483562</v>
      </c>
      <c r="O24" s="21">
        <f t="shared" si="202"/>
        <v>465985.1012305792</v>
      </c>
      <c r="P24" s="21">
        <f>IF(P74="","",SUM(P74,P64,P54,P44,P34))</f>
        <v>12122508.21228965</v>
      </c>
      <c r="Q24" s="21">
        <f t="shared" si="202"/>
        <v>10669333.821170595</v>
      </c>
      <c r="R24" s="21">
        <f t="shared" si="202"/>
        <v>9125179.8626387995</v>
      </c>
      <c r="S24" s="21">
        <f t="shared" si="202"/>
        <v>7690348.0334292455</v>
      </c>
      <c r="T24" s="21">
        <f t="shared" si="202"/>
        <v>6751239.2395452745</v>
      </c>
      <c r="U24" s="21">
        <f t="shared" si="202"/>
        <v>5977194.3659970472</v>
      </c>
      <c r="V24" s="21">
        <f t="shared" si="202"/>
        <v>5292979.5471598413</v>
      </c>
      <c r="W24" s="21">
        <f t="shared" si="202"/>
        <v>4554328.3750585774</v>
      </c>
      <c r="X24" s="21">
        <f t="shared" si="202"/>
        <v>3112526.0826913817</v>
      </c>
      <c r="Y24" s="21">
        <f t="shared" si="202"/>
        <v>1984651.4634018382</v>
      </c>
      <c r="Z24" s="21">
        <f t="shared" si="202"/>
        <v>810020.52716699161</v>
      </c>
      <c r="AA24" s="21">
        <f t="shared" si="202"/>
        <v>-1091623.9190091861</v>
      </c>
      <c r="AB24" s="21">
        <f t="shared" si="202"/>
        <v>-2719540.1433683923</v>
      </c>
      <c r="AC24" s="21">
        <f t="shared" si="202"/>
        <v>-3863493.6735098599</v>
      </c>
      <c r="AD24" s="21">
        <f t="shared" si="202"/>
        <v>-5105394.8851714116</v>
      </c>
      <c r="AE24" s="21">
        <f t="shared" si="202"/>
        <v>-5699667.2604980189</v>
      </c>
      <c r="AF24" s="21">
        <f t="shared" si="202"/>
        <v>-4531783.3385319486</v>
      </c>
      <c r="AG24" s="21">
        <f t="shared" si="202"/>
        <v>-2351007.7619711515</v>
      </c>
      <c r="AH24" s="21">
        <f t="shared" si="202"/>
        <v>-351649.0146234025</v>
      </c>
      <c r="AI24" s="21">
        <f t="shared" si="202"/>
        <v>591360.33533219481</v>
      </c>
      <c r="AJ24" s="21">
        <f t="shared" si="202"/>
        <v>64449.017150732921</v>
      </c>
      <c r="AK24" s="21">
        <f t="shared" si="202"/>
        <v>-415335.20159412327</v>
      </c>
      <c r="AL24" s="21">
        <f t="shared" si="202"/>
        <v>-1038405.0130555781</v>
      </c>
      <c r="AM24" s="21">
        <f t="shared" si="202"/>
        <v>-1740645.5538422812</v>
      </c>
      <c r="AN24" s="21">
        <f t="shared" ref="AN24:BJ24" si="203">IF(AN74="","",SUM(AN74,AN64,AN54,AN44,AN34))</f>
        <v>-3681558.1666237293</v>
      </c>
      <c r="AO24" s="21">
        <f t="shared" si="203"/>
        <v>-4884404.0515421508</v>
      </c>
      <c r="AP24" s="21">
        <f t="shared" si="203"/>
        <v>-5621636.7207407989</v>
      </c>
      <c r="AQ24" s="21">
        <f t="shared" si="203"/>
        <v>-6441982.4413264999</v>
      </c>
      <c r="AR24" s="21">
        <f t="shared" si="203"/>
        <v>-3550902.8376927339</v>
      </c>
      <c r="AS24" s="21">
        <f>IF(AS74="","",SUM(AS74,AS64,AS54,AS44,AS34))</f>
        <v>137704.86803132389</v>
      </c>
      <c r="AT24" s="21">
        <f t="shared" si="203"/>
        <v>3291474.2947933264</v>
      </c>
      <c r="AU24" s="21">
        <f t="shared" si="203"/>
        <v>4727028.3646837613</v>
      </c>
      <c r="AV24" s="21">
        <f t="shared" si="203"/>
        <v>3692370.3629672313</v>
      </c>
      <c r="AW24" s="21">
        <f t="shared" si="203"/>
        <v>2853308.819527382</v>
      </c>
      <c r="AX24" s="21">
        <f t="shared" si="203"/>
        <v>1653239.8044333621</v>
      </c>
      <c r="AY24" s="21">
        <f t="shared" si="203"/>
        <v>363915.55137837201</v>
      </c>
      <c r="AZ24" s="21">
        <f t="shared" si="203"/>
        <v>-1810803.1557069002</v>
      </c>
      <c r="BA24" s="21">
        <f t="shared" si="203"/>
        <v>-565028.90592839848</v>
      </c>
      <c r="BB24" s="21">
        <f t="shared" si="203"/>
        <v>-1153811.2989326352</v>
      </c>
      <c r="BC24" s="21">
        <f t="shared" si="203"/>
        <v>-1702771.9122886555</v>
      </c>
      <c r="BD24" s="21">
        <f t="shared" si="203"/>
        <v>-2313691.0630336679</v>
      </c>
      <c r="BE24" s="21">
        <f t="shared" si="203"/>
        <v>-3065845.2771903565</v>
      </c>
      <c r="BF24" s="21">
        <f t="shared" si="203"/>
        <v>-3799182.1740578976</v>
      </c>
      <c r="BG24" s="21">
        <f t="shared" si="203"/>
        <v>-4516979.2642323151</v>
      </c>
      <c r="BH24" s="21">
        <f t="shared" si="203"/>
        <v>-5126726.2862280197</v>
      </c>
      <c r="BI24" s="21">
        <f t="shared" si="203"/>
        <v>-5733526.6845497163</v>
      </c>
      <c r="BJ24" s="21">
        <f t="shared" si="203"/>
        <v>-6404044.2183238044</v>
      </c>
      <c r="BK24" s="21">
        <f t="shared" ref="BK24:BL24" si="204">IF(BK74="","",SUM(BK74,BK64,BK54,BK44,BK34))</f>
        <v>-7138232.1410790421</v>
      </c>
      <c r="BL24" s="21">
        <f t="shared" si="204"/>
        <v>-7243786.6552062314</v>
      </c>
      <c r="BM24" s="21">
        <f t="shared" ref="BM24" si="205">IF(BM74="","",SUM(BM74,BM64,BM54,BM44,BM34))</f>
        <v>-6650748.3077036813</v>
      </c>
      <c r="BN24" s="21">
        <f t="shared" ref="BN24:BW24" si="206">IF(BN74="","",SUM(BN74,BN64,BN54,BN44,BN34))</f>
        <v>-6199626.1649182402</v>
      </c>
      <c r="BO24" s="21">
        <f t="shared" si="206"/>
        <v>-5752939.2500035949</v>
      </c>
      <c r="BP24" s="21">
        <f t="shared" si="206"/>
        <v>-5171823.4645965081</v>
      </c>
      <c r="BQ24" s="21">
        <f t="shared" si="206"/>
        <v>-4436601.2506614579</v>
      </c>
      <c r="BR24" s="21">
        <f t="shared" si="206"/>
        <v>-3703862.0611526407</v>
      </c>
      <c r="BS24" s="21">
        <f t="shared" si="206"/>
        <v>-3003805.1585121094</v>
      </c>
      <c r="BT24" s="21">
        <f t="shared" si="206"/>
        <v>-2486365.1053056726</v>
      </c>
      <c r="BU24" s="21">
        <f t="shared" si="206"/>
        <v>-2013069.3294445162</v>
      </c>
      <c r="BV24" s="21">
        <f t="shared" si="206"/>
        <v>-1447726.1650437033</v>
      </c>
      <c r="BW24" s="21">
        <f t="shared" si="206"/>
        <v>-771017.0030656337</v>
      </c>
      <c r="BX24" s="21">
        <f t="shared" ref="BX24:BY24" si="207">IF(BX74="","",SUM(BX74,BX64,BX54,BX44,BX34))</f>
        <v>-322727.77902988991</v>
      </c>
      <c r="BY24" s="21">
        <f t="shared" si="207"/>
        <v>-263698.78467321303</v>
      </c>
      <c r="BZ24" s="21">
        <f t="shared" ref="BZ24:CA24" si="208">IF(BZ74="","",SUM(BZ74,BZ64,BZ54,BZ44,BZ34))</f>
        <v>-205238.94393946859</v>
      </c>
      <c r="CA24" s="21">
        <f t="shared" si="208"/>
        <v>-154612.74091909587</v>
      </c>
      <c r="CB24" s="21">
        <f t="shared" ref="CB24:CC24" si="209">IF(CB74="","",SUM(CB74,CB64,CB54,CB44,CB34))</f>
        <v>-96070.250072189723</v>
      </c>
      <c r="CC24" s="21">
        <f t="shared" si="209"/>
        <v>-27655.26756788473</v>
      </c>
      <c r="CD24" s="21">
        <f t="shared" ref="CD24:CI24" si="210">IF(CD74="","",SUM(CD74,CD64,CD54,CD44,CD34))</f>
        <v>39274.932710215566</v>
      </c>
      <c r="CE24" s="21">
        <f t="shared" si="210"/>
        <v>101990.99495135678</v>
      </c>
      <c r="CF24" s="21">
        <f t="shared" si="210"/>
        <v>154688.15718688694</v>
      </c>
      <c r="CG24" s="21">
        <f t="shared" si="210"/>
        <v>205365.34212309428</v>
      </c>
      <c r="CH24" s="21">
        <f t="shared" si="210"/>
        <v>263671.87609767361</v>
      </c>
      <c r="CI24" s="21">
        <f t="shared" si="210"/>
        <v>328896.71399735531</v>
      </c>
    </row>
    <row r="25" spans="1:87" s="5" customFormat="1" ht="8.25" customHeight="1" x14ac:dyDescent="0.35">
      <c r="A25" s="44"/>
      <c r="B25" s="13"/>
      <c r="C25" s="13"/>
      <c r="D25" s="13"/>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row>
    <row r="26" spans="1:87" s="5" customFormat="1" ht="15" hidden="1" customHeight="1" outlineLevel="1" x14ac:dyDescent="0.35">
      <c r="A26" s="274" t="s">
        <v>20</v>
      </c>
      <c r="B26" s="17"/>
      <c r="C26" s="32"/>
      <c r="D26" s="32"/>
      <c r="E26" s="9"/>
      <c r="F26" s="9"/>
      <c r="G26" s="9"/>
      <c r="H26" s="9"/>
      <c r="I26" s="9"/>
      <c r="J26" s="9"/>
      <c r="K26" s="9"/>
      <c r="L26" s="9"/>
      <c r="M26" s="9"/>
      <c r="N26" s="9"/>
      <c r="O26" s="9"/>
      <c r="P26" s="74">
        <v>7611904.5234541874</v>
      </c>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74">
        <f>+'MEEIA 2 adjs'!AT38</f>
        <v>-9652.3205640208907</v>
      </c>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141">
        <f>'MEEIA 2 adjs'!CY21</f>
        <v>5948.9756313576872</v>
      </c>
      <c r="CG26" s="9"/>
      <c r="CH26" s="9"/>
      <c r="CI26" s="9"/>
    </row>
    <row r="27" spans="1:87" s="3" customFormat="1" ht="15" hidden="1" customHeight="1" outlineLevel="1" x14ac:dyDescent="0.35">
      <c r="A27" s="274"/>
      <c r="B27" s="17" t="s">
        <v>28</v>
      </c>
      <c r="C27" s="32"/>
      <c r="D27" s="32"/>
      <c r="E27" s="22">
        <f>IF('M2 Allocations - TD'!D5="","",'M2 Allocations - TD'!D31)</f>
        <v>0</v>
      </c>
      <c r="F27" s="22">
        <f>IF('M2 Allocations - TD'!E5="","",'M2 Allocations - TD'!E31)</f>
        <v>1328.78</v>
      </c>
      <c r="G27" s="22">
        <f>IF('M2 Allocations - TD'!F5="","",'M2 Allocations - TD'!F31)</f>
        <v>9526.5299999999988</v>
      </c>
      <c r="H27" s="22">
        <f>IF('M2 Allocations - TD'!G5="","",'M2 Allocations - TD'!G31)</f>
        <v>120352.88</v>
      </c>
      <c r="I27" s="22">
        <f>IF('M2 Allocations - TD'!H5="","",'M2 Allocations - TD'!H31)</f>
        <v>256080.65000000002</v>
      </c>
      <c r="J27" s="22">
        <f>IF('M2 Allocations - TD'!I5="","",'M2 Allocations - TD'!I31)</f>
        <v>373393.34435846674</v>
      </c>
      <c r="K27" s="22">
        <f>IF('M2 Allocations - TD'!J5="","",'M2 Allocations - TD'!J31)</f>
        <v>671736.21363575384</v>
      </c>
      <c r="L27" s="22">
        <f>IF('M2 Allocations - TD'!K5="","",'M2 Allocations - TD'!K31)</f>
        <v>120839.84990541483</v>
      </c>
      <c r="M27" s="22">
        <f>IF('M2 Allocations - TD'!L5="","",'M2 Allocations - TD'!L31)</f>
        <v>185093.49881649271</v>
      </c>
      <c r="N27" s="22">
        <f>IF('M2 Allocations - TD'!M5="","",'M2 Allocations - TD'!M31)</f>
        <v>303285.19452852954</v>
      </c>
      <c r="O27" s="22">
        <f>IF('M2 Allocations - TD'!N5="","",'M2 Allocations - TD'!N31)</f>
        <v>329743.7910035231</v>
      </c>
      <c r="P27" s="22">
        <f>IF('M2 Allocations - TD'!O5="","",'M2 Allocations - TD'!O31)</f>
        <v>319589.12614734296</v>
      </c>
      <c r="Q27" s="22">
        <f>IF('M2 Allocations - TD'!P5="","",'M2 Allocations - TD'!P31)</f>
        <v>307416.51622437377</v>
      </c>
      <c r="R27" s="22">
        <f>IF('M2 Allocations - TD'!Q5="","",'M2 Allocations - TD'!Q31)</f>
        <v>202009.99758789604</v>
      </c>
      <c r="S27" s="22">
        <f>IF('M2 Allocations - TD'!R5="","",'M2 Allocations - TD'!R31)</f>
        <v>201518.00847600689</v>
      </c>
      <c r="T27" s="22">
        <f>IF('M2 Allocations - TD'!S5="","",'M2 Allocations - TD'!S31)</f>
        <v>884196.51701427973</v>
      </c>
      <c r="U27" s="22">
        <f>IF('M2 Allocations - TD'!T5="","",'M2 Allocations - TD'!T31)</f>
        <v>1282604.3399999999</v>
      </c>
      <c r="V27" s="22">
        <f>IF('M2 Allocations - TD'!U5="","",'M2 Allocations - TD'!U31)</f>
        <v>1412760.5841518985</v>
      </c>
      <c r="W27" s="22">
        <f>IF('M2 Allocations - TD'!V5="","",'M2 Allocations - TD'!V31)</f>
        <v>912043.87330211163</v>
      </c>
      <c r="X27" s="22">
        <f>IF('M2 Allocations - TD'!W5="","",'M2 Allocations - TD'!W31)</f>
        <v>279976.46619588812</v>
      </c>
      <c r="Y27" s="22">
        <f>IF('M2 Allocations - TD'!X5="","",'M2 Allocations - TD'!X31)</f>
        <v>377438.47759872582</v>
      </c>
      <c r="Z27" s="22">
        <f>IF('M2 Allocations - TD'!Y5="","",'M2 Allocations - TD'!Y31)</f>
        <v>565267.94576951256</v>
      </c>
      <c r="AA27" s="22">
        <f>IF('M2 Allocations - TD'!Z5="","",'M2 Allocations - TD'!Z31)</f>
        <v>607215.02747681318</v>
      </c>
      <c r="AB27" s="22">
        <f>IF('M2 Allocations - TD'!AA5="","",'M2 Allocations - TD'!AA31)</f>
        <v>515316.53827609093</v>
      </c>
      <c r="AC27" s="22">
        <f>IF('M2 Allocations - TD'!AB5="","",'M2 Allocations - TD'!AB31)</f>
        <v>473150.50916160172</v>
      </c>
      <c r="AD27" s="22">
        <f>IF('M2 Allocations - TD'!AC5="","",'M2 Allocations - TD'!AC31)</f>
        <v>270731.77958850004</v>
      </c>
      <c r="AE27" s="22">
        <f>IF('M2 Allocations - TD'!AD5="","",'M2 Allocations - TD'!AD31)</f>
        <v>491596.14834248205</v>
      </c>
      <c r="AF27" s="22">
        <f>IF('M2 Allocations - TD'!AE5="","",'M2 Allocations - TD'!AE31)</f>
        <v>2024956.6659391024</v>
      </c>
      <c r="AG27" s="22">
        <f>IF('M2 Allocations - TD'!AF5="","",'M2 Allocations - TD'!AF31)</f>
        <v>2753783.435947692</v>
      </c>
      <c r="AH27" s="22">
        <f>IF('M2 Allocations - TD'!AG5="","",'M2 Allocations - TD'!AG31)</f>
        <v>2655187.2707727067</v>
      </c>
      <c r="AI27" s="22">
        <f>IF('M2 Allocations - TD'!AH5="","",'M2 Allocations - TD'!AH31)</f>
        <v>1585670.784126644</v>
      </c>
      <c r="AJ27" s="22">
        <f>IF('M2 Allocations - TD'!AI5="","",'M2 Allocations - TD'!AI31)</f>
        <v>556118.7299202627</v>
      </c>
      <c r="AK27" s="22">
        <f>IF('M2 Allocations - TD'!AJ5="","",'M2 Allocations - TD'!AJ31)</f>
        <v>513458.06050710165</v>
      </c>
      <c r="AL27" s="22">
        <f>IF('M2 Allocations - TD'!AK5="","",'M2 Allocations - TD'!AK31)</f>
        <v>702799.89768350183</v>
      </c>
      <c r="AM27" s="22">
        <f>IF('M2 Allocations - TD'!AL5="","",'M2 Allocations - TD'!AL31)</f>
        <v>705267.00941836974</v>
      </c>
      <c r="AN27" s="22">
        <f>IF('M2 Allocations - TD'!AM5="","",'M2 Allocations - TD'!AM31)</f>
        <v>626813.61963691877</v>
      </c>
      <c r="AO27" s="22">
        <f>IF('M2 Allocations - TD'!AN5="","",'M2 Allocations - TD'!AN31)</f>
        <v>733376.44916449382</v>
      </c>
      <c r="AP27" s="22">
        <f>IF('M2 Allocations - TD'!AO5="","",'M2 Allocations - TD'!AO31)</f>
        <v>579952.0325992658</v>
      </c>
      <c r="AQ27" s="22">
        <f>IF('M2 Allocations - TD'!AP5="","",'M2 Allocations - TD'!AP31)</f>
        <v>371011.49182013981</v>
      </c>
      <c r="AR27" s="22">
        <f>IF('M2 Allocations - TD'!AQ5="","",'M2 Allocations - TD'!AQ31)</f>
        <v>2723256.6958003566</v>
      </c>
      <c r="AS27" s="22">
        <f>IF('M2 Allocations - TD'!AR5="","",'M2 Allocations - TD'!AR31)</f>
        <v>3090240.1159956334</v>
      </c>
      <c r="AT27" s="22">
        <f>IF('M2 Allocations - TD'!AS5="","",'M2 Allocations - TD'!AS31)</f>
        <v>3319235.3330920129</v>
      </c>
      <c r="AU27" s="22">
        <f>IF('M2 Allocations - TD'!AT5="","",'M2 Allocations - TD'!AT31)</f>
        <v>1872423.9163418177</v>
      </c>
      <c r="AV27" s="22">
        <f>IF('M2 Allocations - TD'!AU5="","",'M2 Allocations - TD'!AU31)</f>
        <v>468639.40013933519</v>
      </c>
      <c r="AW27" s="22">
        <f>IF('M2 Allocations - TD'!AV5="","",'M2 Allocations - TD'!AV31)</f>
        <v>573430.06293424976</v>
      </c>
      <c r="AX27" s="22">
        <f>IF('M2 Allocations - TD'!AW5="","",'M2 Allocations - TD'!AW31)</f>
        <v>729001.68500178226</v>
      </c>
      <c r="AY27" s="22">
        <f>IF('M2 Allocations - TD'!AX5="","",'M2 Allocations - TD'!AX31)</f>
        <v>731448.99925192562</v>
      </c>
      <c r="AZ27" s="22">
        <f>IF('M2 Allocations - TD'!AY5="","",'M2 Allocations - TD'!AY31)</f>
        <v>-1101511.7645830091</v>
      </c>
      <c r="BA27" s="22">
        <f>IF('M2 Allocations - TD'!AZ5="","",'M2 Allocations - TD'!AZ31)</f>
        <v>502297.9307248104</v>
      </c>
      <c r="BB27" s="22">
        <f>IF('M2 Allocations - TD'!BA5="","",'M2 Allocations - TD'!BA31)</f>
        <v>0</v>
      </c>
      <c r="BC27" s="22">
        <f>IF('M2 Allocations - TD'!BB5="","",'M2 Allocations - TD'!BB31)</f>
        <v>-1201.9391278357582</v>
      </c>
      <c r="BD27" s="22">
        <f>IF('M2 Allocations - TD'!BC5="","",'M2 Allocations - TD'!BC31)</f>
        <v>0</v>
      </c>
      <c r="BE27" s="22">
        <f>IF('M2 Allocations - TD'!BD5="","",'M2 Allocations - TD'!BD31)</f>
        <v>0</v>
      </c>
      <c r="BF27" s="22">
        <f>IF('M2 Allocations - TD'!BE5="","",'M2 Allocations - TD'!BE31)</f>
        <v>0</v>
      </c>
      <c r="BG27" s="22">
        <f>IF('M2 Allocations - TD'!BF5="","",'M2 Allocations - TD'!BF31)</f>
        <v>0</v>
      </c>
      <c r="BH27" s="22">
        <f>IF('M2 Allocations - TD'!BG5="","",'M2 Allocations - TD'!BG31)</f>
        <v>0</v>
      </c>
      <c r="BI27" s="22">
        <f>IF('M2 Allocations - TD'!BH5="","",'M2 Allocations - TD'!BH31)</f>
        <v>0</v>
      </c>
      <c r="BJ27" s="22">
        <f>IF('M2 Allocations - TD'!BI5="","",'M2 Allocations - TD'!BI31)</f>
        <v>0</v>
      </c>
      <c r="BK27" s="22">
        <f>IF('M2 Allocations - TD'!BJ5="","",'M2 Allocations - TD'!BJ31)</f>
        <v>0</v>
      </c>
      <c r="BL27" s="22">
        <f>IF('M2 Allocations - TD'!BK5="","",'M2 Allocations - TD'!BK31)</f>
        <v>0</v>
      </c>
      <c r="BM27" s="22">
        <f>IF('M2 Allocations - TD'!BL5="","",'M2 Allocations - TD'!BL31)</f>
        <v>0</v>
      </c>
      <c r="BN27" s="22">
        <f>IF('M2 Allocations - TD'!BM5="","",'M2 Allocations - TD'!BM31)</f>
        <v>0</v>
      </c>
      <c r="BO27" s="22">
        <f>IF('M2 Allocations - TD'!BN5="","",'M2 Allocations - TD'!BN31)</f>
        <v>0</v>
      </c>
      <c r="BP27" s="22">
        <f>IF('M2 Allocations - TD'!BO5="","",'M2 Allocations - TD'!BO31)</f>
        <v>0</v>
      </c>
      <c r="BQ27" s="22">
        <f>IF('M2 Allocations - TD'!BP5="","",'M2 Allocations - TD'!BP31)</f>
        <v>0</v>
      </c>
      <c r="BR27" s="22">
        <f>IF('M2 Allocations - TD'!BQ5="","",'M2 Allocations - TD'!BQ31)</f>
        <v>0</v>
      </c>
      <c r="BS27" s="22">
        <f>IF('M2 Allocations - TD'!BR5="","",'M2 Allocations - TD'!BR31)</f>
        <v>0</v>
      </c>
      <c r="BT27" s="22">
        <f>IF('M2 Allocations - TD'!BS5="","",'M2 Allocations - TD'!BS31)</f>
        <v>0</v>
      </c>
      <c r="BU27" s="22">
        <f>IF('M2 Allocations - TD'!BT5="","",'M2 Allocations - TD'!BT31)</f>
        <v>0</v>
      </c>
      <c r="BV27" s="22">
        <f>IF('M2 Allocations - TD'!BU5="","",'M2 Allocations - TD'!BU31)</f>
        <v>0</v>
      </c>
      <c r="BW27" s="22">
        <f>IF('M2 Allocations - TD'!BV5="","",'M2 Allocations - TD'!BV31)</f>
        <v>0</v>
      </c>
      <c r="BX27" s="22">
        <f>IF('M2 Allocations - TD'!BW5="","",'M2 Allocations - TD'!BW31)</f>
        <v>0</v>
      </c>
      <c r="BY27" s="22">
        <f>IF('M2 Allocations - TD'!BX5="","",'M2 Allocations - TD'!BX31)</f>
        <v>0</v>
      </c>
      <c r="BZ27" s="22">
        <f>IF('M2 Allocations - TD'!BY5="","",'M2 Allocations - TD'!BY31)</f>
        <v>0</v>
      </c>
      <c r="CA27" s="22">
        <f>IF('M2 Allocations - TD'!BZ5="","",'M2 Allocations - TD'!BZ31)</f>
        <v>0</v>
      </c>
      <c r="CB27" s="22">
        <f>IF('M2 Allocations - TD'!CA5="","",'M2 Allocations - TD'!CA31)</f>
        <v>0</v>
      </c>
      <c r="CC27" s="22">
        <f>IF('M2 Allocations - TD'!CB5="","",'M2 Allocations - TD'!CB31)</f>
        <v>0</v>
      </c>
      <c r="CD27" s="22">
        <f>IF('M2 Allocations - TD'!CC5="","",'M2 Allocations - TD'!CC31)</f>
        <v>0</v>
      </c>
      <c r="CE27" s="22">
        <f>IF('M2 Allocations - TD'!CD5="","",'M2 Allocations - TD'!CD31)</f>
        <v>0</v>
      </c>
      <c r="CF27" s="22">
        <f>IF('M2 Allocations - TD'!CE5="","",'M2 Allocations - TD'!CE31)</f>
        <v>0</v>
      </c>
      <c r="CG27" s="22">
        <f>IF('M2 Allocations - TD'!CF5="","",'M2 Allocations - TD'!CF31)</f>
        <v>0</v>
      </c>
      <c r="CH27" s="22">
        <f>IF('M2 Allocations - TD'!CG5="","",'M2 Allocations - TD'!CG31)</f>
        <v>0</v>
      </c>
      <c r="CI27" s="22">
        <f>IF('M2 Allocations - TD'!CH5="","",'M2 Allocations - TD'!CH31)</f>
        <v>0</v>
      </c>
    </row>
    <row r="28" spans="1:87" s="5" customFormat="1" ht="15" hidden="1" customHeight="1" outlineLevel="1" x14ac:dyDescent="0.35">
      <c r="A28" s="274"/>
      <c r="B28" s="18" t="s">
        <v>26</v>
      </c>
      <c r="C28" s="26"/>
      <c r="D28" s="26"/>
      <c r="E28" s="24">
        <v>0</v>
      </c>
      <c r="F28" s="24">
        <v>0</v>
      </c>
      <c r="G28" s="24">
        <v>12454.76</v>
      </c>
      <c r="H28" s="24">
        <v>191642.45</v>
      </c>
      <c r="I28" s="24">
        <v>257925.06</v>
      </c>
      <c r="J28" s="24">
        <v>258848.42</v>
      </c>
      <c r="K28" s="24">
        <v>234125.18</v>
      </c>
      <c r="L28" s="24">
        <v>166948.49</v>
      </c>
      <c r="M28" s="24">
        <v>136842.14000000001</v>
      </c>
      <c r="N28" s="24">
        <v>210493.55</v>
      </c>
      <c r="O28" s="24">
        <v>406285.42</v>
      </c>
      <c r="P28" s="24">
        <f>1370046.97-157.19</f>
        <v>1369889.78</v>
      </c>
      <c r="Q28" s="24">
        <f>1103156-126.94</f>
        <v>1103029.06</v>
      </c>
      <c r="R28" s="22">
        <f>IF('M2 Allocations - TD'!Q50="","",'M2 Allocations - TD'!Q68)</f>
        <v>983976.8055998187</v>
      </c>
      <c r="S28" s="22">
        <f>IF('M2 Allocations - TD'!R50="","",'M2 Allocations - TD'!R68)</f>
        <v>936126.67058040295</v>
      </c>
      <c r="T28" s="22">
        <f>IF('M2 Allocations - TD'!S50="","",'M2 Allocations - TD'!S68)</f>
        <v>1254886.244789884</v>
      </c>
      <c r="U28" s="22">
        <f>IF('M2 Allocations - TD'!T50="","",'M2 Allocations - TD'!T68)</f>
        <v>1666724.2213379955</v>
      </c>
      <c r="V28" s="22">
        <f>IF('M2 Allocations - TD'!U50="","",'M2 Allocations - TD'!U68)</f>
        <v>1687867.967739454</v>
      </c>
      <c r="W28" s="22">
        <f>IF('M2 Allocations - TD'!V50="","",'M2 Allocations - TD'!V68)</f>
        <v>1336984.8118306769</v>
      </c>
      <c r="X28" s="22">
        <f>IF('M2 Allocations - TD'!W50="","",'M2 Allocations - TD'!W68)</f>
        <v>1174985.3507627479</v>
      </c>
      <c r="Y28" s="22">
        <f>IF('M2 Allocations - TD'!X50="","",'M2 Allocations - TD'!X68)</f>
        <v>1029531.6444714632</v>
      </c>
      <c r="Z28" s="22">
        <f>IF('M2 Allocations - TD'!Y50="","",'M2 Allocations - TD'!Y68)</f>
        <v>1326453.2350570641</v>
      </c>
      <c r="AA28" s="22">
        <f>IF('M2 Allocations - TD'!Z50="","",'M2 Allocations - TD'!Z68)</f>
        <v>2030661.7411402338</v>
      </c>
      <c r="AB28" s="22">
        <f>IF('M2 Allocations - TD'!AA50="","",'M2 Allocations - TD'!AA68)</f>
        <v>1388250.35</v>
      </c>
      <c r="AC28" s="22">
        <f>IF('M2 Allocations - TD'!AB50="","",'M2 Allocations - TD'!AB68)</f>
        <v>1120654.6531242458</v>
      </c>
      <c r="AD28" s="22">
        <f>IF('M2 Allocations - TD'!AC50="","",'M2 Allocations - TD'!AC68)</f>
        <v>1082451.6725849968</v>
      </c>
      <c r="AE28" s="22">
        <f>IF('M2 Allocations - TD'!AD50="","",'M2 Allocations - TD'!AD68)</f>
        <v>880251.85351460415</v>
      </c>
      <c r="AF28" s="22">
        <f>IF('M2 Allocations - TD'!AE50="","",'M2 Allocations - TD'!AE68)</f>
        <v>1301284.1891339927</v>
      </c>
      <c r="AG28" s="22">
        <f>IF('M2 Allocations - TD'!AF50="","",'M2 Allocations - TD'!AF68)</f>
        <v>1524704.8572049867</v>
      </c>
      <c r="AH28" s="22">
        <f>IF('M2 Allocations - TD'!AG50="","",'M2 Allocations - TD'!AG68)</f>
        <v>1366723.6950669868</v>
      </c>
      <c r="AI28" s="22">
        <f>IF('M2 Allocations - TD'!AH50="","",'M2 Allocations - TD'!AH68)</f>
        <v>1314605.108458352</v>
      </c>
      <c r="AJ28" s="22">
        <f>IF('M2 Allocations - TD'!AI50="","",'M2 Allocations - TD'!AI68)</f>
        <v>1020432.9529194708</v>
      </c>
      <c r="AK28" s="22">
        <f>IF('M2 Allocations - TD'!AJ50="","",'M2 Allocations - TD'!AJ68)</f>
        <v>950195.40735321853</v>
      </c>
      <c r="AL28" s="22">
        <f>IF('M2 Allocations - TD'!AK50="","",'M2 Allocations - TD'!AK68)</f>
        <v>1320371.9817385538</v>
      </c>
      <c r="AM28" s="22">
        <f>IF('M2 Allocations - TD'!AL50="","",'M2 Allocations - TD'!AL68)</f>
        <v>1462433.5546846255</v>
      </c>
      <c r="AN28" s="22">
        <f>IF('M2 Allocations - TD'!AM50="","",'M2 Allocations - TD'!AM68)</f>
        <v>1529137.4028414818</v>
      </c>
      <c r="AO28" s="22">
        <f>IF('M2 Allocations - TD'!AN50="","",'M2 Allocations - TD'!AN68)</f>
        <v>1378360.7270812315</v>
      </c>
      <c r="AP28" s="22">
        <f>IF('M2 Allocations - TD'!AO50="","",'M2 Allocations - TD'!AO68)</f>
        <v>951160.98963883938</v>
      </c>
      <c r="AQ28" s="22">
        <f>IF('M2 Allocations - TD'!AP50="","",'M2 Allocations - TD'!AP68)</f>
        <v>807723.67786616471</v>
      </c>
      <c r="AR28" s="22">
        <f>IF('M2 Allocations - TD'!AQ50="","",'M2 Allocations - TD'!AQ68)</f>
        <v>1071830.4459348798</v>
      </c>
      <c r="AS28" s="22">
        <f>IF('M2 Allocations - TD'!AR50="","",'M2 Allocations - TD'!AR68)</f>
        <v>1361027.792333117</v>
      </c>
      <c r="AT28" s="22">
        <f>IF('M2 Allocations - TD'!AS50="","",'M2 Allocations - TD'!AS68)</f>
        <v>1432733.48651519</v>
      </c>
      <c r="AU28" s="22">
        <f>IF('M2 Allocations - TD'!AT50="","",'M2 Allocations - TD'!AT68)</f>
        <v>1322179.2642833882</v>
      </c>
      <c r="AV28" s="22">
        <f>IF('M2 Allocations - TD'!AU50="","",'M2 Allocations - TD'!AU68)</f>
        <v>1087865.4265500808</v>
      </c>
      <c r="AW28" s="22">
        <f>IF('M2 Allocations - TD'!AV50="","",'M2 Allocations - TD'!AV68)</f>
        <v>979499.93887924904</v>
      </c>
      <c r="AX28" s="22">
        <f>IF('M2 Allocations - TD'!AW50="","",'M2 Allocations - TD'!AW68)</f>
        <v>1315854.6359199637</v>
      </c>
      <c r="AY28" s="22">
        <f>IF('M2 Allocations - TD'!AX50="","",'M2 Allocations - TD'!AX68)</f>
        <v>1452342.8430098211</v>
      </c>
      <c r="AZ28" s="22">
        <f>IF('M2 Allocations - TD'!AY50="","",'M2 Allocations - TD'!AY68)</f>
        <v>852786.52127385803</v>
      </c>
      <c r="BA28" s="22">
        <f>IF('M2 Allocations - TD'!AZ50="","",'M2 Allocations - TD'!AZ68)</f>
        <v>125873.38282544476</v>
      </c>
      <c r="BB28" s="22">
        <f>IF('M2 Allocations - TD'!BA50="","",'M2 Allocations - TD'!BA68)</f>
        <v>94402.787188311384</v>
      </c>
      <c r="BC28" s="22">
        <f>IF('M2 Allocations - TD'!BB50="","",'M2 Allocations - TD'!BB68)</f>
        <v>84175.513069788271</v>
      </c>
      <c r="BD28" s="22">
        <f>IF('M2 Allocations - TD'!BC50="","",'M2 Allocations - TD'!BC68)</f>
        <v>111088.05405709325</v>
      </c>
      <c r="BE28" s="22">
        <f>IF('M2 Allocations - TD'!BD50="","",'M2 Allocations - TD'!BD68)</f>
        <v>148912.4914773225</v>
      </c>
      <c r="BF28" s="22">
        <f>IF('M2 Allocations - TD'!BE50="","",'M2 Allocations - TD'!BE68)</f>
        <v>139614.44094102815</v>
      </c>
      <c r="BG28" s="22">
        <f>IF('M2 Allocations - TD'!BF50="","",'M2 Allocations - TD'!BF68)</f>
        <v>125976.71022904465</v>
      </c>
      <c r="BH28" s="22">
        <f>IF('M2 Allocations - TD'!BG50="","",'M2 Allocations - TD'!BG68)</f>
        <v>85433.845861912778</v>
      </c>
      <c r="BI28" s="22">
        <f>IF('M2 Allocations - TD'!BH50="","",'M2 Allocations - TD'!BH68)</f>
        <v>91258.917890257697</v>
      </c>
      <c r="BJ28" s="22">
        <f>IF('M2 Allocations - TD'!BI50="","",'M2 Allocations - TD'!BI68)</f>
        <v>120857.06275512144</v>
      </c>
      <c r="BK28" s="22">
        <f>IF('M2 Allocations - TD'!BJ50="","",'M2 Allocations - TD'!BJ68)</f>
        <v>157131.76386056477</v>
      </c>
      <c r="BL28" s="22">
        <f>IF('M2 Allocations - TD'!BK50="","",'M2 Allocations - TD'!BK68)</f>
        <v>-115197.03218943029</v>
      </c>
      <c r="BM28" s="22">
        <f>IF('M2 Allocations - TD'!BL50="","",'M2 Allocations - TD'!BL68)</f>
        <v>-330846.44785598782</v>
      </c>
      <c r="BN28" s="22">
        <f>IF('M2 Allocations - TD'!BM50="","",'M2 Allocations - TD'!BM68)</f>
        <v>-223865.36362995688</v>
      </c>
      <c r="BO28" s="22">
        <f>IF('M2 Allocations - TD'!BN50="","",'M2 Allocations - TD'!BN68)</f>
        <v>-210176.78057078717</v>
      </c>
      <c r="BP28" s="22">
        <f>IF('M2 Allocations - TD'!BO50="","",'M2 Allocations - TD'!BO68)</f>
        <v>-274664.86631310626</v>
      </c>
      <c r="BQ28" s="22">
        <f>IF('M2 Allocations - TD'!BP50="","",'M2 Allocations - TD'!BP68)</f>
        <v>-362529.15554440091</v>
      </c>
      <c r="BR28" s="22">
        <f>IF('M2 Allocations - TD'!BQ50="","",'M2 Allocations - TD'!BQ68)</f>
        <v>-369792.94310600177</v>
      </c>
      <c r="BS28" s="22">
        <f>IF('M2 Allocations - TD'!BR50="","",'M2 Allocations - TD'!BR68)</f>
        <v>-363385.55298456381</v>
      </c>
      <c r="BT28" s="22">
        <f>IF('M2 Allocations - TD'!BS50="","",'M2 Allocations - TD'!BS68)</f>
        <v>-252118.8064792598</v>
      </c>
      <c r="BU28" s="22">
        <f>IF('M2 Allocations - TD'!BT50="","",'M2 Allocations - TD'!BT68)</f>
        <v>-236659.87723249063</v>
      </c>
      <c r="BV28" s="22">
        <f>IF('M2 Allocations - TD'!BU50="","",'M2 Allocations - TD'!BU68)</f>
        <v>-296177.30566513271</v>
      </c>
      <c r="BW28" s="22">
        <f>IF('M2 Allocations - TD'!BV50="","",'M2 Allocations - TD'!BV68)</f>
        <v>-381804.14898688439</v>
      </c>
      <c r="BX28" s="22">
        <f>IF('M2 Allocations - TD'!BW50="","",'M2 Allocations - TD'!BW68)</f>
        <v>-246708.5763060193</v>
      </c>
      <c r="BY28" s="22">
        <f>IF('M2 Allocations - TD'!BX50="","",'M2 Allocations - TD'!BX68)</f>
        <v>-14067.704131906468</v>
      </c>
      <c r="BZ28" s="22">
        <f>IF('M2 Allocations - TD'!BY50="","",'M2 Allocations - TD'!BY68)</f>
        <v>-8075.3701007850805</v>
      </c>
      <c r="CA28" s="22">
        <f>IF('M2 Allocations - TD'!BZ50="","",'M2 Allocations - TD'!BZ68)</f>
        <v>-8069.5010685150701</v>
      </c>
      <c r="CB28" s="22">
        <f>IF('M2 Allocations - TD'!CA50="","",'M2 Allocations - TD'!CA68)</f>
        <v>-10523.960092720119</v>
      </c>
      <c r="CC28" s="22">
        <f>IF('M2 Allocations - TD'!CB50="","",'M2 Allocations - TD'!CB68)</f>
        <v>-14468.941204805698</v>
      </c>
      <c r="CD28" s="22">
        <f>IF('M2 Allocations - TD'!CC50="","",'M2 Allocations - TD'!CC68)</f>
        <v>-13654.530108070918</v>
      </c>
      <c r="CE28" s="22">
        <f>IF('M2 Allocations - TD'!CD50="","",'M2 Allocations - TD'!CD68)</f>
        <v>-11445.528735503302</v>
      </c>
      <c r="CF28" s="22">
        <f>IF('M2 Allocations - TD'!CE50="","",'M2 Allocations - TD'!CE68)</f>
        <v>-8161.2905921701886</v>
      </c>
      <c r="CG28" s="22">
        <f>IF('M2 Allocations - TD'!CF50="","",'M2 Allocations - TD'!CF68)</f>
        <v>-8069.8126067853509</v>
      </c>
      <c r="CH28" s="22">
        <f>IF('M2 Allocations - TD'!CG50="","",'M2 Allocations - TD'!CG68)</f>
        <v>-11562.794733164532</v>
      </c>
      <c r="CI28" s="22">
        <f>IF('M2 Allocations - TD'!CH50="","",'M2 Allocations - TD'!CH68)</f>
        <v>-14274.604225665193</v>
      </c>
    </row>
    <row r="29" spans="1:87" s="5" customFormat="1" ht="15" hidden="1" customHeight="1" outlineLevel="1" x14ac:dyDescent="0.35">
      <c r="A29" s="274"/>
      <c r="B29" s="18" t="s">
        <v>51</v>
      </c>
      <c r="C29" s="26"/>
      <c r="D29" s="26"/>
      <c r="E29" s="24"/>
      <c r="F29" s="24"/>
      <c r="G29" s="24"/>
      <c r="H29" s="24"/>
      <c r="I29" s="24"/>
      <c r="J29" s="24"/>
      <c r="K29" s="24"/>
      <c r="L29" s="24"/>
      <c r="M29" s="24"/>
      <c r="N29" s="24"/>
      <c r="O29" s="24">
        <f>+'M2 TD amort'!C8</f>
        <v>0</v>
      </c>
      <c r="P29" s="24">
        <f>IF(P28="","",-'M2 TD amort'!D8)</f>
        <v>-711911.22</v>
      </c>
      <c r="Q29" s="24">
        <f>IF(Q28="","",-'M2 TD amort'!E8)</f>
        <v>-573227.69999999995</v>
      </c>
      <c r="R29" s="22">
        <f>IF(R28="","",-'M2 TD amort'!F8)</f>
        <v>-501096.29</v>
      </c>
      <c r="S29" s="22">
        <f>IF(S28="","",-'M2 TD amort'!G8)</f>
        <v>-477583.74</v>
      </c>
      <c r="T29" s="22">
        <f>IF(T28="","",-'M2 TD amort'!H8)</f>
        <v>-641985.30000000005</v>
      </c>
      <c r="U29" s="22">
        <f>IF(U28="","",-'M2 TD amort'!I8)</f>
        <v>-854211.51</v>
      </c>
      <c r="V29" s="22">
        <f>IF(V28="","",-'M2 TD amort'!J8)</f>
        <v>-864751.39</v>
      </c>
      <c r="W29" s="22">
        <f>IF(W28="","",-'M2 TD amort'!K8)</f>
        <v>-683761.31</v>
      </c>
      <c r="X29" s="22">
        <f>IF(X28="","",-'M2 TD amort'!L8)</f>
        <v>-600310.41</v>
      </c>
      <c r="Y29" s="22">
        <f>IF(Y28="","",-'M2 TD amort'!M8)</f>
        <v>-524179.13</v>
      </c>
      <c r="Z29" s="22">
        <f>IF(Z28="","",-'M2 TD amort'!N8)</f>
        <v>-675963.66</v>
      </c>
      <c r="AA29" s="22">
        <f>IF(AA28="","",-'M2 TD amort'!O8)</f>
        <v>-1036876.86</v>
      </c>
      <c r="AB29" s="22">
        <f>IF(AB28="","",-'M2 TD amort'!P8)</f>
        <v>46701.32</v>
      </c>
      <c r="AC29" s="22">
        <f>IF(AC28="","",-'M2 TD amort'!Q8)</f>
        <v>37642.160000000003</v>
      </c>
      <c r="AD29" s="22">
        <f>IF(AD28="","",-'M2 TD amort'!R8)</f>
        <v>36342.15</v>
      </c>
      <c r="AE29" s="22">
        <f>IF(AE28="","",-'M2 TD amort'!S8)</f>
        <v>29599.11</v>
      </c>
      <c r="AF29" s="22">
        <f>IF(AF28="","",-'M2 TD amort'!T8)</f>
        <v>43963.199999999997</v>
      </c>
      <c r="AG29" s="22">
        <f>IF(AG28="","",-'M2 TD amort'!U8)</f>
        <v>51549.48</v>
      </c>
      <c r="AH29" s="22">
        <f>IF(AH28="","",-'M2 TD amort'!V8)</f>
        <v>46197.58</v>
      </c>
      <c r="AI29" s="22">
        <f>IF(AI28="","",-'M2 TD amort'!W8)</f>
        <v>44433.38</v>
      </c>
      <c r="AJ29" s="22">
        <f>IF(AJ28="","",-'M2 TD amort'!X8)</f>
        <v>34383.949999999997</v>
      </c>
      <c r="AK29" s="22">
        <f>IF(AK28="","",-'M2 TD amort'!Y8)</f>
        <v>31905.63</v>
      </c>
      <c r="AL29" s="22">
        <f>IF(AL28="","",-'M2 TD amort'!Z8)</f>
        <v>44394.77</v>
      </c>
      <c r="AM29" s="22">
        <f>IF(AM28="","",-'M2 TD amort'!AA8)</f>
        <v>49232.21</v>
      </c>
      <c r="AN29" s="22">
        <f>IF(AN28="","",-'M2 TD amort'!AB8)</f>
        <v>216071.84</v>
      </c>
      <c r="AO29" s="22">
        <f>IF(AO28="","",-'M2 TD amort'!AC8)</f>
        <v>194591.59</v>
      </c>
      <c r="AP29" s="22">
        <f>IF(AP28="","",-'M2 TD amort'!AD8)</f>
        <v>134071.35999999999</v>
      </c>
      <c r="AQ29" s="22">
        <f>IF(AQ28="","",-'M2 TD amort'!AE8)</f>
        <v>113984.64</v>
      </c>
      <c r="AR29" s="22">
        <f>IF(AR28="","",-'M2 TD amort'!AF8)</f>
        <v>151800.88</v>
      </c>
      <c r="AS29" s="22">
        <f>IF(AS28="","",-'M2 TD amort'!AG8)</f>
        <v>193122.18</v>
      </c>
      <c r="AT29" s="22">
        <f>IF(AT28="","",-'M2 TD amort'!AH8)</f>
        <v>203284.46</v>
      </c>
      <c r="AU29" s="22">
        <f>IF(AU28="","",-'M2 TD amort'!AI8)</f>
        <v>187531.79</v>
      </c>
      <c r="AV29" s="22">
        <f>IF(AV28="","",-'M2 TD amort'!AJ8)</f>
        <v>154102.16</v>
      </c>
      <c r="AW29" s="22">
        <f>IF(AW28="","",-'M2 TD amort'!AK8)</f>
        <v>138255.22</v>
      </c>
      <c r="AX29" s="22">
        <f>IF(AX28="","",-'M2 TD amort'!AL8)</f>
        <v>186023.43</v>
      </c>
      <c r="AY29" s="22">
        <f>IF(AY28="","",-'M2 TD amort'!AM8)</f>
        <v>205426.33</v>
      </c>
      <c r="AZ29" s="22">
        <f>IF(AZ28="","",-'M2 TD amort'!AN8)</f>
        <v>594409.85</v>
      </c>
      <c r="BA29" s="22">
        <f>IF(BA28="","",-'M2 TD amort'!AO8)</f>
        <v>87726.16</v>
      </c>
      <c r="BB29" s="22">
        <f>IF(BB28="","",-'M2 TD amort'!AP8)</f>
        <v>65829.27</v>
      </c>
      <c r="BC29" s="22">
        <f>IF(BC28="","",-'M2 TD amort'!AQ8)</f>
        <v>58757.52</v>
      </c>
      <c r="BD29" s="22">
        <f>IF(BD28="","",-'M2 TD amort'!AR8)</f>
        <v>77792.009999999995</v>
      </c>
      <c r="BE29" s="22">
        <f>IF(BE28="","",-'M2 TD amort'!AS8)</f>
        <v>104447.8</v>
      </c>
      <c r="BF29" s="22">
        <f>IF(BF28="","",-'M2 TD amort'!AT8)</f>
        <v>97903.88</v>
      </c>
      <c r="BG29" s="22">
        <f>IF(BG28="","",-'M2 TD amort'!AU8)</f>
        <v>88306.68</v>
      </c>
      <c r="BH29" s="22">
        <f>IF(BH28="","",-'M2 TD amort'!AV8)</f>
        <v>59672.800000000003</v>
      </c>
      <c r="BI29" s="22">
        <f>IF(BI28="","",-'M2 TD amort'!AW8)</f>
        <v>63668.09</v>
      </c>
      <c r="BJ29" s="22">
        <f>IF(BJ28="","",-'M2 TD amort'!AX8)</f>
        <v>84398.080000000002</v>
      </c>
      <c r="BK29" s="22">
        <f>IF(BK28="","",-'M2 TD amort'!AY8)</f>
        <v>109860.73</v>
      </c>
      <c r="BL29" s="22">
        <f>IF(BL28="","",-'M2 TD amort'!AZ8)</f>
        <v>113458.01</v>
      </c>
      <c r="BM29" s="22">
        <f>IF(BM28="","",-'M2 TD amort'!BA8)</f>
        <v>325175.89</v>
      </c>
      <c r="BN29" s="22">
        <f>IF(BN28="","",-'M2 TD amort'!BB8)</f>
        <v>219552.89</v>
      </c>
      <c r="BO29" s="22">
        <f>IF(BO28="","",-'M2 TD amort'!BC8)</f>
        <v>206267.22</v>
      </c>
      <c r="BP29" s="22">
        <f>IF(BP28="","",-'M2 TD amort'!BD8)</f>
        <v>270595.87</v>
      </c>
      <c r="BQ29" s="22">
        <f>IF(BQ28="","",-'M2 TD amort'!BE8)</f>
        <v>357386.66</v>
      </c>
      <c r="BR29" s="22">
        <f>IF(BR28="","",-'M2 TD amort'!BF8)</f>
        <v>364675.44</v>
      </c>
      <c r="BS29" s="22">
        <f>IF(BS28="","",-'M2 TD amort'!BG8)</f>
        <v>358208.47</v>
      </c>
      <c r="BT29" s="22">
        <f>IF(BT28="","",-'M2 TD amort'!BH8)</f>
        <v>248050.58</v>
      </c>
      <c r="BU29" s="22">
        <f>IF(BU28="","",-'M2 TD amort'!BI8)</f>
        <v>232427.07</v>
      </c>
      <c r="BV29" s="22">
        <f>IF(BV28="","",-'M2 TD amort'!BJ8)</f>
        <v>290836.61</v>
      </c>
      <c r="BW29" s="22">
        <f>IF(BW28="","",-'M2 TD amort'!BK8)</f>
        <v>375935.37</v>
      </c>
      <c r="BX29" s="22">
        <f>IF(BX28="","",-'M2 TD amort'!BL8)</f>
        <v>242680.23</v>
      </c>
      <c r="BY29" s="22">
        <f>IF(BY28="","",-'M2 TD amort'!BM8)</f>
        <v>13830.45</v>
      </c>
      <c r="BZ29" s="22">
        <f>IF(BZ28="","",-'M2 TD amort'!BN8)</f>
        <v>7909.14</v>
      </c>
      <c r="CA29" s="22">
        <f>IF(CA28="","",-'M2 TD amort'!BO8)</f>
        <v>7927.25</v>
      </c>
      <c r="CB29" s="22">
        <f>IF(CB28="","",-'M2 TD amort'!BP8)</f>
        <v>10364.700000000001</v>
      </c>
      <c r="CC29" s="22">
        <f>IF(CC28="","",-'M2 TD amort'!BQ8)</f>
        <v>14271.87</v>
      </c>
      <c r="CD29" s="22">
        <f>IF(CD28="","",-'M2 TD amort'!BR8)</f>
        <v>13453.18</v>
      </c>
      <c r="CE29" s="22">
        <f>IF(CE28="","",-'M2 TD amort'!BS8)</f>
        <v>11260.05</v>
      </c>
      <c r="CF29" s="22">
        <f>IF(CF28="","",-'M2 TD amort'!BT8)</f>
        <v>8003.94</v>
      </c>
      <c r="CG29" s="22">
        <f>IF(CG28="","",-'M2 TD amort'!BU8)</f>
        <v>7859.88</v>
      </c>
      <c r="CH29" s="22">
        <f>IF(CH28="","",-'M2 TD amort'!BV8)</f>
        <v>11296.62</v>
      </c>
      <c r="CI29" s="22">
        <f>IF(CI28="","",-'M2 TD amort'!BW8)</f>
        <v>13965.15</v>
      </c>
    </row>
    <row r="30" spans="1:87" s="5" customFormat="1" ht="15" hidden="1" customHeight="1" outlineLevel="1" x14ac:dyDescent="0.35">
      <c r="A30" s="274"/>
      <c r="B30" s="18" t="s">
        <v>52</v>
      </c>
      <c r="C30" s="26"/>
      <c r="D30" s="26"/>
      <c r="E30" s="9"/>
      <c r="F30" s="9"/>
      <c r="G30" s="9"/>
      <c r="H30" s="9"/>
      <c r="I30" s="9"/>
      <c r="J30" s="9"/>
      <c r="K30" s="9"/>
      <c r="L30" s="9"/>
      <c r="M30" s="9"/>
      <c r="N30" s="9"/>
      <c r="O30" s="9">
        <f>IF(OR(O29="",O28=""),"",O28+O29)</f>
        <v>406285.42</v>
      </c>
      <c r="P30" s="9">
        <f>IF(OR(P29="",P28=""),"",P28+P29)</f>
        <v>657978.56000000006</v>
      </c>
      <c r="Q30" s="9">
        <f t="shared" ref="Q30:AM30" si="211">IF(OR(Q29="",Q28=""),"",Q28+Q29)</f>
        <v>529801.3600000001</v>
      </c>
      <c r="R30" s="9">
        <f t="shared" si="211"/>
        <v>482880.51559981873</v>
      </c>
      <c r="S30" s="9">
        <f t="shared" si="211"/>
        <v>458542.93058040296</v>
      </c>
      <c r="T30" s="9">
        <f t="shared" si="211"/>
        <v>612900.94478988391</v>
      </c>
      <c r="U30" s="9">
        <f t="shared" si="211"/>
        <v>812512.71133799548</v>
      </c>
      <c r="V30" s="9">
        <f t="shared" si="211"/>
        <v>823116.57773945399</v>
      </c>
      <c r="W30" s="9">
        <f t="shared" si="211"/>
        <v>653223.5018306768</v>
      </c>
      <c r="X30" s="9">
        <f t="shared" si="211"/>
        <v>574674.94076274789</v>
      </c>
      <c r="Y30" s="9">
        <f t="shared" si="211"/>
        <v>505352.51447146316</v>
      </c>
      <c r="Z30" s="9">
        <f t="shared" si="211"/>
        <v>650489.57505706407</v>
      </c>
      <c r="AA30" s="9">
        <f>IF(OR(AA29="",AA28=""),"",AA28+AA29)</f>
        <v>993784.88114023383</v>
      </c>
      <c r="AB30" s="9">
        <f t="shared" si="211"/>
        <v>1434951.6700000002</v>
      </c>
      <c r="AC30" s="9">
        <f t="shared" si="211"/>
        <v>1158296.8131242457</v>
      </c>
      <c r="AD30" s="9">
        <f t="shared" si="211"/>
        <v>1118793.8225849967</v>
      </c>
      <c r="AE30" s="9">
        <f t="shared" si="211"/>
        <v>909850.96351460414</v>
      </c>
      <c r="AF30" s="9">
        <f t="shared" si="211"/>
        <v>1345247.3891339926</v>
      </c>
      <c r="AG30" s="9">
        <f t="shared" si="211"/>
        <v>1576254.3372049867</v>
      </c>
      <c r="AH30" s="9">
        <f t="shared" si="211"/>
        <v>1412921.2750669869</v>
      </c>
      <c r="AI30" s="9">
        <f t="shared" si="211"/>
        <v>1359038.4884583519</v>
      </c>
      <c r="AJ30" s="9">
        <f t="shared" si="211"/>
        <v>1054816.9029194708</v>
      </c>
      <c r="AK30" s="9">
        <f t="shared" si="211"/>
        <v>982101.03735321853</v>
      </c>
      <c r="AL30" s="9">
        <f t="shared" si="211"/>
        <v>1364766.7517385539</v>
      </c>
      <c r="AM30" s="9">
        <f t="shared" si="211"/>
        <v>1511665.7646846254</v>
      </c>
      <c r="AN30" s="9">
        <f t="shared" ref="AN30:BJ30" si="212">IF(OR(AN29="",AN28=""),"",AN28+AN29)</f>
        <v>1745209.2428414819</v>
      </c>
      <c r="AO30" s="9">
        <f t="shared" si="212"/>
        <v>1572952.3170812316</v>
      </c>
      <c r="AP30" s="9">
        <f t="shared" si="212"/>
        <v>1085232.3496388393</v>
      </c>
      <c r="AQ30" s="9">
        <f t="shared" si="212"/>
        <v>921708.31786616473</v>
      </c>
      <c r="AR30" s="9">
        <f t="shared" si="212"/>
        <v>1223631.3259348799</v>
      </c>
      <c r="AS30" s="9">
        <f>IF(OR(AS29="",AS28=""),"",AS28+AS29)</f>
        <v>1554149.9723331169</v>
      </c>
      <c r="AT30" s="9">
        <f t="shared" si="212"/>
        <v>1636017.9465151899</v>
      </c>
      <c r="AU30" s="9">
        <f t="shared" si="212"/>
        <v>1509711.0542833882</v>
      </c>
      <c r="AV30" s="9">
        <f t="shared" si="212"/>
        <v>1241967.5865500807</v>
      </c>
      <c r="AW30" s="9">
        <f t="shared" si="212"/>
        <v>1117755.1588792491</v>
      </c>
      <c r="AX30" s="9">
        <f t="shared" si="212"/>
        <v>1501878.0659199636</v>
      </c>
      <c r="AY30" s="9">
        <f t="shared" si="212"/>
        <v>1657769.1730098212</v>
      </c>
      <c r="AZ30" s="9">
        <f t="shared" si="212"/>
        <v>1447196.371273858</v>
      </c>
      <c r="BA30" s="9">
        <f t="shared" si="212"/>
        <v>213599.54282544478</v>
      </c>
      <c r="BB30" s="9">
        <f t="shared" si="212"/>
        <v>160232.05718831139</v>
      </c>
      <c r="BC30" s="9">
        <f t="shared" si="212"/>
        <v>142933.03306978827</v>
      </c>
      <c r="BD30" s="9">
        <f t="shared" si="212"/>
        <v>188880.06405709323</v>
      </c>
      <c r="BE30" s="9">
        <f t="shared" si="212"/>
        <v>253360.29147732252</v>
      </c>
      <c r="BF30" s="9">
        <f t="shared" si="212"/>
        <v>237518.32094102816</v>
      </c>
      <c r="BG30" s="9">
        <f t="shared" si="212"/>
        <v>214283.39022904466</v>
      </c>
      <c r="BH30" s="9">
        <f t="shared" si="212"/>
        <v>145106.64586191278</v>
      </c>
      <c r="BI30" s="9">
        <f t="shared" si="212"/>
        <v>154927.00789025769</v>
      </c>
      <c r="BJ30" s="9">
        <f t="shared" si="212"/>
        <v>205255.14275512146</v>
      </c>
      <c r="BK30" s="9">
        <f t="shared" ref="BK30:BL30" si="213">IF(OR(BK29="",BK28=""),"",BK28+BK29)</f>
        <v>266992.49386056478</v>
      </c>
      <c r="BL30" s="9">
        <f t="shared" si="213"/>
        <v>-1739.0221894302958</v>
      </c>
      <c r="BM30" s="9">
        <f t="shared" ref="BM30:BN30" si="214">IF(OR(BM29="",BM28=""),"",BM28+BM29)</f>
        <v>-5670.5578559878049</v>
      </c>
      <c r="BN30" s="9">
        <f t="shared" si="214"/>
        <v>-4312.4736299568613</v>
      </c>
      <c r="BO30" s="9">
        <f t="shared" ref="BO30:BP30" si="215">IF(OR(BO29="",BO28=""),"",BO28+BO29)</f>
        <v>-3909.5605707871728</v>
      </c>
      <c r="BP30" s="9">
        <f t="shared" si="215"/>
        <v>-4068.9963131062686</v>
      </c>
      <c r="BQ30" s="9">
        <f t="shared" ref="BQ30:BR30" si="216">IF(OR(BQ29="",BQ28=""),"",BQ28+BQ29)</f>
        <v>-5142.4955444009393</v>
      </c>
      <c r="BR30" s="9">
        <f t="shared" si="216"/>
        <v>-5117.5031060017645</v>
      </c>
      <c r="BS30" s="9">
        <f t="shared" ref="BS30:BT30" si="217">IF(OR(BS29="",BS28=""),"",BS28+BS29)</f>
        <v>-5177.0829845638364</v>
      </c>
      <c r="BT30" s="9">
        <f t="shared" si="217"/>
        <v>-4068.2264792598144</v>
      </c>
      <c r="BU30" s="9">
        <f t="shared" ref="BU30:BV30" si="218">IF(OR(BU29="",BU28=""),"",BU28+BU29)</f>
        <v>-4232.8072324906243</v>
      </c>
      <c r="BV30" s="9">
        <f t="shared" si="218"/>
        <v>-5340.69566513272</v>
      </c>
      <c r="BW30" s="9">
        <f t="shared" ref="BW30:BX30" si="219">IF(OR(BW29="",BW28=""),"",BW28+BW29)</f>
        <v>-5868.7789868843975</v>
      </c>
      <c r="BX30" s="9">
        <f t="shared" si="219"/>
        <v>-4028.346306019288</v>
      </c>
      <c r="BY30" s="9">
        <f t="shared" ref="BY30:BZ30" si="220">IF(OR(BY29="",BY28=""),"",BY28+BY29)</f>
        <v>-237.25413190646759</v>
      </c>
      <c r="BZ30" s="9">
        <f t="shared" si="220"/>
        <v>-166.23010078508014</v>
      </c>
      <c r="CA30" s="9">
        <f t="shared" ref="CA30:CB30" si="221">IF(OR(CA29="",CA28=""),"",CA28+CA29)</f>
        <v>-142.25106851507007</v>
      </c>
      <c r="CB30" s="9">
        <f t="shared" si="221"/>
        <v>-159.26009272011834</v>
      </c>
      <c r="CC30" s="9">
        <f t="shared" ref="CC30:CD30" si="222">IF(OR(CC29="",CC28=""),"",CC28+CC29)</f>
        <v>-197.07120480569756</v>
      </c>
      <c r="CD30" s="9">
        <f t="shared" si="222"/>
        <v>-201.35010807091749</v>
      </c>
      <c r="CE30" s="9">
        <f t="shared" ref="CE30:CF30" si="223">IF(OR(CE29="",CE28=""),"",CE28+CE29)</f>
        <v>-185.47873550330223</v>
      </c>
      <c r="CF30" s="9">
        <f t="shared" si="223"/>
        <v>-157.35059217018897</v>
      </c>
      <c r="CG30" s="9">
        <f>IF(OR(CG29="",CG28=""),"",CG28+CG29)</f>
        <v>-209.9326067853508</v>
      </c>
      <c r="CH30" s="9">
        <f t="shared" ref="CH30" si="224">IF(OR(CH29="",CH28=""),"",CH28+CH29)</f>
        <v>-266.17473316453106</v>
      </c>
      <c r="CI30" s="9">
        <f t="shared" ref="CI30" si="225">IF(OR(CI29="",CI28=""),"",CI28+CI29)</f>
        <v>-309.45422566519301</v>
      </c>
    </row>
    <row r="31" spans="1:87" s="5" customFormat="1" hidden="1" outlineLevel="1" x14ac:dyDescent="0.35">
      <c r="A31" s="274"/>
      <c r="B31" s="18" t="s">
        <v>13</v>
      </c>
      <c r="C31" s="26"/>
      <c r="D31" s="26"/>
      <c r="E31" s="9">
        <f>IF(OR(E28="",E27=""),"",E27-E28)</f>
        <v>0</v>
      </c>
      <c r="F31" s="9">
        <f t="shared" ref="F31:N31" si="226">IF(OR(F28="",F27=""),"",F27-F28)</f>
        <v>1328.78</v>
      </c>
      <c r="G31" s="9">
        <f t="shared" si="226"/>
        <v>-2928.2300000000014</v>
      </c>
      <c r="H31" s="9">
        <f t="shared" si="226"/>
        <v>-71289.570000000007</v>
      </c>
      <c r="I31" s="9">
        <f t="shared" si="226"/>
        <v>-1844.4099999999744</v>
      </c>
      <c r="J31" s="9">
        <f t="shared" si="226"/>
        <v>114544.92435846673</v>
      </c>
      <c r="K31" s="9">
        <f t="shared" si="226"/>
        <v>437611.03363575385</v>
      </c>
      <c r="L31" s="9">
        <f t="shared" si="226"/>
        <v>-46108.640094585164</v>
      </c>
      <c r="M31" s="9">
        <f t="shared" si="226"/>
        <v>48251.358816492691</v>
      </c>
      <c r="N31" s="9">
        <f t="shared" si="226"/>
        <v>92791.644528529549</v>
      </c>
      <c r="O31" s="9">
        <f>IF(OR(O30="",O27=""),"",O27-O30)</f>
        <v>-76541.62899647688</v>
      </c>
      <c r="P31" s="9">
        <f>IF(OR(P30="",P27=""),"",P27-P30)</f>
        <v>-338389.43385265709</v>
      </c>
      <c r="Q31" s="9">
        <f t="shared" ref="Q31:AM31" si="227">IF(OR(Q30="",Q27=""),"",Q27-Q30)</f>
        <v>-222384.84377562633</v>
      </c>
      <c r="R31" s="9">
        <f t="shared" si="227"/>
        <v>-280870.51801192272</v>
      </c>
      <c r="S31" s="9">
        <f t="shared" si="227"/>
        <v>-257024.92210439607</v>
      </c>
      <c r="T31" s="9">
        <f t="shared" si="227"/>
        <v>271295.57222439582</v>
      </c>
      <c r="U31" s="9">
        <f t="shared" si="227"/>
        <v>470091.62866200437</v>
      </c>
      <c r="V31" s="9">
        <f t="shared" si="227"/>
        <v>589644.00641244452</v>
      </c>
      <c r="W31" s="9">
        <f t="shared" si="227"/>
        <v>258820.37147143483</v>
      </c>
      <c r="X31" s="9">
        <f t="shared" si="227"/>
        <v>-294698.47456685978</v>
      </c>
      <c r="Y31" s="9">
        <f t="shared" si="227"/>
        <v>-127914.03687273734</v>
      </c>
      <c r="Z31" s="9">
        <f t="shared" si="227"/>
        <v>-85221.629287551506</v>
      </c>
      <c r="AA31" s="9">
        <f>IF(OR(AA30="",AA27=""),"",AA27-AA30)</f>
        <v>-386569.85366342065</v>
      </c>
      <c r="AB31" s="9">
        <f t="shared" si="227"/>
        <v>-919635.13172390917</v>
      </c>
      <c r="AC31" s="9">
        <f t="shared" si="227"/>
        <v>-685146.30396264396</v>
      </c>
      <c r="AD31" s="9">
        <f t="shared" si="227"/>
        <v>-848062.04299649666</v>
      </c>
      <c r="AE31" s="9">
        <f t="shared" si="227"/>
        <v>-418254.81517212209</v>
      </c>
      <c r="AF31" s="9">
        <f t="shared" si="227"/>
        <v>679709.27680510981</v>
      </c>
      <c r="AG31" s="9">
        <f t="shared" si="227"/>
        <v>1177529.0987427053</v>
      </c>
      <c r="AH31" s="9">
        <f t="shared" si="227"/>
        <v>1242265.9957057198</v>
      </c>
      <c r="AI31" s="9">
        <f t="shared" si="227"/>
        <v>226632.29566829209</v>
      </c>
      <c r="AJ31" s="9">
        <f t="shared" si="227"/>
        <v>-498698.17299920809</v>
      </c>
      <c r="AK31" s="9">
        <f t="shared" si="227"/>
        <v>-468642.97684611689</v>
      </c>
      <c r="AL31" s="9">
        <f t="shared" si="227"/>
        <v>-661966.85405505204</v>
      </c>
      <c r="AM31" s="9">
        <f t="shared" si="227"/>
        <v>-806398.7552662557</v>
      </c>
      <c r="AN31" s="9">
        <f t="shared" ref="AN31:BJ31" si="228">IF(OR(AN30="",AN27=""),"",AN27-AN30)</f>
        <v>-1118395.6232045633</v>
      </c>
      <c r="AO31" s="9">
        <f t="shared" si="228"/>
        <v>-839575.8679167378</v>
      </c>
      <c r="AP31" s="9">
        <f>IF(OR(AP30="",AP27=""),"",AP27-AP30)</f>
        <v>-505280.31703957345</v>
      </c>
      <c r="AQ31" s="9">
        <f t="shared" si="228"/>
        <v>-550696.82604602491</v>
      </c>
      <c r="AR31" s="9">
        <f t="shared" si="228"/>
        <v>1499625.3698654766</v>
      </c>
      <c r="AS31" s="9">
        <f>IF(OR(AS30="",AS27=""),"",AS27-AS30)</f>
        <v>1536090.1436625165</v>
      </c>
      <c r="AT31" s="9">
        <f t="shared" si="228"/>
        <v>1683217.386576823</v>
      </c>
      <c r="AU31" s="9">
        <f t="shared" si="228"/>
        <v>362712.86205842951</v>
      </c>
      <c r="AV31" s="9">
        <f t="shared" si="228"/>
        <v>-773328.18641074549</v>
      </c>
      <c r="AW31" s="9">
        <f t="shared" si="228"/>
        <v>-544325.09594499937</v>
      </c>
      <c r="AX31" s="9">
        <f t="shared" si="228"/>
        <v>-772876.38091818138</v>
      </c>
      <c r="AY31" s="9">
        <f t="shared" si="228"/>
        <v>-926320.17375789559</v>
      </c>
      <c r="AZ31" s="9">
        <f t="shared" si="228"/>
        <v>-2548708.1358568668</v>
      </c>
      <c r="BA31" s="9">
        <f t="shared" si="228"/>
        <v>288698.38789936563</v>
      </c>
      <c r="BB31" s="9">
        <f t="shared" si="228"/>
        <v>-160232.05718831139</v>
      </c>
      <c r="BC31" s="9">
        <f t="shared" si="228"/>
        <v>-144134.97219762404</v>
      </c>
      <c r="BD31" s="9">
        <f t="shared" si="228"/>
        <v>-188880.06405709323</v>
      </c>
      <c r="BE31" s="9">
        <f t="shared" si="228"/>
        <v>-253360.29147732252</v>
      </c>
      <c r="BF31" s="9">
        <f t="shared" si="228"/>
        <v>-237518.32094102816</v>
      </c>
      <c r="BG31" s="9">
        <f t="shared" si="228"/>
        <v>-214283.39022904466</v>
      </c>
      <c r="BH31" s="9">
        <f t="shared" si="228"/>
        <v>-145106.64586191278</v>
      </c>
      <c r="BI31" s="9">
        <f t="shared" si="228"/>
        <v>-154927.00789025769</v>
      </c>
      <c r="BJ31" s="9">
        <f t="shared" si="228"/>
        <v>-205255.14275512146</v>
      </c>
      <c r="BK31" s="9">
        <f t="shared" ref="BK31:BL31" si="229">IF(OR(BK30="",BK27=""),"",BK27-BK30)</f>
        <v>-266992.49386056478</v>
      </c>
      <c r="BL31" s="9">
        <f t="shared" si="229"/>
        <v>1739.0221894302958</v>
      </c>
      <c r="BM31" s="9">
        <f t="shared" ref="BM31:BN31" si="230">IF(OR(BM30="",BM27=""),"",BM27-BM30)</f>
        <v>5670.5578559878049</v>
      </c>
      <c r="BN31" s="9">
        <f t="shared" si="230"/>
        <v>4312.4736299568613</v>
      </c>
      <c r="BO31" s="9">
        <f t="shared" ref="BO31:BP31" si="231">IF(OR(BO30="",BO27=""),"",BO27-BO30)</f>
        <v>3909.5605707871728</v>
      </c>
      <c r="BP31" s="9">
        <f t="shared" si="231"/>
        <v>4068.9963131062686</v>
      </c>
      <c r="BQ31" s="9">
        <f t="shared" ref="BQ31:BR31" si="232">IF(OR(BQ30="",BQ27=""),"",BQ27-BQ30)</f>
        <v>5142.4955444009393</v>
      </c>
      <c r="BR31" s="9">
        <f t="shared" si="232"/>
        <v>5117.5031060017645</v>
      </c>
      <c r="BS31" s="9">
        <f t="shared" ref="BS31:BT31" si="233">IF(OR(BS30="",BS27=""),"",BS27-BS30)</f>
        <v>5177.0829845638364</v>
      </c>
      <c r="BT31" s="9">
        <f t="shared" si="233"/>
        <v>4068.2264792598144</v>
      </c>
      <c r="BU31" s="9">
        <f t="shared" ref="BU31:BV31" si="234">IF(OR(BU30="",BU27=""),"",BU27-BU30)</f>
        <v>4232.8072324906243</v>
      </c>
      <c r="BV31" s="9">
        <f t="shared" si="234"/>
        <v>5340.69566513272</v>
      </c>
      <c r="BW31" s="9">
        <f t="shared" ref="BW31:BX31" si="235">IF(OR(BW30="",BW27=""),"",BW27-BW30)</f>
        <v>5868.7789868843975</v>
      </c>
      <c r="BX31" s="9">
        <f t="shared" si="235"/>
        <v>4028.346306019288</v>
      </c>
      <c r="BY31" s="9">
        <f t="shared" ref="BY31:BZ31" si="236">IF(OR(BY30="",BY27=""),"",BY27-BY30)</f>
        <v>237.25413190646759</v>
      </c>
      <c r="BZ31" s="9">
        <f t="shared" si="236"/>
        <v>166.23010078508014</v>
      </c>
      <c r="CA31" s="9">
        <f t="shared" ref="CA31:CB31" si="237">IF(OR(CA30="",CA27=""),"",CA27-CA30)</f>
        <v>142.25106851507007</v>
      </c>
      <c r="CB31" s="9">
        <f t="shared" si="237"/>
        <v>159.26009272011834</v>
      </c>
      <c r="CC31" s="9">
        <f t="shared" ref="CC31:CD31" si="238">IF(OR(CC30="",CC27=""),"",CC27-CC30)</f>
        <v>197.07120480569756</v>
      </c>
      <c r="CD31" s="9">
        <f t="shared" si="238"/>
        <v>201.35010807091749</v>
      </c>
      <c r="CE31" s="9">
        <f t="shared" ref="CE31" si="239">IF(OR(CE30="",CE27=""),"",CE27-CE30)</f>
        <v>185.47873550330223</v>
      </c>
      <c r="CF31" s="141">
        <f>IF(OR(CF30="",CF27=""),"",CF27-CF30)+CF26</f>
        <v>6106.3262235278762</v>
      </c>
      <c r="CG31" s="9">
        <f>IF(OR(CG30="",CG27=""),"",CG27-CG30)</f>
        <v>209.9326067853508</v>
      </c>
      <c r="CH31" s="9">
        <f>IF(OR(CH30="",CH27=""),"",CH27-CH30)</f>
        <v>266.17473316453106</v>
      </c>
      <c r="CI31" s="9">
        <f>IF(OR(CI30="",CI27=""),"",CI27-CI30)</f>
        <v>309.45422566519301</v>
      </c>
    </row>
    <row r="32" spans="1:87" s="5" customFormat="1" hidden="1" outlineLevel="1" x14ac:dyDescent="0.35">
      <c r="A32" s="274"/>
      <c r="B32" s="19" t="s">
        <v>8</v>
      </c>
      <c r="C32" s="30"/>
      <c r="D32" s="30"/>
      <c r="E32" s="9">
        <f>IF(OR(E9="",E31=""),"",(E31+D34)*E9/12)</f>
        <v>0</v>
      </c>
      <c r="F32" s="9">
        <f t="shared" ref="F32:N32" si="240">IF(OR(F9="",F31=""),"",(F31+E34)*F9/12)</f>
        <v>0.8255809798499999</v>
      </c>
      <c r="G32" s="9">
        <f t="shared" si="240"/>
        <v>-1.0068589534574304</v>
      </c>
      <c r="H32" s="9">
        <f t="shared" si="240"/>
        <v>-38.04342526901916</v>
      </c>
      <c r="I32" s="9">
        <f t="shared" si="240"/>
        <v>-39.19548832457653</v>
      </c>
      <c r="J32" s="9">
        <f t="shared" si="240"/>
        <v>25.316101791241433</v>
      </c>
      <c r="K32" s="9">
        <f t="shared" si="240"/>
        <v>300.52843321651994</v>
      </c>
      <c r="L32" s="9">
        <f t="shared" si="240"/>
        <v>273.38393574818252</v>
      </c>
      <c r="M32" s="9">
        <f t="shared" si="240"/>
        <v>305.71343553283026</v>
      </c>
      <c r="N32" s="9">
        <f t="shared" si="240"/>
        <v>459.60027907263867</v>
      </c>
      <c r="O32" s="10">
        <f>IF(OR(O9="",O31=""),"",(O29+O31+N34)*O9/12)</f>
        <v>372.82678818148116</v>
      </c>
      <c r="P32" s="10">
        <f>IF(OR(P9="",P31=""),"",(P29+P31+O34+P26)*P9/12)</f>
        <v>5294.3093104737645</v>
      </c>
      <c r="Q32" s="10">
        <f t="shared" ref="Q32:AM32" si="241">IF(OR(Q9="",Q31=""),"",(Q29+Q31+P34)*Q9/12)</f>
        <v>6007.5624775762617</v>
      </c>
      <c r="R32" s="10">
        <f t="shared" si="241"/>
        <v>5263.9348672725127</v>
      </c>
      <c r="S32" s="10">
        <f t="shared" si="241"/>
        <v>4564.9795036702699</v>
      </c>
      <c r="T32" s="10">
        <f t="shared" si="241"/>
        <v>5166.8652470196785</v>
      </c>
      <c r="U32" s="10">
        <f t="shared" si="241"/>
        <v>4660.8174690886708</v>
      </c>
      <c r="V32" s="10">
        <f t="shared" si="241"/>
        <v>4581.7725750611253</v>
      </c>
      <c r="W32" s="10">
        <f t="shared" si="241"/>
        <v>4016.0372167419896</v>
      </c>
      <c r="X32" s="10">
        <f t="shared" si="241"/>
        <v>2945.88677481181</v>
      </c>
      <c r="Y32" s="10">
        <f t="shared" si="241"/>
        <v>2149.1932054558397</v>
      </c>
      <c r="Z32" s="10">
        <f t="shared" si="241"/>
        <v>1519.9204299095629</v>
      </c>
      <c r="AA32" s="10">
        <f t="shared" si="241"/>
        <v>-562.54602891992351</v>
      </c>
      <c r="AB32" s="10">
        <f t="shared" si="241"/>
        <v>-1929.6446952083068</v>
      </c>
      <c r="AC32" s="10">
        <f t="shared" si="241"/>
        <v>-3280.2540933795021</v>
      </c>
      <c r="AD32" s="10">
        <f t="shared" si="241"/>
        <v>-5260.7827266771046</v>
      </c>
      <c r="AE32" s="10">
        <f t="shared" si="241"/>
        <v>-5726.7183733822167</v>
      </c>
      <c r="AF32" s="10">
        <f t="shared" si="241"/>
        <v>-4573.2375408809512</v>
      </c>
      <c r="AG32" s="10">
        <f t="shared" si="241"/>
        <v>-2313.7713700853533</v>
      </c>
      <c r="AH32" s="10">
        <f t="shared" si="241"/>
        <v>200.03580045925753</v>
      </c>
      <c r="AI32" s="10">
        <f t="shared" si="241"/>
        <v>726.81119312183489</v>
      </c>
      <c r="AJ32" s="10">
        <f t="shared" si="241"/>
        <v>-182.45721726894439</v>
      </c>
      <c r="AK32" s="10">
        <f t="shared" si="241"/>
        <v>-1107.7550263704416</v>
      </c>
      <c r="AL32" s="10">
        <f t="shared" si="241"/>
        <v>-2627.6316115780096</v>
      </c>
      <c r="AM32" s="10">
        <f t="shared" si="241"/>
        <v>-4554.4236734393371</v>
      </c>
      <c r="AN32" s="10">
        <f t="shared" ref="AN32" si="242">IF(OR(AN9="",AN31=""),"",(AN29+AN31+AM34)*AN9/12)</f>
        <v>-6654.4899163949822</v>
      </c>
      <c r="AO32" s="10">
        <f t="shared" ref="AO32" si="243">IF(OR(AO9="",AO31=""),"",(AO29+AO31+AN34)*AO9/12)</f>
        <v>-8045.1880681861367</v>
      </c>
      <c r="AP32" s="10">
        <f t="shared" ref="AP32" si="244">IF(OR(AP9="",AP31=""),"",(AP29+AP31+AO34)*AP9/12)</f>
        <v>-8524.2955357193568</v>
      </c>
      <c r="AQ32" s="10">
        <f t="shared" ref="AQ32" si="245">IF(OR(AQ9="",AQ31=""),"",(AQ29+AQ31+AP34)*AQ9/12)</f>
        <v>-9565.9847029969114</v>
      </c>
      <c r="AR32" s="10">
        <f t="shared" ref="AR32" si="246">IF(OR(AR9="",AR31=""),"",(AR29+AR31+AQ34)*AR9/12)</f>
        <v>-5842.5770767012573</v>
      </c>
      <c r="AS32" s="10">
        <f>IF(OR(AS9="",AS31=""),"",(AS29+AS31+AR34)*AS9/12)+AS26</f>
        <v>-11646.625789448468</v>
      </c>
      <c r="AT32" s="10">
        <f t="shared" ref="AT32" si="247">IF(OR(AT9="",AT31=""),"",(AT29+AT31+AS34)*AT9/12)</f>
        <v>1866.4267273905355</v>
      </c>
      <c r="AU32" s="10">
        <f t="shared" ref="AU32" si="248">IF(OR(AU9="",AU31=""),"",(AU29+AU31+AT34)*AU9/12)</f>
        <v>2779.7659407100673</v>
      </c>
      <c r="AV32" s="10">
        <f t="shared" ref="AV32" si="249">IF(OR(AV9="",AV31=""),"",(AV29+AV31+AU34)*AV9/12)</f>
        <v>1564.7525696417642</v>
      </c>
      <c r="AW32" s="10">
        <f t="shared" ref="AW32" si="250">IF(OR(AW9="",AW31=""),"",(AW29+AW31+AV34)*AW9/12)</f>
        <v>732.06494889487897</v>
      </c>
      <c r="AX32" s="10">
        <f t="shared" ref="AX32" si="251">IF(OR(AX9="",AX31=""),"",(AX29+AX31+AW34)*AX9/12)</f>
        <v>-163.38977227779409</v>
      </c>
      <c r="AY32" s="10">
        <f t="shared" ref="AY32" si="252">IF(OR(AY9="",AY31=""),"",(AY29+AY31+AX34)*AY9/12)</f>
        <v>-1296.272463729247</v>
      </c>
      <c r="AZ32" s="10">
        <f t="shared" ref="AZ32" si="253">IF(OR(AZ9="",AZ31=""),"",(AZ29+AZ31+AY34)*AZ9/12)</f>
        <v>-4176.8372936348169</v>
      </c>
      <c r="BA32" s="10">
        <f t="shared" ref="BA32" si="254">IF(OR(BA9="",BA31=""),"",(BA29+BA31+AZ34)*BA9/12)</f>
        <v>-3787.8524653539448</v>
      </c>
      <c r="BB32" s="10">
        <f t="shared" ref="BB32" si="255">IF(OR(BB9="",BB31=""),"",(BB29+BB31+BA34)*BB9/12)</f>
        <v>-1959.0112554438863</v>
      </c>
      <c r="BC32" s="10">
        <f t="shared" ref="BC32" si="256">IF(OR(BC9="",BC31=""),"",(BC29+BC31+BB34)*BC9/12)</f>
        <v>-278.81760862053488</v>
      </c>
      <c r="BD32" s="10">
        <f t="shared" ref="BD32" si="257">IF(OR(BD9="",BD31=""),"",(BD29+BD31+BC34)*BD9/12)</f>
        <v>-283.05424927706468</v>
      </c>
      <c r="BE32" s="10">
        <f t="shared" ref="BE32" si="258">IF(OR(BE9="",BE31=""),"",(BE29+BE31+BD34)*BE9/12)</f>
        <v>-460.41251172314611</v>
      </c>
      <c r="BF32" s="10">
        <f t="shared" ref="BF32" si="259">IF(OR(BF9="",BF31=""),"",(BF29+BF31+BE34)*BF9/12)</f>
        <v>-340.65927237573527</v>
      </c>
      <c r="BG32" s="10">
        <f t="shared" ref="BG32" si="260">IF(OR(BG9="",BG31=""),"",(BG29+BG31+BF34)*BG9/12)</f>
        <v>-322.10522872963594</v>
      </c>
      <c r="BH32" s="10">
        <f t="shared" ref="BH32" si="261">IF(OR(BH9="",BH31=""),"",(BH29+BH31+BG34)*BH9/12)</f>
        <v>-534.16939554605699</v>
      </c>
      <c r="BI32" s="10">
        <f t="shared" ref="BI32" si="262">IF(OR(BI9="",BI31=""),"",(BI29+BI31+BH34)*BI9/12)</f>
        <v>-693.54980621845846</v>
      </c>
      <c r="BJ32" s="10">
        <f t="shared" ref="BJ32:CI32" si="263">IF(OR(BJ9="",BJ31=""),"",(BJ29+BJ31+BI34)*BJ9/12)</f>
        <v>-811.0030787151527</v>
      </c>
      <c r="BK32" s="10">
        <f t="shared" si="263"/>
        <v>-614.34624262308205</v>
      </c>
      <c r="BL32" s="10">
        <f t="shared" si="263"/>
        <v>-669.89189085695466</v>
      </c>
      <c r="BM32" s="10">
        <f t="shared" si="263"/>
        <v>-557.60787232606663</v>
      </c>
      <c r="BN32" s="10">
        <f t="shared" si="263"/>
        <v>-545.59231462256969</v>
      </c>
      <c r="BO32" s="10">
        <f t="shared" si="263"/>
        <v>-504.35121916051708</v>
      </c>
      <c r="BP32" s="10">
        <f t="shared" si="263"/>
        <v>-407.42581719607477</v>
      </c>
      <c r="BQ32" s="10">
        <f t="shared" si="263"/>
        <v>-239.82919158135164</v>
      </c>
      <c r="BR32" s="10">
        <f t="shared" si="263"/>
        <v>-289.32107476462022</v>
      </c>
      <c r="BS32" s="10">
        <f t="shared" si="263"/>
        <v>-214.11392923140355</v>
      </c>
      <c r="BT32" s="10">
        <f t="shared" si="263"/>
        <v>-134.72104636770419</v>
      </c>
      <c r="BU32" s="10">
        <f t="shared" si="263"/>
        <v>-107.40502640789749</v>
      </c>
      <c r="BV32" s="10">
        <f t="shared" si="263"/>
        <v>-118.33168507342872</v>
      </c>
      <c r="BW32" s="10">
        <f t="shared" si="263"/>
        <v>-31.941369690225681</v>
      </c>
      <c r="BX32" s="10">
        <f t="shared" si="263"/>
        <v>20.509519436720471</v>
      </c>
      <c r="BY32" s="10">
        <f t="shared" si="263"/>
        <v>55.79634342978386</v>
      </c>
      <c r="BZ32" s="10">
        <f t="shared" si="263"/>
        <v>52.740800728104723</v>
      </c>
      <c r="CA32" s="10">
        <f t="shared" si="263"/>
        <v>89.850608756352003</v>
      </c>
      <c r="CB32" s="10">
        <f t="shared" si="263"/>
        <v>153.71849734827973</v>
      </c>
      <c r="CC32" s="10">
        <f t="shared" si="263"/>
        <v>237.83431273003166</v>
      </c>
      <c r="CD32" s="10">
        <f t="shared" si="263"/>
        <v>326.18953747405857</v>
      </c>
      <c r="CE32" s="10">
        <f t="shared" si="263"/>
        <v>389.38650412373505</v>
      </c>
      <c r="CF32" s="10">
        <f t="shared" si="263"/>
        <v>517.42660285652403</v>
      </c>
      <c r="CG32" s="10">
        <f>IF(OR(CG9="",CG31=""),"",(CG29+CG31+CF34)*CG9/12)</f>
        <v>542.25889496165939</v>
      </c>
      <c r="CH32" s="10">
        <f t="shared" si="263"/>
        <v>577.26388554168705</v>
      </c>
      <c r="CI32" s="10">
        <f t="shared" si="263"/>
        <v>620.21202268340471</v>
      </c>
    </row>
    <row r="33" spans="1:87" s="5" customFormat="1" hidden="1" outlineLevel="1" x14ac:dyDescent="0.35">
      <c r="A33" s="274"/>
      <c r="B33" s="18" t="s">
        <v>14</v>
      </c>
      <c r="C33" s="26"/>
      <c r="D33" s="26"/>
      <c r="E33" s="9">
        <f>IF(OR(E31="",E32=""),"",E31+E32)</f>
        <v>0</v>
      </c>
      <c r="F33" s="9">
        <f>IF(OR(F31="",F32=""),"",F31+F32)</f>
        <v>1329.6055809798499</v>
      </c>
      <c r="G33" s="9">
        <f t="shared" ref="G33:N33" si="264">IF(OR(G31="",G32=""),"",G31+G32)</f>
        <v>-2929.236858953459</v>
      </c>
      <c r="H33" s="9">
        <f t="shared" si="264"/>
        <v>-71327.613425269024</v>
      </c>
      <c r="I33" s="9">
        <f t="shared" si="264"/>
        <v>-1883.6054883245508</v>
      </c>
      <c r="J33" s="9">
        <f t="shared" si="264"/>
        <v>114570.24046025796</v>
      </c>
      <c r="K33" s="9">
        <f t="shared" si="264"/>
        <v>437911.56206897035</v>
      </c>
      <c r="L33" s="9">
        <f t="shared" si="264"/>
        <v>-45835.256158836979</v>
      </c>
      <c r="M33" s="9">
        <f t="shared" si="264"/>
        <v>48557.072252025522</v>
      </c>
      <c r="N33" s="9">
        <f t="shared" si="264"/>
        <v>93251.244807602183</v>
      </c>
      <c r="O33" s="9">
        <f>IF(OR(O31="",O32=""),"",O31+O32)</f>
        <v>-76168.802208295398</v>
      </c>
      <c r="P33" s="9">
        <f>IF(OR(P31="",P32=""),"",P31+P32)</f>
        <v>-333095.1245421833</v>
      </c>
      <c r="Q33" s="9">
        <f t="shared" ref="Q33:AM33" si="265">IF(OR(Q31="",Q32=""),"",Q31+Q32)</f>
        <v>-216377.28129805007</v>
      </c>
      <c r="R33" s="9">
        <f>IF(OR(R31="",R32=""),"",R31+R32)</f>
        <v>-275606.58314465021</v>
      </c>
      <c r="S33" s="9">
        <f t="shared" si="265"/>
        <v>-252459.9426007258</v>
      </c>
      <c r="T33" s="9">
        <f t="shared" si="265"/>
        <v>276462.4374714155</v>
      </c>
      <c r="U33" s="9">
        <f t="shared" si="265"/>
        <v>474752.44613109302</v>
      </c>
      <c r="V33" s="9">
        <f t="shared" si="265"/>
        <v>594225.77898750559</v>
      </c>
      <c r="W33" s="9">
        <f t="shared" si="265"/>
        <v>262836.40868817683</v>
      </c>
      <c r="X33" s="9">
        <f t="shared" si="265"/>
        <v>-291752.58779204794</v>
      </c>
      <c r="Y33" s="9">
        <f t="shared" si="265"/>
        <v>-125764.8436672815</v>
      </c>
      <c r="Z33" s="9">
        <f t="shared" si="265"/>
        <v>-83701.708857641948</v>
      </c>
      <c r="AA33" s="9">
        <f t="shared" si="265"/>
        <v>-387132.39969234058</v>
      </c>
      <c r="AB33" s="9">
        <f t="shared" si="265"/>
        <v>-921564.77641911746</v>
      </c>
      <c r="AC33" s="9">
        <f t="shared" si="265"/>
        <v>-688426.55805602344</v>
      </c>
      <c r="AD33" s="9">
        <f t="shared" si="265"/>
        <v>-853322.8257231738</v>
      </c>
      <c r="AE33" s="9">
        <f t="shared" si="265"/>
        <v>-423981.53354550432</v>
      </c>
      <c r="AF33" s="9">
        <f t="shared" si="265"/>
        <v>675136.03926422889</v>
      </c>
      <c r="AG33" s="9">
        <f t="shared" si="265"/>
        <v>1175215.3273726199</v>
      </c>
      <c r="AH33" s="9">
        <f t="shared" si="265"/>
        <v>1242466.0315061791</v>
      </c>
      <c r="AI33" s="9">
        <f t="shared" si="265"/>
        <v>227359.10686141392</v>
      </c>
      <c r="AJ33" s="9">
        <f t="shared" si="265"/>
        <v>-498880.63021647703</v>
      </c>
      <c r="AK33" s="9">
        <f t="shared" si="265"/>
        <v>-469750.73187248735</v>
      </c>
      <c r="AL33" s="9">
        <f t="shared" si="265"/>
        <v>-664594.48566663009</v>
      </c>
      <c r="AM33" s="9">
        <f t="shared" si="265"/>
        <v>-810953.178939695</v>
      </c>
      <c r="AN33" s="9">
        <f t="shared" ref="AN33:BJ33" si="266">IF(OR(AN31="",AN32=""),"",AN31+AN32)</f>
        <v>-1125050.1131209582</v>
      </c>
      <c r="AO33" s="9">
        <f t="shared" si="266"/>
        <v>-847621.05598492397</v>
      </c>
      <c r="AP33" s="9">
        <f t="shared" si="266"/>
        <v>-513804.61257529282</v>
      </c>
      <c r="AQ33" s="9">
        <f t="shared" si="266"/>
        <v>-560262.81074902182</v>
      </c>
      <c r="AR33" s="9">
        <f t="shared" si="266"/>
        <v>1493782.7927887754</v>
      </c>
      <c r="AS33" s="9">
        <f>IF(OR(AS31="",AS32=""),"",AS31+AS32)</f>
        <v>1524443.5178730681</v>
      </c>
      <c r="AT33" s="9">
        <f t="shared" si="266"/>
        <v>1685083.8133042136</v>
      </c>
      <c r="AU33" s="9">
        <f t="shared" si="266"/>
        <v>365492.6279991396</v>
      </c>
      <c r="AV33" s="9">
        <f t="shared" si="266"/>
        <v>-771763.43384110369</v>
      </c>
      <c r="AW33" s="9">
        <f t="shared" si="266"/>
        <v>-543593.03099610447</v>
      </c>
      <c r="AX33" s="9">
        <f t="shared" si="266"/>
        <v>-773039.77069045918</v>
      </c>
      <c r="AY33" s="9">
        <f t="shared" si="266"/>
        <v>-927616.44622162485</v>
      </c>
      <c r="AZ33" s="9">
        <f t="shared" si="266"/>
        <v>-2552884.9731505015</v>
      </c>
      <c r="BA33" s="9">
        <f t="shared" si="266"/>
        <v>284910.53543401166</v>
      </c>
      <c r="BB33" s="9">
        <f t="shared" si="266"/>
        <v>-162191.06844375527</v>
      </c>
      <c r="BC33" s="9">
        <f t="shared" si="266"/>
        <v>-144413.78980624457</v>
      </c>
      <c r="BD33" s="9">
        <f t="shared" si="266"/>
        <v>-189163.11830637031</v>
      </c>
      <c r="BE33" s="9">
        <f t="shared" si="266"/>
        <v>-253820.70398904567</v>
      </c>
      <c r="BF33" s="9">
        <f t="shared" si="266"/>
        <v>-237858.98021340391</v>
      </c>
      <c r="BG33" s="9">
        <f t="shared" si="266"/>
        <v>-214605.49545777429</v>
      </c>
      <c r="BH33" s="9">
        <f t="shared" si="266"/>
        <v>-145640.81525745883</v>
      </c>
      <c r="BI33" s="9">
        <f t="shared" si="266"/>
        <v>-155620.55769647614</v>
      </c>
      <c r="BJ33" s="9">
        <f t="shared" si="266"/>
        <v>-206066.14583383661</v>
      </c>
      <c r="BK33" s="9">
        <f t="shared" ref="BK33:BL33" si="267">IF(OR(BK31="",BK32=""),"",BK31+BK32)</f>
        <v>-267606.84010318783</v>
      </c>
      <c r="BL33" s="9">
        <f t="shared" si="267"/>
        <v>1069.1302985733412</v>
      </c>
      <c r="BM33" s="9">
        <f t="shared" ref="BM33:BN33" si="268">IF(OR(BM31="",BM32=""),"",BM31+BM32)</f>
        <v>5112.9499836617379</v>
      </c>
      <c r="BN33" s="9">
        <f t="shared" si="268"/>
        <v>3766.8813153342917</v>
      </c>
      <c r="BO33" s="9">
        <f t="shared" ref="BO33:BP33" si="269">IF(OR(BO31="",BO32=""),"",BO31+BO32)</f>
        <v>3405.2093516266559</v>
      </c>
      <c r="BP33" s="9">
        <f t="shared" si="269"/>
        <v>3661.570495910194</v>
      </c>
      <c r="BQ33" s="9">
        <f t="shared" ref="BQ33:BR33" si="270">IF(OR(BQ31="",BQ32=""),"",BQ31+BQ32)</f>
        <v>4902.6663528195877</v>
      </c>
      <c r="BR33" s="9">
        <f t="shared" si="270"/>
        <v>4828.1820312371447</v>
      </c>
      <c r="BS33" s="9">
        <f t="shared" ref="BS33:BT33" si="271">IF(OR(BS31="",BS32=""),"",BS31+BS32)</f>
        <v>4962.9690553324326</v>
      </c>
      <c r="BT33" s="9">
        <f t="shared" si="271"/>
        <v>3933.5054328921101</v>
      </c>
      <c r="BU33" s="9">
        <f t="shared" ref="BU33:BV33" si="272">IF(OR(BU31="",BU32=""),"",BU31+BU32)</f>
        <v>4125.4022060827265</v>
      </c>
      <c r="BV33" s="9">
        <f t="shared" si="272"/>
        <v>5222.363980059291</v>
      </c>
      <c r="BW33" s="9">
        <f t="shared" ref="BW33:BX33" si="273">IF(OR(BW31="",BW32=""),"",BW31+BW32)</f>
        <v>5836.8376171941718</v>
      </c>
      <c r="BX33" s="9">
        <f t="shared" si="273"/>
        <v>4048.8558254560085</v>
      </c>
      <c r="BY33" s="9">
        <f t="shared" ref="BY33:BZ33" si="274">IF(OR(BY31="",BY32=""),"",BY31+BY32)</f>
        <v>293.05047533625145</v>
      </c>
      <c r="BZ33" s="9">
        <f t="shared" si="274"/>
        <v>218.97090151318486</v>
      </c>
      <c r="CA33" s="9">
        <f t="shared" ref="CA33:CB33" si="275">IF(OR(CA31="",CA32=""),"",CA31+CA32)</f>
        <v>232.10167727142209</v>
      </c>
      <c r="CB33" s="9">
        <f t="shared" si="275"/>
        <v>312.97859006839803</v>
      </c>
      <c r="CC33" s="9">
        <f t="shared" ref="CC33:CD33" si="276">IF(OR(CC31="",CC32=""),"",CC31+CC32)</f>
        <v>434.90551753572925</v>
      </c>
      <c r="CD33" s="9">
        <f t="shared" si="276"/>
        <v>527.53964554497611</v>
      </c>
      <c r="CE33" s="9">
        <f t="shared" ref="CE33:CF33" si="277">IF(OR(CE31="",CE32=""),"",CE31+CE32)</f>
        <v>574.86523962703723</v>
      </c>
      <c r="CF33" s="9">
        <f t="shared" si="277"/>
        <v>6623.7528263844006</v>
      </c>
      <c r="CG33" s="9">
        <f t="shared" ref="CG33:CH33" si="278">IF(OR(CG31="",CG32=""),"",CG31+CG32)</f>
        <v>752.19150174701019</v>
      </c>
      <c r="CH33" s="9">
        <f t="shared" si="278"/>
        <v>843.43861870621811</v>
      </c>
      <c r="CI33" s="9">
        <f t="shared" ref="CI33" si="279">IF(OR(CI31="",CI32=""),"",CI31+CI32)</f>
        <v>929.66624834859772</v>
      </c>
    </row>
    <row r="34" spans="1:87" s="5" customFormat="1" hidden="1" outlineLevel="1" x14ac:dyDescent="0.35">
      <c r="A34" s="274"/>
      <c r="B34" s="20" t="s">
        <v>15</v>
      </c>
      <c r="C34" s="28"/>
      <c r="D34" s="28"/>
      <c r="E34" s="9">
        <f>E33</f>
        <v>0</v>
      </c>
      <c r="F34" s="9">
        <f>IF(OR(F33="",E34=""),"",F33+E34)</f>
        <v>1329.6055809798499</v>
      </c>
      <c r="G34" s="9">
        <f t="shared" ref="G34:N34" si="280">IF(OR(G33="",F34=""),"",G33+F34)</f>
        <v>-1599.631277973609</v>
      </c>
      <c r="H34" s="9">
        <f t="shared" si="280"/>
        <v>-72927.244703242628</v>
      </c>
      <c r="I34" s="9">
        <f t="shared" si="280"/>
        <v>-74810.85019156718</v>
      </c>
      <c r="J34" s="9">
        <f t="shared" si="280"/>
        <v>39759.390268690782</v>
      </c>
      <c r="K34" s="9">
        <f t="shared" si="280"/>
        <v>477670.95233766112</v>
      </c>
      <c r="L34" s="9">
        <f t="shared" si="280"/>
        <v>431835.69617882412</v>
      </c>
      <c r="M34" s="9">
        <f t="shared" si="280"/>
        <v>480392.76843084965</v>
      </c>
      <c r="N34" s="9">
        <f t="shared" si="280"/>
        <v>573644.01323845179</v>
      </c>
      <c r="O34" s="9">
        <f>IF(OR(O33="",N34=""),"",O33+O29+N34)</f>
        <v>497475.21103015641</v>
      </c>
      <c r="P34" s="9">
        <f>IF(OR(P33="",O34=""),"",P33+P29+O34+P26)</f>
        <v>7064373.3899421608</v>
      </c>
      <c r="Q34" s="9">
        <f>IF(OR(Q33="",P34=""),"",Q33+Q29+P34)</f>
        <v>6274768.4086441109</v>
      </c>
      <c r="R34" s="9">
        <f>IF(OR(R33="",Q34=""),"",R33+R29+Q34)</f>
        <v>5498065.535499461</v>
      </c>
      <c r="S34" s="9">
        <f t="shared" ref="S34:AM34" si="281">IF(OR(S33="",R34=""),"",S33+S29+R34)</f>
        <v>4768021.8528987356</v>
      </c>
      <c r="T34" s="9">
        <f>IF(OR(T33="",S34=""),"",T33+T29+S34)</f>
        <v>4402498.9903701507</v>
      </c>
      <c r="U34" s="9">
        <f t="shared" si="281"/>
        <v>4023039.9265012438</v>
      </c>
      <c r="V34" s="9">
        <f t="shared" si="281"/>
        <v>3752514.3154887492</v>
      </c>
      <c r="W34" s="9">
        <f t="shared" si="281"/>
        <v>3331589.414176926</v>
      </c>
      <c r="X34" s="9">
        <f t="shared" si="281"/>
        <v>2439526.4163848781</v>
      </c>
      <c r="Y34" s="9">
        <f t="shared" si="281"/>
        <v>1789582.4427175967</v>
      </c>
      <c r="Z34" s="9">
        <f t="shared" si="281"/>
        <v>1029917.0738599547</v>
      </c>
      <c r="AA34" s="9">
        <f t="shared" si="281"/>
        <v>-394092.18583238591</v>
      </c>
      <c r="AB34" s="9">
        <f t="shared" si="281"/>
        <v>-1268955.6422515034</v>
      </c>
      <c r="AC34" s="9">
        <f t="shared" si="281"/>
        <v>-1919740.0403075269</v>
      </c>
      <c r="AD34" s="9">
        <f t="shared" si="281"/>
        <v>-2736720.7160307006</v>
      </c>
      <c r="AE34" s="9">
        <f t="shared" si="281"/>
        <v>-3131103.1395762051</v>
      </c>
      <c r="AF34" s="9">
        <f t="shared" si="281"/>
        <v>-2412003.9003119762</v>
      </c>
      <c r="AG34" s="9">
        <f t="shared" si="281"/>
        <v>-1185239.0929393563</v>
      </c>
      <c r="AH34" s="9">
        <f t="shared" si="281"/>
        <v>103424.51856682287</v>
      </c>
      <c r="AI34" s="9">
        <f t="shared" si="281"/>
        <v>375217.00542823679</v>
      </c>
      <c r="AJ34" s="9">
        <f t="shared" si="281"/>
        <v>-89279.674788240227</v>
      </c>
      <c r="AK34" s="9">
        <f t="shared" si="281"/>
        <v>-527124.77666072757</v>
      </c>
      <c r="AL34" s="9">
        <f t="shared" si="281"/>
        <v>-1147324.4923273576</v>
      </c>
      <c r="AM34" s="9">
        <f t="shared" si="281"/>
        <v>-1909045.4612670527</v>
      </c>
      <c r="AN34" s="9">
        <f t="shared" ref="AN34" si="282">IF(OR(AN33="",AM34=""),"",AN33+AN29+AM34)</f>
        <v>-2818023.734388011</v>
      </c>
      <c r="AO34" s="9">
        <f t="shared" ref="AO34" si="283">IF(OR(AO33="",AN34=""),"",AO33+AO29+AN34)</f>
        <v>-3471053.2003729353</v>
      </c>
      <c r="AP34" s="9">
        <f t="shared" ref="AP34" si="284">IF(OR(AP33="",AO34=""),"",AP33+AP29+AO34)</f>
        <v>-3850786.452948228</v>
      </c>
      <c r="AQ34" s="9">
        <f t="shared" ref="AQ34" si="285">IF(OR(AQ33="",AP34=""),"",AQ33+AQ29+AP34)</f>
        <v>-4297064.6236972502</v>
      </c>
      <c r="AR34" s="9">
        <f t="shared" ref="AR34" si="286">IF(OR(AR33="",AQ34=""),"",AR33+AR29+AQ34)</f>
        <v>-2651480.9509084746</v>
      </c>
      <c r="AS34" s="9">
        <f>IF(OR(AS33="",AR34=""),"",AS33+AS29+AR34)</f>
        <v>-933915.25303540658</v>
      </c>
      <c r="AT34" s="9">
        <f t="shared" ref="AT34" si="287">IF(OR(AT33="",AS34=""),"",AT33+AT29+AS34)</f>
        <v>954453.02026880695</v>
      </c>
      <c r="AU34" s="9">
        <f t="shared" ref="AU34" si="288">IF(OR(AU33="",AT34=""),"",AU33+AU29+AT34)</f>
        <v>1507477.4382679467</v>
      </c>
      <c r="AV34" s="9">
        <f t="shared" ref="AV34" si="289">IF(OR(AV33="",AU34=""),"",AV33+AV29+AU34)</f>
        <v>889816.16442684305</v>
      </c>
      <c r="AW34" s="9">
        <f t="shared" ref="AW34" si="290">IF(OR(AW33="",AV34=""),"",AW33+AW29+AV34)</f>
        <v>484478.35343073856</v>
      </c>
      <c r="AX34" s="9">
        <f t="shared" ref="AX34" si="291">IF(OR(AX33="",AW34=""),"",AX33+AX29+AW34)</f>
        <v>-102537.98725972057</v>
      </c>
      <c r="AY34" s="9">
        <f t="shared" ref="AY34" si="292">IF(OR(AY33="",AX34=""),"",AY33+AY29+AX34)</f>
        <v>-824728.10348134546</v>
      </c>
      <c r="AZ34" s="9">
        <f t="shared" ref="AZ34" si="293">IF(OR(AZ33="",AY34=""),"",AZ33+AZ29+AY34)</f>
        <v>-2783203.2266318467</v>
      </c>
      <c r="BA34" s="9">
        <f t="shared" ref="BA34" si="294">IF(OR(BA33="",AZ34=""),"",BA33+BA29+AZ34)</f>
        <v>-2410566.5311978352</v>
      </c>
      <c r="BB34" s="9">
        <f t="shared" ref="BB34" si="295">IF(OR(BB33="",BA34=""),"",BB33+BB29+BA34)</f>
        <v>-2506928.3296415904</v>
      </c>
      <c r="BC34" s="9">
        <f t="shared" ref="BC34" si="296">IF(OR(BC33="",BB34=""),"",BC33+BC29+BB34)</f>
        <v>-2592584.5994478348</v>
      </c>
      <c r="BD34" s="9">
        <f t="shared" ref="BD34" si="297">IF(OR(BD33="",BC34=""),"",BD33+BD29+BC34)</f>
        <v>-2703955.707754205</v>
      </c>
      <c r="BE34" s="9">
        <f t="shared" ref="BE34" si="298">IF(OR(BE33="",BD34=""),"",BE33+BE29+BD34)</f>
        <v>-2853328.6117432509</v>
      </c>
      <c r="BF34" s="9">
        <f t="shared" ref="BF34" si="299">IF(OR(BF33="",BE34=""),"",BF33+BF29+BE34)</f>
        <v>-2993283.7119566547</v>
      </c>
      <c r="BG34" s="9">
        <f t="shared" ref="BG34" si="300">IF(OR(BG33="",BF34=""),"",BG33+BG29+BF34)</f>
        <v>-3119582.527414429</v>
      </c>
      <c r="BH34" s="9">
        <f t="shared" ref="BH34" si="301">IF(OR(BH33="",BG34=""),"",BH33+BH29+BG34)</f>
        <v>-3205550.5426718877</v>
      </c>
      <c r="BI34" s="9">
        <f t="shared" ref="BI34" si="302">IF(OR(BI33="",BH34=""),"",BI33+BI29+BH34)</f>
        <v>-3297503.0103683639</v>
      </c>
      <c r="BJ34" s="9">
        <f t="shared" ref="BJ34:CB34" si="303">IF(OR(BJ33="",BI34=""),"",BJ33+BJ29+BI34)</f>
        <v>-3419171.0762022007</v>
      </c>
      <c r="BK34" s="9">
        <f t="shared" si="303"/>
        <v>-3576917.1863053888</v>
      </c>
      <c r="BL34" s="9">
        <f t="shared" si="303"/>
        <v>-3462390.0460068155</v>
      </c>
      <c r="BM34" s="9">
        <f t="shared" si="303"/>
        <v>-3132101.2060231538</v>
      </c>
      <c r="BN34" s="9">
        <f t="shared" si="303"/>
        <v>-2908781.4347078195</v>
      </c>
      <c r="BO34" s="9">
        <f t="shared" si="303"/>
        <v>-2699109.0053561926</v>
      </c>
      <c r="BP34" s="9">
        <f t="shared" si="303"/>
        <v>-2424851.5648602825</v>
      </c>
      <c r="BQ34" s="9">
        <f t="shared" si="303"/>
        <v>-2062562.2385074629</v>
      </c>
      <c r="BR34" s="9">
        <f t="shared" si="303"/>
        <v>-1693058.6164762257</v>
      </c>
      <c r="BS34" s="9">
        <f t="shared" si="303"/>
        <v>-1329887.1774208932</v>
      </c>
      <c r="BT34" s="9">
        <f t="shared" si="303"/>
        <v>-1077903.091988001</v>
      </c>
      <c r="BU34" s="9">
        <f t="shared" si="303"/>
        <v>-841350.61978191836</v>
      </c>
      <c r="BV34" s="9">
        <f t="shared" si="303"/>
        <v>-545291.64580185909</v>
      </c>
      <c r="BW34" s="9">
        <f t="shared" si="303"/>
        <v>-163519.43818466493</v>
      </c>
      <c r="BX34" s="9">
        <f t="shared" si="303"/>
        <v>83209.647640791081</v>
      </c>
      <c r="BY34" s="9">
        <f t="shared" si="303"/>
        <v>97333.148116127326</v>
      </c>
      <c r="BZ34" s="9">
        <f t="shared" si="303"/>
        <v>105461.25901764051</v>
      </c>
      <c r="CA34" s="9">
        <f t="shared" si="303"/>
        <v>113620.61069491193</v>
      </c>
      <c r="CB34" s="9">
        <f t="shared" si="303"/>
        <v>124298.28928498033</v>
      </c>
      <c r="CC34" s="9">
        <f t="shared" ref="CC34:CI34" si="304">IF(OR(CC33="",CB34=""),"",CC33+CC29+CB34)</f>
        <v>139005.06480251608</v>
      </c>
      <c r="CD34" s="9">
        <f t="shared" si="304"/>
        <v>152985.78444806105</v>
      </c>
      <c r="CE34" s="9">
        <f t="shared" si="304"/>
        <v>164820.69968768809</v>
      </c>
      <c r="CF34" s="9">
        <f t="shared" si="304"/>
        <v>179448.39251407248</v>
      </c>
      <c r="CG34" s="9">
        <f t="shared" si="304"/>
        <v>188060.46401581948</v>
      </c>
      <c r="CH34" s="9">
        <f t="shared" si="304"/>
        <v>200200.5226345257</v>
      </c>
      <c r="CI34" s="9">
        <f t="shared" si="304"/>
        <v>215095.33888287429</v>
      </c>
    </row>
    <row r="35" spans="1:87" s="5" customFormat="1" ht="8.25" hidden="1" customHeight="1" outlineLevel="1" x14ac:dyDescent="0.35">
      <c r="A35" s="44"/>
      <c r="B35" s="13"/>
      <c r="C35" s="13"/>
      <c r="D35" s="13"/>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row>
    <row r="36" spans="1:87" s="5" customFormat="1" ht="15" hidden="1" customHeight="1" outlineLevel="1" x14ac:dyDescent="0.35">
      <c r="A36" s="274" t="s">
        <v>21</v>
      </c>
      <c r="B36" s="17"/>
      <c r="C36" s="32"/>
      <c r="D36" s="32"/>
      <c r="E36" s="9"/>
      <c r="F36" s="9"/>
      <c r="G36" s="9"/>
      <c r="H36" s="9"/>
      <c r="I36" s="9"/>
      <c r="J36" s="9"/>
      <c r="K36" s="9"/>
      <c r="L36" s="9"/>
      <c r="M36" s="9"/>
      <c r="N36" s="9"/>
      <c r="O36" s="9"/>
      <c r="P36" s="74">
        <v>668388.03466751985</v>
      </c>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141">
        <f>'MEEIA 2 adjs'!CY31</f>
        <v>-1416.2097759493299</v>
      </c>
      <c r="CG36" s="9"/>
      <c r="CH36" s="9"/>
      <c r="CI36" s="9"/>
    </row>
    <row r="37" spans="1:87" s="3" customFormat="1" ht="15" hidden="1" customHeight="1" outlineLevel="1" x14ac:dyDescent="0.35">
      <c r="A37" s="274"/>
      <c r="B37" s="17" t="s">
        <v>28</v>
      </c>
      <c r="C37" s="32"/>
      <c r="D37" s="32"/>
      <c r="E37" s="22">
        <f>IF('M2 Allocations - TD'!D6="","",'M2 Allocations - TD'!D32)</f>
        <v>0</v>
      </c>
      <c r="F37" s="22">
        <f>IF('M2 Allocations - TD'!E6="","",'M2 Allocations - TD'!E32)</f>
        <v>0</v>
      </c>
      <c r="G37" s="22">
        <f>IF('M2 Allocations - TD'!F6="","",'M2 Allocations - TD'!F32)</f>
        <v>0</v>
      </c>
      <c r="H37" s="22">
        <f>IF('M2 Allocations - TD'!G6="","",'M2 Allocations - TD'!G32)</f>
        <v>4167.9399999999996</v>
      </c>
      <c r="I37" s="22">
        <f>IF('M2 Allocations - TD'!H6="","",'M2 Allocations - TD'!H32)</f>
        <v>13357.940000000002</v>
      </c>
      <c r="J37" s="22">
        <f>IF('M2 Allocations - TD'!I6="","",'M2 Allocations - TD'!I32)</f>
        <v>14670.985238775314</v>
      </c>
      <c r="K37" s="22">
        <f>IF('M2 Allocations - TD'!J6="","",'M2 Allocations - TD'!J32)</f>
        <v>22602.465674921033</v>
      </c>
      <c r="L37" s="22">
        <f>IF('M2 Allocations - TD'!K6="","",'M2 Allocations - TD'!K32)</f>
        <v>23670.862866768453</v>
      </c>
      <c r="M37" s="22">
        <f>IF('M2 Allocations - TD'!L6="","",'M2 Allocations - TD'!L32)</f>
        <v>27753.308601536653</v>
      </c>
      <c r="N37" s="22">
        <f>IF('M2 Allocations - TD'!M6="","",'M2 Allocations - TD'!M32)</f>
        <v>37258.575758638253</v>
      </c>
      <c r="O37" s="22">
        <f>IF('M2 Allocations - TD'!N6="","",'M2 Allocations - TD'!N32)</f>
        <v>47579.322188278435</v>
      </c>
      <c r="P37" s="22">
        <f>IF('M2 Allocations - TD'!O6="","",'M2 Allocations - TD'!O32)</f>
        <v>42911.041729266297</v>
      </c>
      <c r="Q37" s="22">
        <f>IF('M2 Allocations - TD'!P6="","",'M2 Allocations - TD'!P32)</f>
        <v>52823.001162257649</v>
      </c>
      <c r="R37" s="22">
        <f>IF('M2 Allocations - TD'!Q6="","",'M2 Allocations - TD'!Q32)</f>
        <v>25950.307634173645</v>
      </c>
      <c r="S37" s="22">
        <f>IF('M2 Allocations - TD'!R6="","",'M2 Allocations - TD'!R32)</f>
        <v>48983.559131334005</v>
      </c>
      <c r="T37" s="22">
        <f>IF('M2 Allocations - TD'!S6="","",'M2 Allocations - TD'!S32)</f>
        <v>90621.489340586311</v>
      </c>
      <c r="U37" s="22">
        <f>IF('M2 Allocations - TD'!T6="","",'M2 Allocations - TD'!T32)</f>
        <v>138931.90000000002</v>
      </c>
      <c r="V37" s="22">
        <f>IF('M2 Allocations - TD'!U6="","",'M2 Allocations - TD'!U32)</f>
        <v>133700.2685394297</v>
      </c>
      <c r="W37" s="22">
        <f>IF('M2 Allocations - TD'!V6="","",'M2 Allocations - TD'!V32)</f>
        <v>151757.81340251025</v>
      </c>
      <c r="X37" s="22">
        <f>IF('M2 Allocations - TD'!W6="","",'M2 Allocations - TD'!W32)</f>
        <v>116837.79257470783</v>
      </c>
      <c r="Y37" s="22">
        <f>IF('M2 Allocations - TD'!X6="","",'M2 Allocations - TD'!X32)</f>
        <v>88133.517269885691</v>
      </c>
      <c r="Z37" s="22">
        <f>IF('M2 Allocations - TD'!Y6="","",'M2 Allocations - TD'!Y32)</f>
        <v>126989.00719390194</v>
      </c>
      <c r="AA37" s="22">
        <f>IF('M2 Allocations - TD'!Z6="","",'M2 Allocations - TD'!Z32)</f>
        <v>151376.91870679389</v>
      </c>
      <c r="AB37" s="22">
        <f>IF('M2 Allocations - TD'!AA6="","",'M2 Allocations - TD'!AA32)</f>
        <v>131012.65264951537</v>
      </c>
      <c r="AC37" s="22">
        <f>IF('M2 Allocations - TD'!AB6="","",'M2 Allocations - TD'!AB32)</f>
        <v>161984.73662810036</v>
      </c>
      <c r="AD37" s="22">
        <f>IF('M2 Allocations - TD'!AC6="","",'M2 Allocations - TD'!AC32)</f>
        <v>186884.98622710272</v>
      </c>
      <c r="AE37" s="22">
        <f>IF('M2 Allocations - TD'!AD6="","",'M2 Allocations - TD'!AD32)</f>
        <v>260709.07600105793</v>
      </c>
      <c r="AF37" s="22">
        <f>IF('M2 Allocations - TD'!AE6="","",'M2 Allocations - TD'!AE32)</f>
        <v>394275.90039880731</v>
      </c>
      <c r="AG37" s="22">
        <f>IF('M2 Allocations - TD'!AF6="","",'M2 Allocations - TD'!AF32)</f>
        <v>517564.58433629415</v>
      </c>
      <c r="AH37" s="22">
        <f>IF('M2 Allocations - TD'!AG6="","",'M2 Allocations - TD'!AG32)</f>
        <v>456642.37398614379</v>
      </c>
      <c r="AI37" s="22">
        <f>IF('M2 Allocations - TD'!AH6="","",'M2 Allocations - TD'!AH32)</f>
        <v>495377.09665466635</v>
      </c>
      <c r="AJ37" s="22">
        <f>IF('M2 Allocations - TD'!AI6="","",'M2 Allocations - TD'!AI32)</f>
        <v>348239.88671273278</v>
      </c>
      <c r="AK37" s="22">
        <f>IF('M2 Allocations - TD'!AJ6="","",'M2 Allocations - TD'!AJ32)</f>
        <v>315404.35918017995</v>
      </c>
      <c r="AL37" s="22">
        <f>IF('M2 Allocations - TD'!AK6="","",'M2 Allocations - TD'!AK32)</f>
        <v>349367.88347835495</v>
      </c>
      <c r="AM37" s="22">
        <f>IF('M2 Allocations - TD'!AL6="","",'M2 Allocations - TD'!AL32)</f>
        <v>376670.80776353204</v>
      </c>
      <c r="AN37" s="22">
        <f>IF('M2 Allocations - TD'!AM6="","",'M2 Allocations - TD'!AM32)</f>
        <v>315666.15712072933</v>
      </c>
      <c r="AO37" s="22">
        <f>IF('M2 Allocations - TD'!AN6="","",'M2 Allocations - TD'!AN32)</f>
        <v>426235.9958025862</v>
      </c>
      <c r="AP37" s="22">
        <f>IF('M2 Allocations - TD'!AO6="","",'M2 Allocations - TD'!AO32)</f>
        <v>429805.50677490461</v>
      </c>
      <c r="AQ37" s="22">
        <f>IF('M2 Allocations - TD'!AP6="","",'M2 Allocations - TD'!AP32)</f>
        <v>425502.70439957909</v>
      </c>
      <c r="AR37" s="22">
        <f>IF('M2 Allocations - TD'!AQ6="","",'M2 Allocations - TD'!AQ32)</f>
        <v>711026.13316380861</v>
      </c>
      <c r="AS37" s="22">
        <f>IF('M2 Allocations - TD'!AR6="","",'M2 Allocations - TD'!AR32)</f>
        <v>906630.75933951</v>
      </c>
      <c r="AT37" s="22">
        <f>IF('M2 Allocations - TD'!AS6="","",'M2 Allocations - TD'!AS32)</f>
        <v>735303.71734464087</v>
      </c>
      <c r="AU37" s="22">
        <f>IF('M2 Allocations - TD'!AT6="","",'M2 Allocations - TD'!AT32)</f>
        <v>765682.15647802898</v>
      </c>
      <c r="AV37" s="22">
        <f>IF('M2 Allocations - TD'!AU6="","",'M2 Allocations - TD'!AU32)</f>
        <v>522721.08210263157</v>
      </c>
      <c r="AW37" s="22">
        <f>IF('M2 Allocations - TD'!AV6="","",'M2 Allocations - TD'!AV32)</f>
        <v>445892.99890309712</v>
      </c>
      <c r="AX37" s="22">
        <f>IF('M2 Allocations - TD'!AW6="","",'M2 Allocations - TD'!AW32)</f>
        <v>380966.65670412086</v>
      </c>
      <c r="AY37" s="22">
        <f>IF('M2 Allocations - TD'!AX6="","",'M2 Allocations - TD'!AX32)</f>
        <v>451558.90985025105</v>
      </c>
      <c r="AZ37" s="22">
        <f>IF('M2 Allocations - TD'!AY6="","",'M2 Allocations - TD'!AY32)</f>
        <v>349160.22599545511</v>
      </c>
      <c r="BA37" s="22">
        <f>IF('M2 Allocations - TD'!AZ6="","",'M2 Allocations - TD'!AZ32)</f>
        <v>388715.00802980497</v>
      </c>
      <c r="BB37" s="22">
        <f>IF('M2 Allocations - TD'!BA6="","",'M2 Allocations - TD'!BA32)</f>
        <v>0</v>
      </c>
      <c r="BC37" s="22">
        <f>IF('M2 Allocations - TD'!BB6="","",'M2 Allocations - TD'!BB32)</f>
        <v>-280.76739666505853</v>
      </c>
      <c r="BD37" s="22">
        <f>IF('M2 Allocations - TD'!BC6="","",'M2 Allocations - TD'!BC32)</f>
        <v>0</v>
      </c>
      <c r="BE37" s="22">
        <f>IF('M2 Allocations - TD'!BD6="","",'M2 Allocations - TD'!BD32)</f>
        <v>0</v>
      </c>
      <c r="BF37" s="22">
        <f>IF('M2 Allocations - TD'!BE6="","",'M2 Allocations - TD'!BE32)</f>
        <v>0</v>
      </c>
      <c r="BG37" s="22">
        <f>IF('M2 Allocations - TD'!BF6="","",'M2 Allocations - TD'!BF32)</f>
        <v>0</v>
      </c>
      <c r="BH37" s="22">
        <f>IF('M2 Allocations - TD'!BG6="","",'M2 Allocations - TD'!BG32)</f>
        <v>0</v>
      </c>
      <c r="BI37" s="22">
        <f>IF('M2 Allocations - TD'!BH6="","",'M2 Allocations - TD'!BH32)</f>
        <v>0</v>
      </c>
      <c r="BJ37" s="22">
        <f>IF('M2 Allocations - TD'!BI6="","",'M2 Allocations - TD'!BI32)</f>
        <v>0</v>
      </c>
      <c r="BK37" s="22">
        <f>IF('M2 Allocations - TD'!BJ6="","",'M2 Allocations - TD'!BJ32)</f>
        <v>0</v>
      </c>
      <c r="BL37" s="22">
        <f>IF('M2 Allocations - TD'!BK6="","",'M2 Allocations - TD'!BK32)</f>
        <v>255.64000000059605</v>
      </c>
      <c r="BM37" s="22">
        <f>IF('M2 Allocations - TD'!BL6="","",'M2 Allocations - TD'!BL32)</f>
        <v>592.33999999985099</v>
      </c>
      <c r="BN37" s="22">
        <f>IF('M2 Allocations - TD'!BM6="","",'M2 Allocations - TD'!BM32)</f>
        <v>632.41000000014901</v>
      </c>
      <c r="BO37" s="22">
        <f>IF('M2 Allocations - TD'!BN6="","",'M2 Allocations - TD'!BN32)</f>
        <v>892.52999999932945</v>
      </c>
      <c r="BP37" s="22">
        <f>IF('M2 Allocations - TD'!BO6="","",'M2 Allocations - TD'!BO32)</f>
        <v>1958.390000000596</v>
      </c>
      <c r="BQ37" s="22">
        <f>IF('M2 Allocations - TD'!BP6="","",'M2 Allocations - TD'!BP32)</f>
        <v>2575.9900000002235</v>
      </c>
      <c r="BR37" s="22">
        <f>IF('M2 Allocations - TD'!BQ6="","",'M2 Allocations - TD'!BQ32)</f>
        <v>2901.589999999851</v>
      </c>
      <c r="BS37" s="22">
        <f>IF('M2 Allocations - TD'!BR6="","",'M2 Allocations - TD'!BR32)</f>
        <v>2255.2100000008941</v>
      </c>
      <c r="BT37" s="22">
        <f>IF('M2 Allocations - TD'!BS6="","",'M2 Allocations - TD'!BS32)</f>
        <v>1201.0499999988824</v>
      </c>
      <c r="BU37" s="22">
        <f>IF('M2 Allocations - TD'!BT6="","",'M2 Allocations - TD'!BT32)</f>
        <v>993.04000000096858</v>
      </c>
      <c r="BV37" s="22">
        <f>IF('M2 Allocations - TD'!BU6="","",'M2 Allocations - TD'!BU32)</f>
        <v>1022.7099999990314</v>
      </c>
      <c r="BW37" s="22">
        <f>IF('M2 Allocations - TD'!BV6="","",'M2 Allocations - TD'!BV32)</f>
        <v>1061.0999999996275</v>
      </c>
      <c r="BX37" s="22">
        <f>IF('M2 Allocations - TD'!BW6="","",'M2 Allocations - TD'!BW32)</f>
        <v>818.65000000037253</v>
      </c>
      <c r="BY37" s="22">
        <f>IF('M2 Allocations - TD'!BX6="","",'M2 Allocations - TD'!BX32)</f>
        <v>0</v>
      </c>
      <c r="BZ37" s="22">
        <f>IF('M2 Allocations - TD'!BY6="","",'M2 Allocations - TD'!BY32)</f>
        <v>0</v>
      </c>
      <c r="CA37" s="22">
        <f>IF('M2 Allocations - TD'!BZ6="","",'M2 Allocations - TD'!BZ32)</f>
        <v>0</v>
      </c>
      <c r="CB37" s="22">
        <f>IF('M2 Allocations - TD'!CA6="","",'M2 Allocations - TD'!CA32)</f>
        <v>0</v>
      </c>
      <c r="CC37" s="22">
        <f>IF('M2 Allocations - TD'!CB6="","",'M2 Allocations - TD'!CB32)</f>
        <v>0</v>
      </c>
      <c r="CD37" s="22">
        <f>IF('M2 Allocations - TD'!CC6="","",'M2 Allocations - TD'!CC32)</f>
        <v>0</v>
      </c>
      <c r="CE37" s="22">
        <f>IF('M2 Allocations - TD'!CD6="","",'M2 Allocations - TD'!CD32)</f>
        <v>0</v>
      </c>
      <c r="CF37" s="22">
        <f>IF('M2 Allocations - TD'!CE6="","",'M2 Allocations - TD'!CE32)</f>
        <v>0</v>
      </c>
      <c r="CG37" s="22">
        <f>IF('M2 Allocations - TD'!CF6="","",'M2 Allocations - TD'!CF32)</f>
        <v>0</v>
      </c>
      <c r="CH37" s="22">
        <f>IF('M2 Allocations - TD'!CG6="","",'M2 Allocations - TD'!CG32)</f>
        <v>0</v>
      </c>
      <c r="CI37" s="22">
        <f>IF('M2 Allocations - TD'!CH6="","",'M2 Allocations - TD'!CH32)</f>
        <v>0</v>
      </c>
    </row>
    <row r="38" spans="1:87" s="5" customFormat="1" ht="15" hidden="1" customHeight="1" outlineLevel="1" x14ac:dyDescent="0.35">
      <c r="A38" s="274"/>
      <c r="B38" s="18" t="s">
        <v>26</v>
      </c>
      <c r="C38" s="26"/>
      <c r="D38" s="26"/>
      <c r="E38" s="24">
        <v>0</v>
      </c>
      <c r="F38" s="24">
        <v>0</v>
      </c>
      <c r="G38" s="24">
        <v>856.28</v>
      </c>
      <c r="H38" s="24">
        <v>12419.27</v>
      </c>
      <c r="I38" s="24">
        <v>14760.05</v>
      </c>
      <c r="J38" s="24">
        <v>14736.25</v>
      </c>
      <c r="K38" s="24">
        <v>14174.52</v>
      </c>
      <c r="L38" s="24">
        <v>12053.27</v>
      </c>
      <c r="M38" s="24">
        <v>10707.26</v>
      </c>
      <c r="N38" s="24">
        <v>12431.58</v>
      </c>
      <c r="O38" s="24">
        <v>27338.89</v>
      </c>
      <c r="P38" s="24">
        <f>144458.09+268.19</f>
        <v>144726.28</v>
      </c>
      <c r="Q38" s="24">
        <f>128591.46-105.49</f>
        <v>128485.97</v>
      </c>
      <c r="R38" s="22">
        <f>IF('M2 Allocations - TD'!Q51="","",'M2 Allocations - TD'!Q69)</f>
        <v>117754.86766427531</v>
      </c>
      <c r="S38" s="22">
        <f>IF('M2 Allocations - TD'!R51="","",'M2 Allocations - TD'!R69)</f>
        <v>117111.78358657917</v>
      </c>
      <c r="T38" s="22">
        <f>IF('M2 Allocations - TD'!S51="","",'M2 Allocations - TD'!S69)</f>
        <v>139211.1271761941</v>
      </c>
      <c r="U38" s="22">
        <f>IF('M2 Allocations - TD'!T51="","",'M2 Allocations - TD'!T69)</f>
        <v>160900.46992761682</v>
      </c>
      <c r="V38" s="22">
        <f>IF('M2 Allocations - TD'!U51="","",'M2 Allocations - TD'!U69)</f>
        <v>162415.72720926077</v>
      </c>
      <c r="W38" s="22">
        <f>IF('M2 Allocations - TD'!V51="","",'M2 Allocations - TD'!V69)</f>
        <v>145481.1603029698</v>
      </c>
      <c r="X38" s="22">
        <f>IF('M2 Allocations - TD'!W51="","",'M2 Allocations - TD'!W69)</f>
        <v>137867.15538119225</v>
      </c>
      <c r="Y38" s="22">
        <f>IF('M2 Allocations - TD'!X51="","",'M2 Allocations - TD'!X69)</f>
        <v>122671.59779667509</v>
      </c>
      <c r="Z38" s="22">
        <f>IF('M2 Allocations - TD'!Y51="","",'M2 Allocations - TD'!Y69)</f>
        <v>134648.09810155624</v>
      </c>
      <c r="AA38" s="22">
        <f>IF('M2 Allocations - TD'!Z51="","",'M2 Allocations - TD'!Z69)</f>
        <v>193970.45230344273</v>
      </c>
      <c r="AB38" s="22">
        <f>IF('M2 Allocations - TD'!AA51="","",'M2 Allocations - TD'!AA69)</f>
        <v>337014.49</v>
      </c>
      <c r="AC38" s="22">
        <f>IF('M2 Allocations - TD'!AB51="","",'M2 Allocations - TD'!AB69)</f>
        <v>295708.57620644657</v>
      </c>
      <c r="AD38" s="22">
        <f>IF('M2 Allocations - TD'!AC51="","",'M2 Allocations - TD'!AC69)</f>
        <v>291406.59328999976</v>
      </c>
      <c r="AE38" s="22">
        <f>IF('M2 Allocations - TD'!AD51="","",'M2 Allocations - TD'!AD69)</f>
        <v>264923.25566753082</v>
      </c>
      <c r="AF38" s="22">
        <f>IF('M2 Allocations - TD'!AE51="","",'M2 Allocations - TD'!AE69)</f>
        <v>333657.21503767214</v>
      </c>
      <c r="AG38" s="22">
        <f>IF('M2 Allocations - TD'!AF51="","",'M2 Allocations - TD'!AF69)</f>
        <v>367915.86365673423</v>
      </c>
      <c r="AH38" s="22">
        <f>IF('M2 Allocations - TD'!AG51="","",'M2 Allocations - TD'!AG69)</f>
        <v>344001.06732957577</v>
      </c>
      <c r="AI38" s="22">
        <f>IF('M2 Allocations - TD'!AH51="","",'M2 Allocations - TD'!AH69)</f>
        <v>338126.29031171976</v>
      </c>
      <c r="AJ38" s="22">
        <f>IF('M2 Allocations - TD'!AI51="","",'M2 Allocations - TD'!AI69)</f>
        <v>297845.76900715684</v>
      </c>
      <c r="AK38" s="22">
        <f>IF('M2 Allocations - TD'!AJ51="","",'M2 Allocations - TD'!AJ69)</f>
        <v>267618.62093979405</v>
      </c>
      <c r="AL38" s="22">
        <f>IF('M2 Allocations - TD'!AK51="","",'M2 Allocations - TD'!AK69)</f>
        <v>322555.10705520917</v>
      </c>
      <c r="AM38" s="22">
        <f>IF('M2 Allocations - TD'!AL51="","",'M2 Allocations - TD'!AL69)</f>
        <v>371341.16797562933</v>
      </c>
      <c r="AN38" s="22">
        <f>IF('M2 Allocations - TD'!AM51="","",'M2 Allocations - TD'!AM69)</f>
        <v>701136.2388481237</v>
      </c>
      <c r="AO38" s="22">
        <f>IF('M2 Allocations - TD'!AN51="","",'M2 Allocations - TD'!AN69)</f>
        <v>660367.02395744435</v>
      </c>
      <c r="AP38" s="22">
        <f>IF('M2 Allocations - TD'!AO51="","",'M2 Allocations - TD'!AO69)</f>
        <v>536256.50994038768</v>
      </c>
      <c r="AQ38" s="22">
        <f>IF('M2 Allocations - TD'!AP51="","",'M2 Allocations - TD'!AP69)</f>
        <v>506299.41162084811</v>
      </c>
      <c r="AR38" s="22">
        <f>IF('M2 Allocations - TD'!AQ51="","",'M2 Allocations - TD'!AQ69)</f>
        <v>591277.49932374491</v>
      </c>
      <c r="AS38" s="22">
        <f>IF('M2 Allocations - TD'!AR51="","",'M2 Allocations - TD'!AR69)</f>
        <v>676039.62753147213</v>
      </c>
      <c r="AT38" s="22">
        <f>IF('M2 Allocations - TD'!AS51="","",'M2 Allocations - TD'!AS69)</f>
        <v>694696.60025960801</v>
      </c>
      <c r="AU38" s="22">
        <f>IF('M2 Allocations - TD'!AT51="","",'M2 Allocations - TD'!AT69)</f>
        <v>670877.10139883822</v>
      </c>
      <c r="AV38" s="22">
        <f>IF('M2 Allocations - TD'!AU51="","",'M2 Allocations - TD'!AU69)</f>
        <v>604713.02387172775</v>
      </c>
      <c r="AW38" s="22">
        <f>IF('M2 Allocations - TD'!AV51="","",'M2 Allocations - TD'!AV69)</f>
        <v>541098.36747130833</v>
      </c>
      <c r="AX38" s="22">
        <f>IF('M2 Allocations - TD'!AW51="","",'M2 Allocations - TD'!AW69)</f>
        <v>635047.56064080668</v>
      </c>
      <c r="AY38" s="22">
        <f>IF('M2 Allocations - TD'!AX51="","",'M2 Allocations - TD'!AX69)</f>
        <v>677042.48835283797</v>
      </c>
      <c r="AZ38" s="22">
        <f>IF('M2 Allocations - TD'!AY51="","",'M2 Allocations - TD'!AY69)</f>
        <v>415381.06618172349</v>
      </c>
      <c r="BA38" s="22">
        <f>IF('M2 Allocations - TD'!AZ51="","",'M2 Allocations - TD'!AZ69)</f>
        <v>87488.365088698483</v>
      </c>
      <c r="BB38" s="22">
        <f>IF('M2 Allocations - TD'!BA51="","",'M2 Allocations - TD'!BA69)</f>
        <v>64808.481988010986</v>
      </c>
      <c r="BC38" s="22">
        <f>IF('M2 Allocations - TD'!BB51="","",'M2 Allocations - TD'!BB69)</f>
        <v>59023.185490174175</v>
      </c>
      <c r="BD38" s="22">
        <f>IF('M2 Allocations - TD'!BC51="","",'M2 Allocations - TD'!BC69)</f>
        <v>73834.949720540346</v>
      </c>
      <c r="BE38" s="22">
        <f>IF('M2 Allocations - TD'!BD51="","",'M2 Allocations - TD'!BD69)</f>
        <v>92018.552084119583</v>
      </c>
      <c r="BF38" s="22">
        <f>IF('M2 Allocations - TD'!BE51="","",'M2 Allocations - TD'!BE69)</f>
        <v>90580.739582948823</v>
      </c>
      <c r="BG38" s="22">
        <f>IF('M2 Allocations - TD'!BF51="","",'M2 Allocations - TD'!BF69)</f>
        <v>86046.105340623792</v>
      </c>
      <c r="BH38" s="22">
        <f>IF('M2 Allocations - TD'!BG51="","",'M2 Allocations - TD'!BG69)</f>
        <v>69862.512633552527</v>
      </c>
      <c r="BI38" s="22">
        <f>IF('M2 Allocations - TD'!BH51="","",'M2 Allocations - TD'!BH69)</f>
        <v>69704.10872407959</v>
      </c>
      <c r="BJ38" s="22">
        <f>IF('M2 Allocations - TD'!BI51="","",'M2 Allocations - TD'!BI69)</f>
        <v>80360.687024982573</v>
      </c>
      <c r="BK38" s="22">
        <f>IF('M2 Allocations - TD'!BJ51="","",'M2 Allocations - TD'!BJ69)</f>
        <v>95761.440926806667</v>
      </c>
      <c r="BL38" s="22">
        <f>IF('M2 Allocations - TD'!BK51="","",'M2 Allocations - TD'!BK69)</f>
        <v>-1907.9937762007746</v>
      </c>
      <c r="BM38" s="22">
        <f>IF('M2 Allocations - TD'!BL51="","",'M2 Allocations - TD'!BL69)</f>
        <v>-102362.10040602235</v>
      </c>
      <c r="BN38" s="22">
        <f>IF('M2 Allocations - TD'!BM51="","",'M2 Allocations - TD'!BM69)</f>
        <v>-81659.759942022312</v>
      </c>
      <c r="BO38" s="22">
        <f>IF('M2 Allocations - TD'!BN51="","",'M2 Allocations - TD'!BN69)</f>
        <v>-80583.41964173934</v>
      </c>
      <c r="BP38" s="22">
        <f>IF('M2 Allocations - TD'!BO51="","",'M2 Allocations - TD'!BO69)</f>
        <v>-95520.020947600293</v>
      </c>
      <c r="BQ38" s="22">
        <f>IF('M2 Allocations - TD'!BP51="","",'M2 Allocations - TD'!BP69)</f>
        <v>-112468.59809397052</v>
      </c>
      <c r="BR38" s="22">
        <f>IF('M2 Allocations - TD'!BQ51="","",'M2 Allocations - TD'!BQ69)</f>
        <v>-112970.29647430769</v>
      </c>
      <c r="BS38" s="22">
        <f>IF('M2 Allocations - TD'!BR51="","",'M2 Allocations - TD'!BR69)</f>
        <v>-114176.56432782451</v>
      </c>
      <c r="BT38" s="22">
        <f>IF('M2 Allocations - TD'!BS51="","",'M2 Allocations - TD'!BS69)</f>
        <v>-95359.199900074542</v>
      </c>
      <c r="BU38" s="22">
        <f>IF('M2 Allocations - TD'!BT51="","",'M2 Allocations - TD'!BT69)</f>
        <v>-85048.337899656035</v>
      </c>
      <c r="BV38" s="22">
        <f>IF('M2 Allocations - TD'!BU51="","",'M2 Allocations - TD'!BU69)</f>
        <v>-96923.929909834478</v>
      </c>
      <c r="BW38" s="22">
        <f>IF('M2 Allocations - TD'!BV51="","",'M2 Allocations - TD'!BV69)</f>
        <v>-114316.61954150567</v>
      </c>
      <c r="BX38" s="22">
        <f>IF('M2 Allocations - TD'!BW51="","",'M2 Allocations - TD'!BW69)</f>
        <v>-70347.05152582172</v>
      </c>
      <c r="BY38" s="22">
        <f>IF('M2 Allocations - TD'!BX51="","",'M2 Allocations - TD'!BX69)</f>
        <v>-3800.9561632831483</v>
      </c>
      <c r="BZ38" s="22">
        <f>IF('M2 Allocations - TD'!BY51="","",'M2 Allocations - TD'!BY69)</f>
        <v>-3430.8126987825262</v>
      </c>
      <c r="CA38" s="22">
        <f>IF('M2 Allocations - TD'!BZ51="","",'M2 Allocations - TD'!BZ69)</f>
        <v>-3159.8932354852132</v>
      </c>
      <c r="CB38" s="22">
        <f>IF('M2 Allocations - TD'!CA51="","",'M2 Allocations - TD'!CA69)</f>
        <v>-3581.5162113053066</v>
      </c>
      <c r="CC38" s="22">
        <f>IF('M2 Allocations - TD'!CB51="","",'M2 Allocations - TD'!CB69)</f>
        <v>-4119.5944291965261</v>
      </c>
      <c r="CD38" s="22">
        <f>IF('M2 Allocations - TD'!CC51="","",'M2 Allocations - TD'!CC69)</f>
        <v>-4322.0730845019007</v>
      </c>
      <c r="CE38" s="22">
        <f>IF('M2 Allocations - TD'!CD51="","",'M2 Allocations - TD'!CD69)</f>
        <v>-3929.9254185913205</v>
      </c>
      <c r="CF38" s="22">
        <f>IF('M2 Allocations - TD'!CE51="","",'M2 Allocations - TD'!CE69)</f>
        <v>-3276.9745441742421</v>
      </c>
      <c r="CG38" s="22">
        <f>IF('M2 Allocations - TD'!CF51="","",'M2 Allocations - TD'!CF69)</f>
        <v>-2952.3758739805608</v>
      </c>
      <c r="CH38" s="22">
        <f>IF('M2 Allocations - TD'!CG51="","",'M2 Allocations - TD'!CG69)</f>
        <v>-3568.1857151146278</v>
      </c>
      <c r="CI38" s="22">
        <f>IF('M2 Allocations - TD'!CH51="","",'M2 Allocations - TD'!CH69)</f>
        <v>-4207.566389348307</v>
      </c>
    </row>
    <row r="39" spans="1:87" s="5" customFormat="1" ht="15" hidden="1" customHeight="1" outlineLevel="1" x14ac:dyDescent="0.35">
      <c r="A39" s="274"/>
      <c r="B39" s="18" t="s">
        <v>51</v>
      </c>
      <c r="C39" s="26"/>
      <c r="D39" s="26"/>
      <c r="E39" s="24"/>
      <c r="F39" s="24"/>
      <c r="G39" s="24"/>
      <c r="H39" s="24"/>
      <c r="I39" s="24"/>
      <c r="J39" s="24"/>
      <c r="K39" s="24"/>
      <c r="L39" s="24"/>
      <c r="M39" s="24"/>
      <c r="N39" s="24"/>
      <c r="O39" s="24">
        <f>+'M2 TD amort'!C15</f>
        <v>0</v>
      </c>
      <c r="P39" s="24">
        <f>IF(P38="","",-'M2 TD amort'!D15)</f>
        <v>-57670.81</v>
      </c>
      <c r="Q39" s="24">
        <f>IF(Q38="","",-'M2 TD amort'!E15)</f>
        <v>-51199.34</v>
      </c>
      <c r="R39" s="22">
        <f>IF(R38="","",-'M2 TD amort'!F15)</f>
        <v>-48454.46</v>
      </c>
      <c r="S39" s="22">
        <f>IF(S38="","",-'M2 TD amort'!G15)</f>
        <v>-47961.66</v>
      </c>
      <c r="T39" s="22">
        <f>IF(T38="","",-'M2 TD amort'!H15)</f>
        <v>-56993.58</v>
      </c>
      <c r="U39" s="22">
        <f>IF(U38="","",-'M2 TD amort'!I15)</f>
        <v>-66068.81</v>
      </c>
      <c r="V39" s="22">
        <f>IF(V38="","",-'M2 TD amort'!J15)</f>
        <v>-66699.539999999994</v>
      </c>
      <c r="W39" s="22">
        <f>IF(W38="","",-'M2 TD amort'!K15)</f>
        <v>-59653.25</v>
      </c>
      <c r="X39" s="22">
        <f>IF(X38="","",-'M2 TD amort'!L15)</f>
        <v>-56484.08</v>
      </c>
      <c r="Y39" s="22">
        <f>IF(Y38="","",-'M2 TD amort'!M15)</f>
        <v>-50487.58</v>
      </c>
      <c r="Z39" s="22">
        <f>IF(Z38="","",-'M2 TD amort'!N15)</f>
        <v>-55758.36</v>
      </c>
      <c r="AA39" s="22">
        <f>IF(AA38="","",-'M2 TD amort'!O15)</f>
        <v>-80581.48</v>
      </c>
      <c r="AB39" s="22">
        <f>IF(AB38="","",-'M2 TD amort'!P15)</f>
        <v>-22915.75</v>
      </c>
      <c r="AC39" s="22">
        <f>IF(AC38="","",-'M2 TD amort'!Q15)</f>
        <v>-20081.22</v>
      </c>
      <c r="AD39" s="22">
        <f>IF(AD38="","",-'M2 TD amort'!R15)</f>
        <v>-19791.830000000002</v>
      </c>
      <c r="AE39" s="22">
        <f>IF(AE38="","",-'M2 TD amort'!S15)</f>
        <v>-17914.810000000001</v>
      </c>
      <c r="AF39" s="22">
        <f>IF(AF38="","",-'M2 TD amort'!T15)</f>
        <v>-22552.86</v>
      </c>
      <c r="AG39" s="22">
        <f>IF(AG38="","",-'M2 TD amort'!U15)</f>
        <v>-24883.18</v>
      </c>
      <c r="AH39" s="22">
        <f>IF(AH38="","",-'M2 TD amort'!V15)</f>
        <v>-23251.17</v>
      </c>
      <c r="AI39" s="22">
        <f>IF(AI38="","",-'M2 TD amort'!W15)</f>
        <v>-22846.74</v>
      </c>
      <c r="AJ39" s="22">
        <f>IF(AJ38="","",-'M2 TD amort'!X15)</f>
        <v>-20130.740000000002</v>
      </c>
      <c r="AK39" s="22">
        <f>IF(AK38="","",-'M2 TD amort'!Y15)</f>
        <v>-18136.46</v>
      </c>
      <c r="AL39" s="22">
        <f>IF(AL38="","",-'M2 TD amort'!Z15)</f>
        <v>-21919.72</v>
      </c>
      <c r="AM39" s="22">
        <f>IF(AM38="","",-'M2 TD amort'!AA15)</f>
        <v>-25229.34</v>
      </c>
      <c r="AN39" s="22">
        <f>IF(AN38="","",-'M2 TD amort'!AB15)</f>
        <v>-41190.97</v>
      </c>
      <c r="AO39" s="22">
        <f>IF(AO38="","",-'M2 TD amort'!AC15)</f>
        <v>-38787.67</v>
      </c>
      <c r="AP39" s="22">
        <f>IF(AP38="","",-'M2 TD amort'!AD15)</f>
        <v>-31443.78</v>
      </c>
      <c r="AQ39" s="22">
        <f>IF(AQ38="","",-'M2 TD amort'!AE15)</f>
        <v>-29644</v>
      </c>
      <c r="AR39" s="22">
        <f>IF(AR38="","",-'M2 TD amort'!AF15)</f>
        <v>-34609.08</v>
      </c>
      <c r="AS39" s="22">
        <f>IF(AS38="","",-'M2 TD amort'!AG15)</f>
        <v>-39585.75</v>
      </c>
      <c r="AT39" s="22">
        <f>IF(AT38="","",-'M2 TD amort'!AH15)</f>
        <v>-40683.480000000003</v>
      </c>
      <c r="AU39" s="22">
        <f>IF(AU38="","",-'M2 TD amort'!AI15)</f>
        <v>-39274.67</v>
      </c>
      <c r="AV39" s="22">
        <f>IF(AV38="","",-'M2 TD amort'!AJ15)</f>
        <v>-35394.61</v>
      </c>
      <c r="AW39" s="22">
        <f>IF(AW38="","",-'M2 TD amort'!AK15)</f>
        <v>-31714.62</v>
      </c>
      <c r="AX39" s="22">
        <f>IF(AX38="","",-'M2 TD amort'!AL15)</f>
        <v>-37264.32</v>
      </c>
      <c r="AY39" s="22">
        <f>IF(AY38="","",-'M2 TD amort'!AM15)</f>
        <v>-39738.61</v>
      </c>
      <c r="AZ39" s="22">
        <f>IF(AZ38="","",-'M2 TD amort'!AN15)</f>
        <v>259244.3</v>
      </c>
      <c r="BA39" s="22">
        <f>IF(BA38="","",-'M2 TD amort'!AO15)</f>
        <v>54461.07</v>
      </c>
      <c r="BB39" s="22">
        <f>IF(BB38="","",-'M2 TD amort'!AP15)</f>
        <v>40308.699999999997</v>
      </c>
      <c r="BC39" s="22">
        <f>IF(BC38="","",-'M2 TD amort'!AQ15)</f>
        <v>36689.64</v>
      </c>
      <c r="BD39" s="22">
        <f>IF(BD38="","",-'M2 TD amort'!AR15)</f>
        <v>45879.44</v>
      </c>
      <c r="BE39" s="22">
        <f>IF(BE38="","",-'M2 TD amort'!AS15)</f>
        <v>57185.74</v>
      </c>
      <c r="BF39" s="22">
        <f>IF(BF38="","",-'M2 TD amort'!AT15)</f>
        <v>56277.09</v>
      </c>
      <c r="BG39" s="22">
        <f>IF(BG38="","",-'M2 TD amort'!AU15)</f>
        <v>53447.12</v>
      </c>
      <c r="BH39" s="22">
        <f>IF(BH38="","",-'M2 TD amort'!AV15)</f>
        <v>43395.75</v>
      </c>
      <c r="BI39" s="22">
        <f>IF(BI38="","",-'M2 TD amort'!AW15)</f>
        <v>43326.04</v>
      </c>
      <c r="BJ39" s="22">
        <f>IF(BJ38="","",-'M2 TD amort'!AX15)</f>
        <v>49988.83</v>
      </c>
      <c r="BK39" s="22">
        <f>IF(BK38="","",-'M2 TD amort'!AY15)</f>
        <v>59615.22</v>
      </c>
      <c r="BL39" s="22">
        <f>IF(BL38="","",-'M2 TD amort'!AZ15)</f>
        <v>2335.62</v>
      </c>
      <c r="BM39" s="22">
        <f>IF(BM38="","",-'M2 TD amort'!BA15)</f>
        <v>104083.7</v>
      </c>
      <c r="BN39" s="22">
        <f>IF(BN38="","",-'M2 TD amort'!BB15)</f>
        <v>82832.47</v>
      </c>
      <c r="BO39" s="22">
        <f>IF(BO38="","",-'M2 TD amort'!BC15)</f>
        <v>81630.89</v>
      </c>
      <c r="BP39" s="22">
        <f>IF(BP38="","",-'M2 TD amort'!BD15)</f>
        <v>96732.3</v>
      </c>
      <c r="BQ39" s="22">
        <f>IF(BQ38="","",-'M2 TD amort'!BE15)</f>
        <v>113949.84</v>
      </c>
      <c r="BR39" s="22">
        <f>IF(BR38="","",-'M2 TD amort'!BF15)</f>
        <v>114477</v>
      </c>
      <c r="BS39" s="22">
        <f>IF(BS38="","",-'M2 TD amort'!BG15)</f>
        <v>115688.1</v>
      </c>
      <c r="BT39" s="22">
        <f>IF(BT38="","",-'M2 TD amort'!BH15)</f>
        <v>96527.89</v>
      </c>
      <c r="BU39" s="22">
        <f>IF(BU38="","",-'M2 TD amort'!BI15)</f>
        <v>86249.99</v>
      </c>
      <c r="BV39" s="22">
        <f>IF(BV38="","",-'M2 TD amort'!BJ15)</f>
        <v>98347.18</v>
      </c>
      <c r="BW39" s="22">
        <f>IF(BW38="","",-'M2 TD amort'!BK15)</f>
        <v>116084.16</v>
      </c>
      <c r="BX39" s="22">
        <f>IF(BX38="","",-'M2 TD amort'!BL15)</f>
        <v>72696.31</v>
      </c>
      <c r="BY39" s="22">
        <f>IF(BY38="","",-'M2 TD amort'!BM15)</f>
        <v>3930.01</v>
      </c>
      <c r="BZ39" s="22">
        <f>IF(BZ38="","",-'M2 TD amort'!BN15)</f>
        <v>3532.61</v>
      </c>
      <c r="CA39" s="22">
        <f>IF(CA38="","",-'M2 TD amort'!BO15)</f>
        <v>3250.65</v>
      </c>
      <c r="CB39" s="22">
        <f>IF(CB38="","",-'M2 TD amort'!BP15)</f>
        <v>3684.79</v>
      </c>
      <c r="CC39" s="22">
        <f>IF(CC38="","",-'M2 TD amort'!BQ15)</f>
        <v>4244.25</v>
      </c>
      <c r="CD39" s="22">
        <f>IF(CD38="","",-'M2 TD amort'!BR15)</f>
        <v>4450.8100000000004</v>
      </c>
      <c r="CE39" s="22">
        <f>IF(CE38="","",-'M2 TD amort'!BS15)</f>
        <v>4045.9</v>
      </c>
      <c r="CF39" s="22">
        <f>IF(CF38="","",-'M2 TD amort'!BT15)</f>
        <v>3372.86</v>
      </c>
      <c r="CG39" s="22">
        <f>IF(CG38="","",-'M2 TD amort'!BU15)</f>
        <v>3052.47</v>
      </c>
      <c r="CH39" s="22">
        <f>IF(CH38="","",-'M2 TD amort'!BV15)</f>
        <v>3697.2</v>
      </c>
      <c r="CI39" s="22">
        <f>IF(CI38="","",-'M2 TD amort'!BW15)</f>
        <v>4363.95</v>
      </c>
    </row>
    <row r="40" spans="1:87" s="5" customFormat="1" ht="15" hidden="1" customHeight="1" outlineLevel="1" x14ac:dyDescent="0.35">
      <c r="A40" s="274"/>
      <c r="B40" s="18" t="s">
        <v>52</v>
      </c>
      <c r="C40" s="26"/>
      <c r="D40" s="26"/>
      <c r="E40" s="9"/>
      <c r="F40" s="9"/>
      <c r="G40" s="9"/>
      <c r="H40" s="9"/>
      <c r="I40" s="9"/>
      <c r="J40" s="9"/>
      <c r="K40" s="9"/>
      <c r="L40" s="9"/>
      <c r="M40" s="9"/>
      <c r="N40" s="9"/>
      <c r="O40" s="9">
        <f>IF(OR(O39="",O38=""),"",O38+O39)</f>
        <v>27338.89</v>
      </c>
      <c r="P40" s="9">
        <f t="shared" ref="P40" si="305">IF(OR(P39="",P38=""),"",P38+P39)</f>
        <v>87055.47</v>
      </c>
      <c r="Q40" s="9">
        <f t="shared" ref="Q40" si="306">IF(OR(Q39="",Q38=""),"",Q38+Q39)</f>
        <v>77286.63</v>
      </c>
      <c r="R40" s="9">
        <f t="shared" ref="R40" si="307">IF(OR(R39="",R38=""),"",R38+R39)</f>
        <v>69300.407664275321</v>
      </c>
      <c r="S40" s="9">
        <f t="shared" ref="S40" si="308">IF(OR(S39="",S38=""),"",S38+S39)</f>
        <v>69150.123586579168</v>
      </c>
      <c r="T40" s="9">
        <f t="shared" ref="T40" si="309">IF(OR(T39="",T38=""),"",T38+T39)</f>
        <v>82217.547176194101</v>
      </c>
      <c r="U40" s="9">
        <f t="shared" ref="U40" si="310">IF(OR(U39="",U38=""),"",U38+U39)</f>
        <v>94831.659927616827</v>
      </c>
      <c r="V40" s="9">
        <f t="shared" ref="V40" si="311">IF(OR(V39="",V38=""),"",V38+V39)</f>
        <v>95716.187209260781</v>
      </c>
      <c r="W40" s="9">
        <f t="shared" ref="W40" si="312">IF(OR(W39="",W38=""),"",W38+W39)</f>
        <v>85827.910302969802</v>
      </c>
      <c r="X40" s="9">
        <f t="shared" ref="X40" si="313">IF(OR(X39="",X38=""),"",X38+X39)</f>
        <v>81383.075381192248</v>
      </c>
      <c r="Y40" s="9">
        <f t="shared" ref="Y40" si="314">IF(OR(Y39="",Y38=""),"",Y38+Y39)</f>
        <v>72184.017796675093</v>
      </c>
      <c r="Z40" s="9">
        <f t="shared" ref="Z40" si="315">IF(OR(Z39="",Z38=""),"",Z38+Z39)</f>
        <v>78889.738101556242</v>
      </c>
      <c r="AA40" s="9">
        <f t="shared" ref="AA40" si="316">IF(OR(AA39="",AA38=""),"",AA38+AA39)</f>
        <v>113388.97230344273</v>
      </c>
      <c r="AB40" s="9">
        <f t="shared" ref="AB40" si="317">IF(OR(AB39="",AB38=""),"",AB38+AB39)</f>
        <v>314098.74</v>
      </c>
      <c r="AC40" s="9">
        <f t="shared" ref="AC40" si="318">IF(OR(AC39="",AC38=""),"",AC38+AC39)</f>
        <v>275627.35620644654</v>
      </c>
      <c r="AD40" s="9">
        <f t="shared" ref="AD40" si="319">IF(OR(AD39="",AD38=""),"",AD38+AD39)</f>
        <v>271614.76328999974</v>
      </c>
      <c r="AE40" s="9">
        <f t="shared" ref="AE40" si="320">IF(OR(AE39="",AE38=""),"",AE38+AE39)</f>
        <v>247008.44566753082</v>
      </c>
      <c r="AF40" s="9">
        <f t="shared" ref="AF40" si="321">IF(OR(AF39="",AF38=""),"",AF38+AF39)</f>
        <v>311104.35503767215</v>
      </c>
      <c r="AG40" s="9">
        <f t="shared" ref="AG40" si="322">IF(OR(AG39="",AG38=""),"",AG38+AG39)</f>
        <v>343032.68365673424</v>
      </c>
      <c r="AH40" s="9">
        <f t="shared" ref="AH40" si="323">IF(OR(AH39="",AH38=""),"",AH38+AH39)</f>
        <v>320749.89732957579</v>
      </c>
      <c r="AI40" s="9">
        <f t="shared" ref="AI40" si="324">IF(OR(AI39="",AI38=""),"",AI38+AI39)</f>
        <v>315279.55031171977</v>
      </c>
      <c r="AJ40" s="9">
        <f t="shared" ref="AJ40" si="325">IF(OR(AJ39="",AJ38=""),"",AJ38+AJ39)</f>
        <v>277715.02900715685</v>
      </c>
      <c r="AK40" s="9">
        <f t="shared" ref="AK40" si="326">IF(OR(AK39="",AK38=""),"",AK38+AK39)</f>
        <v>249482.16093979406</v>
      </c>
      <c r="AL40" s="9">
        <f t="shared" ref="AL40" si="327">IF(OR(AL39="",AL38=""),"",AL38+AL39)</f>
        <v>300635.38705520914</v>
      </c>
      <c r="AM40" s="9">
        <f t="shared" ref="AM40:BJ40" si="328">IF(OR(AM39="",AM38=""),"",AM38+AM39)</f>
        <v>346111.82797562931</v>
      </c>
      <c r="AN40" s="9">
        <f t="shared" si="328"/>
        <v>659945.26884812373</v>
      </c>
      <c r="AO40" s="9">
        <f t="shared" si="328"/>
        <v>621579.35395744431</v>
      </c>
      <c r="AP40" s="9">
        <f t="shared" si="328"/>
        <v>504812.72994038765</v>
      </c>
      <c r="AQ40" s="9">
        <f t="shared" si="328"/>
        <v>476655.41162084811</v>
      </c>
      <c r="AR40" s="9">
        <f t="shared" si="328"/>
        <v>556668.41932374495</v>
      </c>
      <c r="AS40" s="9">
        <f t="shared" si="328"/>
        <v>636453.87753147213</v>
      </c>
      <c r="AT40" s="9">
        <f t="shared" si="328"/>
        <v>654013.12025960803</v>
      </c>
      <c r="AU40" s="9">
        <f t="shared" si="328"/>
        <v>631602.43139883818</v>
      </c>
      <c r="AV40" s="9">
        <f t="shared" si="328"/>
        <v>569318.41387172777</v>
      </c>
      <c r="AW40" s="9">
        <f t="shared" si="328"/>
        <v>509383.74747130834</v>
      </c>
      <c r="AX40" s="9">
        <f t="shared" si="328"/>
        <v>597783.24064080673</v>
      </c>
      <c r="AY40" s="9">
        <f t="shared" si="328"/>
        <v>637303.87835283799</v>
      </c>
      <c r="AZ40" s="9">
        <f t="shared" si="328"/>
        <v>674625.36618172354</v>
      </c>
      <c r="BA40" s="9">
        <f t="shared" si="328"/>
        <v>141949.43508869849</v>
      </c>
      <c r="BB40" s="9">
        <f t="shared" si="328"/>
        <v>105117.18198801098</v>
      </c>
      <c r="BC40" s="9">
        <f t="shared" si="328"/>
        <v>95712.825490174175</v>
      </c>
      <c r="BD40" s="9">
        <f t="shared" si="328"/>
        <v>119714.38972054035</v>
      </c>
      <c r="BE40" s="9">
        <f t="shared" si="328"/>
        <v>149204.29208411957</v>
      </c>
      <c r="BF40" s="9">
        <f t="shared" si="328"/>
        <v>146857.82958294882</v>
      </c>
      <c r="BG40" s="9">
        <f t="shared" si="328"/>
        <v>139493.22534062379</v>
      </c>
      <c r="BH40" s="9">
        <f t="shared" si="328"/>
        <v>113258.26263355253</v>
      </c>
      <c r="BI40" s="9">
        <f t="shared" si="328"/>
        <v>113030.1487240796</v>
      </c>
      <c r="BJ40" s="9">
        <f t="shared" si="328"/>
        <v>130349.51702498258</v>
      </c>
      <c r="BK40" s="9">
        <f t="shared" ref="BK40:BL40" si="329">IF(OR(BK39="",BK38=""),"",BK38+BK39)</f>
        <v>155376.66092680668</v>
      </c>
      <c r="BL40" s="9">
        <f t="shared" si="329"/>
        <v>427.62622379922527</v>
      </c>
      <c r="BM40" s="9">
        <f t="shared" ref="BM40:BN40" si="330">IF(OR(BM39="",BM38=""),"",BM38+BM39)</f>
        <v>1721.5995939776476</v>
      </c>
      <c r="BN40" s="9">
        <f t="shared" si="330"/>
        <v>1172.7100579776888</v>
      </c>
      <c r="BO40" s="9">
        <f t="shared" ref="BO40:BP40" si="331">IF(OR(BO39="",BO38=""),"",BO38+BO39)</f>
        <v>1047.4703582606599</v>
      </c>
      <c r="BP40" s="9">
        <f t="shared" si="331"/>
        <v>1212.2790523997101</v>
      </c>
      <c r="BQ40" s="9">
        <f t="shared" ref="BQ40:BR40" si="332">IF(OR(BQ39="",BQ38=""),"",BQ38+BQ39)</f>
        <v>1481.2419060294778</v>
      </c>
      <c r="BR40" s="9">
        <f t="shared" si="332"/>
        <v>1506.7035256923118</v>
      </c>
      <c r="BS40" s="9">
        <f t="shared" ref="BS40:BT40" si="333">IF(OR(BS39="",BS38=""),"",BS38+BS39)</f>
        <v>1511.5356721754943</v>
      </c>
      <c r="BT40" s="9">
        <f t="shared" si="333"/>
        <v>1168.6900999254576</v>
      </c>
      <c r="BU40" s="9">
        <f t="shared" ref="BU40:BV40" si="334">IF(OR(BU39="",BU38=""),"",BU38+BU39)</f>
        <v>1201.6521003439702</v>
      </c>
      <c r="BV40" s="9">
        <f t="shared" si="334"/>
        <v>1423.2500901655148</v>
      </c>
      <c r="BW40" s="9">
        <f t="shared" ref="BW40:BX40" si="335">IF(OR(BW39="",BW38=""),"",BW38+BW39)</f>
        <v>1767.5404584943317</v>
      </c>
      <c r="BX40" s="9">
        <f t="shared" si="335"/>
        <v>2349.2584741782775</v>
      </c>
      <c r="BY40" s="9">
        <f t="shared" ref="BY40:BZ40" si="336">IF(OR(BY39="",BY38=""),"",BY38+BY39)</f>
        <v>129.05383671685195</v>
      </c>
      <c r="BZ40" s="9">
        <f t="shared" si="336"/>
        <v>101.79730121747389</v>
      </c>
      <c r="CA40" s="9">
        <f t="shared" ref="CA40:CB40" si="337">IF(OR(CA39="",CA38=""),"",CA38+CA39)</f>
        <v>90.756764514786937</v>
      </c>
      <c r="CB40" s="9">
        <f t="shared" si="337"/>
        <v>103.27378869469339</v>
      </c>
      <c r="CC40" s="9">
        <f t="shared" ref="CC40:CD40" si="338">IF(OR(CC39="",CC38=""),"",CC38+CC39)</f>
        <v>124.65557080347389</v>
      </c>
      <c r="CD40" s="9">
        <f t="shared" si="338"/>
        <v>128.73691549809973</v>
      </c>
      <c r="CE40" s="9">
        <f t="shared" ref="CE40:CF40" si="339">IF(OR(CE39="",CE38=""),"",CE38+CE39)</f>
        <v>115.97458140867957</v>
      </c>
      <c r="CF40" s="9">
        <f t="shared" si="339"/>
        <v>95.885455825758072</v>
      </c>
      <c r="CG40" s="9">
        <f t="shared" ref="CG40:CH40" si="340">IF(OR(CG39="",CG38=""),"",CG38+CG39)</f>
        <v>100.09412601943905</v>
      </c>
      <c r="CH40" s="9">
        <f t="shared" si="340"/>
        <v>129.01428488537204</v>
      </c>
      <c r="CI40" s="9">
        <f t="shared" ref="CI40" si="341">IF(OR(CI39="",CI38=""),"",CI38+CI39)</f>
        <v>156.38361065169283</v>
      </c>
    </row>
    <row r="41" spans="1:87" s="5" customFormat="1" hidden="1" outlineLevel="1" x14ac:dyDescent="0.35">
      <c r="A41" s="274"/>
      <c r="B41" s="18" t="s">
        <v>13</v>
      </c>
      <c r="C41" s="26"/>
      <c r="D41" s="26"/>
      <c r="E41" s="9">
        <f t="shared" ref="E41:N41" si="342">IF(OR(E38="",E37=""),"",E37-E38)</f>
        <v>0</v>
      </c>
      <c r="F41" s="9">
        <f t="shared" si="342"/>
        <v>0</v>
      </c>
      <c r="G41" s="9">
        <f t="shared" si="342"/>
        <v>-856.28</v>
      </c>
      <c r="H41" s="9">
        <f t="shared" si="342"/>
        <v>-8251.3300000000017</v>
      </c>
      <c r="I41" s="9">
        <f t="shared" si="342"/>
        <v>-1402.1099999999969</v>
      </c>
      <c r="J41" s="9">
        <f t="shared" si="342"/>
        <v>-65.264761224685572</v>
      </c>
      <c r="K41" s="9">
        <f t="shared" si="342"/>
        <v>8427.9456749210331</v>
      </c>
      <c r="L41" s="9">
        <f t="shared" si="342"/>
        <v>11617.592866768453</v>
      </c>
      <c r="M41" s="9">
        <f t="shared" si="342"/>
        <v>17046.048601536655</v>
      </c>
      <c r="N41" s="9">
        <f t="shared" si="342"/>
        <v>24826.995758638252</v>
      </c>
      <c r="O41" s="9">
        <f>IF(OR(O40="",O37=""),"",O37-O40)</f>
        <v>20240.432188278435</v>
      </c>
      <c r="P41" s="9">
        <f t="shared" ref="P41:AM41" si="343">IF(OR(P40="",P37=""),"",P37-P40)</f>
        <v>-44144.428270733704</v>
      </c>
      <c r="Q41" s="9">
        <f t="shared" si="343"/>
        <v>-24463.628837742355</v>
      </c>
      <c r="R41" s="9">
        <f>IF(OR(R40="",R37=""),"",R37-R40)</f>
        <v>-43350.100030101676</v>
      </c>
      <c r="S41" s="9">
        <f t="shared" si="343"/>
        <v>-20166.564455245163</v>
      </c>
      <c r="T41" s="9">
        <f t="shared" si="343"/>
        <v>8403.9421643922105</v>
      </c>
      <c r="U41" s="9">
        <f t="shared" si="343"/>
        <v>44100.240072383196</v>
      </c>
      <c r="V41" s="9">
        <f t="shared" si="343"/>
        <v>37984.08133016892</v>
      </c>
      <c r="W41" s="9">
        <f t="shared" si="343"/>
        <v>65929.903099540446</v>
      </c>
      <c r="X41" s="9">
        <f t="shared" si="343"/>
        <v>35454.717193515578</v>
      </c>
      <c r="Y41" s="9">
        <f t="shared" si="343"/>
        <v>15949.499473210599</v>
      </c>
      <c r="Z41" s="9">
        <f t="shared" si="343"/>
        <v>48099.269092345698</v>
      </c>
      <c r="AA41" s="9">
        <f t="shared" si="343"/>
        <v>37987.946403351161</v>
      </c>
      <c r="AB41" s="9">
        <f t="shared" si="343"/>
        <v>-183086.08735048462</v>
      </c>
      <c r="AC41" s="9">
        <f t="shared" si="343"/>
        <v>-113642.61957834617</v>
      </c>
      <c r="AD41" s="9">
        <f t="shared" si="343"/>
        <v>-84729.777062897017</v>
      </c>
      <c r="AE41" s="9">
        <f t="shared" si="343"/>
        <v>13700.630333527108</v>
      </c>
      <c r="AF41" s="9">
        <f t="shared" si="343"/>
        <v>83171.545361135155</v>
      </c>
      <c r="AG41" s="9">
        <f t="shared" si="343"/>
        <v>174531.90067955991</v>
      </c>
      <c r="AH41" s="9">
        <f t="shared" si="343"/>
        <v>135892.476656568</v>
      </c>
      <c r="AI41" s="9">
        <f t="shared" si="343"/>
        <v>180097.54634294659</v>
      </c>
      <c r="AJ41" s="9">
        <f t="shared" si="343"/>
        <v>70524.857705575938</v>
      </c>
      <c r="AK41" s="9">
        <f t="shared" si="343"/>
        <v>65922.198240385886</v>
      </c>
      <c r="AL41" s="9">
        <f t="shared" si="343"/>
        <v>48732.496423145814</v>
      </c>
      <c r="AM41" s="9">
        <f t="shared" si="343"/>
        <v>30558.979787902732</v>
      </c>
      <c r="AN41" s="9">
        <f t="shared" ref="AN41:BJ41" si="344">IF(OR(AN40="",AN37=""),"",AN37-AN40)</f>
        <v>-344279.1117273944</v>
      </c>
      <c r="AO41" s="9">
        <f t="shared" si="344"/>
        <v>-195343.35815485811</v>
      </c>
      <c r="AP41" s="9">
        <f t="shared" si="344"/>
        <v>-75007.223165483039</v>
      </c>
      <c r="AQ41" s="9">
        <f t="shared" si="344"/>
        <v>-51152.707221269025</v>
      </c>
      <c r="AR41" s="9">
        <f t="shared" si="344"/>
        <v>154357.71384006366</v>
      </c>
      <c r="AS41" s="9">
        <f t="shared" si="344"/>
        <v>270176.88180803787</v>
      </c>
      <c r="AT41" s="9">
        <f t="shared" si="344"/>
        <v>81290.597085032845</v>
      </c>
      <c r="AU41" s="9">
        <f t="shared" si="344"/>
        <v>134079.7250791908</v>
      </c>
      <c r="AV41" s="9">
        <f t="shared" si="344"/>
        <v>-46597.331769096199</v>
      </c>
      <c r="AW41" s="9">
        <f t="shared" si="344"/>
        <v>-63490.748568211216</v>
      </c>
      <c r="AX41" s="9">
        <f t="shared" si="344"/>
        <v>-216816.58393668587</v>
      </c>
      <c r="AY41" s="9">
        <f t="shared" si="344"/>
        <v>-185744.96850258694</v>
      </c>
      <c r="AZ41" s="9">
        <f t="shared" si="344"/>
        <v>-325465.14018626843</v>
      </c>
      <c r="BA41" s="9">
        <f t="shared" si="344"/>
        <v>246765.57294110648</v>
      </c>
      <c r="BB41" s="9">
        <f t="shared" si="344"/>
        <v>-105117.18198801098</v>
      </c>
      <c r="BC41" s="9">
        <f t="shared" si="344"/>
        <v>-95993.592886839237</v>
      </c>
      <c r="BD41" s="9">
        <f t="shared" si="344"/>
        <v>-119714.38972054035</v>
      </c>
      <c r="BE41" s="9">
        <f t="shared" si="344"/>
        <v>-149204.29208411957</v>
      </c>
      <c r="BF41" s="9">
        <f t="shared" si="344"/>
        <v>-146857.82958294882</v>
      </c>
      <c r="BG41" s="9">
        <f t="shared" si="344"/>
        <v>-139493.22534062379</v>
      </c>
      <c r="BH41" s="9">
        <f t="shared" si="344"/>
        <v>-113258.26263355253</v>
      </c>
      <c r="BI41" s="9">
        <f t="shared" si="344"/>
        <v>-113030.1487240796</v>
      </c>
      <c r="BJ41" s="9">
        <f t="shared" si="344"/>
        <v>-130349.51702498258</v>
      </c>
      <c r="BK41" s="9">
        <f t="shared" ref="BK41:BL41" si="345">IF(OR(BK40="",BK37=""),"",BK37-BK40)</f>
        <v>-155376.66092680668</v>
      </c>
      <c r="BL41" s="9">
        <f t="shared" si="345"/>
        <v>-171.98622379862923</v>
      </c>
      <c r="BM41" s="9">
        <f t="shared" ref="BM41:BN41" si="346">IF(OR(BM40="",BM37=""),"",BM37-BM40)</f>
        <v>-1129.2595939777966</v>
      </c>
      <c r="BN41" s="9">
        <f t="shared" si="346"/>
        <v>-540.30005797753984</v>
      </c>
      <c r="BO41" s="9">
        <f t="shared" ref="BO41:BP41" si="347">IF(OR(BO40="",BO37=""),"",BO37-BO40)</f>
        <v>-154.9403582613304</v>
      </c>
      <c r="BP41" s="9">
        <f t="shared" si="347"/>
        <v>746.11094760088599</v>
      </c>
      <c r="BQ41" s="9">
        <f t="shared" ref="BQ41:BR41" si="348">IF(OR(BQ40="",BQ37=""),"",BQ37-BQ40)</f>
        <v>1094.7480939707457</v>
      </c>
      <c r="BR41" s="9">
        <f t="shared" si="348"/>
        <v>1394.8864743075392</v>
      </c>
      <c r="BS41" s="9">
        <f t="shared" ref="BS41:BT41" si="349">IF(OR(BS40="",BS37=""),"",BS37-BS40)</f>
        <v>743.67432782539981</v>
      </c>
      <c r="BT41" s="9">
        <f t="shared" si="349"/>
        <v>32.359900073424797</v>
      </c>
      <c r="BU41" s="9">
        <f t="shared" ref="BU41:BV41" si="350">IF(OR(BU40="",BU37=""),"",BU37-BU40)</f>
        <v>-208.61210034300166</v>
      </c>
      <c r="BV41" s="9">
        <f t="shared" si="350"/>
        <v>-400.54009016648342</v>
      </c>
      <c r="BW41" s="9">
        <f t="shared" ref="BW41:BX41" si="351">IF(OR(BW40="",BW37=""),"",BW37-BW40)</f>
        <v>-706.44045849470422</v>
      </c>
      <c r="BX41" s="9">
        <f t="shared" si="351"/>
        <v>-1530.608474177905</v>
      </c>
      <c r="BY41" s="9">
        <f t="shared" ref="BY41:BZ41" si="352">IF(OR(BY40="",BY37=""),"",BY37-BY40)</f>
        <v>-129.05383671685195</v>
      </c>
      <c r="BZ41" s="9">
        <f t="shared" si="352"/>
        <v>-101.79730121747389</v>
      </c>
      <c r="CA41" s="9">
        <f t="shared" ref="CA41:CB41" si="353">IF(OR(CA40="",CA37=""),"",CA37-CA40)</f>
        <v>-90.756764514786937</v>
      </c>
      <c r="CB41" s="9">
        <f t="shared" si="353"/>
        <v>-103.27378869469339</v>
      </c>
      <c r="CC41" s="9">
        <f t="shared" ref="CC41:CD41" si="354">IF(OR(CC40="",CC37=""),"",CC37-CC40)</f>
        <v>-124.65557080347389</v>
      </c>
      <c r="CD41" s="9">
        <f t="shared" si="354"/>
        <v>-128.73691549809973</v>
      </c>
      <c r="CE41" s="9">
        <f t="shared" ref="CE41" si="355">IF(OR(CE40="",CE37=""),"",CE37-CE40)</f>
        <v>-115.97458140867957</v>
      </c>
      <c r="CF41" s="141">
        <f>IF(OR(CF40="",CF37=""),"",CF37-CF40)+CF36</f>
        <v>-1512.095231775088</v>
      </c>
      <c r="CG41" s="9">
        <f>IF(OR(CG40="",CG37=""),"",CG37-CG40)</f>
        <v>-100.09412601943905</v>
      </c>
      <c r="CH41" s="9">
        <f>IF(OR(CH40="",CH37=""),"",CH37-CH40)</f>
        <v>-129.01428488537204</v>
      </c>
      <c r="CI41" s="9">
        <f>IF(OR(CI40="",CI37=""),"",CI37-CI40)</f>
        <v>-156.38361065169283</v>
      </c>
    </row>
    <row r="42" spans="1:87" s="5" customFormat="1" hidden="1" outlineLevel="1" x14ac:dyDescent="0.35">
      <c r="A42" s="274"/>
      <c r="B42" s="19" t="s">
        <v>8</v>
      </c>
      <c r="C42" s="30"/>
      <c r="D42" s="30"/>
      <c r="E42" s="9">
        <f t="shared" ref="E42:N42" si="356">IF(OR(E9="",E41=""),"",(E41+D44)*E9/12)</f>
        <v>0</v>
      </c>
      <c r="F42" s="9">
        <f t="shared" si="356"/>
        <v>0</v>
      </c>
      <c r="G42" s="9">
        <f t="shared" si="356"/>
        <v>-0.5393094052666666</v>
      </c>
      <c r="H42" s="9">
        <f t="shared" si="356"/>
        <v>-4.7538619098044377</v>
      </c>
      <c r="I42" s="9">
        <f t="shared" si="356"/>
        <v>-5.5119961919362872</v>
      </c>
      <c r="J42" s="9">
        <f t="shared" si="356"/>
        <v>-6.7446125522088956</v>
      </c>
      <c r="K42" s="9">
        <f t="shared" si="356"/>
        <v>-1.3627163896022407</v>
      </c>
      <c r="L42" s="9">
        <f t="shared" si="356"/>
        <v>5.9873784623920256</v>
      </c>
      <c r="M42" s="9">
        <f t="shared" si="356"/>
        <v>16.877210385758971</v>
      </c>
      <c r="N42" s="9">
        <f t="shared" si="356"/>
        <v>41.17234852035925</v>
      </c>
      <c r="O42" s="10">
        <f>IF(OR(O9="",O41=""),"",(O39+O41+N44)*O9/12)</f>
        <v>53.721866077378365</v>
      </c>
      <c r="P42" s="10">
        <f>IF(OR(P9="",P41=""),"",(P39+P41+O44+P36)*P9/12)</f>
        <v>478.69175477452603</v>
      </c>
      <c r="Q42" s="10">
        <f t="shared" ref="Q42:AM42" si="357">IF(OR(Q9="",Q41=""),"",(Q39+Q41+P44)*Q9/12)</f>
        <v>539.61008778516134</v>
      </c>
      <c r="R42" s="10">
        <f t="shared" si="357"/>
        <v>452.14784409044137</v>
      </c>
      <c r="S42" s="10">
        <f t="shared" si="357"/>
        <v>387.29160400475143</v>
      </c>
      <c r="T42" s="10">
        <f t="shared" si="357"/>
        <v>418.21542721847476</v>
      </c>
      <c r="U42" s="10">
        <f t="shared" si="357"/>
        <v>387.83629844195974</v>
      </c>
      <c r="V42" s="10">
        <f t="shared" si="357"/>
        <v>374.1400605921101</v>
      </c>
      <c r="W42" s="10">
        <f t="shared" si="357"/>
        <v>377.3976007996996</v>
      </c>
      <c r="X42" s="10">
        <f t="shared" si="357"/>
        <v>353.09439018686572</v>
      </c>
      <c r="Y42" s="10">
        <f t="shared" si="357"/>
        <v>310.0531538233613</v>
      </c>
      <c r="Z42" s="10">
        <f t="shared" si="357"/>
        <v>370.24863184733528</v>
      </c>
      <c r="AA42" s="10">
        <f t="shared" si="357"/>
        <v>297.75036265972221</v>
      </c>
      <c r="AB42" s="10">
        <f t="shared" si="357"/>
        <v>3.9406562977996047</v>
      </c>
      <c r="AC42" s="10">
        <f t="shared" si="357"/>
        <v>-224.44909216069141</v>
      </c>
      <c r="AD42" s="10">
        <f t="shared" si="357"/>
        <v>-454.30115981031298</v>
      </c>
      <c r="AE42" s="10">
        <f t="shared" si="357"/>
        <v>-440.76120617858192</v>
      </c>
      <c r="AF42" s="10">
        <f t="shared" si="357"/>
        <v>-342.63517834923005</v>
      </c>
      <c r="AG42" s="10">
        <f t="shared" si="357"/>
        <v>-60.758323521348053</v>
      </c>
      <c r="AH42" s="10">
        <f t="shared" si="357"/>
        <v>157.9706483243875</v>
      </c>
      <c r="AI42" s="10">
        <f t="shared" si="357"/>
        <v>463.7087116264438</v>
      </c>
      <c r="AJ42" s="10">
        <f t="shared" si="357"/>
        <v>593.43289154580566</v>
      </c>
      <c r="AK42" s="10">
        <f t="shared" si="357"/>
        <v>712.14839637795876</v>
      </c>
      <c r="AL42" s="10">
        <f t="shared" si="357"/>
        <v>839.43109276045823</v>
      </c>
      <c r="AM42" s="10">
        <f t="shared" si="357"/>
        <v>889.26436458247372</v>
      </c>
      <c r="AN42" s="10">
        <f t="shared" ref="AN42" si="358">IF(OR(AN9="",AN41=""),"",(AN39+AN41+AM44)*AN9/12)</f>
        <v>-30.116302752414814</v>
      </c>
      <c r="AO42" s="10">
        <f t="shared" ref="AO42" si="359">IF(OR(AO9="",AO41=""),"",(AO39+AO41+AN44)*AO9/12)</f>
        <v>-573.5571385907167</v>
      </c>
      <c r="AP42" s="10">
        <f t="shared" ref="AP42" si="360">IF(OR(AP9="",AP41=""),"",(AP39+AP41+AO44)*AP9/12)</f>
        <v>-785.1692767648583</v>
      </c>
      <c r="AQ42" s="10">
        <f t="shared" ref="AQ42" si="361">IF(OR(AQ9="",AQ41=""),"",(AQ39+AQ41+AP44)*AQ9/12)</f>
        <v>-971.63891160630089</v>
      </c>
      <c r="AR42" s="10">
        <f t="shared" ref="AR42" si="362">IF(OR(AR9="",AR41=""),"",(AR39+AR41+AQ44)*AR9/12)</f>
        <v>-699.42520004406572</v>
      </c>
      <c r="AS42" s="10">
        <f t="shared" ref="AS42" si="363">IF(OR(AS9="",AS41=""),"",(AS39+AS41+AR44)*AS9/12)</f>
        <v>-187.74380263959725</v>
      </c>
      <c r="AT42" s="10">
        <f t="shared" ref="AT42" si="364">IF(OR(AT9="",AT41=""),"",(AT39+AT41+AS44)*AT9/12)</f>
        <v>-90.918466029773697</v>
      </c>
      <c r="AU42" s="10">
        <f t="shared" ref="AU42" si="365">IF(OR(AU9="",AU41=""),"",(AU39+AU41+AT44)*AU9/12)</f>
        <v>89.249677878880377</v>
      </c>
      <c r="AV42" s="10">
        <f t="shared" ref="AV42" si="366">IF(OR(AV9="",AV41=""),"",(AV39+AV41+AU44)*AV9/12)</f>
        <v>-59.175137378642411</v>
      </c>
      <c r="AW42" s="10">
        <f t="shared" ref="AW42" si="367">IF(OR(AW9="",AW41=""),"",(AW39+AW41+AV44)*AW9/12)</f>
        <v>-195.00097790125935</v>
      </c>
      <c r="AX42" s="10">
        <f t="shared" ref="AX42" si="368">IF(OR(AX9="",AX41=""),"",(AX39+AX41+AW44)*AX9/12)</f>
        <v>-611.47828436867201</v>
      </c>
      <c r="AY42" s="10">
        <f t="shared" ref="AY42" si="369">IF(OR(AY9="",AY41=""),"",(AY39+AY41+AX44)*AY9/12)</f>
        <v>-959.06445756177061</v>
      </c>
      <c r="AZ42" s="10">
        <f t="shared" ref="AZ42" si="370">IF(OR(AZ9="",AZ41=""),"",(AZ39+AZ41+AY44)*AZ9/12)</f>
        <v>-1016.6300162275015</v>
      </c>
      <c r="BA42" s="10">
        <f t="shared" ref="BA42" si="371">IF(OR(BA9="",BA41=""),"",(BA39+BA41+AZ44)*BA9/12)</f>
        <v>-592.06872207218237</v>
      </c>
      <c r="BB42" s="10">
        <f t="shared" ref="BB42" si="372">IF(OR(BB9="",BB41=""),"",(BB39+BB41+BA44)*BB9/12)</f>
        <v>-345.35129076763513</v>
      </c>
      <c r="BC42" s="10">
        <f t="shared" ref="BC42" si="373">IF(OR(BC9="",BC41=""),"",(BC39+BC41+BB44)*BC9/12)</f>
        <v>-53.912013038185101</v>
      </c>
      <c r="BD42" s="10">
        <f t="shared" ref="BD42" si="374">IF(OR(BD9="",BD41=""),"",(BD39+BD41+BC44)*BD9/12)</f>
        <v>-60.212386137477118</v>
      </c>
      <c r="BE42" s="10">
        <f t="shared" ref="BE42" si="375">IF(OR(BE9="",BE41=""),"",(BE39+BE41+BD44)*BE9/12)</f>
        <v>-107.67894982065157</v>
      </c>
      <c r="BF42" s="10">
        <f t="shared" ref="BF42" si="376">IF(OR(BF9="",BF41=""),"",(BF39+BF41+BE44)*BF9/12)</f>
        <v>-86.265128885081481</v>
      </c>
      <c r="BG42" s="10">
        <f t="shared" ref="BG42" si="377">IF(OR(BG9="",BG41=""),"",(BG39+BG41+BF44)*BG9/12)</f>
        <v>-87.157885700694521</v>
      </c>
      <c r="BH42" s="10">
        <f t="shared" ref="BH42" si="378">IF(OR(BH9="",BH41=""),"",(BH39+BH41+BG44)*BH9/12)</f>
        <v>-152.33080771503441</v>
      </c>
      <c r="BI42" s="10">
        <f t="shared" ref="BI42" si="379">IF(OR(BI9="",BI41=""),"",(BI39+BI41+BH44)*BI9/12)</f>
        <v>-206.97069129837439</v>
      </c>
      <c r="BJ42" s="10">
        <f t="shared" ref="BJ42:CI42" si="380">IF(OR(BJ9="",BJ41=""),"",(BJ39+BJ41+BI44)*BJ9/12)</f>
        <v>-252.53013484700446</v>
      </c>
      <c r="BK42" s="10">
        <f t="shared" si="380"/>
        <v>-199.34034932726351</v>
      </c>
      <c r="BL42" s="10">
        <f t="shared" si="380"/>
        <v>-224.17815469412071</v>
      </c>
      <c r="BM42" s="10">
        <f t="shared" si="380"/>
        <v>-187.98475113686871</v>
      </c>
      <c r="BN42" s="10">
        <f t="shared" si="380"/>
        <v>-182.65432905234135</v>
      </c>
      <c r="BO42" s="10">
        <f t="shared" si="380"/>
        <v>-166.77069230383159</v>
      </c>
      <c r="BP42" s="10">
        <f t="shared" si="380"/>
        <v>-133.60232045723757</v>
      </c>
      <c r="BQ42" s="10">
        <f t="shared" si="380"/>
        <v>-79.090355427234613</v>
      </c>
      <c r="BR42" s="10">
        <f t="shared" si="380"/>
        <v>-96.450446471347718</v>
      </c>
      <c r="BS42" s="10">
        <f t="shared" si="380"/>
        <v>-72.137120768288469</v>
      </c>
      <c r="BT42" s="10">
        <f t="shared" si="380"/>
        <v>-43.936502451226438</v>
      </c>
      <c r="BU42" s="10">
        <f t="shared" si="380"/>
        <v>-33.896799027812584</v>
      </c>
      <c r="BV42" s="10">
        <f t="shared" si="380"/>
        <v>-36.374195914962691</v>
      </c>
      <c r="BW42" s="10">
        <f t="shared" si="380"/>
        <v>-10.206485686119455</v>
      </c>
      <c r="BX42" s="10">
        <f t="shared" si="380"/>
        <v>4.6633211652036026</v>
      </c>
      <c r="BY42" s="10">
        <f t="shared" si="380"/>
        <v>13.032095954644355</v>
      </c>
      <c r="BZ42" s="10">
        <f t="shared" si="380"/>
        <v>13.091305131004477</v>
      </c>
      <c r="CA42" s="10">
        <f t="shared" si="380"/>
        <v>23.218272374650894</v>
      </c>
      <c r="CB42" s="10">
        <f t="shared" si="380"/>
        <v>40.789731656348017</v>
      </c>
      <c r="CC42" s="10">
        <f t="shared" si="380"/>
        <v>63.590408621350605</v>
      </c>
      <c r="CD42" s="10">
        <f t="shared" si="380"/>
        <v>88.648398406388353</v>
      </c>
      <c r="CE42" s="10">
        <f t="shared" si="380"/>
        <v>107.76376676305294</v>
      </c>
      <c r="CF42" s="10">
        <f t="shared" si="380"/>
        <v>137.28760163302044</v>
      </c>
      <c r="CG42" s="10">
        <f t="shared" si="380"/>
        <v>146.22218748301728</v>
      </c>
      <c r="CH42" s="10">
        <f t="shared" si="380"/>
        <v>156.96338844215236</v>
      </c>
      <c r="CI42" s="10">
        <f t="shared" si="380"/>
        <v>169.5845901692409</v>
      </c>
    </row>
    <row r="43" spans="1:87" s="5" customFormat="1" hidden="1" outlineLevel="1" x14ac:dyDescent="0.35">
      <c r="A43" s="274"/>
      <c r="B43" s="18" t="s">
        <v>14</v>
      </c>
      <c r="C43" s="26"/>
      <c r="D43" s="26"/>
      <c r="E43" s="9">
        <f t="shared" ref="E43:N43" si="381">IF(OR(E41="",E42=""),"",E41+E42)</f>
        <v>0</v>
      </c>
      <c r="F43" s="9">
        <f t="shared" si="381"/>
        <v>0</v>
      </c>
      <c r="G43" s="9">
        <f t="shared" si="381"/>
        <v>-856.81930940526661</v>
      </c>
      <c r="H43" s="9">
        <f t="shared" si="381"/>
        <v>-8256.0838619098067</v>
      </c>
      <c r="I43" s="9">
        <f t="shared" si="381"/>
        <v>-1407.6219961919332</v>
      </c>
      <c r="J43" s="9">
        <f t="shared" si="381"/>
        <v>-72.009373776894464</v>
      </c>
      <c r="K43" s="9">
        <f t="shared" si="381"/>
        <v>8426.5829585314314</v>
      </c>
      <c r="L43" s="9">
        <f t="shared" si="381"/>
        <v>11623.580245230845</v>
      </c>
      <c r="M43" s="9">
        <f t="shared" si="381"/>
        <v>17062.925811922414</v>
      </c>
      <c r="N43" s="9">
        <f t="shared" si="381"/>
        <v>24868.16810715861</v>
      </c>
      <c r="O43" s="9">
        <f>IF(OR(O41="",O42=""),"",O41+O42)</f>
        <v>20294.154054355815</v>
      </c>
      <c r="P43" s="9">
        <f t="shared" ref="P43:AM43" si="382">IF(OR(P41="",P42=""),"",P41+P42)</f>
        <v>-43665.736515959179</v>
      </c>
      <c r="Q43" s="9">
        <f t="shared" si="382"/>
        <v>-23924.018749957195</v>
      </c>
      <c r="R43" s="9">
        <f t="shared" si="382"/>
        <v>-42897.952186011236</v>
      </c>
      <c r="S43" s="9">
        <f t="shared" si="382"/>
        <v>-19779.27285124041</v>
      </c>
      <c r="T43" s="9">
        <f t="shared" si="382"/>
        <v>8822.1575916106849</v>
      </c>
      <c r="U43" s="9">
        <f t="shared" si="382"/>
        <v>44488.076370825154</v>
      </c>
      <c r="V43" s="9">
        <f t="shared" si="382"/>
        <v>38358.221390761028</v>
      </c>
      <c r="W43" s="9">
        <f t="shared" si="382"/>
        <v>66307.300700340144</v>
      </c>
      <c r="X43" s="9">
        <f t="shared" si="382"/>
        <v>35807.811583702445</v>
      </c>
      <c r="Y43" s="9">
        <f t="shared" si="382"/>
        <v>16259.55262703396</v>
      </c>
      <c r="Z43" s="9">
        <f t="shared" si="382"/>
        <v>48469.517724193036</v>
      </c>
      <c r="AA43" s="9">
        <f t="shared" si="382"/>
        <v>38285.696766010886</v>
      </c>
      <c r="AB43" s="9">
        <f t="shared" si="382"/>
        <v>-183082.14669418681</v>
      </c>
      <c r="AC43" s="9">
        <f t="shared" si="382"/>
        <v>-113867.06867050687</v>
      </c>
      <c r="AD43" s="9">
        <f t="shared" si="382"/>
        <v>-85184.078222707336</v>
      </c>
      <c r="AE43" s="9">
        <f t="shared" si="382"/>
        <v>13259.869127348526</v>
      </c>
      <c r="AF43" s="9">
        <f t="shared" si="382"/>
        <v>82828.910182785927</v>
      </c>
      <c r="AG43" s="9">
        <f t="shared" si="382"/>
        <v>174471.14235603856</v>
      </c>
      <c r="AH43" s="9">
        <f t="shared" si="382"/>
        <v>136050.44730489238</v>
      </c>
      <c r="AI43" s="9">
        <f t="shared" si="382"/>
        <v>180561.25505457303</v>
      </c>
      <c r="AJ43" s="9">
        <f t="shared" si="382"/>
        <v>71118.290597121741</v>
      </c>
      <c r="AK43" s="9">
        <f t="shared" si="382"/>
        <v>66634.346636763847</v>
      </c>
      <c r="AL43" s="9">
        <f t="shared" si="382"/>
        <v>49571.927515906274</v>
      </c>
      <c r="AM43" s="9">
        <f t="shared" si="382"/>
        <v>31448.244152485204</v>
      </c>
      <c r="AN43" s="9">
        <f t="shared" ref="AN43:BJ43" si="383">IF(OR(AN41="",AN42=""),"",AN41+AN42)</f>
        <v>-344309.2280301468</v>
      </c>
      <c r="AO43" s="9">
        <f t="shared" si="383"/>
        <v>-195916.91529344884</v>
      </c>
      <c r="AP43" s="9">
        <f t="shared" si="383"/>
        <v>-75792.392442247903</v>
      </c>
      <c r="AQ43" s="9">
        <f t="shared" si="383"/>
        <v>-52124.346132875326</v>
      </c>
      <c r="AR43" s="9">
        <f t="shared" si="383"/>
        <v>153658.2886400196</v>
      </c>
      <c r="AS43" s="9">
        <f t="shared" si="383"/>
        <v>269989.13800539827</v>
      </c>
      <c r="AT43" s="9">
        <f t="shared" si="383"/>
        <v>81199.678619003069</v>
      </c>
      <c r="AU43" s="9">
        <f t="shared" si="383"/>
        <v>134168.97475706969</v>
      </c>
      <c r="AV43" s="9">
        <f t="shared" si="383"/>
        <v>-46656.506906474839</v>
      </c>
      <c r="AW43" s="9">
        <f t="shared" si="383"/>
        <v>-63685.749546112478</v>
      </c>
      <c r="AX43" s="9">
        <f t="shared" si="383"/>
        <v>-217428.06222105454</v>
      </c>
      <c r="AY43" s="9">
        <f t="shared" si="383"/>
        <v>-186704.0329601487</v>
      </c>
      <c r="AZ43" s="9">
        <f t="shared" si="383"/>
        <v>-326481.77020249591</v>
      </c>
      <c r="BA43" s="9">
        <f t="shared" si="383"/>
        <v>246173.50421903431</v>
      </c>
      <c r="BB43" s="9">
        <f t="shared" si="383"/>
        <v>-105462.53327877862</v>
      </c>
      <c r="BC43" s="9">
        <f t="shared" si="383"/>
        <v>-96047.504899877415</v>
      </c>
      <c r="BD43" s="9">
        <f t="shared" si="383"/>
        <v>-119774.60210667782</v>
      </c>
      <c r="BE43" s="9">
        <f t="shared" si="383"/>
        <v>-149311.97103394024</v>
      </c>
      <c r="BF43" s="9">
        <f t="shared" si="383"/>
        <v>-146944.0947118339</v>
      </c>
      <c r="BG43" s="9">
        <f t="shared" si="383"/>
        <v>-139580.38322632448</v>
      </c>
      <c r="BH43" s="9">
        <f t="shared" si="383"/>
        <v>-113410.59344126756</v>
      </c>
      <c r="BI43" s="9">
        <f t="shared" si="383"/>
        <v>-113237.11941537797</v>
      </c>
      <c r="BJ43" s="9">
        <f t="shared" si="383"/>
        <v>-130602.04715982958</v>
      </c>
      <c r="BK43" s="9">
        <f t="shared" ref="BK43:BL43" si="384">IF(OR(BK41="",BK42=""),"",BK41+BK42)</f>
        <v>-155576.00127613393</v>
      </c>
      <c r="BL43" s="9">
        <f t="shared" si="384"/>
        <v>-396.16437849274996</v>
      </c>
      <c r="BM43" s="9">
        <f t="shared" ref="BM43:BN43" si="385">IF(OR(BM41="",BM42=""),"",BM41+BM42)</f>
        <v>-1317.2443451146653</v>
      </c>
      <c r="BN43" s="9">
        <f t="shared" si="385"/>
        <v>-722.95438702988122</v>
      </c>
      <c r="BO43" s="9">
        <f t="shared" ref="BO43:BP43" si="386">IF(OR(BO41="",BO42=""),"",BO41+BO42)</f>
        <v>-321.711050565162</v>
      </c>
      <c r="BP43" s="9">
        <f t="shared" si="386"/>
        <v>612.50862714364848</v>
      </c>
      <c r="BQ43" s="9">
        <f t="shared" ref="BQ43:BR43" si="387">IF(OR(BQ41="",BQ42=""),"",BQ41+BQ42)</f>
        <v>1015.6577385435111</v>
      </c>
      <c r="BR43" s="9">
        <f t="shared" si="387"/>
        <v>1298.4360278361914</v>
      </c>
      <c r="BS43" s="9">
        <f t="shared" ref="BS43:BT43" si="388">IF(OR(BS41="",BS42=""),"",BS41+BS42)</f>
        <v>671.53720705711135</v>
      </c>
      <c r="BT43" s="9">
        <f t="shared" si="388"/>
        <v>-11.576602377801642</v>
      </c>
      <c r="BU43" s="9">
        <f t="shared" ref="BU43:BV43" si="389">IF(OR(BU41="",BU42=""),"",BU41+BU42)</f>
        <v>-242.50889937081425</v>
      </c>
      <c r="BV43" s="9">
        <f t="shared" si="389"/>
        <v>-436.91428608144611</v>
      </c>
      <c r="BW43" s="9">
        <f t="shared" ref="BW43:BX43" si="390">IF(OR(BW41="",BW42=""),"",BW41+BW42)</f>
        <v>-716.64694418082365</v>
      </c>
      <c r="BX43" s="9">
        <f t="shared" si="390"/>
        <v>-1525.9451530127014</v>
      </c>
      <c r="BY43" s="9">
        <f t="shared" ref="BY43:BZ43" si="391">IF(OR(BY41="",BY42=""),"",BY41+BY42)</f>
        <v>-116.0217407622076</v>
      </c>
      <c r="BZ43" s="9">
        <f t="shared" si="391"/>
        <v>-88.705996086469412</v>
      </c>
      <c r="CA43" s="9">
        <f t="shared" ref="CA43:CB43" si="392">IF(OR(CA41="",CA42=""),"",CA41+CA42)</f>
        <v>-67.538492140136043</v>
      </c>
      <c r="CB43" s="9">
        <f t="shared" si="392"/>
        <v>-62.484057038345377</v>
      </c>
      <c r="CC43" s="9">
        <f t="shared" ref="CC43:CD43" si="393">IF(OR(CC41="",CC42=""),"",CC41+CC42)</f>
        <v>-61.065162182123288</v>
      </c>
      <c r="CD43" s="9">
        <f t="shared" si="393"/>
        <v>-40.088517091711381</v>
      </c>
      <c r="CE43" s="9">
        <f t="shared" ref="CE43:CF43" si="394">IF(OR(CE41="",CE42=""),"",CE41+CE42)</f>
        <v>-8.2108146456266269</v>
      </c>
      <c r="CF43" s="9">
        <f t="shared" si="394"/>
        <v>-1374.8076301420676</v>
      </c>
      <c r="CG43" s="9">
        <f t="shared" ref="CG43:CH43" si="395">IF(OR(CG41="",CG42=""),"",CG41+CG42)</f>
        <v>46.128061463578234</v>
      </c>
      <c r="CH43" s="9">
        <f t="shared" si="395"/>
        <v>27.949103556780329</v>
      </c>
      <c r="CI43" s="9">
        <f t="shared" ref="CI43" si="396">IF(OR(CI41="",CI42=""),"",CI41+CI42)</f>
        <v>13.200979517548063</v>
      </c>
    </row>
    <row r="44" spans="1:87" s="5" customFormat="1" hidden="1" outlineLevel="1" x14ac:dyDescent="0.35">
      <c r="A44" s="274"/>
      <c r="B44" s="20" t="s">
        <v>16</v>
      </c>
      <c r="C44" s="28"/>
      <c r="D44" s="28"/>
      <c r="E44" s="9">
        <f>E43</f>
        <v>0</v>
      </c>
      <c r="F44" s="9">
        <f>IF(OR(F43="",E44=""),"",F43+E44)</f>
        <v>0</v>
      </c>
      <c r="G44" s="9">
        <f t="shared" ref="G44:N44" si="397">IF(OR(G43="",F44=""),"",G43+F44)</f>
        <v>-856.81930940526661</v>
      </c>
      <c r="H44" s="9">
        <f t="shared" si="397"/>
        <v>-9112.9031713150725</v>
      </c>
      <c r="I44" s="9">
        <f t="shared" si="397"/>
        <v>-10520.525167507007</v>
      </c>
      <c r="J44" s="9">
        <f t="shared" si="397"/>
        <v>-10592.534541283901</v>
      </c>
      <c r="K44" s="9">
        <f t="shared" si="397"/>
        <v>-2165.9515827524701</v>
      </c>
      <c r="L44" s="9">
        <f t="shared" si="397"/>
        <v>9457.6286624783752</v>
      </c>
      <c r="M44" s="9">
        <f t="shared" si="397"/>
        <v>26520.554474400789</v>
      </c>
      <c r="N44" s="9">
        <f t="shared" si="397"/>
        <v>51388.722581559399</v>
      </c>
      <c r="O44" s="9">
        <f>IF(OR(O43="",N44=""),"",O43+O39+N44)</f>
        <v>71682.876635915221</v>
      </c>
      <c r="P44" s="9">
        <f>IF(OR(P43="",O44=""),"",P43+P39+O44+P36)</f>
        <v>638734.3647874759</v>
      </c>
      <c r="Q44" s="9">
        <f t="shared" ref="Q44" si="398">IF(OR(Q43="",P44=""),"",Q43+Q39+P44)</f>
        <v>563611.00603751873</v>
      </c>
      <c r="R44" s="9">
        <f t="shared" ref="R44" si="399">IF(OR(R43="",Q44=""),"",R43+R39+Q44)</f>
        <v>472258.59385150752</v>
      </c>
      <c r="S44" s="9">
        <f t="shared" ref="S44" si="400">IF(OR(S43="",R44=""),"",S43+S39+R44)</f>
        <v>404517.66100026714</v>
      </c>
      <c r="T44" s="9">
        <f t="shared" ref="T44" si="401">IF(OR(T43="",S44=""),"",T43+T39+S44)</f>
        <v>356346.2385918778</v>
      </c>
      <c r="U44" s="9">
        <f t="shared" ref="U44" si="402">IF(OR(U43="",T44=""),"",U43+U39+T44)</f>
        <v>334765.50496270298</v>
      </c>
      <c r="V44" s="9">
        <f t="shared" ref="V44" si="403">IF(OR(V43="",U44=""),"",V43+V39+U44)</f>
        <v>306424.18635346403</v>
      </c>
      <c r="W44" s="9">
        <f t="shared" ref="W44" si="404">IF(OR(W43="",V44=""),"",W43+W39+V44)</f>
        <v>313078.23705380416</v>
      </c>
      <c r="X44" s="9">
        <f t="shared" ref="X44" si="405">IF(OR(X43="",W44=""),"",X43+X39+W44)</f>
        <v>292401.96863750659</v>
      </c>
      <c r="Y44" s="9">
        <f t="shared" ref="Y44" si="406">IF(OR(Y43="",X44=""),"",Y43+Y39+X44)</f>
        <v>258173.94126454054</v>
      </c>
      <c r="Z44" s="9">
        <f t="shared" ref="Z44" si="407">IF(OR(Z43="",Y44=""),"",Z43+Z39+Y44)</f>
        <v>250885.09898873357</v>
      </c>
      <c r="AA44" s="9">
        <f t="shared" ref="AA44" si="408">IF(OR(AA43="",Z44=""),"",AA43+AA39+Z44)</f>
        <v>208589.31575474446</v>
      </c>
      <c r="AB44" s="9">
        <f t="shared" ref="AB44" si="409">IF(OR(AB43="",AA44=""),"",AB43+AB39+AA44)</f>
        <v>2591.4190605576441</v>
      </c>
      <c r="AC44" s="9">
        <f t="shared" ref="AC44" si="410">IF(OR(AC43="",AB44=""),"",AC43+AC39+AB44)</f>
        <v>-131356.86960994921</v>
      </c>
      <c r="AD44" s="9">
        <f t="shared" ref="AD44" si="411">IF(OR(AD43="",AC44=""),"",AD43+AD39+AC44)</f>
        <v>-236332.77783265655</v>
      </c>
      <c r="AE44" s="9">
        <f t="shared" ref="AE44" si="412">IF(OR(AE43="",AD44=""),"",AE43+AE39+AD44)</f>
        <v>-240987.71870530801</v>
      </c>
      <c r="AF44" s="9">
        <f t="shared" ref="AF44" si="413">IF(OR(AF43="",AE44=""),"",AF43+AF39+AE44)</f>
        <v>-180711.66852252209</v>
      </c>
      <c r="AG44" s="9">
        <f t="shared" ref="AG44" si="414">IF(OR(AG43="",AF44=""),"",AG43+AG39+AF44)</f>
        <v>-31123.70616648352</v>
      </c>
      <c r="AH44" s="9">
        <f t="shared" ref="AH44" si="415">IF(OR(AH43="",AG44=""),"",AH43+AH39+AG44)</f>
        <v>81675.571138408864</v>
      </c>
      <c r="AI44" s="9">
        <f t="shared" ref="AI44" si="416">IF(OR(AI43="",AH44=""),"",AI43+AI39+AH44)</f>
        <v>239390.08619298192</v>
      </c>
      <c r="AJ44" s="9">
        <f t="shared" ref="AJ44" si="417">IF(OR(AJ43="",AI44=""),"",AJ43+AJ39+AI44)</f>
        <v>290377.63679010363</v>
      </c>
      <c r="AK44" s="9">
        <f t="shared" ref="AK44" si="418">IF(OR(AK43="",AJ44=""),"",AK43+AK39+AJ44)</f>
        <v>338875.5234268675</v>
      </c>
      <c r="AL44" s="9">
        <f t="shared" ref="AL44" si="419">IF(OR(AL43="",AK44=""),"",AL43+AL39+AK44)</f>
        <v>366527.73094277375</v>
      </c>
      <c r="AM44" s="9">
        <f t="shared" ref="AM44" si="420">IF(OR(AM43="",AL44=""),"",AM43+AM39+AL44)</f>
        <v>372746.63509525894</v>
      </c>
      <c r="AN44" s="9">
        <f t="shared" ref="AN44" si="421">IF(OR(AN43="",AM44=""),"",AN43+AN39+AM44)</f>
        <v>-12753.562934887828</v>
      </c>
      <c r="AO44" s="9">
        <f t="shared" ref="AO44" si="422">IF(OR(AO43="",AN44=""),"",AO43+AO39+AN44)</f>
        <v>-247458.14822833665</v>
      </c>
      <c r="AP44" s="9">
        <f t="shared" ref="AP44" si="423">IF(OR(AP43="",AO44=""),"",AP43+AP39+AO44)</f>
        <v>-354694.32067058457</v>
      </c>
      <c r="AQ44" s="9">
        <f t="shared" ref="AQ44" si="424">IF(OR(AQ43="",AP44=""),"",AQ43+AQ39+AP44)</f>
        <v>-436462.66680345987</v>
      </c>
      <c r="AR44" s="9">
        <f t="shared" ref="AR44" si="425">IF(OR(AR43="",AQ44=""),"",AR43+AR39+AQ44)</f>
        <v>-317413.45816344029</v>
      </c>
      <c r="AS44" s="9">
        <f t="shared" ref="AS44" si="426">IF(OR(AS43="",AR44=""),"",AS43+AS39+AR44)</f>
        <v>-87010.070158042014</v>
      </c>
      <c r="AT44" s="9">
        <f t="shared" ref="AT44" si="427">IF(OR(AT43="",AS44=""),"",AT43+AT39+AS44)</f>
        <v>-46493.871539038948</v>
      </c>
      <c r="AU44" s="9">
        <f t="shared" ref="AU44" si="428">IF(OR(AU43="",AT44=""),"",AU43+AU39+AT44)</f>
        <v>48400.433218030747</v>
      </c>
      <c r="AV44" s="9">
        <f t="shared" ref="AV44" si="429">IF(OR(AV43="",AU44=""),"",AV43+AV39+AU44)</f>
        <v>-33650.683688444093</v>
      </c>
      <c r="AW44" s="9">
        <f t="shared" ref="AW44" si="430">IF(OR(AW43="",AV44=""),"",AW43+AW39+AV44)</f>
        <v>-129051.05323455657</v>
      </c>
      <c r="AX44" s="9">
        <f t="shared" ref="AX44" si="431">IF(OR(AX43="",AW44=""),"",AX43+AX39+AW44)</f>
        <v>-383743.43545561109</v>
      </c>
      <c r="AY44" s="9">
        <f t="shared" ref="AY44" si="432">IF(OR(AY43="",AX44=""),"",AY43+AY39+AX44)</f>
        <v>-610186.07841575984</v>
      </c>
      <c r="AZ44" s="9">
        <f t="shared" ref="AZ44" si="433">IF(OR(AZ43="",AY44=""),"",AZ43+AZ39+AY44)</f>
        <v>-677423.54861825577</v>
      </c>
      <c r="BA44" s="9">
        <f t="shared" ref="BA44" si="434">IF(OR(BA43="",AZ44=""),"",BA43+BA39+AZ44)</f>
        <v>-376788.97439922148</v>
      </c>
      <c r="BB44" s="9">
        <f t="shared" ref="BB44" si="435">IF(OR(BB43="",BA44=""),"",BB43+BB39+BA44)</f>
        <v>-441942.80767800007</v>
      </c>
      <c r="BC44" s="9">
        <f t="shared" ref="BC44" si="436">IF(OR(BC43="",BB44=""),"",BC43+BC39+BB44)</f>
        <v>-501300.67257787747</v>
      </c>
      <c r="BD44" s="9">
        <f t="shared" ref="BD44" si="437">IF(OR(BD43="",BC44=""),"",BD43+BD39+BC44)</f>
        <v>-575195.8346845553</v>
      </c>
      <c r="BE44" s="9">
        <f t="shared" ref="BE44" si="438">IF(OR(BE43="",BD44=""),"",BE43+BE39+BD44)</f>
        <v>-667322.06571849552</v>
      </c>
      <c r="BF44" s="9">
        <f t="shared" ref="BF44" si="439">IF(OR(BF43="",BE44=""),"",BF43+BF39+BE44)</f>
        <v>-757989.07043032942</v>
      </c>
      <c r="BG44" s="9">
        <f t="shared" ref="BG44" si="440">IF(OR(BG43="",BF44=""),"",BG43+BG39+BF44)</f>
        <v>-844122.33365665388</v>
      </c>
      <c r="BH44" s="9">
        <f t="shared" ref="BH44" si="441">IF(OR(BH43="",BG44=""),"",BH43+BH39+BG44)</f>
        <v>-914137.17709792149</v>
      </c>
      <c r="BI44" s="9">
        <f t="shared" ref="BI44" si="442">IF(OR(BI43="",BH44=""),"",BI43+BI39+BH44)</f>
        <v>-984048.25651329942</v>
      </c>
      <c r="BJ44" s="9">
        <f t="shared" ref="BJ44:BM44" si="443">IF(OR(BJ43="",BI44=""),"",BJ43+BJ39+BI44)</f>
        <v>-1064661.473673129</v>
      </c>
      <c r="BK44" s="9">
        <f t="shared" si="443"/>
        <v>-1160622.2549492628</v>
      </c>
      <c r="BL44" s="9">
        <f t="shared" si="443"/>
        <v>-1158682.7993277556</v>
      </c>
      <c r="BM44" s="9">
        <f t="shared" si="443"/>
        <v>-1055916.3436728702</v>
      </c>
      <c r="BN44" s="9">
        <f t="shared" ref="BN44:CI44" si="444">IF(OR(BN43="",BM44=""),"",BN43+BN39+BM44)</f>
        <v>-973806.82805990009</v>
      </c>
      <c r="BO44" s="9">
        <f t="shared" si="444"/>
        <v>-892497.64911046531</v>
      </c>
      <c r="BP44" s="9">
        <f t="shared" si="444"/>
        <v>-795152.84048332169</v>
      </c>
      <c r="BQ44" s="9">
        <f t="shared" si="444"/>
        <v>-680187.34274477814</v>
      </c>
      <c r="BR44" s="9">
        <f t="shared" si="444"/>
        <v>-564411.90671694197</v>
      </c>
      <c r="BS44" s="9">
        <f t="shared" si="444"/>
        <v>-448052.26950988488</v>
      </c>
      <c r="BT44" s="9">
        <f t="shared" si="444"/>
        <v>-351535.95611226268</v>
      </c>
      <c r="BU44" s="9">
        <f t="shared" si="444"/>
        <v>-265528.47501163348</v>
      </c>
      <c r="BV44" s="9">
        <f t="shared" si="444"/>
        <v>-167618.20929771493</v>
      </c>
      <c r="BW44" s="9">
        <f t="shared" si="444"/>
        <v>-52250.696241895756</v>
      </c>
      <c r="BX44" s="9">
        <f t="shared" si="444"/>
        <v>18919.668605091545</v>
      </c>
      <c r="BY44" s="9">
        <f t="shared" si="444"/>
        <v>22733.656864329336</v>
      </c>
      <c r="BZ44" s="9">
        <f t="shared" si="444"/>
        <v>26177.560868242865</v>
      </c>
      <c r="CA44" s="9">
        <f t="shared" si="444"/>
        <v>29360.672376102728</v>
      </c>
      <c r="CB44" s="9">
        <f t="shared" si="444"/>
        <v>32982.978319064379</v>
      </c>
      <c r="CC44" s="9">
        <f t="shared" si="444"/>
        <v>37166.163156882256</v>
      </c>
      <c r="CD44" s="9">
        <f t="shared" si="444"/>
        <v>41576.884639790544</v>
      </c>
      <c r="CE44" s="9">
        <f t="shared" si="444"/>
        <v>45614.573825144915</v>
      </c>
      <c r="CF44" s="9">
        <f t="shared" si="444"/>
        <v>47612.626195002849</v>
      </c>
      <c r="CG44" s="9">
        <f t="shared" si="444"/>
        <v>50711.224256466427</v>
      </c>
      <c r="CH44" s="9">
        <f t="shared" si="444"/>
        <v>54436.373360023208</v>
      </c>
      <c r="CI44" s="9">
        <f t="shared" si="444"/>
        <v>58813.52433954076</v>
      </c>
    </row>
    <row r="45" spans="1:87" s="5" customFormat="1" ht="8.25" hidden="1" customHeight="1" outlineLevel="1" x14ac:dyDescent="0.35">
      <c r="A45" s="44"/>
      <c r="B45" s="13"/>
      <c r="C45" s="13"/>
      <c r="D45" s="13"/>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row>
    <row r="46" spans="1:87" s="5" customFormat="1" ht="15" hidden="1" customHeight="1" outlineLevel="1" x14ac:dyDescent="0.35">
      <c r="A46" s="274" t="s">
        <v>22</v>
      </c>
      <c r="B46" s="17"/>
      <c r="C46" s="32"/>
      <c r="D46" s="32"/>
      <c r="E46" s="9"/>
      <c r="F46" s="9"/>
      <c r="G46" s="9"/>
      <c r="H46" s="9"/>
      <c r="I46" s="9"/>
      <c r="J46" s="9"/>
      <c r="K46" s="9"/>
      <c r="L46" s="9"/>
      <c r="M46" s="9"/>
      <c r="N46" s="9"/>
      <c r="O46" s="9"/>
      <c r="P46" s="74">
        <v>905880.95458707912</v>
      </c>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141">
        <f>'MEEIA 2 adjs'!CY41</f>
        <v>-2892.28773686762</v>
      </c>
      <c r="CG46" s="9"/>
      <c r="CH46" s="9"/>
      <c r="CI46" s="9"/>
    </row>
    <row r="47" spans="1:87" s="3" customFormat="1" ht="15" hidden="1" customHeight="1" outlineLevel="1" x14ac:dyDescent="0.35">
      <c r="A47" s="274"/>
      <c r="B47" s="17" t="s">
        <v>28</v>
      </c>
      <c r="C47" s="32"/>
      <c r="D47" s="32"/>
      <c r="E47" s="22">
        <f>IF('M2 Allocations - TD'!D7="","",'M2 Allocations - TD'!D33)</f>
        <v>0</v>
      </c>
      <c r="F47" s="22">
        <f>IF('M2 Allocations - TD'!E7="","",'M2 Allocations - TD'!E33)</f>
        <v>0</v>
      </c>
      <c r="G47" s="22">
        <f>IF('M2 Allocations - TD'!F7="","",'M2 Allocations - TD'!F33)</f>
        <v>0</v>
      </c>
      <c r="H47" s="22">
        <f>IF('M2 Allocations - TD'!G7="","",'M2 Allocations - TD'!G33)</f>
        <v>6853.38</v>
      </c>
      <c r="I47" s="22">
        <f>IF('M2 Allocations - TD'!H7="","",'M2 Allocations - TD'!H33)</f>
        <v>24493.5</v>
      </c>
      <c r="J47" s="22">
        <f>IF('M2 Allocations - TD'!I7="","",'M2 Allocations - TD'!I33)</f>
        <v>33902.946879751129</v>
      </c>
      <c r="K47" s="22">
        <f>IF('M2 Allocations - TD'!J7="","",'M2 Allocations - TD'!J33)</f>
        <v>57130.941306139037</v>
      </c>
      <c r="L47" s="22">
        <f>IF('M2 Allocations - TD'!K7="","",'M2 Allocations - TD'!K33)</f>
        <v>48568.434840680449</v>
      </c>
      <c r="M47" s="22">
        <f>IF('M2 Allocations - TD'!L7="","",'M2 Allocations - TD'!L33)</f>
        <v>56402.832716238408</v>
      </c>
      <c r="N47" s="22">
        <f>IF('M2 Allocations - TD'!M7="","",'M2 Allocations - TD'!M33)</f>
        <v>76416.403445979842</v>
      </c>
      <c r="O47" s="22">
        <f>IF('M2 Allocations - TD'!N7="","",'M2 Allocations - TD'!N33)</f>
        <v>98464.472713338357</v>
      </c>
      <c r="P47" s="22">
        <f>IF('M2 Allocations - TD'!O7="","",'M2 Allocations - TD'!O33)</f>
        <v>92820.247439449406</v>
      </c>
      <c r="Q47" s="22">
        <f>IF('M2 Allocations - TD'!P7="","",'M2 Allocations - TD'!P33)</f>
        <v>115878.51859125202</v>
      </c>
      <c r="R47" s="22">
        <f>IF('M2 Allocations - TD'!Q7="","",'M2 Allocations - TD'!Q33)</f>
        <v>64178.344243350926</v>
      </c>
      <c r="S47" s="22">
        <f>IF('M2 Allocations - TD'!R7="","",'M2 Allocations - TD'!R33)</f>
        <v>102867.21859456625</v>
      </c>
      <c r="T47" s="22">
        <f>IF('M2 Allocations - TD'!S7="","",'M2 Allocations - TD'!S33)</f>
        <v>225026.10782354834</v>
      </c>
      <c r="U47" s="22">
        <f>IF('M2 Allocations - TD'!T7="","",'M2 Allocations - TD'!T33)</f>
        <v>332206.05000000005</v>
      </c>
      <c r="V47" s="22">
        <f>IF('M2 Allocations - TD'!U7="","",'M2 Allocations - TD'!U33)</f>
        <v>326565.43828407576</v>
      </c>
      <c r="W47" s="22">
        <f>IF('M2 Allocations - TD'!V7="","",'M2 Allocations - TD'!V33)</f>
        <v>357152.1332604558</v>
      </c>
      <c r="X47" s="22">
        <f>IF('M2 Allocations - TD'!W7="","",'M2 Allocations - TD'!W33)</f>
        <v>233165.34998028661</v>
      </c>
      <c r="Y47" s="22">
        <f>IF('M2 Allocations - TD'!X7="","",'M2 Allocations - TD'!X33)</f>
        <v>242735.19909115109</v>
      </c>
      <c r="Z47" s="22">
        <f>IF('M2 Allocations - TD'!Y7="","",'M2 Allocations - TD'!Y33)</f>
        <v>270260.8911173091</v>
      </c>
      <c r="AA47" s="22">
        <f>IF('M2 Allocations - TD'!Z7="","",'M2 Allocations - TD'!Z33)</f>
        <v>318931.98735694966</v>
      </c>
      <c r="AB47" s="22">
        <f>IF('M2 Allocations - TD'!AA7="","",'M2 Allocations - TD'!AA33)</f>
        <v>278425.9450890508</v>
      </c>
      <c r="AC47" s="22">
        <f>IF('M2 Allocations - TD'!AB7="","",'M2 Allocations - TD'!AB33)</f>
        <v>325174.04680208978</v>
      </c>
      <c r="AD47" s="22">
        <f>IF('M2 Allocations - TD'!AC7="","",'M2 Allocations - TD'!AC33)</f>
        <v>343158.29248776339</v>
      </c>
      <c r="AE47" s="22">
        <f>IF('M2 Allocations - TD'!AD7="","",'M2 Allocations - TD'!AD33)</f>
        <v>457118.03014316031</v>
      </c>
      <c r="AF47" s="22">
        <f>IF('M2 Allocations - TD'!AE7="","",'M2 Allocations - TD'!AE33)</f>
        <v>886825.58305134752</v>
      </c>
      <c r="AG47" s="22">
        <f>IF('M2 Allocations - TD'!AF7="","",'M2 Allocations - TD'!AF33)</f>
        <v>1197518.2821251666</v>
      </c>
      <c r="AH47" s="22">
        <f>IF('M2 Allocations - TD'!AG7="","",'M2 Allocations - TD'!AG33)</f>
        <v>1030275.3853313371</v>
      </c>
      <c r="AI47" s="22">
        <f>IF('M2 Allocations - TD'!AH7="","",'M2 Allocations - TD'!AH33)</f>
        <v>1033786.813176945</v>
      </c>
      <c r="AJ47" s="22">
        <f>IF('M2 Allocations - TD'!AI7="","",'M2 Allocations - TD'!AI33)</f>
        <v>565137.42472021224</v>
      </c>
      <c r="AK47" s="22">
        <f>IF('M2 Allocations - TD'!AJ7="","",'M2 Allocations - TD'!AJ33)</f>
        <v>515386.54786655982</v>
      </c>
      <c r="AL47" s="22">
        <f>IF('M2 Allocations - TD'!AK7="","",'M2 Allocations - TD'!AK33)</f>
        <v>600621.60749234632</v>
      </c>
      <c r="AM47" s="22">
        <f>IF('M2 Allocations - TD'!AL7="","",'M2 Allocations - TD'!AL33)</f>
        <v>677840.83886779845</v>
      </c>
      <c r="AN47" s="22">
        <f>IF('M2 Allocations - TD'!AM7="","",'M2 Allocations - TD'!AM33)</f>
        <v>590569.34077565547</v>
      </c>
      <c r="AO47" s="22">
        <f>IF('M2 Allocations - TD'!AN7="","",'M2 Allocations - TD'!AN33)</f>
        <v>785533.21729427099</v>
      </c>
      <c r="AP47" s="22">
        <f>IF('M2 Allocations - TD'!AO7="","",'M2 Allocations - TD'!AO33)</f>
        <v>759722.89069128735</v>
      </c>
      <c r="AQ47" s="22">
        <f>IF('M2 Allocations - TD'!AP7="","",'M2 Allocations - TD'!AP33)</f>
        <v>730573.86433008127</v>
      </c>
      <c r="AR47" s="22">
        <f>IF('M2 Allocations - TD'!AQ7="","",'M2 Allocations - TD'!AQ33)</f>
        <v>1701261.2984572235</v>
      </c>
      <c r="AS47" s="22">
        <f>IF('M2 Allocations - TD'!AR7="","",'M2 Allocations - TD'!AR33)</f>
        <v>2138329.3142225798</v>
      </c>
      <c r="AT47" s="22">
        <f>IF('M2 Allocations - TD'!AS7="","",'M2 Allocations - TD'!AS33)</f>
        <v>1807748.5219926799</v>
      </c>
      <c r="AU47" s="22">
        <f>IF('M2 Allocations - TD'!AT7="","",'M2 Allocations - TD'!AT33)</f>
        <v>1650674.4488178033</v>
      </c>
      <c r="AV47" s="22">
        <f>IF('M2 Allocations - TD'!AU7="","",'M2 Allocations - TD'!AU33)</f>
        <v>846164.39074269368</v>
      </c>
      <c r="AW47" s="22">
        <f>IF('M2 Allocations - TD'!AV7="","",'M2 Allocations - TD'!AV33)</f>
        <v>722912.52035272913</v>
      </c>
      <c r="AX47" s="22">
        <f>IF('M2 Allocations - TD'!AW7="","",'M2 Allocations - TD'!AW33)</f>
        <v>787449.04813982907</v>
      </c>
      <c r="AY47" s="22">
        <f>IF('M2 Allocations - TD'!AX7="","",'M2 Allocations - TD'!AX33)</f>
        <v>821876.98404895363</v>
      </c>
      <c r="AZ47" s="22">
        <f>IF('M2 Allocations - TD'!AY7="","",'M2 Allocations - TD'!AY33)</f>
        <v>663143.00246334542</v>
      </c>
      <c r="BA47" s="22">
        <f>IF('M2 Allocations - TD'!AZ7="","",'M2 Allocations - TD'!AZ33)</f>
        <v>717865.1381538827</v>
      </c>
      <c r="BB47" s="22">
        <f>IF('M2 Allocations - TD'!BA7="","",'M2 Allocations - TD'!BA33)</f>
        <v>2286.3100000023842</v>
      </c>
      <c r="BC47" s="22">
        <f>IF('M2 Allocations - TD'!BB7="","",'M2 Allocations - TD'!BB33)</f>
        <v>1973.3555017490889</v>
      </c>
      <c r="BD47" s="22">
        <f>IF('M2 Allocations - TD'!BC7="","",'M2 Allocations - TD'!BC33)</f>
        <v>12223.310000002384</v>
      </c>
      <c r="BE47" s="22">
        <f>IF('M2 Allocations - TD'!BD7="","",'M2 Allocations - TD'!BD33)</f>
        <v>22853.179999999702</v>
      </c>
      <c r="BF47" s="22">
        <f>IF('M2 Allocations - TD'!BE7="","",'M2 Allocations - TD'!BE33)</f>
        <v>20540.269999999553</v>
      </c>
      <c r="BG47" s="22">
        <f>IF('M2 Allocations - TD'!BF7="","",'M2 Allocations - TD'!BF33)</f>
        <v>15022.210000000894</v>
      </c>
      <c r="BH47" s="22">
        <f>IF('M2 Allocations - TD'!BG7="","",'M2 Allocations - TD'!BG33)</f>
        <v>6711.089999999851</v>
      </c>
      <c r="BI47" s="22">
        <f>IF('M2 Allocations - TD'!BH7="","",'M2 Allocations - TD'!BH33)</f>
        <v>6702.839999999851</v>
      </c>
      <c r="BJ47" s="22">
        <f>IF('M2 Allocations - TD'!BI7="","",'M2 Allocations - TD'!BI33)</f>
        <v>8127.0399999991059</v>
      </c>
      <c r="BK47" s="22">
        <f>IF('M2 Allocations - TD'!BJ7="","",'M2 Allocations - TD'!BJ33)</f>
        <v>8329.3000000007451</v>
      </c>
      <c r="BL47" s="22">
        <f>IF('M2 Allocations - TD'!BK7="","",'M2 Allocations - TD'!BK33)</f>
        <v>8800.269999999553</v>
      </c>
      <c r="BM47" s="22">
        <f>IF('M2 Allocations - TD'!BL7="","",'M2 Allocations - TD'!BL33)</f>
        <v>10333.070000000298</v>
      </c>
      <c r="BN47" s="22">
        <f>IF('M2 Allocations - TD'!BM7="","",'M2 Allocations - TD'!BM33)</f>
        <v>8760.0100000016391</v>
      </c>
      <c r="BO47" s="22">
        <f>IF('M2 Allocations - TD'!BN7="","",'M2 Allocations - TD'!BN33)</f>
        <v>11044.909999996424</v>
      </c>
      <c r="BP47" s="22">
        <f>IF('M2 Allocations - TD'!BO7="","",'M2 Allocations - TD'!BO33)</f>
        <v>31907.310000002384</v>
      </c>
      <c r="BQ47" s="22">
        <f>IF('M2 Allocations - TD'!BP7="","",'M2 Allocations - TD'!BP33)</f>
        <v>40946.179999999702</v>
      </c>
      <c r="BR47" s="22">
        <f>IF('M2 Allocations - TD'!BQ7="","",'M2 Allocations - TD'!BQ33)</f>
        <v>36410.359999999404</v>
      </c>
      <c r="BS47" s="22">
        <f>IF('M2 Allocations - TD'!BR7="","",'M2 Allocations - TD'!BR33)</f>
        <v>22318.39999999851</v>
      </c>
      <c r="BT47" s="22">
        <f>IF('M2 Allocations - TD'!BS7="","",'M2 Allocations - TD'!BS33)</f>
        <v>8944.2900000028312</v>
      </c>
      <c r="BU47" s="22">
        <f>IF('M2 Allocations - TD'!BT7="","",'M2 Allocations - TD'!BT33)</f>
        <v>9312.6499999985099</v>
      </c>
      <c r="BV47" s="22">
        <f>IF('M2 Allocations - TD'!BU7="","",'M2 Allocations - TD'!BU33)</f>
        <v>11751.719999998808</v>
      </c>
      <c r="BW47" s="22">
        <f>IF('M2 Allocations - TD'!BV7="","",'M2 Allocations - TD'!BV33)</f>
        <v>12005.310000002384</v>
      </c>
      <c r="BX47" s="22">
        <f>IF('M2 Allocations - TD'!BW7="","",'M2 Allocations - TD'!BW33)</f>
        <v>10126.529999997467</v>
      </c>
      <c r="BY47" s="22">
        <f>IF('M2 Allocations - TD'!BX7="","",'M2 Allocations - TD'!BX33)</f>
        <v>0</v>
      </c>
      <c r="BZ47" s="22">
        <f>IF('M2 Allocations - TD'!BY7="","",'M2 Allocations - TD'!BY33)</f>
        <v>0</v>
      </c>
      <c r="CA47" s="22">
        <f>IF('M2 Allocations - TD'!BZ7="","",'M2 Allocations - TD'!BZ33)</f>
        <v>0</v>
      </c>
      <c r="CB47" s="22">
        <f>IF('M2 Allocations - TD'!CA7="","",'M2 Allocations - TD'!CA33)</f>
        <v>0</v>
      </c>
      <c r="CC47" s="22">
        <f>IF('M2 Allocations - TD'!CB7="","",'M2 Allocations - TD'!CB33)</f>
        <v>0</v>
      </c>
      <c r="CD47" s="22">
        <f>IF('M2 Allocations - TD'!CC7="","",'M2 Allocations - TD'!CC33)</f>
        <v>0</v>
      </c>
      <c r="CE47" s="22">
        <f>IF('M2 Allocations - TD'!CD7="","",'M2 Allocations - TD'!CD33)</f>
        <v>0</v>
      </c>
      <c r="CF47" s="22">
        <f>IF('M2 Allocations - TD'!CE7="","",'M2 Allocations - TD'!CE33)</f>
        <v>0</v>
      </c>
      <c r="CG47" s="22">
        <f>IF('M2 Allocations - TD'!CF7="","",'M2 Allocations - TD'!CF33)</f>
        <v>0</v>
      </c>
      <c r="CH47" s="22">
        <f>IF('M2 Allocations - TD'!CG7="","",'M2 Allocations - TD'!CG33)</f>
        <v>0</v>
      </c>
      <c r="CI47" s="22">
        <f>IF('M2 Allocations - TD'!CH7="","",'M2 Allocations - TD'!CH33)</f>
        <v>0</v>
      </c>
    </row>
    <row r="48" spans="1:87" s="5" customFormat="1" ht="15" hidden="1" customHeight="1" outlineLevel="1" x14ac:dyDescent="0.35">
      <c r="A48" s="274"/>
      <c r="B48" s="18" t="s">
        <v>26</v>
      </c>
      <c r="C48" s="26"/>
      <c r="D48" s="26"/>
      <c r="E48" s="24">
        <v>0</v>
      </c>
      <c r="F48" s="24">
        <v>0</v>
      </c>
      <c r="G48" s="24">
        <v>2460.2199999999998</v>
      </c>
      <c r="H48" s="24">
        <v>40611.43</v>
      </c>
      <c r="I48" s="24">
        <v>46133.34</v>
      </c>
      <c r="J48" s="24">
        <v>46227.56</v>
      </c>
      <c r="K48" s="24">
        <v>46423.360000000001</v>
      </c>
      <c r="L48" s="24">
        <v>40852.160000000003</v>
      </c>
      <c r="M48" s="24">
        <v>37249.85</v>
      </c>
      <c r="N48" s="24">
        <v>38727.83</v>
      </c>
      <c r="O48" s="24">
        <v>63808.639999999999</v>
      </c>
      <c r="P48" s="24">
        <f>327646.54+7266.21</f>
        <v>334912.75</v>
      </c>
      <c r="Q48" s="24">
        <f>311663.08+196.57</f>
        <v>311859.65000000002</v>
      </c>
      <c r="R48" s="22">
        <f>IF('M2 Allocations - TD'!Q52="","",'M2 Allocations - TD'!Q70)</f>
        <v>297067.25661237026</v>
      </c>
      <c r="S48" s="22">
        <f>IF('M2 Allocations - TD'!R52="","",'M2 Allocations - TD'!R70)</f>
        <v>306858.76704664429</v>
      </c>
      <c r="T48" s="22">
        <f>IF('M2 Allocations - TD'!S52="","",'M2 Allocations - TD'!S70)</f>
        <v>347930.82125503593</v>
      </c>
      <c r="U48" s="22">
        <f>IF('M2 Allocations - TD'!T52="","",'M2 Allocations - TD'!T70)</f>
        <v>377801.41744412482</v>
      </c>
      <c r="V48" s="22">
        <f>IF('M2 Allocations - TD'!U52="","",'M2 Allocations - TD'!U70)</f>
        <v>384838.10767902108</v>
      </c>
      <c r="W48" s="22">
        <f>IF('M2 Allocations - TD'!V52="","",'M2 Allocations - TD'!V70)</f>
        <v>363327.24534638016</v>
      </c>
      <c r="X48" s="22">
        <f>IF('M2 Allocations - TD'!W52="","",'M2 Allocations - TD'!W70)</f>
        <v>349151.70540680212</v>
      </c>
      <c r="Y48" s="22">
        <f>IF('M2 Allocations - TD'!X52="","",'M2 Allocations - TD'!X70)</f>
        <v>312029.63241835893</v>
      </c>
      <c r="Z48" s="22">
        <f>IF('M2 Allocations - TD'!Y52="","",'M2 Allocations - TD'!Y70)</f>
        <v>324930.27431740938</v>
      </c>
      <c r="AA48" s="22">
        <f>IF('M2 Allocations - TD'!Z52="","",'M2 Allocations - TD'!Z70)</f>
        <v>389339.8693849984</v>
      </c>
      <c r="AB48" s="22">
        <f>IF('M2 Allocations - TD'!AA52="","",'M2 Allocations - TD'!AA70)</f>
        <v>556625.86</v>
      </c>
      <c r="AC48" s="22">
        <f>IF('M2 Allocations - TD'!AB52="","",'M2 Allocations - TD'!AB70)</f>
        <v>519727.84944586566</v>
      </c>
      <c r="AD48" s="22">
        <f>IF('M2 Allocations - TD'!AC52="","",'M2 Allocations - TD'!AC70)</f>
        <v>524323.57207482436</v>
      </c>
      <c r="AE48" s="22">
        <f>IF('M2 Allocations - TD'!AD52="","",'M2 Allocations - TD'!AD70)</f>
        <v>522730.47478252684</v>
      </c>
      <c r="AF48" s="22">
        <f>IF('M2 Allocations - TD'!AE52="","",'M2 Allocations - TD'!AE70)</f>
        <v>623624.8655420111</v>
      </c>
      <c r="AG48" s="22">
        <f>IF('M2 Allocations - TD'!AF52="","",'M2 Allocations - TD'!AF70)</f>
        <v>661725.50586693978</v>
      </c>
      <c r="AH48" s="22">
        <f>IF('M2 Allocations - TD'!AG52="","",'M2 Allocations - TD'!AG70)</f>
        <v>626757.48216571088</v>
      </c>
      <c r="AI48" s="22">
        <f>IF('M2 Allocations - TD'!AH52="","",'M2 Allocations - TD'!AH70)</f>
        <v>638007.84216665139</v>
      </c>
      <c r="AJ48" s="22">
        <f>IF('M2 Allocations - TD'!AI52="","",'M2 Allocations - TD'!AI70)</f>
        <v>579490.47761485481</v>
      </c>
      <c r="AK48" s="22">
        <f>IF('M2 Allocations - TD'!AJ52="","",'M2 Allocations - TD'!AJ70)</f>
        <v>513641.84877388977</v>
      </c>
      <c r="AL48" s="22">
        <f>IF('M2 Allocations - TD'!AK52="","",'M2 Allocations - TD'!AK70)</f>
        <v>557457.11362508603</v>
      </c>
      <c r="AM48" s="22">
        <f>IF('M2 Allocations - TD'!AL52="","",'M2 Allocations - TD'!AL70)</f>
        <v>608808.22123092401</v>
      </c>
      <c r="AN48" s="22">
        <f>IF('M2 Allocations - TD'!AM52="","",'M2 Allocations - TD'!AM70)</f>
        <v>1107018.1450648431</v>
      </c>
      <c r="AO48" s="22">
        <f>IF('M2 Allocations - TD'!AN52="","",'M2 Allocations - TD'!AN70)</f>
        <v>1050923.1514029966</v>
      </c>
      <c r="AP48" s="22">
        <f>IF('M2 Allocations - TD'!AO52="","",'M2 Allocations - TD'!AO70)</f>
        <v>946394.49189445085</v>
      </c>
      <c r="AQ48" s="22">
        <f>IF('M2 Allocations - TD'!AP52="","",'M2 Allocations - TD'!AP70)</f>
        <v>980269.66694109701</v>
      </c>
      <c r="AR48" s="22">
        <f>IF('M2 Allocations - TD'!AQ52="","",'M2 Allocations - TD'!AQ70)</f>
        <v>1091122.5576982794</v>
      </c>
      <c r="AS48" s="22">
        <f>IF('M2 Allocations - TD'!AR52="","",'M2 Allocations - TD'!AR70)</f>
        <v>1173345.4165751</v>
      </c>
      <c r="AT48" s="22">
        <f>IF('M2 Allocations - TD'!AS52="","",'M2 Allocations - TD'!AS70)</f>
        <v>1200301.9882335844</v>
      </c>
      <c r="AU48" s="22">
        <f>IF('M2 Allocations - TD'!AT52="","",'M2 Allocations - TD'!AT70)</f>
        <v>1212308.9277305761</v>
      </c>
      <c r="AV48" s="22">
        <f>IF('M2 Allocations - TD'!AU52="","",'M2 Allocations - TD'!AU70)</f>
        <v>1113467.1918631792</v>
      </c>
      <c r="AW48" s="22">
        <f>IF('M2 Allocations - TD'!AV52="","",'M2 Allocations - TD'!AV70)</f>
        <v>981117.22422696999</v>
      </c>
      <c r="AX48" s="22">
        <f>IF('M2 Allocations - TD'!AW52="","",'M2 Allocations - TD'!AW70)</f>
        <v>1062930.0447087046</v>
      </c>
      <c r="AY48" s="22">
        <f>IF('M2 Allocations - TD'!AX52="","",'M2 Allocations - TD'!AX70)</f>
        <v>1099098.7608177634</v>
      </c>
      <c r="AZ48" s="22">
        <f>IF('M2 Allocations - TD'!AY52="","",'M2 Allocations - TD'!AY70)</f>
        <v>764411.39598139795</v>
      </c>
      <c r="BA48" s="22">
        <f>IF('M2 Allocations - TD'!AZ52="","",'M2 Allocations - TD'!AZ70)</f>
        <v>318623.73714683513</v>
      </c>
      <c r="BB48" s="22">
        <f>IF('M2 Allocations - TD'!BA52="","",'M2 Allocations - TD'!BA70)</f>
        <v>268197.12227908301</v>
      </c>
      <c r="BC48" s="22">
        <f>IF('M2 Allocations - TD'!BB52="","",'M2 Allocations - TD'!BB70)</f>
        <v>249075.16076692482</v>
      </c>
      <c r="BD48" s="22">
        <f>IF('M2 Allocations - TD'!BC52="","",'M2 Allocations - TD'!BC70)</f>
        <v>296551.86746010336</v>
      </c>
      <c r="BE48" s="22">
        <f>IF('M2 Allocations - TD'!BD52="","",'M2 Allocations - TD'!BD70)</f>
        <v>346227.00320999854</v>
      </c>
      <c r="BF48" s="22">
        <f>IF('M2 Allocations - TD'!BE52="","",'M2 Allocations - TD'!BE70)</f>
        <v>344571.98080537363</v>
      </c>
      <c r="BG48" s="22">
        <f>IF('M2 Allocations - TD'!BF52="","",'M2 Allocations - TD'!BF70)</f>
        <v>343418.65957003599</v>
      </c>
      <c r="BH48" s="22">
        <f>IF('M2 Allocations - TD'!BG52="","",'M2 Allocations - TD'!BG70)</f>
        <v>293034.59528354992</v>
      </c>
      <c r="BI48" s="22">
        <f>IF('M2 Allocations - TD'!BH52="","",'M2 Allocations - TD'!BH70)</f>
        <v>285307.32387214003</v>
      </c>
      <c r="BJ48" s="22">
        <f>IF('M2 Allocations - TD'!BI52="","",'M2 Allocations - TD'!BI70)</f>
        <v>306551.46210147406</v>
      </c>
      <c r="BK48" s="22">
        <f>IF('M2 Allocations - TD'!BJ52="","",'M2 Allocations - TD'!BJ70)</f>
        <v>328395.30665898882</v>
      </c>
      <c r="BL48" s="22">
        <f>IF('M2 Allocations - TD'!BK52="","",'M2 Allocations - TD'!BK70)</f>
        <v>129041.97894362173</v>
      </c>
      <c r="BM48" s="22">
        <f>IF('M2 Allocations - TD'!BL52="","",'M2 Allocations - TD'!BL70)</f>
        <v>-116248.37555983226</v>
      </c>
      <c r="BN48" s="22">
        <f>IF('M2 Allocations - TD'!BM52="","",'M2 Allocations - TD'!BM70)</f>
        <v>-104613.38045356744</v>
      </c>
      <c r="BO48" s="22">
        <f>IF('M2 Allocations - TD'!BN52="","",'M2 Allocations - TD'!BN70)</f>
        <v>-106758.31587632833</v>
      </c>
      <c r="BP48" s="22">
        <f>IF('M2 Allocations - TD'!BO52="","",'M2 Allocations - TD'!BO70)</f>
        <v>-119183.41184852651</v>
      </c>
      <c r="BQ48" s="22">
        <f>IF('M2 Allocations - TD'!BP52="","",'M2 Allocations - TD'!BP70)</f>
        <v>-138596.39079341319</v>
      </c>
      <c r="BR48" s="22">
        <f>IF('M2 Allocations - TD'!BQ52="","",'M2 Allocations - TD'!BQ70)</f>
        <v>-137793.28735156739</v>
      </c>
      <c r="BS48" s="22">
        <f>IF('M2 Allocations - TD'!BR52="","",'M2 Allocations - TD'!BR70)</f>
        <v>-140452.99254978076</v>
      </c>
      <c r="BT48" s="22">
        <f>IF('M2 Allocations - TD'!BS52="","",'M2 Allocations - TD'!BS70)</f>
        <v>-123659.88827741763</v>
      </c>
      <c r="BU48" s="22">
        <f>IF('M2 Allocations - TD'!BT52="","",'M2 Allocations - TD'!BT70)</f>
        <v>-109523.64277962862</v>
      </c>
      <c r="BV48" s="22">
        <f>IF('M2 Allocations - TD'!BU52="","",'M2 Allocations - TD'!BU70)</f>
        <v>-119570.42005814648</v>
      </c>
      <c r="BW48" s="22">
        <f>IF('M2 Allocations - TD'!BV52="","",'M2 Allocations - TD'!BV70)</f>
        <v>-127589.09913487616</v>
      </c>
      <c r="BX48" s="22">
        <f>IF('M2 Allocations - TD'!BW52="","",'M2 Allocations - TD'!BW70)</f>
        <v>-90032.567630487814</v>
      </c>
      <c r="BY48" s="22">
        <f>IF('M2 Allocations - TD'!BX52="","",'M2 Allocations - TD'!BX70)</f>
        <v>-29850.366428408659</v>
      </c>
      <c r="BZ48" s="22">
        <f>IF('M2 Allocations - TD'!BY52="","",'M2 Allocations - TD'!BY70)</f>
        <v>-27677.731835119779</v>
      </c>
      <c r="CA48" s="22">
        <f>IF('M2 Allocations - TD'!BZ52="","",'M2 Allocations - TD'!BZ70)</f>
        <v>-28367.49080792554</v>
      </c>
      <c r="CB48" s="22">
        <f>IF('M2 Allocations - TD'!CA52="","",'M2 Allocations - TD'!CA70)</f>
        <v>-31712.240190643679</v>
      </c>
      <c r="CC48" s="22">
        <f>IF('M2 Allocations - TD'!CB52="","",'M2 Allocations - TD'!CB70)</f>
        <v>-36266.351017925241</v>
      </c>
      <c r="CD48" s="22">
        <f>IF('M2 Allocations - TD'!CC52="","",'M2 Allocations - TD'!CC70)</f>
        <v>-35382.790747787352</v>
      </c>
      <c r="CE48" s="22">
        <f>IF('M2 Allocations - TD'!CD52="","",'M2 Allocations - TD'!CD70)</f>
        <v>-33777.721147319782</v>
      </c>
      <c r="CF48" s="22">
        <f>IF('M2 Allocations - TD'!CE52="","",'M2 Allocations - TD'!CE70)</f>
        <v>-29077.038685363284</v>
      </c>
      <c r="CG48" s="22">
        <f>IF('M2 Allocations - TD'!CF52="","",'M2 Allocations - TD'!CF70)</f>
        <v>-27663.737331625234</v>
      </c>
      <c r="CH48" s="22">
        <f>IF('M2 Allocations - TD'!CG52="","",'M2 Allocations - TD'!CG70)</f>
        <v>-30688.494005625664</v>
      </c>
      <c r="CI48" s="22">
        <f>IF('M2 Allocations - TD'!CH52="","",'M2 Allocations - TD'!CH70)</f>
        <v>-33583.673114546691</v>
      </c>
    </row>
    <row r="49" spans="1:87" s="5" customFormat="1" ht="15" hidden="1" customHeight="1" outlineLevel="1" x14ac:dyDescent="0.35">
      <c r="A49" s="274"/>
      <c r="B49" s="18" t="s">
        <v>51</v>
      </c>
      <c r="C49" s="26"/>
      <c r="D49" s="26"/>
      <c r="E49" s="24"/>
      <c r="F49" s="24"/>
      <c r="G49" s="24"/>
      <c r="H49" s="24"/>
      <c r="I49" s="24"/>
      <c r="J49" s="24"/>
      <c r="K49" s="24"/>
      <c r="L49" s="24"/>
      <c r="M49" s="24"/>
      <c r="N49" s="24"/>
      <c r="O49" s="24">
        <f>+'M2 TD amort'!C22</f>
        <v>0</v>
      </c>
      <c r="P49" s="24">
        <f>IF(P48="","",-'M2 TD amort'!D22)</f>
        <v>-71898.7</v>
      </c>
      <c r="Q49" s="24">
        <f>IF(Q48="","",-'M2 TD amort'!E22)</f>
        <v>-66949.69</v>
      </c>
      <c r="R49" s="22">
        <f>IF(R48="","",-'M2 TD amort'!F22)</f>
        <v>-65784.28</v>
      </c>
      <c r="S49" s="22">
        <f>IF(S48="","",-'M2 TD amort'!G22)</f>
        <v>-67640.86</v>
      </c>
      <c r="T49" s="22">
        <f>IF(T48="","",-'M2 TD amort'!H22)</f>
        <v>-76671.17</v>
      </c>
      <c r="U49" s="22">
        <f>IF(U48="","",-'M2 TD amort'!I22)</f>
        <v>-83492.649999999994</v>
      </c>
      <c r="V49" s="22">
        <f>IF(V48="","",-'M2 TD amort'!J22)</f>
        <v>-85057.91</v>
      </c>
      <c r="W49" s="22">
        <f>IF(W48="","",-'M2 TD amort'!K22)</f>
        <v>-80184.02</v>
      </c>
      <c r="X49" s="22">
        <f>IF(X48="","",-'M2 TD amort'!L22)</f>
        <v>-76993.81</v>
      </c>
      <c r="Y49" s="22">
        <f>IF(Y48="","",-'M2 TD amort'!M22)</f>
        <v>-69111.11</v>
      </c>
      <c r="Z49" s="22">
        <f>IF(Z48="","",-'M2 TD amort'!N22)</f>
        <v>-72387.59</v>
      </c>
      <c r="AA49" s="22">
        <f>IF(AA48="","",-'M2 TD amort'!O22)</f>
        <v>-87183.75</v>
      </c>
      <c r="AB49" s="22">
        <f>IF(AB48="","",-'M2 TD amort'!P22)</f>
        <v>41861.18</v>
      </c>
      <c r="AC49" s="22">
        <f>IF(AC48="","",-'M2 TD amort'!Q22)</f>
        <v>39019.480000000003</v>
      </c>
      <c r="AD49" s="22">
        <f>IF(AD48="","",-'M2 TD amort'!R22)</f>
        <v>39371.050000000003</v>
      </c>
      <c r="AE49" s="22">
        <f>IF(AE48="","",-'M2 TD amort'!S22)</f>
        <v>39036.15</v>
      </c>
      <c r="AF49" s="22">
        <f>IF(AF48="","",-'M2 TD amort'!T22)</f>
        <v>46545.52</v>
      </c>
      <c r="AG49" s="22">
        <f>IF(AG48="","",-'M2 TD amort'!U22)</f>
        <v>49426.59</v>
      </c>
      <c r="AH49" s="22">
        <f>IF(AH48="","",-'M2 TD amort'!V22)</f>
        <v>46776.66</v>
      </c>
      <c r="AI49" s="22">
        <f>IF(AI48="","",-'M2 TD amort'!W22)</f>
        <v>47596.959999999999</v>
      </c>
      <c r="AJ49" s="22">
        <f>IF(AJ48="","",-'M2 TD amort'!X22)</f>
        <v>43247.34</v>
      </c>
      <c r="AK49" s="22">
        <f>IF(AK48="","",-'M2 TD amort'!Y22)</f>
        <v>38462.730000000003</v>
      </c>
      <c r="AL49" s="22">
        <f>IF(AL48="","",-'M2 TD amort'!Z22)</f>
        <v>41888.32</v>
      </c>
      <c r="AM49" s="22">
        <f>IF(AM48="","",-'M2 TD amort'!AA22)</f>
        <v>45748.6</v>
      </c>
      <c r="AN49" s="22">
        <f>IF(AN48="","",-'M2 TD amort'!AB22)</f>
        <v>-39945.300000000003</v>
      </c>
      <c r="AO49" s="22">
        <f>IF(AO48="","",-'M2 TD amort'!AC22)</f>
        <v>-37916.46</v>
      </c>
      <c r="AP49" s="22">
        <f>IF(AP48="","",-'M2 TD amort'!AD22)</f>
        <v>-34074.25</v>
      </c>
      <c r="AQ49" s="22">
        <f>IF(AQ48="","",-'M2 TD amort'!AE22)</f>
        <v>-35217.550000000003</v>
      </c>
      <c r="AR49" s="22">
        <f>IF(AR48="","",-'M2 TD amort'!AF22)</f>
        <v>-39184.730000000003</v>
      </c>
      <c r="AS49" s="22">
        <f>IF(AS48="","",-'M2 TD amort'!AG22)</f>
        <v>-42158.83</v>
      </c>
      <c r="AT49" s="22">
        <f>IF(AT48="","",-'M2 TD amort'!AH22)</f>
        <v>-43134.47</v>
      </c>
      <c r="AU49" s="22">
        <f>IF(AU48="","",-'M2 TD amort'!AI22)</f>
        <v>-43546.37</v>
      </c>
      <c r="AV49" s="22">
        <f>IF(AV48="","",-'M2 TD amort'!AJ22)</f>
        <v>-39985.99</v>
      </c>
      <c r="AW49" s="22">
        <f>IF(AW48="","",-'M2 TD amort'!AK22)</f>
        <v>-35295.050000000003</v>
      </c>
      <c r="AX49" s="22">
        <f>IF(AX48="","",-'M2 TD amort'!AL22)</f>
        <v>-38295.129999999997</v>
      </c>
      <c r="AY49" s="22">
        <f>IF(AY48="","",-'M2 TD amort'!AM22)</f>
        <v>-39611.050000000003</v>
      </c>
      <c r="AZ49" s="22">
        <f>IF(AZ48="","",-'M2 TD amort'!AN22)</f>
        <v>-135781.93</v>
      </c>
      <c r="BA49" s="22">
        <f>IF(BA48="","",-'M2 TD amort'!AO22)</f>
        <v>-56245.39</v>
      </c>
      <c r="BB49" s="22">
        <f>IF(BB48="","",-'M2 TD amort'!AP22)</f>
        <v>-47316.91</v>
      </c>
      <c r="BC49" s="22">
        <f>IF(BC48="","",-'M2 TD amort'!AQ22)</f>
        <v>-43930.2</v>
      </c>
      <c r="BD49" s="22">
        <f>IF(BD48="","",-'M2 TD amort'!AR22)</f>
        <v>-52291.199999999997</v>
      </c>
      <c r="BE49" s="22">
        <f>IF(BE48="","",-'M2 TD amort'!AS22)</f>
        <v>-61054.93</v>
      </c>
      <c r="BF49" s="22">
        <f>IF(BF48="","",-'M2 TD amort'!AT22)</f>
        <v>-60755.16</v>
      </c>
      <c r="BG49" s="22">
        <f>IF(BG48="","",-'M2 TD amort'!AU22)</f>
        <v>-60542.36</v>
      </c>
      <c r="BH49" s="22">
        <f>IF(BH48="","",-'M2 TD amort'!AV22)</f>
        <v>-51660.87</v>
      </c>
      <c r="BI49" s="22">
        <f>IF(BI48="","",-'M2 TD amort'!AW22)</f>
        <v>-50317.66</v>
      </c>
      <c r="BJ49" s="22">
        <f>IF(BJ48="","",-'M2 TD amort'!AX22)</f>
        <v>-54088.43</v>
      </c>
      <c r="BK49" s="22">
        <f>IF(BK48="","",-'M2 TD amort'!AY22)</f>
        <v>-57968.47</v>
      </c>
      <c r="BL49" s="22">
        <f>IF(BL48="","",-'M2 TD amort'!AZ22)</f>
        <v>-155185.29</v>
      </c>
      <c r="BM49" s="22">
        <f>IF(BM48="","",-'M2 TD amort'!BA22)</f>
        <v>144151.20000000001</v>
      </c>
      <c r="BN49" s="22">
        <f>IF(BN48="","",-'M2 TD amort'!BB22)</f>
        <v>129139.73</v>
      </c>
      <c r="BO49" s="22">
        <f>IF(BO48="","",-'M2 TD amort'!BC22)</f>
        <v>131496.01999999999</v>
      </c>
      <c r="BP49" s="22">
        <f>IF(BP48="","",-'M2 TD amort'!BD22)</f>
        <v>146683.67000000001</v>
      </c>
      <c r="BQ49" s="22">
        <f>IF(BQ48="","",-'M2 TD amort'!BE22)</f>
        <v>170727.8</v>
      </c>
      <c r="BR49" s="22">
        <f>IF(BR48="","",-'M2 TD amort'!BF22)</f>
        <v>169792.6</v>
      </c>
      <c r="BS49" s="22">
        <f>IF(BS48="","",-'M2 TD amort'!BG22)</f>
        <v>173041.64</v>
      </c>
      <c r="BT49" s="22">
        <f>IF(BT48="","",-'M2 TD amort'!BH22)</f>
        <v>152089.43</v>
      </c>
      <c r="BU49" s="22">
        <f>IF(BU48="","",-'M2 TD amort'!BI22)</f>
        <v>135146.15</v>
      </c>
      <c r="BV49" s="22">
        <f>IF(BV48="","",-'M2 TD amort'!BJ22)</f>
        <v>147703.67000000001</v>
      </c>
      <c r="BW49" s="22">
        <f>IF(BW48="","",-'M2 TD amort'!BK22)</f>
        <v>157813.82</v>
      </c>
      <c r="BX49" s="22">
        <f>IF(BX48="","",-'M2 TD amort'!BL22)</f>
        <v>94457.73</v>
      </c>
      <c r="BY49" s="22">
        <f>IF(BY48="","",-'M2 TD amort'!BM22)</f>
        <v>30773.360000000001</v>
      </c>
      <c r="BZ49" s="22">
        <f>IF(BZ48="","",-'M2 TD amort'!BN22)</f>
        <v>28505.86</v>
      </c>
      <c r="CA49" s="22">
        <f>IF(CA48="","",-'M2 TD amort'!BO22)</f>
        <v>29204.54</v>
      </c>
      <c r="CB49" s="22">
        <f>IF(CB48="","",-'M2 TD amort'!BP22)</f>
        <v>32647.23</v>
      </c>
      <c r="CC49" s="22">
        <f>IF(CC48="","",-'M2 TD amort'!BQ22)</f>
        <v>37342.58</v>
      </c>
      <c r="CD49" s="22">
        <f>IF(CD48="","",-'M2 TD amort'!BR22)</f>
        <v>36437.18</v>
      </c>
      <c r="CE49" s="22">
        <f>IF(CE48="","",-'M2 TD amort'!BS22)</f>
        <v>34781.339999999997</v>
      </c>
      <c r="CF49" s="22">
        <f>IF(CF48="","",-'M2 TD amort'!BT22)</f>
        <v>29940.03</v>
      </c>
      <c r="CG49" s="22">
        <f>IF(CG48="","",-'M2 TD amort'!BU22)</f>
        <v>28515.07</v>
      </c>
      <c r="CH49" s="22">
        <f>IF(CH48="","",-'M2 TD amort'!BV22)</f>
        <v>31650.25</v>
      </c>
      <c r="CI49" s="22">
        <f>IF(CI48="","",-'M2 TD amort'!BW22)</f>
        <v>34644.639999999999</v>
      </c>
    </row>
    <row r="50" spans="1:87" s="5" customFormat="1" ht="15" hidden="1" customHeight="1" outlineLevel="1" x14ac:dyDescent="0.35">
      <c r="A50" s="274"/>
      <c r="B50" s="18" t="s">
        <v>52</v>
      </c>
      <c r="C50" s="26"/>
      <c r="D50" s="26"/>
      <c r="E50" s="9"/>
      <c r="F50" s="9"/>
      <c r="G50" s="9"/>
      <c r="H50" s="9"/>
      <c r="I50" s="9"/>
      <c r="J50" s="9"/>
      <c r="K50" s="9"/>
      <c r="L50" s="9"/>
      <c r="M50" s="9"/>
      <c r="N50" s="9"/>
      <c r="O50" s="9">
        <f>IF(OR(O49="",O48=""),"",O48+O49)</f>
        <v>63808.639999999999</v>
      </c>
      <c r="P50" s="9">
        <f t="shared" ref="P50" si="445">IF(OR(P49="",P48=""),"",P48+P49)</f>
        <v>263014.05</v>
      </c>
      <c r="Q50" s="9">
        <f t="shared" ref="Q50" si="446">IF(OR(Q49="",Q48=""),"",Q48+Q49)</f>
        <v>244909.96000000002</v>
      </c>
      <c r="R50" s="9">
        <f t="shared" ref="R50" si="447">IF(OR(R49="",R48=""),"",R48+R49)</f>
        <v>231282.97661237026</v>
      </c>
      <c r="S50" s="9">
        <f t="shared" ref="S50" si="448">IF(OR(S49="",S48=""),"",S48+S49)</f>
        <v>239217.90704664431</v>
      </c>
      <c r="T50" s="9">
        <f t="shared" ref="T50" si="449">IF(OR(T49="",T48=""),"",T48+T49)</f>
        <v>271259.65125503595</v>
      </c>
      <c r="U50" s="9">
        <f t="shared" ref="U50" si="450">IF(OR(U49="",U48=""),"",U48+U49)</f>
        <v>294308.76744412479</v>
      </c>
      <c r="V50" s="9">
        <f t="shared" ref="V50" si="451">IF(OR(V49="",V48=""),"",V48+V49)</f>
        <v>299780.19767902105</v>
      </c>
      <c r="W50" s="9">
        <f t="shared" ref="W50" si="452">IF(OR(W49="",W48=""),"",W48+W49)</f>
        <v>283143.22534638015</v>
      </c>
      <c r="X50" s="9">
        <f t="shared" ref="X50" si="453">IF(OR(X49="",X48=""),"",X48+X49)</f>
        <v>272157.89540680213</v>
      </c>
      <c r="Y50" s="9">
        <f t="shared" ref="Y50" si="454">IF(OR(Y49="",Y48=""),"",Y48+Y49)</f>
        <v>242918.52241835895</v>
      </c>
      <c r="Z50" s="9">
        <f t="shared" ref="Z50" si="455">IF(OR(Z49="",Z48=""),"",Z48+Z49)</f>
        <v>252542.68431740938</v>
      </c>
      <c r="AA50" s="9">
        <f t="shared" ref="AA50" si="456">IF(OR(AA49="",AA48=""),"",AA48+AA49)</f>
        <v>302156.1193849984</v>
      </c>
      <c r="AB50" s="9">
        <f t="shared" ref="AB50" si="457">IF(OR(AB49="",AB48=""),"",AB48+AB49)</f>
        <v>598487.04000000004</v>
      </c>
      <c r="AC50" s="9">
        <f t="shared" ref="AC50" si="458">IF(OR(AC49="",AC48=""),"",AC48+AC49)</f>
        <v>558747.3294458657</v>
      </c>
      <c r="AD50" s="9">
        <f t="shared" ref="AD50" si="459">IF(OR(AD49="",AD48=""),"",AD48+AD49)</f>
        <v>563694.62207482441</v>
      </c>
      <c r="AE50" s="9">
        <f t="shared" ref="AE50" si="460">IF(OR(AE49="",AE48=""),"",AE48+AE49)</f>
        <v>561766.62478252687</v>
      </c>
      <c r="AF50" s="9">
        <f t="shared" ref="AF50" si="461">IF(OR(AF49="",AF48=""),"",AF48+AF49)</f>
        <v>670170.38554201112</v>
      </c>
      <c r="AG50" s="9">
        <f t="shared" ref="AG50" si="462">IF(OR(AG49="",AG48=""),"",AG48+AG49)</f>
        <v>711152.09586693975</v>
      </c>
      <c r="AH50" s="9">
        <f t="shared" ref="AH50" si="463">IF(OR(AH49="",AH48=""),"",AH48+AH49)</f>
        <v>673534.14216571092</v>
      </c>
      <c r="AI50" s="9">
        <f t="shared" ref="AI50" si="464">IF(OR(AI49="",AI48=""),"",AI48+AI49)</f>
        <v>685604.80216665135</v>
      </c>
      <c r="AJ50" s="9">
        <f t="shared" ref="AJ50" si="465">IF(OR(AJ49="",AJ48=""),"",AJ48+AJ49)</f>
        <v>622737.81761485478</v>
      </c>
      <c r="AK50" s="9">
        <f t="shared" ref="AK50" si="466">IF(OR(AK49="",AK48=""),"",AK48+AK49)</f>
        <v>552104.57877388981</v>
      </c>
      <c r="AL50" s="9">
        <f t="shared" ref="AL50" si="467">IF(OR(AL49="",AL48=""),"",AL48+AL49)</f>
        <v>599345.43362508598</v>
      </c>
      <c r="AM50" s="9">
        <f t="shared" ref="AM50:BJ50" si="468">IF(OR(AM49="",AM48=""),"",AM48+AM49)</f>
        <v>654556.82123092399</v>
      </c>
      <c r="AN50" s="9">
        <f t="shared" si="468"/>
        <v>1067072.8450648431</v>
      </c>
      <c r="AO50" s="9">
        <f t="shared" si="468"/>
        <v>1013006.6914029967</v>
      </c>
      <c r="AP50" s="9">
        <f t="shared" si="468"/>
        <v>912320.24189445085</v>
      </c>
      <c r="AQ50" s="9">
        <f t="shared" si="468"/>
        <v>945052.11694109696</v>
      </c>
      <c r="AR50" s="9">
        <f t="shared" si="468"/>
        <v>1051937.8276982794</v>
      </c>
      <c r="AS50" s="9">
        <f t="shared" si="468"/>
        <v>1131186.5865751</v>
      </c>
      <c r="AT50" s="9">
        <f t="shared" si="468"/>
        <v>1157167.5182335845</v>
      </c>
      <c r="AU50" s="9">
        <f t="shared" si="468"/>
        <v>1168762.557730576</v>
      </c>
      <c r="AV50" s="9">
        <f t="shared" si="468"/>
        <v>1073481.2018631792</v>
      </c>
      <c r="AW50" s="9">
        <f t="shared" si="468"/>
        <v>945822.17422696995</v>
      </c>
      <c r="AX50" s="9">
        <f t="shared" si="468"/>
        <v>1024634.9147087046</v>
      </c>
      <c r="AY50" s="9">
        <f t="shared" si="468"/>
        <v>1059487.7108177633</v>
      </c>
      <c r="AZ50" s="9">
        <f t="shared" si="468"/>
        <v>628629.46598139801</v>
      </c>
      <c r="BA50" s="9">
        <f t="shared" si="468"/>
        <v>262378.34714683512</v>
      </c>
      <c r="BB50" s="9">
        <f t="shared" si="468"/>
        <v>220880.212279083</v>
      </c>
      <c r="BC50" s="9">
        <f t="shared" si="468"/>
        <v>205144.96076692484</v>
      </c>
      <c r="BD50" s="9">
        <f t="shared" si="468"/>
        <v>244260.66746010334</v>
      </c>
      <c r="BE50" s="9">
        <f t="shared" si="468"/>
        <v>285172.07320999855</v>
      </c>
      <c r="BF50" s="9">
        <f t="shared" si="468"/>
        <v>283816.8208053736</v>
      </c>
      <c r="BG50" s="9">
        <f t="shared" si="468"/>
        <v>282876.299570036</v>
      </c>
      <c r="BH50" s="9">
        <f t="shared" si="468"/>
        <v>241373.72528354992</v>
      </c>
      <c r="BI50" s="9">
        <f t="shared" si="468"/>
        <v>234989.66387214002</v>
      </c>
      <c r="BJ50" s="9">
        <f t="shared" si="468"/>
        <v>252463.03210147406</v>
      </c>
      <c r="BK50" s="9">
        <f t="shared" ref="BK50:BL50" si="469">IF(OR(BK49="",BK48=""),"",BK48+BK49)</f>
        <v>270426.83665898885</v>
      </c>
      <c r="BL50" s="9">
        <f t="shared" si="469"/>
        <v>-26143.311056378283</v>
      </c>
      <c r="BM50" s="9">
        <f t="shared" ref="BM50:BN50" si="470">IF(OR(BM49="",BM48=""),"",BM48+BM49)</f>
        <v>27902.824440167751</v>
      </c>
      <c r="BN50" s="9">
        <f t="shared" si="470"/>
        <v>24526.349546432553</v>
      </c>
      <c r="BO50" s="9">
        <f t="shared" ref="BO50:BP50" si="471">IF(OR(BO49="",BO48=""),"",BO48+BO49)</f>
        <v>24737.704123671661</v>
      </c>
      <c r="BP50" s="9">
        <f t="shared" si="471"/>
        <v>27500.258151473507</v>
      </c>
      <c r="BQ50" s="9">
        <f t="shared" ref="BQ50:BR50" si="472">IF(OR(BQ49="",BQ48=""),"",BQ48+BQ49)</f>
        <v>32131.409206586803</v>
      </c>
      <c r="BR50" s="9">
        <f t="shared" si="472"/>
        <v>31999.31264843262</v>
      </c>
      <c r="BS50" s="9">
        <f t="shared" ref="BS50:BT50" si="473">IF(OR(BS49="",BS48=""),"",BS48+BS49)</f>
        <v>32588.647450219258</v>
      </c>
      <c r="BT50" s="9">
        <f t="shared" si="473"/>
        <v>28429.541722582362</v>
      </c>
      <c r="BU50" s="9">
        <f t="shared" ref="BU50:BV50" si="474">IF(OR(BU49="",BU48=""),"",BU48+BU49)</f>
        <v>25622.507220371379</v>
      </c>
      <c r="BV50" s="9">
        <f t="shared" si="474"/>
        <v>28133.24994185353</v>
      </c>
      <c r="BW50" s="9">
        <f t="shared" ref="BW50:BX50" si="475">IF(OR(BW49="",BW48=""),"",BW48+BW49)</f>
        <v>30224.720865123847</v>
      </c>
      <c r="BX50" s="9">
        <f t="shared" si="475"/>
        <v>4425.1623695121816</v>
      </c>
      <c r="BY50" s="9">
        <f t="shared" ref="BY50:BZ50" si="476">IF(OR(BY49="",BY48=""),"",BY48+BY49)</f>
        <v>922.99357159134161</v>
      </c>
      <c r="BZ50" s="9">
        <f t="shared" si="476"/>
        <v>828.12816488022145</v>
      </c>
      <c r="CA50" s="9">
        <f t="shared" ref="CA50:CB50" si="477">IF(OR(CA49="",CA48=""),"",CA48+CA49)</f>
        <v>837.04919207446073</v>
      </c>
      <c r="CB50" s="9">
        <f t="shared" si="477"/>
        <v>934.98980935632062</v>
      </c>
      <c r="CC50" s="9">
        <f t="shared" ref="CC50:CD50" si="478">IF(OR(CC49="",CC48=""),"",CC48+CC49)</f>
        <v>1076.228982074761</v>
      </c>
      <c r="CD50" s="9">
        <f t="shared" si="478"/>
        <v>1054.389252212648</v>
      </c>
      <c r="CE50" s="9">
        <f t="shared" ref="CE50:CF50" si="479">IF(OR(CE49="",CE48=""),"",CE48+CE49)</f>
        <v>1003.6188526802143</v>
      </c>
      <c r="CF50" s="9">
        <f t="shared" si="479"/>
        <v>862.99131463671438</v>
      </c>
      <c r="CG50" s="9">
        <f t="shared" ref="CG50:CH50" si="480">IF(OR(CG49="",CG48=""),"",CG48+CG49)</f>
        <v>851.33266837476549</v>
      </c>
      <c r="CH50" s="9">
        <f t="shared" si="480"/>
        <v>961.7559943743363</v>
      </c>
      <c r="CI50" s="9">
        <f t="shared" ref="CI50" si="481">IF(OR(CI49="",CI48=""),"",CI48+CI49)</f>
        <v>1060.9668854533084</v>
      </c>
    </row>
    <row r="51" spans="1:87" s="5" customFormat="1" hidden="1" outlineLevel="1" x14ac:dyDescent="0.35">
      <c r="A51" s="274"/>
      <c r="B51" s="18" t="s">
        <v>13</v>
      </c>
      <c r="C51" s="26"/>
      <c r="D51" s="26"/>
      <c r="E51" s="9">
        <f t="shared" ref="E51:N51" si="482">IF(OR(E48="",E47=""),"",E47-E48)</f>
        <v>0</v>
      </c>
      <c r="F51" s="9">
        <f t="shared" si="482"/>
        <v>0</v>
      </c>
      <c r="G51" s="9">
        <f t="shared" si="482"/>
        <v>-2460.2199999999998</v>
      </c>
      <c r="H51" s="9">
        <f t="shared" si="482"/>
        <v>-33758.050000000003</v>
      </c>
      <c r="I51" s="9">
        <f t="shared" si="482"/>
        <v>-21639.839999999997</v>
      </c>
      <c r="J51" s="9">
        <f t="shared" si="482"/>
        <v>-12324.613120248869</v>
      </c>
      <c r="K51" s="9">
        <f t="shared" si="482"/>
        <v>10707.581306139036</v>
      </c>
      <c r="L51" s="9">
        <f t="shared" si="482"/>
        <v>7716.2748406804458</v>
      </c>
      <c r="M51" s="9">
        <f t="shared" si="482"/>
        <v>19152.98271623841</v>
      </c>
      <c r="N51" s="9">
        <f t="shared" si="482"/>
        <v>37688.57344597984</v>
      </c>
      <c r="O51" s="9">
        <f>IF(OR(O50="",O47=""),"",O47-O50)</f>
        <v>34655.832713338357</v>
      </c>
      <c r="P51" s="9">
        <f t="shared" ref="P51:AM51" si="483">IF(OR(P50="",P47=""),"",P47-P50)</f>
        <v>-170193.80256055057</v>
      </c>
      <c r="Q51" s="9">
        <f t="shared" si="483"/>
        <v>-129031.441408748</v>
      </c>
      <c r="R51" s="9">
        <f t="shared" si="483"/>
        <v>-167104.63236901932</v>
      </c>
      <c r="S51" s="9">
        <f t="shared" si="483"/>
        <v>-136350.68845207806</v>
      </c>
      <c r="T51" s="9">
        <f t="shared" si="483"/>
        <v>-46233.543431487604</v>
      </c>
      <c r="U51" s="9">
        <f t="shared" si="483"/>
        <v>37897.282555875252</v>
      </c>
      <c r="V51" s="9">
        <f t="shared" si="483"/>
        <v>26785.240605054714</v>
      </c>
      <c r="W51" s="9">
        <f t="shared" si="483"/>
        <v>74008.907914075651</v>
      </c>
      <c r="X51" s="9">
        <f t="shared" si="483"/>
        <v>-38992.545426515513</v>
      </c>
      <c r="Y51" s="9">
        <f t="shared" si="483"/>
        <v>-183.32332720785053</v>
      </c>
      <c r="Z51" s="9">
        <f t="shared" si="483"/>
        <v>17718.206799899723</v>
      </c>
      <c r="AA51" s="9">
        <f t="shared" si="483"/>
        <v>16775.867971951258</v>
      </c>
      <c r="AB51" s="9">
        <f t="shared" si="483"/>
        <v>-320061.09491094924</v>
      </c>
      <c r="AC51" s="9">
        <f t="shared" si="483"/>
        <v>-233573.28264377592</v>
      </c>
      <c r="AD51" s="9">
        <f t="shared" si="483"/>
        <v>-220536.32958706102</v>
      </c>
      <c r="AE51" s="9">
        <f t="shared" si="483"/>
        <v>-104648.59463936655</v>
      </c>
      <c r="AF51" s="9">
        <f t="shared" si="483"/>
        <v>216655.1975093364</v>
      </c>
      <c r="AG51" s="9">
        <f t="shared" si="483"/>
        <v>486366.18625822687</v>
      </c>
      <c r="AH51" s="9">
        <f t="shared" si="483"/>
        <v>356741.24316562619</v>
      </c>
      <c r="AI51" s="9">
        <f t="shared" si="483"/>
        <v>348182.01101029362</v>
      </c>
      <c r="AJ51" s="9">
        <f t="shared" si="483"/>
        <v>-57600.392894642544</v>
      </c>
      <c r="AK51" s="9">
        <f t="shared" si="483"/>
        <v>-36718.030907329987</v>
      </c>
      <c r="AL51" s="9">
        <f t="shared" si="483"/>
        <v>1276.1738672603387</v>
      </c>
      <c r="AM51" s="9">
        <f t="shared" si="483"/>
        <v>23284.017636874458</v>
      </c>
      <c r="AN51" s="9">
        <f t="shared" ref="AN51:BJ51" si="484">IF(OR(AN50="",AN47=""),"",AN47-AN50)</f>
        <v>-476503.50428918761</v>
      </c>
      <c r="AO51" s="9">
        <f t="shared" si="484"/>
        <v>-227473.47410872567</v>
      </c>
      <c r="AP51" s="9">
        <f t="shared" si="484"/>
        <v>-152597.3512031635</v>
      </c>
      <c r="AQ51" s="9">
        <f t="shared" si="484"/>
        <v>-214478.25261101569</v>
      </c>
      <c r="AR51" s="9">
        <f t="shared" si="484"/>
        <v>649323.47075894405</v>
      </c>
      <c r="AS51" s="9">
        <f t="shared" si="484"/>
        <v>1007142.7276474799</v>
      </c>
      <c r="AT51" s="9">
        <f t="shared" si="484"/>
        <v>650581.00375909545</v>
      </c>
      <c r="AU51" s="9">
        <f t="shared" si="484"/>
        <v>481911.89108722727</v>
      </c>
      <c r="AV51" s="9">
        <f t="shared" si="484"/>
        <v>-227316.81112048554</v>
      </c>
      <c r="AW51" s="9">
        <f t="shared" si="484"/>
        <v>-222909.65387424082</v>
      </c>
      <c r="AX51" s="9">
        <f t="shared" si="484"/>
        <v>-237185.8665688755</v>
      </c>
      <c r="AY51" s="9">
        <f t="shared" si="484"/>
        <v>-237610.72676880972</v>
      </c>
      <c r="AZ51" s="9">
        <f t="shared" si="484"/>
        <v>34513.536481947405</v>
      </c>
      <c r="BA51" s="9">
        <f t="shared" si="484"/>
        <v>455486.79100704758</v>
      </c>
      <c r="BB51" s="9">
        <f t="shared" si="484"/>
        <v>-218593.90227908062</v>
      </c>
      <c r="BC51" s="9">
        <f t="shared" si="484"/>
        <v>-203171.60526517575</v>
      </c>
      <c r="BD51" s="9">
        <f t="shared" si="484"/>
        <v>-232037.35746010096</v>
      </c>
      <c r="BE51" s="9">
        <f t="shared" si="484"/>
        <v>-262318.89320999885</v>
      </c>
      <c r="BF51" s="9">
        <f t="shared" si="484"/>
        <v>-263276.55080537405</v>
      </c>
      <c r="BG51" s="9">
        <f t="shared" si="484"/>
        <v>-267854.08957003511</v>
      </c>
      <c r="BH51" s="9">
        <f t="shared" si="484"/>
        <v>-234662.63528355007</v>
      </c>
      <c r="BI51" s="9">
        <f t="shared" si="484"/>
        <v>-228286.82387214017</v>
      </c>
      <c r="BJ51" s="9">
        <f t="shared" si="484"/>
        <v>-244335.99210147496</v>
      </c>
      <c r="BK51" s="9">
        <f t="shared" ref="BK51:BL51" si="485">IF(OR(BK50="",BK47=""),"",BK47-BK50)</f>
        <v>-262097.5366589881</v>
      </c>
      <c r="BL51" s="9">
        <f t="shared" si="485"/>
        <v>34943.581056377836</v>
      </c>
      <c r="BM51" s="9">
        <f t="shared" ref="BM51:BN51" si="486">IF(OR(BM50="",BM47=""),"",BM47-BM50)</f>
        <v>-17569.754440167453</v>
      </c>
      <c r="BN51" s="9">
        <f t="shared" si="486"/>
        <v>-15766.339546430914</v>
      </c>
      <c r="BO51" s="9">
        <f t="shared" ref="BO51:BP51" si="487">IF(OR(BO50="",BO47=""),"",BO47-BO50)</f>
        <v>-13692.794123675238</v>
      </c>
      <c r="BP51" s="9">
        <f t="shared" si="487"/>
        <v>4407.0518485288776</v>
      </c>
      <c r="BQ51" s="9">
        <f t="shared" ref="BQ51:BR51" si="488">IF(OR(BQ50="",BQ47=""),"",BQ47-BQ50)</f>
        <v>8814.7707934128994</v>
      </c>
      <c r="BR51" s="9">
        <f t="shared" si="488"/>
        <v>4411.0473515667836</v>
      </c>
      <c r="BS51" s="9">
        <f t="shared" ref="BS51:BT51" si="489">IF(OR(BS50="",BS47=""),"",BS47-BS50)</f>
        <v>-10270.247450220748</v>
      </c>
      <c r="BT51" s="9">
        <f t="shared" si="489"/>
        <v>-19485.251722579531</v>
      </c>
      <c r="BU51" s="9">
        <f t="shared" ref="BU51:BV51" si="490">IF(OR(BU50="",BU47=""),"",BU47-BU50)</f>
        <v>-16309.857220372869</v>
      </c>
      <c r="BV51" s="9">
        <f t="shared" si="490"/>
        <v>-16381.529941854722</v>
      </c>
      <c r="BW51" s="9">
        <f t="shared" ref="BW51:BX51" si="491">IF(OR(BW50="",BW47=""),"",BW47-BW50)</f>
        <v>-18219.410865121463</v>
      </c>
      <c r="BX51" s="9">
        <f t="shared" si="491"/>
        <v>5701.3676304852852</v>
      </c>
      <c r="BY51" s="9">
        <f t="shared" ref="BY51:BZ51" si="492">IF(OR(BY50="",BY47=""),"",BY47-BY50)</f>
        <v>-922.99357159134161</v>
      </c>
      <c r="BZ51" s="9">
        <f t="shared" si="492"/>
        <v>-828.12816488022145</v>
      </c>
      <c r="CA51" s="9">
        <f t="shared" ref="CA51:CB51" si="493">IF(OR(CA50="",CA47=""),"",CA47-CA50)</f>
        <v>-837.04919207446073</v>
      </c>
      <c r="CB51" s="9">
        <f t="shared" si="493"/>
        <v>-934.98980935632062</v>
      </c>
      <c r="CC51" s="9">
        <f t="shared" ref="CC51:CD51" si="494">IF(OR(CC50="",CC47=""),"",CC47-CC50)</f>
        <v>-1076.228982074761</v>
      </c>
      <c r="CD51" s="9">
        <f t="shared" si="494"/>
        <v>-1054.389252212648</v>
      </c>
      <c r="CE51" s="9">
        <f t="shared" ref="CE51" si="495">IF(OR(CE50="",CE47=""),"",CE47-CE50)</f>
        <v>-1003.6188526802143</v>
      </c>
      <c r="CF51" s="141">
        <f>IF(OR(CF50="",CF47=""),"",CF47-CF50)+CF46</f>
        <v>-3755.2790515043343</v>
      </c>
      <c r="CG51" s="9">
        <f>IF(OR(CG50="",CG47=""),"",CG47-CG50)</f>
        <v>-851.33266837476549</v>
      </c>
      <c r="CH51" s="9">
        <f>IF(OR(CH50="",CH47=""),"",CH47-CH50)</f>
        <v>-961.7559943743363</v>
      </c>
      <c r="CI51" s="9">
        <f>IF(OR(CI50="",CI47=""),"",CI47-CI50)</f>
        <v>-1060.9668854533084</v>
      </c>
    </row>
    <row r="52" spans="1:87" s="5" customFormat="1" hidden="1" outlineLevel="1" x14ac:dyDescent="0.35">
      <c r="A52" s="274"/>
      <c r="B52" s="19" t="s">
        <v>8</v>
      </c>
      <c r="C52" s="30"/>
      <c r="D52" s="30"/>
      <c r="E52" s="9">
        <f t="shared" ref="E52:N52" si="496">IF(OR(E9="",E51=""),"",(E51+D54)*E9/12)</f>
        <v>0</v>
      </c>
      <c r="F52" s="9">
        <f t="shared" si="496"/>
        <v>0</v>
      </c>
      <c r="G52" s="9">
        <f t="shared" si="496"/>
        <v>-1.5495162622333332</v>
      </c>
      <c r="H52" s="9">
        <f t="shared" si="496"/>
        <v>-18.904391499220328</v>
      </c>
      <c r="I52" s="9">
        <f t="shared" si="496"/>
        <v>-30.340087896858321</v>
      </c>
      <c r="J52" s="9">
        <f t="shared" si="496"/>
        <v>-44.748466039367251</v>
      </c>
      <c r="K52" s="9">
        <f t="shared" si="496"/>
        <v>-37.502709666462287</v>
      </c>
      <c r="L52" s="9">
        <f t="shared" si="496"/>
        <v>-32.872229045923085</v>
      </c>
      <c r="M52" s="9">
        <f t="shared" si="496"/>
        <v>-20.868673648039628</v>
      </c>
      <c r="N52" s="9">
        <f t="shared" si="496"/>
        <v>3.925714633838659</v>
      </c>
      <c r="O52" s="10">
        <f>IF(OR(O9="",O51=""),"",(O49+O51+N54)*O9/12)</f>
        <v>29.666746157027216</v>
      </c>
      <c r="P52" s="10">
        <f>IF(OR(P9="",P51=""),"",(P49+P51+O54+P46)*P9/12)</f>
        <v>527.5303352365413</v>
      </c>
      <c r="Q52" s="10">
        <f t="shared" ref="Q52:AM52" si="497">IF(OR(Q9="",Q51=""),"",(Q49+Q51+P54)*Q9/12)</f>
        <v>486.75683844013219</v>
      </c>
      <c r="R52" s="10">
        <f t="shared" si="497"/>
        <v>264.03810605666047</v>
      </c>
      <c r="S52" s="10">
        <f t="shared" si="497"/>
        <v>68.799241975056603</v>
      </c>
      <c r="T52" s="10">
        <f t="shared" si="497"/>
        <v>-59.978345968477406</v>
      </c>
      <c r="U52" s="10">
        <f t="shared" si="497"/>
        <v>-112.16077847929522</v>
      </c>
      <c r="V52" s="10">
        <f t="shared" si="497"/>
        <v>-189.58901591149342</v>
      </c>
      <c r="W52" s="10">
        <f t="shared" si="497"/>
        <v>-194.85380221735295</v>
      </c>
      <c r="X52" s="10">
        <f t="shared" si="497"/>
        <v>-335.66340871323001</v>
      </c>
      <c r="Y52" s="10">
        <f t="shared" si="497"/>
        <v>-417.54411625669201</v>
      </c>
      <c r="Z52" s="10">
        <f t="shared" si="497"/>
        <v>-594.6513173750152</v>
      </c>
      <c r="AA52" s="10">
        <f t="shared" si="497"/>
        <v>-676.64979570680418</v>
      </c>
      <c r="AB52" s="10">
        <f t="shared" si="497"/>
        <v>-1145.6213357305476</v>
      </c>
      <c r="AC52" s="10">
        <f t="shared" si="497"/>
        <v>-1622.4924484479159</v>
      </c>
      <c r="AD52" s="10">
        <f t="shared" si="497"/>
        <v>-2177.7529458384515</v>
      </c>
      <c r="AE52" s="10">
        <f t="shared" si="497"/>
        <v>-2196.055673068317</v>
      </c>
      <c r="AF52" s="10">
        <f t="shared" si="497"/>
        <v>-1780.9076789998578</v>
      </c>
      <c r="AG52" s="10">
        <f t="shared" si="497"/>
        <v>-789.21302857668149</v>
      </c>
      <c r="AH52" s="10">
        <f t="shared" si="497"/>
        <v>-1.4723605345587236</v>
      </c>
      <c r="AI52" s="10">
        <f t="shared" si="497"/>
        <v>766.65104231200587</v>
      </c>
      <c r="AJ52" s="10">
        <f t="shared" si="497"/>
        <v>781.11189243826402</v>
      </c>
      <c r="AK52" s="10">
        <f t="shared" si="497"/>
        <v>808.58682932986676</v>
      </c>
      <c r="AL52" s="10">
        <f t="shared" si="497"/>
        <v>982.3062995736251</v>
      </c>
      <c r="AM52" s="10">
        <f t="shared" si="497"/>
        <v>1190.7922085434036</v>
      </c>
      <c r="AN52" s="10">
        <f t="shared" ref="AN52" si="498">IF(OR(AN9="",AN51=""),"",(AN49+AN51+AM54)*AN9/12)</f>
        <v>-40.979461694536845</v>
      </c>
      <c r="AO52" s="10">
        <f t="shared" ref="AO52" si="499">IF(OR(AO9="",AO51=""),"",(AO49+AO51+AN54)*AO9/12)</f>
        <v>-656.86449522344037</v>
      </c>
      <c r="AP52" s="10">
        <f t="shared" ref="AP52" si="500">IF(OR(AP9="",AP51=""),"",(AP49+AP51+AO54)*AP9/12)</f>
        <v>-1042.8842992710304</v>
      </c>
      <c r="AQ52" s="10">
        <f t="shared" ref="AQ52" si="501">IF(OR(AQ9="",AQ51=""),"",(AQ49+AQ51+AP54)*AQ9/12)</f>
        <v>-1608.2259340456974</v>
      </c>
      <c r="AR52" s="10">
        <f t="shared" ref="AR52" si="502">IF(OR(AR9="",AR51=""),"",(AR49+AR51+AQ54)*AR9/12)</f>
        <v>-247.95795683516053</v>
      </c>
      <c r="AS52" s="10">
        <f t="shared" ref="AS52" si="503">IF(OR(AS9="",AS51=""),"",(AS49+AS51+AR54)*AS9/12)</f>
        <v>1843.341972866099</v>
      </c>
      <c r="AT52" s="10">
        <f t="shared" ref="AT52" si="504">IF(OR(AT9="",AT51=""),"",(AT49+AT51+AS54)*AT9/12)</f>
        <v>2864.0342708477115</v>
      </c>
      <c r="AU52" s="10">
        <f t="shared" ref="AU52" si="505">IF(OR(AU9="",AU51=""),"",(AU49+AU51+AT54)*AU9/12)</f>
        <v>3515.5400413965067</v>
      </c>
      <c r="AV52" s="10">
        <f t="shared" ref="AV52" si="506">IF(OR(AV9="",AV51=""),"",(AV49+AV51+AU54)*AV9/12)</f>
        <v>2887.6094026440933</v>
      </c>
      <c r="AW52" s="10">
        <f t="shared" ref="AW52" si="507">IF(OR(AW9="",AW51=""),"",(AW49+AW51+AV54)*AW9/12)</f>
        <v>2094.2447951894328</v>
      </c>
      <c r="AX52" s="10">
        <f t="shared" ref="AX52" si="508">IF(OR(AX9="",AX51=""),"",(AX49+AX51+AW54)*AX9/12)</f>
        <v>1772.3312675428433</v>
      </c>
      <c r="AY52" s="10">
        <f t="shared" ref="AY52" si="509">IF(OR(AY9="",AY51=""),"",(AY49+AY51+AX54)*AY9/12)</f>
        <v>1314.5375710958215</v>
      </c>
      <c r="AZ52" s="10">
        <f t="shared" ref="AZ52" si="510">IF(OR(AZ9="",AZ51=""),"",(AZ49+AZ51+AY54)*AZ9/12)</f>
        <v>1104.8156210230293</v>
      </c>
      <c r="BA52" s="10">
        <f t="shared" ref="BA52" si="511">IF(OR(BA9="",BA51=""),"",(BA49+BA51+AZ54)*BA9/12)</f>
        <v>1786.9648898729204</v>
      </c>
      <c r="BB52" s="10">
        <f t="shared" ref="BB52" si="512">IF(OR(BB9="",BB51=""),"",(BB49+BB51+BA54)*BB9/12)</f>
        <v>681.40243134752825</v>
      </c>
      <c r="BC52" s="10">
        <f t="shared" ref="BC52" si="513">IF(OR(BC9="",BC51=""),"",(BC49+BC51+BB54)*BC9/12)</f>
        <v>67.209757498420615</v>
      </c>
      <c r="BD52" s="10">
        <f t="shared" ref="BD52" si="514">IF(OR(BD9="",BD51=""),"",(BD49+BD51+BC54)*BD9/12)</f>
        <v>35.660479476362262</v>
      </c>
      <c r="BE52" s="10">
        <f t="shared" ref="BE52" si="515">IF(OR(BE9="",BE51=""),"",(BE49+BE51+BD54)*BE9/12)</f>
        <v>2.7892288867433432</v>
      </c>
      <c r="BF52" s="10">
        <f t="shared" ref="BF52" si="516">IF(OR(BF9="",BF51=""),"",(BF49+BF51+BE54)*BF9/12)</f>
        <v>-34.914078157991433</v>
      </c>
      <c r="BG52" s="10">
        <f t="shared" ref="BG52" si="517">IF(OR(BG9="",BG51=""),"",(BG49+BG51+BF54)*BG9/12)</f>
        <v>-65.590525310840874</v>
      </c>
      <c r="BH52" s="10">
        <f t="shared" ref="BH52" si="518">IF(OR(BH9="",BH51=""),"",(BH49+BH51+BG54)*BH9/12)</f>
        <v>-153.5943993905278</v>
      </c>
      <c r="BI52" s="10">
        <f t="shared" ref="BI52" si="519">IF(OR(BI9="",BI51=""),"",(BI49+BI51+BH54)*BI9/12)</f>
        <v>-252.51225972469396</v>
      </c>
      <c r="BJ52" s="10">
        <f t="shared" ref="BJ52:CI52" si="520">IF(OR(BJ9="",BJ51=""),"",(BJ49+BJ51+BI54)*BJ9/12)</f>
        <v>-355.63683511169074</v>
      </c>
      <c r="BK52" s="10">
        <f t="shared" si="520"/>
        <v>-312.54504051092721</v>
      </c>
      <c r="BL52" s="10">
        <f t="shared" si="520"/>
        <v>-375.41309181071557</v>
      </c>
      <c r="BM52" s="10">
        <f t="shared" si="520"/>
        <v>-322.96313599808968</v>
      </c>
      <c r="BN52" s="10">
        <f t="shared" si="520"/>
        <v>-319.05948263713418</v>
      </c>
      <c r="BO52" s="10">
        <f t="shared" si="520"/>
        <v>-295.89638063216751</v>
      </c>
      <c r="BP52" s="10">
        <f t="shared" si="520"/>
        <v>-240.7206599987627</v>
      </c>
      <c r="BQ52" s="10">
        <f t="shared" si="520"/>
        <v>-145.72869542682304</v>
      </c>
      <c r="BR52" s="10">
        <f t="shared" si="520"/>
        <v>-184.43221396673536</v>
      </c>
      <c r="BS52" s="10">
        <f t="shared" si="520"/>
        <v>-147.5809188506916</v>
      </c>
      <c r="BT52" s="10">
        <f t="shared" si="520"/>
        <v>-98.004816040377037</v>
      </c>
      <c r="BU52" s="10">
        <f t="shared" si="520"/>
        <v>-84.941653771023212</v>
      </c>
      <c r="BV52" s="10">
        <f t="shared" si="520"/>
        <v>-115.92016346648461</v>
      </c>
      <c r="BW52" s="10">
        <f t="shared" si="520"/>
        <v>-77.091957039179292</v>
      </c>
      <c r="BX52" s="10">
        <f t="shared" si="520"/>
        <v>-72.606903432645424</v>
      </c>
      <c r="BY52" s="10">
        <f t="shared" si="520"/>
        <v>-151.84084377784714</v>
      </c>
      <c r="BZ52" s="10">
        <f t="shared" si="520"/>
        <v>-118.68167734782816</v>
      </c>
      <c r="CA52" s="10">
        <f t="shared" si="520"/>
        <v>-165.36745250356313</v>
      </c>
      <c r="CB52" s="10">
        <f t="shared" si="520"/>
        <v>-219.66450445665825</v>
      </c>
      <c r="CC52" s="10">
        <f t="shared" si="520"/>
        <v>-242.2721320158704</v>
      </c>
      <c r="CD52" s="10">
        <f t="shared" si="520"/>
        <v>-226.9529873177261</v>
      </c>
      <c r="CE52" s="10">
        <f t="shared" si="520"/>
        <v>-172.07710541318775</v>
      </c>
      <c r="CF52" s="10">
        <f t="shared" si="520"/>
        <v>-134.90834045773241</v>
      </c>
      <c r="CG52" s="10">
        <f t="shared" si="520"/>
        <v>-55.30139040870727</v>
      </c>
      <c r="CH52" s="10">
        <f t="shared" si="520"/>
        <v>33.282654889556625</v>
      </c>
      <c r="CI52" s="10">
        <f t="shared" si="520"/>
        <v>130.49504701842005</v>
      </c>
    </row>
    <row r="53" spans="1:87" s="5" customFormat="1" hidden="1" outlineLevel="1" x14ac:dyDescent="0.35">
      <c r="A53" s="274"/>
      <c r="B53" s="18" t="s">
        <v>14</v>
      </c>
      <c r="C53" s="26"/>
      <c r="D53" s="26"/>
      <c r="E53" s="9">
        <f t="shared" ref="E53:N53" si="521">IF(OR(E51="",E52=""),"",E51+E52)</f>
        <v>0</v>
      </c>
      <c r="F53" s="9">
        <f t="shared" si="521"/>
        <v>0</v>
      </c>
      <c r="G53" s="9">
        <f t="shared" si="521"/>
        <v>-2461.7695162622331</v>
      </c>
      <c r="H53" s="9">
        <f t="shared" si="521"/>
        <v>-33776.954391499225</v>
      </c>
      <c r="I53" s="9">
        <f t="shared" si="521"/>
        <v>-21670.180087896853</v>
      </c>
      <c r="J53" s="9">
        <f t="shared" si="521"/>
        <v>-12369.361586288236</v>
      </c>
      <c r="K53" s="9">
        <f t="shared" si="521"/>
        <v>10670.078596472575</v>
      </c>
      <c r="L53" s="9">
        <f t="shared" si="521"/>
        <v>7683.4026116345231</v>
      </c>
      <c r="M53" s="9">
        <f t="shared" si="521"/>
        <v>19132.114042590369</v>
      </c>
      <c r="N53" s="9">
        <f t="shared" si="521"/>
        <v>37692.499160613683</v>
      </c>
      <c r="O53" s="9">
        <f>IF(OR(O51="",O52=""),"",O51+O52)</f>
        <v>34685.499459495382</v>
      </c>
      <c r="P53" s="9">
        <f>IF(OR(P51="",P52=""),"",P51+P52)</f>
        <v>-169666.27222531402</v>
      </c>
      <c r="Q53" s="9">
        <f t="shared" ref="Q53:AM53" si="522">IF(OR(Q51="",Q52=""),"",Q51+Q52)</f>
        <v>-128544.68457030786</v>
      </c>
      <c r="R53" s="9">
        <f t="shared" si="522"/>
        <v>-166840.59426296267</v>
      </c>
      <c r="S53" s="9">
        <f t="shared" si="522"/>
        <v>-136281.88921010299</v>
      </c>
      <c r="T53" s="9">
        <f t="shared" si="522"/>
        <v>-46293.521777456081</v>
      </c>
      <c r="U53" s="9">
        <f t="shared" si="522"/>
        <v>37785.121777395958</v>
      </c>
      <c r="V53" s="9">
        <f t="shared" si="522"/>
        <v>26595.651589143221</v>
      </c>
      <c r="W53" s="9">
        <f t="shared" si="522"/>
        <v>73814.054111858291</v>
      </c>
      <c r="X53" s="9">
        <f t="shared" si="522"/>
        <v>-39328.208835228746</v>
      </c>
      <c r="Y53" s="9">
        <f t="shared" si="522"/>
        <v>-600.86744346454248</v>
      </c>
      <c r="Z53" s="9">
        <f t="shared" si="522"/>
        <v>17123.555482524709</v>
      </c>
      <c r="AA53" s="9">
        <f t="shared" si="522"/>
        <v>16099.218176244454</v>
      </c>
      <c r="AB53" s="9">
        <f t="shared" si="522"/>
        <v>-321206.71624667977</v>
      </c>
      <c r="AC53" s="9">
        <f t="shared" si="522"/>
        <v>-235195.77509222383</v>
      </c>
      <c r="AD53" s="9">
        <f t="shared" si="522"/>
        <v>-222714.08253289945</v>
      </c>
      <c r="AE53" s="9">
        <f t="shared" si="522"/>
        <v>-106844.65031243487</v>
      </c>
      <c r="AF53" s="9">
        <f t="shared" si="522"/>
        <v>214874.28983033655</v>
      </c>
      <c r="AG53" s="9">
        <f t="shared" si="522"/>
        <v>485576.97322965018</v>
      </c>
      <c r="AH53" s="9">
        <f t="shared" si="522"/>
        <v>356739.77080509166</v>
      </c>
      <c r="AI53" s="9">
        <f t="shared" si="522"/>
        <v>348948.66205260565</v>
      </c>
      <c r="AJ53" s="9">
        <f t="shared" si="522"/>
        <v>-56819.281002204283</v>
      </c>
      <c r="AK53" s="9">
        <f t="shared" si="522"/>
        <v>-35909.444078000117</v>
      </c>
      <c r="AL53" s="9">
        <f t="shared" si="522"/>
        <v>2258.4801668339637</v>
      </c>
      <c r="AM53" s="9">
        <f t="shared" si="522"/>
        <v>24474.809845417862</v>
      </c>
      <c r="AN53" s="9">
        <f t="shared" ref="AN53:BJ53" si="523">IF(OR(AN51="",AN52=""),"",AN51+AN52)</f>
        <v>-476544.48375088215</v>
      </c>
      <c r="AO53" s="9">
        <f t="shared" si="523"/>
        <v>-228130.33860394912</v>
      </c>
      <c r="AP53" s="9">
        <f t="shared" si="523"/>
        <v>-153640.23550243455</v>
      </c>
      <c r="AQ53" s="9">
        <f t="shared" si="523"/>
        <v>-216086.4785450614</v>
      </c>
      <c r="AR53" s="9">
        <f t="shared" si="523"/>
        <v>649075.51280210889</v>
      </c>
      <c r="AS53" s="9">
        <f t="shared" si="523"/>
        <v>1008986.069620346</v>
      </c>
      <c r="AT53" s="9">
        <f t="shared" si="523"/>
        <v>653445.03802994313</v>
      </c>
      <c r="AU53" s="9">
        <f t="shared" si="523"/>
        <v>485427.43112862378</v>
      </c>
      <c r="AV53" s="9">
        <f t="shared" si="523"/>
        <v>-224429.20171784144</v>
      </c>
      <c r="AW53" s="9">
        <f t="shared" si="523"/>
        <v>-220815.40907905137</v>
      </c>
      <c r="AX53" s="9">
        <f t="shared" si="523"/>
        <v>-235413.53530133265</v>
      </c>
      <c r="AY53" s="9">
        <f t="shared" si="523"/>
        <v>-236296.18919771389</v>
      </c>
      <c r="AZ53" s="9">
        <f t="shared" si="523"/>
        <v>35618.352102970435</v>
      </c>
      <c r="BA53" s="9">
        <f t="shared" si="523"/>
        <v>457273.75589692051</v>
      </c>
      <c r="BB53" s="9">
        <f t="shared" si="523"/>
        <v>-217912.4998477331</v>
      </c>
      <c r="BC53" s="9">
        <f t="shared" si="523"/>
        <v>-203104.39550767734</v>
      </c>
      <c r="BD53" s="9">
        <f t="shared" si="523"/>
        <v>-232001.69698062461</v>
      </c>
      <c r="BE53" s="9">
        <f t="shared" si="523"/>
        <v>-262316.10398111213</v>
      </c>
      <c r="BF53" s="9">
        <f t="shared" si="523"/>
        <v>-263311.46488353203</v>
      </c>
      <c r="BG53" s="9">
        <f t="shared" si="523"/>
        <v>-267919.68009534595</v>
      </c>
      <c r="BH53" s="9">
        <f t="shared" si="523"/>
        <v>-234816.22968294061</v>
      </c>
      <c r="BI53" s="9">
        <f t="shared" si="523"/>
        <v>-228539.33613186487</v>
      </c>
      <c r="BJ53" s="9">
        <f t="shared" si="523"/>
        <v>-244691.62893658664</v>
      </c>
      <c r="BK53" s="9">
        <f t="shared" ref="BK53:BL53" si="524">IF(OR(BK51="",BK52=""),"",BK51+BK52)</f>
        <v>-262410.08169949905</v>
      </c>
      <c r="BL53" s="9">
        <f t="shared" si="524"/>
        <v>34568.167964567117</v>
      </c>
      <c r="BM53" s="9">
        <f t="shared" ref="BM53:BN53" si="525">IF(OR(BM51="",BM52=""),"",BM51+BM52)</f>
        <v>-17892.717576165542</v>
      </c>
      <c r="BN53" s="9">
        <f t="shared" si="525"/>
        <v>-16085.399029068049</v>
      </c>
      <c r="BO53" s="9">
        <f t="shared" ref="BO53:BP53" si="526">IF(OR(BO51="",BO52=""),"",BO51+BO52)</f>
        <v>-13988.690504307406</v>
      </c>
      <c r="BP53" s="9">
        <f t="shared" si="526"/>
        <v>4166.3311885301146</v>
      </c>
      <c r="BQ53" s="9">
        <f t="shared" ref="BQ53:BR53" si="527">IF(OR(BQ51="",BQ52=""),"",BQ51+BQ52)</f>
        <v>8669.0420979860755</v>
      </c>
      <c r="BR53" s="9">
        <f t="shared" si="527"/>
        <v>4226.615137600048</v>
      </c>
      <c r="BS53" s="9">
        <f t="shared" ref="BS53:BT53" si="528">IF(OR(BS51="",BS52=""),"",BS51+BS52)</f>
        <v>-10417.82836907144</v>
      </c>
      <c r="BT53" s="9">
        <f t="shared" si="528"/>
        <v>-19583.256538619909</v>
      </c>
      <c r="BU53" s="9">
        <f t="shared" ref="BU53:BV53" si="529">IF(OR(BU51="",BU52=""),"",BU51+BU52)</f>
        <v>-16394.798874143893</v>
      </c>
      <c r="BV53" s="9">
        <f t="shared" si="529"/>
        <v>-16497.450105321208</v>
      </c>
      <c r="BW53" s="9">
        <f t="shared" ref="BW53:BX53" si="530">IF(OR(BW51="",BW52=""),"",BW51+BW52)</f>
        <v>-18296.502822160641</v>
      </c>
      <c r="BX53" s="9">
        <f t="shared" si="530"/>
        <v>5628.7607270526396</v>
      </c>
      <c r="BY53" s="9">
        <f t="shared" ref="BY53:BZ53" si="531">IF(OR(BY51="",BY52=""),"",BY51+BY52)</f>
        <v>-1074.8344153691887</v>
      </c>
      <c r="BZ53" s="9">
        <f t="shared" si="531"/>
        <v>-946.80984222804955</v>
      </c>
      <c r="CA53" s="9">
        <f t="shared" ref="CA53:CB53" si="532">IF(OR(CA51="",CA52=""),"",CA51+CA52)</f>
        <v>-1002.4166445780238</v>
      </c>
      <c r="CB53" s="9">
        <f t="shared" si="532"/>
        <v>-1154.6543138129789</v>
      </c>
      <c r="CC53" s="9">
        <f t="shared" ref="CC53:CD53" si="533">IF(OR(CC51="",CC52=""),"",CC51+CC52)</f>
        <v>-1318.5011140906313</v>
      </c>
      <c r="CD53" s="9">
        <f t="shared" si="533"/>
        <v>-1281.3422395303742</v>
      </c>
      <c r="CE53" s="9">
        <f t="shared" ref="CE53:CF53" si="534">IF(OR(CE51="",CE52=""),"",CE51+CE52)</f>
        <v>-1175.6959580934022</v>
      </c>
      <c r="CF53" s="9">
        <f t="shared" si="534"/>
        <v>-3890.1873919620666</v>
      </c>
      <c r="CG53" s="9">
        <f t="shared" ref="CG53:CH53" si="535">IF(OR(CG51="",CG52=""),"",CG51+CG52)</f>
        <v>-906.63405878347271</v>
      </c>
      <c r="CH53" s="9">
        <f t="shared" si="535"/>
        <v>-928.47333948477967</v>
      </c>
      <c r="CI53" s="9">
        <f t="shared" ref="CI53" si="536">IF(OR(CI51="",CI52=""),"",CI51+CI52)</f>
        <v>-930.47183843488824</v>
      </c>
    </row>
    <row r="54" spans="1:87" s="5" customFormat="1" hidden="1" outlineLevel="1" x14ac:dyDescent="0.35">
      <c r="A54" s="274"/>
      <c r="B54" s="20" t="s">
        <v>17</v>
      </c>
      <c r="C54" s="28"/>
      <c r="D54" s="28"/>
      <c r="E54" s="9">
        <f>E53</f>
        <v>0</v>
      </c>
      <c r="F54" s="9">
        <f>IF(OR(F53="",E54=""),"",F53+E54)</f>
        <v>0</v>
      </c>
      <c r="G54" s="9">
        <f t="shared" ref="G54:N54" si="537">IF(OR(G53="",F54=""),"",G53+F54)</f>
        <v>-2461.7695162622331</v>
      </c>
      <c r="H54" s="9">
        <f t="shared" si="537"/>
        <v>-36238.723907761458</v>
      </c>
      <c r="I54" s="9">
        <f t="shared" si="537"/>
        <v>-57908.903995658315</v>
      </c>
      <c r="J54" s="9">
        <f t="shared" si="537"/>
        <v>-70278.265581946558</v>
      </c>
      <c r="K54" s="9">
        <f t="shared" si="537"/>
        <v>-59608.186985473985</v>
      </c>
      <c r="L54" s="9">
        <f t="shared" si="537"/>
        <v>-51924.784373839459</v>
      </c>
      <c r="M54" s="9">
        <f t="shared" si="537"/>
        <v>-32792.670331249086</v>
      </c>
      <c r="N54" s="9">
        <f t="shared" si="537"/>
        <v>4899.8288293645965</v>
      </c>
      <c r="O54" s="9">
        <f>IF(OR(O53="",N54=""),"",O53+O49+N54)</f>
        <v>39585.328288859979</v>
      </c>
      <c r="P54" s="9">
        <f>IF(OR(P53="",O54=""),"",P53+P49+O54+P46)</f>
        <v>703901.31065062503</v>
      </c>
      <c r="Q54" s="9">
        <f t="shared" ref="Q54" si="538">IF(OR(Q53="",P54=""),"",Q53+Q49+P54)</f>
        <v>508406.93608031719</v>
      </c>
      <c r="R54" s="9">
        <f t="shared" ref="R54" si="539">IF(OR(R53="",Q54=""),"",R53+R49+Q54)</f>
        <v>275782.06181735452</v>
      </c>
      <c r="S54" s="9">
        <f t="shared" ref="S54" si="540">IF(OR(S53="",R54=""),"",S53+S49+R54)</f>
        <v>71859.312607251515</v>
      </c>
      <c r="T54" s="9">
        <f t="shared" ref="T54" si="541">IF(OR(T53="",S54=""),"",T53+T49+S54)</f>
        <v>-51105.379170204571</v>
      </c>
      <c r="U54" s="9">
        <f t="shared" ref="U54" si="542">IF(OR(U53="",T54=""),"",U53+U49+T54)</f>
        <v>-96812.907392808615</v>
      </c>
      <c r="V54" s="9">
        <f t="shared" ref="V54" si="543">IF(OR(V53="",U54=""),"",V53+V49+U54)</f>
        <v>-155275.16580366541</v>
      </c>
      <c r="W54" s="9">
        <f t="shared" ref="W54" si="544">IF(OR(W53="",V54=""),"",W53+W49+V54)</f>
        <v>-161645.13169180712</v>
      </c>
      <c r="X54" s="9">
        <f t="shared" ref="X54" si="545">IF(OR(X53="",W54=""),"",X53+X49+W54)</f>
        <v>-277967.15052703588</v>
      </c>
      <c r="Y54" s="9">
        <f t="shared" ref="Y54" si="546">IF(OR(Y53="",X54=""),"",Y53+Y49+X54)</f>
        <v>-347679.12797050038</v>
      </c>
      <c r="Z54" s="9">
        <f t="shared" ref="Z54" si="547">IF(OR(Z53="",Y54=""),"",Z53+Z49+Y54)</f>
        <v>-402943.16248797567</v>
      </c>
      <c r="AA54" s="9">
        <f t="shared" ref="AA54" si="548">IF(OR(AA53="",Z54=""),"",AA53+AA49+Z54)</f>
        <v>-474027.6943117312</v>
      </c>
      <c r="AB54" s="9">
        <f t="shared" ref="AB54" si="549">IF(OR(AB53="",AA54=""),"",AB53+AB49+AA54)</f>
        <v>-753373.23055841099</v>
      </c>
      <c r="AC54" s="9">
        <f t="shared" ref="AC54" si="550">IF(OR(AC53="",AB54=""),"",AC53+AC49+AB54)</f>
        <v>-949549.52565063478</v>
      </c>
      <c r="AD54" s="9">
        <f t="shared" ref="AD54" si="551">IF(OR(AD53="",AC54=""),"",AD53+AD49+AC54)</f>
        <v>-1132892.5581835343</v>
      </c>
      <c r="AE54" s="9">
        <f t="shared" ref="AE54" si="552">IF(OR(AE53="",AD54=""),"",AE53+AE49+AD54)</f>
        <v>-1200701.058495969</v>
      </c>
      <c r="AF54" s="9">
        <f t="shared" ref="AF54" si="553">IF(OR(AF53="",AE54=""),"",AF53+AF49+AE54)</f>
        <v>-939281.24866563245</v>
      </c>
      <c r="AG54" s="9">
        <f t="shared" ref="AG54" si="554">IF(OR(AG53="",AF54=""),"",AG53+AG49+AF54)</f>
        <v>-404277.6854359823</v>
      </c>
      <c r="AH54" s="9">
        <f t="shared" ref="AH54" si="555">IF(OR(AH53="",AG54=""),"",AH53+AH49+AG54)</f>
        <v>-761.25463089067489</v>
      </c>
      <c r="AI54" s="9">
        <f t="shared" ref="AI54" si="556">IF(OR(AI53="",AH54=""),"",AI53+AI49+AH54)</f>
        <v>395784.367421715</v>
      </c>
      <c r="AJ54" s="9">
        <f t="shared" ref="AJ54" si="557">IF(OR(AJ53="",AI54=""),"",AJ53+AJ49+AI54)</f>
        <v>382212.42641951074</v>
      </c>
      <c r="AK54" s="9">
        <f t="shared" ref="AK54" si="558">IF(OR(AK53="",AJ54=""),"",AK53+AK49+AJ54)</f>
        <v>384765.71234151063</v>
      </c>
      <c r="AL54" s="9">
        <f t="shared" ref="AL54" si="559">IF(OR(AL53="",AK54=""),"",AL53+AL49+AK54)</f>
        <v>428912.5125083446</v>
      </c>
      <c r="AM54" s="9">
        <f t="shared" ref="AM54" si="560">IF(OR(AM53="",AL54=""),"",AM53+AM49+AL54)</f>
        <v>499135.92235376243</v>
      </c>
      <c r="AN54" s="9">
        <f t="shared" ref="AN54" si="561">IF(OR(AN53="",AM54=""),"",AN53+AN49+AM54)</f>
        <v>-17353.861397119705</v>
      </c>
      <c r="AO54" s="9">
        <f t="shared" ref="AO54" si="562">IF(OR(AO53="",AN54=""),"",AO53+AO49+AN54)</f>
        <v>-283400.66000106884</v>
      </c>
      <c r="AP54" s="9">
        <f t="shared" ref="AP54" si="563">IF(OR(AP53="",AO54=""),"",AP53+AP49+AO54)</f>
        <v>-471115.14550350339</v>
      </c>
      <c r="AQ54" s="9">
        <f t="shared" ref="AQ54" si="564">IF(OR(AQ53="",AP54=""),"",AQ53+AQ49+AP54)</f>
        <v>-722419.17404856486</v>
      </c>
      <c r="AR54" s="9">
        <f t="shared" ref="AR54" si="565">IF(OR(AR53="",AQ54=""),"",AR53+AR49+AQ54)</f>
        <v>-112528.39124645595</v>
      </c>
      <c r="AS54" s="9">
        <f t="shared" ref="AS54" si="566">IF(OR(AS53="",AR54=""),"",AS53+AS49+AR54)</f>
        <v>854298.84837389004</v>
      </c>
      <c r="AT54" s="9">
        <f t="shared" ref="AT54" si="567">IF(OR(AT53="",AS54=""),"",AT53+AT49+AS54)</f>
        <v>1464609.4164038333</v>
      </c>
      <c r="AU54" s="9">
        <f t="shared" ref="AU54" si="568">IF(OR(AU53="",AT54=""),"",AU53+AU49+AT54)</f>
        <v>1906490.4775324571</v>
      </c>
      <c r="AV54" s="9">
        <f t="shared" ref="AV54" si="569">IF(OR(AV53="",AU54=""),"",AV53+AV49+AU54)</f>
        <v>1642075.2858146157</v>
      </c>
      <c r="AW54" s="9">
        <f t="shared" ref="AW54" si="570">IF(OR(AW53="",AV54=""),"",AW53+AW49+AV54)</f>
        <v>1385964.8267355643</v>
      </c>
      <c r="AX54" s="9">
        <f t="shared" ref="AX54" si="571">IF(OR(AX53="",AW54=""),"",AX53+AX49+AW54)</f>
        <v>1112256.1614342316</v>
      </c>
      <c r="AY54" s="9">
        <f t="shared" ref="AY54" si="572">IF(OR(AY53="",AX54=""),"",AY53+AY49+AX54)</f>
        <v>836348.92223651765</v>
      </c>
      <c r="AZ54" s="9">
        <f t="shared" ref="AZ54" si="573">IF(OR(AZ53="",AY54=""),"",AZ53+AZ49+AY54)</f>
        <v>736185.34433948807</v>
      </c>
      <c r="BA54" s="9">
        <f t="shared" ref="BA54" si="574">IF(OR(BA53="",AZ54=""),"",BA53+BA49+AZ54)</f>
        <v>1137213.7102364085</v>
      </c>
      <c r="BB54" s="9">
        <f t="shared" ref="BB54" si="575">IF(OR(BB53="",BA54=""),"",BB53+BB49+BA54)</f>
        <v>871984.30038867542</v>
      </c>
      <c r="BC54" s="9">
        <f t="shared" ref="BC54" si="576">IF(OR(BC53="",BB54=""),"",BC53+BC49+BB54)</f>
        <v>624949.704880998</v>
      </c>
      <c r="BD54" s="9">
        <f t="shared" ref="BD54" si="577">IF(OR(BD53="",BC54=""),"",BD53+BD49+BC54)</f>
        <v>340656.80790037342</v>
      </c>
      <c r="BE54" s="9">
        <f t="shared" ref="BE54" si="578">IF(OR(BE53="",BD54=""),"",BE53+BE49+BD54)</f>
        <v>17285.773919261293</v>
      </c>
      <c r="BF54" s="9">
        <f t="shared" ref="BF54" si="579">IF(OR(BF53="",BE54=""),"",BF53+BF49+BE54)</f>
        <v>-306780.85096427076</v>
      </c>
      <c r="BG54" s="9">
        <f t="shared" ref="BG54" si="580">IF(OR(BG53="",BF54=""),"",BG53+BG49+BF54)</f>
        <v>-635242.8910596167</v>
      </c>
      <c r="BH54" s="9">
        <f t="shared" ref="BH54" si="581">IF(OR(BH53="",BG54=""),"",BH53+BH49+BG54)</f>
        <v>-921719.99074255733</v>
      </c>
      <c r="BI54" s="9">
        <f t="shared" ref="BI54" si="582">IF(OR(BI53="",BH54=""),"",BI53+BI49+BH54)</f>
        <v>-1200576.9868744221</v>
      </c>
      <c r="BJ54" s="9">
        <f t="shared" ref="BJ54:CI54" si="583">IF(OR(BJ53="",BI54=""),"",BJ53+BJ49+BI54)</f>
        <v>-1499357.0458110087</v>
      </c>
      <c r="BK54" s="9">
        <f t="shared" si="583"/>
        <v>-1819735.5975105078</v>
      </c>
      <c r="BL54" s="9">
        <f t="shared" si="583"/>
        <v>-1940352.7195459406</v>
      </c>
      <c r="BM54" s="9">
        <f t="shared" si="583"/>
        <v>-1814094.2371221061</v>
      </c>
      <c r="BN54" s="9">
        <f t="shared" si="583"/>
        <v>-1701039.9061511741</v>
      </c>
      <c r="BO54" s="9">
        <f t="shared" si="583"/>
        <v>-1583532.5766554815</v>
      </c>
      <c r="BP54" s="9">
        <f t="shared" si="583"/>
        <v>-1432682.5754669514</v>
      </c>
      <c r="BQ54" s="9">
        <f t="shared" si="583"/>
        <v>-1253285.7333689653</v>
      </c>
      <c r="BR54" s="9">
        <f t="shared" si="583"/>
        <v>-1079266.5182313654</v>
      </c>
      <c r="BS54" s="9">
        <f t="shared" si="583"/>
        <v>-916642.70660043682</v>
      </c>
      <c r="BT54" s="9">
        <f t="shared" si="583"/>
        <v>-784136.53313905676</v>
      </c>
      <c r="BU54" s="9">
        <f t="shared" si="583"/>
        <v>-665385.1820132006</v>
      </c>
      <c r="BV54" s="9">
        <f t="shared" si="583"/>
        <v>-534178.9621185218</v>
      </c>
      <c r="BW54" s="9">
        <f t="shared" si="583"/>
        <v>-394661.64494068245</v>
      </c>
      <c r="BX54" s="9">
        <f t="shared" si="583"/>
        <v>-294575.15421362984</v>
      </c>
      <c r="BY54" s="9">
        <f t="shared" si="583"/>
        <v>-264876.62862899899</v>
      </c>
      <c r="BZ54" s="9">
        <f t="shared" si="583"/>
        <v>-237317.57847122705</v>
      </c>
      <c r="CA54" s="9">
        <f t="shared" si="583"/>
        <v>-209115.45511580509</v>
      </c>
      <c r="CB54" s="9">
        <f t="shared" si="583"/>
        <v>-177622.87942961807</v>
      </c>
      <c r="CC54" s="9">
        <f t="shared" si="583"/>
        <v>-141598.8005437087</v>
      </c>
      <c r="CD54" s="9">
        <f t="shared" si="583"/>
        <v>-106442.96278323907</v>
      </c>
      <c r="CE54" s="9">
        <f t="shared" si="583"/>
        <v>-72837.318741332478</v>
      </c>
      <c r="CF54" s="9">
        <f t="shared" si="583"/>
        <v>-46787.476133294549</v>
      </c>
      <c r="CG54" s="9">
        <f t="shared" si="583"/>
        <v>-19179.04019207802</v>
      </c>
      <c r="CH54" s="9">
        <f t="shared" si="583"/>
        <v>11542.736468437201</v>
      </c>
      <c r="CI54" s="9">
        <f t="shared" si="583"/>
        <v>45256.904630002311</v>
      </c>
    </row>
    <row r="55" spans="1:87" s="5" customFormat="1" ht="8.25" hidden="1" customHeight="1" outlineLevel="1" x14ac:dyDescent="0.35">
      <c r="A55" s="44"/>
      <c r="B55" s="13"/>
      <c r="C55" s="13"/>
      <c r="D55" s="13"/>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row>
    <row r="56" spans="1:87" s="5" customFormat="1" ht="15" hidden="1" customHeight="1" outlineLevel="1" x14ac:dyDescent="0.35">
      <c r="A56" s="274" t="s">
        <v>23</v>
      </c>
      <c r="B56" s="17"/>
      <c r="C56" s="32"/>
      <c r="D56" s="32"/>
      <c r="E56" s="9"/>
      <c r="F56" s="9"/>
      <c r="G56" s="9"/>
      <c r="H56" s="9"/>
      <c r="I56" s="9"/>
      <c r="J56" s="9"/>
      <c r="K56" s="9"/>
      <c r="L56" s="9"/>
      <c r="M56" s="9"/>
      <c r="N56" s="9"/>
      <c r="O56" s="9"/>
      <c r="P56" s="74">
        <v>2477461.885016053</v>
      </c>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141">
        <f>'MEEIA 2 adjs'!CY51</f>
        <v>-1222.8910428397539</v>
      </c>
      <c r="CG56" s="9"/>
      <c r="CH56" s="9"/>
      <c r="CI56" s="9"/>
    </row>
    <row r="57" spans="1:87" s="3" customFormat="1" ht="15" hidden="1" customHeight="1" outlineLevel="1" x14ac:dyDescent="0.35">
      <c r="A57" s="274"/>
      <c r="B57" s="17" t="s">
        <v>28</v>
      </c>
      <c r="C57" s="32"/>
      <c r="D57" s="32"/>
      <c r="E57" s="22">
        <f>IF('M2 Allocations - TD'!D8="","",'M2 Allocations - TD'!D34)</f>
        <v>0</v>
      </c>
      <c r="F57" s="22">
        <f>IF('M2 Allocations - TD'!E8="","",'M2 Allocations - TD'!E34)</f>
        <v>0</v>
      </c>
      <c r="G57" s="22">
        <f>IF('M2 Allocations - TD'!F8="","",'M2 Allocations - TD'!F34)</f>
        <v>0</v>
      </c>
      <c r="H57" s="22">
        <f>IF('M2 Allocations - TD'!G8="","",'M2 Allocations - TD'!G34)</f>
        <v>526.23</v>
      </c>
      <c r="I57" s="22">
        <f>IF('M2 Allocations - TD'!H8="","",'M2 Allocations - TD'!H34)</f>
        <v>1707.2399999999998</v>
      </c>
      <c r="J57" s="22">
        <f>IF('M2 Allocations - TD'!I8="","",'M2 Allocations - TD'!I34)</f>
        <v>2230.0207254609436</v>
      </c>
      <c r="K57" s="22">
        <f>IF('M2 Allocations - TD'!J8="","",'M2 Allocations - TD'!J34)</f>
        <v>4794.6581417484167</v>
      </c>
      <c r="L57" s="22">
        <f>IF('M2 Allocations - TD'!K8="","",'M2 Allocations - TD'!K34)</f>
        <v>4373.862445788076</v>
      </c>
      <c r="M57" s="22">
        <f>IF('M2 Allocations - TD'!L8="","",'M2 Allocations - TD'!L34)</f>
        <v>7453.242982336099</v>
      </c>
      <c r="N57" s="22">
        <f>IF('M2 Allocations - TD'!M8="","",'M2 Allocations - TD'!M34)</f>
        <v>18084.577784318448</v>
      </c>
      <c r="O57" s="22">
        <f>IF('M2 Allocations - TD'!N8="","",'M2 Allocations - TD'!N34)</f>
        <v>27963.810761260709</v>
      </c>
      <c r="P57" s="22">
        <f>IF('M2 Allocations - TD'!O8="","",'M2 Allocations - TD'!O34)</f>
        <v>24456.059952649921</v>
      </c>
      <c r="Q57" s="22">
        <f>IF('M2 Allocations - TD'!P8="","",'M2 Allocations - TD'!P34)</f>
        <v>29615.310672687767</v>
      </c>
      <c r="R57" s="22">
        <f>IF('M2 Allocations - TD'!Q8="","",'M2 Allocations - TD'!Q34)</f>
        <v>12166.436689655247</v>
      </c>
      <c r="S57" s="22">
        <f>IF('M2 Allocations - TD'!R8="","",'M2 Allocations - TD'!R34)</f>
        <v>28108.084360485296</v>
      </c>
      <c r="T57" s="22">
        <f>IF('M2 Allocations - TD'!S8="","",'M2 Allocations - TD'!S34)</f>
        <v>128148.15141495112</v>
      </c>
      <c r="U57" s="22">
        <f>IF('M2 Allocations - TD'!T8="","",'M2 Allocations - TD'!T34)</f>
        <v>175689.74</v>
      </c>
      <c r="V57" s="22">
        <f>IF('M2 Allocations - TD'!U8="","",'M2 Allocations - TD'!U34)</f>
        <v>218402.52810095585</v>
      </c>
      <c r="W57" s="22">
        <f>IF('M2 Allocations - TD'!V8="","",'M2 Allocations - TD'!V34)</f>
        <v>205067.89849978662</v>
      </c>
      <c r="X57" s="22">
        <f>IF('M2 Allocations - TD'!W8="","",'M2 Allocations - TD'!W34)</f>
        <v>101187.08297273742</v>
      </c>
      <c r="Y57" s="22">
        <f>IF('M2 Allocations - TD'!X8="","",'M2 Allocations - TD'!X34)</f>
        <v>97773.438006020719</v>
      </c>
      <c r="Z57" s="22">
        <f>IF('M2 Allocations - TD'!Y8="","",'M2 Allocations - TD'!Y34)</f>
        <v>113746.10309897989</v>
      </c>
      <c r="AA57" s="22">
        <f>IF('M2 Allocations - TD'!Z8="","",'M2 Allocations - TD'!Z34)</f>
        <v>131796.02801249109</v>
      </c>
      <c r="AB57" s="22">
        <f>IF('M2 Allocations - TD'!AA8="","",'M2 Allocations - TD'!AA34)</f>
        <v>116090.38160247794</v>
      </c>
      <c r="AC57" s="22">
        <f>IF('M2 Allocations - TD'!AB8="","",'M2 Allocations - TD'!AB34)</f>
        <v>132068.16497570253</v>
      </c>
      <c r="AD57" s="22">
        <f>IF('M2 Allocations - TD'!AC8="","",'M2 Allocations - TD'!AC34)</f>
        <v>133321.08677453059</v>
      </c>
      <c r="AE57" s="22">
        <f>IF('M2 Allocations - TD'!AD8="","",'M2 Allocations - TD'!AD34)</f>
        <v>180104.81791441111</v>
      </c>
      <c r="AF57" s="22">
        <f>IF('M2 Allocations - TD'!AE8="","",'M2 Allocations - TD'!AE34)</f>
        <v>422991.61425343697</v>
      </c>
      <c r="AG57" s="22">
        <f>IF('M2 Allocations - TD'!AF8="","",'M2 Allocations - TD'!AF34)</f>
        <v>543609.86073367961</v>
      </c>
      <c r="AH57" s="22">
        <f>IF('M2 Allocations - TD'!AG8="","",'M2 Allocations - TD'!AG34)</f>
        <v>486263.01132460969</v>
      </c>
      <c r="AI57" s="22">
        <f>IF('M2 Allocations - TD'!AH8="","",'M2 Allocations - TD'!AH34)</f>
        <v>414107.44556621916</v>
      </c>
      <c r="AJ57" s="22">
        <f>IF('M2 Allocations - TD'!AI8="","",'M2 Allocations - TD'!AI34)</f>
        <v>207208.35422995902</v>
      </c>
      <c r="AK57" s="22">
        <f>IF('M2 Allocations - TD'!AJ8="","",'M2 Allocations - TD'!AJ34)</f>
        <v>191307.18426831797</v>
      </c>
      <c r="AL57" s="22">
        <f>IF('M2 Allocations - TD'!AK8="","",'M2 Allocations - TD'!AK34)</f>
        <v>223825.29632810416</v>
      </c>
      <c r="AM57" s="22">
        <f>IF('M2 Allocations - TD'!AL8="","",'M2 Allocations - TD'!AL34)</f>
        <v>251714.86075436554</v>
      </c>
      <c r="AN57" s="22">
        <f>IF('M2 Allocations - TD'!AM8="","",'M2 Allocations - TD'!AM34)</f>
        <v>220841.99668727524</v>
      </c>
      <c r="AO57" s="22">
        <f>IF('M2 Allocations - TD'!AN8="","",'M2 Allocations - TD'!AN34)</f>
        <v>305651.11265488941</v>
      </c>
      <c r="AP57" s="22">
        <f>IF('M2 Allocations - TD'!AO8="","",'M2 Allocations - TD'!AO34)</f>
        <v>284274.24631552736</v>
      </c>
      <c r="AQ57" s="22">
        <f>IF('M2 Allocations - TD'!AP8="","",'M2 Allocations - TD'!AP34)</f>
        <v>294781.80288519792</v>
      </c>
      <c r="AR57" s="22">
        <f>IF('M2 Allocations - TD'!AQ8="","",'M2 Allocations - TD'!AQ34)</f>
        <v>791914.33120203775</v>
      </c>
      <c r="AS57" s="22">
        <f>IF('M2 Allocations - TD'!AR8="","",'M2 Allocations - TD'!AR34)</f>
        <v>978344.05317777325</v>
      </c>
      <c r="AT57" s="22">
        <f>IF('M2 Allocations - TD'!AS8="","",'M2 Allocations - TD'!AS34)</f>
        <v>874777.66117086785</v>
      </c>
      <c r="AU57" s="22">
        <f>IF('M2 Allocations - TD'!AT8="","",'M2 Allocations - TD'!AT34)</f>
        <v>686805.48036969628</v>
      </c>
      <c r="AV57" s="22">
        <f>IF('M2 Allocations - TD'!AU8="","",'M2 Allocations - TD'!AU34)</f>
        <v>321802.45107933023</v>
      </c>
      <c r="AW57" s="22">
        <f>IF('M2 Allocations - TD'!AV8="","",'M2 Allocations - TD'!AV34)</f>
        <v>280028.89151037188</v>
      </c>
      <c r="AX57" s="22">
        <f>IF('M2 Allocations - TD'!AW8="","",'M2 Allocations - TD'!AW34)</f>
        <v>274144.21732121875</v>
      </c>
      <c r="AY57" s="22">
        <f>IF('M2 Allocations - TD'!AX8="","",'M2 Allocations - TD'!AX34)</f>
        <v>303711.11912158254</v>
      </c>
      <c r="AZ57" s="22">
        <f>IF('M2 Allocations - TD'!AY8="","",'M2 Allocations - TD'!AY34)</f>
        <v>251998.46611210689</v>
      </c>
      <c r="BA57" s="22">
        <f>IF('M2 Allocations - TD'!AZ8="","",'M2 Allocations - TD'!AZ34)</f>
        <v>276069.3565741299</v>
      </c>
      <c r="BB57" s="22">
        <f>IF('M2 Allocations - TD'!BA8="","",'M2 Allocations - TD'!BA34)</f>
        <v>0</v>
      </c>
      <c r="BC57" s="22">
        <f>IF('M2 Allocations - TD'!BB8="","",'M2 Allocations - TD'!BB34)</f>
        <v>-315.01218360235936</v>
      </c>
      <c r="BD57" s="22">
        <f>IF('M2 Allocations - TD'!BC8="","",'M2 Allocations - TD'!BC34)</f>
        <v>0</v>
      </c>
      <c r="BE57" s="22">
        <f>IF('M2 Allocations - TD'!BD8="","",'M2 Allocations - TD'!BD34)</f>
        <v>0</v>
      </c>
      <c r="BF57" s="22">
        <f>IF('M2 Allocations - TD'!BE8="","",'M2 Allocations - TD'!BE34)</f>
        <v>16813.580000000075</v>
      </c>
      <c r="BG57" s="22">
        <f>IF('M2 Allocations - TD'!BF8="","",'M2 Allocations - TD'!BF34)</f>
        <v>19387.400000000373</v>
      </c>
      <c r="BH57" s="22">
        <f>IF('M2 Allocations - TD'!BG8="","",'M2 Allocations - TD'!BG34)</f>
        <v>6785.070000000298</v>
      </c>
      <c r="BI57" s="22">
        <f>IF('M2 Allocations - TD'!BH8="","",'M2 Allocations - TD'!BH34)</f>
        <v>6167.2299999985844</v>
      </c>
      <c r="BJ57" s="22">
        <f>IF('M2 Allocations - TD'!BI8="","",'M2 Allocations - TD'!BI34)</f>
        <v>9586.9900000002235</v>
      </c>
      <c r="BK57" s="22">
        <f>IF('M2 Allocations - TD'!BJ8="","",'M2 Allocations - TD'!BJ34)</f>
        <v>12497.580000000075</v>
      </c>
      <c r="BL57" s="22">
        <f>IF('M2 Allocations - TD'!BK8="","",'M2 Allocations - TD'!BK34)</f>
        <v>10043.310000000522</v>
      </c>
      <c r="BM57" s="22">
        <f>IF('M2 Allocations - TD'!BL8="","",'M2 Allocations - TD'!BL34)</f>
        <v>10496.050000000745</v>
      </c>
      <c r="BN57" s="22">
        <f>IF('M2 Allocations - TD'!BM8="","",'M2 Allocations - TD'!BM34)</f>
        <v>9775.9599999990314</v>
      </c>
      <c r="BO57" s="22">
        <f>IF('M2 Allocations - TD'!BN8="","",'M2 Allocations - TD'!BN34)</f>
        <v>13527.650000000373</v>
      </c>
      <c r="BP57" s="22">
        <f>IF('M2 Allocations - TD'!BO8="","",'M2 Allocations - TD'!BO34)</f>
        <v>36494.849999999627</v>
      </c>
      <c r="BQ57" s="22">
        <f>IF('M2 Allocations - TD'!BP8="","",'M2 Allocations - TD'!BP34)</f>
        <v>47679.970000000671</v>
      </c>
      <c r="BR57" s="22">
        <f>IF('M2 Allocations - TD'!BQ8="","",'M2 Allocations - TD'!BQ34)</f>
        <v>45288.439999999478</v>
      </c>
      <c r="BS57" s="22">
        <f>IF('M2 Allocations - TD'!BR8="","",'M2 Allocations - TD'!BR34)</f>
        <v>29486.400000000373</v>
      </c>
      <c r="BT57" s="22">
        <f>IF('M2 Allocations - TD'!BS8="","",'M2 Allocations - TD'!BS34)</f>
        <v>11833.289999999106</v>
      </c>
      <c r="BU57" s="22">
        <f>IF('M2 Allocations - TD'!BT8="","",'M2 Allocations - TD'!BT34)</f>
        <v>10374.580000000075</v>
      </c>
      <c r="BV57" s="22">
        <f>IF('M2 Allocations - TD'!BU8="","",'M2 Allocations - TD'!BU34)</f>
        <v>12057.450000001118</v>
      </c>
      <c r="BW57" s="22">
        <f>IF('M2 Allocations - TD'!BV8="","",'M2 Allocations - TD'!BV34)</f>
        <v>12824.789999999106</v>
      </c>
      <c r="BX57" s="22">
        <f>IF('M2 Allocations - TD'!BW8="","",'M2 Allocations - TD'!BW34)</f>
        <v>10330.179999999702</v>
      </c>
      <c r="BY57" s="22">
        <f>IF('M2 Allocations - TD'!BX8="","",'M2 Allocations - TD'!BX34)</f>
        <v>0</v>
      </c>
      <c r="BZ57" s="22">
        <f>IF('M2 Allocations - TD'!BY8="","",'M2 Allocations - TD'!BY34)</f>
        <v>0</v>
      </c>
      <c r="CA57" s="22">
        <f>IF('M2 Allocations - TD'!BZ8="","",'M2 Allocations - TD'!BZ34)</f>
        <v>0</v>
      </c>
      <c r="CB57" s="22">
        <f>IF('M2 Allocations - TD'!CA8="","",'M2 Allocations - TD'!CA34)</f>
        <v>0</v>
      </c>
      <c r="CC57" s="22">
        <f>IF('M2 Allocations - TD'!CB8="","",'M2 Allocations - TD'!CB34)</f>
        <v>0</v>
      </c>
      <c r="CD57" s="22">
        <f>IF('M2 Allocations - TD'!CC8="","",'M2 Allocations - TD'!CC34)</f>
        <v>0</v>
      </c>
      <c r="CE57" s="22">
        <f>IF('M2 Allocations - TD'!CD8="","",'M2 Allocations - TD'!CD34)</f>
        <v>0</v>
      </c>
      <c r="CF57" s="22">
        <f>IF('M2 Allocations - TD'!CE8="","",'M2 Allocations - TD'!CE34)</f>
        <v>0</v>
      </c>
      <c r="CG57" s="22">
        <f>IF('M2 Allocations - TD'!CF8="","",'M2 Allocations - TD'!CF34)</f>
        <v>0</v>
      </c>
      <c r="CH57" s="22">
        <f>IF('M2 Allocations - TD'!CG8="","",'M2 Allocations - TD'!CG34)</f>
        <v>0</v>
      </c>
      <c r="CI57" s="22">
        <f>IF('M2 Allocations - TD'!CH8="","",'M2 Allocations - TD'!CH34)</f>
        <v>0</v>
      </c>
    </row>
    <row r="58" spans="1:87" s="5" customFormat="1" ht="15" hidden="1" customHeight="1" outlineLevel="1" x14ac:dyDescent="0.35">
      <c r="A58" s="274"/>
      <c r="B58" s="18" t="s">
        <v>26</v>
      </c>
      <c r="C58" s="26"/>
      <c r="D58" s="26"/>
      <c r="E58" s="24">
        <v>0</v>
      </c>
      <c r="F58" s="24">
        <v>0</v>
      </c>
      <c r="G58" s="24">
        <v>1621.85</v>
      </c>
      <c r="H58" s="24">
        <v>15413.06</v>
      </c>
      <c r="I58" s="24">
        <v>19333.560000000001</v>
      </c>
      <c r="J58" s="24">
        <v>18858.009999999998</v>
      </c>
      <c r="K58" s="24">
        <v>20468.599999999999</v>
      </c>
      <c r="L58" s="24">
        <v>17365.72</v>
      </c>
      <c r="M58" s="24">
        <v>16669.060000000001</v>
      </c>
      <c r="N58" s="24">
        <v>16712.28</v>
      </c>
      <c r="O58" s="24">
        <v>31958.9</v>
      </c>
      <c r="P58" s="24">
        <f>279819.83+48637.08</f>
        <v>328456.91000000003</v>
      </c>
      <c r="Q58" s="24">
        <v>267175.5</v>
      </c>
      <c r="R58" s="22">
        <f>IF('M2 Allocations - TD'!Q53="","",'M2 Allocations - TD'!Q71)</f>
        <v>283136.40886630391</v>
      </c>
      <c r="S58" s="22">
        <f>IF('M2 Allocations - TD'!R53="","",'M2 Allocations - TD'!R71)</f>
        <v>287460.81327816768</v>
      </c>
      <c r="T58" s="22">
        <f>IF('M2 Allocations - TD'!S53="","",'M2 Allocations - TD'!S71)</f>
        <v>330409.77575572423</v>
      </c>
      <c r="U58" s="22">
        <f>IF('M2 Allocations - TD'!T53="","",'M2 Allocations - TD'!T71)</f>
        <v>323201.37525993661</v>
      </c>
      <c r="V58" s="22">
        <f>IF('M2 Allocations - TD'!U53="","",'M2 Allocations - TD'!U71)</f>
        <v>340944.20704658219</v>
      </c>
      <c r="W58" s="22">
        <f>IF('M2 Allocations - TD'!V53="","",'M2 Allocations - TD'!V71)</f>
        <v>328289.08781066153</v>
      </c>
      <c r="X58" s="22">
        <f>IF('M2 Allocations - TD'!W53="","",'M2 Allocations - TD'!W71)</f>
        <v>321452.90171375725</v>
      </c>
      <c r="Y58" s="22">
        <f>IF('M2 Allocations - TD'!X53="","",'M2 Allocations - TD'!X71)</f>
        <v>288778.65587559086</v>
      </c>
      <c r="Z58" s="22">
        <f>IF('M2 Allocations - TD'!Y53="","",'M2 Allocations - TD'!Y71)</f>
        <v>301751.31193612184</v>
      </c>
      <c r="AA58" s="22">
        <f>IF('M2 Allocations - TD'!Z53="","",'M2 Allocations - TD'!Z71)</f>
        <v>332299.53125242464</v>
      </c>
      <c r="AB58" s="22">
        <f>IF('M2 Allocations - TD'!AA53="","",'M2 Allocations - TD'!AA71)</f>
        <v>302428.95</v>
      </c>
      <c r="AC58" s="22">
        <f>IF('M2 Allocations - TD'!AB53="","",'M2 Allocations - TD'!AB71)</f>
        <v>301943.60981245001</v>
      </c>
      <c r="AD58" s="22">
        <f>IF('M2 Allocations - TD'!AC53="","",'M2 Allocations - TD'!AC71)</f>
        <v>278699.7057611302</v>
      </c>
      <c r="AE58" s="22">
        <f>IF('M2 Allocations - TD'!AD53="","",'M2 Allocations - TD'!AD71)</f>
        <v>322370.88601313852</v>
      </c>
      <c r="AF58" s="22">
        <f>IF('M2 Allocations - TD'!AE53="","",'M2 Allocations - TD'!AE71)</f>
        <v>349751.02773569047</v>
      </c>
      <c r="AG58" s="22">
        <f>IF('M2 Allocations - TD'!AF53="","",'M2 Allocations - TD'!AF71)</f>
        <v>361975.97928185289</v>
      </c>
      <c r="AH58" s="22">
        <f>IF('M2 Allocations - TD'!AG53="","",'M2 Allocations - TD'!AG71)</f>
        <v>356032.65352996916</v>
      </c>
      <c r="AI58" s="22">
        <f>IF('M2 Allocations - TD'!AH53="","",'M2 Allocations - TD'!AH71)</f>
        <v>346604.60421828728</v>
      </c>
      <c r="AJ58" s="22">
        <f>IF('M2 Allocations - TD'!AI53="","",'M2 Allocations - TD'!AI71)</f>
        <v>324956.79952393915</v>
      </c>
      <c r="AK58" s="22">
        <f>IF('M2 Allocations - TD'!AJ53="","",'M2 Allocations - TD'!AJ71)</f>
        <v>301584.85459624138</v>
      </c>
      <c r="AL58" s="22">
        <f>IF('M2 Allocations - TD'!AK53="","",'M2 Allocations - TD'!AK71)</f>
        <v>323402.5858220082</v>
      </c>
      <c r="AM58" s="22">
        <f>IF('M2 Allocations - TD'!AL53="","",'M2 Allocations - TD'!AL71)</f>
        <v>296745.40272335312</v>
      </c>
      <c r="AN58" s="22">
        <f>IF('M2 Allocations - TD'!AM53="","",'M2 Allocations - TD'!AM71)</f>
        <v>355667.68860749144</v>
      </c>
      <c r="AO58" s="22">
        <f>IF('M2 Allocations - TD'!AN53="","",'M2 Allocations - TD'!AN71)</f>
        <v>352302.39917248994</v>
      </c>
      <c r="AP58" s="22">
        <f>IF('M2 Allocations - TD'!AO53="","",'M2 Allocations - TD'!AO71)</f>
        <v>338612.44673821039</v>
      </c>
      <c r="AQ58" s="22">
        <f>IF('M2 Allocations - TD'!AP53="","",'M2 Allocations - TD'!AP71)</f>
        <v>338607.64249172056</v>
      </c>
      <c r="AR58" s="22">
        <f>IF('M2 Allocations - TD'!AQ53="","",'M2 Allocations - TD'!AQ71)</f>
        <v>393628.70516997529</v>
      </c>
      <c r="AS58" s="22">
        <f>IF('M2 Allocations - TD'!AR53="","",'M2 Allocations - TD'!AR71)</f>
        <v>395351.293050832</v>
      </c>
      <c r="AT58" s="22">
        <f>IF('M2 Allocations - TD'!AS53="","",'M2 Allocations - TD'!AS71)</f>
        <v>414954.8489846529</v>
      </c>
      <c r="AU58" s="22">
        <f>IF('M2 Allocations - TD'!AT53="","",'M2 Allocations - TD'!AT71)</f>
        <v>412666.27260449337</v>
      </c>
      <c r="AV58" s="22">
        <f>IF('M2 Allocations - TD'!AU53="","",'M2 Allocations - TD'!AU71)</f>
        <v>382499.83186560834</v>
      </c>
      <c r="AW58" s="22">
        <f>IF('M2 Allocations - TD'!AV53="","",'M2 Allocations - TD'!AV71)</f>
        <v>352969.01405759109</v>
      </c>
      <c r="AX58" s="22">
        <f>IF('M2 Allocations - TD'!AW53="","",'M2 Allocations - TD'!AW71)</f>
        <v>354749.07044000481</v>
      </c>
      <c r="AY58" s="22">
        <f>IF('M2 Allocations - TD'!AX53="","",'M2 Allocations - TD'!AX71)</f>
        <v>364800.86761435715</v>
      </c>
      <c r="AZ58" s="22">
        <f>IF('M2 Allocations - TD'!AY53="","",'M2 Allocations - TD'!AY71)</f>
        <v>290547.34153219213</v>
      </c>
      <c r="BA58" s="22">
        <f>IF('M2 Allocations - TD'!AZ53="","",'M2 Allocations - TD'!AZ71)</f>
        <v>123016.66955581112</v>
      </c>
      <c r="BB58" s="22">
        <f>IF('M2 Allocations - TD'!BA53="","",'M2 Allocations - TD'!BA71)</f>
        <v>118618.96587713738</v>
      </c>
      <c r="BC58" s="22">
        <f>IF('M2 Allocations - TD'!BB53="","",'M2 Allocations - TD'!BB71)</f>
        <v>111705.70022132192</v>
      </c>
      <c r="BD58" s="22">
        <f>IF('M2 Allocations - TD'!BC53="","",'M2 Allocations - TD'!BC71)</f>
        <v>130125.71091968814</v>
      </c>
      <c r="BE58" s="22">
        <f>IF('M2 Allocations - TD'!BD53="","",'M2 Allocations - TD'!BD71)</f>
        <v>136950.86579751672</v>
      </c>
      <c r="BF58" s="22">
        <f>IF('M2 Allocations - TD'!BE53="","",'M2 Allocations - TD'!BE71)</f>
        <v>143566.43039610708</v>
      </c>
      <c r="BG58" s="22">
        <f>IF('M2 Allocations - TD'!BF53="","",'M2 Allocations - TD'!BF71)</f>
        <v>143625.78644107448</v>
      </c>
      <c r="BH58" s="22">
        <f>IF('M2 Allocations - TD'!BG53="","",'M2 Allocations - TD'!BG71)</f>
        <v>127662.31996824293</v>
      </c>
      <c r="BI58" s="22">
        <f>IF('M2 Allocations - TD'!BH53="","",'M2 Allocations - TD'!BH71)</f>
        <v>126708.68055025722</v>
      </c>
      <c r="BJ58" s="22">
        <f>IF('M2 Allocations - TD'!BI53="","",'M2 Allocations - TD'!BI71)</f>
        <v>132518.9610920955</v>
      </c>
      <c r="BK58" s="22">
        <f>IF('M2 Allocations - TD'!BJ53="","",'M2 Allocations - TD'!BJ71)</f>
        <v>130056.06716620013</v>
      </c>
      <c r="BL58" s="22">
        <f>IF('M2 Allocations - TD'!BK53="","",'M2 Allocations - TD'!BK71)</f>
        <v>73469.336246691571</v>
      </c>
      <c r="BM58" s="22">
        <f>IF('M2 Allocations - TD'!BL53="","",'M2 Allocations - TD'!BL71)</f>
        <v>-22612.659176541922</v>
      </c>
      <c r="BN58" s="22">
        <f>IF('M2 Allocations - TD'!BM53="","",'M2 Allocations - TD'!BM71)</f>
        <v>-24415.905916675132</v>
      </c>
      <c r="BO58" s="22">
        <f>IF('M2 Allocations - TD'!BN53="","",'M2 Allocations - TD'!BN71)</f>
        <v>-26227.136477870259</v>
      </c>
      <c r="BP58" s="22">
        <f>IF('M2 Allocations - TD'!BO53="","",'M2 Allocations - TD'!BO71)</f>
        <v>-23636.693041994658</v>
      </c>
      <c r="BQ58" s="22">
        <f>IF('M2 Allocations - TD'!BP53="","",'M2 Allocations - TD'!BP71)</f>
        <v>-32709.066060894642</v>
      </c>
      <c r="BR58" s="22">
        <f>IF('M2 Allocations - TD'!BQ53="","",'M2 Allocations - TD'!BQ71)</f>
        <v>-30007.954013018152</v>
      </c>
      <c r="BS58" s="22">
        <f>IF('M2 Allocations - TD'!BR53="","",'M2 Allocations - TD'!BR71)</f>
        <v>-30398.556259296256</v>
      </c>
      <c r="BT58" s="22">
        <f>IF('M2 Allocations - TD'!BS53="","",'M2 Allocations - TD'!BS71)</f>
        <v>-26335.111362820855</v>
      </c>
      <c r="BU58" s="22">
        <f>IF('M2 Allocations - TD'!BT53="","",'M2 Allocations - TD'!BT71)</f>
        <v>-22828.889630809208</v>
      </c>
      <c r="BV58" s="22">
        <f>IF('M2 Allocations - TD'!BU53="","",'M2 Allocations - TD'!BU71)</f>
        <v>-29924.142514541847</v>
      </c>
      <c r="BW58" s="22">
        <f>IF('M2 Allocations - TD'!BV53="","",'M2 Allocations - TD'!BV71)</f>
        <v>-28848.082586273878</v>
      </c>
      <c r="BX58" s="22">
        <f>IF('M2 Allocations - TD'!BW53="","",'M2 Allocations - TD'!BW71)</f>
        <v>-20936.748032217365</v>
      </c>
      <c r="BY58" s="22">
        <f>IF('M2 Allocations - TD'!BX53="","",'M2 Allocations - TD'!BX71)</f>
        <v>-9363.3583204824445</v>
      </c>
      <c r="BZ58" s="22">
        <f>IF('M2 Allocations - TD'!BY53="","",'M2 Allocations - TD'!BY71)</f>
        <v>-9437.0051141241493</v>
      </c>
      <c r="CA58" s="22">
        <f>IF('M2 Allocations - TD'!BZ53="","",'M2 Allocations - TD'!BZ71)</f>
        <v>-9234.9091119732129</v>
      </c>
      <c r="CB58" s="22">
        <f>IF('M2 Allocations - TD'!CA53="","",'M2 Allocations - TD'!CA71)</f>
        <v>-10506.965502226194</v>
      </c>
      <c r="CC58" s="22">
        <f>IF('M2 Allocations - TD'!CB53="","",'M2 Allocations - TD'!CB71)</f>
        <v>-10928.084351774703</v>
      </c>
      <c r="CD58" s="22">
        <f>IF('M2 Allocations - TD'!CC53="","",'M2 Allocations - TD'!CC71)</f>
        <v>-10838.193004551051</v>
      </c>
      <c r="CE58" s="22">
        <f>IF('M2 Allocations - TD'!CD53="","",'M2 Allocations - TD'!CD71)</f>
        <v>-10559.893442002107</v>
      </c>
      <c r="CF58" s="22">
        <f>IF('M2 Allocations - TD'!CE53="","",'M2 Allocations - TD'!CE71)</f>
        <v>-9362.8553505780201</v>
      </c>
      <c r="CG58" s="22">
        <f>IF('M2 Allocations - TD'!CF53="","",'M2 Allocations - TD'!CF71)</f>
        <v>-9103.0248795618627</v>
      </c>
      <c r="CH58" s="22">
        <f>IF('M2 Allocations - TD'!CG53="","",'M2 Allocations - TD'!CG71)</f>
        <v>-9479.4809178612231</v>
      </c>
      <c r="CI58" s="22">
        <f>IF('M2 Allocations - TD'!CH53="","",'M2 Allocations - TD'!CH71)</f>
        <v>-9844.0501719231434</v>
      </c>
    </row>
    <row r="59" spans="1:87" s="5" customFormat="1" ht="15" hidden="1" customHeight="1" outlineLevel="1" x14ac:dyDescent="0.35">
      <c r="A59" s="274"/>
      <c r="B59" s="18" t="s">
        <v>51</v>
      </c>
      <c r="C59" s="26"/>
      <c r="D59" s="26"/>
      <c r="E59" s="24"/>
      <c r="F59" s="24"/>
      <c r="G59" s="24"/>
      <c r="H59" s="24"/>
      <c r="I59" s="24"/>
      <c r="J59" s="24"/>
      <c r="K59" s="24"/>
      <c r="L59" s="24"/>
      <c r="M59" s="24"/>
      <c r="N59" s="24"/>
      <c r="O59" s="24">
        <f>+'M2 TD amort'!C29</f>
        <v>0</v>
      </c>
      <c r="P59" s="24">
        <f>IF(P58="","",-'M2 TD amort'!D29)</f>
        <v>-218471.8</v>
      </c>
      <c r="Q59" s="24">
        <f>IF(Q58="","",-'M2 TD amort'!E29)</f>
        <v>-177710.71</v>
      </c>
      <c r="R59" s="22">
        <f>IF(R58="","",-'M2 TD amort'!F29)</f>
        <v>-191229.73</v>
      </c>
      <c r="S59" s="22">
        <f>IF(S58="","",-'M2 TD amort'!G29)</f>
        <v>-193716.84</v>
      </c>
      <c r="T59" s="22">
        <f>IF(T58="","",-'M2 TD amort'!H29)</f>
        <v>-222624.92</v>
      </c>
      <c r="U59" s="22">
        <f>IF(U58="","",-'M2 TD amort'!I29)</f>
        <v>-218073.95</v>
      </c>
      <c r="V59" s="22">
        <f>IF(V58="","",-'M2 TD amort'!J29)</f>
        <v>-230059.35</v>
      </c>
      <c r="W59" s="22">
        <f>IF(W58="","",-'M2 TD amort'!K29)</f>
        <v>-221358.47</v>
      </c>
      <c r="X59" s="22">
        <f>IF(X58="","",-'M2 TD amort'!L29)</f>
        <v>-216663.84</v>
      </c>
      <c r="Y59" s="22">
        <f>IF(Y58="","",-'M2 TD amort'!M29)</f>
        <v>-195061.62</v>
      </c>
      <c r="Z59" s="22">
        <f>IF(Z58="","",-'M2 TD amort'!N29)</f>
        <v>-204414.35</v>
      </c>
      <c r="AA59" s="22">
        <f>IF(AA58="","",-'M2 TD amort'!O29)</f>
        <v>-225860.94</v>
      </c>
      <c r="AB59" s="22">
        <f>IF(AB58="","",-'M2 TD amort'!P29)</f>
        <v>2910.27</v>
      </c>
      <c r="AC59" s="22">
        <f>IF(AC58="","",-'M2 TD amort'!Q29)</f>
        <v>2901.71</v>
      </c>
      <c r="AD59" s="22">
        <f>IF(AD58="","",-'M2 TD amort'!R29)</f>
        <v>2678.69</v>
      </c>
      <c r="AE59" s="22">
        <f>IF(AE58="","",-'M2 TD amort'!S29)</f>
        <v>3084.99</v>
      </c>
      <c r="AF59" s="22">
        <f>IF(AF58="","",-'M2 TD amort'!T29)</f>
        <v>3345.54</v>
      </c>
      <c r="AG59" s="22">
        <f>IF(AG58="","",-'M2 TD amort'!U29)</f>
        <v>3464.54</v>
      </c>
      <c r="AH59" s="22">
        <f>IF(AH58="","",-'M2 TD amort'!V29)</f>
        <v>3405.5</v>
      </c>
      <c r="AI59" s="22">
        <f>IF(AI58="","",-'M2 TD amort'!W29)</f>
        <v>3314.25</v>
      </c>
      <c r="AJ59" s="22">
        <f>IF(AJ58="","",-'M2 TD amort'!X29)</f>
        <v>3107.88</v>
      </c>
      <c r="AK59" s="22">
        <f>IF(AK58="","",-'M2 TD amort'!Y29)</f>
        <v>2892.34</v>
      </c>
      <c r="AL59" s="22">
        <f>IF(AL58="","",-'M2 TD amort'!Z29)</f>
        <v>3110.11</v>
      </c>
      <c r="AM59" s="22">
        <f>IF(AM58="","",-'M2 TD amort'!AA29)</f>
        <v>2854.53</v>
      </c>
      <c r="AN59" s="22">
        <f>IF(AN58="","",-'M2 TD amort'!AB29)</f>
        <v>44923.25</v>
      </c>
      <c r="AO59" s="22">
        <f>IF(AO58="","",-'M2 TD amort'!AC29)</f>
        <v>44472.76</v>
      </c>
      <c r="AP59" s="22">
        <f>IF(AP58="","",-'M2 TD amort'!AD29)</f>
        <v>42630.31</v>
      </c>
      <c r="AQ59" s="22">
        <f>IF(AQ58="","",-'M2 TD amort'!AE29)</f>
        <v>42527.18</v>
      </c>
      <c r="AR59" s="22">
        <f>IF(AR58="","",-'M2 TD amort'!AF29)</f>
        <v>49414.85</v>
      </c>
      <c r="AS59" s="22">
        <f>IF(AS58="","",-'M2 TD amort'!AG29)</f>
        <v>49660.75</v>
      </c>
      <c r="AT59" s="22">
        <f>IF(AT58="","",-'M2 TD amort'!AH29)</f>
        <v>52133.62</v>
      </c>
      <c r="AU59" s="22">
        <f>IF(AU58="","",-'M2 TD amort'!AI29)</f>
        <v>51817.96</v>
      </c>
      <c r="AV59" s="22">
        <f>IF(AV58="","",-'M2 TD amort'!AJ29)</f>
        <v>48015.69</v>
      </c>
      <c r="AW59" s="22">
        <f>IF(AW58="","",-'M2 TD amort'!AK29)</f>
        <v>44402.83</v>
      </c>
      <c r="AX59" s="22">
        <f>IF(AX58="","",-'M2 TD amort'!AL29)</f>
        <v>44707.199999999997</v>
      </c>
      <c r="AY59" s="22">
        <f>IF(AY58="","",-'M2 TD amort'!AM29)</f>
        <v>45991.89</v>
      </c>
      <c r="AZ59" s="22">
        <f>IF(AZ58="","",-'M2 TD amort'!AN29)</f>
        <v>-82846.45</v>
      </c>
      <c r="BA59" s="22">
        <f>IF(BA58="","",-'M2 TD amort'!AO29)</f>
        <v>-34821.199999999997</v>
      </c>
      <c r="BB59" s="22">
        <f>IF(BB58="","",-'M2 TD amort'!AP29)</f>
        <v>-33556.67</v>
      </c>
      <c r="BC59" s="22">
        <f>IF(BC58="","",-'M2 TD amort'!AQ29)</f>
        <v>-31590.7</v>
      </c>
      <c r="BD59" s="22">
        <f>IF(BD58="","",-'M2 TD amort'!AR29)</f>
        <v>-36791.480000000003</v>
      </c>
      <c r="BE59" s="22">
        <f>IF(BE58="","",-'M2 TD amort'!AS29)</f>
        <v>-38724.1</v>
      </c>
      <c r="BF59" s="22">
        <f>IF(BF58="","",-'M2 TD amort'!AT29)</f>
        <v>-40589.17</v>
      </c>
      <c r="BG59" s="22">
        <f>IF(BG58="","",-'M2 TD amort'!AU29)</f>
        <v>-40599.53</v>
      </c>
      <c r="BH59" s="22">
        <f>IF(BH58="","",-'M2 TD amort'!AV29)</f>
        <v>-36087.699999999997</v>
      </c>
      <c r="BI59" s="22">
        <f>IF(BI58="","",-'M2 TD amort'!AW29)</f>
        <v>-35832.050000000003</v>
      </c>
      <c r="BJ59" s="22">
        <f>IF(BJ58="","",-'M2 TD amort'!AX29)</f>
        <v>-37492.33</v>
      </c>
      <c r="BK59" s="22">
        <f>IF(BK58="","",-'M2 TD amort'!AY29)</f>
        <v>-36812.410000000003</v>
      </c>
      <c r="BL59" s="22">
        <f>IF(BL58="","",-'M2 TD amort'!AZ29)</f>
        <v>-123157.44</v>
      </c>
      <c r="BM59" s="22">
        <f>IF(BM58="","",-'M2 TD amort'!BA29)</f>
        <v>40007.54</v>
      </c>
      <c r="BN59" s="22">
        <f>IF(BN58="","",-'M2 TD amort'!BB29)</f>
        <v>42694.89</v>
      </c>
      <c r="BO59" s="22">
        <f>IF(BO58="","",-'M2 TD amort'!BC29)</f>
        <v>45615.15</v>
      </c>
      <c r="BP59" s="22">
        <f>IF(BP58="","",-'M2 TD amort'!BD29)</f>
        <v>41162.83</v>
      </c>
      <c r="BQ59" s="22">
        <f>IF(BQ58="","",-'M2 TD amort'!BE29)</f>
        <v>56959.49</v>
      </c>
      <c r="BR59" s="22">
        <f>IF(BR58="","",-'M2 TD amort'!BF29)</f>
        <v>52295.71</v>
      </c>
      <c r="BS59" s="22">
        <f>IF(BS58="","",-'M2 TD amort'!BG29)</f>
        <v>52959.66</v>
      </c>
      <c r="BT59" s="22">
        <f>IF(BT58="","",-'M2 TD amort'!BH29)</f>
        <v>45730.01</v>
      </c>
      <c r="BU59" s="22">
        <f>IF(BU58="","",-'M2 TD amort'!BI29)</f>
        <v>39890.089999999997</v>
      </c>
      <c r="BV59" s="22">
        <f>IF(BV58="","",-'M2 TD amort'!BJ29)</f>
        <v>52432.800000000003</v>
      </c>
      <c r="BW59" s="22">
        <f>IF(BW58="","",-'M2 TD amort'!BK29)</f>
        <v>50635.33</v>
      </c>
      <c r="BX59" s="22">
        <f>IF(BX58="","",-'M2 TD amort'!BL29)</f>
        <v>23630.6</v>
      </c>
      <c r="BY59" s="22">
        <f>IF(BY58="","",-'M2 TD amort'!BM29)</f>
        <v>10235.24</v>
      </c>
      <c r="BZ59" s="22">
        <f>IF(BZ58="","",-'M2 TD amort'!BN29)</f>
        <v>10302.52</v>
      </c>
      <c r="CA59" s="22">
        <f>IF(CA58="","",-'M2 TD amort'!BO29)</f>
        <v>10077.35</v>
      </c>
      <c r="CB59" s="22">
        <f>IF(CB58="","",-'M2 TD amort'!BP29)</f>
        <v>11463.99</v>
      </c>
      <c r="CC59" s="22">
        <f>IF(CC58="","",-'M2 TD amort'!BQ29)</f>
        <v>11928.19</v>
      </c>
      <c r="CD59" s="22">
        <f>IF(CD58="","",-'M2 TD amort'!BR29)</f>
        <v>11832.42</v>
      </c>
      <c r="CE59" s="22">
        <f>IF(CE58="","",-'M2 TD amort'!BS29)</f>
        <v>11526.06</v>
      </c>
      <c r="CF59" s="22">
        <f>IF(CF58="","",-'M2 TD amort'!BT29)</f>
        <v>10219.18</v>
      </c>
      <c r="CG59" s="22">
        <f>IF(CG58="","",-'M2 TD amort'!BU29)</f>
        <v>9949.7800000000007</v>
      </c>
      <c r="CH59" s="22">
        <f>IF(CH58="","",-'M2 TD amort'!BV29)</f>
        <v>10368.879999999999</v>
      </c>
      <c r="CI59" s="22">
        <f>IF(CI58="","",-'M2 TD amort'!BW29)</f>
        <v>10771.2</v>
      </c>
    </row>
    <row r="60" spans="1:87" s="5" customFormat="1" ht="15" hidden="1" customHeight="1" outlineLevel="1" x14ac:dyDescent="0.35">
      <c r="A60" s="274"/>
      <c r="B60" s="18" t="s">
        <v>52</v>
      </c>
      <c r="C60" s="26"/>
      <c r="D60" s="26"/>
      <c r="E60" s="9"/>
      <c r="F60" s="9"/>
      <c r="G60" s="9"/>
      <c r="H60" s="9"/>
      <c r="I60" s="9"/>
      <c r="J60" s="9"/>
      <c r="K60" s="9"/>
      <c r="L60" s="9"/>
      <c r="M60" s="9"/>
      <c r="N60" s="9"/>
      <c r="O60" s="9">
        <f>IF(OR(O59="",O58=""),"",O58+O59)</f>
        <v>31958.9</v>
      </c>
      <c r="P60" s="9">
        <f t="shared" ref="P60" si="584">IF(OR(P59="",P58=""),"",P58+P59)</f>
        <v>109985.11000000004</v>
      </c>
      <c r="Q60" s="9">
        <f t="shared" ref="Q60" si="585">IF(OR(Q59="",Q58=""),"",Q58+Q59)</f>
        <v>89464.790000000008</v>
      </c>
      <c r="R60" s="9">
        <f t="shared" ref="R60" si="586">IF(OR(R59="",R58=""),"",R58+R59)</f>
        <v>91906.678866303904</v>
      </c>
      <c r="S60" s="9">
        <f t="shared" ref="S60" si="587">IF(OR(S59="",S58=""),"",S58+S59)</f>
        <v>93743.973278167687</v>
      </c>
      <c r="T60" s="9">
        <f t="shared" ref="T60" si="588">IF(OR(T59="",T58=""),"",T58+T59)</f>
        <v>107784.85575572422</v>
      </c>
      <c r="U60" s="9">
        <f t="shared" ref="U60" si="589">IF(OR(U59="",U58=""),"",U58+U59)</f>
        <v>105127.4252599366</v>
      </c>
      <c r="V60" s="9">
        <f t="shared" ref="V60" si="590">IF(OR(V59="",V58=""),"",V58+V59)</f>
        <v>110884.85704658218</v>
      </c>
      <c r="W60" s="9">
        <f t="shared" ref="W60" si="591">IF(OR(W59="",W58=""),"",W58+W59)</f>
        <v>106930.61781066153</v>
      </c>
      <c r="X60" s="9">
        <f t="shared" ref="X60" si="592">IF(OR(X59="",X58=""),"",X58+X59)</f>
        <v>104789.06171375726</v>
      </c>
      <c r="Y60" s="9">
        <f t="shared" ref="Y60" si="593">IF(OR(Y59="",Y58=""),"",Y58+Y59)</f>
        <v>93717.035875590867</v>
      </c>
      <c r="Z60" s="9">
        <f t="shared" ref="Z60" si="594">IF(OR(Z59="",Z58=""),"",Z58+Z59)</f>
        <v>97336.961936121836</v>
      </c>
      <c r="AA60" s="9">
        <f t="shared" ref="AA60" si="595">IF(OR(AA59="",AA58=""),"",AA58+AA59)</f>
        <v>106438.59125242464</v>
      </c>
      <c r="AB60" s="9">
        <f t="shared" ref="AB60" si="596">IF(OR(AB59="",AB58=""),"",AB58+AB59)</f>
        <v>305339.22000000003</v>
      </c>
      <c r="AC60" s="9">
        <f t="shared" ref="AC60" si="597">IF(OR(AC59="",AC58=""),"",AC58+AC59)</f>
        <v>304845.31981245003</v>
      </c>
      <c r="AD60" s="9">
        <f t="shared" ref="AD60" si="598">IF(OR(AD59="",AD58=""),"",AD58+AD59)</f>
        <v>281378.3957611302</v>
      </c>
      <c r="AE60" s="9">
        <f t="shared" ref="AE60" si="599">IF(OR(AE59="",AE58=""),"",AE58+AE59)</f>
        <v>325455.87601313851</v>
      </c>
      <c r="AF60" s="9">
        <f t="shared" ref="AF60" si="600">IF(OR(AF59="",AF58=""),"",AF58+AF59)</f>
        <v>353096.56773569045</v>
      </c>
      <c r="AG60" s="9">
        <f t="shared" ref="AG60" si="601">IF(OR(AG59="",AG58=""),"",AG58+AG59)</f>
        <v>365440.51928185287</v>
      </c>
      <c r="AH60" s="9">
        <f t="shared" ref="AH60" si="602">IF(OR(AH59="",AH58=""),"",AH58+AH59)</f>
        <v>359438.15352996916</v>
      </c>
      <c r="AI60" s="9">
        <f t="shared" ref="AI60" si="603">IF(OR(AI59="",AI58=""),"",AI58+AI59)</f>
        <v>349918.85421828728</v>
      </c>
      <c r="AJ60" s="9">
        <f t="shared" ref="AJ60" si="604">IF(OR(AJ59="",AJ58=""),"",AJ58+AJ59)</f>
        <v>328064.67952393915</v>
      </c>
      <c r="AK60" s="9">
        <f t="shared" ref="AK60" si="605">IF(OR(AK59="",AK58=""),"",AK58+AK59)</f>
        <v>304477.1945962414</v>
      </c>
      <c r="AL60" s="9">
        <f t="shared" ref="AL60" si="606">IF(OR(AL59="",AL58=""),"",AL58+AL59)</f>
        <v>326512.69582200819</v>
      </c>
      <c r="AM60" s="9">
        <f t="shared" ref="AM60:BJ60" si="607">IF(OR(AM59="",AM58=""),"",AM58+AM59)</f>
        <v>299599.93272335315</v>
      </c>
      <c r="AN60" s="9">
        <f t="shared" si="607"/>
        <v>400590.93860749144</v>
      </c>
      <c r="AO60" s="9">
        <f t="shared" si="607"/>
        <v>396775.15917248995</v>
      </c>
      <c r="AP60" s="9">
        <f t="shared" si="607"/>
        <v>381242.75673821039</v>
      </c>
      <c r="AQ60" s="9">
        <f t="shared" si="607"/>
        <v>381134.82249172055</v>
      </c>
      <c r="AR60" s="9">
        <f t="shared" si="607"/>
        <v>443043.55516997527</v>
      </c>
      <c r="AS60" s="9">
        <f t="shared" si="607"/>
        <v>445012.043050832</v>
      </c>
      <c r="AT60" s="9">
        <f t="shared" si="607"/>
        <v>467088.46898465289</v>
      </c>
      <c r="AU60" s="9">
        <f t="shared" si="607"/>
        <v>464484.23260449339</v>
      </c>
      <c r="AV60" s="9">
        <f t="shared" si="607"/>
        <v>430515.52186560835</v>
      </c>
      <c r="AW60" s="9">
        <f t="shared" si="607"/>
        <v>397371.84405759111</v>
      </c>
      <c r="AX60" s="9">
        <f t="shared" si="607"/>
        <v>399456.27044000482</v>
      </c>
      <c r="AY60" s="9">
        <f t="shared" si="607"/>
        <v>410792.75761435716</v>
      </c>
      <c r="AZ60" s="9">
        <f t="shared" si="607"/>
        <v>207700.89153219212</v>
      </c>
      <c r="BA60" s="9">
        <f t="shared" si="607"/>
        <v>88195.469555811127</v>
      </c>
      <c r="BB60" s="9">
        <f t="shared" si="607"/>
        <v>85062.295877137381</v>
      </c>
      <c r="BC60" s="9">
        <f t="shared" si="607"/>
        <v>80115.000221321927</v>
      </c>
      <c r="BD60" s="9">
        <f t="shared" si="607"/>
        <v>93334.230919688125</v>
      </c>
      <c r="BE60" s="9">
        <f t="shared" si="607"/>
        <v>98226.765797516709</v>
      </c>
      <c r="BF60" s="9">
        <f t="shared" si="607"/>
        <v>102977.26039610709</v>
      </c>
      <c r="BG60" s="9">
        <f t="shared" si="607"/>
        <v>103026.25644107448</v>
      </c>
      <c r="BH60" s="9">
        <f t="shared" si="607"/>
        <v>91574.619968242929</v>
      </c>
      <c r="BI60" s="9">
        <f t="shared" si="607"/>
        <v>90876.630550257221</v>
      </c>
      <c r="BJ60" s="9">
        <f t="shared" si="607"/>
        <v>95026.6310920955</v>
      </c>
      <c r="BK60" s="9">
        <f t="shared" ref="BK60:BL60" si="608">IF(OR(BK59="",BK58=""),"",BK58+BK59)</f>
        <v>93243.657166200122</v>
      </c>
      <c r="BL60" s="9">
        <f t="shared" si="608"/>
        <v>-49688.103753308431</v>
      </c>
      <c r="BM60" s="9">
        <f t="shared" ref="BM60:BN60" si="609">IF(OR(BM59="",BM58=""),"",BM58+BM59)</f>
        <v>17394.880823458079</v>
      </c>
      <c r="BN60" s="9">
        <f t="shared" si="609"/>
        <v>18278.984083324867</v>
      </c>
      <c r="BO60" s="9">
        <f t="shared" ref="BO60:BP60" si="610">IF(OR(BO59="",BO58=""),"",BO58+BO59)</f>
        <v>19388.013522129742</v>
      </c>
      <c r="BP60" s="9">
        <f t="shared" si="610"/>
        <v>17526.136958005343</v>
      </c>
      <c r="BQ60" s="9">
        <f t="shared" ref="BQ60:BR60" si="611">IF(OR(BQ59="",BQ58=""),"",BQ58+BQ59)</f>
        <v>24250.423939105356</v>
      </c>
      <c r="BR60" s="9">
        <f t="shared" si="611"/>
        <v>22287.755986981847</v>
      </c>
      <c r="BS60" s="9">
        <f t="shared" ref="BS60:BT60" si="612">IF(OR(BS59="",BS58=""),"",BS58+BS59)</f>
        <v>22561.103740703747</v>
      </c>
      <c r="BT60" s="9">
        <f t="shared" si="612"/>
        <v>19394.898637179147</v>
      </c>
      <c r="BU60" s="9">
        <f t="shared" ref="BU60:BV60" si="613">IF(OR(BU59="",BU58=""),"",BU58+BU59)</f>
        <v>17061.200369190788</v>
      </c>
      <c r="BV60" s="9">
        <f t="shared" si="613"/>
        <v>22508.657485458156</v>
      </c>
      <c r="BW60" s="9">
        <f t="shared" ref="BW60:BX60" si="614">IF(OR(BW59="",BW58=""),"",BW58+BW59)</f>
        <v>21787.247413726123</v>
      </c>
      <c r="BX60" s="9">
        <f t="shared" si="614"/>
        <v>2693.8519677826334</v>
      </c>
      <c r="BY60" s="9">
        <f t="shared" ref="BY60:BZ60" si="615">IF(OR(BY59="",BY58=""),"",BY58+BY59)</f>
        <v>871.88167951755531</v>
      </c>
      <c r="BZ60" s="9">
        <f t="shared" si="615"/>
        <v>865.51488587585118</v>
      </c>
      <c r="CA60" s="9">
        <f t="shared" ref="CA60:CB60" si="616">IF(OR(CA59="",CA58=""),"",CA58+CA59)</f>
        <v>842.44088802678743</v>
      </c>
      <c r="CB60" s="9">
        <f t="shared" si="616"/>
        <v>957.02449777380571</v>
      </c>
      <c r="CC60" s="9">
        <f t="shared" ref="CC60:CD60" si="617">IF(OR(CC59="",CC58=""),"",CC58+CC59)</f>
        <v>1000.105648225297</v>
      </c>
      <c r="CD60" s="9">
        <f t="shared" si="617"/>
        <v>994.22699544894931</v>
      </c>
      <c r="CE60" s="9">
        <f t="shared" ref="CE60:CF60" si="618">IF(OR(CE59="",CE58=""),"",CE58+CE59)</f>
        <v>966.1665579978926</v>
      </c>
      <c r="CF60" s="9">
        <f t="shared" si="618"/>
        <v>856.32464942198021</v>
      </c>
      <c r="CG60" s="9">
        <f t="shared" ref="CG60:CH60" si="619">IF(OR(CG59="",CG58=""),"",CG58+CG59)</f>
        <v>846.75512043813796</v>
      </c>
      <c r="CH60" s="9">
        <f t="shared" si="619"/>
        <v>889.39908213877607</v>
      </c>
      <c r="CI60" s="9">
        <f t="shared" ref="CI60" si="620">IF(OR(CI59="",CI58=""),"",CI58+CI59)</f>
        <v>927.14982807685737</v>
      </c>
    </row>
    <row r="61" spans="1:87" s="5" customFormat="1" hidden="1" outlineLevel="1" x14ac:dyDescent="0.35">
      <c r="A61" s="274"/>
      <c r="B61" s="18" t="s">
        <v>13</v>
      </c>
      <c r="C61" s="26"/>
      <c r="D61" s="26"/>
      <c r="E61" s="9">
        <f t="shared" ref="E61:N61" si="621">IF(OR(E58="",E57=""),"",E57-E58)</f>
        <v>0</v>
      </c>
      <c r="F61" s="9">
        <f t="shared" si="621"/>
        <v>0</v>
      </c>
      <c r="G61" s="9">
        <f t="shared" si="621"/>
        <v>-1621.85</v>
      </c>
      <c r="H61" s="9">
        <f t="shared" si="621"/>
        <v>-14886.83</v>
      </c>
      <c r="I61" s="9">
        <f t="shared" si="621"/>
        <v>-17626.32</v>
      </c>
      <c r="J61" s="9">
        <f t="shared" si="621"/>
        <v>-16627.989274539053</v>
      </c>
      <c r="K61" s="9">
        <f t="shared" si="621"/>
        <v>-15673.941858251583</v>
      </c>
      <c r="L61" s="9">
        <f t="shared" si="621"/>
        <v>-12991.857554211925</v>
      </c>
      <c r="M61" s="9">
        <f t="shared" si="621"/>
        <v>-9215.8170176639032</v>
      </c>
      <c r="N61" s="9">
        <f t="shared" si="621"/>
        <v>1372.297784318449</v>
      </c>
      <c r="O61" s="9">
        <f>IF(OR(O60="",O57=""),"",O57-O60)</f>
        <v>-3995.0892387392923</v>
      </c>
      <c r="P61" s="9">
        <f t="shared" ref="P61:AM61" si="622">IF(OR(P60="",P57=""),"",P57-P60)</f>
        <v>-85529.050047350116</v>
      </c>
      <c r="Q61" s="9">
        <f t="shared" si="622"/>
        <v>-59849.479327312241</v>
      </c>
      <c r="R61" s="9">
        <f t="shared" si="622"/>
        <v>-79740.242176648651</v>
      </c>
      <c r="S61" s="9">
        <f t="shared" si="622"/>
        <v>-65635.888917682387</v>
      </c>
      <c r="T61" s="9">
        <f t="shared" si="622"/>
        <v>20363.295659226904</v>
      </c>
      <c r="U61" s="9">
        <f t="shared" si="622"/>
        <v>70562.31474006339</v>
      </c>
      <c r="V61" s="9">
        <f t="shared" si="622"/>
        <v>107517.67105437367</v>
      </c>
      <c r="W61" s="9">
        <f t="shared" si="622"/>
        <v>98137.280689125095</v>
      </c>
      <c r="X61" s="9">
        <f t="shared" si="622"/>
        <v>-3601.9787410198333</v>
      </c>
      <c r="Y61" s="9">
        <f t="shared" si="622"/>
        <v>4056.4021304298512</v>
      </c>
      <c r="Z61" s="9">
        <f t="shared" si="622"/>
        <v>16409.141162858054</v>
      </c>
      <c r="AA61" s="9">
        <f t="shared" si="622"/>
        <v>25357.436760066455</v>
      </c>
      <c r="AB61" s="9">
        <f t="shared" si="622"/>
        <v>-189248.83839752211</v>
      </c>
      <c r="AC61" s="9">
        <f t="shared" si="622"/>
        <v>-172777.1548367475</v>
      </c>
      <c r="AD61" s="9">
        <f t="shared" si="622"/>
        <v>-148057.30898659962</v>
      </c>
      <c r="AE61" s="9">
        <f t="shared" si="622"/>
        <v>-145351.0580987274</v>
      </c>
      <c r="AF61" s="9">
        <f t="shared" si="622"/>
        <v>69895.046517746523</v>
      </c>
      <c r="AG61" s="9">
        <f t="shared" si="622"/>
        <v>178169.34145182674</v>
      </c>
      <c r="AH61" s="9">
        <f t="shared" si="622"/>
        <v>126824.85779464053</v>
      </c>
      <c r="AI61" s="9">
        <f t="shared" si="622"/>
        <v>64188.591347931884</v>
      </c>
      <c r="AJ61" s="9">
        <f t="shared" si="622"/>
        <v>-120856.32529398013</v>
      </c>
      <c r="AK61" s="9">
        <f t="shared" si="622"/>
        <v>-113170.01032792343</v>
      </c>
      <c r="AL61" s="9">
        <f t="shared" si="622"/>
        <v>-102687.39949390403</v>
      </c>
      <c r="AM61" s="9">
        <f t="shared" si="622"/>
        <v>-47885.071968987613</v>
      </c>
      <c r="AN61" s="9">
        <f t="shared" ref="AN61:BJ61" si="623">IF(OR(AN60="",AN57=""),"",AN57-AN60)</f>
        <v>-179748.9419202162</v>
      </c>
      <c r="AO61" s="9">
        <f t="shared" si="623"/>
        <v>-91124.046517600538</v>
      </c>
      <c r="AP61" s="9">
        <f t="shared" si="623"/>
        <v>-96968.51042268303</v>
      </c>
      <c r="AQ61" s="9">
        <f t="shared" si="623"/>
        <v>-86353.019606522634</v>
      </c>
      <c r="AR61" s="9">
        <f t="shared" si="623"/>
        <v>348870.77603206248</v>
      </c>
      <c r="AS61" s="9">
        <f t="shared" si="623"/>
        <v>533332.01012694126</v>
      </c>
      <c r="AT61" s="9">
        <f t="shared" si="623"/>
        <v>407689.19218621496</v>
      </c>
      <c r="AU61" s="9">
        <f t="shared" si="623"/>
        <v>222321.24776520289</v>
      </c>
      <c r="AV61" s="9">
        <f t="shared" si="623"/>
        <v>-108713.07078627811</v>
      </c>
      <c r="AW61" s="9">
        <f t="shared" si="623"/>
        <v>-117342.95254721923</v>
      </c>
      <c r="AX61" s="9">
        <f t="shared" si="623"/>
        <v>-125312.05311878608</v>
      </c>
      <c r="AY61" s="9">
        <f t="shared" si="623"/>
        <v>-107081.63849277463</v>
      </c>
      <c r="AZ61" s="9">
        <f t="shared" si="623"/>
        <v>44297.57457991477</v>
      </c>
      <c r="BA61" s="9">
        <f t="shared" si="623"/>
        <v>187873.88701831875</v>
      </c>
      <c r="BB61" s="9">
        <f t="shared" si="623"/>
        <v>-85062.295877137381</v>
      </c>
      <c r="BC61" s="9">
        <f t="shared" si="623"/>
        <v>-80430.012404924288</v>
      </c>
      <c r="BD61" s="9">
        <f t="shared" si="623"/>
        <v>-93334.230919688125</v>
      </c>
      <c r="BE61" s="9">
        <f t="shared" si="623"/>
        <v>-98226.765797516709</v>
      </c>
      <c r="BF61" s="9">
        <f t="shared" si="623"/>
        <v>-86163.680396107011</v>
      </c>
      <c r="BG61" s="9">
        <f t="shared" si="623"/>
        <v>-83638.856441074109</v>
      </c>
      <c r="BH61" s="9">
        <f t="shared" si="623"/>
        <v>-84789.549968242631</v>
      </c>
      <c r="BI61" s="9">
        <f t="shared" si="623"/>
        <v>-84709.400550258637</v>
      </c>
      <c r="BJ61" s="9">
        <f t="shared" si="623"/>
        <v>-85439.641092095277</v>
      </c>
      <c r="BK61" s="9">
        <f t="shared" ref="BK61:BL61" si="624">IF(OR(BK60="",BK57=""),"",BK57-BK60)</f>
        <v>-80746.077166200048</v>
      </c>
      <c r="BL61" s="9">
        <f t="shared" si="624"/>
        <v>59731.413753308952</v>
      </c>
      <c r="BM61" s="9">
        <f t="shared" ref="BM61:BN61" si="625">IF(OR(BM60="",BM57=""),"",BM57-BM60)</f>
        <v>-6898.8308234573342</v>
      </c>
      <c r="BN61" s="9">
        <f t="shared" si="625"/>
        <v>-8503.0240833258358</v>
      </c>
      <c r="BO61" s="9">
        <f t="shared" ref="BO61:BP61" si="626">IF(OR(BO60="",BO57=""),"",BO57-BO60)</f>
        <v>-5860.3635221293698</v>
      </c>
      <c r="BP61" s="9">
        <f t="shared" si="626"/>
        <v>18968.713041994284</v>
      </c>
      <c r="BQ61" s="9">
        <f t="shared" ref="BQ61:BR61" si="627">IF(OR(BQ60="",BQ57=""),"",BQ57-BQ60)</f>
        <v>23429.546060895314</v>
      </c>
      <c r="BR61" s="9">
        <f t="shared" si="627"/>
        <v>23000.684013017632</v>
      </c>
      <c r="BS61" s="9">
        <f t="shared" ref="BS61:BT61" si="628">IF(OR(BS60="",BS57=""),"",BS57-BS60)</f>
        <v>6925.2962592966251</v>
      </c>
      <c r="BT61" s="9">
        <f t="shared" si="628"/>
        <v>-7561.6086371800411</v>
      </c>
      <c r="BU61" s="9">
        <f t="shared" ref="BU61:BV61" si="629">IF(OR(BU60="",BU57=""),"",BU57-BU60)</f>
        <v>-6686.620369190714</v>
      </c>
      <c r="BV61" s="9">
        <f t="shared" si="629"/>
        <v>-10451.207485457038</v>
      </c>
      <c r="BW61" s="9">
        <f t="shared" ref="BW61:BX61" si="630">IF(OR(BW60="",BW57=""),"",BW57-BW60)</f>
        <v>-8962.4574137270174</v>
      </c>
      <c r="BX61" s="9">
        <f t="shared" si="630"/>
        <v>7636.3280322170685</v>
      </c>
      <c r="BY61" s="9">
        <f t="shared" ref="BY61:BZ61" si="631">IF(OR(BY60="",BY57=""),"",BY57-BY60)</f>
        <v>-871.88167951755531</v>
      </c>
      <c r="BZ61" s="9">
        <f t="shared" si="631"/>
        <v>-865.51488587585118</v>
      </c>
      <c r="CA61" s="9">
        <f t="shared" ref="CA61:CB61" si="632">IF(OR(CA60="",CA57=""),"",CA57-CA60)</f>
        <v>-842.44088802678743</v>
      </c>
      <c r="CB61" s="9">
        <f t="shared" si="632"/>
        <v>-957.02449777380571</v>
      </c>
      <c r="CC61" s="9">
        <f t="shared" ref="CC61:CD61" si="633">IF(OR(CC60="",CC57=""),"",CC57-CC60)</f>
        <v>-1000.105648225297</v>
      </c>
      <c r="CD61" s="9">
        <f t="shared" si="633"/>
        <v>-994.22699544894931</v>
      </c>
      <c r="CE61" s="9">
        <f t="shared" ref="CE61" si="634">IF(OR(CE60="",CE57=""),"",CE57-CE60)</f>
        <v>-966.1665579978926</v>
      </c>
      <c r="CF61" s="141">
        <f>IF(OR(CF60="",CF57=""),"",CF57-CF60)+CF56</f>
        <v>-2079.2156922617341</v>
      </c>
      <c r="CG61" s="9">
        <f>IF(OR(CG60="",CG57=""),"",CG57-CG60)</f>
        <v>-846.75512043813796</v>
      </c>
      <c r="CH61" s="9">
        <f>IF(OR(CH60="",CH57=""),"",CH57-CH60)</f>
        <v>-889.39908213877607</v>
      </c>
      <c r="CI61" s="9">
        <f>IF(OR(CI60="",CI57=""),"",CI57-CI60)</f>
        <v>-927.14982807685737</v>
      </c>
    </row>
    <row r="62" spans="1:87" s="5" customFormat="1" hidden="1" outlineLevel="1" x14ac:dyDescent="0.35">
      <c r="A62" s="274"/>
      <c r="B62" s="19" t="s">
        <v>8</v>
      </c>
      <c r="C62" s="30"/>
      <c r="D62" s="30"/>
      <c r="E62" s="9">
        <f t="shared" ref="E62:N62" si="635">IF(OR(E9="",E61=""),"",(E61+D64)*E9/12)</f>
        <v>0</v>
      </c>
      <c r="F62" s="9">
        <f t="shared" si="635"/>
        <v>0</v>
      </c>
      <c r="G62" s="9">
        <f t="shared" si="635"/>
        <v>-1.0214870824166666</v>
      </c>
      <c r="H62" s="9">
        <f t="shared" si="635"/>
        <v>-8.6169910456603613</v>
      </c>
      <c r="I62" s="9">
        <f t="shared" si="635"/>
        <v>-17.898704851830932</v>
      </c>
      <c r="J62" s="9">
        <f t="shared" si="635"/>
        <v>-32.360591376266207</v>
      </c>
      <c r="K62" s="9">
        <f t="shared" si="635"/>
        <v>-41.863062319361589</v>
      </c>
      <c r="L62" s="9">
        <f t="shared" si="635"/>
        <v>-50.380614859511986</v>
      </c>
      <c r="M62" s="9">
        <f t="shared" si="635"/>
        <v>-56.544658629729668</v>
      </c>
      <c r="N62" s="9">
        <f t="shared" si="635"/>
        <v>-70.145468650112946</v>
      </c>
      <c r="O62" s="10">
        <f>IF(OR(O9="",O61=""),"",(O59+O61+N64)*O9/12)</f>
        <v>-68.659671553426648</v>
      </c>
      <c r="P62" s="10">
        <f>IF(OR(P9="",P61=""),"",(P59+P61+O64+P56)*P9/12)</f>
        <v>1561.3846099194352</v>
      </c>
      <c r="Q62" s="10">
        <f t="shared" ref="Q62:AM62" si="636">IF(OR(Q9="",Q61=""),"",(Q59+Q61+P64)*Q9/12)</f>
        <v>1768.9370359317772</v>
      </c>
      <c r="R62" s="10">
        <f t="shared" si="636"/>
        <v>1510.9527105885902</v>
      </c>
      <c r="S62" s="10">
        <f t="shared" si="636"/>
        <v>1263.8543417234587</v>
      </c>
      <c r="T62" s="10">
        <f t="shared" si="636"/>
        <v>1313.422943581618</v>
      </c>
      <c r="U62" s="10">
        <f t="shared" si="636"/>
        <v>1126.9444648186989</v>
      </c>
      <c r="V62" s="10">
        <f t="shared" si="636"/>
        <v>1039.3449333693247</v>
      </c>
      <c r="W62" s="10">
        <f t="shared" si="636"/>
        <v>878.63521906613676</v>
      </c>
      <c r="X62" s="10">
        <f t="shared" si="636"/>
        <v>614.94008164987667</v>
      </c>
      <c r="Y62" s="10">
        <f t="shared" si="636"/>
        <v>382.64222876256804</v>
      </c>
      <c r="Z62" s="10">
        <f t="shared" si="636"/>
        <v>193.0380276384773</v>
      </c>
      <c r="AA62" s="10">
        <f t="shared" si="636"/>
        <v>-99.633226637268919</v>
      </c>
      <c r="AB62" s="10">
        <f t="shared" si="636"/>
        <v>-390.08897562934322</v>
      </c>
      <c r="AC62" s="10">
        <f t="shared" si="636"/>
        <v>-729.83934564236961</v>
      </c>
      <c r="AD62" s="10">
        <f t="shared" si="636"/>
        <v>-1102.6537336880972</v>
      </c>
      <c r="AE62" s="10">
        <f t="shared" si="636"/>
        <v>-1311.7267766505211</v>
      </c>
      <c r="AF62" s="10">
        <f t="shared" si="636"/>
        <v>-1223.2705227865461</v>
      </c>
      <c r="AG62" s="10">
        <f t="shared" si="636"/>
        <v>-906.67220407541834</v>
      </c>
      <c r="AH62" s="10">
        <f t="shared" si="636"/>
        <v>-647.66826565641497</v>
      </c>
      <c r="AI62" s="10">
        <f t="shared" si="636"/>
        <v>-518.89488802267783</v>
      </c>
      <c r="AJ62" s="10">
        <f t="shared" si="636"/>
        <v>-789.70697234607553</v>
      </c>
      <c r="AK62" s="10">
        <f t="shared" si="636"/>
        <v>-1046.0066441138708</v>
      </c>
      <c r="AL62" s="10">
        <f t="shared" si="636"/>
        <v>-1371.1355953428147</v>
      </c>
      <c r="AM62" s="10">
        <f t="shared" si="636"/>
        <v>-1539.4019706265842</v>
      </c>
      <c r="AN62" s="10">
        <f t="shared" ref="AN62" si="637">IF(OR(AN9="",AN61=""),"",(AN59+AN61+AM64)*AN9/12)</f>
        <v>-1846.457463161405</v>
      </c>
      <c r="AO62" s="10">
        <f t="shared" ref="AO62" si="638">IF(OR(AO9="",AO61=""),"",(AO59+AO61+AN64)*AO9/12)</f>
        <v>-1924.9482482552737</v>
      </c>
      <c r="AP62" s="10">
        <f t="shared" ref="AP62" si="639">IF(OR(AP9="",AP61=""),"",(AP59+AP61+AO64)*AP9/12)</f>
        <v>-1963.0871642764603</v>
      </c>
      <c r="AQ62" s="10">
        <f t="shared" ref="AQ62" si="640">IF(OR(AQ9="",AQ61=""),"",(AQ59+AQ61+AP64)*AQ9/12)</f>
        <v>-2076.373139489348</v>
      </c>
      <c r="AR62" s="10">
        <f t="shared" ref="AR62" si="641">IF(OR(AR9="",AR61=""),"",(AR59+AR61+AQ64)*AR9/12)</f>
        <v>-1180.217154786636</v>
      </c>
      <c r="AS62" s="10">
        <f t="shared" ref="AS62" si="642">IF(OR(AS9="",AS61=""),"",(AS59+AS61+AR64)*AS9/12)</f>
        <v>102.46722782708679</v>
      </c>
      <c r="AT62" s="10">
        <f t="shared" ref="AT62" si="643">IF(OR(AT9="",AT61=""),"",(AT59+AT61+AS64)*AT9/12)</f>
        <v>993.98783182775912</v>
      </c>
      <c r="AU62" s="10">
        <f t="shared" ref="AU62" si="644">IF(OR(AU9="",AU61=""),"",(AU59+AU61+AT64)*AU9/12)</f>
        <v>1445.4815529546793</v>
      </c>
      <c r="AV62" s="10">
        <f t="shared" ref="AV62" si="645">IF(OR(AV9="",AV61=""),"",(AV59+AV61+AU64)*AV9/12)</f>
        <v>1273.9834166317835</v>
      </c>
      <c r="AW62" s="10">
        <f t="shared" ref="AW62" si="646">IF(OR(AW9="",AW61=""),"",(AW59+AW61+AV64)*AW9/12)</f>
        <v>985.97082483108932</v>
      </c>
      <c r="AX62" s="10">
        <f t="shared" ref="AX62" si="647">IF(OR(AX9="",AX61=""),"",(AX59+AX61+AW64)*AX9/12)</f>
        <v>912.76410991014882</v>
      </c>
      <c r="AY62" s="10">
        <f t="shared" ref="AY62" si="648">IF(OR(AY9="",AY61=""),"",(AY59+AY61+AX64)*AY9/12)</f>
        <v>805.58259603109354</v>
      </c>
      <c r="AZ62" s="10">
        <f t="shared" ref="AZ62" si="649">IF(OR(AZ9="",AZ61=""),"",(AZ59+AZ61+AY64)*AZ9/12)</f>
        <v>712.39628492134295</v>
      </c>
      <c r="BA62" s="10">
        <f t="shared" ref="BA62" si="650">IF(OR(BA9="",BA61=""),"",(BA59+BA61+AZ64)*BA9/12)</f>
        <v>987.97353288788543</v>
      </c>
      <c r="BB62" s="10">
        <f t="shared" ref="BB62" si="651">IF(OR(BB9="",BB61=""),"",(BB59+BB61+BA64)*BB9/12)</f>
        <v>398.94047950608865</v>
      </c>
      <c r="BC62" s="10">
        <f t="shared" ref="BC62" si="652">IF(OR(BC9="",BC61=""),"",(BC59+BC61+BB64)*BC9/12)</f>
        <v>42.860964894230854</v>
      </c>
      <c r="BD62" s="10">
        <f t="shared" ref="BD62" si="653">IF(OR(BD9="",BD61=""),"",(BD59+BD61+BC64)*BD9/12)</f>
        <v>28.101228715492724</v>
      </c>
      <c r="BE62" s="10">
        <f t="shared" ref="BE62" si="654">IF(OR(BE9="",BE61=""),"",(BE59+BE61+BD64)*BE9/12)</f>
        <v>21.221278928312437</v>
      </c>
      <c r="BF62" s="10">
        <f t="shared" ref="BF62" si="655">IF(OR(BF9="",BF61=""),"",(BF59+BF61+BE64)*BF9/12)</f>
        <v>0.54206418806911305</v>
      </c>
      <c r="BG62" s="10">
        <f t="shared" ref="BG62" si="656">IF(OR(BG9="",BG61=""),"",(BG59+BG61+BF64)*BG9/12)</f>
        <v>-12.337429143674541</v>
      </c>
      <c r="BH62" s="10">
        <f t="shared" ref="BH62" si="657">IF(OR(BH9="",BH61=""),"",(BH59+BH61+BG64)*BH9/12)</f>
        <v>-40.060832989476701</v>
      </c>
      <c r="BI62" s="10">
        <f t="shared" ref="BI62" si="658">IF(OR(BI9="",BI61=""),"",(BI59+BI61+BH64)*BI9/12)</f>
        <v>-75.932317165671193</v>
      </c>
      <c r="BJ62" s="10">
        <f t="shared" ref="BJ62:CI62" si="659">IF(OR(BJ9="",BJ61=""),"",(BJ59+BJ61+BI64)*BJ9/12)</f>
        <v>-114.81778112469891</v>
      </c>
      <c r="BK62" s="10">
        <f t="shared" si="659"/>
        <v>-103.34911341179669</v>
      </c>
      <c r="BL62" s="10">
        <f t="shared" si="659"/>
        <v>-128.71732056143821</v>
      </c>
      <c r="BM62" s="10">
        <f t="shared" si="659"/>
        <v>-112.56650826475799</v>
      </c>
      <c r="BN62" s="10">
        <f t="shared" si="659"/>
        <v>-112.20464285700784</v>
      </c>
      <c r="BO62" s="10">
        <f t="shared" si="659"/>
        <v>-104.37155757149908</v>
      </c>
      <c r="BP62" s="10">
        <f t="shared" si="659"/>
        <v>-83.76041818581453</v>
      </c>
      <c r="BQ62" s="10">
        <f t="shared" si="659"/>
        <v>-48.623845685749181</v>
      </c>
      <c r="BR62" s="10">
        <f t="shared" si="659"/>
        <v>-58.602766805884976</v>
      </c>
      <c r="BS62" s="10">
        <f t="shared" si="659"/>
        <v>-45.5786163510721</v>
      </c>
      <c r="BT62" s="10">
        <f t="shared" si="659"/>
        <v>-30.615728300496102</v>
      </c>
      <c r="BU62" s="10">
        <f t="shared" si="659"/>
        <v>-27.035384303313489</v>
      </c>
      <c r="BV62" s="10">
        <f t="shared" si="659"/>
        <v>-36.855312051041274</v>
      </c>
      <c r="BW62" s="10">
        <f t="shared" si="659"/>
        <v>-25.039728528201056</v>
      </c>
      <c r="BX62" s="10">
        <f t="shared" si="659"/>
        <v>-23.894863251534023</v>
      </c>
      <c r="BY62" s="10">
        <f t="shared" si="659"/>
        <v>-50.234736557447974</v>
      </c>
      <c r="BZ62" s="10">
        <f t="shared" si="659"/>
        <v>-39.124245328254908</v>
      </c>
      <c r="CA62" s="10">
        <f t="shared" si="659"/>
        <v>-54.60684331866792</v>
      </c>
      <c r="CB62" s="10">
        <f t="shared" si="659"/>
        <v>-72.493089678026408</v>
      </c>
      <c r="CC62" s="10">
        <f t="shared" si="659"/>
        <v>-81.73721593391808</v>
      </c>
      <c r="CD62" s="10">
        <f t="shared" si="659"/>
        <v>-78.917491133907006</v>
      </c>
      <c r="CE62" s="10">
        <f t="shared" si="659"/>
        <v>-62.643079382256246</v>
      </c>
      <c r="CF62" s="10">
        <f t="shared" si="659"/>
        <v>-53.138491799223878</v>
      </c>
      <c r="CG62" s="10">
        <f t="shared" si="659"/>
        <v>-26.968332005971465</v>
      </c>
      <c r="CH62" s="10">
        <f t="shared" si="659"/>
        <v>0.36612880605188769</v>
      </c>
      <c r="CI62" s="10">
        <f t="shared" si="659"/>
        <v>28.833883717290551</v>
      </c>
    </row>
    <row r="63" spans="1:87" s="5" customFormat="1" hidden="1" outlineLevel="1" x14ac:dyDescent="0.35">
      <c r="A63" s="274"/>
      <c r="B63" s="18" t="s">
        <v>14</v>
      </c>
      <c r="C63" s="26"/>
      <c r="D63" s="26"/>
      <c r="E63" s="9">
        <f t="shared" ref="E63:N63" si="660">IF(OR(E61="",E62=""),"",E61+E62)</f>
        <v>0</v>
      </c>
      <c r="F63" s="9">
        <f t="shared" si="660"/>
        <v>0</v>
      </c>
      <c r="G63" s="9">
        <f t="shared" si="660"/>
        <v>-1622.8714870824165</v>
      </c>
      <c r="H63" s="9">
        <f t="shared" si="660"/>
        <v>-14895.446991045661</v>
      </c>
      <c r="I63" s="9">
        <f t="shared" si="660"/>
        <v>-17644.218704851832</v>
      </c>
      <c r="J63" s="9">
        <f t="shared" si="660"/>
        <v>-16660.349865915319</v>
      </c>
      <c r="K63" s="9">
        <f t="shared" si="660"/>
        <v>-15715.804920570945</v>
      </c>
      <c r="L63" s="9">
        <f t="shared" si="660"/>
        <v>-13042.238169071437</v>
      </c>
      <c r="M63" s="9">
        <f t="shared" si="660"/>
        <v>-9272.3616762936326</v>
      </c>
      <c r="N63" s="9">
        <f t="shared" si="660"/>
        <v>1302.1523156683361</v>
      </c>
      <c r="O63" s="9">
        <f>IF(OR(O61="",O62=""),"",O61+O62)</f>
        <v>-4063.7489102927188</v>
      </c>
      <c r="P63" s="9">
        <f t="shared" ref="P63:AM63" si="661">IF(OR(P61="",P62=""),"",P61+P62)</f>
        <v>-83967.665437430682</v>
      </c>
      <c r="Q63" s="9">
        <f t="shared" si="661"/>
        <v>-58080.542291380465</v>
      </c>
      <c r="R63" s="9">
        <f t="shared" si="661"/>
        <v>-78229.289466060058</v>
      </c>
      <c r="S63" s="9">
        <f t="shared" si="661"/>
        <v>-64372.034575958925</v>
      </c>
      <c r="T63" s="9">
        <f t="shared" si="661"/>
        <v>21676.718602808523</v>
      </c>
      <c r="U63" s="9">
        <f t="shared" si="661"/>
        <v>71689.259204882095</v>
      </c>
      <c r="V63" s="9">
        <f t="shared" si="661"/>
        <v>108557.015987743</v>
      </c>
      <c r="W63" s="9">
        <f t="shared" si="661"/>
        <v>99015.915908191237</v>
      </c>
      <c r="X63" s="9">
        <f t="shared" si="661"/>
        <v>-2987.0386593699568</v>
      </c>
      <c r="Y63" s="9">
        <f t="shared" si="661"/>
        <v>4439.0443591924195</v>
      </c>
      <c r="Z63" s="9">
        <f t="shared" si="661"/>
        <v>16602.179190496532</v>
      </c>
      <c r="AA63" s="9">
        <f t="shared" si="661"/>
        <v>25257.803533429185</v>
      </c>
      <c r="AB63" s="9">
        <f t="shared" si="661"/>
        <v>-189638.92737315144</v>
      </c>
      <c r="AC63" s="9">
        <f t="shared" si="661"/>
        <v>-173506.99418238987</v>
      </c>
      <c r="AD63" s="9">
        <f t="shared" si="661"/>
        <v>-149159.9627202877</v>
      </c>
      <c r="AE63" s="9">
        <f t="shared" si="661"/>
        <v>-146662.78487537793</v>
      </c>
      <c r="AF63" s="9">
        <f t="shared" si="661"/>
        <v>68671.775994959971</v>
      </c>
      <c r="AG63" s="9">
        <f t="shared" si="661"/>
        <v>177262.66924775133</v>
      </c>
      <c r="AH63" s="9">
        <f t="shared" si="661"/>
        <v>126177.18952898412</v>
      </c>
      <c r="AI63" s="9">
        <f t="shared" si="661"/>
        <v>63669.69645990921</v>
      </c>
      <c r="AJ63" s="9">
        <f t="shared" si="661"/>
        <v>-121646.0322663262</v>
      </c>
      <c r="AK63" s="9">
        <f t="shared" si="661"/>
        <v>-114216.01697203731</v>
      </c>
      <c r="AL63" s="9">
        <f t="shared" si="661"/>
        <v>-104058.53508924684</v>
      </c>
      <c r="AM63" s="9">
        <f t="shared" si="661"/>
        <v>-49424.473939614196</v>
      </c>
      <c r="AN63" s="9">
        <f t="shared" ref="AN63:BJ63" si="662">IF(OR(AN61="",AN62=""),"",AN61+AN62)</f>
        <v>-181595.3993833776</v>
      </c>
      <c r="AO63" s="9">
        <f t="shared" si="662"/>
        <v>-93048.994765855809</v>
      </c>
      <c r="AP63" s="9">
        <f t="shared" si="662"/>
        <v>-98931.597586959484</v>
      </c>
      <c r="AQ63" s="9">
        <f t="shared" si="662"/>
        <v>-88429.392746011988</v>
      </c>
      <c r="AR63" s="9">
        <f t="shared" si="662"/>
        <v>347690.55887727585</v>
      </c>
      <c r="AS63" s="9">
        <f t="shared" si="662"/>
        <v>533434.47735476831</v>
      </c>
      <c r="AT63" s="9">
        <f t="shared" si="662"/>
        <v>408683.18001804274</v>
      </c>
      <c r="AU63" s="9">
        <f t="shared" si="662"/>
        <v>223766.72931815757</v>
      </c>
      <c r="AV63" s="9">
        <f t="shared" si="662"/>
        <v>-107439.08736964632</v>
      </c>
      <c r="AW63" s="9">
        <f t="shared" si="662"/>
        <v>-116356.98172238814</v>
      </c>
      <c r="AX63" s="9">
        <f t="shared" si="662"/>
        <v>-124399.28900887593</v>
      </c>
      <c r="AY63" s="9">
        <f t="shared" si="662"/>
        <v>-106276.05589674354</v>
      </c>
      <c r="AZ63" s="9">
        <f t="shared" si="662"/>
        <v>45009.970864836112</v>
      </c>
      <c r="BA63" s="9">
        <f t="shared" si="662"/>
        <v>188861.86055120663</v>
      </c>
      <c r="BB63" s="9">
        <f t="shared" si="662"/>
        <v>-84663.355397631298</v>
      </c>
      <c r="BC63" s="9">
        <f t="shared" si="662"/>
        <v>-80387.151440030051</v>
      </c>
      <c r="BD63" s="9">
        <f t="shared" si="662"/>
        <v>-93306.129690972637</v>
      </c>
      <c r="BE63" s="9">
        <f t="shared" si="662"/>
        <v>-98205.544518588402</v>
      </c>
      <c r="BF63" s="9">
        <f t="shared" si="662"/>
        <v>-86163.138331918948</v>
      </c>
      <c r="BG63" s="9">
        <f t="shared" si="662"/>
        <v>-83651.193870217787</v>
      </c>
      <c r="BH63" s="9">
        <f t="shared" si="662"/>
        <v>-84829.610801232106</v>
      </c>
      <c r="BI63" s="9">
        <f t="shared" si="662"/>
        <v>-84785.332867424309</v>
      </c>
      <c r="BJ63" s="9">
        <f t="shared" si="662"/>
        <v>-85554.458873219977</v>
      </c>
      <c r="BK63" s="9">
        <f t="shared" ref="BK63:BL63" si="663">IF(OR(BK61="",BK62=""),"",BK61+BK62)</f>
        <v>-80849.426279611842</v>
      </c>
      <c r="BL63" s="9">
        <f t="shared" si="663"/>
        <v>59602.696432747514</v>
      </c>
      <c r="BM63" s="9">
        <f t="shared" ref="BM63:BN63" si="664">IF(OR(BM61="",BM62=""),"",BM61+BM62)</f>
        <v>-7011.3973317220925</v>
      </c>
      <c r="BN63" s="9">
        <f t="shared" si="664"/>
        <v>-8615.2287261828442</v>
      </c>
      <c r="BO63" s="9">
        <f t="shared" ref="BO63:BP63" si="665">IF(OR(BO61="",BO62=""),"",BO61+BO62)</f>
        <v>-5964.7350797008685</v>
      </c>
      <c r="BP63" s="9">
        <f t="shared" si="665"/>
        <v>18884.952623808469</v>
      </c>
      <c r="BQ63" s="9">
        <f t="shared" ref="BQ63:BR63" si="666">IF(OR(BQ61="",BQ62=""),"",BQ61+BQ62)</f>
        <v>23380.922215209564</v>
      </c>
      <c r="BR63" s="9">
        <f t="shared" si="666"/>
        <v>22942.081246211746</v>
      </c>
      <c r="BS63" s="9">
        <f t="shared" ref="BS63:BT63" si="667">IF(OR(BS61="",BS62=""),"",BS61+BS62)</f>
        <v>6879.7176429455531</v>
      </c>
      <c r="BT63" s="9">
        <f t="shared" si="667"/>
        <v>-7592.224365480537</v>
      </c>
      <c r="BU63" s="9">
        <f t="shared" ref="BU63:BV63" si="668">IF(OR(BU61="",BU62=""),"",BU61+BU62)</f>
        <v>-6713.6557534940275</v>
      </c>
      <c r="BV63" s="9">
        <f t="shared" si="668"/>
        <v>-10488.062797508079</v>
      </c>
      <c r="BW63" s="9">
        <f t="shared" ref="BW63:BX63" si="669">IF(OR(BW61="",BW62=""),"",BW61+BW62)</f>
        <v>-8987.4971422552189</v>
      </c>
      <c r="BX63" s="9">
        <f t="shared" si="669"/>
        <v>7612.4331689655346</v>
      </c>
      <c r="BY63" s="9">
        <f t="shared" ref="BY63:BZ63" si="670">IF(OR(BY61="",BY62=""),"",BY61+BY62)</f>
        <v>-922.11641607500326</v>
      </c>
      <c r="BZ63" s="9">
        <f t="shared" si="670"/>
        <v>-904.63913120410609</v>
      </c>
      <c r="CA63" s="9">
        <f t="shared" ref="CA63:CB63" si="671">IF(OR(CA61="",CA62=""),"",CA61+CA62)</f>
        <v>-897.0477313454553</v>
      </c>
      <c r="CB63" s="9">
        <f t="shared" si="671"/>
        <v>-1029.517587451832</v>
      </c>
      <c r="CC63" s="9">
        <f t="shared" ref="CC63:CD63" si="672">IF(OR(CC61="",CC62=""),"",CC61+CC62)</f>
        <v>-1081.8428641592152</v>
      </c>
      <c r="CD63" s="9">
        <f t="shared" si="672"/>
        <v>-1073.1444865828564</v>
      </c>
      <c r="CE63" s="9">
        <f t="shared" ref="CE63:CF63" si="673">IF(OR(CE61="",CE62=""),"",CE61+CE62)</f>
        <v>-1028.8096373801488</v>
      </c>
      <c r="CF63" s="9">
        <f t="shared" si="673"/>
        <v>-2132.3541840609582</v>
      </c>
      <c r="CG63" s="9">
        <f t="shared" ref="CG63:CH63" si="674">IF(OR(CG61="",CG62=""),"",CG61+CG62)</f>
        <v>-873.7234524441094</v>
      </c>
      <c r="CH63" s="9">
        <f t="shared" si="674"/>
        <v>-889.03295333272422</v>
      </c>
      <c r="CI63" s="9">
        <f t="shared" ref="CI63" si="675">IF(OR(CI61="",CI62=""),"",CI61+CI62)</f>
        <v>-898.31594435956686</v>
      </c>
    </row>
    <row r="64" spans="1:87" s="5" customFormat="1" hidden="1" outlineLevel="1" x14ac:dyDescent="0.35">
      <c r="A64" s="274"/>
      <c r="B64" s="20" t="s">
        <v>18</v>
      </c>
      <c r="C64" s="28"/>
      <c r="D64" s="28"/>
      <c r="E64" s="9">
        <f>E63</f>
        <v>0</v>
      </c>
      <c r="F64" s="9">
        <f>IF(OR(F63="",E64=""),"",F63+E64)</f>
        <v>0</v>
      </c>
      <c r="G64" s="9">
        <f t="shared" ref="G64:N64" si="676">IF(OR(G63="",F64=""),"",G63+F64)</f>
        <v>-1622.8714870824165</v>
      </c>
      <c r="H64" s="9">
        <f t="shared" si="676"/>
        <v>-16518.318478128076</v>
      </c>
      <c r="I64" s="9">
        <f t="shared" si="676"/>
        <v>-34162.537182979911</v>
      </c>
      <c r="J64" s="9">
        <f t="shared" si="676"/>
        <v>-50822.887048895231</v>
      </c>
      <c r="K64" s="9">
        <f t="shared" si="676"/>
        <v>-66538.691969466177</v>
      </c>
      <c r="L64" s="9">
        <f t="shared" si="676"/>
        <v>-79580.930138537617</v>
      </c>
      <c r="M64" s="9">
        <f t="shared" si="676"/>
        <v>-88853.291814831246</v>
      </c>
      <c r="N64" s="9">
        <f t="shared" si="676"/>
        <v>-87551.139499162906</v>
      </c>
      <c r="O64" s="9">
        <f>IF(OR(O63="",N64=""),"",O63+O59+N64)</f>
        <v>-91614.888409455627</v>
      </c>
      <c r="P64" s="9">
        <f>IF(OR(P63="",O64=""),"",P63+P59+O64+P56)</f>
        <v>2083407.5311691668</v>
      </c>
      <c r="Q64" s="9">
        <f t="shared" ref="Q64" si="677">IF(OR(Q63="",P64=""),"",Q63+Q59+P64)</f>
        <v>1847616.2788777864</v>
      </c>
      <c r="R64" s="9">
        <f t="shared" ref="R64" si="678">IF(OR(R63="",Q64=""),"",R63+R59+Q64)</f>
        <v>1578157.2594117261</v>
      </c>
      <c r="S64" s="9">
        <f t="shared" ref="S64" si="679">IF(OR(S63="",R64=""),"",S63+S59+R64)</f>
        <v>1320068.3848357671</v>
      </c>
      <c r="T64" s="9">
        <f t="shared" ref="T64" si="680">IF(OR(T63="",S64=""),"",T63+T59+S64)</f>
        <v>1119120.1834385756</v>
      </c>
      <c r="U64" s="9">
        <f t="shared" ref="U64" si="681">IF(OR(U63="",T64=""),"",U63+U59+T64)</f>
        <v>972735.4926434576</v>
      </c>
      <c r="V64" s="9">
        <f t="shared" ref="V64" si="682">IF(OR(V63="",U64=""),"",V63+V59+U64)</f>
        <v>851233.15863120055</v>
      </c>
      <c r="W64" s="9">
        <f t="shared" ref="W64" si="683">IF(OR(W63="",V64=""),"",W63+W59+V64)</f>
        <v>728890.60453939182</v>
      </c>
      <c r="X64" s="9">
        <f t="shared" ref="X64" si="684">IF(OR(X63="",W64=""),"",X63+X59+W64)</f>
        <v>509239.72588002187</v>
      </c>
      <c r="Y64" s="9">
        <f t="shared" ref="Y64" si="685">IF(OR(Y63="",X64=""),"",Y63+Y59+X64)</f>
        <v>318617.1502392143</v>
      </c>
      <c r="Z64" s="9">
        <f t="shared" ref="Z64" si="686">IF(OR(Z63="",Y64=""),"",Z63+Z59+Y64)</f>
        <v>130804.97942971083</v>
      </c>
      <c r="AA64" s="9">
        <f t="shared" ref="AA64" si="687">IF(OR(AA63="",Z64=""),"",AA63+AA59+Z64)</f>
        <v>-69798.157036859979</v>
      </c>
      <c r="AB64" s="9">
        <f t="shared" ref="AB64" si="688">IF(OR(AB63="",AA64=""),"",AB63+AB59+AA64)</f>
        <v>-256526.81441001143</v>
      </c>
      <c r="AC64" s="9">
        <f t="shared" ref="AC64" si="689">IF(OR(AC63="",AB64=""),"",AC63+AC59+AB64)</f>
        <v>-427132.09859240131</v>
      </c>
      <c r="AD64" s="9">
        <f t="shared" ref="AD64" si="690">IF(OR(AD63="",AC64=""),"",AD63+AD59+AC64)</f>
        <v>-573613.37131268904</v>
      </c>
      <c r="AE64" s="9">
        <f t="shared" ref="AE64" si="691">IF(OR(AE63="",AD64=""),"",AE63+AE59+AD64)</f>
        <v>-717191.16618806694</v>
      </c>
      <c r="AF64" s="9">
        <f t="shared" ref="AF64" si="692">IF(OR(AF63="",AE64=""),"",AF63+AF59+AE64)</f>
        <v>-645173.85019310704</v>
      </c>
      <c r="AG64" s="9">
        <f t="shared" ref="AG64" si="693">IF(OR(AG63="",AF64=""),"",AG63+AG59+AF64)</f>
        <v>-464446.6409453557</v>
      </c>
      <c r="AH64" s="9">
        <f t="shared" ref="AH64" si="694">IF(OR(AH63="",AG64=""),"",AH63+AH59+AG64)</f>
        <v>-334863.95141637156</v>
      </c>
      <c r="AI64" s="9">
        <f t="shared" ref="AI64" si="695">IF(OR(AI63="",AH64=""),"",AI63+AI59+AH64)</f>
        <v>-267880.00495646236</v>
      </c>
      <c r="AJ64" s="9">
        <f t="shared" ref="AJ64" si="696">IF(OR(AJ63="",AI64=""),"",AJ63+AJ59+AI64)</f>
        <v>-386418.15722278855</v>
      </c>
      <c r="AK64" s="9">
        <f t="shared" ref="AK64" si="697">IF(OR(AK63="",AJ64=""),"",AK63+AK59+AJ64)</f>
        <v>-497741.83419482585</v>
      </c>
      <c r="AL64" s="9">
        <f t="shared" ref="AL64" si="698">IF(OR(AL63="",AK64=""),"",AL63+AL59+AK64)</f>
        <v>-598690.25928407267</v>
      </c>
      <c r="AM64" s="9">
        <f t="shared" ref="AM64" si="699">IF(OR(AM63="",AL64=""),"",AM63+AM59+AL64)</f>
        <v>-645260.2032236869</v>
      </c>
      <c r="AN64" s="9">
        <f t="shared" ref="AN64" si="700">IF(OR(AN63="",AM64=""),"",AN63+AN59+AM64)</f>
        <v>-781932.35260706453</v>
      </c>
      <c r="AO64" s="9">
        <f t="shared" ref="AO64" si="701">IF(OR(AO63="",AN64=""),"",AO63+AO59+AN64)</f>
        <v>-830508.58737292036</v>
      </c>
      <c r="AP64" s="9">
        <f t="shared" ref="AP64" si="702">IF(OR(AP63="",AO64=""),"",AP63+AP59+AO64)</f>
        <v>-886809.87495987979</v>
      </c>
      <c r="AQ64" s="9">
        <f t="shared" ref="AQ64" si="703">IF(OR(AQ63="",AP64=""),"",AQ63+AQ59+AP64)</f>
        <v>-932712.08770589181</v>
      </c>
      <c r="AR64" s="9">
        <f t="shared" ref="AR64" si="704">IF(OR(AR63="",AQ64=""),"",AR63+AR59+AQ64)</f>
        <v>-535606.67882861593</v>
      </c>
      <c r="AS64" s="9">
        <f t="shared" ref="AS64" si="705">IF(OR(AS63="",AR64=""),"",AS63+AS59+AR64)</f>
        <v>47488.548526152386</v>
      </c>
      <c r="AT64" s="9">
        <f t="shared" ref="AT64" si="706">IF(OR(AT63="",AS64=""),"",AT63+AT59+AS64)</f>
        <v>508305.34854419512</v>
      </c>
      <c r="AU64" s="9">
        <f t="shared" ref="AU64" si="707">IF(OR(AU63="",AT64=""),"",AU63+AU59+AT64)</f>
        <v>783890.03786235268</v>
      </c>
      <c r="AV64" s="9">
        <f t="shared" ref="AV64" si="708">IF(OR(AV63="",AU64=""),"",AV63+AV59+AU64)</f>
        <v>724466.64049270633</v>
      </c>
      <c r="AW64" s="9">
        <f t="shared" ref="AW64" si="709">IF(OR(AW63="",AV64=""),"",AW63+AW59+AV64)</f>
        <v>652512.48877031822</v>
      </c>
      <c r="AX64" s="9">
        <f t="shared" ref="AX64" si="710">IF(OR(AX63="",AW64=""),"",AX63+AX59+AW64)</f>
        <v>572820.39976144233</v>
      </c>
      <c r="AY64" s="9">
        <f t="shared" ref="AY64" si="711">IF(OR(AY63="",AX64=""),"",AY63+AY59+AX64)</f>
        <v>512536.23386469879</v>
      </c>
      <c r="AZ64" s="9">
        <f t="shared" ref="AZ64" si="712">IF(OR(AZ63="",AY64=""),"",AZ63+AZ59+AY64)</f>
        <v>474699.75472953491</v>
      </c>
      <c r="BA64" s="9">
        <f t="shared" ref="BA64" si="713">IF(OR(BA63="",AZ64=""),"",BA63+BA59+AZ64)</f>
        <v>628740.41528074152</v>
      </c>
      <c r="BB64" s="9">
        <f t="shared" ref="BB64" si="714">IF(OR(BB63="",BA64=""),"",BB63+BB59+BA64)</f>
        <v>510520.38988311024</v>
      </c>
      <c r="BC64" s="9">
        <f t="shared" ref="BC64" si="715">IF(OR(BC63="",BB64=""),"",BC63+BC59+BB64)</f>
        <v>398542.53844308021</v>
      </c>
      <c r="BD64" s="9">
        <f t="shared" ref="BD64" si="716">IF(OR(BD63="",BC64=""),"",BD63+BD59+BC64)</f>
        <v>268444.92875210755</v>
      </c>
      <c r="BE64" s="9">
        <f t="shared" ref="BE64" si="717">IF(OR(BE63="",BD64=""),"",BE63+BE59+BD64)</f>
        <v>131515.28423351914</v>
      </c>
      <c r="BF64" s="9">
        <f t="shared" ref="BF64" si="718">IF(OR(BF63="",BE64=""),"",BF63+BF59+BE64)</f>
        <v>4762.9759016001917</v>
      </c>
      <c r="BG64" s="9">
        <f t="shared" ref="BG64" si="719">IF(OR(BG63="",BF64=""),"",BG63+BG59+BF64)</f>
        <v>-119487.74796861759</v>
      </c>
      <c r="BH64" s="9">
        <f t="shared" ref="BH64" si="720">IF(OR(BH63="",BG64=""),"",BH63+BH59+BG64)</f>
        <v>-240405.05876984971</v>
      </c>
      <c r="BI64" s="9">
        <f t="shared" ref="BI64" si="721">IF(OR(BI63="",BH64=""),"",BI63+BI59+BH64)</f>
        <v>-361022.44163727399</v>
      </c>
      <c r="BJ64" s="9">
        <f t="shared" ref="BJ64:CI64" si="722">IF(OR(BJ63="",BI64=""),"",BJ63+BJ59+BI64)</f>
        <v>-484069.23051049397</v>
      </c>
      <c r="BK64" s="9">
        <f t="shared" si="722"/>
        <v>-601731.06679010577</v>
      </c>
      <c r="BL64" s="9">
        <f t="shared" si="722"/>
        <v>-665285.81035735831</v>
      </c>
      <c r="BM64" s="9">
        <f>IF(OR(BM63="",BL64=""),"",BM63+BM59+BL64)</f>
        <v>-632289.66768908035</v>
      </c>
      <c r="BN64" s="9">
        <f t="shared" si="722"/>
        <v>-598210.00641526317</v>
      </c>
      <c r="BO64" s="9">
        <f t="shared" si="722"/>
        <v>-558559.59149496409</v>
      </c>
      <c r="BP64" s="9">
        <f t="shared" si="722"/>
        <v>-498511.8088711556</v>
      </c>
      <c r="BQ64" s="9">
        <f t="shared" si="722"/>
        <v>-418171.39665594604</v>
      </c>
      <c r="BR64" s="9">
        <f t="shared" si="722"/>
        <v>-342933.6054097343</v>
      </c>
      <c r="BS64" s="9">
        <f t="shared" si="722"/>
        <v>-283094.22776678874</v>
      </c>
      <c r="BT64" s="9">
        <f t="shared" si="722"/>
        <v>-244956.44213226927</v>
      </c>
      <c r="BU64" s="9">
        <f t="shared" si="722"/>
        <v>-211780.00788576331</v>
      </c>
      <c r="BV64" s="9">
        <f t="shared" si="722"/>
        <v>-169835.27068327137</v>
      </c>
      <c r="BW64" s="9">
        <f t="shared" si="722"/>
        <v>-128187.43782552659</v>
      </c>
      <c r="BX64" s="9">
        <f t="shared" si="722"/>
        <v>-96944.404656561062</v>
      </c>
      <c r="BY64" s="9">
        <f t="shared" si="722"/>
        <v>-87631.281072636062</v>
      </c>
      <c r="BZ64" s="9">
        <f t="shared" si="722"/>
        <v>-78233.400203840167</v>
      </c>
      <c r="CA64" s="9">
        <f t="shared" si="722"/>
        <v>-69053.097935185622</v>
      </c>
      <c r="CB64" s="9">
        <f t="shared" si="722"/>
        <v>-58618.625522637456</v>
      </c>
      <c r="CC64" s="9">
        <f t="shared" si="722"/>
        <v>-47772.278386796672</v>
      </c>
      <c r="CD64" s="9">
        <f t="shared" si="722"/>
        <v>-37013.002873379526</v>
      </c>
      <c r="CE64" s="9">
        <f t="shared" si="722"/>
        <v>-26515.752510759674</v>
      </c>
      <c r="CF64" s="9">
        <f t="shared" si="722"/>
        <v>-18428.926694820631</v>
      </c>
      <c r="CG64" s="9">
        <f t="shared" si="722"/>
        <v>-9352.8701472647408</v>
      </c>
      <c r="CH64" s="9">
        <f t="shared" si="722"/>
        <v>126.9768994025344</v>
      </c>
      <c r="CI64" s="9">
        <f t="shared" si="722"/>
        <v>9999.8609550429683</v>
      </c>
    </row>
    <row r="65" spans="1:87" s="5" customFormat="1" ht="8.25" hidden="1" customHeight="1" outlineLevel="1" x14ac:dyDescent="0.35">
      <c r="A65" s="44"/>
      <c r="B65" s="13"/>
      <c r="C65" s="13"/>
      <c r="D65" s="13"/>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row>
    <row r="66" spans="1:87" s="5" customFormat="1" ht="15" hidden="1" customHeight="1" outlineLevel="1" x14ac:dyDescent="0.35">
      <c r="A66" s="274" t="s">
        <v>24</v>
      </c>
      <c r="B66" s="17"/>
      <c r="C66" s="32"/>
      <c r="D66" s="32"/>
      <c r="E66" s="9"/>
      <c r="F66" s="9"/>
      <c r="G66" s="9"/>
      <c r="H66" s="9"/>
      <c r="I66" s="9"/>
      <c r="J66" s="9"/>
      <c r="K66" s="9"/>
      <c r="L66" s="9"/>
      <c r="M66" s="9"/>
      <c r="N66" s="9"/>
      <c r="O66" s="9"/>
      <c r="P66" s="74">
        <v>1878286.3459755329</v>
      </c>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141">
        <f>'MEEIA 2 adjs'!CY61</f>
        <v>-417.5870757009634</v>
      </c>
      <c r="CG66" s="9"/>
      <c r="CH66" s="9"/>
      <c r="CI66" s="9"/>
    </row>
    <row r="67" spans="1:87" s="3" customFormat="1" ht="15" hidden="1" customHeight="1" outlineLevel="1" x14ac:dyDescent="0.35">
      <c r="A67" s="274"/>
      <c r="B67" s="17" t="s">
        <v>28</v>
      </c>
      <c r="C67" s="32"/>
      <c r="D67" s="32"/>
      <c r="E67" s="22">
        <f>IF('M2 Allocations - TD'!D9="","",'M2 Allocations - TD'!D35)</f>
        <v>0</v>
      </c>
      <c r="F67" s="22">
        <f>IF('M2 Allocations - TD'!E9="","",'M2 Allocations - TD'!E35)</f>
        <v>0</v>
      </c>
      <c r="G67" s="22">
        <f>IF('M2 Allocations - TD'!F9="","",'M2 Allocations - TD'!F35)</f>
        <v>0</v>
      </c>
      <c r="H67" s="22">
        <f>IF('M2 Allocations - TD'!G9="","",'M2 Allocations - TD'!G35)</f>
        <v>0</v>
      </c>
      <c r="I67" s="22">
        <f>IF('M2 Allocations - TD'!H9="","",'M2 Allocations - TD'!H35)</f>
        <v>360.22</v>
      </c>
      <c r="J67" s="22">
        <f>IF('M2 Allocations - TD'!I9="","",'M2 Allocations - TD'!I35)</f>
        <v>1356.5027975457876</v>
      </c>
      <c r="K67" s="22">
        <f>IF('M2 Allocations - TD'!J9="","",'M2 Allocations - TD'!J35)</f>
        <v>2255.3712414377201</v>
      </c>
      <c r="L67" s="22">
        <f>IF('M2 Allocations - TD'!K9="","",'M2 Allocations - TD'!K35)</f>
        <v>1897.7199413483188</v>
      </c>
      <c r="M67" s="22">
        <f>IF('M2 Allocations - TD'!L9="","",'M2 Allocations - TD'!L35)</f>
        <v>2405.4668833960245</v>
      </c>
      <c r="N67" s="22">
        <f>IF('M2 Allocations - TD'!M9="","",'M2 Allocations - TD'!M35)</f>
        <v>3262.8984825339485</v>
      </c>
      <c r="O67" s="22">
        <f>IF('M2 Allocations - TD'!N9="","",'M2 Allocations - TD'!N35)</f>
        <v>5909.4833335993335</v>
      </c>
      <c r="P67" s="22">
        <f>IF('M2 Allocations - TD'!O9="","",'M2 Allocations - TD'!O35)</f>
        <v>6425.014731291647</v>
      </c>
      <c r="Q67" s="22">
        <f>IF('M2 Allocations - TD'!P9="","",'M2 Allocations - TD'!P35)</f>
        <v>9106.0133494287093</v>
      </c>
      <c r="R67" s="22">
        <f>IF('M2 Allocations - TD'!Q9="","",'M2 Allocations - TD'!Q35)</f>
        <v>8390.7638449238184</v>
      </c>
      <c r="S67" s="22">
        <f>IF('M2 Allocations - TD'!R9="","",'M2 Allocations - TD'!R35)</f>
        <v>10997.379437607351</v>
      </c>
      <c r="T67" s="22">
        <f>IF('M2 Allocations - TD'!S9="","",'M2 Allocations - TD'!S35)</f>
        <v>20856.094406634937</v>
      </c>
      <c r="U67" s="22">
        <f>IF('M2 Allocations - TD'!T9="","",'M2 Allocations - TD'!T35)</f>
        <v>29338.039999999994</v>
      </c>
      <c r="V67" s="22">
        <f>IF('M2 Allocations - TD'!U9="","",'M2 Allocations - TD'!U35)</f>
        <v>27923.370923640025</v>
      </c>
      <c r="W67" s="22">
        <f>IF('M2 Allocations - TD'!V9="","",'M2 Allocations - TD'!V35)</f>
        <v>26983.721535135461</v>
      </c>
      <c r="X67" s="22">
        <f>IF('M2 Allocations - TD'!W9="","",'M2 Allocations - TD'!W35)</f>
        <v>19471.188276380515</v>
      </c>
      <c r="Y67" s="22">
        <f>IF('M2 Allocations - TD'!X9="","",'M2 Allocations - TD'!X35)</f>
        <v>18971.478034215677</v>
      </c>
      <c r="Z67" s="22">
        <f>IF('M2 Allocations - TD'!Y9="","",'M2 Allocations - TD'!Y35)</f>
        <v>20838.032820297231</v>
      </c>
      <c r="AA67" s="22">
        <f>IF('M2 Allocations - TD'!Z9="","",'M2 Allocations - TD'!Z35)</f>
        <v>24107.448446951264</v>
      </c>
      <c r="AB67" s="22">
        <f>IF('M2 Allocations - TD'!AA9="","",'M2 Allocations - TD'!AA35)</f>
        <v>21893.062382864882</v>
      </c>
      <c r="AC67" s="22">
        <f>IF('M2 Allocations - TD'!AB9="","",'M2 Allocations - TD'!AB35)</f>
        <v>24080.232432507251</v>
      </c>
      <c r="AD67" s="22">
        <f>IF('M2 Allocations - TD'!AC9="","",'M2 Allocations - TD'!AC35)</f>
        <v>25697.334922102909</v>
      </c>
      <c r="AE67" s="22">
        <f>IF('M2 Allocations - TD'!AD9="","",'M2 Allocations - TD'!AD35)</f>
        <v>34703.027598888038</v>
      </c>
      <c r="AF67" s="22">
        <f>IF('M2 Allocations - TD'!AE9="","",'M2 Allocations - TD'!AE35)</f>
        <v>75519.476357307751</v>
      </c>
      <c r="AG67" s="22">
        <f>IF('M2 Allocations - TD'!AF9="","",'M2 Allocations - TD'!AF35)</f>
        <v>100273.42685716876</v>
      </c>
      <c r="AH67" s="22">
        <f>IF('M2 Allocations - TD'!AG9="","",'M2 Allocations - TD'!AG35)</f>
        <v>85499.508585205374</v>
      </c>
      <c r="AI67" s="22">
        <f>IF('M2 Allocations - TD'!AH9="","",'M2 Allocations - TD'!AH35)</f>
        <v>69397.820475524379</v>
      </c>
      <c r="AJ67" s="22">
        <f>IF('M2 Allocations - TD'!AI9="","",'M2 Allocations - TD'!AI35)</f>
        <v>37821.144416831085</v>
      </c>
      <c r="AK67" s="22">
        <f>IF('M2 Allocations - TD'!AJ9="","",'M2 Allocations - TD'!AJ35)</f>
        <v>35865.098177838852</v>
      </c>
      <c r="AL67" s="22">
        <f>IF('M2 Allocations - TD'!AK9="","",'M2 Allocations - TD'!AK35)</f>
        <v>42905.24501769265</v>
      </c>
      <c r="AM67" s="22">
        <f>IF('M2 Allocations - TD'!AL9="","",'M2 Allocations - TD'!AL35)</f>
        <v>48941.253195931422</v>
      </c>
      <c r="AN67" s="22">
        <f>IF('M2 Allocations - TD'!AM9="","",'M2 Allocations - TD'!AM35)</f>
        <v>45736.205779424003</v>
      </c>
      <c r="AO67" s="22">
        <f>IF('M2 Allocations - TD'!AN9="","",'M2 Allocations - TD'!AN35)</f>
        <v>61794.995083764363</v>
      </c>
      <c r="AP67" s="22">
        <f>IF('M2 Allocations - TD'!AO9="","",'M2 Allocations - TD'!AO35)</f>
        <v>56159.323619014431</v>
      </c>
      <c r="AQ67" s="22">
        <f>IF('M2 Allocations - TD'!AP9="","",'M2 Allocations - TD'!AP35)</f>
        <v>66116.096564999927</v>
      </c>
      <c r="AR67" s="22">
        <f>IF('M2 Allocations - TD'!AQ9="","",'M2 Allocations - TD'!AQ35)</f>
        <v>196336.18137657503</v>
      </c>
      <c r="AS67" s="22">
        <f>IF('M2 Allocations - TD'!AR9="","",'M2 Allocations - TD'!AR35)</f>
        <v>261767.5472645007</v>
      </c>
      <c r="AT67" s="22">
        <f>IF('M2 Allocations - TD'!AS9="","",'M2 Allocations - TD'!AS35)</f>
        <v>232206.9863998002</v>
      </c>
      <c r="AU67" s="22">
        <f>IF('M2 Allocations - TD'!AT9="","",'M2 Allocations - TD'!AT35)</f>
        <v>149701.48799265211</v>
      </c>
      <c r="AV67" s="22">
        <f>IF('M2 Allocations - TD'!AU9="","",'M2 Allocations - TD'!AU35)</f>
        <v>63981.67593600769</v>
      </c>
      <c r="AW67" s="22">
        <f>IF('M2 Allocations - TD'!AV9="","",'M2 Allocations - TD'!AV35)</f>
        <v>56131.256299554763</v>
      </c>
      <c r="AX67" s="22">
        <f>IF('M2 Allocations - TD'!AW9="","",'M2 Allocations - TD'!AW35)</f>
        <v>57173.072833048078</v>
      </c>
      <c r="AY67" s="22">
        <f>IF('M2 Allocations - TD'!AX9="","",'M2 Allocations - TD'!AX35)</f>
        <v>61251.937727286851</v>
      </c>
      <c r="AZ67" s="22">
        <f>IF('M2 Allocations - TD'!AY9="","",'M2 Allocations - TD'!AY35)</f>
        <v>54765.460012100484</v>
      </c>
      <c r="BA67" s="22">
        <f>IF('M2 Allocations - TD'!AZ9="","",'M2 Allocations - TD'!AZ35)</f>
        <v>55225.416517369085</v>
      </c>
      <c r="BB67" s="22">
        <f>IF('M2 Allocations - TD'!BA9="","",'M2 Allocations - TD'!BA35)</f>
        <v>0</v>
      </c>
      <c r="BC67" s="22">
        <f>IF('M2 Allocations - TD'!BB9="","",'M2 Allocations - TD'!BB35)</f>
        <v>-142.24679364857641</v>
      </c>
      <c r="BD67" s="22">
        <f>IF('M2 Allocations - TD'!BC9="","",'M2 Allocations - TD'!BC35)</f>
        <v>0</v>
      </c>
      <c r="BE67" s="22">
        <f>IF('M2 Allocations - TD'!BD9="","",'M2 Allocations - TD'!BD35)</f>
        <v>0</v>
      </c>
      <c r="BF67" s="22">
        <f>IF('M2 Allocations - TD'!BE9="","",'M2 Allocations - TD'!BE35)</f>
        <v>0</v>
      </c>
      <c r="BG67" s="22">
        <f>IF('M2 Allocations - TD'!BF9="","",'M2 Allocations - TD'!BF35)</f>
        <v>0</v>
      </c>
      <c r="BH67" s="22">
        <f>IF('M2 Allocations - TD'!BG9="","",'M2 Allocations - TD'!BG35)</f>
        <v>0</v>
      </c>
      <c r="BI67" s="22">
        <f>IF('M2 Allocations - TD'!BH9="","",'M2 Allocations - TD'!BH35)</f>
        <v>0</v>
      </c>
      <c r="BJ67" s="22">
        <f>IF('M2 Allocations - TD'!BI9="","",'M2 Allocations - TD'!BI35)</f>
        <v>0</v>
      </c>
      <c r="BK67" s="22">
        <f>IF('M2 Allocations - TD'!BJ9="","",'M2 Allocations - TD'!BJ35)</f>
        <v>0</v>
      </c>
      <c r="BL67" s="22">
        <f>IF('M2 Allocations - TD'!BK9="","",'M2 Allocations - TD'!BK35)</f>
        <v>0</v>
      </c>
      <c r="BM67" s="22">
        <f>IF('M2 Allocations - TD'!BL9="","",'M2 Allocations - TD'!BL35)</f>
        <v>0</v>
      </c>
      <c r="BN67" s="22">
        <f>IF('M2 Allocations - TD'!BM9="","",'M2 Allocations - TD'!BM35)</f>
        <v>0</v>
      </c>
      <c r="BO67" s="22">
        <f>IF('M2 Allocations - TD'!BN9="","",'M2 Allocations - TD'!BN35)</f>
        <v>0</v>
      </c>
      <c r="BP67" s="22">
        <f>IF('M2 Allocations - TD'!BO9="","",'M2 Allocations - TD'!BO35)</f>
        <v>0</v>
      </c>
      <c r="BQ67" s="22">
        <f>IF('M2 Allocations - TD'!BP9="","",'M2 Allocations - TD'!BP35)</f>
        <v>0</v>
      </c>
      <c r="BR67" s="22">
        <f>IF('M2 Allocations - TD'!BQ9="","",'M2 Allocations - TD'!BQ35)</f>
        <v>-101.14999999990687</v>
      </c>
      <c r="BS67" s="22">
        <f>IF('M2 Allocations - TD'!BR9="","",'M2 Allocations - TD'!BR35)</f>
        <v>-108.16000000014901</v>
      </c>
      <c r="BT67" s="22">
        <f>IF('M2 Allocations - TD'!BS9="","",'M2 Allocations - TD'!BS35)</f>
        <v>-67.520000000018626</v>
      </c>
      <c r="BU67" s="22">
        <f>IF('M2 Allocations - TD'!BT9="","",'M2 Allocations - TD'!BT35)</f>
        <v>-54.189999999944121</v>
      </c>
      <c r="BV67" s="22">
        <f>IF('M2 Allocations - TD'!BU9="","",'M2 Allocations - TD'!BU35)</f>
        <v>-56.580000000074506</v>
      </c>
      <c r="BW67" s="22">
        <f>IF('M2 Allocations - TD'!BV9="","",'M2 Allocations - TD'!BV35)</f>
        <v>-61.179999999701977</v>
      </c>
      <c r="BX67" s="22">
        <f>IF('M2 Allocations - TD'!BW9="","",'M2 Allocations - TD'!BW35)</f>
        <v>-51.470000000204891</v>
      </c>
      <c r="BY67" s="22">
        <f>IF('M2 Allocations - TD'!BX9="","",'M2 Allocations - TD'!BX35)</f>
        <v>0</v>
      </c>
      <c r="BZ67" s="22">
        <f>IF('M2 Allocations - TD'!BY9="","",'M2 Allocations - TD'!BY35)</f>
        <v>0</v>
      </c>
      <c r="CA67" s="22">
        <f>IF('M2 Allocations - TD'!BZ9="","",'M2 Allocations - TD'!BZ35)</f>
        <v>0</v>
      </c>
      <c r="CB67" s="22">
        <f>IF('M2 Allocations - TD'!CA9="","",'M2 Allocations - TD'!CA35)</f>
        <v>0</v>
      </c>
      <c r="CC67" s="22">
        <f>IF('M2 Allocations - TD'!CB9="","",'M2 Allocations - TD'!CB35)</f>
        <v>0</v>
      </c>
      <c r="CD67" s="22">
        <f>IF('M2 Allocations - TD'!CC9="","",'M2 Allocations - TD'!CC35)</f>
        <v>0</v>
      </c>
      <c r="CE67" s="22">
        <f>IF('M2 Allocations - TD'!CD9="","",'M2 Allocations - TD'!CD35)</f>
        <v>0</v>
      </c>
      <c r="CF67" s="22">
        <f>IF('M2 Allocations - TD'!CE9="","",'M2 Allocations - TD'!CE35)</f>
        <v>0</v>
      </c>
      <c r="CG67" s="22">
        <f>IF('M2 Allocations - TD'!CF9="","",'M2 Allocations - TD'!CF35)</f>
        <v>0</v>
      </c>
      <c r="CH67" s="22">
        <f>IF('M2 Allocations - TD'!CG9="","",'M2 Allocations - TD'!CG35)</f>
        <v>0</v>
      </c>
      <c r="CI67" s="22">
        <f>IF('M2 Allocations - TD'!CH9="","",'M2 Allocations - TD'!CH35)</f>
        <v>0</v>
      </c>
    </row>
    <row r="68" spans="1:87" s="5" customFormat="1" ht="15" hidden="1" customHeight="1" outlineLevel="1" x14ac:dyDescent="0.35">
      <c r="A68" s="274"/>
      <c r="B68" s="18" t="s">
        <v>26</v>
      </c>
      <c r="C68" s="26"/>
      <c r="D68" s="26"/>
      <c r="E68" s="24">
        <v>0</v>
      </c>
      <c r="F68" s="24">
        <v>0</v>
      </c>
      <c r="G68" s="24">
        <v>0</v>
      </c>
      <c r="H68" s="24">
        <v>4867.8</v>
      </c>
      <c r="I68" s="24">
        <v>9528.7800000000007</v>
      </c>
      <c r="J68" s="24">
        <v>9622.07</v>
      </c>
      <c r="K68" s="24">
        <v>10571.65</v>
      </c>
      <c r="L68" s="24">
        <v>9276.2800000000007</v>
      </c>
      <c r="M68" s="24">
        <v>8552.14</v>
      </c>
      <c r="N68" s="24">
        <v>8040.28</v>
      </c>
      <c r="O68" s="24">
        <v>7958.8</v>
      </c>
      <c r="P68" s="24">
        <f>108234.02+94465.45</f>
        <v>202699.47</v>
      </c>
      <c r="Q68" s="24">
        <v>167678.56</v>
      </c>
      <c r="R68" s="22">
        <f>IF('M2 Allocations - TD'!Q54="","",'M2 Allocations - TD'!Q72)</f>
        <v>183651.06125723169</v>
      </c>
      <c r="S68" s="22">
        <f>IF('M2 Allocations - TD'!R54="","",'M2 Allocations - TD'!R72)</f>
        <v>187110.90550820582</v>
      </c>
      <c r="T68" s="22">
        <f>IF('M2 Allocations - TD'!S54="","",'M2 Allocations - TD'!S72)</f>
        <v>223442.58102316182</v>
      </c>
      <c r="U68" s="22">
        <f>IF('M2 Allocations - TD'!T54="","",'M2 Allocations - TD'!T72)</f>
        <v>211112.22603032622</v>
      </c>
      <c r="V68" s="22">
        <f>IF('M2 Allocations - TD'!U54="","",'M2 Allocations - TD'!U72)</f>
        <v>233963.66032568182</v>
      </c>
      <c r="W68" s="22">
        <f>IF('M2 Allocations - TD'!V54="","",'M2 Allocations - TD'!V72)</f>
        <v>223064.28470931173</v>
      </c>
      <c r="X68" s="22">
        <f>IF('M2 Allocations - TD'!W54="","",'M2 Allocations - TD'!W72)</f>
        <v>212741.63673550039</v>
      </c>
      <c r="Y68" s="22">
        <f>IF('M2 Allocations - TD'!X54="","",'M2 Allocations - TD'!X72)</f>
        <v>202298.65943791193</v>
      </c>
      <c r="Z68" s="22">
        <f>IF('M2 Allocations - TD'!Y54="","",'M2 Allocations - TD'!Y72)</f>
        <v>185145.40058784836</v>
      </c>
      <c r="AA68" s="22">
        <f>IF('M2 Allocations - TD'!Z54="","",'M2 Allocations - TD'!Z72)</f>
        <v>187242.02591890033</v>
      </c>
      <c r="AB68" s="22">
        <f>IF('M2 Allocations - TD'!AA54="","",'M2 Allocations - TD'!AA72)</f>
        <v>102199.67</v>
      </c>
      <c r="AC68" s="22">
        <f>IF('M2 Allocations - TD'!AB54="","",'M2 Allocations - TD'!AB72)</f>
        <v>15774.991410991883</v>
      </c>
      <c r="AD68" s="22">
        <f>IF('M2 Allocations - TD'!AC54="","",'M2 Allocations - TD'!AC72)</f>
        <v>14999.076289049191</v>
      </c>
      <c r="AE68" s="22">
        <f>IF('M2 Allocations - TD'!AD54="","",'M2 Allocations - TD'!AD72)</f>
        <v>17802.440022199695</v>
      </c>
      <c r="AF68" s="22">
        <f>IF('M2 Allocations - TD'!AE54="","",'M2 Allocations - TD'!AE72)</f>
        <v>19775.612550633668</v>
      </c>
      <c r="AG68" s="22">
        <f>IF('M2 Allocations - TD'!AF54="","",'M2 Allocations - TD'!AF72)</f>
        <v>11062.273989486501</v>
      </c>
      <c r="AH68" s="22">
        <f>IF('M2 Allocations - TD'!AG54="","",'M2 Allocations - TD'!AG72)</f>
        <v>20313.771907757455</v>
      </c>
      <c r="AI68" s="22">
        <f>IF('M2 Allocations - TD'!AH54="","",'M2 Allocations - TD'!AH72)</f>
        <v>19132.25484498954</v>
      </c>
      <c r="AJ68" s="22">
        <f>IF('M2 Allocations - TD'!AI54="","",'M2 Allocations - TD'!AI72)</f>
        <v>18842.570934578442</v>
      </c>
      <c r="AK68" s="22">
        <f>IF('M2 Allocations - TD'!AJ54="","",'M2 Allocations - TD'!AJ72)</f>
        <v>17291.908336856264</v>
      </c>
      <c r="AL68" s="22">
        <f>IF('M2 Allocations - TD'!AK54="","",'M2 Allocations - TD'!AK72)</f>
        <v>16424.771759142779</v>
      </c>
      <c r="AM68" s="22">
        <f>IF('M2 Allocations - TD'!AL54="","",'M2 Allocations - TD'!AL72)</f>
        <v>19194.293385468092</v>
      </c>
      <c r="AN68" s="22">
        <f>IF('M2 Allocations - TD'!AM54="","",'M2 Allocations - TD'!AM72)</f>
        <v>38886.814638059877</v>
      </c>
      <c r="AO68" s="22">
        <f>IF('M2 Allocations - TD'!AN54="","",'M2 Allocations - TD'!AN72)</f>
        <v>62163.30838583759</v>
      </c>
      <c r="AP68" s="22">
        <f>IF('M2 Allocations - TD'!AO54="","",'M2 Allocations - TD'!AO72)</f>
        <v>62277.891788111709</v>
      </c>
      <c r="AQ68" s="22">
        <f>IF('M2 Allocations - TD'!AP54="","",'M2 Allocations - TD'!AP72)</f>
        <v>61090.351080169654</v>
      </c>
      <c r="AR68" s="22">
        <f>IF('M2 Allocations - TD'!AQ54="","",'M2 Allocations - TD'!AQ72)</f>
        <v>77031.361873120681</v>
      </c>
      <c r="AS68" s="22">
        <f>IF('M2 Allocations - TD'!AR54="","",'M2 Allocations - TD'!AR72)</f>
        <v>71605.590509478847</v>
      </c>
      <c r="AT68" s="22">
        <f>IF('M2 Allocations - TD'!AS54="","",'M2 Allocations - TD'!AS72)</f>
        <v>79252.326006964737</v>
      </c>
      <c r="AU68" s="22">
        <f>IF('M2 Allocations - TD'!AT54="","",'M2 Allocations - TD'!AT72)</f>
        <v>80418.423982704393</v>
      </c>
      <c r="AV68" s="22">
        <f>IF('M2 Allocations - TD'!AU54="","",'M2 Allocations - TD'!AU72)</f>
        <v>75914.605849404077</v>
      </c>
      <c r="AW68" s="22">
        <f>IF('M2 Allocations - TD'!AV54="","",'M2 Allocations - TD'!AV72)</f>
        <v>67084.185364881603</v>
      </c>
      <c r="AX68" s="22">
        <f>IF('M2 Allocations - TD'!AW54="","",'M2 Allocations - TD'!AW72)</f>
        <v>62856.748290520285</v>
      </c>
      <c r="AY68" s="22">
        <f>IF('M2 Allocations - TD'!AX54="","",'M2 Allocations - TD'!AX72)</f>
        <v>66459.230205220156</v>
      </c>
      <c r="AZ68" s="22">
        <f>IF('M2 Allocations - TD'!AY54="","",'M2 Allocations - TD'!AY72)</f>
        <v>66430.245030828315</v>
      </c>
      <c r="BA68" s="22">
        <f>IF('M2 Allocations - TD'!AZ54="","",'M2 Allocations - TD'!AZ72)</f>
        <v>38508.585383210528</v>
      </c>
      <c r="BB68" s="22">
        <f>IF('M2 Allocations - TD'!BA54="","",'M2 Allocations - TD'!BA72)</f>
        <v>44139.712667457272</v>
      </c>
      <c r="BC68" s="22">
        <f>IF('M2 Allocations - TD'!BB54="","",'M2 Allocations - TD'!BB72)</f>
        <v>44831.320451790816</v>
      </c>
      <c r="BD68" s="22">
        <f>IF('M2 Allocations - TD'!BC54="","",'M2 Allocations - TD'!BC72)</f>
        <v>11299.677842574871</v>
      </c>
      <c r="BE68" s="22">
        <f>IF('M2 Allocations - TD'!BD54="","",'M2 Allocations - TD'!BD72)</f>
        <v>50403.777431042647</v>
      </c>
      <c r="BF68" s="22">
        <f>IF('M2 Allocations - TD'!BE54="","",'M2 Allocations - TD'!BE72)</f>
        <v>51924.778274542303</v>
      </c>
      <c r="BG68" s="22">
        <f>IF('M2 Allocations - TD'!BF54="","",'M2 Allocations - TD'!BF72)</f>
        <v>52673.048419221035</v>
      </c>
      <c r="BH68" s="22">
        <f>IF('M2 Allocations - TD'!BG54="","",'M2 Allocations - TD'!BG72)</f>
        <v>46395.596252741838</v>
      </c>
      <c r="BI68" s="22">
        <f>IF('M2 Allocations - TD'!BH54="","",'M2 Allocations - TD'!BH72)</f>
        <v>45485.528963265475</v>
      </c>
      <c r="BJ68" s="22">
        <f>IF('M2 Allocations - TD'!BI54="","",'M2 Allocations - TD'!BI72)</f>
        <v>46424.397026326449</v>
      </c>
      <c r="BK68" s="22">
        <f>IF('M2 Allocations - TD'!BJ54="","",'M2 Allocations - TD'!BJ72)</f>
        <v>42444.211387439616</v>
      </c>
      <c r="BL68" s="22">
        <f>IF('M2 Allocations - TD'!BK54="","",'M2 Allocations - TD'!BK72)</f>
        <v>37845.94077531778</v>
      </c>
      <c r="BM68" s="22">
        <f>IF('M2 Allocations - TD'!BL54="","",'M2 Allocations - TD'!BL72)</f>
        <v>-731.33700161567504</v>
      </c>
      <c r="BN68" s="22">
        <f>IF('M2 Allocations - TD'!BM54="","",'M2 Allocations - TD'!BM72)</f>
        <v>1437.7999422217736</v>
      </c>
      <c r="BO68" s="22">
        <f>IF('M2 Allocations - TD'!BN54="","",'M2 Allocations - TD'!BN72)</f>
        <v>1448.8425667251033</v>
      </c>
      <c r="BP68" s="22">
        <f>IF('M2 Allocations - TD'!BO54="","",'M2 Allocations - TD'!BO72)</f>
        <v>1380.7821512277105</v>
      </c>
      <c r="BQ68" s="22">
        <f>IF('M2 Allocations - TD'!BP54="","",'M2 Allocations - TD'!BP72)</f>
        <v>1767.2604926793401</v>
      </c>
      <c r="BR68" s="22">
        <f>IF('M2 Allocations - TD'!BQ54="","",'M2 Allocations - TD'!BQ72)</f>
        <v>1691.5909448949833</v>
      </c>
      <c r="BS68" s="22">
        <f>IF('M2 Allocations - TD'!BR54="","",'M2 Allocations - TD'!BR72)</f>
        <v>1824.9961214654177</v>
      </c>
      <c r="BT68" s="22">
        <f>IF('M2 Allocations - TD'!BS54="","",'M2 Allocations - TD'!BS72)</f>
        <v>1633.3060195728406</v>
      </c>
      <c r="BU68" s="22">
        <f>IF('M2 Allocations - TD'!BT54="","",'M2 Allocations - TD'!BT72)</f>
        <v>1134.0675425845006</v>
      </c>
      <c r="BV68" s="22">
        <f>IF('M2 Allocations - TD'!BU54="","",'M2 Allocations - TD'!BU72)</f>
        <v>1713.7681476555249</v>
      </c>
      <c r="BW68" s="22">
        <f>IF('M2 Allocations - TD'!BV54="","",'M2 Allocations - TD'!BV72)</f>
        <v>1528.2002495401016</v>
      </c>
      <c r="BX68" s="22">
        <f>IF('M2 Allocations - TD'!BW54="","",'M2 Allocations - TD'!BW72)</f>
        <v>880.06349454617578</v>
      </c>
      <c r="BY68" s="22">
        <f>IF('M2 Allocations - TD'!BX54="","",'M2 Allocations - TD'!BX72)</f>
        <v>-2097.7749559192816</v>
      </c>
      <c r="BZ68" s="22">
        <f>IF('M2 Allocations - TD'!BY54="","",'M2 Allocations - TD'!BY72)</f>
        <v>-9941.5602511884663</v>
      </c>
      <c r="CA68" s="22">
        <f>IF('M2 Allocations - TD'!BZ54="","",'M2 Allocations - TD'!BZ72)</f>
        <v>-1916.6757761009615</v>
      </c>
      <c r="CB68" s="22">
        <f>IF('M2 Allocations - TD'!CA54="","",'M2 Allocations - TD'!CA72)</f>
        <v>-2336.6180031047011</v>
      </c>
      <c r="CC68" s="22">
        <f>IF('M2 Allocations - TD'!CB54="","",'M2 Allocations - TD'!CB72)</f>
        <v>-2679.3289962978324</v>
      </c>
      <c r="CD68" s="22">
        <f>IF('M2 Allocations - TD'!CC54="","",'M2 Allocations - TD'!CC72)</f>
        <v>-2648.8730550887763</v>
      </c>
      <c r="CE68" s="22">
        <f>IF('M2 Allocations - TD'!CD54="","",'M2 Allocations - TD'!CD72)</f>
        <v>-2762.0412565834886</v>
      </c>
      <c r="CF68" s="22">
        <f>IF('M2 Allocations - TD'!CE54="","",'M2 Allocations - TD'!CE72)</f>
        <v>-2372.9708277142608</v>
      </c>
      <c r="CG68" s="22">
        <f>IF('M2 Allocations - TD'!CF54="","",'M2 Allocations - TD'!CF72)</f>
        <v>-2296.0779711860914</v>
      </c>
      <c r="CH68" s="22">
        <f>IF('M2 Allocations - TD'!CG54="","",'M2 Allocations - TD'!CG72)</f>
        <v>-2247.299610025249</v>
      </c>
      <c r="CI68" s="22">
        <f>IF('M2 Allocations - TD'!CH54="","",'M2 Allocations - TD'!CH72)</f>
        <v>-2366.5938512279645</v>
      </c>
    </row>
    <row r="69" spans="1:87" s="5" customFormat="1" ht="15" hidden="1" customHeight="1" outlineLevel="1" x14ac:dyDescent="0.35">
      <c r="A69" s="274"/>
      <c r="B69" s="18" t="s">
        <v>51</v>
      </c>
      <c r="C69" s="26"/>
      <c r="D69" s="26"/>
      <c r="E69" s="24"/>
      <c r="F69" s="24"/>
      <c r="G69" s="24"/>
      <c r="H69" s="24"/>
      <c r="I69" s="24"/>
      <c r="J69" s="24"/>
      <c r="K69" s="24"/>
      <c r="L69" s="24"/>
      <c r="M69" s="24"/>
      <c r="N69" s="24"/>
      <c r="O69" s="24">
        <f>+'M2 TD amort'!C36</f>
        <v>0</v>
      </c>
      <c r="P69" s="24">
        <f>IF(P68="","",-'M2 TD amort'!D36)</f>
        <v>-147923.54</v>
      </c>
      <c r="Q69" s="24">
        <f>IF(Q68="","",-'M2 TD amort'!E36)</f>
        <v>-122366.41</v>
      </c>
      <c r="R69" s="22">
        <f>IF(R68="","",-'M2 TD amort'!F36)</f>
        <v>-135610.26999999999</v>
      </c>
      <c r="S69" s="22">
        <f>IF(S68="","",-'M2 TD amort'!G36)</f>
        <v>-137927.79</v>
      </c>
      <c r="T69" s="22">
        <f>IF(T68="","",-'M2 TD amort'!H36)</f>
        <v>-164689.71</v>
      </c>
      <c r="U69" s="22">
        <f>IF(U68="","",-'M2 TD amort'!I36)</f>
        <v>-155769.59</v>
      </c>
      <c r="V69" s="22">
        <f>IF(V68="","",-'M2 TD amort'!J36)</f>
        <v>-172638.51</v>
      </c>
      <c r="W69" s="22">
        <f>IF(W68="","",-'M2 TD amort'!K36)</f>
        <v>-164503.71</v>
      </c>
      <c r="X69" s="22">
        <f>IF(X68="","",-'M2 TD amort'!L36)</f>
        <v>-156843.66</v>
      </c>
      <c r="Y69" s="22">
        <f>IF(Y68="","",-'M2 TD amort'!M36)</f>
        <v>-149437.09</v>
      </c>
      <c r="Z69" s="22">
        <f>IF(Z68="","",-'M2 TD amort'!N36)</f>
        <v>-137029.1</v>
      </c>
      <c r="AA69" s="22">
        <f>IF(AA68="","",-'M2 TD amort'!O36)</f>
        <v>-138956.35</v>
      </c>
      <c r="AB69" s="22">
        <f>IF(AB68="","",-'M2 TD amort'!P36)</f>
        <v>163073.60999999999</v>
      </c>
      <c r="AC69" s="22">
        <f>IF(AC68="","",-'M2 TD amort'!Q36)</f>
        <v>28184.85</v>
      </c>
      <c r="AD69" s="22">
        <f>IF(AD68="","",-'M2 TD amort'!R36)</f>
        <v>26811.56</v>
      </c>
      <c r="AE69" s="22">
        <f>IF(AE68="","",-'M2 TD amort'!S36)</f>
        <v>30658.16</v>
      </c>
      <c r="AF69" s="22">
        <f>IF(AF68="","",-'M2 TD amort'!T36)</f>
        <v>33927.269999999997</v>
      </c>
      <c r="AG69" s="22">
        <f>IF(AG68="","",-'M2 TD amort'!U36)</f>
        <v>20613.12</v>
      </c>
      <c r="AH69" s="22">
        <f>IF(AH68="","",-'M2 TD amort'!V36)</f>
        <v>34940.29</v>
      </c>
      <c r="AI69" s="22">
        <f>IF(AI68="","",-'M2 TD amort'!W36)</f>
        <v>32815.35</v>
      </c>
      <c r="AJ69" s="22">
        <f>IF(AJ68="","",-'M2 TD amort'!X36)</f>
        <v>32400.86</v>
      </c>
      <c r="AK69" s="22">
        <f>IF(AK68="","",-'M2 TD amort'!Y36)</f>
        <v>30448.7</v>
      </c>
      <c r="AL69" s="22">
        <f>IF(AL68="","",-'M2 TD amort'!Z36)</f>
        <v>29651.5</v>
      </c>
      <c r="AM69" s="22">
        <f>IF(AM68="","",-'M2 TD amort'!AA36)</f>
        <v>33179.11</v>
      </c>
      <c r="AN69" s="22">
        <f>IF(AN68="","",-'M2 TD amort'!AB36)</f>
        <v>1500.43</v>
      </c>
      <c r="AO69" s="22">
        <f>IF(AO68="","",-'M2 TD amort'!AC36)</f>
        <v>2352.08</v>
      </c>
      <c r="AP69" s="22">
        <f>IF(AP68="","",-'M2 TD amort'!AD36)</f>
        <v>2341.8200000000002</v>
      </c>
      <c r="AQ69" s="22">
        <f>IF(AQ68="","",-'M2 TD amort'!AE36)</f>
        <v>2285.06</v>
      </c>
      <c r="AR69" s="22">
        <f>IF(AR68="","",-'M2 TD amort'!AF36)</f>
        <v>2878.25</v>
      </c>
      <c r="AS69" s="22">
        <f>IF(AS68="","",-'M2 TD amort'!AG36)</f>
        <v>2679.25</v>
      </c>
      <c r="AT69" s="22">
        <f>IF(AT68="","",-'M2 TD amort'!AH36)</f>
        <v>2966.75</v>
      </c>
      <c r="AU69" s="22">
        <f>IF(AU68="","",-'M2 TD amort'!AI36)</f>
        <v>3006.59</v>
      </c>
      <c r="AV69" s="22">
        <f>IF(AV68="","",-'M2 TD amort'!AJ36)</f>
        <v>2836.24</v>
      </c>
      <c r="AW69" s="22">
        <f>IF(AW68="","",-'M2 TD amort'!AK36)</f>
        <v>2518.7800000000002</v>
      </c>
      <c r="AX69" s="22">
        <f>IF(AX68="","",-'M2 TD amort'!AL36)</f>
        <v>2370.0100000000002</v>
      </c>
      <c r="AY69" s="22">
        <f>IF(AY68="","",-'M2 TD amort'!AM36)</f>
        <v>2508.15</v>
      </c>
      <c r="AZ69" s="22">
        <f>IF(AZ68="","",-'M2 TD amort'!AN36)</f>
        <v>-43670.64</v>
      </c>
      <c r="BA69" s="22">
        <f>IF(BA68="","",-'M2 TD amort'!AO36)</f>
        <v>-24903.919999999998</v>
      </c>
      <c r="BB69" s="22">
        <f>IF(BB68="","",-'M2 TD amort'!AP36)</f>
        <v>-28515.46</v>
      </c>
      <c r="BC69" s="22">
        <f>IF(BC68="","",-'M2 TD amort'!AQ36)</f>
        <v>-28951.69</v>
      </c>
      <c r="BD69" s="22">
        <f>IF(BD68="","",-'M2 TD amort'!AR36)</f>
        <v>-7358.44</v>
      </c>
      <c r="BE69" s="22">
        <f>IF(BE68="","",-'M2 TD amort'!AS36)</f>
        <v>-32544.66</v>
      </c>
      <c r="BF69" s="22">
        <f>IF(BF68="","",-'M2 TD amort'!AT36)</f>
        <v>-33521.589999999997</v>
      </c>
      <c r="BG69" s="22">
        <f>IF(BG68="","",-'M2 TD amort'!AU36)</f>
        <v>-33998.61</v>
      </c>
      <c r="BH69" s="22">
        <f>IF(BH68="","",-'M2 TD amort'!AV36)</f>
        <v>-29947.3</v>
      </c>
      <c r="BI69" s="22">
        <f>IF(BI68="","",-'M2 TD amort'!AW36)</f>
        <v>-29372.76</v>
      </c>
      <c r="BJ69" s="22">
        <f>IF(BJ68="","",-'M2 TD amort'!AX36)</f>
        <v>-29994.51</v>
      </c>
      <c r="BK69" s="22">
        <f>IF(BK68="","",-'M2 TD amort'!AY36)</f>
        <v>-27431.4</v>
      </c>
      <c r="BL69" s="22">
        <f>IF(BL68="","",-'M2 TD amort'!AZ36)</f>
        <v>-37690.370000000003</v>
      </c>
      <c r="BM69" s="22">
        <f>IF(BM68="","",-'M2 TD amort'!BA36)</f>
        <v>999.06</v>
      </c>
      <c r="BN69" s="22">
        <f>IF(BN68="","",-'M2 TD amort'!BB36)</f>
        <v>-1068.3499999999999</v>
      </c>
      <c r="BO69" s="22">
        <f>IF(BO68="","",-'M2 TD amort'!BC36)</f>
        <v>-1085.3800000000001</v>
      </c>
      <c r="BP69" s="22">
        <f>IF(BP68="","",-'M2 TD amort'!BD36)</f>
        <v>-1047.53</v>
      </c>
      <c r="BQ69" s="22">
        <f>IF(BQ68="","",-'M2 TD amort'!BE36)</f>
        <v>-1336.85</v>
      </c>
      <c r="BR69" s="22">
        <f>IF(BR68="","",-'M2 TD amort'!BF36)</f>
        <v>-1272.6199999999999</v>
      </c>
      <c r="BS69" s="22">
        <f>IF(BS68="","",-'M2 TD amort'!BG36)</f>
        <v>-1376.1</v>
      </c>
      <c r="BT69" s="22">
        <f>IF(BT68="","",-'M2 TD amort'!BH36)</f>
        <v>-1261.3</v>
      </c>
      <c r="BU69" s="22">
        <f>IF(BU68="","",-'M2 TD amort'!BI36)</f>
        <v>-837.34</v>
      </c>
      <c r="BV69" s="22">
        <f>IF(BV68="","",-'M2 TD amort'!BJ36)</f>
        <v>-1174.03</v>
      </c>
      <c r="BW69" s="22">
        <f>IF(BW68="","",-'M2 TD amort'!BK36)</f>
        <v>-1093.94</v>
      </c>
      <c r="BX69" s="22">
        <f>IF(BX68="","",-'M2 TD amort'!BL36)</f>
        <v>-595.17999999999995</v>
      </c>
      <c r="BY69" s="22">
        <f>IF(BY68="","",-'M2 TD amort'!BM36)</f>
        <v>2111.9699999999998</v>
      </c>
      <c r="BZ69" s="22">
        <f>IF(BZ68="","",-'M2 TD amort'!BN36)</f>
        <v>9939.4599999999991</v>
      </c>
      <c r="CA69" s="22">
        <f>IF(CA68="","",-'M2 TD amort'!BO36)</f>
        <v>1923.43</v>
      </c>
      <c r="CB69" s="22">
        <f>IF(CB68="","",-'M2 TD amort'!BP36)</f>
        <v>2344.67</v>
      </c>
      <c r="CC69" s="22">
        <f>IF(CC68="","",-'M2 TD amort'!BQ36)</f>
        <v>2689.87</v>
      </c>
      <c r="CD69" s="22">
        <f>IF(CD68="","",-'M2 TD amort'!BR36)</f>
        <v>2659.72</v>
      </c>
      <c r="CE69" s="22">
        <f>IF(CE68="","",-'M2 TD amort'!BS36)</f>
        <v>2772.83</v>
      </c>
      <c r="CF69" s="22">
        <f>IF(CF68="","",-'M2 TD amort'!BT36)</f>
        <v>2382.11</v>
      </c>
      <c r="CG69" s="22">
        <f>IF(CG68="","",-'M2 TD amort'!BU36)</f>
        <v>2309.94</v>
      </c>
      <c r="CH69" s="22">
        <f>IF(CH68="","",-'M2 TD amort'!BV36)</f>
        <v>2263.4</v>
      </c>
      <c r="CI69" s="22">
        <f>IF(CI68="","",-'M2 TD amort'!BW36)</f>
        <v>2384.75</v>
      </c>
    </row>
    <row r="70" spans="1:87" s="5" customFormat="1" ht="15" hidden="1" customHeight="1" outlineLevel="1" x14ac:dyDescent="0.35">
      <c r="A70" s="274"/>
      <c r="B70" s="18" t="s">
        <v>52</v>
      </c>
      <c r="C70" s="26"/>
      <c r="D70" s="26"/>
      <c r="E70" s="9"/>
      <c r="F70" s="9"/>
      <c r="G70" s="9"/>
      <c r="H70" s="9"/>
      <c r="I70" s="9"/>
      <c r="J70" s="9"/>
      <c r="K70" s="9"/>
      <c r="L70" s="9"/>
      <c r="M70" s="9"/>
      <c r="N70" s="9"/>
      <c r="O70" s="9">
        <f>IF(OR(O69="",O68=""),"",O68+O69)</f>
        <v>7958.8</v>
      </c>
      <c r="P70" s="9">
        <f t="shared" ref="P70" si="723">IF(OR(P69="",P68=""),"",P68+P69)</f>
        <v>54775.929999999993</v>
      </c>
      <c r="Q70" s="9">
        <f t="shared" ref="Q70" si="724">IF(OR(Q69="",Q68=""),"",Q68+Q69)</f>
        <v>45312.149999999994</v>
      </c>
      <c r="R70" s="9">
        <f t="shared" ref="R70" si="725">IF(OR(R69="",R68=""),"",R68+R69)</f>
        <v>48040.7912572317</v>
      </c>
      <c r="S70" s="9">
        <f t="shared" ref="S70" si="726">IF(OR(S69="",S68=""),"",S68+S69)</f>
        <v>49183.11550820581</v>
      </c>
      <c r="T70" s="9">
        <f t="shared" ref="T70" si="727">IF(OR(T69="",T68=""),"",T68+T69)</f>
        <v>58752.871023161832</v>
      </c>
      <c r="U70" s="9">
        <f t="shared" ref="U70" si="728">IF(OR(U69="",U68=""),"",U68+U69)</f>
        <v>55342.636030326219</v>
      </c>
      <c r="V70" s="9">
        <f t="shared" ref="V70" si="729">IF(OR(V69="",V68=""),"",V68+V69)</f>
        <v>61325.150325681811</v>
      </c>
      <c r="W70" s="9">
        <f t="shared" ref="W70" si="730">IF(OR(W69="",W68=""),"",W68+W69)</f>
        <v>58560.574709311739</v>
      </c>
      <c r="X70" s="9">
        <f t="shared" ref="X70" si="731">IF(OR(X69="",X68=""),"",X68+X69)</f>
        <v>55897.976735500386</v>
      </c>
      <c r="Y70" s="9">
        <f t="shared" ref="Y70" si="732">IF(OR(Y69="",Y68=""),"",Y68+Y69)</f>
        <v>52861.569437911938</v>
      </c>
      <c r="Z70" s="9">
        <f t="shared" ref="Z70" si="733">IF(OR(Z69="",Z68=""),"",Z68+Z69)</f>
        <v>48116.300587848353</v>
      </c>
      <c r="AA70" s="9">
        <f t="shared" ref="AA70" si="734">IF(OR(AA69="",AA68=""),"",AA68+AA69)</f>
        <v>48285.675918900321</v>
      </c>
      <c r="AB70" s="9">
        <f>IF(OR(AB69="",AB68=""),"",AB68+AB69)</f>
        <v>265273.27999999997</v>
      </c>
      <c r="AC70" s="9">
        <f t="shared" ref="AC70" si="735">IF(OR(AC69="",AC68=""),"",AC68+AC69)</f>
        <v>43959.841410991881</v>
      </c>
      <c r="AD70" s="9">
        <f t="shared" ref="AD70" si="736">IF(OR(AD69="",AD68=""),"",AD68+AD69)</f>
        <v>41810.636289049195</v>
      </c>
      <c r="AE70" s="9">
        <f t="shared" ref="AE70" si="737">IF(OR(AE69="",AE68=""),"",AE68+AE69)</f>
        <v>48460.600022199695</v>
      </c>
      <c r="AF70" s="9">
        <f t="shared" ref="AF70" si="738">IF(OR(AF69="",AF68=""),"",AF68+AF69)</f>
        <v>53702.882550633665</v>
      </c>
      <c r="AG70" s="9">
        <f t="shared" ref="AG70" si="739">IF(OR(AG69="",AG68=""),"",AG68+AG69)</f>
        <v>31675.3939894865</v>
      </c>
      <c r="AH70" s="9">
        <f t="shared" ref="AH70" si="740">IF(OR(AH69="",AH68=""),"",AH68+AH69)</f>
        <v>55254.061907757452</v>
      </c>
      <c r="AI70" s="9">
        <f t="shared" ref="AI70" si="741">IF(OR(AI69="",AI68=""),"",AI68+AI69)</f>
        <v>51947.604844989539</v>
      </c>
      <c r="AJ70" s="9">
        <f t="shared" ref="AJ70" si="742">IF(OR(AJ69="",AJ68=""),"",AJ68+AJ69)</f>
        <v>51243.430934578442</v>
      </c>
      <c r="AK70" s="9">
        <f t="shared" ref="AK70" si="743">IF(OR(AK69="",AK68=""),"",AK68+AK69)</f>
        <v>47740.608336856269</v>
      </c>
      <c r="AL70" s="9">
        <f t="shared" ref="AL70" si="744">IF(OR(AL69="",AL68=""),"",AL68+AL69)</f>
        <v>46076.271759142779</v>
      </c>
      <c r="AM70" s="9">
        <f t="shared" ref="AM70:BJ70" si="745">IF(OR(AM69="",AM68=""),"",AM68+AM69)</f>
        <v>52373.403385468089</v>
      </c>
      <c r="AN70" s="9">
        <f t="shared" si="745"/>
        <v>40387.244638059878</v>
      </c>
      <c r="AO70" s="9">
        <f t="shared" si="745"/>
        <v>64515.388385837592</v>
      </c>
      <c r="AP70" s="9">
        <f t="shared" si="745"/>
        <v>64619.711788111708</v>
      </c>
      <c r="AQ70" s="9">
        <f t="shared" si="745"/>
        <v>63375.411080169652</v>
      </c>
      <c r="AR70" s="9">
        <f t="shared" si="745"/>
        <v>79909.611873120681</v>
      </c>
      <c r="AS70" s="9">
        <f t="shared" si="745"/>
        <v>74284.840509478847</v>
      </c>
      <c r="AT70" s="9">
        <f t="shared" si="745"/>
        <v>82219.076006964737</v>
      </c>
      <c r="AU70" s="9">
        <f t="shared" si="745"/>
        <v>83425.013982704389</v>
      </c>
      <c r="AV70" s="9">
        <f t="shared" si="745"/>
        <v>78750.845849404082</v>
      </c>
      <c r="AW70" s="9">
        <f t="shared" si="745"/>
        <v>69602.965364881602</v>
      </c>
      <c r="AX70" s="9">
        <f t="shared" si="745"/>
        <v>65226.758290520287</v>
      </c>
      <c r="AY70" s="9">
        <f t="shared" si="745"/>
        <v>68967.38020522015</v>
      </c>
      <c r="AZ70" s="9">
        <f t="shared" si="745"/>
        <v>22759.605030828316</v>
      </c>
      <c r="BA70" s="9">
        <f t="shared" si="745"/>
        <v>13604.665383210529</v>
      </c>
      <c r="BB70" s="9">
        <f t="shared" si="745"/>
        <v>15624.252667457273</v>
      </c>
      <c r="BC70" s="9">
        <f t="shared" si="745"/>
        <v>15879.630451790817</v>
      </c>
      <c r="BD70" s="9">
        <f t="shared" si="745"/>
        <v>3941.2378425748711</v>
      </c>
      <c r="BE70" s="9">
        <f t="shared" si="745"/>
        <v>17859.117431042647</v>
      </c>
      <c r="BF70" s="9">
        <f t="shared" si="745"/>
        <v>18403.188274542306</v>
      </c>
      <c r="BG70" s="9">
        <f t="shared" si="745"/>
        <v>18674.438419221035</v>
      </c>
      <c r="BH70" s="9">
        <f t="shared" si="745"/>
        <v>16448.296252741839</v>
      </c>
      <c r="BI70" s="9">
        <f t="shared" si="745"/>
        <v>16112.768963265476</v>
      </c>
      <c r="BJ70" s="9">
        <f t="shared" si="745"/>
        <v>16429.887026326451</v>
      </c>
      <c r="BK70" s="9">
        <f t="shared" ref="BK70:BL70" si="746">IF(OR(BK69="",BK68=""),"",BK68+BK69)</f>
        <v>15012.811387439615</v>
      </c>
      <c r="BL70" s="9">
        <f t="shared" si="746"/>
        <v>155.57077531777759</v>
      </c>
      <c r="BM70" s="9">
        <f t="shared" ref="BM70:BN70" si="747">IF(OR(BM69="",BM68=""),"",BM68+BM69)</f>
        <v>267.72299838432491</v>
      </c>
      <c r="BN70" s="9">
        <f t="shared" si="747"/>
        <v>369.44994222177365</v>
      </c>
      <c r="BO70" s="9">
        <f t="shared" ref="BO70:BP70" si="748">IF(OR(BO69="",BO68=""),"",BO68+BO69)</f>
        <v>363.46256672510322</v>
      </c>
      <c r="BP70" s="9">
        <f t="shared" si="748"/>
        <v>333.25215122771056</v>
      </c>
      <c r="BQ70" s="9">
        <f t="shared" ref="BQ70:BR70" si="749">IF(OR(BQ69="",BQ68=""),"",BQ68+BQ69)</f>
        <v>430.41049267934022</v>
      </c>
      <c r="BR70" s="9">
        <f t="shared" si="749"/>
        <v>418.9709448949834</v>
      </c>
      <c r="BS70" s="9">
        <f t="shared" ref="BS70:BT70" si="750">IF(OR(BS69="",BS68=""),"",BS68+BS69)</f>
        <v>448.89612146541776</v>
      </c>
      <c r="BT70" s="9">
        <f t="shared" si="750"/>
        <v>372.00601957284061</v>
      </c>
      <c r="BU70" s="9">
        <f t="shared" ref="BU70:BV70" si="751">IF(OR(BU69="",BU68=""),"",BU68+BU69)</f>
        <v>296.72754258450061</v>
      </c>
      <c r="BV70" s="9">
        <f t="shared" si="751"/>
        <v>539.73814765552493</v>
      </c>
      <c r="BW70" s="9">
        <f t="shared" ref="BW70:BX70" si="752">IF(OR(BW69="",BW68=""),"",BW68+BW69)</f>
        <v>434.26024954010154</v>
      </c>
      <c r="BX70" s="9">
        <f t="shared" si="752"/>
        <v>284.88349454617583</v>
      </c>
      <c r="BY70" s="9">
        <f t="shared" ref="BY70:BZ70" si="753">IF(OR(BY69="",BY68=""),"",BY68+BY69)</f>
        <v>14.195044080718162</v>
      </c>
      <c r="BZ70" s="9">
        <f t="shared" si="753"/>
        <v>-2.1002511884671549</v>
      </c>
      <c r="CA70" s="9">
        <f t="shared" ref="CA70:CB70" si="754">IF(OR(CA69="",CA68=""),"",CA68+CA69)</f>
        <v>6.7542238990386068</v>
      </c>
      <c r="CB70" s="9">
        <f t="shared" si="754"/>
        <v>8.0519968952989984</v>
      </c>
      <c r="CC70" s="9">
        <f t="shared" ref="CC70:CD70" si="755">IF(OR(CC69="",CC68=""),"",CC68+CC69)</f>
        <v>10.541003702167473</v>
      </c>
      <c r="CD70" s="9">
        <f t="shared" si="755"/>
        <v>10.846944911223545</v>
      </c>
      <c r="CE70" s="9">
        <f>IF(OR(CE69="",CE68=""),"",CE68+CE69)</f>
        <v>10.788743416511352</v>
      </c>
      <c r="CF70" s="9">
        <f t="shared" ref="CF70" si="756">IF(OR(CF69="",CF68=""),"",CF68+CF69)</f>
        <v>9.1391722857392779</v>
      </c>
      <c r="CG70" s="9">
        <f>IF(OR(CG69="",CG68=""),"",CG68+CG69)</f>
        <v>13.862028813908637</v>
      </c>
      <c r="CH70" s="9">
        <f t="shared" ref="CH70" si="757">IF(OR(CH69="",CH68=""),"",CH68+CH69)</f>
        <v>16.100389974751124</v>
      </c>
      <c r="CI70" s="9">
        <f t="shared" ref="CI70" si="758">IF(OR(CI69="",CI68=""),"",CI68+CI69)</f>
        <v>18.156148772035522</v>
      </c>
    </row>
    <row r="71" spans="1:87" s="5" customFormat="1" hidden="1" outlineLevel="1" x14ac:dyDescent="0.35">
      <c r="A71" s="274"/>
      <c r="B71" s="18" t="s">
        <v>13</v>
      </c>
      <c r="C71" s="26"/>
      <c r="D71" s="26"/>
      <c r="E71" s="9">
        <f t="shared" ref="E71:M71" si="759">IF(OR(E68="",E67=""),"",E67-E68)</f>
        <v>0</v>
      </c>
      <c r="F71" s="9">
        <f t="shared" si="759"/>
        <v>0</v>
      </c>
      <c r="G71" s="9">
        <f t="shared" si="759"/>
        <v>0</v>
      </c>
      <c r="H71" s="9">
        <f t="shared" si="759"/>
        <v>-4867.8</v>
      </c>
      <c r="I71" s="9">
        <f t="shared" si="759"/>
        <v>-9168.5600000000013</v>
      </c>
      <c r="J71" s="9">
        <f t="shared" si="759"/>
        <v>-8265.5672024542127</v>
      </c>
      <c r="K71" s="9">
        <f t="shared" si="759"/>
        <v>-8316.2787585622791</v>
      </c>
      <c r="L71" s="9">
        <f t="shared" si="759"/>
        <v>-7378.5600586516821</v>
      </c>
      <c r="M71" s="9">
        <f t="shared" si="759"/>
        <v>-6146.6731166039754</v>
      </c>
      <c r="N71" s="9">
        <f>IF(OR(N68="",N67=""),"",N67-N68)</f>
        <v>-4777.3815174660513</v>
      </c>
      <c r="O71" s="9">
        <f>IF(OR(O70="",O67=""),"",O67-O70)</f>
        <v>-2049.3166664006667</v>
      </c>
      <c r="P71" s="9">
        <f t="shared" ref="P71:AM71" si="760">IF(OR(P70="",P67=""),"",P67-P70)</f>
        <v>-48350.915268708348</v>
      </c>
      <c r="Q71" s="9">
        <f t="shared" si="760"/>
        <v>-36206.136650571287</v>
      </c>
      <c r="R71" s="9">
        <f t="shared" si="760"/>
        <v>-39650.027412307885</v>
      </c>
      <c r="S71" s="9">
        <f t="shared" si="760"/>
        <v>-38185.736070598461</v>
      </c>
      <c r="T71" s="9">
        <f t="shared" si="760"/>
        <v>-37896.776616526899</v>
      </c>
      <c r="U71" s="9">
        <f t="shared" si="760"/>
        <v>-26004.596030326225</v>
      </c>
      <c r="V71" s="9">
        <f t="shared" si="760"/>
        <v>-33401.779402041786</v>
      </c>
      <c r="W71" s="9">
        <f t="shared" si="760"/>
        <v>-31576.853174176278</v>
      </c>
      <c r="X71" s="9">
        <f t="shared" si="760"/>
        <v>-36426.788459119867</v>
      </c>
      <c r="Y71" s="9">
        <f t="shared" si="760"/>
        <v>-33890.091403696264</v>
      </c>
      <c r="Z71" s="9">
        <f t="shared" si="760"/>
        <v>-27278.267767551122</v>
      </c>
      <c r="AA71" s="9">
        <f t="shared" si="760"/>
        <v>-24178.227471949056</v>
      </c>
      <c r="AB71" s="9">
        <f t="shared" si="760"/>
        <v>-243380.21761713509</v>
      </c>
      <c r="AC71" s="9">
        <f t="shared" si="760"/>
        <v>-19879.60897848463</v>
      </c>
      <c r="AD71" s="9">
        <f t="shared" si="760"/>
        <v>-16113.301366946285</v>
      </c>
      <c r="AE71" s="9">
        <f t="shared" si="760"/>
        <v>-13757.572423311656</v>
      </c>
      <c r="AF71" s="9">
        <f t="shared" si="760"/>
        <v>21816.593806674085</v>
      </c>
      <c r="AG71" s="9">
        <f t="shared" si="760"/>
        <v>68598.032867682254</v>
      </c>
      <c r="AH71" s="9">
        <f t="shared" si="760"/>
        <v>30245.446677447922</v>
      </c>
      <c r="AI71" s="9">
        <f t="shared" si="760"/>
        <v>17450.21563053484</v>
      </c>
      <c r="AJ71" s="9">
        <f t="shared" si="760"/>
        <v>-13422.286517747358</v>
      </c>
      <c r="AK71" s="9">
        <f t="shared" si="760"/>
        <v>-11875.510159017416</v>
      </c>
      <c r="AL71" s="9">
        <f t="shared" si="760"/>
        <v>-3171.0267414501286</v>
      </c>
      <c r="AM71" s="9">
        <f t="shared" si="760"/>
        <v>-3432.1501895366673</v>
      </c>
      <c r="AN71" s="9">
        <f t="shared" ref="AN71:BJ71" si="761">IF(OR(AN70="",AN67=""),"",AN67-AN70)</f>
        <v>5348.9611413641251</v>
      </c>
      <c r="AO71" s="9">
        <f t="shared" si="761"/>
        <v>-2720.3933020732293</v>
      </c>
      <c r="AP71" s="9">
        <f t="shared" si="761"/>
        <v>-8460.3881690972776</v>
      </c>
      <c r="AQ71" s="9">
        <f t="shared" si="761"/>
        <v>2740.6854848302755</v>
      </c>
      <c r="AR71" s="9">
        <f t="shared" si="761"/>
        <v>116426.56950345435</v>
      </c>
      <c r="AS71" s="9">
        <f t="shared" si="761"/>
        <v>187482.70675502185</v>
      </c>
      <c r="AT71" s="9">
        <f t="shared" si="761"/>
        <v>149987.91039283545</v>
      </c>
      <c r="AU71" s="9">
        <f t="shared" si="761"/>
        <v>66276.47400994772</v>
      </c>
      <c r="AV71" s="9">
        <f t="shared" si="761"/>
        <v>-14769.169913396392</v>
      </c>
      <c r="AW71" s="9">
        <f t="shared" si="761"/>
        <v>-13471.709065326839</v>
      </c>
      <c r="AX71" s="9">
        <f t="shared" si="761"/>
        <v>-8053.6854574722092</v>
      </c>
      <c r="AY71" s="9">
        <f t="shared" si="761"/>
        <v>-7715.4424779332985</v>
      </c>
      <c r="AZ71" s="9">
        <f t="shared" si="761"/>
        <v>32005.854981272169</v>
      </c>
      <c r="BA71" s="9">
        <f t="shared" si="761"/>
        <v>41620.751134158556</v>
      </c>
      <c r="BB71" s="9">
        <f t="shared" si="761"/>
        <v>-15624.252667457273</v>
      </c>
      <c r="BC71" s="9">
        <f t="shared" si="761"/>
        <v>-16021.877245439395</v>
      </c>
      <c r="BD71" s="9">
        <f t="shared" si="761"/>
        <v>-3941.2378425748711</v>
      </c>
      <c r="BE71" s="9">
        <f t="shared" si="761"/>
        <v>-17859.117431042647</v>
      </c>
      <c r="BF71" s="9">
        <f t="shared" si="761"/>
        <v>-18403.188274542306</v>
      </c>
      <c r="BG71" s="9">
        <f t="shared" si="761"/>
        <v>-18674.438419221035</v>
      </c>
      <c r="BH71" s="9">
        <f t="shared" si="761"/>
        <v>-16448.296252741839</v>
      </c>
      <c r="BI71" s="9">
        <f t="shared" si="761"/>
        <v>-16112.768963265476</v>
      </c>
      <c r="BJ71" s="9">
        <f t="shared" si="761"/>
        <v>-16429.887026326451</v>
      </c>
      <c r="BK71" s="9">
        <f t="shared" ref="BK71:BL71" si="762">IF(OR(BK70="",BK67=""),"",BK67-BK70)</f>
        <v>-15012.811387439615</v>
      </c>
      <c r="BL71" s="9">
        <f t="shared" si="762"/>
        <v>-155.57077531777759</v>
      </c>
      <c r="BM71" s="9">
        <f t="shared" ref="BM71:BN71" si="763">IF(OR(BM70="",BM67=""),"",BM67-BM70)</f>
        <v>-267.72299838432491</v>
      </c>
      <c r="BN71" s="9">
        <f t="shared" si="763"/>
        <v>-369.44994222177365</v>
      </c>
      <c r="BO71" s="9">
        <f t="shared" ref="BO71:BP71" si="764">IF(OR(BO70="",BO67=""),"",BO67-BO70)</f>
        <v>-363.46256672510322</v>
      </c>
      <c r="BP71" s="9">
        <f t="shared" si="764"/>
        <v>-333.25215122771056</v>
      </c>
      <c r="BQ71" s="9">
        <f t="shared" ref="BQ71:BR71" si="765">IF(OR(BQ70="",BQ67=""),"",BQ67-BQ70)</f>
        <v>-430.41049267934022</v>
      </c>
      <c r="BR71" s="9">
        <f t="shared" si="765"/>
        <v>-520.12094489489027</v>
      </c>
      <c r="BS71" s="9">
        <f t="shared" ref="BS71:BT71" si="766">IF(OR(BS70="",BS67=""),"",BS67-BS70)</f>
        <v>-557.05612146556678</v>
      </c>
      <c r="BT71" s="9">
        <f t="shared" si="766"/>
        <v>-439.52601957285924</v>
      </c>
      <c r="BU71" s="9">
        <f t="shared" ref="BU71:BV71" si="767">IF(OR(BU70="",BU67=""),"",BU67-BU70)</f>
        <v>-350.91754258444473</v>
      </c>
      <c r="BV71" s="9">
        <f t="shared" si="767"/>
        <v>-596.31814765559943</v>
      </c>
      <c r="BW71" s="9">
        <f t="shared" ref="BW71:BX71" si="768">IF(OR(BW70="",BW67=""),"",BW67-BW70)</f>
        <v>-495.44024953980352</v>
      </c>
      <c r="BX71" s="9">
        <f t="shared" si="768"/>
        <v>-336.35349454638072</v>
      </c>
      <c r="BY71" s="9">
        <f t="shared" ref="BY71:BZ71" si="769">IF(OR(BY70="",BY67=""),"",BY67-BY70)</f>
        <v>-14.195044080718162</v>
      </c>
      <c r="BZ71" s="9">
        <f t="shared" si="769"/>
        <v>2.1002511884671549</v>
      </c>
      <c r="CA71" s="9">
        <f t="shared" ref="CA71:CB71" si="770">IF(OR(CA70="",CA67=""),"",CA67-CA70)</f>
        <v>-6.7542238990386068</v>
      </c>
      <c r="CB71" s="9">
        <f t="shared" si="770"/>
        <v>-8.0519968952989984</v>
      </c>
      <c r="CC71" s="9">
        <f t="shared" ref="CC71:CD71" si="771">IF(OR(CC70="",CC67=""),"",CC67-CC70)</f>
        <v>-10.541003702167473</v>
      </c>
      <c r="CD71" s="9">
        <f t="shared" si="771"/>
        <v>-10.846944911223545</v>
      </c>
      <c r="CE71" s="9">
        <f>IF(OR(CE70="",CE67=""),"",CE67-CE70)</f>
        <v>-10.788743416511352</v>
      </c>
      <c r="CF71" s="141">
        <f>IF(OR(CF70="",CF67=""),"",CF67-CF70)+CF66</f>
        <v>-426.72624798670267</v>
      </c>
      <c r="CG71" s="9">
        <f>IF(OR(CG70="",CG67=""),"",CG67-CG70)</f>
        <v>-13.862028813908637</v>
      </c>
      <c r="CH71" s="9">
        <f>IF(OR(CH70="",CH67=""),"",CH67-CH70)</f>
        <v>-16.100389974751124</v>
      </c>
      <c r="CI71" s="9">
        <f>IF(OR(CI70="",CI67=""),"",CI67-CI70)</f>
        <v>-18.156148772035522</v>
      </c>
    </row>
    <row r="72" spans="1:87" s="5" customFormat="1" hidden="1" outlineLevel="1" x14ac:dyDescent="0.35">
      <c r="A72" s="274"/>
      <c r="B72" s="19" t="s">
        <v>8</v>
      </c>
      <c r="C72" s="30"/>
      <c r="D72" s="30"/>
      <c r="E72" s="9">
        <f t="shared" ref="E72:N72" si="772">IF(OR(E9="",E71=""),"",(E71+D74)*E9/12)</f>
        <v>0</v>
      </c>
      <c r="F72" s="9">
        <f t="shared" si="772"/>
        <v>0</v>
      </c>
      <c r="G72" s="9">
        <f t="shared" si="772"/>
        <v>0</v>
      </c>
      <c r="H72" s="9">
        <f t="shared" si="772"/>
        <v>-2.5406751929999998</v>
      </c>
      <c r="I72" s="9">
        <f t="shared" si="772"/>
        <v>-7.3592268311878604</v>
      </c>
      <c r="J72" s="9">
        <f t="shared" si="772"/>
        <v>-14.215720334968864</v>
      </c>
      <c r="K72" s="9">
        <f t="shared" si="772"/>
        <v>-19.290866032814765</v>
      </c>
      <c r="L72" s="9">
        <f t="shared" si="772"/>
        <v>-24.097498279543402</v>
      </c>
      <c r="M72" s="9">
        <f t="shared" si="772"/>
        <v>-28.152975943901492</v>
      </c>
      <c r="N72" s="9">
        <f t="shared" si="772"/>
        <v>-39.30320902363826</v>
      </c>
      <c r="O72" s="10">
        <f>IF(OR(O9="",O71=""),"",(O69+O71+N74)*O9/12)</f>
        <v>-38.328823118833434</v>
      </c>
      <c r="P72" s="10">
        <f>IF(OR(P9="",P71=""),"",(P69+P71+O74+P66)*P9/12)</f>
        <v>1223.1513482939456</v>
      </c>
      <c r="Q72" s="10">
        <f t="shared" ref="Q72:AM72" si="773">IF(OR(Q9="",Q71=""),"",(Q69+Q71+P74)*Q9/12)</f>
        <v>1412.122441210915</v>
      </c>
      <c r="R72" s="10">
        <f t="shared" si="773"/>
        <v>1245.5179401969469</v>
      </c>
      <c r="S72" s="10">
        <f t="shared" si="773"/>
        <v>1077.936099071979</v>
      </c>
      <c r="T72" s="10">
        <f t="shared" si="773"/>
        <v>1084.8708441780689</v>
      </c>
      <c r="U72" s="10">
        <f t="shared" si="773"/>
        <v>861.32899790254112</v>
      </c>
      <c r="V72" s="10">
        <f t="shared" si="773"/>
        <v>656.99260968260307</v>
      </c>
      <c r="W72" s="10">
        <f t="shared" si="773"/>
        <v>412.76166434708119</v>
      </c>
      <c r="X72" s="10">
        <f t="shared" si="773"/>
        <v>180.31979486812497</v>
      </c>
      <c r="Y72" s="10">
        <f t="shared" si="773"/>
        <v>-40.883761327985937</v>
      </c>
      <c r="Z72" s="10">
        <f>IF(OR(Z9="",Z71=""),"",(Z69+Z71+Y74)*Z9/12)</f>
        <v>-293.15200686767656</v>
      </c>
      <c r="AA72" s="10">
        <f t="shared" si="773"/>
        <v>-517.15748757254585</v>
      </c>
      <c r="AB72" s="10">
        <f t="shared" si="773"/>
        <v>-674.07000893525424</v>
      </c>
      <c r="AC72" s="10">
        <f t="shared" si="773"/>
        <v>-744.50516183908019</v>
      </c>
      <c r="AD72" s="10">
        <f t="shared" si="773"/>
        <v>-818.5810955366461</v>
      </c>
      <c r="AE72" s="10">
        <f t="shared" si="773"/>
        <v>-749.30329732821622</v>
      </c>
      <c r="AF72" s="10">
        <f t="shared" si="773"/>
        <v>-672.35711291424161</v>
      </c>
      <c r="AG72" s="10">
        <f t="shared" si="773"/>
        <v>-519.11851294545033</v>
      </c>
      <c r="AH72" s="10">
        <f t="shared" si="773"/>
        <v>-388.99847484623848</v>
      </c>
      <c r="AI72" s="10">
        <f t="shared" si="773"/>
        <v>-292.78610343929927</v>
      </c>
      <c r="AJ72" s="10">
        <f t="shared" si="773"/>
        <v>-270.66877582879988</v>
      </c>
      <c r="AK72" s="10">
        <f t="shared" si="773"/>
        <v>-239.80230007797388</v>
      </c>
      <c r="AL72" s="10">
        <f t="shared" si="773"/>
        <v>-201.15164686801617</v>
      </c>
      <c r="AM72" s="10">
        <f t="shared" si="773"/>
        <v>-138.9017157601111</v>
      </c>
      <c r="AN72" s="10">
        <f t="shared" ref="AN72" si="774">IF(OR(AN9="",AN71=""),"",(AN69+AN71+AM74)*AN9/12)</f>
        <v>-121.59963744740622</v>
      </c>
      <c r="AO72" s="10">
        <f t="shared" ref="AO72" si="775">IF(OR(AO9="",AO71=""),"",(AO69+AO71+AN74)*AO9/12)</f>
        <v>-120.48696817003263</v>
      </c>
      <c r="AP72" s="10">
        <f t="shared" ref="AP72" si="776">IF(OR(AP9="",AP71=""),"",(AP69+AP71+AO74)*AP9/12)</f>
        <v>-128.90292261641707</v>
      </c>
      <c r="AQ72" s="10">
        <f t="shared" ref="AQ72" si="777">IF(OR(AQ9="",AQ71=""),"",(AQ69+AQ71+AP74)*AQ9/12)</f>
        <v>-118.70789756049489</v>
      </c>
      <c r="AR72" s="10">
        <f t="shared" ref="AR72" si="778">IF(OR(AR9="",AR71=""),"",(AR69+AR71+AQ74)*AR9/12)</f>
        <v>145.71102213179589</v>
      </c>
      <c r="AS72" s="10">
        <f t="shared" ref="AS72" si="779">IF(OR(AS9="",AS71=""),"",(AS69+AS71+AR74)*AS9/12)</f>
        <v>554.19611545558507</v>
      </c>
      <c r="AT72" s="10">
        <f t="shared" ref="AT72" si="780">IF(OR(AT9="",AT71=""),"",(AT69+AT71+AS74)*AT9/12)</f>
        <v>802.92639796449419</v>
      </c>
      <c r="AU72" s="10">
        <f t="shared" ref="AU72" si="781">IF(OR(AU9="",AU71=""),"",(AU69+AU71+AT74)*AU9/12)</f>
        <v>886.53267749609847</v>
      </c>
      <c r="AV72" s="10">
        <f t="shared" ref="AV72" si="782">IF(OR(AV9="",AV71=""),"",(AV69+AV71+AU74)*AV9/12)</f>
        <v>825.90803193275872</v>
      </c>
      <c r="AW72" s="10">
        <f t="shared" ref="AW72" si="783">IF(OR(AW9="",AW71=""),"",(AW69+AW71+AV74)*AW9/12)</f>
        <v>694.17696913377824</v>
      </c>
      <c r="AX72" s="10">
        <f t="shared" ref="AX72" si="784">IF(OR(AX9="",AX71=""),"",(AX69+AX71+AW74)*AX9/12)</f>
        <v>724.13758517464032</v>
      </c>
      <c r="AY72" s="10">
        <f t="shared" ref="AY72" si="785">IF(OR(AY9="",AY71=""),"",(AY69+AY71+AX74)*AY9/12)</f>
        <v>707.20369917464097</v>
      </c>
      <c r="AZ72" s="10">
        <f t="shared" ref="AZ72" si="786">IF(OR(AZ9="",AZ71=""),"",(AZ69+AZ71+AY74)*AZ9/12)</f>
        <v>658.72831864604416</v>
      </c>
      <c r="BA72" s="10">
        <f t="shared" ref="BA72" si="787">IF(OR(BA9="",BA71=""),"",(BA69+BA71+AZ74)*BA9/12)</f>
        <v>717.12254317057807</v>
      </c>
      <c r="BB72" s="10">
        <f t="shared" ref="BB72" si="788">IF(OR(BB9="",BB71=""),"",(BB69+BB71+BA74)*BB9/12)</f>
        <v>322.38663111860211</v>
      </c>
      <c r="BC72" s="10">
        <f t="shared" ref="BC72" si="789">IF(OR(BC9="",BC71=""),"",(BC69+BC71+BB74)*BC9/12)</f>
        <v>39.535543248427892</v>
      </c>
      <c r="BD72" s="10">
        <f t="shared" ref="BD72" si="790">IF(OR(BD9="",BD71=""),"",(BD69+BD71+BC74)*BD9/12)</f>
        <v>37.304182207531994</v>
      </c>
      <c r="BE72" s="10">
        <f t="shared" ref="BE72" si="791">IF(OR(BE9="",BE71=""),"",(BE69+BE71+BD74)*BE9/12)</f>
        <v>49.376797040892455</v>
      </c>
      <c r="BF72" s="10">
        <f t="shared" ref="BF72" si="792">IF(OR(BF9="",BF71=""),"",(BF69+BF71+BE74)*BF9/12)</f>
        <v>28.919547689701602</v>
      </c>
      <c r="BG72" s="10">
        <f t="shared" ref="BG72" si="793">IF(OR(BG9="",BG71=""),"",(BG69+BG71+BF74)*BG9/12)</f>
        <v>20.800894466713963</v>
      </c>
      <c r="BH72" s="10">
        <f t="shared" ref="BH72" si="794">IF(OR(BH9="",BH71=""),"",(BH69+BH71+BG74)*BH9/12)</f>
        <v>25.843439935710126</v>
      </c>
      <c r="BI72" s="10">
        <f>IF(OR(BI9="",BI71=""),"",(BI69+BI71+BH74)*BI9/12)</f>
        <v>23.056752712109155</v>
      </c>
      <c r="BJ72" s="10">
        <f t="shared" ref="BJ72:CI72" si="795">IF(OR(BJ9="",BJ71=""),"",(BJ69+BJ71+BI74)*BJ9/12)</f>
        <v>14.99405571181353</v>
      </c>
      <c r="BK72" s="10">
        <f t="shared" si="795"/>
        <v>3.5679906342856662</v>
      </c>
      <c r="BL72" s="10">
        <f t="shared" si="795"/>
        <v>-3.3036692668723848</v>
      </c>
      <c r="BM72" s="10">
        <f t="shared" si="795"/>
        <v>-2.9102297245637101</v>
      </c>
      <c r="BN72" s="10">
        <f t="shared" si="795"/>
        <v>-3.3364453904515003</v>
      </c>
      <c r="BO72" s="10">
        <f t="shared" si="795"/>
        <v>-3.5952356834382946</v>
      </c>
      <c r="BP72" s="10">
        <f t="shared" si="795"/>
        <v>-3.4653770784723776</v>
      </c>
      <c r="BQ72" s="10">
        <f t="shared" si="795"/>
        <v>-2.6039768284816387</v>
      </c>
      <c r="BR72" s="10">
        <f t="shared" si="795"/>
        <v>-4.1339891735321705</v>
      </c>
      <c r="BS72" s="10">
        <f t="shared" si="795"/>
        <v>-4.2067742665012018</v>
      </c>
      <c r="BT72" s="10">
        <f t="shared" si="795"/>
        <v>-3.4787004042098162</v>
      </c>
      <c r="BU72" s="10">
        <f t="shared" si="795"/>
        <v>-3.7052753332339194</v>
      </c>
      <c r="BV72" s="10">
        <f t="shared" si="795"/>
        <v>-6.6842426801800059</v>
      </c>
      <c r="BW72" s="10">
        <f t="shared" si="795"/>
        <v>-6.3284809879377741</v>
      </c>
      <c r="BX72" s="10">
        <f t="shared" si="795"/>
        <v>-8.2170381712741474</v>
      </c>
      <c r="BY72" s="10">
        <f t="shared" si="795"/>
        <v>-17.918502372297308</v>
      </c>
      <c r="BZ72" s="10">
        <f t="shared" si="795"/>
        <v>-10.665449438586032</v>
      </c>
      <c r="CA72" s="10">
        <f t="shared" si="795"/>
        <v>-15.361564936007662</v>
      </c>
      <c r="CB72" s="10">
        <f t="shared" si="795"/>
        <v>-21.159787963854146</v>
      </c>
      <c r="CC72" s="10">
        <f t="shared" si="795"/>
        <v>-24.732869096570358</v>
      </c>
      <c r="CD72" s="10">
        <f t="shared" si="795"/>
        <v>-25.227179328534643</v>
      </c>
      <c r="CE72" s="10">
        <f>IF(OR(CE9="",CE71=""),"",(CE69+CE71+CD74)*CE9/12)</f>
        <v>-21.477844950136724</v>
      </c>
      <c r="CF72" s="10">
        <f t="shared" si="795"/>
        <v>-20.635136702419569</v>
      </c>
      <c r="CG72" s="10">
        <f>IF(OR(CG9="",CG71=""),"",(CG69+CG71+CF74)*CG9/12)</f>
        <v>-14.055086961754169</v>
      </c>
      <c r="CH72" s="10">
        <f t="shared" si="795"/>
        <v>-7.5970648914432557</v>
      </c>
      <c r="CI72" s="10">
        <f t="shared" si="795"/>
        <v>-0.77539661794151404</v>
      </c>
    </row>
    <row r="73" spans="1:87" s="5" customFormat="1" hidden="1" outlineLevel="1" x14ac:dyDescent="0.35">
      <c r="A73" s="274"/>
      <c r="B73" s="18" t="s">
        <v>14</v>
      </c>
      <c r="C73" s="26"/>
      <c r="D73" s="26"/>
      <c r="E73" s="9">
        <f t="shared" ref="E73:N73" si="796">IF(OR(E71="",E72=""),"",E71+E72)</f>
        <v>0</v>
      </c>
      <c r="F73" s="9">
        <f t="shared" si="796"/>
        <v>0</v>
      </c>
      <c r="G73" s="9">
        <f t="shared" si="796"/>
        <v>0</v>
      </c>
      <c r="H73" s="9">
        <f t="shared" si="796"/>
        <v>-4870.3406751930006</v>
      </c>
      <c r="I73" s="9">
        <f t="shared" si="796"/>
        <v>-9175.919226831189</v>
      </c>
      <c r="J73" s="9">
        <f t="shared" si="796"/>
        <v>-8279.7829227891816</v>
      </c>
      <c r="K73" s="9">
        <f t="shared" si="796"/>
        <v>-8335.569624595093</v>
      </c>
      <c r="L73" s="9">
        <f t="shared" si="796"/>
        <v>-7402.6575569312254</v>
      </c>
      <c r="M73" s="9">
        <f t="shared" si="796"/>
        <v>-6174.8260925478771</v>
      </c>
      <c r="N73" s="9">
        <f t="shared" si="796"/>
        <v>-4816.6847264896896</v>
      </c>
      <c r="O73" s="9">
        <f>IF(OR(O71="",O72=""),"",O71+O72)</f>
        <v>-2087.6454895195002</v>
      </c>
      <c r="P73" s="9">
        <f t="shared" ref="P73:AM73" si="797">IF(OR(P71="",P72=""),"",P71+P72)</f>
        <v>-47127.7639204144</v>
      </c>
      <c r="Q73" s="9">
        <f t="shared" si="797"/>
        <v>-34794.014209360372</v>
      </c>
      <c r="R73" s="9">
        <f t="shared" si="797"/>
        <v>-38404.509472110942</v>
      </c>
      <c r="S73" s="9">
        <f t="shared" si="797"/>
        <v>-37107.799971526481</v>
      </c>
      <c r="T73" s="9">
        <f t="shared" si="797"/>
        <v>-36811.905772348829</v>
      </c>
      <c r="U73" s="9">
        <f t="shared" si="797"/>
        <v>-25143.267032423686</v>
      </c>
      <c r="V73" s="9">
        <f t="shared" si="797"/>
        <v>-32744.786792359184</v>
      </c>
      <c r="W73" s="9">
        <f t="shared" si="797"/>
        <v>-31164.091509829195</v>
      </c>
      <c r="X73" s="9">
        <f t="shared" si="797"/>
        <v>-36246.468664251741</v>
      </c>
      <c r="Y73" s="9">
        <f t="shared" si="797"/>
        <v>-33930.975165024247</v>
      </c>
      <c r="Z73" s="9">
        <f t="shared" si="797"/>
        <v>-27571.419774418799</v>
      </c>
      <c r="AA73" s="9">
        <f t="shared" si="797"/>
        <v>-24695.384959521602</v>
      </c>
      <c r="AB73" s="9">
        <f t="shared" si="797"/>
        <v>-244054.28762607035</v>
      </c>
      <c r="AC73" s="9">
        <f t="shared" si="797"/>
        <v>-20624.114140323709</v>
      </c>
      <c r="AD73" s="9">
        <f t="shared" si="797"/>
        <v>-16931.882462482932</v>
      </c>
      <c r="AE73" s="9">
        <f t="shared" si="797"/>
        <v>-14506.875720639873</v>
      </c>
      <c r="AF73" s="9">
        <f t="shared" si="797"/>
        <v>21144.236693759845</v>
      </c>
      <c r="AG73" s="9">
        <f t="shared" si="797"/>
        <v>68078.9143547368</v>
      </c>
      <c r="AH73" s="9">
        <f t="shared" si="797"/>
        <v>29856.448202601685</v>
      </c>
      <c r="AI73" s="9">
        <f t="shared" si="797"/>
        <v>17157.429527095541</v>
      </c>
      <c r="AJ73" s="9">
        <f t="shared" si="797"/>
        <v>-13692.955293576157</v>
      </c>
      <c r="AK73" s="9">
        <f t="shared" si="797"/>
        <v>-12115.31245909539</v>
      </c>
      <c r="AL73" s="9">
        <f t="shared" si="797"/>
        <v>-3372.1783883181447</v>
      </c>
      <c r="AM73" s="9">
        <f t="shared" si="797"/>
        <v>-3571.0519052967784</v>
      </c>
      <c r="AN73" s="9">
        <f t="shared" ref="AN73:BJ73" si="798">IF(OR(AN71="",AN72=""),"",AN71+AN72)</f>
        <v>5227.3615039167189</v>
      </c>
      <c r="AO73" s="9">
        <f t="shared" si="798"/>
        <v>-2840.8802702432617</v>
      </c>
      <c r="AP73" s="9">
        <f t="shared" si="798"/>
        <v>-8589.2910917136942</v>
      </c>
      <c r="AQ73" s="9">
        <f t="shared" si="798"/>
        <v>2621.9775872697805</v>
      </c>
      <c r="AR73" s="9">
        <f t="shared" si="798"/>
        <v>116572.28052558615</v>
      </c>
      <c r="AS73" s="9">
        <f t="shared" si="798"/>
        <v>188036.90287047744</v>
      </c>
      <c r="AT73" s="9">
        <f t="shared" si="798"/>
        <v>150790.83679079995</v>
      </c>
      <c r="AU73" s="9">
        <f t="shared" si="798"/>
        <v>67163.00668744382</v>
      </c>
      <c r="AV73" s="9">
        <f t="shared" si="798"/>
        <v>-13943.261881463633</v>
      </c>
      <c r="AW73" s="9">
        <f t="shared" si="798"/>
        <v>-12777.532096193061</v>
      </c>
      <c r="AX73" s="9">
        <f t="shared" si="798"/>
        <v>-7329.5478722975686</v>
      </c>
      <c r="AY73" s="9">
        <f t="shared" si="798"/>
        <v>-7008.2387787586576</v>
      </c>
      <c r="AZ73" s="9">
        <f t="shared" si="798"/>
        <v>32664.583299918213</v>
      </c>
      <c r="BA73" s="9">
        <f t="shared" si="798"/>
        <v>42337.873677329131</v>
      </c>
      <c r="BB73" s="9">
        <f t="shared" si="798"/>
        <v>-15301.86603633867</v>
      </c>
      <c r="BC73" s="9">
        <f t="shared" si="798"/>
        <v>-15982.341702190966</v>
      </c>
      <c r="BD73" s="9">
        <f t="shared" si="798"/>
        <v>-3903.9336603673391</v>
      </c>
      <c r="BE73" s="9">
        <f t="shared" si="798"/>
        <v>-17809.740634001755</v>
      </c>
      <c r="BF73" s="9">
        <f t="shared" si="798"/>
        <v>-18374.268726852606</v>
      </c>
      <c r="BG73" s="9">
        <f t="shared" si="798"/>
        <v>-18653.637524754322</v>
      </c>
      <c r="BH73" s="9">
        <f t="shared" si="798"/>
        <v>-16422.452812806128</v>
      </c>
      <c r="BI73" s="9">
        <f t="shared" si="798"/>
        <v>-16089.712210553367</v>
      </c>
      <c r="BJ73" s="9">
        <f t="shared" si="798"/>
        <v>-16414.892970614637</v>
      </c>
      <c r="BK73" s="9">
        <f t="shared" ref="BK73:BL73" si="799">IF(OR(BK71="",BK72=""),"",BK71+BK72)</f>
        <v>-15009.24339680533</v>
      </c>
      <c r="BL73" s="9">
        <f t="shared" si="799"/>
        <v>-158.87444458464998</v>
      </c>
      <c r="BM73" s="9">
        <f t="shared" ref="BM73:BN73" si="800">IF(OR(BM71="",BM72=""),"",BM71+BM72)</f>
        <v>-270.6332281088886</v>
      </c>
      <c r="BN73" s="9">
        <f t="shared" si="800"/>
        <v>-372.78638761222516</v>
      </c>
      <c r="BO73" s="9">
        <f t="shared" ref="BO73:BP73" si="801">IF(OR(BO71="",BO72=""),"",BO71+BO72)</f>
        <v>-367.05780240854153</v>
      </c>
      <c r="BP73" s="9">
        <f t="shared" si="801"/>
        <v>-336.71752830618294</v>
      </c>
      <c r="BQ73" s="9">
        <f t="shared" ref="BQ73:BR73" si="802">IF(OR(BQ71="",BQ72=""),"",BQ71+BQ72)</f>
        <v>-433.01446950782184</v>
      </c>
      <c r="BR73" s="9">
        <f t="shared" si="802"/>
        <v>-524.25493406842247</v>
      </c>
      <c r="BS73" s="9">
        <f t="shared" ref="BS73:BT73" si="803">IF(OR(BS71="",BS72=""),"",BS71+BS72)</f>
        <v>-561.26289573206793</v>
      </c>
      <c r="BT73" s="9">
        <f t="shared" si="803"/>
        <v>-443.00471997706904</v>
      </c>
      <c r="BU73" s="9">
        <f t="shared" ref="BU73:BV73" si="804">IF(OR(BU71="",BU72=""),"",BU71+BU72)</f>
        <v>-354.62281791767867</v>
      </c>
      <c r="BV73" s="9">
        <f t="shared" si="804"/>
        <v>-603.00239033577941</v>
      </c>
      <c r="BW73" s="9">
        <f t="shared" ref="BW73:BX73" si="805">IF(OR(BW71="",BW72=""),"",BW71+BW72)</f>
        <v>-501.7687305277413</v>
      </c>
      <c r="BX73" s="9">
        <f t="shared" si="805"/>
        <v>-344.57053271765488</v>
      </c>
      <c r="BY73" s="9">
        <f t="shared" ref="BY73:BZ73" si="806">IF(OR(BY71="",BY72=""),"",BY71+BY72)</f>
        <v>-32.113546453015474</v>
      </c>
      <c r="BZ73" s="9">
        <f t="shared" si="806"/>
        <v>-8.5651982501188773</v>
      </c>
      <c r="CA73" s="9">
        <f t="shared" ref="CA73:CB73" si="807">IF(OR(CA71="",CA72=""),"",CA71+CA72)</f>
        <v>-22.115788835046267</v>
      </c>
      <c r="CB73" s="9">
        <f t="shared" si="807"/>
        <v>-29.211784859153145</v>
      </c>
      <c r="CC73" s="9">
        <f t="shared" ref="CC73:CD73" si="808">IF(OR(CC71="",CC72=""),"",CC71+CC72)</f>
        <v>-35.273872798737827</v>
      </c>
      <c r="CD73" s="9">
        <f t="shared" si="808"/>
        <v>-36.074124239758191</v>
      </c>
      <c r="CE73" s="9">
        <f>IF(OR(CE71="",CE72=""),"",CE71+CE72)</f>
        <v>-32.26658836664808</v>
      </c>
      <c r="CF73" s="9">
        <f t="shared" ref="CF73" si="809">IF(OR(CF71="",CF72=""),"",CF71+CF72)</f>
        <v>-447.36138468912225</v>
      </c>
      <c r="CG73" s="9">
        <f>IF(OR(CG71="",CG72=""),"",CG71+CG72)</f>
        <v>-27.917115775662808</v>
      </c>
      <c r="CH73" s="9">
        <f t="shared" ref="CH73" si="810">IF(OR(CH71="",CH72=""),"",CH71+CH72)</f>
        <v>-23.697454866194381</v>
      </c>
      <c r="CI73" s="9">
        <f t="shared" ref="CI73" si="811">IF(OR(CI71="",CI72=""),"",CI71+CI72)</f>
        <v>-18.931545389977035</v>
      </c>
    </row>
    <row r="74" spans="1:87" s="5" customFormat="1" hidden="1" outlineLevel="1" x14ac:dyDescent="0.35">
      <c r="A74" s="274"/>
      <c r="B74" s="20" t="s">
        <v>19</v>
      </c>
      <c r="C74" s="28"/>
      <c r="D74" s="28"/>
      <c r="E74" s="9">
        <f>E73</f>
        <v>0</v>
      </c>
      <c r="F74" s="9">
        <f>IF(OR(F73="",E74=""),"",F73+E74)</f>
        <v>0</v>
      </c>
      <c r="G74" s="9">
        <f t="shared" ref="G74:N74" si="812">IF(OR(G73="",F74=""),"",G73+F74)</f>
        <v>0</v>
      </c>
      <c r="H74" s="9">
        <f t="shared" si="812"/>
        <v>-4870.3406751930006</v>
      </c>
      <c r="I74" s="9">
        <f t="shared" si="812"/>
        <v>-14046.259902024191</v>
      </c>
      <c r="J74" s="9">
        <f t="shared" si="812"/>
        <v>-22326.042824813372</v>
      </c>
      <c r="K74" s="9">
        <f t="shared" si="812"/>
        <v>-30661.612449408465</v>
      </c>
      <c r="L74" s="9">
        <f t="shared" si="812"/>
        <v>-38064.270006339691</v>
      </c>
      <c r="M74" s="9">
        <f t="shared" si="812"/>
        <v>-44239.096098887567</v>
      </c>
      <c r="N74" s="9">
        <f t="shared" si="812"/>
        <v>-49055.780825377253</v>
      </c>
      <c r="O74" s="9">
        <f>IF(OR(O73="",N74=""),"",O73+O69+N74)</f>
        <v>-51143.426314896751</v>
      </c>
      <c r="P74" s="9">
        <f>IF(OR(P73="",O74=""),"",P73+P69+O74+P66)</f>
        <v>1632091.6157402217</v>
      </c>
      <c r="Q74" s="9">
        <f t="shared" ref="Q74" si="813">IF(OR(Q73="",P74=""),"",Q73+Q69+P74)</f>
        <v>1474931.1915308614</v>
      </c>
      <c r="R74" s="9">
        <f t="shared" ref="R74" si="814">IF(OR(R73="",Q74=""),"",R73+R69+Q74)</f>
        <v>1300916.4120587504</v>
      </c>
      <c r="S74" s="9">
        <f t="shared" ref="S74" si="815">IF(OR(S73="",R74=""),"",S73+S69+R74)</f>
        <v>1125880.8220872239</v>
      </c>
      <c r="T74" s="9">
        <f t="shared" ref="T74" si="816">IF(OR(T73="",S74=""),"",T73+T69+S74)</f>
        <v>924379.20631487505</v>
      </c>
      <c r="U74" s="9">
        <f t="shared" ref="U74" si="817">IF(OR(U73="",T74=""),"",U73+U69+T74)</f>
        <v>743466.34928245132</v>
      </c>
      <c r="V74" s="9">
        <f t="shared" ref="V74" si="818">IF(OR(V73="",U74=""),"",V73+V69+U74)</f>
        <v>538083.05249009212</v>
      </c>
      <c r="W74" s="9">
        <f t="shared" ref="W74" si="819">IF(OR(W73="",V74=""),"",W73+W69+V74)</f>
        <v>342415.25098026294</v>
      </c>
      <c r="X74" s="9">
        <f t="shared" ref="X74" si="820">IF(OR(X73="",W74=""),"",X73+X69+W74)</f>
        <v>149325.1223160112</v>
      </c>
      <c r="Y74" s="9">
        <f t="shared" ref="Y74" si="821">IF(OR(Y73="",X74=""),"",Y73+Y69+X74)</f>
        <v>-34042.942849013052</v>
      </c>
      <c r="Z74" s="9">
        <f t="shared" ref="Z74" si="822">IF(OR(Z73="",Y74=""),"",Z73+Z69+Y74)</f>
        <v>-198643.46262343184</v>
      </c>
      <c r="AA74" s="9">
        <f t="shared" ref="AA74" si="823">IF(OR(AA73="",Z74=""),"",AA73+AA69+Z74)</f>
        <v>-362295.19758295349</v>
      </c>
      <c r="AB74" s="9">
        <f t="shared" ref="AB74" si="824">IF(OR(AB73="",AA74=""),"",AB73+AB69+AA74)</f>
        <v>-443275.87520902383</v>
      </c>
      <c r="AC74" s="9">
        <f t="shared" ref="AC74" si="825">IF(OR(AC73="",AB74=""),"",AC73+AC69+AB74)</f>
        <v>-435715.13934934756</v>
      </c>
      <c r="AD74" s="9">
        <f t="shared" ref="AD74" si="826">IF(OR(AD73="",AC74=""),"",AD73+AD69+AC74)</f>
        <v>-425835.46181183052</v>
      </c>
      <c r="AE74" s="9">
        <f t="shared" ref="AE74" si="827">IF(OR(AE73="",AD74=""),"",AE73+AE69+AD74)</f>
        <v>-409684.17753247038</v>
      </c>
      <c r="AF74" s="9">
        <f t="shared" ref="AF74" si="828">IF(OR(AF73="",AE74=""),"",AF73+AF69+AE74)</f>
        <v>-354612.6708387105</v>
      </c>
      <c r="AG74" s="9">
        <f t="shared" ref="AG74" si="829">IF(OR(AG73="",AF74=""),"",AG73+AG69+AF74)</f>
        <v>-265920.63648397371</v>
      </c>
      <c r="AH74" s="9">
        <f t="shared" ref="AH74" si="830">IF(OR(AH73="",AG74=""),"",AH73+AH69+AG74)</f>
        <v>-201123.89828137204</v>
      </c>
      <c r="AI74" s="9">
        <f t="shared" ref="AI74" si="831">IF(OR(AI73="",AH74=""),"",AI73+AI69+AH74)</f>
        <v>-151151.11875427648</v>
      </c>
      <c r="AJ74" s="9">
        <f t="shared" ref="AJ74" si="832">IF(OR(AJ73="",AI74=""),"",AJ73+AJ69+AI74)</f>
        <v>-132443.21404785264</v>
      </c>
      <c r="AK74" s="9">
        <f t="shared" ref="AK74" si="833">IF(OR(AK73="",AJ74=""),"",AK73+AK69+AJ74)</f>
        <v>-114109.82650694804</v>
      </c>
      <c r="AL74" s="9">
        <f t="shared" ref="AL74" si="834">IF(OR(AL73="",AK74=""),"",AL73+AL69+AK74)</f>
        <v>-87830.504895266189</v>
      </c>
      <c r="AM74" s="9">
        <f t="shared" ref="AM74" si="835">IF(OR(AM73="",AL74=""),"",AM73+AM69+AL74)</f>
        <v>-58222.446800562968</v>
      </c>
      <c r="AN74" s="9">
        <f t="shared" ref="AN74" si="836">IF(OR(AN73="",AM74=""),"",AN73+AN69+AM74)</f>
        <v>-51494.655296646248</v>
      </c>
      <c r="AO74" s="9">
        <f t="shared" ref="AO74" si="837">IF(OR(AO73="",AN74=""),"",AO73+AO69+AN74)</f>
        <v>-51983.455566889512</v>
      </c>
      <c r="AP74" s="9">
        <f t="shared" ref="AP74" si="838">IF(OR(AP73="",AO74=""),"",AP73+AP69+AO74)</f>
        <v>-58230.926658603203</v>
      </c>
      <c r="AQ74" s="9">
        <f t="shared" ref="AQ74" si="839">IF(OR(AQ73="",AP74=""),"",AQ73+AQ69+AP74)</f>
        <v>-53323.889071333426</v>
      </c>
      <c r="AR74" s="9">
        <f t="shared" ref="AR74" si="840">IF(OR(AR73="",AQ74=""),"",AR73+AR69+AQ74)</f>
        <v>66126.64145425272</v>
      </c>
      <c r="AS74" s="9">
        <f t="shared" ref="AS74" si="841">IF(OR(AS73="",AR74=""),"",AS73+AS69+AR74)</f>
        <v>256842.79432473017</v>
      </c>
      <c r="AT74" s="9">
        <f t="shared" ref="AT74" si="842">IF(OR(AT73="",AS74=""),"",AT73+AT69+AS74)</f>
        <v>410600.38111553015</v>
      </c>
      <c r="AU74" s="9">
        <f t="shared" ref="AU74" si="843">IF(OR(AU73="",AT74=""),"",AU73+AU69+AT74)</f>
        <v>480769.97780297394</v>
      </c>
      <c r="AV74" s="9">
        <f t="shared" ref="AV74" si="844">IF(OR(AV73="",AU74=""),"",AV73+AV69+AU74)</f>
        <v>469662.95592151029</v>
      </c>
      <c r="AW74" s="9">
        <f t="shared" ref="AW74" si="845">IF(OR(AW73="",AV74=""),"",AW73+AW69+AV74)</f>
        <v>459404.20382531721</v>
      </c>
      <c r="AX74" s="9">
        <f t="shared" ref="AX74" si="846">IF(OR(AX73="",AW74=""),"",AX73+AX69+AW74)</f>
        <v>454444.66595301963</v>
      </c>
      <c r="AY74" s="9">
        <f t="shared" ref="AY74" si="847">IF(OR(AY73="",AX74=""),"",AY73+AY69+AX74)</f>
        <v>449944.57717426098</v>
      </c>
      <c r="AZ74" s="9">
        <f t="shared" ref="AZ74" si="848">IF(OR(AZ73="",AY74=""),"",AZ73+AZ69+AY74)</f>
        <v>438938.52047417918</v>
      </c>
      <c r="BA74" s="9">
        <f t="shared" ref="BA74" si="849">IF(OR(BA73="",AZ74=""),"",BA73+BA69+AZ74)</f>
        <v>456372.4741515083</v>
      </c>
      <c r="BB74" s="9">
        <f t="shared" ref="BB74" si="850">IF(OR(BB73="",BA74=""),"",BB73+BB69+BA74)</f>
        <v>412555.14811516961</v>
      </c>
      <c r="BC74" s="9">
        <f t="shared" ref="BC74" si="851">IF(OR(BC73="",BB74=""),"",BC73+BC69+BB74)</f>
        <v>367621.11641297862</v>
      </c>
      <c r="BD74" s="9">
        <f t="shared" ref="BD74" si="852">IF(OR(BD73="",BC74=""),"",BD73+BD69+BC74)</f>
        <v>356358.74275261129</v>
      </c>
      <c r="BE74" s="9">
        <f t="shared" ref="BE74" si="853">IF(OR(BE73="",BD74=""),"",BE73+BE69+BD74)</f>
        <v>306004.34211860952</v>
      </c>
      <c r="BF74" s="9">
        <f t="shared" ref="BF74" si="854">IF(OR(BF73="",BE74=""),"",BF73+BF69+BE74)</f>
        <v>254108.48339175692</v>
      </c>
      <c r="BG74" s="9">
        <f t="shared" ref="BG74" si="855">IF(OR(BG73="",BF74=""),"",BG73+BG69+BF74)</f>
        <v>201456.2358670026</v>
      </c>
      <c r="BH74" s="9">
        <f t="shared" ref="BH74" si="856">IF(OR(BH73="",BG74=""),"",BH73+BH69+BG74)</f>
        <v>155086.48305419646</v>
      </c>
      <c r="BI74" s="9">
        <f t="shared" ref="BI74" si="857">IF(OR(BI73="",BH74=""),"",BI73+BI69+BH74)</f>
        <v>109624.0108436431</v>
      </c>
      <c r="BJ74" s="9">
        <f t="shared" ref="BJ74:BL74" si="858">IF(OR(BJ73="",BI74=""),"",BJ73+BJ69+BI74)</f>
        <v>63214.607873028464</v>
      </c>
      <c r="BK74" s="9">
        <f>IF(OR(BK73="",BJ74=""),"",BK73+BK69+BJ74)</f>
        <v>20773.964476223133</v>
      </c>
      <c r="BL74" s="9">
        <f t="shared" si="858"/>
        <v>-17075.279968361523</v>
      </c>
      <c r="BM74" s="9">
        <f t="shared" ref="BM74:CI74" si="859">IF(OR(BM73="",BL74=""),"",BM73+BM69+BL74)</f>
        <v>-16346.853196470413</v>
      </c>
      <c r="BN74" s="9">
        <f t="shared" si="859"/>
        <v>-17787.989584082636</v>
      </c>
      <c r="BO74" s="9">
        <f t="shared" si="859"/>
        <v>-19240.427386491177</v>
      </c>
      <c r="BP74" s="9">
        <f t="shared" si="859"/>
        <v>-20624.674914797361</v>
      </c>
      <c r="BQ74" s="9">
        <f t="shared" si="859"/>
        <v>-22394.539384305182</v>
      </c>
      <c r="BR74" s="9">
        <f t="shared" si="859"/>
        <v>-24191.414318373605</v>
      </c>
      <c r="BS74" s="9">
        <f t="shared" si="859"/>
        <v>-26128.777214105674</v>
      </c>
      <c r="BT74" s="9">
        <f t="shared" si="859"/>
        <v>-27833.081934082744</v>
      </c>
      <c r="BU74" s="9">
        <f t="shared" si="859"/>
        <v>-29025.044752000424</v>
      </c>
      <c r="BV74" s="9">
        <f t="shared" si="859"/>
        <v>-30802.077142336202</v>
      </c>
      <c r="BW74" s="9">
        <f t="shared" si="859"/>
        <v>-32397.785872863944</v>
      </c>
      <c r="BX74" s="9">
        <f t="shared" si="859"/>
        <v>-33337.536405581595</v>
      </c>
      <c r="BY74" s="9">
        <f t="shared" si="859"/>
        <v>-31257.67995203461</v>
      </c>
      <c r="BZ74" s="9">
        <f t="shared" si="859"/>
        <v>-21326.78515028473</v>
      </c>
      <c r="CA74" s="9">
        <f t="shared" si="859"/>
        <v>-19425.470939119776</v>
      </c>
      <c r="CB74" s="9">
        <f t="shared" si="859"/>
        <v>-17110.012723978929</v>
      </c>
      <c r="CC74" s="9">
        <f t="shared" si="859"/>
        <v>-14455.416596777668</v>
      </c>
      <c r="CD74" s="9">
        <f t="shared" si="859"/>
        <v>-11831.770721017427</v>
      </c>
      <c r="CE74" s="9">
        <f>IF(OR(CE73="",CD74=""),"",CE73+CE69+CD74)</f>
        <v>-9091.2073093840754</v>
      </c>
      <c r="CF74" s="9">
        <f>IF(OR(CF73="",CE74=""),"",CF73+CF69+CE74)</f>
        <v>-7156.458694073197</v>
      </c>
      <c r="CG74" s="9">
        <f>IF(OR(CG73="",CF74=""),"",CG73+CG69+CF74)</f>
        <v>-4874.4358098488592</v>
      </c>
      <c r="CH74" s="9">
        <f t="shared" si="859"/>
        <v>-2634.7332647150533</v>
      </c>
      <c r="CI74" s="9">
        <f t="shared" si="859"/>
        <v>-268.91481010503048</v>
      </c>
    </row>
    <row r="75" spans="1:87" s="5" customFormat="1" ht="8.25" hidden="1" customHeight="1" outlineLevel="1" x14ac:dyDescent="0.35">
      <c r="A75" s="44"/>
      <c r="B75" s="13"/>
      <c r="C75" s="13"/>
      <c r="D75" s="13"/>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row>
    <row r="76" spans="1:87" s="2" customFormat="1" ht="15" customHeight="1" collapsed="1" x14ac:dyDescent="0.35">
      <c r="A76" s="275" t="s">
        <v>65</v>
      </c>
      <c r="B76" s="92"/>
      <c r="C76" s="26"/>
      <c r="D76" s="26"/>
      <c r="E76" s="31"/>
      <c r="F76" s="31"/>
      <c r="G76" s="31"/>
      <c r="H76" s="31"/>
      <c r="I76" s="31"/>
      <c r="J76" s="31"/>
      <c r="K76" s="31"/>
      <c r="L76" s="31"/>
      <c r="M76" s="31"/>
      <c r="N76" s="31"/>
      <c r="O76" s="31"/>
      <c r="P76" s="9"/>
      <c r="Q76" s="31"/>
      <c r="R76" s="31"/>
      <c r="S76" s="31"/>
      <c r="T76" s="31"/>
      <c r="U76" s="31"/>
      <c r="V76" s="31"/>
      <c r="W76" s="31"/>
      <c r="X76" s="31"/>
      <c r="Y76" s="74">
        <v>-950587.29</v>
      </c>
      <c r="Z76" s="31"/>
      <c r="AA76" s="31"/>
      <c r="AB76" s="31"/>
      <c r="AC76" s="31"/>
      <c r="AD76" s="31"/>
      <c r="AE76" s="31"/>
      <c r="AF76" s="31"/>
      <c r="AG76" s="31"/>
      <c r="AH76" s="31"/>
      <c r="AI76" s="31"/>
      <c r="AJ76" s="31"/>
      <c r="AK76" s="74">
        <v>-46000</v>
      </c>
      <c r="AL76" s="31"/>
      <c r="AM76" s="31"/>
      <c r="AN76" s="103"/>
      <c r="AO76" s="31"/>
      <c r="AP76" s="31"/>
      <c r="AQ76" s="31"/>
      <c r="AR76" s="31"/>
      <c r="AS76" s="31"/>
      <c r="AT76" s="31"/>
      <c r="AU76" s="31"/>
      <c r="AV76" s="31"/>
      <c r="AW76" s="31"/>
      <c r="AX76" s="31"/>
      <c r="AY76" s="31"/>
      <c r="AZ76" s="31"/>
      <c r="BA76" s="31"/>
      <c r="BB76" s="31"/>
      <c r="BC76" s="31"/>
      <c r="BD76" s="31"/>
      <c r="BE76" s="31"/>
      <c r="BF76" s="31"/>
      <c r="BG76" s="31"/>
      <c r="BH76" s="31"/>
      <c r="BI76" s="31"/>
      <c r="BJ76" s="31"/>
      <c r="BK76" s="31"/>
      <c r="BL76" s="31"/>
      <c r="BM76" s="31"/>
      <c r="BN76" s="31"/>
      <c r="BO76" s="31"/>
      <c r="BP76" s="31"/>
      <c r="BQ76" s="31"/>
      <c r="BR76" s="31"/>
      <c r="BS76" s="31"/>
      <c r="BT76" s="31"/>
      <c r="BU76" s="31"/>
      <c r="BV76" s="31"/>
      <c r="BW76" s="31"/>
      <c r="BX76" s="31"/>
      <c r="BY76" s="31"/>
      <c r="BZ76" s="31"/>
      <c r="CA76" s="31"/>
      <c r="CB76" s="31"/>
      <c r="CC76" s="31"/>
      <c r="CD76" s="31"/>
      <c r="CE76" s="31"/>
      <c r="CF76" s="31"/>
      <c r="CG76" s="31"/>
      <c r="CH76" s="31"/>
      <c r="CI76" s="31"/>
    </row>
    <row r="77" spans="1:87" s="4" customFormat="1" x14ac:dyDescent="0.35">
      <c r="A77" s="275"/>
      <c r="B77" s="92" t="s">
        <v>66</v>
      </c>
      <c r="C77" s="26"/>
      <c r="D77" s="26"/>
      <c r="E77" s="24"/>
      <c r="F77" s="24"/>
      <c r="G77" s="24"/>
      <c r="H77" s="24"/>
      <c r="I77" s="24"/>
      <c r="J77" s="24"/>
      <c r="K77" s="24"/>
      <c r="L77" s="24"/>
      <c r="M77" s="23"/>
      <c r="N77" s="24"/>
      <c r="O77" s="24"/>
      <c r="P77" s="23"/>
      <c r="Q77" s="24"/>
      <c r="R77" s="24"/>
      <c r="S77" s="24"/>
      <c r="T77" s="24"/>
      <c r="U77" s="24"/>
      <c r="V77" s="24"/>
      <c r="W77" s="24"/>
      <c r="X77" s="24"/>
      <c r="Y77" s="24">
        <v>0</v>
      </c>
      <c r="Z77" s="24">
        <v>0</v>
      </c>
      <c r="AA77" s="24">
        <v>-11434.029999999999</v>
      </c>
      <c r="AB77" s="24">
        <v>-97063.06</v>
      </c>
      <c r="AC77" s="24">
        <v>-78439.839999999997</v>
      </c>
      <c r="AD77" s="24">
        <v>-75986.289999999994</v>
      </c>
      <c r="AE77" s="24">
        <v>-62392.98</v>
      </c>
      <c r="AF77" s="24">
        <v>-91978.92</v>
      </c>
      <c r="AG77" s="24">
        <v>-107509.38</v>
      </c>
      <c r="AH77" s="24">
        <v>-96563.72</v>
      </c>
      <c r="AI77" s="24">
        <v>-92958.44</v>
      </c>
      <c r="AJ77" s="24">
        <v>-72329.81</v>
      </c>
      <c r="AK77" s="24">
        <v>-67043.09</v>
      </c>
      <c r="AL77" s="24">
        <v>-92630.26</v>
      </c>
      <c r="AM77" s="24">
        <v>-91472.06</v>
      </c>
      <c r="AN77" s="24">
        <v>3116.63</v>
      </c>
      <c r="AO77" s="24">
        <v>2587.12</v>
      </c>
      <c r="AP77" s="24">
        <v>842.75</v>
      </c>
      <c r="AQ77" s="24">
        <v>56.56</v>
      </c>
      <c r="AR77" s="24">
        <v>1511.37</v>
      </c>
      <c r="AS77" s="24">
        <v>3222.89</v>
      </c>
      <c r="AT77" s="24">
        <v>3620.76</v>
      </c>
      <c r="AU77" s="24">
        <v>2953.3</v>
      </c>
      <c r="AV77" s="24">
        <v>1582.66</v>
      </c>
      <c r="AW77" s="24">
        <v>859.68</v>
      </c>
      <c r="AX77" s="24">
        <v>2364.75</v>
      </c>
      <c r="AY77" s="24">
        <v>3022.68</v>
      </c>
      <c r="AZ77" s="24">
        <v>944.99</v>
      </c>
      <c r="BA77" s="24">
        <v>-2.4400000000000013</v>
      </c>
      <c r="BB77" s="24">
        <v>-0.16</v>
      </c>
      <c r="BC77" s="24">
        <v>2.42</v>
      </c>
      <c r="BD77" s="24">
        <v>85.57</v>
      </c>
      <c r="BE77" s="24">
        <v>-0.13</v>
      </c>
      <c r="BF77" s="24">
        <v>-0.4</v>
      </c>
      <c r="BG77" s="24">
        <v>-0.62</v>
      </c>
      <c r="BH77" s="24">
        <v>-0.01</v>
      </c>
      <c r="BI77" s="24">
        <v>-0.33</v>
      </c>
      <c r="BJ77" s="24">
        <v>0.28999999999999998</v>
      </c>
      <c r="BK77" s="24">
        <v>0.18</v>
      </c>
      <c r="BL77" s="24">
        <v>-383.51</v>
      </c>
      <c r="BM77" s="24">
        <v>-838.54</v>
      </c>
      <c r="BN77" s="24">
        <v>-901.74</v>
      </c>
      <c r="BO77" s="24">
        <v>-918.67</v>
      </c>
      <c r="BP77" s="24">
        <v>-989.05</v>
      </c>
      <c r="BQ77" s="24">
        <v>-1207.8800000000001</v>
      </c>
      <c r="BR77" s="24">
        <v>-1173.18</v>
      </c>
      <c r="BS77" s="24">
        <v>-1200.93</v>
      </c>
      <c r="BT77" s="24">
        <v>-1051.26</v>
      </c>
      <c r="BU77" s="24">
        <v>-899.18</v>
      </c>
      <c r="BV77" s="24">
        <v>-1032.83</v>
      </c>
      <c r="BW77" s="24">
        <v>-970.5</v>
      </c>
      <c r="BX77" s="14"/>
      <c r="BY77" s="14"/>
      <c r="BZ77" s="14"/>
      <c r="CA77" s="14"/>
      <c r="CB77" s="14"/>
      <c r="CC77" s="14"/>
      <c r="CD77" s="14"/>
      <c r="CE77" s="14"/>
      <c r="CF77" s="14"/>
      <c r="CG77" s="14"/>
      <c r="CH77" s="14"/>
      <c r="CI77" s="14"/>
    </row>
    <row r="78" spans="1:87" s="4" customFormat="1" x14ac:dyDescent="0.35">
      <c r="A78" s="275"/>
      <c r="B78" s="92" t="s">
        <v>67</v>
      </c>
      <c r="C78" s="26"/>
      <c r="D78" s="26"/>
      <c r="E78" s="9"/>
      <c r="F78" s="9"/>
      <c r="G78" s="9"/>
      <c r="H78" s="9"/>
      <c r="I78" s="9"/>
      <c r="J78" s="10"/>
      <c r="K78" s="10"/>
      <c r="L78" s="10"/>
      <c r="M78" s="10"/>
      <c r="N78" s="10"/>
      <c r="O78" s="10"/>
      <c r="P78" s="10"/>
      <c r="Q78" s="10"/>
      <c r="R78" s="10"/>
      <c r="S78" s="10"/>
      <c r="T78" s="10"/>
      <c r="U78" s="10"/>
      <c r="V78" s="10"/>
      <c r="W78" s="10"/>
      <c r="X78" s="10"/>
      <c r="Y78" s="10">
        <f>IF(OR(Y77=""),"",Y76-Y77)</f>
        <v>-950587.29</v>
      </c>
      <c r="Z78" s="10">
        <f>IF(OR(Z77=""),"",Z76-Z77)</f>
        <v>0</v>
      </c>
      <c r="AA78" s="10">
        <f t="shared" ref="AA78:AX78" si="860">IF(OR(AA77=""),"",AA76-AA77)</f>
        <v>11434.029999999999</v>
      </c>
      <c r="AB78" s="10">
        <f t="shared" si="860"/>
        <v>97063.06</v>
      </c>
      <c r="AC78" s="10">
        <f t="shared" si="860"/>
        <v>78439.839999999997</v>
      </c>
      <c r="AD78" s="10">
        <f t="shared" si="860"/>
        <v>75986.289999999994</v>
      </c>
      <c r="AE78" s="10">
        <f t="shared" si="860"/>
        <v>62392.98</v>
      </c>
      <c r="AF78" s="10">
        <f t="shared" si="860"/>
        <v>91978.92</v>
      </c>
      <c r="AG78" s="10">
        <f t="shared" si="860"/>
        <v>107509.38</v>
      </c>
      <c r="AH78" s="10">
        <f t="shared" si="860"/>
        <v>96563.72</v>
      </c>
      <c r="AI78" s="10">
        <f t="shared" si="860"/>
        <v>92958.44</v>
      </c>
      <c r="AJ78" s="10">
        <f>IF(OR(AJ77=""),"",AJ76-AJ77)</f>
        <v>72329.81</v>
      </c>
      <c r="AK78" s="10">
        <f>IF(OR(AK77=""),"",AK76-AK77)</f>
        <v>21043.089999999997</v>
      </c>
      <c r="AL78" s="10">
        <f>IF(OR(AL77=""),"",AL76-AL77)</f>
        <v>92630.26</v>
      </c>
      <c r="AM78" s="10">
        <f t="shared" si="860"/>
        <v>91472.06</v>
      </c>
      <c r="AN78" s="10">
        <f t="shared" si="860"/>
        <v>-3116.63</v>
      </c>
      <c r="AO78" s="10">
        <f t="shared" si="860"/>
        <v>-2587.12</v>
      </c>
      <c r="AP78" s="10">
        <f t="shared" si="860"/>
        <v>-842.75</v>
      </c>
      <c r="AQ78" s="10">
        <f t="shared" si="860"/>
        <v>-56.56</v>
      </c>
      <c r="AR78" s="10">
        <f t="shared" si="860"/>
        <v>-1511.37</v>
      </c>
      <c r="AS78" s="10">
        <f t="shared" si="860"/>
        <v>-3222.89</v>
      </c>
      <c r="AT78" s="10">
        <f t="shared" si="860"/>
        <v>-3620.76</v>
      </c>
      <c r="AU78" s="10">
        <f t="shared" si="860"/>
        <v>-2953.3</v>
      </c>
      <c r="AV78" s="10">
        <f t="shared" si="860"/>
        <v>-1582.66</v>
      </c>
      <c r="AW78" s="10">
        <f t="shared" si="860"/>
        <v>-859.68</v>
      </c>
      <c r="AX78" s="10">
        <f t="shared" si="860"/>
        <v>-2364.75</v>
      </c>
      <c r="AY78" s="10">
        <f>IF(OR(AY77=""),"",AY76-AY77)</f>
        <v>-3022.68</v>
      </c>
      <c r="AZ78" s="10">
        <f t="shared" ref="AZ78:BJ78" si="861">IF(OR(AZ77=""),"",AZ76-AZ77)</f>
        <v>-944.99</v>
      </c>
      <c r="BA78" s="10">
        <f t="shared" si="861"/>
        <v>2.4400000000000013</v>
      </c>
      <c r="BB78" s="10">
        <f t="shared" si="861"/>
        <v>0.16</v>
      </c>
      <c r="BC78" s="10">
        <f t="shared" si="861"/>
        <v>-2.42</v>
      </c>
      <c r="BD78" s="10">
        <f t="shared" si="861"/>
        <v>-85.57</v>
      </c>
      <c r="BE78" s="10">
        <f t="shared" si="861"/>
        <v>0.13</v>
      </c>
      <c r="BF78" s="10">
        <f t="shared" si="861"/>
        <v>0.4</v>
      </c>
      <c r="BG78" s="10">
        <f t="shared" si="861"/>
        <v>0.62</v>
      </c>
      <c r="BH78" s="10">
        <f>IF(OR(BH77=""),"",BH76-BH77)</f>
        <v>0.01</v>
      </c>
      <c r="BI78" s="10">
        <f t="shared" si="861"/>
        <v>0.33</v>
      </c>
      <c r="BJ78" s="10">
        <f t="shared" si="861"/>
        <v>-0.28999999999999998</v>
      </c>
      <c r="BK78" s="10">
        <f t="shared" ref="BK78:BL78" si="862">IF(OR(BK77=""),"",BK76-BK77)</f>
        <v>-0.18</v>
      </c>
      <c r="BL78" s="10">
        <f t="shared" si="862"/>
        <v>383.51</v>
      </c>
      <c r="BM78" s="10">
        <f t="shared" ref="BM78" si="863">IF(OR(BM77=""),"",BM76-BM77)</f>
        <v>838.54</v>
      </c>
      <c r="BN78" s="10">
        <f t="shared" ref="BN78:BW78" si="864">IF(OR(BN77=""),"",BN76-BN77)</f>
        <v>901.74</v>
      </c>
      <c r="BO78" s="10">
        <f t="shared" si="864"/>
        <v>918.67</v>
      </c>
      <c r="BP78" s="10">
        <f t="shared" si="864"/>
        <v>989.05</v>
      </c>
      <c r="BQ78" s="10">
        <f t="shared" si="864"/>
        <v>1207.8800000000001</v>
      </c>
      <c r="BR78" s="10">
        <f t="shared" si="864"/>
        <v>1173.18</v>
      </c>
      <c r="BS78" s="10">
        <f t="shared" si="864"/>
        <v>1200.93</v>
      </c>
      <c r="BT78" s="10">
        <f t="shared" si="864"/>
        <v>1051.26</v>
      </c>
      <c r="BU78" s="10">
        <f t="shared" si="864"/>
        <v>899.18</v>
      </c>
      <c r="BV78" s="10">
        <f t="shared" si="864"/>
        <v>1032.83</v>
      </c>
      <c r="BW78" s="10">
        <f t="shared" si="864"/>
        <v>970.5</v>
      </c>
      <c r="BX78" s="14" t="str">
        <f t="shared" ref="BX78:BY78" si="865">IF(OR(BX77=""),"",BX76-BX77)</f>
        <v/>
      </c>
      <c r="BY78" s="14" t="str">
        <f t="shared" si="865"/>
        <v/>
      </c>
      <c r="BZ78" s="14" t="str">
        <f t="shared" ref="BZ78:CA78" si="866">IF(OR(BZ77=""),"",BZ76-BZ77)</f>
        <v/>
      </c>
      <c r="CA78" s="14" t="str">
        <f t="shared" si="866"/>
        <v/>
      </c>
      <c r="CB78" s="14" t="str">
        <f t="shared" ref="CB78:CC78" si="867">IF(OR(CB77=""),"",CB76-CB77)</f>
        <v/>
      </c>
      <c r="CC78" s="14" t="str">
        <f t="shared" si="867"/>
        <v/>
      </c>
      <c r="CD78" s="14" t="str">
        <f t="shared" ref="CD78:CE78" si="868">IF(OR(CD77=""),"",CD76-CD77)</f>
        <v/>
      </c>
      <c r="CE78" s="14" t="str">
        <f t="shared" si="868"/>
        <v/>
      </c>
      <c r="CF78" s="14" t="str">
        <f t="shared" ref="CF78:CG78" si="869">IF(OR(CF77=""),"",CF76-CF77)</f>
        <v/>
      </c>
      <c r="CG78" s="14" t="str">
        <f t="shared" si="869"/>
        <v/>
      </c>
      <c r="CH78" s="14" t="str">
        <f t="shared" ref="CH78:CI78" si="870">IF(OR(CH77=""),"",CH76-CH77)</f>
        <v/>
      </c>
      <c r="CI78" s="14" t="str">
        <f t="shared" si="870"/>
        <v/>
      </c>
    </row>
    <row r="79" spans="1:87" s="4" customFormat="1" x14ac:dyDescent="0.35">
      <c r="A79" s="275"/>
      <c r="B79" s="93" t="s">
        <v>8</v>
      </c>
      <c r="C79" s="26"/>
      <c r="D79" s="26"/>
      <c r="E79" s="10"/>
      <c r="F79" s="10"/>
      <c r="G79" s="10"/>
      <c r="H79" s="10"/>
      <c r="I79" s="10"/>
      <c r="J79" s="10"/>
      <c r="K79" s="10"/>
      <c r="L79" s="10"/>
      <c r="M79" s="10"/>
      <c r="N79" s="10"/>
      <c r="O79" s="10"/>
      <c r="P79" s="10"/>
      <c r="Q79" s="10"/>
      <c r="R79" s="10"/>
      <c r="S79" s="10"/>
      <c r="T79" s="10"/>
      <c r="U79" s="10"/>
      <c r="V79" s="10"/>
      <c r="W79" s="10"/>
      <c r="X79" s="10"/>
      <c r="Y79" s="10">
        <f>IF(OR(Y9="",Y78=""),"",((Y78)*Y9)/12)</f>
        <v>-1142.9773645635676</v>
      </c>
      <c r="Z79" s="10">
        <f>IF(OR(Z9="",Z78=""),"",((Z78+Y82)*Z9)/12)</f>
        <v>-1406.6105417600129</v>
      </c>
      <c r="AA79" s="10">
        <f t="shared" ref="AA79:AX79" si="871">IF(OR(AA9="",AA78=""),"",((AA78+Z82)*AA9)/12)</f>
        <v>-1346.153234548864</v>
      </c>
      <c r="AB79" s="10">
        <f t="shared" si="871"/>
        <v>-1288.4126187558829</v>
      </c>
      <c r="AC79" s="10">
        <f t="shared" si="871"/>
        <v>-1315.9538118321113</v>
      </c>
      <c r="AD79" s="10">
        <f t="shared" si="871"/>
        <v>-1336.9578921220411</v>
      </c>
      <c r="AE79" s="10">
        <f t="shared" si="871"/>
        <v>-1160.0625389104569</v>
      </c>
      <c r="AF79" s="10">
        <f t="shared" si="871"/>
        <v>-1030.1512787032175</v>
      </c>
      <c r="AG79" s="10">
        <f t="shared" si="871"/>
        <v>-852.43323708722994</v>
      </c>
      <c r="AH79" s="10">
        <f t="shared" si="871"/>
        <v>-659.06779451001023</v>
      </c>
      <c r="AI79" s="10">
        <f t="shared" si="871"/>
        <v>-480.92950853408678</v>
      </c>
      <c r="AJ79" s="10">
        <f t="shared" si="871"/>
        <v>-360.31926611651494</v>
      </c>
      <c r="AK79" s="10">
        <f>IF(OR(AK9="",AK78=""),"",((AK78+AJ82)*AK9)/12)</f>
        <v>-326.98303189502104</v>
      </c>
      <c r="AL79" s="10">
        <f>IF(OR(AL9="",AL78=""),"",((AL78+AK82)*AL9)/12)</f>
        <v>-144.53386682650574</v>
      </c>
      <c r="AM79" s="10">
        <f t="shared" si="871"/>
        <v>67.827737992733816</v>
      </c>
      <c r="AN79" s="10">
        <f t="shared" si="871"/>
        <v>59.918620369761747</v>
      </c>
      <c r="AO79" s="10">
        <f t="shared" si="871"/>
        <v>52.938377462680137</v>
      </c>
      <c r="AP79" s="10">
        <f t="shared" si="871"/>
        <v>48.802208476892723</v>
      </c>
      <c r="AQ79" s="10">
        <f t="shared" si="871"/>
        <v>49.061459961622738</v>
      </c>
      <c r="AR79" s="10">
        <f t="shared" si="871"/>
        <v>45.331792046848214</v>
      </c>
      <c r="AS79" s="10">
        <f t="shared" si="871"/>
        <v>37.516625105978882</v>
      </c>
      <c r="AT79" s="10">
        <f t="shared" si="871"/>
        <v>26.972774943528055</v>
      </c>
      <c r="AU79" s="10">
        <f t="shared" si="871"/>
        <v>20.025787757859852</v>
      </c>
      <c r="AV79" s="10">
        <f t="shared" si="871"/>
        <v>16.343159553426808</v>
      </c>
      <c r="AW79" s="10">
        <f t="shared" si="871"/>
        <v>12.763470691451941</v>
      </c>
      <c r="AX79" s="10">
        <f t="shared" si="871"/>
        <v>9.7069882726060612</v>
      </c>
      <c r="AY79" s="10">
        <f t="shared" ref="AY79" si="872">IF(OR(AY9="",AY78=""),"",((AY78+AX82)*AY9)/12)</f>
        <v>4.8314791567889772</v>
      </c>
      <c r="AZ79" s="10">
        <f>IF(OR(AZ9="",AZ78=""),"",((AZ78+AY82)*AZ9)/12)</f>
        <v>3.1997734168797702</v>
      </c>
      <c r="BA79" s="10">
        <f>IF(OR(BA9="",BA78=""),"",((BA78+AZ82)*BA9)/12)</f>
        <v>3.3594656448678157</v>
      </c>
      <c r="BB79" s="10">
        <f t="shared" ref="BB79" si="873">IF(OR(BB9="",BB78=""),"",((BB78+BA82)*BB9)/12)</f>
        <v>1.6721040257130282</v>
      </c>
      <c r="BC79" s="10">
        <f t="shared" ref="BC79" si="874">IF(OR(BC9="",BC78=""),"",((BC78+BB82)*BC9)/12)</f>
        <v>0.22988508836275723</v>
      </c>
      <c r="BD79" s="10">
        <f t="shared" ref="BD79" si="875">IF(OR(BD9="",BD78=""),"",((BD78+BC82)*BD9)/12)</f>
        <v>0.21483065616418598</v>
      </c>
      <c r="BE79" s="10">
        <f t="shared" ref="BE79" si="876">IF(OR(BE9="",BE78=""),"",((BE78+BD82)*BE9)/12)</f>
        <v>0.33122191838176246</v>
      </c>
      <c r="BF79" s="10">
        <f t="shared" ref="BF79" si="877">IF(OR(BF9="",BF78=""),"",((BF78+BE82)*BF9)/12)</f>
        <v>0.2336846168970412</v>
      </c>
      <c r="BG79" s="10">
        <f t="shared" ref="BG79" si="878">IF(OR(BG9="",BG78=""),"",((BG78+BF82)*BG9)/12)</f>
        <v>0.2120972547870974</v>
      </c>
      <c r="BH79" s="10">
        <f>IF(OR(BH9="",BH78=""),"",((BH78+BG82)*BH9)/12)</f>
        <v>0.34236125970811027</v>
      </c>
      <c r="BI79" s="10">
        <f t="shared" ref="BI79" si="879">IF(OR(BI9="",BI78=""),"",((BI78+BH82)*BI9)/12)</f>
        <v>0.43227667386697566</v>
      </c>
      <c r="BJ79" s="10">
        <f t="shared" ref="BJ79:BM79" si="880">IF(OR(BJ9="",BJ78=""),"",((BJ78+BI82)*BJ9)/12)</f>
        <v>0.48754281355907209</v>
      </c>
      <c r="BK79" s="10">
        <f t="shared" si="880"/>
        <v>0.35306280958904529</v>
      </c>
      <c r="BL79" s="10">
        <f t="shared" si="880"/>
        <v>0.47201062181403408</v>
      </c>
      <c r="BM79" s="10">
        <f t="shared" si="880"/>
        <v>0.58371549010880763</v>
      </c>
      <c r="BN79" s="10">
        <f t="shared" ref="BN79:CI79" si="881">IF(OR(BN9="",BN78=""),"",((BN78+BM82)*BN9)/12)</f>
        <v>0.78427009905860645</v>
      </c>
      <c r="BO79" s="10">
        <f t="shared" si="881"/>
        <v>0.95314530933060526</v>
      </c>
      <c r="BP79" s="10">
        <f t="shared" si="881"/>
        <v>1.0234103408209305</v>
      </c>
      <c r="BQ79" s="10">
        <f t="shared" si="881"/>
        <v>0.8487892737123407</v>
      </c>
      <c r="BR79" s="10">
        <f t="shared" si="881"/>
        <v>1.4481490285324148</v>
      </c>
      <c r="BS79" s="10">
        <f t="shared" si="881"/>
        <v>1.5579823325549995</v>
      </c>
      <c r="BT79" s="10">
        <f t="shared" si="881"/>
        <v>1.3410092842876644</v>
      </c>
      <c r="BU79" s="10">
        <f t="shared" si="881"/>
        <v>1.4846712123357226</v>
      </c>
      <c r="BV79" s="10">
        <f t="shared" si="881"/>
        <v>2.7485268153887428</v>
      </c>
      <c r="BW79" s="10">
        <f t="shared" si="881"/>
        <v>2.664164463345204</v>
      </c>
      <c r="BX79" s="14" t="str">
        <f t="shared" si="881"/>
        <v/>
      </c>
      <c r="BY79" s="14" t="str">
        <f t="shared" si="881"/>
        <v/>
      </c>
      <c r="BZ79" s="14" t="str">
        <f t="shared" si="881"/>
        <v/>
      </c>
      <c r="CA79" s="14" t="str">
        <f t="shared" si="881"/>
        <v/>
      </c>
      <c r="CB79" s="14" t="str">
        <f t="shared" si="881"/>
        <v/>
      </c>
      <c r="CC79" s="14" t="str">
        <f t="shared" si="881"/>
        <v/>
      </c>
      <c r="CD79" s="14" t="str">
        <f t="shared" si="881"/>
        <v/>
      </c>
      <c r="CE79" s="14" t="str">
        <f t="shared" si="881"/>
        <v/>
      </c>
      <c r="CF79" s="14" t="str">
        <f t="shared" si="881"/>
        <v/>
      </c>
      <c r="CG79" s="14" t="str">
        <f t="shared" si="881"/>
        <v/>
      </c>
      <c r="CH79" s="14" t="str">
        <f t="shared" si="881"/>
        <v/>
      </c>
      <c r="CI79" s="14" t="str">
        <f t="shared" si="881"/>
        <v/>
      </c>
    </row>
    <row r="80" spans="1:87" s="4" customFormat="1" x14ac:dyDescent="0.35">
      <c r="A80" s="275"/>
      <c r="B80" s="93" t="s">
        <v>6</v>
      </c>
      <c r="C80" s="30"/>
      <c r="D80" s="30"/>
      <c r="E80" s="10"/>
      <c r="F80" s="10"/>
      <c r="G80" s="10"/>
      <c r="H80" s="10"/>
      <c r="I80" s="10"/>
      <c r="J80" s="10"/>
      <c r="K80" s="10"/>
      <c r="L80" s="10"/>
      <c r="M80" s="10"/>
      <c r="N80" s="10"/>
      <c r="O80" s="10"/>
      <c r="P80" s="10"/>
      <c r="Q80" s="10"/>
      <c r="R80" s="10"/>
      <c r="S80" s="10"/>
      <c r="T80" s="10"/>
      <c r="U80" s="10"/>
      <c r="V80" s="10"/>
      <c r="W80" s="10"/>
      <c r="X80" s="10"/>
      <c r="Y80" s="10">
        <f>IF(OR(Y79=""),"",Y79)</f>
        <v>-1142.9773645635676</v>
      </c>
      <c r="Z80" s="10">
        <f>IF(OR(Y80="",Z79=""),"",Y80+Z79)</f>
        <v>-2549.5879063235807</v>
      </c>
      <c r="AA80" s="10">
        <f t="shared" ref="AA80:AX80" si="882">IF(OR(Z80="",AA79=""),"",Z80+AA79)</f>
        <v>-3895.7411408724447</v>
      </c>
      <c r="AB80" s="10">
        <f t="shared" si="882"/>
        <v>-5184.1537596283279</v>
      </c>
      <c r="AC80" s="10">
        <f t="shared" si="882"/>
        <v>-6500.1075714604394</v>
      </c>
      <c r="AD80" s="10">
        <f t="shared" si="882"/>
        <v>-7837.0654635824803</v>
      </c>
      <c r="AE80" s="10">
        <f t="shared" si="882"/>
        <v>-8997.1280024929365</v>
      </c>
      <c r="AF80" s="10">
        <f t="shared" si="882"/>
        <v>-10027.279281196154</v>
      </c>
      <c r="AG80" s="10">
        <f t="shared" si="882"/>
        <v>-10879.712518283384</v>
      </c>
      <c r="AH80" s="10">
        <f t="shared" si="882"/>
        <v>-11538.780312793395</v>
      </c>
      <c r="AI80" s="10">
        <f t="shared" si="882"/>
        <v>-12019.709821327482</v>
      </c>
      <c r="AJ80" s="10">
        <f t="shared" si="882"/>
        <v>-12380.029087443998</v>
      </c>
      <c r="AK80" s="10">
        <f>IF(OR(AJ80="",AK79=""),"",AJ80+AK79)</f>
        <v>-12707.012119339019</v>
      </c>
      <c r="AL80" s="10">
        <f>IF(OR(AK80="",AL79=""),"",AK80+AL79)</f>
        <v>-12851.545986165524</v>
      </c>
      <c r="AM80" s="10">
        <f t="shared" si="882"/>
        <v>-12783.71824817279</v>
      </c>
      <c r="AN80" s="10">
        <f t="shared" si="882"/>
        <v>-12723.79962780303</v>
      </c>
      <c r="AO80" s="10">
        <f t="shared" si="882"/>
        <v>-12670.861250340349</v>
      </c>
      <c r="AP80" s="10">
        <f t="shared" si="882"/>
        <v>-12622.059041863457</v>
      </c>
      <c r="AQ80" s="10">
        <f t="shared" si="882"/>
        <v>-12572.997581901835</v>
      </c>
      <c r="AR80" s="10">
        <f t="shared" si="882"/>
        <v>-12527.665789854986</v>
      </c>
      <c r="AS80" s="10">
        <f t="shared" si="882"/>
        <v>-12490.149164749007</v>
      </c>
      <c r="AT80" s="10">
        <f t="shared" si="882"/>
        <v>-12463.17638980548</v>
      </c>
      <c r="AU80" s="10">
        <f t="shared" si="882"/>
        <v>-12443.150602047619</v>
      </c>
      <c r="AV80" s="10">
        <f t="shared" si="882"/>
        <v>-12426.807442494191</v>
      </c>
      <c r="AW80" s="10">
        <f t="shared" si="882"/>
        <v>-12414.043971802739</v>
      </c>
      <c r="AX80" s="10">
        <f t="shared" si="882"/>
        <v>-12404.336983530133</v>
      </c>
      <c r="AY80" s="10">
        <f t="shared" ref="AY80" si="883">IF(OR(AX80="",AY79=""),"",AX80+AY79)</f>
        <v>-12399.505504373345</v>
      </c>
      <c r="AZ80" s="10">
        <f t="shared" ref="AZ80" si="884">IF(OR(AY80="",AZ79=""),"",AY80+AZ79)</f>
        <v>-12396.305730956465</v>
      </c>
      <c r="BA80" s="10">
        <f>IF(OR(AZ80="",BA79=""),"",AZ80+BA79)</f>
        <v>-12392.946265311597</v>
      </c>
      <c r="BB80" s="10">
        <f t="shared" ref="BB80" si="885">IF(OR(BA80="",BB79=""),"",BA80+BB79)</f>
        <v>-12391.274161285884</v>
      </c>
      <c r="BC80" s="10">
        <f t="shared" ref="BC80" si="886">IF(OR(BB80="",BC79=""),"",BB80+BC79)</f>
        <v>-12391.044276197521</v>
      </c>
      <c r="BD80" s="10">
        <f t="shared" ref="BD80" si="887">IF(OR(BC80="",BD79=""),"",BC80+BD79)</f>
        <v>-12390.829445541356</v>
      </c>
      <c r="BE80" s="10">
        <f t="shared" ref="BE80" si="888">IF(OR(BD80="",BE79=""),"",BD80+BE79)</f>
        <v>-12390.498223622973</v>
      </c>
      <c r="BF80" s="10">
        <f t="shared" ref="BF80" si="889">IF(OR(BE80="",BF79=""),"",BE80+BF79)</f>
        <v>-12390.264539006077</v>
      </c>
      <c r="BG80" s="10">
        <f t="shared" ref="BG80" si="890">IF(OR(BF80="",BG79=""),"",BF80+BG79)</f>
        <v>-12390.05244175129</v>
      </c>
      <c r="BH80" s="10">
        <f>IF(OR(BG80="",BH79=""),"",BG80+BH79)</f>
        <v>-12389.710080491581</v>
      </c>
      <c r="BI80" s="10">
        <f t="shared" ref="BI80" si="891">IF(OR(BH80="",BI79=""),"",BH80+BI79)</f>
        <v>-12389.277803817713</v>
      </c>
      <c r="BJ80" s="10">
        <f t="shared" ref="BJ80:CI80" si="892">IF(OR(BI80="",BJ79=""),"",BI80+BJ79)</f>
        <v>-12388.790261004155</v>
      </c>
      <c r="BK80" s="10">
        <f t="shared" si="892"/>
        <v>-12388.437198194566</v>
      </c>
      <c r="BL80" s="10">
        <f t="shared" si="892"/>
        <v>-12387.965187572752</v>
      </c>
      <c r="BM80" s="10">
        <f t="shared" si="892"/>
        <v>-12387.381472082643</v>
      </c>
      <c r="BN80" s="10">
        <f t="shared" si="892"/>
        <v>-12386.597201983584</v>
      </c>
      <c r="BO80" s="10">
        <f t="shared" si="892"/>
        <v>-12385.644056674253</v>
      </c>
      <c r="BP80" s="10">
        <f t="shared" si="892"/>
        <v>-12384.620646333433</v>
      </c>
      <c r="BQ80" s="10">
        <f t="shared" si="892"/>
        <v>-12383.771857059721</v>
      </c>
      <c r="BR80" s="10">
        <f t="shared" si="892"/>
        <v>-12382.323708031188</v>
      </c>
      <c r="BS80" s="10">
        <f t="shared" si="892"/>
        <v>-12380.765725698633</v>
      </c>
      <c r="BT80" s="10">
        <f t="shared" si="892"/>
        <v>-12379.424716414345</v>
      </c>
      <c r="BU80" s="10">
        <f t="shared" si="892"/>
        <v>-12377.940045202009</v>
      </c>
      <c r="BV80" s="10">
        <f t="shared" si="892"/>
        <v>-12375.19151838662</v>
      </c>
      <c r="BW80" s="10">
        <f t="shared" si="892"/>
        <v>-12372.527353923275</v>
      </c>
      <c r="BX80" s="14" t="str">
        <f t="shared" si="892"/>
        <v/>
      </c>
      <c r="BY80" s="14" t="str">
        <f t="shared" si="892"/>
        <v/>
      </c>
      <c r="BZ80" s="14" t="str">
        <f t="shared" si="892"/>
        <v/>
      </c>
      <c r="CA80" s="14" t="str">
        <f t="shared" si="892"/>
        <v/>
      </c>
      <c r="CB80" s="14" t="str">
        <f t="shared" si="892"/>
        <v/>
      </c>
      <c r="CC80" s="14" t="str">
        <f t="shared" si="892"/>
        <v/>
      </c>
      <c r="CD80" s="14" t="str">
        <f t="shared" si="892"/>
        <v/>
      </c>
      <c r="CE80" s="14" t="str">
        <f t="shared" si="892"/>
        <v/>
      </c>
      <c r="CF80" s="14" t="str">
        <f t="shared" si="892"/>
        <v/>
      </c>
      <c r="CG80" s="14" t="str">
        <f t="shared" si="892"/>
        <v/>
      </c>
      <c r="CH80" s="14" t="str">
        <f t="shared" si="892"/>
        <v/>
      </c>
      <c r="CI80" s="14" t="str">
        <f t="shared" si="892"/>
        <v/>
      </c>
    </row>
    <row r="81" spans="1:87" s="4" customFormat="1" x14ac:dyDescent="0.35">
      <c r="A81" s="275"/>
      <c r="B81" s="92" t="s">
        <v>69</v>
      </c>
      <c r="C81" s="26"/>
      <c r="D81" s="26"/>
      <c r="E81" s="10"/>
      <c r="F81" s="10"/>
      <c r="G81" s="10"/>
      <c r="H81" s="10"/>
      <c r="I81" s="10"/>
      <c r="J81" s="10"/>
      <c r="K81" s="10"/>
      <c r="L81" s="10"/>
      <c r="M81" s="10"/>
      <c r="N81" s="10"/>
      <c r="O81" s="10"/>
      <c r="P81" s="10"/>
      <c r="Q81" s="10"/>
      <c r="R81" s="10"/>
      <c r="S81" s="10"/>
      <c r="T81" s="10"/>
      <c r="U81" s="10"/>
      <c r="V81" s="10"/>
      <c r="W81" s="10"/>
      <c r="X81" s="10"/>
      <c r="Y81" s="10">
        <f>IF(OR(Y79="",Y78=""),"",Y78+Y79)</f>
        <v>-951730.26736456365</v>
      </c>
      <c r="Z81" s="10">
        <f>IF(OR(Z79="",Z78=""),"",Z78+Z79)</f>
        <v>-1406.6105417600129</v>
      </c>
      <c r="AA81" s="10">
        <f>IF(OR(AA79="",AA78=""),"",AA78+AA79)</f>
        <v>10087.876765451136</v>
      </c>
      <c r="AB81" s="10">
        <f t="shared" ref="AB81:AX81" si="893">IF(OR(AB79="",AB78=""),"",AB78+AB79)</f>
        <v>95774.647381244111</v>
      </c>
      <c r="AC81" s="10">
        <f t="shared" si="893"/>
        <v>77123.886188167889</v>
      </c>
      <c r="AD81" s="10">
        <f t="shared" si="893"/>
        <v>74649.332107877955</v>
      </c>
      <c r="AE81" s="10">
        <f t="shared" si="893"/>
        <v>61232.91746108955</v>
      </c>
      <c r="AF81" s="10">
        <f t="shared" si="893"/>
        <v>90948.768721296787</v>
      </c>
      <c r="AG81" s="10">
        <f t="shared" si="893"/>
        <v>106656.94676291278</v>
      </c>
      <c r="AH81" s="10">
        <f t="shared" si="893"/>
        <v>95904.652205489998</v>
      </c>
      <c r="AI81" s="10">
        <f t="shared" si="893"/>
        <v>92477.510491465917</v>
      </c>
      <c r="AJ81" s="10">
        <f t="shared" si="893"/>
        <v>71969.490733883489</v>
      </c>
      <c r="AK81" s="10">
        <f>IF(OR(AK79="",AK78=""),"",AK78+AK79)</f>
        <v>20716.106968104974</v>
      </c>
      <c r="AL81" s="10">
        <f>IF(OR(AL79="",AL78=""),"",AL78+AL79)</f>
        <v>92485.726133173492</v>
      </c>
      <c r="AM81" s="10">
        <f t="shared" si="893"/>
        <v>91539.887737992729</v>
      </c>
      <c r="AN81" s="10">
        <f t="shared" si="893"/>
        <v>-3056.7113796302383</v>
      </c>
      <c r="AO81" s="10">
        <f t="shared" si="893"/>
        <v>-2534.1816225373195</v>
      </c>
      <c r="AP81" s="10">
        <f t="shared" si="893"/>
        <v>-793.9477915231073</v>
      </c>
      <c r="AQ81" s="10">
        <f t="shared" si="893"/>
        <v>-7.4985400383772642</v>
      </c>
      <c r="AR81" s="10">
        <f t="shared" si="893"/>
        <v>-1466.0382079531516</v>
      </c>
      <c r="AS81" s="10">
        <f t="shared" si="893"/>
        <v>-3185.3733748940208</v>
      </c>
      <c r="AT81" s="10">
        <f t="shared" si="893"/>
        <v>-3593.7872250564724</v>
      </c>
      <c r="AU81" s="10">
        <f t="shared" si="893"/>
        <v>-2933.2742122421405</v>
      </c>
      <c r="AV81" s="10">
        <f t="shared" si="893"/>
        <v>-1566.3168404465732</v>
      </c>
      <c r="AW81" s="10">
        <f t="shared" si="893"/>
        <v>-846.91652930854798</v>
      </c>
      <c r="AX81" s="10">
        <f t="shared" si="893"/>
        <v>-2355.0430117273941</v>
      </c>
      <c r="AY81" s="10">
        <f t="shared" ref="AY81:BJ81" si="894">IF(OR(AY79="",AY78=""),"",AY78+AY79)</f>
        <v>-3017.8485208432107</v>
      </c>
      <c r="AZ81" s="10">
        <f t="shared" si="894"/>
        <v>-941.79022658312022</v>
      </c>
      <c r="BA81" s="10">
        <f t="shared" si="894"/>
        <v>5.7994656448678175</v>
      </c>
      <c r="BB81" s="10">
        <f t="shared" si="894"/>
        <v>1.8321040257130281</v>
      </c>
      <c r="BC81" s="10">
        <f t="shared" si="894"/>
        <v>-2.1901149116372425</v>
      </c>
      <c r="BD81" s="10">
        <f t="shared" si="894"/>
        <v>-85.355169343835811</v>
      </c>
      <c r="BE81" s="10">
        <f t="shared" si="894"/>
        <v>0.46122191838176246</v>
      </c>
      <c r="BF81" s="10">
        <f t="shared" si="894"/>
        <v>0.63368461689704125</v>
      </c>
      <c r="BG81" s="10">
        <f t="shared" si="894"/>
        <v>0.8320972547870974</v>
      </c>
      <c r="BH81" s="10">
        <f>IF(OR(BH79="",BH78=""),"",BH78+BH79)</f>
        <v>0.35236125970811027</v>
      </c>
      <c r="BI81" s="10">
        <f t="shared" si="894"/>
        <v>0.76227667386697573</v>
      </c>
      <c r="BJ81" s="10">
        <f t="shared" si="894"/>
        <v>0.19754281355907211</v>
      </c>
      <c r="BK81" s="10">
        <f t="shared" ref="BK81:BL81" si="895">IF(OR(BK79="",BK78=""),"",BK78+BK79)</f>
        <v>0.1730628095890453</v>
      </c>
      <c r="BL81" s="10">
        <f t="shared" si="895"/>
        <v>383.98201062181403</v>
      </c>
      <c r="BM81" s="10">
        <f t="shared" ref="BM81:BN81" si="896">IF(OR(BM79="",BM78=""),"",BM78+BM79)</f>
        <v>839.12371549010879</v>
      </c>
      <c r="BN81" s="10">
        <f t="shared" si="896"/>
        <v>902.52427009905864</v>
      </c>
      <c r="BO81" s="10">
        <f t="shared" ref="BO81:BP81" si="897">IF(OR(BO79="",BO78=""),"",BO78+BO79)</f>
        <v>919.62314530933054</v>
      </c>
      <c r="BP81" s="10">
        <f t="shared" si="897"/>
        <v>990.07341034082083</v>
      </c>
      <c r="BQ81" s="10">
        <f t="shared" ref="BQ81:BR81" si="898">IF(OR(BQ79="",BQ78=""),"",BQ78+BQ79)</f>
        <v>1208.7287892737124</v>
      </c>
      <c r="BR81" s="10">
        <f t="shared" si="898"/>
        <v>1174.6281490285326</v>
      </c>
      <c r="BS81" s="10">
        <f t="shared" ref="BS81:BT81" si="899">IF(OR(BS79="",BS78=""),"",BS78+BS79)</f>
        <v>1202.487982332555</v>
      </c>
      <c r="BT81" s="10">
        <f t="shared" si="899"/>
        <v>1052.6010092842876</v>
      </c>
      <c r="BU81" s="10">
        <f t="shared" ref="BU81:BV81" si="900">IF(OR(BU79="",BU78=""),"",BU78+BU79)</f>
        <v>900.66467121233563</v>
      </c>
      <c r="BV81" s="10">
        <f t="shared" si="900"/>
        <v>1035.5785268153886</v>
      </c>
      <c r="BW81" s="10">
        <f t="shared" ref="BW81:BX81" si="901">IF(OR(BW79="",BW78=""),"",BW78+BW79)</f>
        <v>973.16416446334517</v>
      </c>
      <c r="BX81" s="14" t="str">
        <f t="shared" si="901"/>
        <v/>
      </c>
      <c r="BY81" s="14" t="str">
        <f t="shared" ref="BY81:BZ81" si="902">IF(OR(BY79="",BY78=""),"",BY78+BY79)</f>
        <v/>
      </c>
      <c r="BZ81" s="14" t="str">
        <f t="shared" si="902"/>
        <v/>
      </c>
      <c r="CA81" s="14" t="str">
        <f t="shared" ref="CA81:CB81" si="903">IF(OR(CA79="",CA78=""),"",CA78+CA79)</f>
        <v/>
      </c>
      <c r="CB81" s="14" t="str">
        <f t="shared" si="903"/>
        <v/>
      </c>
      <c r="CC81" s="14" t="str">
        <f t="shared" ref="CC81:CD81" si="904">IF(OR(CC79="",CC78=""),"",CC78+CC79)</f>
        <v/>
      </c>
      <c r="CD81" s="14" t="str">
        <f t="shared" si="904"/>
        <v/>
      </c>
      <c r="CE81" s="14" t="str">
        <f t="shared" ref="CE81:CF81" si="905">IF(OR(CE79="",CE78=""),"",CE78+CE79)</f>
        <v/>
      </c>
      <c r="CF81" s="14" t="str">
        <f t="shared" si="905"/>
        <v/>
      </c>
      <c r="CG81" s="14" t="str">
        <f t="shared" ref="CG81:CH81" si="906">IF(OR(CG79="",CG78=""),"",CG78+CG79)</f>
        <v/>
      </c>
      <c r="CH81" s="14" t="str">
        <f t="shared" si="906"/>
        <v/>
      </c>
      <c r="CI81" s="14" t="str">
        <f t="shared" ref="CI81" si="907">IF(OR(CI79="",CI78=""),"",CI78+CI79)</f>
        <v/>
      </c>
    </row>
    <row r="82" spans="1:87" s="4" customFormat="1" x14ac:dyDescent="0.35">
      <c r="A82" s="275"/>
      <c r="B82" s="94" t="s">
        <v>70</v>
      </c>
      <c r="C82" s="28"/>
      <c r="D82" s="28"/>
      <c r="E82" s="10"/>
      <c r="F82" s="10"/>
      <c r="G82" s="10"/>
      <c r="H82" s="10"/>
      <c r="I82" s="10"/>
      <c r="J82" s="10"/>
      <c r="K82" s="10"/>
      <c r="L82" s="10"/>
      <c r="M82" s="10"/>
      <c r="N82" s="10"/>
      <c r="O82" s="10"/>
      <c r="P82" s="10"/>
      <c r="Q82" s="10"/>
      <c r="R82" s="10"/>
      <c r="S82" s="10"/>
      <c r="T82" s="10"/>
      <c r="U82" s="10"/>
      <c r="V82" s="10"/>
      <c r="W82" s="10"/>
      <c r="X82" s="10">
        <v>0</v>
      </c>
      <c r="Y82" s="10">
        <f>IF(OR(Y81=""),"",Y81)</f>
        <v>-951730.26736456365</v>
      </c>
      <c r="Z82" s="10">
        <f>IF(OR(Z81="",Y82=""),"",Z81+Y82)</f>
        <v>-953136.87790632364</v>
      </c>
      <c r="AA82" s="10">
        <f t="shared" ref="AA82:AX82" si="908">IF(OR(AA81="",Z82=""),"",AA81+Z82)</f>
        <v>-943049.00114087248</v>
      </c>
      <c r="AB82" s="10">
        <f t="shared" si="908"/>
        <v>-847274.35375962837</v>
      </c>
      <c r="AC82" s="10">
        <f t="shared" si="908"/>
        <v>-770150.46757146053</v>
      </c>
      <c r="AD82" s="10">
        <f t="shared" si="908"/>
        <v>-695501.13546358258</v>
      </c>
      <c r="AE82" s="10">
        <f t="shared" si="908"/>
        <v>-634268.21800249303</v>
      </c>
      <c r="AF82" s="10">
        <f t="shared" si="908"/>
        <v>-543319.44928119623</v>
      </c>
      <c r="AG82" s="10">
        <f t="shared" si="908"/>
        <v>-436662.50251828344</v>
      </c>
      <c r="AH82" s="10">
        <f t="shared" si="908"/>
        <v>-340757.85031279345</v>
      </c>
      <c r="AI82" s="10">
        <f t="shared" si="908"/>
        <v>-248280.33982132754</v>
      </c>
      <c r="AJ82" s="10">
        <f t="shared" si="908"/>
        <v>-176310.84908744405</v>
      </c>
      <c r="AK82" s="10">
        <f>IF(OR(AK81="",AJ82=""),"",AK81+AJ82)</f>
        <v>-155594.74211933906</v>
      </c>
      <c r="AL82" s="10">
        <f>IF(OR(AL81="",AK82=""),"",AL81+AK82)</f>
        <v>-63109.01598616557</v>
      </c>
      <c r="AM82" s="10">
        <f t="shared" si="908"/>
        <v>28430.871751827159</v>
      </c>
      <c r="AN82" s="10">
        <f t="shared" si="908"/>
        <v>25374.160372196922</v>
      </c>
      <c r="AO82" s="10">
        <f t="shared" si="908"/>
        <v>22839.978749659604</v>
      </c>
      <c r="AP82" s="10">
        <f t="shared" si="908"/>
        <v>22046.030958136496</v>
      </c>
      <c r="AQ82" s="10">
        <f t="shared" si="908"/>
        <v>22038.532418098119</v>
      </c>
      <c r="AR82" s="10">
        <f t="shared" si="908"/>
        <v>20572.494210144967</v>
      </c>
      <c r="AS82" s="10">
        <f t="shared" si="908"/>
        <v>17387.120835250946</v>
      </c>
      <c r="AT82" s="10">
        <f t="shared" si="908"/>
        <v>13793.333610194473</v>
      </c>
      <c r="AU82" s="10">
        <f t="shared" si="908"/>
        <v>10860.059397952333</v>
      </c>
      <c r="AV82" s="10">
        <f t="shared" si="908"/>
        <v>9293.7425575057605</v>
      </c>
      <c r="AW82" s="10">
        <f t="shared" si="908"/>
        <v>8446.8260281972125</v>
      </c>
      <c r="AX82" s="10">
        <f t="shared" si="908"/>
        <v>6091.7830164698189</v>
      </c>
      <c r="AY82" s="10">
        <f t="shared" ref="AY82" si="909">IF(OR(AY81="",AX82=""),"",AY81+AX82)</f>
        <v>3073.9344956266082</v>
      </c>
      <c r="AZ82" s="10">
        <f t="shared" ref="AZ82" si="910">IF(OR(AZ81="",AY82=""),"",AZ81+AY82)</f>
        <v>2132.1442690434878</v>
      </c>
      <c r="BA82" s="10">
        <f>IF(OR(BA81="",AZ82=""),"",BA81+AZ82)</f>
        <v>2137.9437346883556</v>
      </c>
      <c r="BB82" s="10">
        <f t="shared" ref="BB82" si="911">IF(OR(BB81="",BA82=""),"",BB81+BA82)</f>
        <v>2139.7758387140684</v>
      </c>
      <c r="BC82" s="10">
        <f t="shared" ref="BC82" si="912">IF(OR(BC81="",BB82=""),"",BC81+BB82)</f>
        <v>2137.5857238024309</v>
      </c>
      <c r="BD82" s="10">
        <f t="shared" ref="BD82" si="913">IF(OR(BD81="",BC82=""),"",BD81+BC82)</f>
        <v>2052.2305544585952</v>
      </c>
      <c r="BE82" s="10">
        <f t="shared" ref="BE82" si="914">IF(OR(BE81="",BD82=""),"",BE81+BD82)</f>
        <v>2052.691776376977</v>
      </c>
      <c r="BF82" s="10">
        <f t="shared" ref="BF82" si="915">IF(OR(BF81="",BE82=""),"",BF81+BE82)</f>
        <v>2053.325460993874</v>
      </c>
      <c r="BG82" s="10">
        <f t="shared" ref="BG82" si="916">IF(OR(BG81="",BF82=""),"",BG81+BF82)</f>
        <v>2054.1575582486612</v>
      </c>
      <c r="BH82" s="10">
        <f t="shared" ref="BH82" si="917">IF(OR(BH81="",BG82=""),"",BH81+BG82)</f>
        <v>2054.5099195083694</v>
      </c>
      <c r="BI82" s="10">
        <f t="shared" ref="BI82" si="918">IF(OR(BI81="",BH82=""),"",BI81+BH82)</f>
        <v>2055.2721961822363</v>
      </c>
      <c r="BJ82" s="10">
        <f t="shared" ref="BJ82:CI82" si="919">IF(OR(BJ81="",BI82=""),"",BJ81+BI82)</f>
        <v>2055.4697389957955</v>
      </c>
      <c r="BK82" s="10">
        <f t="shared" si="919"/>
        <v>2055.6428018053844</v>
      </c>
      <c r="BL82" s="10">
        <f t="shared" si="919"/>
        <v>2439.6248124271983</v>
      </c>
      <c r="BM82" s="10">
        <f t="shared" si="919"/>
        <v>3278.748527917307</v>
      </c>
      <c r="BN82" s="10">
        <f t="shared" si="919"/>
        <v>4181.2727980163654</v>
      </c>
      <c r="BO82" s="10">
        <f t="shared" si="919"/>
        <v>5100.895943325696</v>
      </c>
      <c r="BP82" s="10">
        <f t="shared" si="919"/>
        <v>6090.9693536665163</v>
      </c>
      <c r="BQ82" s="10">
        <f t="shared" si="919"/>
        <v>7299.6981429402285</v>
      </c>
      <c r="BR82" s="10">
        <f t="shared" si="919"/>
        <v>8474.3262919687604</v>
      </c>
      <c r="BS82" s="10">
        <f t="shared" si="919"/>
        <v>9676.8142743013159</v>
      </c>
      <c r="BT82" s="10">
        <f t="shared" si="919"/>
        <v>10729.415283585604</v>
      </c>
      <c r="BU82" s="10">
        <f t="shared" si="919"/>
        <v>11630.07995479794</v>
      </c>
      <c r="BV82" s="10">
        <f t="shared" si="919"/>
        <v>12665.658481613329</v>
      </c>
      <c r="BW82" s="10">
        <f t="shared" si="919"/>
        <v>13638.822646076675</v>
      </c>
      <c r="BX82" s="14" t="str">
        <f t="shared" si="919"/>
        <v/>
      </c>
      <c r="BY82" s="14" t="str">
        <f t="shared" si="919"/>
        <v/>
      </c>
      <c r="BZ82" s="14" t="str">
        <f t="shared" si="919"/>
        <v/>
      </c>
      <c r="CA82" s="14" t="str">
        <f t="shared" si="919"/>
        <v/>
      </c>
      <c r="CB82" s="14" t="str">
        <f t="shared" si="919"/>
        <v/>
      </c>
      <c r="CC82" s="14" t="str">
        <f t="shared" si="919"/>
        <v/>
      </c>
      <c r="CD82" s="14" t="str">
        <f t="shared" si="919"/>
        <v/>
      </c>
      <c r="CE82" s="14" t="str">
        <f t="shared" si="919"/>
        <v/>
      </c>
      <c r="CF82" s="14" t="str">
        <f t="shared" si="919"/>
        <v/>
      </c>
      <c r="CG82" s="14" t="str">
        <f t="shared" si="919"/>
        <v/>
      </c>
      <c r="CH82" s="14" t="str">
        <f t="shared" si="919"/>
        <v/>
      </c>
      <c r="CI82" s="14" t="str">
        <f t="shared" si="919"/>
        <v/>
      </c>
    </row>
    <row r="83" spans="1:87" s="5" customFormat="1" ht="8.25" customHeight="1" x14ac:dyDescent="0.35">
      <c r="A83" s="44"/>
      <c r="B83" s="13"/>
      <c r="C83" s="13"/>
      <c r="D83" s="13"/>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row>
    <row r="84" spans="1:87" s="5" customFormat="1" x14ac:dyDescent="0.35">
      <c r="A84" s="276" t="s">
        <v>79</v>
      </c>
      <c r="B84" s="57"/>
      <c r="C84" s="102"/>
      <c r="D84" s="102"/>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74">
        <v>9141434.9200000018</v>
      </c>
      <c r="AN84" s="9"/>
      <c r="AO84" s="9"/>
      <c r="AP84" s="73"/>
      <c r="AQ84" s="73"/>
      <c r="AR84" s="73"/>
      <c r="AS84" s="73"/>
      <c r="AT84" s="73"/>
      <c r="AU84" s="73"/>
      <c r="AV84" s="73"/>
      <c r="AW84" s="128"/>
      <c r="AX84" s="73"/>
      <c r="AY84" s="73"/>
      <c r="AZ84" s="73"/>
      <c r="BA84" s="73"/>
      <c r="BB84" s="73"/>
      <c r="BC84" s="73"/>
      <c r="BD84" s="73"/>
      <c r="BE84" s="73"/>
      <c r="BF84" s="73"/>
      <c r="BG84" s="73"/>
      <c r="BH84" s="73"/>
      <c r="BI84" s="73"/>
      <c r="BJ84" s="73"/>
      <c r="BK84" s="73"/>
      <c r="BL84" s="73"/>
      <c r="BM84" s="73"/>
      <c r="BN84" s="73"/>
      <c r="BO84" s="73"/>
      <c r="BP84" s="73"/>
      <c r="BQ84" s="73"/>
      <c r="BR84" s="73"/>
      <c r="BS84" s="73"/>
      <c r="BT84" s="73"/>
      <c r="BU84" s="73"/>
      <c r="BV84" s="73"/>
      <c r="BW84" s="73"/>
      <c r="BX84" s="15"/>
      <c r="BY84" s="15"/>
      <c r="BZ84" s="15"/>
      <c r="CA84" s="15"/>
      <c r="CB84" s="15"/>
      <c r="CC84" s="15"/>
      <c r="CD84" s="15"/>
      <c r="CE84" s="15"/>
      <c r="CF84" s="15"/>
      <c r="CG84" s="15"/>
      <c r="CH84" s="15"/>
      <c r="CI84" s="15"/>
    </row>
    <row r="85" spans="1:87" ht="15" customHeight="1" x14ac:dyDescent="0.35">
      <c r="A85" s="276"/>
      <c r="B85" s="57" t="s">
        <v>50</v>
      </c>
      <c r="C85" s="41"/>
      <c r="D85" s="41"/>
      <c r="E85" s="66"/>
      <c r="F85" s="66"/>
      <c r="G85" s="66"/>
      <c r="H85" s="66"/>
      <c r="I85" s="66"/>
      <c r="J85" s="66"/>
      <c r="K85" s="66"/>
      <c r="L85" s="66"/>
      <c r="M85" s="66"/>
      <c r="N85" s="66"/>
      <c r="O85" s="66">
        <v>0</v>
      </c>
      <c r="P85" s="66">
        <f>+$N$93/23</f>
        <v>1228112.1191304347</v>
      </c>
      <c r="Q85" s="66">
        <f t="shared" ref="Q85:AL85" si="920">+$N$93/23</f>
        <v>1228112.1191304347</v>
      </c>
      <c r="R85" s="66">
        <f t="shared" si="920"/>
        <v>1228112.1191304347</v>
      </c>
      <c r="S85" s="66">
        <f t="shared" si="920"/>
        <v>1228112.1191304347</v>
      </c>
      <c r="T85" s="66">
        <f t="shared" si="920"/>
        <v>1228112.1191304347</v>
      </c>
      <c r="U85" s="66">
        <f t="shared" si="920"/>
        <v>1228112.1191304347</v>
      </c>
      <c r="V85" s="66">
        <f t="shared" si="920"/>
        <v>1228112.1191304347</v>
      </c>
      <c r="W85" s="66">
        <f t="shared" si="920"/>
        <v>1228112.1191304347</v>
      </c>
      <c r="X85" s="66">
        <f t="shared" si="920"/>
        <v>1228112.1191304347</v>
      </c>
      <c r="Y85" s="66">
        <f t="shared" si="920"/>
        <v>1228112.1191304347</v>
      </c>
      <c r="Z85" s="66">
        <f t="shared" si="920"/>
        <v>1228112.1191304347</v>
      </c>
      <c r="AA85" s="66">
        <f t="shared" si="920"/>
        <v>1228112.1191304347</v>
      </c>
      <c r="AB85" s="66">
        <f t="shared" si="920"/>
        <v>1228112.1191304347</v>
      </c>
      <c r="AC85" s="66">
        <f t="shared" si="920"/>
        <v>1228112.1191304347</v>
      </c>
      <c r="AD85" s="66">
        <f t="shared" si="920"/>
        <v>1228112.1191304347</v>
      </c>
      <c r="AE85" s="66">
        <f t="shared" si="920"/>
        <v>1228112.1191304347</v>
      </c>
      <c r="AF85" s="66">
        <f t="shared" si="920"/>
        <v>1228112.1191304347</v>
      </c>
      <c r="AG85" s="66">
        <f t="shared" si="920"/>
        <v>1228112.1191304347</v>
      </c>
      <c r="AH85" s="66">
        <f t="shared" si="920"/>
        <v>1228112.1191304347</v>
      </c>
      <c r="AI85" s="66">
        <f t="shared" si="920"/>
        <v>1228112.1191304347</v>
      </c>
      <c r="AJ85" s="66">
        <f t="shared" si="920"/>
        <v>1228112.1191304347</v>
      </c>
      <c r="AK85" s="66">
        <f t="shared" si="920"/>
        <v>1228112.1191304347</v>
      </c>
      <c r="AL85" s="66">
        <f t="shared" si="920"/>
        <v>1228112.1191304347</v>
      </c>
      <c r="AM85" s="66">
        <v>0</v>
      </c>
      <c r="AN85" s="66">
        <f>+$AM$84/23</f>
        <v>397453.69217391312</v>
      </c>
      <c r="AO85" s="66">
        <f t="shared" ref="AO85:AU85" si="921">+$AM$84/23</f>
        <v>397453.69217391312</v>
      </c>
      <c r="AP85" s="66">
        <f t="shared" si="921"/>
        <v>397453.69217391312</v>
      </c>
      <c r="AQ85" s="66">
        <f t="shared" si="921"/>
        <v>397453.69217391312</v>
      </c>
      <c r="AR85" s="66">
        <f t="shared" si="921"/>
        <v>397453.69217391312</v>
      </c>
      <c r="AS85" s="66">
        <f t="shared" si="921"/>
        <v>397453.69217391312</v>
      </c>
      <c r="AT85" s="66">
        <f t="shared" si="921"/>
        <v>397453.69217391312</v>
      </c>
      <c r="AU85" s="66">
        <f t="shared" si="921"/>
        <v>397453.69217391312</v>
      </c>
      <c r="AV85" s="66">
        <f>+$AM$84/23</f>
        <v>397453.69217391312</v>
      </c>
      <c r="AW85" s="66"/>
      <c r="AX85" s="66"/>
      <c r="AY85" s="66"/>
      <c r="AZ85" s="66"/>
      <c r="BA85" s="66"/>
      <c r="BB85" s="66"/>
      <c r="BC85" s="66"/>
      <c r="BD85" s="66"/>
      <c r="BE85" s="66"/>
      <c r="BF85" s="66"/>
      <c r="BG85" s="66"/>
      <c r="BH85" s="66"/>
      <c r="BI85" s="66"/>
      <c r="BJ85" s="66"/>
      <c r="BK85" s="66"/>
      <c r="BL85" s="66"/>
      <c r="BM85" s="66"/>
      <c r="BN85" s="66"/>
      <c r="BO85" s="66"/>
      <c r="BP85" s="66"/>
      <c r="BQ85" s="66"/>
      <c r="BR85" s="66"/>
      <c r="BS85" s="66"/>
      <c r="BT85" s="66"/>
      <c r="BU85" s="66"/>
      <c r="BV85" s="66"/>
      <c r="BW85" s="66"/>
      <c r="BX85" s="243"/>
      <c r="BY85" s="243"/>
      <c r="BZ85" s="243"/>
      <c r="CA85" s="243"/>
      <c r="CB85" s="243"/>
      <c r="CC85" s="243"/>
      <c r="CD85" s="243"/>
      <c r="CE85" s="243"/>
      <c r="CF85" s="243"/>
      <c r="CG85" s="243"/>
      <c r="CH85" s="243"/>
      <c r="CI85" s="243"/>
    </row>
    <row r="86" spans="1:87" x14ac:dyDescent="0.35">
      <c r="A86" s="276"/>
      <c r="B86" s="57" t="s">
        <v>45</v>
      </c>
      <c r="C86" s="41"/>
      <c r="D86" s="41"/>
      <c r="E86" s="24"/>
      <c r="F86" s="24"/>
      <c r="G86" s="24"/>
      <c r="H86" s="24"/>
      <c r="I86" s="24"/>
      <c r="J86" s="24"/>
      <c r="K86" s="24"/>
      <c r="L86" s="24"/>
      <c r="M86" s="24"/>
      <c r="N86" s="24"/>
      <c r="O86" s="24">
        <v>111256.44</v>
      </c>
      <c r="P86" s="24">
        <v>1192563.6000000001</v>
      </c>
      <c r="Q86" s="24">
        <v>1016925</v>
      </c>
      <c r="R86" s="24">
        <v>981618.06</v>
      </c>
      <c r="S86" s="24">
        <v>967793.86</v>
      </c>
      <c r="T86" s="24">
        <v>1203406.1100000001</v>
      </c>
      <c r="U86" s="24">
        <v>1434329.05</v>
      </c>
      <c r="V86" s="24">
        <v>1468321.4</v>
      </c>
      <c r="W86" s="24">
        <v>1258704.28</v>
      </c>
      <c r="X86" s="24">
        <v>1155858.58</v>
      </c>
      <c r="Y86" s="24">
        <v>1028665.35</v>
      </c>
      <c r="Z86" s="24">
        <v>1189289.51</v>
      </c>
      <c r="AA86" s="24">
        <v>1637210.29</v>
      </c>
      <c r="AB86" s="24">
        <v>1423775.04</v>
      </c>
      <c r="AC86" s="24">
        <v>1230263.3</v>
      </c>
      <c r="AD86" s="24">
        <v>1194467.24</v>
      </c>
      <c r="AE86" s="24">
        <v>1091414.8</v>
      </c>
      <c r="AF86" s="24">
        <v>1441684.6</v>
      </c>
      <c r="AG86" s="24">
        <v>1598515.45</v>
      </c>
      <c r="AH86" s="24">
        <v>1491950.2</v>
      </c>
      <c r="AI86" s="24">
        <v>1453822.87</v>
      </c>
      <c r="AJ86" s="24">
        <v>1221364.94</v>
      </c>
      <c r="AK86" s="24">
        <v>1121505.92</v>
      </c>
      <c r="AL86" s="24">
        <v>1392680.77</v>
      </c>
      <c r="AM86" s="24">
        <v>1342908.72</v>
      </c>
      <c r="AN86" s="24">
        <v>211574.99</v>
      </c>
      <c r="AO86" s="24">
        <v>168611.31</v>
      </c>
      <c r="AP86" s="24">
        <v>143191.22</v>
      </c>
      <c r="AQ86" s="24">
        <v>140873.74</v>
      </c>
      <c r="AR86" s="24">
        <v>166764.85999999999</v>
      </c>
      <c r="AS86" s="24">
        <v>183176.51</v>
      </c>
      <c r="AT86" s="24">
        <v>191116.41</v>
      </c>
      <c r="AU86" s="24">
        <v>187572.91</v>
      </c>
      <c r="AV86" s="24">
        <v>168225.83</v>
      </c>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14"/>
      <c r="BY86" s="14"/>
      <c r="BZ86" s="14"/>
      <c r="CA86" s="14"/>
      <c r="CB86" s="14"/>
      <c r="CC86" s="14"/>
      <c r="CD86" s="14"/>
      <c r="CE86" s="14"/>
      <c r="CF86" s="14"/>
      <c r="CG86" s="14"/>
      <c r="CH86" s="14"/>
      <c r="CI86" s="14"/>
    </row>
    <row r="87" spans="1:87" x14ac:dyDescent="0.35">
      <c r="A87" s="276"/>
      <c r="B87" s="57" t="s">
        <v>46</v>
      </c>
      <c r="C87" s="41"/>
      <c r="D87" s="41"/>
      <c r="E87" s="10"/>
      <c r="F87" s="10"/>
      <c r="G87" s="10"/>
      <c r="H87" s="10"/>
      <c r="I87" s="10"/>
      <c r="J87" s="10"/>
      <c r="K87" s="10"/>
      <c r="L87" s="10"/>
      <c r="M87" s="10"/>
      <c r="N87" s="10"/>
      <c r="O87" s="10">
        <f>IF(OR(O85="",O86=""),"",O85-O86)</f>
        <v>-111256.44</v>
      </c>
      <c r="P87" s="10">
        <f>IF(OR(P85="",P86=""),"",P85-P86)</f>
        <v>35548.519130434608</v>
      </c>
      <c r="Q87" s="10">
        <f>IF(OR(Q85="",Q86=""),"",Q85-Q86)</f>
        <v>211187.1191304347</v>
      </c>
      <c r="R87" s="10">
        <f t="shared" ref="R87:AL87" si="922">IF(OR(R85="",R86=""),"",R85-R86)</f>
        <v>246494.05913043465</v>
      </c>
      <c r="S87" s="10">
        <f t="shared" si="922"/>
        <v>260318.25913043472</v>
      </c>
      <c r="T87" s="10">
        <f t="shared" si="922"/>
        <v>24706.009130434599</v>
      </c>
      <c r="U87" s="10">
        <f t="shared" si="922"/>
        <v>-206216.93086956535</v>
      </c>
      <c r="V87" s="10">
        <f t="shared" si="922"/>
        <v>-240209.28086956521</v>
      </c>
      <c r="W87" s="10">
        <f t="shared" si="922"/>
        <v>-30592.160869565327</v>
      </c>
      <c r="X87" s="10">
        <f t="shared" si="922"/>
        <v>72253.539130434627</v>
      </c>
      <c r="Y87" s="10">
        <f t="shared" si="922"/>
        <v>199446.76913043472</v>
      </c>
      <c r="Z87" s="10">
        <f t="shared" si="922"/>
        <v>38822.609130434692</v>
      </c>
      <c r="AA87" s="10">
        <f t="shared" si="922"/>
        <v>-409098.17086956534</v>
      </c>
      <c r="AB87" s="10">
        <f t="shared" si="922"/>
        <v>-195662.92086956534</v>
      </c>
      <c r="AC87" s="10">
        <f t="shared" si="922"/>
        <v>-2151.1808695653453</v>
      </c>
      <c r="AD87" s="10">
        <f t="shared" si="922"/>
        <v>33644.879130434711</v>
      </c>
      <c r="AE87" s="10">
        <f t="shared" si="922"/>
        <v>136697.31913043465</v>
      </c>
      <c r="AF87" s="10">
        <f t="shared" si="922"/>
        <v>-213572.48086956539</v>
      </c>
      <c r="AG87" s="10">
        <f t="shared" si="922"/>
        <v>-370403.33086956525</v>
      </c>
      <c r="AH87" s="10">
        <f t="shared" si="922"/>
        <v>-263838.08086956525</v>
      </c>
      <c r="AI87" s="10">
        <f t="shared" si="922"/>
        <v>-225710.75086956541</v>
      </c>
      <c r="AJ87" s="10">
        <f t="shared" si="922"/>
        <v>6747.1791304347571</v>
      </c>
      <c r="AK87" s="10">
        <f t="shared" si="922"/>
        <v>106606.19913043478</v>
      </c>
      <c r="AL87" s="10">
        <f t="shared" si="922"/>
        <v>-164568.65086956532</v>
      </c>
      <c r="AM87" s="10">
        <f>IF(OR(AM85="",AM86=""),"",AM85-AM86)</f>
        <v>-1342908.72</v>
      </c>
      <c r="AN87" s="10">
        <f>IF(OR(AN85="",AN86=""),"",AN85-AN86)</f>
        <v>185878.70217391313</v>
      </c>
      <c r="AO87" s="10">
        <f t="shared" ref="AO87:AV87" si="923">IF(OR(AO85="",AO86=""),"",AO85-AO86)</f>
        <v>228842.38217391312</v>
      </c>
      <c r="AP87" s="10">
        <f t="shared" si="923"/>
        <v>254262.47217391312</v>
      </c>
      <c r="AQ87" s="10">
        <f t="shared" si="923"/>
        <v>256579.95217391313</v>
      </c>
      <c r="AR87" s="10">
        <f t="shared" si="923"/>
        <v>230688.83217391314</v>
      </c>
      <c r="AS87" s="10">
        <f t="shared" si="923"/>
        <v>214277.18217391311</v>
      </c>
      <c r="AT87" s="10">
        <f t="shared" si="923"/>
        <v>206337.28217391312</v>
      </c>
      <c r="AU87" s="10">
        <f t="shared" si="923"/>
        <v>209880.78217391312</v>
      </c>
      <c r="AV87" s="10">
        <f t="shared" si="923"/>
        <v>229227.86217391313</v>
      </c>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4"/>
      <c r="BY87" s="14"/>
      <c r="BZ87" s="14"/>
      <c r="CA87" s="14"/>
      <c r="CB87" s="14"/>
      <c r="CC87" s="14"/>
      <c r="CD87" s="14"/>
      <c r="CE87" s="14"/>
      <c r="CF87" s="14"/>
      <c r="CG87" s="14"/>
      <c r="CH87" s="14"/>
      <c r="CI87" s="14"/>
    </row>
    <row r="88" spans="1:87" x14ac:dyDescent="0.35">
      <c r="A88" s="276"/>
      <c r="B88" s="57" t="s">
        <v>4</v>
      </c>
      <c r="C88" s="41"/>
      <c r="D88" s="41"/>
      <c r="E88" s="67"/>
      <c r="F88" s="67"/>
      <c r="G88" s="67"/>
      <c r="H88" s="67"/>
      <c r="I88" s="67"/>
      <c r="J88" s="67"/>
      <c r="K88" s="67"/>
      <c r="L88" s="67"/>
      <c r="M88" s="67"/>
      <c r="N88" s="67"/>
      <c r="O88" s="67">
        <f>+O9</f>
        <v>8.9999999999999993E-3</v>
      </c>
      <c r="P88" s="67">
        <f t="shared" ref="P88:AU88" si="924">IF(P87="","",P9)</f>
        <v>8.9999999999999993E-3</v>
      </c>
      <c r="Q88" s="67">
        <f t="shared" si="924"/>
        <v>1.15E-2</v>
      </c>
      <c r="R88" s="67">
        <f t="shared" si="924"/>
        <v>1.15E-2</v>
      </c>
      <c r="S88" s="67">
        <f t="shared" si="924"/>
        <v>1.15E-2</v>
      </c>
      <c r="T88" s="67">
        <f t="shared" si="924"/>
        <v>1.41E-2</v>
      </c>
      <c r="U88" s="67">
        <f t="shared" si="924"/>
        <v>1.39185E-2</v>
      </c>
      <c r="V88" s="67">
        <f t="shared" si="924"/>
        <v>1.466976E-2</v>
      </c>
      <c r="W88" s="67">
        <f t="shared" si="924"/>
        <v>1.4482760000000001E-2</v>
      </c>
      <c r="X88" s="67">
        <f t="shared" si="924"/>
        <v>1.45083E-2</v>
      </c>
      <c r="Y88" s="67">
        <f t="shared" si="924"/>
        <v>1.4428689E-2</v>
      </c>
      <c r="Z88" s="67">
        <f t="shared" si="924"/>
        <v>1.773541E-2</v>
      </c>
      <c r="AA88" s="67">
        <f t="shared" si="924"/>
        <v>1.715386E-2</v>
      </c>
      <c r="AB88" s="67">
        <f t="shared" si="924"/>
        <v>1.8275659999999999E-2</v>
      </c>
      <c r="AC88" s="67">
        <f t="shared" si="924"/>
        <v>2.0539459999999999E-2</v>
      </c>
      <c r="AD88" s="67">
        <f t="shared" si="924"/>
        <v>2.3111960000000001E-2</v>
      </c>
      <c r="AE88" s="67">
        <f t="shared" si="924"/>
        <v>2.1987949999999999E-2</v>
      </c>
      <c r="AF88" s="67">
        <f t="shared" si="924"/>
        <v>2.2795610000000001E-2</v>
      </c>
      <c r="AG88" s="67">
        <f t="shared" si="924"/>
        <v>2.347169E-2</v>
      </c>
      <c r="AH88" s="67">
        <f t="shared" si="924"/>
        <v>2.3254460000000001E-2</v>
      </c>
      <c r="AI88" s="67">
        <f t="shared" si="924"/>
        <v>2.328962E-2</v>
      </c>
      <c r="AJ88" s="67">
        <f t="shared" si="924"/>
        <v>2.457413E-2</v>
      </c>
      <c r="AK88" s="67">
        <f t="shared" si="924"/>
        <v>2.5271160000000001E-2</v>
      </c>
      <c r="AL88" s="67">
        <f t="shared" si="924"/>
        <v>2.7545790000000001E-2</v>
      </c>
      <c r="AM88" s="67">
        <f t="shared" si="924"/>
        <v>2.8696949999999999E-2</v>
      </c>
      <c r="AN88" s="67">
        <f t="shared" si="924"/>
        <v>2.8403910000000001E-2</v>
      </c>
      <c r="AO88" s="67">
        <f t="shared" si="924"/>
        <v>2.7878150000000001E-2</v>
      </c>
      <c r="AP88" s="67">
        <f t="shared" si="924"/>
        <v>2.6622739999999999E-2</v>
      </c>
      <c r="AQ88" s="67">
        <f t="shared" si="924"/>
        <v>2.677361E-2</v>
      </c>
      <c r="AR88" s="67">
        <f t="shared" si="924"/>
        <v>2.6500570000000001E-2</v>
      </c>
      <c r="AS88" s="67">
        <f t="shared" si="924"/>
        <v>2.594869E-2</v>
      </c>
      <c r="AT88" s="67">
        <f t="shared" si="924"/>
        <v>2.3511899999999999E-2</v>
      </c>
      <c r="AU88" s="67">
        <f t="shared" si="924"/>
        <v>2.21687E-2</v>
      </c>
      <c r="AV88" s="67">
        <f>IF(AV87="","",AV9)</f>
        <v>2.113932E-2</v>
      </c>
      <c r="AW88" s="67"/>
      <c r="AX88" s="67"/>
      <c r="AY88" s="67"/>
      <c r="AZ88" s="67"/>
      <c r="BA88" s="67"/>
      <c r="BB88" s="67"/>
      <c r="BC88" s="67"/>
      <c r="BD88" s="67"/>
      <c r="BE88" s="67"/>
      <c r="BF88" s="67"/>
      <c r="BG88" s="67"/>
      <c r="BH88" s="67"/>
      <c r="BI88" s="67"/>
      <c r="BJ88" s="67"/>
      <c r="BK88" s="67"/>
      <c r="BL88" s="67"/>
      <c r="BM88" s="67"/>
      <c r="BN88" s="67"/>
      <c r="BO88" s="67"/>
      <c r="BP88" s="67"/>
      <c r="BQ88" s="67"/>
      <c r="BR88" s="67"/>
      <c r="BS88" s="67"/>
      <c r="BT88" s="67"/>
      <c r="BU88" s="67"/>
      <c r="BV88" s="67"/>
      <c r="BW88" s="67"/>
      <c r="BX88" s="244"/>
      <c r="BY88" s="244"/>
      <c r="BZ88" s="244"/>
      <c r="CA88" s="244"/>
      <c r="CB88" s="244"/>
      <c r="CC88" s="244"/>
      <c r="CD88" s="244"/>
      <c r="CE88" s="244"/>
      <c r="CF88" s="244"/>
      <c r="CG88" s="244"/>
      <c r="CH88" s="244"/>
      <c r="CI88" s="244"/>
    </row>
    <row r="89" spans="1:87" x14ac:dyDescent="0.35">
      <c r="A89" s="276"/>
      <c r="B89" s="57" t="s">
        <v>49</v>
      </c>
      <c r="C89" s="41"/>
      <c r="D89" s="41"/>
      <c r="E89" s="10"/>
      <c r="F89" s="10"/>
      <c r="G89" s="10"/>
      <c r="H89" s="10"/>
      <c r="I89" s="10"/>
      <c r="J89" s="10"/>
      <c r="K89" s="10"/>
      <c r="L89" s="10"/>
      <c r="M89" s="10"/>
      <c r="N89" s="10"/>
      <c r="O89" s="10">
        <f>IF(OR(O88="",O87=""),"",(O87*O88)/12)</f>
        <v>-83.442329999999998</v>
      </c>
      <c r="P89" s="10">
        <f>IF(OR(P88="",P87="",O92=""),"",((O92+P87)*P88)/12)</f>
        <v>-56.843522399674043</v>
      </c>
      <c r="Q89" s="10">
        <f t="shared" ref="Q89" si="925">IF(OR(Q88="",Q87="",P92=""),"",((P92+Q87)*Q88)/12)</f>
        <v>129.69979105811672</v>
      </c>
      <c r="R89" s="10">
        <f>IF(OR(R88="",R87="",Q92=""),"",((Q92+R87)*R88)/12)</f>
        <v>366.04756002454724</v>
      </c>
      <c r="S89" s="10">
        <f>IF(OR(S88="",S87="",R92=""),"",((R92+S87)*S88)/12)</f>
        <v>615.87002060290411</v>
      </c>
      <c r="T89" s="10">
        <f t="shared" ref="T89:AL89" si="926">IF(OR(T88="",T87="",S92=""),"",((S92+T87)*T88)/12)</f>
        <v>784.86340717646442</v>
      </c>
      <c r="U89" s="10">
        <f t="shared" si="926"/>
        <v>536.48485896380782</v>
      </c>
      <c r="V89" s="10">
        <f t="shared" si="926"/>
        <v>272.4467750165042</v>
      </c>
      <c r="W89" s="10">
        <f t="shared" si="926"/>
        <v>232.3810492397057</v>
      </c>
      <c r="X89" s="10">
        <f t="shared" si="926"/>
        <v>320.42813729336018</v>
      </c>
      <c r="Y89" s="10">
        <f t="shared" si="926"/>
        <v>558.86809083858736</v>
      </c>
      <c r="Z89" s="10">
        <f>IF(OR(Z88="",Z87="",Y92=""),"",((Y92+Z87)*Z88)/12)</f>
        <v>745.15158738024468</v>
      </c>
      <c r="AA89" s="10">
        <f t="shared" si="926"/>
        <v>136.98194174048376</v>
      </c>
      <c r="AB89" s="10">
        <f t="shared" si="926"/>
        <v>-151.8404030009703</v>
      </c>
      <c r="AC89" s="10">
        <f t="shared" si="926"/>
        <v>-174.59072494468225</v>
      </c>
      <c r="AD89" s="10">
        <f t="shared" si="926"/>
        <v>-131.99397672272605</v>
      </c>
      <c r="AE89" s="10">
        <f t="shared" si="926"/>
        <v>124.65794932977195</v>
      </c>
      <c r="AF89" s="10">
        <f t="shared" si="926"/>
        <v>-276.23589991567979</v>
      </c>
      <c r="AG89" s="10">
        <f t="shared" si="926"/>
        <v>-1009.4682554509072</v>
      </c>
      <c r="AH89" s="10">
        <f t="shared" si="926"/>
        <v>-1513.366209296918</v>
      </c>
      <c r="AI89" s="10">
        <f t="shared" si="926"/>
        <v>-1956.6513157516995</v>
      </c>
      <c r="AJ89" s="10">
        <f t="shared" si="926"/>
        <v>-2054.757728976665</v>
      </c>
      <c r="AK89" s="10">
        <f t="shared" si="926"/>
        <v>-1892.8616442387747</v>
      </c>
      <c r="AL89" s="10">
        <f t="shared" si="926"/>
        <v>-2445.3455790213052</v>
      </c>
      <c r="AM89" s="10">
        <f>IF(OR(AM88="",AM87="",AL92=""),"",((AL92+AM87)*AM88)/12)</f>
        <v>-5764.8350030672727</v>
      </c>
      <c r="AN89" s="10">
        <f t="shared" ref="AN89" si="927">IF(OR(AN88="",AN87="",AM92=""),"",((AM92+AN87)*AN88)/12)</f>
        <v>-5279.6389977080826</v>
      </c>
      <c r="AO89" s="10">
        <f t="shared" ref="AO89" si="928">IF(OR(AO88="",AO87="",AN92=""),"",((AN92+AO87)*AO88)/12)</f>
        <v>-4662.5358984985905</v>
      </c>
      <c r="AP89" s="10">
        <f t="shared" ref="AP89" si="929">IF(OR(AP88="",AP87="",AO92=""),"",((AO92+AP87)*AP88)/12)</f>
        <v>-3898.819539094115</v>
      </c>
      <c r="AQ89" s="10">
        <f t="shared" ref="AQ89" si="930">IF(OR(AQ88="",AQ87="",AP92=""),"",((AP92+AQ87)*AQ88)/12)</f>
        <v>-3357.1484847847314</v>
      </c>
      <c r="AR89" s="10">
        <f t="shared" ref="AR89" si="931">IF(OR(AR88="",AR87="",AQ92=""),"",((AQ92+AR87)*AR88)/12)</f>
        <v>-2820.8770097525307</v>
      </c>
      <c r="AS89" s="10">
        <f t="shared" ref="AS89" si="932">IF(OR(AS88="",AS87="",AR92=""),"",((AR92+AS87)*AS88)/12)</f>
        <v>-2304.8804708231155</v>
      </c>
      <c r="AT89" s="10">
        <f t="shared" ref="AT89" si="933">IF(OR(AT88="",AT87="",AS92=""),"",((AS92+AT87)*AT88)/12)</f>
        <v>-1688.667932842033</v>
      </c>
      <c r="AU89" s="10">
        <f t="shared" ref="AU89" si="934">IF(OR(AU88="",AU87="",AT92=""),"",((AT92+AU87)*AU88)/12)</f>
        <v>-1207.5844596997761</v>
      </c>
      <c r="AV89" s="10">
        <f>IF(OR(AV88="",AV87="",AU92=""),"",((AU92+AV87)*AV88)/12)</f>
        <v>-749.8287585961034</v>
      </c>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4"/>
      <c r="BY89" s="14"/>
      <c r="BZ89" s="14"/>
      <c r="CA89" s="14"/>
      <c r="CB89" s="14"/>
      <c r="CC89" s="14"/>
      <c r="CD89" s="14"/>
      <c r="CE89" s="14"/>
      <c r="CF89" s="14"/>
      <c r="CG89" s="14"/>
      <c r="CH89" s="14"/>
      <c r="CI89" s="14"/>
    </row>
    <row r="90" spans="1:87" x14ac:dyDescent="0.35">
      <c r="A90" s="276"/>
      <c r="B90" s="58" t="s">
        <v>6</v>
      </c>
      <c r="C90" s="41"/>
      <c r="D90" s="41"/>
      <c r="E90" s="10"/>
      <c r="F90" s="10"/>
      <c r="G90" s="10"/>
      <c r="H90" s="10"/>
      <c r="I90" s="10"/>
      <c r="J90" s="10"/>
      <c r="K90" s="10"/>
      <c r="L90" s="10"/>
      <c r="M90" s="10"/>
      <c r="N90" s="10"/>
      <c r="O90" s="10">
        <f>O89</f>
        <v>-83.442329999999998</v>
      </c>
      <c r="P90" s="10">
        <f>IF(OR(O90="",P89=""),"",O90+P89)</f>
        <v>-140.28585239967404</v>
      </c>
      <c r="Q90" s="10">
        <f t="shared" ref="Q90:AL90" si="935">IF(OR(P90="",Q89=""),"",P90+Q89)</f>
        <v>-10.586061341557325</v>
      </c>
      <c r="R90" s="10">
        <f t="shared" si="935"/>
        <v>355.46149868298994</v>
      </c>
      <c r="S90" s="10">
        <f t="shared" si="935"/>
        <v>971.33151928589405</v>
      </c>
      <c r="T90" s="10">
        <f t="shared" si="935"/>
        <v>1756.1949264623586</v>
      </c>
      <c r="U90" s="10">
        <f t="shared" si="935"/>
        <v>2292.6797854261663</v>
      </c>
      <c r="V90" s="10">
        <f t="shared" si="935"/>
        <v>2565.1265604426703</v>
      </c>
      <c r="W90" s="10">
        <f t="shared" si="935"/>
        <v>2797.5076096823759</v>
      </c>
      <c r="X90" s="10">
        <f t="shared" si="935"/>
        <v>3117.935746975736</v>
      </c>
      <c r="Y90" s="10">
        <f t="shared" si="935"/>
        <v>3676.8038378143233</v>
      </c>
      <c r="Z90" s="10">
        <f t="shared" si="935"/>
        <v>4421.9554251945683</v>
      </c>
      <c r="AA90" s="10">
        <f t="shared" si="935"/>
        <v>4558.9373669350516</v>
      </c>
      <c r="AB90" s="10">
        <f t="shared" si="935"/>
        <v>4407.096963934081</v>
      </c>
      <c r="AC90" s="10">
        <f t="shared" si="935"/>
        <v>4232.5062389893992</v>
      </c>
      <c r="AD90" s="10">
        <f t="shared" si="935"/>
        <v>4100.5122622666731</v>
      </c>
      <c r="AE90" s="10">
        <f t="shared" si="935"/>
        <v>4225.1702115964454</v>
      </c>
      <c r="AF90" s="10">
        <f t="shared" si="935"/>
        <v>3948.9343116807654</v>
      </c>
      <c r="AG90" s="10">
        <f t="shared" si="935"/>
        <v>2939.4660562298582</v>
      </c>
      <c r="AH90" s="10">
        <f t="shared" si="935"/>
        <v>1426.0998469329402</v>
      </c>
      <c r="AI90" s="10">
        <f t="shared" si="935"/>
        <v>-530.5514688187593</v>
      </c>
      <c r="AJ90" s="10">
        <f t="shared" si="935"/>
        <v>-2585.3091977954246</v>
      </c>
      <c r="AK90" s="10">
        <f t="shared" si="935"/>
        <v>-4478.1708420341993</v>
      </c>
      <c r="AL90" s="10">
        <f t="shared" si="935"/>
        <v>-6923.5164210555049</v>
      </c>
      <c r="AM90" s="10">
        <f t="shared" ref="AM90" si="936">IF(OR(AL90="",AM89=""),"",AL90+AM89)</f>
        <v>-12688.351424122779</v>
      </c>
      <c r="AN90" s="10">
        <f t="shared" ref="AN90" si="937">IF(OR(AM90="",AN89=""),"",AM90+AN89)</f>
        <v>-17967.990421830862</v>
      </c>
      <c r="AO90" s="10">
        <f t="shared" ref="AO90" si="938">IF(OR(AN90="",AO89=""),"",AN90+AO89)</f>
        <v>-22630.526320329453</v>
      </c>
      <c r="AP90" s="10">
        <f t="shared" ref="AP90" si="939">IF(OR(AO90="",AP89=""),"",AO90+AP89)</f>
        <v>-26529.345859423567</v>
      </c>
      <c r="AQ90" s="10">
        <f t="shared" ref="AQ90" si="940">IF(OR(AP90="",AQ89=""),"",AP90+AQ89)</f>
        <v>-29886.494344208299</v>
      </c>
      <c r="AR90" s="10">
        <f t="shared" ref="AR90" si="941">IF(OR(AQ90="",AR89=""),"",AQ90+AR89)</f>
        <v>-32707.371353960829</v>
      </c>
      <c r="AS90" s="10">
        <f t="shared" ref="AS90" si="942">IF(OR(AR90="",AS89=""),"",AR90+AS89)</f>
        <v>-35012.251824783947</v>
      </c>
      <c r="AT90" s="10">
        <f t="shared" ref="AT90" si="943">IF(OR(AS90="",AT89=""),"",AS90+AT89)</f>
        <v>-36700.919757625983</v>
      </c>
      <c r="AU90" s="10">
        <f t="shared" ref="AU90:AV90" si="944">IF(OR(AT90="",AU89=""),"",AT90+AU89)</f>
        <v>-37908.504217325761</v>
      </c>
      <c r="AV90" s="10">
        <f t="shared" si="944"/>
        <v>-38658.332975921861</v>
      </c>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4"/>
      <c r="BY90" s="14"/>
      <c r="BZ90" s="14"/>
      <c r="CA90" s="14"/>
      <c r="CB90" s="14"/>
      <c r="CC90" s="14"/>
      <c r="CD90" s="14"/>
      <c r="CE90" s="14"/>
      <c r="CF90" s="14"/>
      <c r="CG90" s="14"/>
      <c r="CH90" s="14"/>
      <c r="CI90" s="14"/>
    </row>
    <row r="91" spans="1:87" x14ac:dyDescent="0.35">
      <c r="A91" s="276"/>
      <c r="B91" s="76" t="s">
        <v>58</v>
      </c>
      <c r="C91" s="41"/>
      <c r="D91" s="41"/>
      <c r="E91" s="10"/>
      <c r="F91" s="10"/>
      <c r="G91" s="10"/>
      <c r="H91" s="10"/>
      <c r="I91" s="10"/>
      <c r="J91" s="10"/>
      <c r="K91" s="10"/>
      <c r="L91" s="10"/>
      <c r="M91" s="10"/>
      <c r="N91" s="10"/>
      <c r="O91" s="10">
        <f>IF(OR(O89="",O87=""),"",O87+O89)</f>
        <v>-111339.88233000001</v>
      </c>
      <c r="P91" s="10">
        <f>IF(OR(P89="",P87=""),"",P87+P89)</f>
        <v>35491.675608034937</v>
      </c>
      <c r="Q91" s="10">
        <f t="shared" ref="Q91:AL91" si="945">IF(OR(Q89="",Q87=""),"",Q87+Q89)</f>
        <v>211316.81892149281</v>
      </c>
      <c r="R91" s="10">
        <f t="shared" si="945"/>
        <v>246860.10669045919</v>
      </c>
      <c r="S91" s="10">
        <f t="shared" si="945"/>
        <v>260934.12915103763</v>
      </c>
      <c r="T91" s="10">
        <f t="shared" si="945"/>
        <v>25490.872537611063</v>
      </c>
      <c r="U91" s="10">
        <f t="shared" si="945"/>
        <v>-205680.44601060153</v>
      </c>
      <c r="V91" s="10">
        <f t="shared" si="945"/>
        <v>-239936.83409454871</v>
      </c>
      <c r="W91" s="10">
        <f t="shared" si="945"/>
        <v>-30359.779820325621</v>
      </c>
      <c r="X91" s="10">
        <f t="shared" si="945"/>
        <v>72573.967267727989</v>
      </c>
      <c r="Y91" s="10">
        <f t="shared" si="945"/>
        <v>200005.63722127333</v>
      </c>
      <c r="Z91" s="10">
        <f t="shared" si="945"/>
        <v>39567.760717814934</v>
      </c>
      <c r="AA91" s="10">
        <f t="shared" si="945"/>
        <v>-408961.18892782484</v>
      </c>
      <c r="AB91" s="10">
        <f t="shared" si="945"/>
        <v>-195814.76127256631</v>
      </c>
      <c r="AC91" s="10">
        <f t="shared" si="945"/>
        <v>-2325.7715945100276</v>
      </c>
      <c r="AD91" s="10">
        <f t="shared" si="945"/>
        <v>33512.885153711984</v>
      </c>
      <c r="AE91" s="10">
        <f t="shared" si="945"/>
        <v>136821.97707976442</v>
      </c>
      <c r="AF91" s="10">
        <f t="shared" si="945"/>
        <v>-213848.71676948108</v>
      </c>
      <c r="AG91" s="10">
        <f t="shared" si="945"/>
        <v>-371412.79912501614</v>
      </c>
      <c r="AH91" s="10">
        <f t="shared" si="945"/>
        <v>-265351.44707886217</v>
      </c>
      <c r="AI91" s="10">
        <f t="shared" si="945"/>
        <v>-227667.4021853171</v>
      </c>
      <c r="AJ91" s="10">
        <f t="shared" si="945"/>
        <v>4692.4214014580921</v>
      </c>
      <c r="AK91" s="10">
        <f t="shared" si="945"/>
        <v>104713.337486196</v>
      </c>
      <c r="AL91" s="10">
        <f t="shared" si="945"/>
        <v>-167013.99644858664</v>
      </c>
      <c r="AM91" s="10">
        <f t="shared" ref="AM91:AV91" si="946">IF(OR(AM89="",AM87=""),"",AM87+AM89)</f>
        <v>-1348673.5550030672</v>
      </c>
      <c r="AN91" s="10">
        <f t="shared" si="946"/>
        <v>180599.06317620506</v>
      </c>
      <c r="AO91" s="10">
        <f t="shared" si="946"/>
        <v>224179.84627541454</v>
      </c>
      <c r="AP91" s="10">
        <f t="shared" si="946"/>
        <v>250363.65263481901</v>
      </c>
      <c r="AQ91" s="10">
        <f t="shared" si="946"/>
        <v>253222.8036891284</v>
      </c>
      <c r="AR91" s="10">
        <f t="shared" si="946"/>
        <v>227867.95516416061</v>
      </c>
      <c r="AS91" s="10">
        <f t="shared" si="946"/>
        <v>211972.30170308999</v>
      </c>
      <c r="AT91" s="10">
        <f t="shared" si="946"/>
        <v>204648.61424107107</v>
      </c>
      <c r="AU91" s="10">
        <f t="shared" si="946"/>
        <v>208673.19771421334</v>
      </c>
      <c r="AV91" s="10">
        <f t="shared" si="946"/>
        <v>228478.03341531704</v>
      </c>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4"/>
      <c r="BY91" s="14"/>
      <c r="BZ91" s="14"/>
      <c r="CA91" s="14"/>
      <c r="CB91" s="14"/>
      <c r="CC91" s="14"/>
      <c r="CD91" s="14"/>
      <c r="CE91" s="14"/>
      <c r="CF91" s="14"/>
      <c r="CG91" s="14"/>
      <c r="CH91" s="14"/>
      <c r="CI91" s="14"/>
    </row>
    <row r="92" spans="1:87" x14ac:dyDescent="0.35">
      <c r="A92" s="276"/>
      <c r="B92" s="57" t="s">
        <v>48</v>
      </c>
      <c r="C92" s="41"/>
      <c r="D92" s="41"/>
      <c r="E92" s="10"/>
      <c r="F92" s="10"/>
      <c r="G92" s="10"/>
      <c r="H92" s="10"/>
      <c r="I92" s="10"/>
      <c r="J92" s="10"/>
      <c r="K92" s="10"/>
      <c r="L92" s="10"/>
      <c r="M92" s="10"/>
      <c r="N92" s="10"/>
      <c r="O92" s="10">
        <f>N92+O91</f>
        <v>-111339.88233000001</v>
      </c>
      <c r="P92" s="10">
        <f>IF(OR(P91="",O92=""),"",O92+P91)</f>
        <v>-75848.206721965078</v>
      </c>
      <c r="Q92" s="10">
        <f t="shared" ref="Q92:AL92" si="947">IF(OR(Q91="",P92=""),"",P92+Q91)</f>
        <v>135468.61219952774</v>
      </c>
      <c r="R92" s="10">
        <f t="shared" si="947"/>
        <v>382328.71888998692</v>
      </c>
      <c r="S92" s="10">
        <f t="shared" si="947"/>
        <v>643262.84804102452</v>
      </c>
      <c r="T92" s="10">
        <f t="shared" si="947"/>
        <v>668753.72057863558</v>
      </c>
      <c r="U92" s="10">
        <f t="shared" si="947"/>
        <v>463073.27456803404</v>
      </c>
      <c r="V92" s="10">
        <f t="shared" si="947"/>
        <v>223136.44047348533</v>
      </c>
      <c r="W92" s="10">
        <f t="shared" si="947"/>
        <v>192776.66065315972</v>
      </c>
      <c r="X92" s="10">
        <f t="shared" si="947"/>
        <v>265350.62792088772</v>
      </c>
      <c r="Y92" s="10">
        <f t="shared" si="947"/>
        <v>465356.26514216105</v>
      </c>
      <c r="Z92" s="10">
        <f t="shared" si="947"/>
        <v>504924.02585997595</v>
      </c>
      <c r="AA92" s="10">
        <f t="shared" si="947"/>
        <v>95962.836932151113</v>
      </c>
      <c r="AB92" s="10">
        <f t="shared" si="947"/>
        <v>-99851.924340415193</v>
      </c>
      <c r="AC92" s="10">
        <f t="shared" si="947"/>
        <v>-102177.69593492521</v>
      </c>
      <c r="AD92" s="10">
        <f t="shared" si="947"/>
        <v>-68664.810781213222</v>
      </c>
      <c r="AE92" s="10">
        <f t="shared" si="947"/>
        <v>68157.166298551194</v>
      </c>
      <c r="AF92" s="10">
        <f t="shared" si="947"/>
        <v>-145691.55047092988</v>
      </c>
      <c r="AG92" s="10">
        <f t="shared" si="947"/>
        <v>-517104.34959594603</v>
      </c>
      <c r="AH92" s="10">
        <f t="shared" si="947"/>
        <v>-782455.79667480825</v>
      </c>
      <c r="AI92" s="10">
        <f t="shared" si="947"/>
        <v>-1010123.1988601254</v>
      </c>
      <c r="AJ92" s="10">
        <f t="shared" si="947"/>
        <v>-1005430.7774586673</v>
      </c>
      <c r="AK92" s="10">
        <f t="shared" si="947"/>
        <v>-900717.43997247133</v>
      </c>
      <c r="AL92" s="10">
        <f t="shared" si="947"/>
        <v>-1067731.4364210579</v>
      </c>
      <c r="AM92" s="10">
        <f t="shared" ref="AM92" si="948">IF(OR(AM91="",AL92=""),"",AL92+AM91)</f>
        <v>-2416404.9914241252</v>
      </c>
      <c r="AN92" s="10">
        <f t="shared" ref="AN92" si="949">IF(OR(AN91="",AM92=""),"",AM92+AN91)</f>
        <v>-2235805.9282479202</v>
      </c>
      <c r="AO92" s="10">
        <f t="shared" ref="AO92" si="950">IF(OR(AO91="",AN92=""),"",AN92+AO91)</f>
        <v>-2011626.0819725057</v>
      </c>
      <c r="AP92" s="10">
        <f t="shared" ref="AP92" si="951">IF(OR(AP91="",AO92=""),"",AO92+AP91)</f>
        <v>-1761262.4293376866</v>
      </c>
      <c r="AQ92" s="10">
        <f t="shared" ref="AQ92" si="952">IF(OR(AQ91="",AP92=""),"",AP92+AQ91)</f>
        <v>-1508039.6256485581</v>
      </c>
      <c r="AR92" s="10">
        <f t="shared" ref="AR92" si="953">IF(OR(AR91="",AQ92=""),"",AQ92+AR91)</f>
        <v>-1280171.6704843976</v>
      </c>
      <c r="AS92" s="10">
        <f t="shared" ref="AS92" si="954">IF(OR(AS91="",AR92=""),"",AR92+AS91)</f>
        <v>-1068199.3687813075</v>
      </c>
      <c r="AT92" s="10">
        <f t="shared" ref="AT92" si="955">IF(OR(AT91="",AS92=""),"",AS92+AT91)</f>
        <v>-863550.75454023643</v>
      </c>
      <c r="AU92" s="10">
        <f t="shared" ref="AU92:AV92" si="956">IF(OR(AU91="",AT92=""),"",AT92+AU91)</f>
        <v>-654877.55682602315</v>
      </c>
      <c r="AV92" s="10">
        <f t="shared" si="956"/>
        <v>-426399.52341070608</v>
      </c>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4"/>
      <c r="BY92" s="14"/>
      <c r="BZ92" s="14"/>
      <c r="CA92" s="14"/>
      <c r="CB92" s="14"/>
      <c r="CC92" s="14"/>
      <c r="CD92" s="14"/>
      <c r="CE92" s="14"/>
      <c r="CF92" s="14"/>
      <c r="CG92" s="14"/>
      <c r="CH92" s="14"/>
      <c r="CI92" s="14"/>
    </row>
    <row r="93" spans="1:87" x14ac:dyDescent="0.35">
      <c r="A93" s="276"/>
      <c r="B93" s="59" t="s">
        <v>47</v>
      </c>
      <c r="C93" s="41"/>
      <c r="D93" s="41"/>
      <c r="E93" s="10"/>
      <c r="F93" s="10"/>
      <c r="G93" s="10"/>
      <c r="H93" s="10"/>
      <c r="I93" s="10"/>
      <c r="J93" s="10"/>
      <c r="K93" s="10"/>
      <c r="L93" s="10"/>
      <c r="M93" s="10"/>
      <c r="N93" s="10">
        <v>28246578.739999998</v>
      </c>
      <c r="O93" s="10">
        <f>N93-O86+O89</f>
        <v>28135238.857669998</v>
      </c>
      <c r="P93" s="10">
        <f>IF(P86="","",O93-P86+P89)</f>
        <v>26942618.414147597</v>
      </c>
      <c r="Q93" s="10">
        <f t="shared" ref="Q93:AU93" si="957">IF(Q86="","",P93-Q86+Q89)</f>
        <v>25925823.113938656</v>
      </c>
      <c r="R93" s="10">
        <f t="shared" si="957"/>
        <v>24944571.101498682</v>
      </c>
      <c r="S93" s="10">
        <f t="shared" si="957"/>
        <v>23977393.111519285</v>
      </c>
      <c r="T93" s="10">
        <f t="shared" si="957"/>
        <v>22774771.864926461</v>
      </c>
      <c r="U93" s="10">
        <f t="shared" si="957"/>
        <v>21340979.299785424</v>
      </c>
      <c r="V93" s="10">
        <f t="shared" si="957"/>
        <v>19872930.346560441</v>
      </c>
      <c r="W93" s="10">
        <f t="shared" si="957"/>
        <v>18614458.447609678</v>
      </c>
      <c r="X93" s="10">
        <f t="shared" si="957"/>
        <v>17458920.295746975</v>
      </c>
      <c r="Y93" s="10">
        <f t="shared" si="957"/>
        <v>16430813.813837813</v>
      </c>
      <c r="Z93" s="10">
        <f t="shared" si="957"/>
        <v>15242269.455425194</v>
      </c>
      <c r="AA93" s="10">
        <f t="shared" si="957"/>
        <v>13605196.147366934</v>
      </c>
      <c r="AB93" s="10">
        <f t="shared" si="957"/>
        <v>12181269.266963933</v>
      </c>
      <c r="AC93" s="10">
        <f t="shared" si="957"/>
        <v>10950831.376238987</v>
      </c>
      <c r="AD93" s="10">
        <f t="shared" si="957"/>
        <v>9756232.1422622632</v>
      </c>
      <c r="AE93" s="10">
        <f t="shared" si="957"/>
        <v>8664942.0002115928</v>
      </c>
      <c r="AF93" s="10">
        <f t="shared" si="957"/>
        <v>7222981.1643116772</v>
      </c>
      <c r="AG93" s="10">
        <f t="shared" si="957"/>
        <v>5623456.2460562261</v>
      </c>
      <c r="AH93" s="10">
        <f t="shared" si="957"/>
        <v>4129992.6798469289</v>
      </c>
      <c r="AI93" s="10">
        <f t="shared" si="957"/>
        <v>2674213.1585311773</v>
      </c>
      <c r="AJ93" s="10">
        <f t="shared" si="957"/>
        <v>1450793.4608022007</v>
      </c>
      <c r="AK93" s="10">
        <f t="shared" si="957"/>
        <v>327394.67915796203</v>
      </c>
      <c r="AL93" s="10">
        <f>IF(AL86="","",AK93-AL86+AL89)</f>
        <v>-1067731.4364210593</v>
      </c>
      <c r="AM93" s="10">
        <f>IF(AM86="","",AL93-AM86+AM89+AM84)</f>
        <v>6725029.9285758752</v>
      </c>
      <c r="AN93" s="10">
        <f t="shared" si="957"/>
        <v>6508175.2995781666</v>
      </c>
      <c r="AO93" s="10">
        <f t="shared" si="957"/>
        <v>6334901.4536796687</v>
      </c>
      <c r="AP93" s="10">
        <f t="shared" si="957"/>
        <v>6187811.4141405746</v>
      </c>
      <c r="AQ93" s="10">
        <f t="shared" si="957"/>
        <v>6043580.5256557893</v>
      </c>
      <c r="AR93" s="10">
        <f t="shared" si="957"/>
        <v>5873994.7886460368</v>
      </c>
      <c r="AS93" s="10">
        <f t="shared" si="957"/>
        <v>5688513.3981752135</v>
      </c>
      <c r="AT93" s="10">
        <f t="shared" si="957"/>
        <v>5495708.3202423714</v>
      </c>
      <c r="AU93" s="10">
        <f t="shared" si="957"/>
        <v>5306927.8257826716</v>
      </c>
      <c r="AV93" s="10">
        <f>IF(AV86="","",AU93-AV86+AV89)</f>
        <v>5137952.1670240751</v>
      </c>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4"/>
      <c r="BY93" s="14"/>
      <c r="BZ93" s="14"/>
      <c r="CA93" s="14"/>
      <c r="CB93" s="14"/>
      <c r="CC93" s="14"/>
      <c r="CD93" s="14"/>
      <c r="CE93" s="14"/>
      <c r="CF93" s="14"/>
      <c r="CG93" s="14"/>
      <c r="CH93" s="14"/>
      <c r="CI93" s="14"/>
    </row>
    <row r="94" spans="1:87" s="5" customFormat="1" ht="8.25" customHeight="1" x14ac:dyDescent="0.35">
      <c r="A94" s="44"/>
      <c r="B94" s="13"/>
      <c r="C94" s="13"/>
      <c r="D94" s="13"/>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row>
    <row r="95" spans="1:87" s="5" customFormat="1" x14ac:dyDescent="0.35">
      <c r="A95" s="276" t="s">
        <v>78</v>
      </c>
      <c r="B95" s="57"/>
      <c r="C95" s="102"/>
      <c r="D95" s="102"/>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74">
        <v>5616785</v>
      </c>
      <c r="AM95" s="74">
        <f>6127402+5086355</f>
        <v>11213757</v>
      </c>
      <c r="AN95" s="9"/>
      <c r="AO95" s="9"/>
      <c r="AP95" s="73"/>
      <c r="AQ95" s="73"/>
      <c r="AR95" s="73"/>
      <c r="AS95" s="73"/>
      <c r="AT95" s="73"/>
      <c r="AU95" s="74">
        <v>17719482</v>
      </c>
      <c r="AV95" s="73"/>
      <c r="AW95" s="74">
        <f>+AV93</f>
        <v>5137952.1670240751</v>
      </c>
      <c r="AX95" s="73"/>
      <c r="AY95" s="73"/>
      <c r="AZ95" s="9"/>
      <c r="BA95" s="73"/>
      <c r="BB95" s="73"/>
      <c r="BC95" s="73"/>
      <c r="BD95" s="73"/>
      <c r="BE95" s="73"/>
      <c r="BF95" s="74">
        <v>-695012</v>
      </c>
      <c r="BG95" s="73"/>
      <c r="BH95" s="73"/>
      <c r="BI95" s="73"/>
      <c r="BJ95" s="73"/>
      <c r="BK95" s="73"/>
      <c r="BL95" s="73"/>
      <c r="BM95" s="73"/>
      <c r="BN95" s="73"/>
      <c r="BO95" s="73"/>
      <c r="BP95" s="73"/>
      <c r="BQ95" s="73"/>
      <c r="BR95" s="74">
        <v>-19829.638093632686</v>
      </c>
      <c r="BS95" s="73"/>
      <c r="BT95" s="73"/>
      <c r="BU95" s="73"/>
      <c r="BV95" s="73"/>
      <c r="BW95" s="73"/>
      <c r="BX95" s="73"/>
      <c r="BY95" s="73"/>
      <c r="BZ95" s="73"/>
      <c r="CA95" s="73"/>
      <c r="CB95" s="73"/>
      <c r="CC95" s="73"/>
      <c r="CD95" s="73"/>
      <c r="CE95" s="73"/>
      <c r="CF95" s="73"/>
      <c r="CG95" s="73"/>
      <c r="CH95" s="73"/>
      <c r="CI95" s="73"/>
    </row>
    <row r="96" spans="1:87" ht="15" customHeight="1" x14ac:dyDescent="0.35">
      <c r="A96" s="276"/>
      <c r="B96" s="57" t="s">
        <v>72</v>
      </c>
      <c r="C96" s="41"/>
      <c r="D96" s="41"/>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v>0</v>
      </c>
      <c r="AE96" s="66">
        <v>0</v>
      </c>
      <c r="AF96" s="66">
        <v>0</v>
      </c>
      <c r="AG96" s="66">
        <v>0</v>
      </c>
      <c r="AH96" s="66">
        <v>0</v>
      </c>
      <c r="AI96" s="66">
        <v>0</v>
      </c>
      <c r="AJ96" s="66">
        <v>0</v>
      </c>
      <c r="AK96" s="66">
        <v>0</v>
      </c>
      <c r="AL96" s="66">
        <v>0</v>
      </c>
      <c r="AM96" s="66">
        <v>0</v>
      </c>
      <c r="AN96" s="66">
        <v>0</v>
      </c>
      <c r="AO96" s="66">
        <v>0</v>
      </c>
      <c r="AP96" s="66">
        <v>0</v>
      </c>
      <c r="AQ96" s="66">
        <v>0</v>
      </c>
      <c r="AR96" s="66">
        <v>0</v>
      </c>
      <c r="AS96" s="66">
        <v>0</v>
      </c>
      <c r="AT96" s="66">
        <v>0</v>
      </c>
      <c r="AU96" s="66">
        <v>0</v>
      </c>
      <c r="AV96" s="66">
        <v>0</v>
      </c>
      <c r="AW96" s="66">
        <f>+$AM$84/23</f>
        <v>397453.69217391312</v>
      </c>
      <c r="AX96" s="66">
        <f t="shared" ref="AX96" si="958">+$AM$84/23</f>
        <v>397453.69217391312</v>
      </c>
      <c r="AY96" s="66">
        <f>+$AM$84/23</f>
        <v>397453.69217391312</v>
      </c>
      <c r="AZ96" s="129">
        <f>43584506/23</f>
        <v>1894978.5217391304</v>
      </c>
      <c r="BA96" s="66">
        <f t="shared" ref="BA96:BK96" si="959">43584506/23</f>
        <v>1894978.5217391304</v>
      </c>
      <c r="BB96" s="66">
        <f t="shared" si="959"/>
        <v>1894978.5217391304</v>
      </c>
      <c r="BC96" s="66">
        <f t="shared" si="959"/>
        <v>1894978.5217391304</v>
      </c>
      <c r="BD96" s="66">
        <f t="shared" si="959"/>
        <v>1894978.5217391304</v>
      </c>
      <c r="BE96" s="66">
        <f t="shared" si="959"/>
        <v>1894978.5217391304</v>
      </c>
      <c r="BF96" s="66">
        <f t="shared" si="959"/>
        <v>1894978.5217391304</v>
      </c>
      <c r="BG96" s="66">
        <f t="shared" si="959"/>
        <v>1894978.5217391304</v>
      </c>
      <c r="BH96" s="66">
        <f t="shared" si="959"/>
        <v>1894978.5217391304</v>
      </c>
      <c r="BI96" s="66">
        <f t="shared" si="959"/>
        <v>1894978.5217391304</v>
      </c>
      <c r="BJ96" s="66">
        <f t="shared" si="959"/>
        <v>1894978.5217391304</v>
      </c>
      <c r="BK96" s="66">
        <f t="shared" si="959"/>
        <v>1894978.5217391304</v>
      </c>
      <c r="BL96" s="129">
        <f t="shared" ref="BL96:BV96" si="960">(43584506/23)+(-695012/12)</f>
        <v>1837060.8550724636</v>
      </c>
      <c r="BM96" s="66">
        <f t="shared" si="960"/>
        <v>1837060.8550724636</v>
      </c>
      <c r="BN96" s="66">
        <f t="shared" si="960"/>
        <v>1837060.8550724636</v>
      </c>
      <c r="BO96" s="66">
        <f t="shared" si="960"/>
        <v>1837060.8550724636</v>
      </c>
      <c r="BP96" s="66">
        <f t="shared" si="960"/>
        <v>1837060.8550724636</v>
      </c>
      <c r="BQ96" s="66">
        <f t="shared" si="960"/>
        <v>1837060.8550724636</v>
      </c>
      <c r="BR96" s="66">
        <f t="shared" si="960"/>
        <v>1837060.8550724636</v>
      </c>
      <c r="BS96" s="66">
        <f t="shared" si="960"/>
        <v>1837060.8550724636</v>
      </c>
      <c r="BT96" s="66">
        <f t="shared" si="960"/>
        <v>1837060.8550724636</v>
      </c>
      <c r="BU96" s="66">
        <f t="shared" si="960"/>
        <v>1837060.8550724636</v>
      </c>
      <c r="BV96" s="66">
        <f t="shared" si="960"/>
        <v>1837060.8550724636</v>
      </c>
      <c r="BW96" s="66">
        <f>(-695012/12)</f>
        <v>-57917.666666666664</v>
      </c>
      <c r="BX96" s="243"/>
      <c r="BY96" s="243"/>
      <c r="BZ96" s="243"/>
      <c r="CA96" s="243"/>
      <c r="CB96" s="243"/>
      <c r="CC96" s="243"/>
      <c r="CD96" s="243"/>
      <c r="CE96" s="243"/>
      <c r="CF96" s="243"/>
      <c r="CG96" s="243"/>
      <c r="CH96" s="243"/>
      <c r="CI96" s="243"/>
    </row>
    <row r="97" spans="1:87" x14ac:dyDescent="0.35">
      <c r="A97" s="276"/>
      <c r="B97" s="57" t="s">
        <v>73</v>
      </c>
      <c r="C97" s="41"/>
      <c r="D97" s="41"/>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v>0</v>
      </c>
      <c r="AE97" s="24">
        <v>0</v>
      </c>
      <c r="AF97" s="24">
        <v>0</v>
      </c>
      <c r="AG97" s="24">
        <v>0</v>
      </c>
      <c r="AH97" s="24">
        <v>0</v>
      </c>
      <c r="AI97" s="24">
        <v>0</v>
      </c>
      <c r="AJ97" s="24">
        <v>0</v>
      </c>
      <c r="AK97" s="24">
        <v>0</v>
      </c>
      <c r="AL97" s="24">
        <v>0</v>
      </c>
      <c r="AM97" s="24">
        <v>0</v>
      </c>
      <c r="AN97" s="24">
        <v>0</v>
      </c>
      <c r="AO97" s="24">
        <v>0</v>
      </c>
      <c r="AP97" s="24">
        <v>0</v>
      </c>
      <c r="AQ97" s="24">
        <v>0</v>
      </c>
      <c r="AR97" s="24">
        <v>0</v>
      </c>
      <c r="AS97" s="24">
        <v>0</v>
      </c>
      <c r="AT97" s="24">
        <v>0</v>
      </c>
      <c r="AU97" s="24">
        <v>0</v>
      </c>
      <c r="AV97" s="24">
        <v>0</v>
      </c>
      <c r="AW97" s="24">
        <v>150382.70000000001</v>
      </c>
      <c r="AX97" s="24">
        <v>168628.67</v>
      </c>
      <c r="AY97" s="24">
        <v>178410.97</v>
      </c>
      <c r="AZ97" s="24">
        <v>974302.29</v>
      </c>
      <c r="BA97" s="24">
        <v>1842413.4500000002</v>
      </c>
      <c r="BB97" s="24">
        <v>1551951</v>
      </c>
      <c r="BC97" s="24">
        <v>1425563.68</v>
      </c>
      <c r="BD97" s="24">
        <v>1745884.99</v>
      </c>
      <c r="BE97" s="24">
        <v>2194313.89</v>
      </c>
      <c r="BF97" s="24">
        <v>2131578.6800000002</v>
      </c>
      <c r="BG97" s="24">
        <v>2017374.93</v>
      </c>
      <c r="BH97" s="24">
        <v>1555195.29</v>
      </c>
      <c r="BI97" s="24">
        <v>1583158.96</v>
      </c>
      <c r="BJ97" s="24">
        <v>1876199.76</v>
      </c>
      <c r="BK97" s="24">
        <v>2208883.19</v>
      </c>
      <c r="BL97" s="24">
        <v>2225379.46</v>
      </c>
      <c r="BM97" s="24">
        <v>1811132.25</v>
      </c>
      <c r="BN97" s="24">
        <v>1487332.63</v>
      </c>
      <c r="BO97" s="24">
        <v>1466226.4</v>
      </c>
      <c r="BP97" s="24">
        <v>1702068.99</v>
      </c>
      <c r="BQ97" s="24">
        <v>2140875.2000000002</v>
      </c>
      <c r="BR97" s="24">
        <v>2124604.4300000002</v>
      </c>
      <c r="BS97" s="24">
        <v>2135977.81</v>
      </c>
      <c r="BT97" s="24">
        <v>1701158.29</v>
      </c>
      <c r="BU97" s="24">
        <v>1511011.77</v>
      </c>
      <c r="BV97" s="24">
        <v>1819161.98</v>
      </c>
      <c r="BW97" s="24">
        <v>2089766.47</v>
      </c>
      <c r="BX97" s="14"/>
      <c r="BY97" s="14"/>
      <c r="BZ97" s="14"/>
      <c r="CA97" s="14"/>
      <c r="CB97" s="14"/>
      <c r="CC97" s="14"/>
      <c r="CD97" s="14"/>
      <c r="CE97" s="14"/>
      <c r="CF97" s="14"/>
      <c r="CG97" s="14"/>
      <c r="CH97" s="14"/>
      <c r="CI97" s="14"/>
    </row>
    <row r="98" spans="1:87" x14ac:dyDescent="0.35">
      <c r="A98" s="276"/>
      <c r="B98" s="57" t="s">
        <v>74</v>
      </c>
      <c r="C98" s="41"/>
      <c r="D98" s="41"/>
      <c r="E98" s="10"/>
      <c r="F98" s="10"/>
      <c r="G98" s="10"/>
      <c r="H98" s="10"/>
      <c r="I98" s="10"/>
      <c r="J98" s="10"/>
      <c r="K98" s="10"/>
      <c r="L98" s="10"/>
      <c r="M98" s="10"/>
      <c r="N98" s="10"/>
      <c r="O98" s="10" t="str">
        <f>IF(OR(O96="",O97=""),"",O96-O97)</f>
        <v/>
      </c>
      <c r="P98" s="10" t="str">
        <f>IF(OR(P96="",P97=""),"",P96-P97)</f>
        <v/>
      </c>
      <c r="Q98" s="10" t="str">
        <f>IF(OR(Q96="",Q97=""),"",Q96-Q97)</f>
        <v/>
      </c>
      <c r="R98" s="10" t="str">
        <f t="shared" ref="R98:AC98" si="961">IF(OR(R96="",R97=""),"",R96-R97)</f>
        <v/>
      </c>
      <c r="S98" s="10" t="str">
        <f t="shared" si="961"/>
        <v/>
      </c>
      <c r="T98" s="10" t="str">
        <f t="shared" si="961"/>
        <v/>
      </c>
      <c r="U98" s="10" t="str">
        <f t="shared" si="961"/>
        <v/>
      </c>
      <c r="V98" s="10" t="str">
        <f t="shared" si="961"/>
        <v/>
      </c>
      <c r="W98" s="10" t="str">
        <f t="shared" si="961"/>
        <v/>
      </c>
      <c r="X98" s="10" t="str">
        <f t="shared" si="961"/>
        <v/>
      </c>
      <c r="Y98" s="10" t="str">
        <f t="shared" si="961"/>
        <v/>
      </c>
      <c r="Z98" s="10" t="str">
        <f t="shared" si="961"/>
        <v/>
      </c>
      <c r="AA98" s="10" t="str">
        <f t="shared" si="961"/>
        <v/>
      </c>
      <c r="AB98" s="10" t="str">
        <f t="shared" si="961"/>
        <v/>
      </c>
      <c r="AC98" s="10" t="str">
        <f t="shared" si="961"/>
        <v/>
      </c>
      <c r="AD98" s="10"/>
      <c r="AE98" s="10"/>
      <c r="AF98" s="10"/>
      <c r="AG98" s="10"/>
      <c r="AH98" s="10"/>
      <c r="AI98" s="10"/>
      <c r="AJ98" s="10"/>
      <c r="AK98" s="10"/>
      <c r="AL98" s="10"/>
      <c r="AM98" s="10"/>
      <c r="AN98" s="10"/>
      <c r="AO98" s="10"/>
      <c r="AP98" s="10"/>
      <c r="AQ98" s="10"/>
      <c r="AR98" s="10"/>
      <c r="AS98" s="10"/>
      <c r="AT98" s="10"/>
      <c r="AU98" s="10"/>
      <c r="AV98" s="10"/>
      <c r="AW98" s="9">
        <f>IF(OR(AW96="",AW97=""),"",AW96-AW97)</f>
        <v>247070.99217391311</v>
      </c>
      <c r="AX98" s="10">
        <f t="shared" ref="AX98:BJ98" si="962">IF(OR(AX96="",AX97=""),"",AX96-AX97)</f>
        <v>228825.02217391311</v>
      </c>
      <c r="AY98" s="10">
        <f t="shared" si="962"/>
        <v>219042.72217391312</v>
      </c>
      <c r="AZ98" s="10">
        <f t="shared" si="962"/>
        <v>920676.23173913034</v>
      </c>
      <c r="BA98" s="10">
        <f t="shared" si="962"/>
        <v>52565.071739130188</v>
      </c>
      <c r="BB98" s="10">
        <f t="shared" si="962"/>
        <v>343027.52173913037</v>
      </c>
      <c r="BC98" s="10">
        <f t="shared" si="962"/>
        <v>469414.84173913044</v>
      </c>
      <c r="BD98" s="10">
        <f t="shared" si="962"/>
        <v>149093.53173913038</v>
      </c>
      <c r="BE98" s="10">
        <f t="shared" si="962"/>
        <v>-299335.36826086976</v>
      </c>
      <c r="BF98" s="10">
        <f>IF(OR(BF96="",BF97=""),"",BF96-BF97)</f>
        <v>-236600.15826086979</v>
      </c>
      <c r="BG98" s="10">
        <f>IF(OR(BG96="",BG97=""),"",BG96-BG97)</f>
        <v>-122396.40826086956</v>
      </c>
      <c r="BH98" s="10">
        <f t="shared" si="962"/>
        <v>339783.23173913034</v>
      </c>
      <c r="BI98" s="10">
        <f t="shared" si="962"/>
        <v>311819.56173913041</v>
      </c>
      <c r="BJ98" s="10">
        <f t="shared" si="962"/>
        <v>18778.761739130365</v>
      </c>
      <c r="BK98" s="10">
        <f t="shared" ref="BK98:BL98" si="963">IF(OR(BK96="",BK97=""),"",BK96-BK97)</f>
        <v>-313904.66826086957</v>
      </c>
      <c r="BL98" s="10">
        <f t="shared" si="963"/>
        <v>-388318.60492753633</v>
      </c>
      <c r="BM98" s="10">
        <f t="shared" ref="BM98:BN98" si="964">IF(OR(BM96="",BM97=""),"",BM96-BM97)</f>
        <v>25928.60507246363</v>
      </c>
      <c r="BN98" s="10">
        <f t="shared" si="964"/>
        <v>349728.22507246374</v>
      </c>
      <c r="BO98" s="10">
        <f t="shared" ref="BO98:BW98" si="965">IF(OR(BO96="",BO97=""),"",BO96-BO97)</f>
        <v>370834.45507246372</v>
      </c>
      <c r="BP98" s="10">
        <f t="shared" si="965"/>
        <v>134991.86507246364</v>
      </c>
      <c r="BQ98" s="10">
        <f>IF(OR(BQ96="",BQ97=""),"",BQ96-BQ97)</f>
        <v>-303814.34492753656</v>
      </c>
      <c r="BR98" s="10">
        <f>IF(OR(BR96="",BR97=""),"",BR96-BR97)</f>
        <v>-287543.57492753654</v>
      </c>
      <c r="BS98" s="10">
        <f>IF(OR(BS96="",BS97=""),"",BS96-BS97)</f>
        <v>-298916.95492753643</v>
      </c>
      <c r="BT98" s="10">
        <f t="shared" si="965"/>
        <v>135902.56507246359</v>
      </c>
      <c r="BU98" s="10">
        <f t="shared" si="965"/>
        <v>326049.08507246361</v>
      </c>
      <c r="BV98" s="10">
        <f t="shared" si="965"/>
        <v>17898.875072463648</v>
      </c>
      <c r="BW98" s="10">
        <f t="shared" si="965"/>
        <v>-2147684.1366666667</v>
      </c>
      <c r="BX98" s="14" t="str">
        <f t="shared" ref="BX98:BY98" si="966">IF(OR(BX96="",BX97=""),"",BX96-BX97)</f>
        <v/>
      </c>
      <c r="BY98" s="14" t="str">
        <f t="shared" si="966"/>
        <v/>
      </c>
      <c r="BZ98" s="14" t="str">
        <f t="shared" ref="BZ98:CA98" si="967">IF(OR(BZ96="",BZ97=""),"",BZ96-BZ97)</f>
        <v/>
      </c>
      <c r="CA98" s="14" t="str">
        <f t="shared" si="967"/>
        <v/>
      </c>
      <c r="CB98" s="14" t="str">
        <f t="shared" ref="CB98:CC98" si="968">IF(OR(CB96="",CB97=""),"",CB96-CB97)</f>
        <v/>
      </c>
      <c r="CC98" s="14" t="str">
        <f t="shared" si="968"/>
        <v/>
      </c>
      <c r="CD98" s="14" t="str">
        <f t="shared" ref="CD98:CE98" si="969">IF(OR(CD96="",CD97=""),"",CD96-CD97)</f>
        <v/>
      </c>
      <c r="CE98" s="14" t="str">
        <f t="shared" si="969"/>
        <v/>
      </c>
      <c r="CF98" s="14" t="str">
        <f t="shared" ref="CF98:CG98" si="970">IF(OR(CF96="",CF97=""),"",CF96-CF97)</f>
        <v/>
      </c>
      <c r="CG98" s="14" t="str">
        <f t="shared" si="970"/>
        <v/>
      </c>
      <c r="CH98" s="14" t="str">
        <f t="shared" ref="CH98:CI98" si="971">IF(OR(CH96="",CH97=""),"",CH96-CH97)</f>
        <v/>
      </c>
      <c r="CI98" s="14" t="str">
        <f t="shared" si="971"/>
        <v/>
      </c>
    </row>
    <row r="99" spans="1:87" x14ac:dyDescent="0.35">
      <c r="A99" s="276"/>
      <c r="B99" s="57" t="s">
        <v>4</v>
      </c>
      <c r="C99" s="41"/>
      <c r="D99" s="41"/>
      <c r="E99" s="67"/>
      <c r="F99" s="67"/>
      <c r="G99" s="67"/>
      <c r="H99" s="67"/>
      <c r="I99" s="67"/>
      <c r="J99" s="67"/>
      <c r="K99" s="67"/>
      <c r="L99" s="67"/>
      <c r="M99" s="67"/>
      <c r="N99" s="67"/>
      <c r="O99" s="67"/>
      <c r="P99" s="67" t="str">
        <f t="shared" ref="P99:AC99" si="972">IF(P98="","",P19)</f>
        <v/>
      </c>
      <c r="Q99" s="67" t="str">
        <f t="shared" si="972"/>
        <v/>
      </c>
      <c r="R99" s="67" t="str">
        <f t="shared" si="972"/>
        <v/>
      </c>
      <c r="S99" s="67" t="str">
        <f t="shared" si="972"/>
        <v/>
      </c>
      <c r="T99" s="67" t="str">
        <f t="shared" si="972"/>
        <v/>
      </c>
      <c r="U99" s="67" t="str">
        <f t="shared" si="972"/>
        <v/>
      </c>
      <c r="V99" s="67" t="str">
        <f t="shared" si="972"/>
        <v/>
      </c>
      <c r="W99" s="67" t="str">
        <f t="shared" si="972"/>
        <v/>
      </c>
      <c r="X99" s="67" t="str">
        <f t="shared" si="972"/>
        <v/>
      </c>
      <c r="Y99" s="67" t="str">
        <f t="shared" si="972"/>
        <v/>
      </c>
      <c r="Z99" s="67" t="str">
        <f t="shared" si="972"/>
        <v/>
      </c>
      <c r="AA99" s="67" t="str">
        <f t="shared" si="972"/>
        <v/>
      </c>
      <c r="AB99" s="67" t="str">
        <f t="shared" si="972"/>
        <v/>
      </c>
      <c r="AC99" s="67" t="str">
        <f t="shared" si="972"/>
        <v/>
      </c>
      <c r="AD99" s="67"/>
      <c r="AE99" s="67"/>
      <c r="AF99" s="67"/>
      <c r="AG99" s="67"/>
      <c r="AH99" s="67"/>
      <c r="AI99" s="67"/>
      <c r="AJ99" s="67"/>
      <c r="AK99" s="67"/>
      <c r="AL99" s="67"/>
      <c r="AM99" s="67"/>
      <c r="AN99" s="67"/>
      <c r="AO99" s="67"/>
      <c r="AP99" s="67"/>
      <c r="AQ99" s="67"/>
      <c r="AR99" s="67"/>
      <c r="AS99" s="67"/>
      <c r="AT99" s="67"/>
      <c r="AU99" s="67"/>
      <c r="AV99" s="67"/>
      <c r="AW99" s="67">
        <f>IF(AW98="","",AW9)</f>
        <v>1.8159890000000001E-2</v>
      </c>
      <c r="AX99" s="67">
        <f>IF(AX98="","",AX9)</f>
        <v>1.9151990000000001E-2</v>
      </c>
      <c r="AY99" s="67">
        <f t="shared" ref="AY99:BJ99" si="973">IF(AY98="","",AY9)</f>
        <v>1.8890779999999999E-2</v>
      </c>
      <c r="AZ99" s="67">
        <f t="shared" si="973"/>
        <v>1.8035829999999999E-2</v>
      </c>
      <c r="BA99" s="67">
        <f t="shared" si="973"/>
        <v>1.888592E-2</v>
      </c>
      <c r="BB99" s="67">
        <f t="shared" si="973"/>
        <v>9.3845999999999999E-3</v>
      </c>
      <c r="BC99" s="67">
        <f t="shared" si="973"/>
        <v>1.2906700000000001E-3</v>
      </c>
      <c r="BD99" s="67">
        <f t="shared" si="973"/>
        <v>1.2563100000000001E-3</v>
      </c>
      <c r="BE99" s="67">
        <f t="shared" si="973"/>
        <v>1.9366299999999999E-3</v>
      </c>
      <c r="BF99" s="67">
        <f>IF(BF98="","",BF9)</f>
        <v>1.3658500000000001E-3</v>
      </c>
      <c r="BG99" s="67">
        <f t="shared" si="973"/>
        <v>1.23916E-3</v>
      </c>
      <c r="BH99" s="67">
        <f t="shared" si="973"/>
        <v>2E-3</v>
      </c>
      <c r="BI99" s="67">
        <f t="shared" si="973"/>
        <v>2.5244400000000002E-3</v>
      </c>
      <c r="BJ99" s="67">
        <f t="shared" si="973"/>
        <v>2.8469900000000002E-3</v>
      </c>
      <c r="BK99" s="67">
        <f t="shared" ref="BK99:BL99" si="974">IF(BK98="","",BK9)</f>
        <v>2.0613900000000002E-3</v>
      </c>
      <c r="BL99" s="67">
        <f t="shared" si="974"/>
        <v>2.3221700000000001E-3</v>
      </c>
      <c r="BM99" s="67">
        <f t="shared" ref="BM99:BN99" si="975">IF(BM98="","",BM9)</f>
        <v>2.1367399999999998E-3</v>
      </c>
      <c r="BN99" s="67">
        <f t="shared" si="975"/>
        <v>2.2512299999999999E-3</v>
      </c>
      <c r="BO99" s="67">
        <f t="shared" ref="BO99:BP99" si="976">IF(BO98="","",BO9)</f>
        <v>2.2427200000000001E-3</v>
      </c>
      <c r="BP99" s="67">
        <f t="shared" si="976"/>
        <v>2.01659E-3</v>
      </c>
      <c r="BQ99" s="67">
        <f>IF(BQ98="","",BQ9)</f>
        <v>1.3954900000000001E-3</v>
      </c>
      <c r="BR99" s="67">
        <f>IF(BR98="","",BR9)</f>
        <v>2.0509899999999999E-3</v>
      </c>
      <c r="BS99" s="67">
        <f>IF(BS98="","",BS9)</f>
        <v>1.9323299999999999E-3</v>
      </c>
      <c r="BT99" s="67">
        <f t="shared" ref="BT99" si="977">IF(BT98="","",BT9)</f>
        <v>1.5E-3</v>
      </c>
      <c r="BU99" s="67">
        <f t="shared" ref="BU99:BV99" si="978">IF(BU98="","",BU9)</f>
        <v>1.5320900000000001E-3</v>
      </c>
      <c r="BV99" s="67">
        <f t="shared" si="978"/>
        <v>2.6046400000000001E-3</v>
      </c>
      <c r="BW99" s="67">
        <f t="shared" ref="BW99:BX99" si="979">IF(BW98="","",BW9)</f>
        <v>2.3444999999999998E-3</v>
      </c>
      <c r="BX99" s="244" t="str">
        <f t="shared" si="979"/>
        <v/>
      </c>
      <c r="BY99" s="244" t="str">
        <f t="shared" ref="BY99:BZ99" si="980">IF(BY98="","",BY9)</f>
        <v/>
      </c>
      <c r="BZ99" s="244" t="str">
        <f t="shared" si="980"/>
        <v/>
      </c>
      <c r="CA99" s="244" t="str">
        <f t="shared" ref="CA99:CB99" si="981">IF(CA98="","",CA9)</f>
        <v/>
      </c>
      <c r="CB99" s="244" t="str">
        <f t="shared" si="981"/>
        <v/>
      </c>
      <c r="CC99" s="244" t="str">
        <f t="shared" ref="CC99:CD99" si="982">IF(CC98="","",CC9)</f>
        <v/>
      </c>
      <c r="CD99" s="244" t="str">
        <f t="shared" si="982"/>
        <v/>
      </c>
      <c r="CE99" s="244" t="str">
        <f t="shared" ref="CE99:CF99" si="983">IF(CE98="","",CE9)</f>
        <v/>
      </c>
      <c r="CF99" s="244" t="str">
        <f t="shared" si="983"/>
        <v/>
      </c>
      <c r="CG99" s="244" t="str">
        <f t="shared" ref="CG99:CH99" si="984">IF(CG98="","",CG9)</f>
        <v/>
      </c>
      <c r="CH99" s="244" t="str">
        <f t="shared" si="984"/>
        <v/>
      </c>
      <c r="CI99" s="244" t="str">
        <f t="shared" ref="CI99" si="985">IF(CI98="","",CI9)</f>
        <v/>
      </c>
    </row>
    <row r="100" spans="1:87" x14ac:dyDescent="0.35">
      <c r="A100" s="276"/>
      <c r="B100" s="57" t="s">
        <v>49</v>
      </c>
      <c r="C100" s="41"/>
      <c r="D100" s="41"/>
      <c r="E100" s="10"/>
      <c r="F100" s="10"/>
      <c r="G100" s="10"/>
      <c r="H100" s="10"/>
      <c r="I100" s="10"/>
      <c r="J100" s="10"/>
      <c r="K100" s="10"/>
      <c r="L100" s="10"/>
      <c r="M100" s="10"/>
      <c r="N100" s="10"/>
      <c r="O100" s="10" t="str">
        <f>IF(OR(O99="",O98=""),"",(O98*O99)/12)</f>
        <v/>
      </c>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9">
        <f>IF(OR(AW99="",AW98="",AV92=""),"",((AV92+AW98)*AW99)/12)</f>
        <v>-271.38220009347702</v>
      </c>
      <c r="AX100" s="10">
        <f>IF(OR(AX99="",AX98="",AW103=""),"",((AW103+AX98)*AX99)/12)</f>
        <v>78.563232523370615</v>
      </c>
      <c r="AY100" s="10">
        <f>IF(OR(AY99="",AY98="",AX103=""),"",((AX103+AY98)*AY99)/12)</f>
        <v>422.43939129645418</v>
      </c>
      <c r="AZ100" s="10">
        <f t="shared" ref="AZ100:CI100" si="986">IF(OR(AZ99="",AZ98="",AY103=""),"",((AY103+AZ98)*AZ99)/12)</f>
        <v>1787.7190826348981</v>
      </c>
      <c r="BA100" s="10">
        <f t="shared" si="986"/>
        <v>1957.5222338661708</v>
      </c>
      <c r="BB100" s="10">
        <f t="shared" si="986"/>
        <v>1242.5076669986888</v>
      </c>
      <c r="BC100" s="10">
        <f t="shared" si="986"/>
        <v>221.50481223246791</v>
      </c>
      <c r="BD100" s="10">
        <f t="shared" si="986"/>
        <v>231.24011278229204</v>
      </c>
      <c r="BE100" s="10">
        <f t="shared" si="986"/>
        <v>308.19064349011495</v>
      </c>
      <c r="BF100" s="10">
        <f>IF(OR(BF99="",BF98="",BE103=""),"",((BE103+BF98)*BF99)/12)</f>
        <v>190.46313750146206</v>
      </c>
      <c r="BG100" s="10">
        <f>IF(OR(BG99="",BG98="",BF103=""),"",((BF103+BG98)*BG99)/12)</f>
        <v>160.17725460369556</v>
      </c>
      <c r="BH100" s="10">
        <f t="shared" si="986"/>
        <v>315.18277568850709</v>
      </c>
      <c r="BI100" s="10">
        <f t="shared" si="986"/>
        <v>463.49378933312983</v>
      </c>
      <c r="BJ100" s="10">
        <f t="shared" si="986"/>
        <v>527.2800223914802</v>
      </c>
      <c r="BK100" s="10">
        <f t="shared" si="986"/>
        <v>327.94932930312461</v>
      </c>
      <c r="BL100" s="10">
        <f t="shared" si="986"/>
        <v>294.35548459647464</v>
      </c>
      <c r="BM100" s="10">
        <f t="shared" si="986"/>
        <v>275.51990421445703</v>
      </c>
      <c r="BN100" s="10">
        <f t="shared" si="986"/>
        <v>355.94428578825523</v>
      </c>
      <c r="BO100" s="10">
        <f t="shared" si="986"/>
        <v>423.97177199164474</v>
      </c>
      <c r="BP100" s="10">
        <f>IF(OR(BP99="",BP98="",BO103=""),"",((BO103+BP98)*BP99)/12)</f>
        <v>403.97987039391887</v>
      </c>
      <c r="BQ100" s="10">
        <f>IF(OR(BQ99="",BQ98="",BP103=""),"",((BP103+BQ98)*BQ99)/12)</f>
        <v>244.27217330835308</v>
      </c>
      <c r="BR100" s="10">
        <f>IF(OR(BR99="",BR98="",BQ103=""),"",((BQ103+BR98)*BR99)/12)</f>
        <v>309.90952577782758</v>
      </c>
      <c r="BS100" s="10">
        <f>IF(OR(BS99="",BS98="",BR103=""),"",((BR103+BS98)*BS99)/12)</f>
        <v>243.89576815717837</v>
      </c>
      <c r="BT100" s="10">
        <f t="shared" si="986"/>
        <v>206.34603746269383</v>
      </c>
      <c r="BU100" s="10">
        <f t="shared" si="986"/>
        <v>252.41485731157965</v>
      </c>
      <c r="BV100" s="10">
        <f t="shared" si="986"/>
        <v>433.05938883529126</v>
      </c>
      <c r="BW100" s="10">
        <f t="shared" si="986"/>
        <v>-29.711859545834173</v>
      </c>
      <c r="BX100" s="14" t="str">
        <f t="shared" si="986"/>
        <v/>
      </c>
      <c r="BY100" s="14" t="str">
        <f t="shared" si="986"/>
        <v/>
      </c>
      <c r="BZ100" s="14" t="str">
        <f t="shared" si="986"/>
        <v/>
      </c>
      <c r="CA100" s="14" t="str">
        <f t="shared" si="986"/>
        <v/>
      </c>
      <c r="CB100" s="14" t="str">
        <f t="shared" si="986"/>
        <v/>
      </c>
      <c r="CC100" s="14" t="str">
        <f t="shared" si="986"/>
        <v/>
      </c>
      <c r="CD100" s="14" t="str">
        <f t="shared" si="986"/>
        <v/>
      </c>
      <c r="CE100" s="14" t="str">
        <f t="shared" si="986"/>
        <v/>
      </c>
      <c r="CF100" s="14" t="str">
        <f t="shared" si="986"/>
        <v/>
      </c>
      <c r="CG100" s="14" t="str">
        <f t="shared" si="986"/>
        <v/>
      </c>
      <c r="CH100" s="14" t="str">
        <f t="shared" si="986"/>
        <v/>
      </c>
      <c r="CI100" s="14" t="str">
        <f t="shared" si="986"/>
        <v/>
      </c>
    </row>
    <row r="101" spans="1:87" x14ac:dyDescent="0.35">
      <c r="A101" s="276"/>
      <c r="B101" s="58" t="s">
        <v>6</v>
      </c>
      <c r="C101" s="41"/>
      <c r="D101" s="41"/>
      <c r="E101" s="10"/>
      <c r="F101" s="10"/>
      <c r="G101" s="10"/>
      <c r="H101" s="10"/>
      <c r="I101" s="10"/>
      <c r="J101" s="10"/>
      <c r="K101" s="10"/>
      <c r="L101" s="10"/>
      <c r="M101" s="10"/>
      <c r="N101" s="10"/>
      <c r="O101" s="10" t="str">
        <f>O100</f>
        <v/>
      </c>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9">
        <f>IF(OR(AV90="",AW100=""),"",AV90+AW100)</f>
        <v>-38929.715176015336</v>
      </c>
      <c r="AX101" s="10">
        <f>IF(OR(AW101="",AX100=""),"",AW101+AX100)</f>
        <v>-38851.151943491968</v>
      </c>
      <c r="AY101" s="10">
        <f t="shared" ref="AY101:CI101" si="987">IF(OR(AX101="",AY100=""),"",AX101+AY100)</f>
        <v>-38428.712552195517</v>
      </c>
      <c r="AZ101" s="10">
        <f t="shared" si="987"/>
        <v>-36640.993469560621</v>
      </c>
      <c r="BA101" s="10">
        <f t="shared" si="987"/>
        <v>-34683.471235694451</v>
      </c>
      <c r="BB101" s="10">
        <f t="shared" si="987"/>
        <v>-33440.963568695763</v>
      </c>
      <c r="BC101" s="10">
        <f t="shared" si="987"/>
        <v>-33219.458756463297</v>
      </c>
      <c r="BD101" s="10">
        <f t="shared" si="987"/>
        <v>-32988.218643681008</v>
      </c>
      <c r="BE101" s="10">
        <f t="shared" si="987"/>
        <v>-32680.028000190894</v>
      </c>
      <c r="BF101" s="10">
        <f>IF(OR(BE101="",BF100=""),"",BE101+BF100)</f>
        <v>-32489.564862689433</v>
      </c>
      <c r="BG101" s="10">
        <f>IF(OR(BF101="",BG100=""),"",BF101+BG100)</f>
        <v>-32329.387608085737</v>
      </c>
      <c r="BH101" s="10">
        <f t="shared" si="987"/>
        <v>-32014.20483239723</v>
      </c>
      <c r="BI101" s="10">
        <f t="shared" si="987"/>
        <v>-31550.711043064101</v>
      </c>
      <c r="BJ101" s="10">
        <f t="shared" si="987"/>
        <v>-31023.431020672619</v>
      </c>
      <c r="BK101" s="10">
        <f t="shared" si="987"/>
        <v>-30695.481691369496</v>
      </c>
      <c r="BL101" s="10">
        <f t="shared" si="987"/>
        <v>-30401.12620677302</v>
      </c>
      <c r="BM101" s="10">
        <f t="shared" si="987"/>
        <v>-30125.606302558564</v>
      </c>
      <c r="BN101" s="10">
        <f t="shared" si="987"/>
        <v>-29769.662016770308</v>
      </c>
      <c r="BO101" s="10">
        <f t="shared" si="987"/>
        <v>-29345.690244778663</v>
      </c>
      <c r="BP101" s="10">
        <f t="shared" si="987"/>
        <v>-28941.710374384744</v>
      </c>
      <c r="BQ101" s="10">
        <f>IF(OR(BP101="",BQ100=""),"",BP101+BQ100)</f>
        <v>-28697.438201076391</v>
      </c>
      <c r="BR101" s="10">
        <f>IF(OR(BQ101="",BR100=""),"",BQ101+BR100)</f>
        <v>-28387.528675298563</v>
      </c>
      <c r="BS101" s="10">
        <f>IF(OR(BR101="",BS100=""),"",BR101+BS100)</f>
        <v>-28143.632907141386</v>
      </c>
      <c r="BT101" s="10">
        <f t="shared" si="987"/>
        <v>-27937.286869678694</v>
      </c>
      <c r="BU101" s="10">
        <f t="shared" si="987"/>
        <v>-27684.872012367116</v>
      </c>
      <c r="BV101" s="10">
        <f t="shared" si="987"/>
        <v>-27251.812623531823</v>
      </c>
      <c r="BW101" s="10">
        <f t="shared" si="987"/>
        <v>-27281.524483077657</v>
      </c>
      <c r="BX101" s="14" t="str">
        <f t="shared" si="987"/>
        <v/>
      </c>
      <c r="BY101" s="14" t="str">
        <f t="shared" si="987"/>
        <v/>
      </c>
      <c r="BZ101" s="14" t="str">
        <f t="shared" si="987"/>
        <v/>
      </c>
      <c r="CA101" s="14" t="str">
        <f t="shared" si="987"/>
        <v/>
      </c>
      <c r="CB101" s="14" t="str">
        <f t="shared" si="987"/>
        <v/>
      </c>
      <c r="CC101" s="14" t="str">
        <f t="shared" si="987"/>
        <v/>
      </c>
      <c r="CD101" s="14" t="str">
        <f t="shared" si="987"/>
        <v/>
      </c>
      <c r="CE101" s="14" t="str">
        <f t="shared" si="987"/>
        <v/>
      </c>
      <c r="CF101" s="14" t="str">
        <f t="shared" si="987"/>
        <v/>
      </c>
      <c r="CG101" s="14" t="str">
        <f t="shared" si="987"/>
        <v/>
      </c>
      <c r="CH101" s="14" t="str">
        <f t="shared" si="987"/>
        <v/>
      </c>
      <c r="CI101" s="14" t="str">
        <f t="shared" si="987"/>
        <v/>
      </c>
    </row>
    <row r="102" spans="1:87" x14ac:dyDescent="0.35">
      <c r="A102" s="276"/>
      <c r="B102" s="76" t="s">
        <v>75</v>
      </c>
      <c r="C102" s="41"/>
      <c r="D102" s="41"/>
      <c r="E102" s="10"/>
      <c r="F102" s="10"/>
      <c r="G102" s="10"/>
      <c r="H102" s="10"/>
      <c r="I102" s="10"/>
      <c r="J102" s="10"/>
      <c r="K102" s="10"/>
      <c r="L102" s="10"/>
      <c r="M102" s="10"/>
      <c r="N102" s="10"/>
      <c r="O102" s="10" t="str">
        <f>IF(OR(O100="",O98=""),"",O98+O100)</f>
        <v/>
      </c>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9">
        <f>IF(OR(AW100="",AW98=""),"",AW98+AW100)</f>
        <v>246799.60997381964</v>
      </c>
      <c r="AX102" s="10">
        <f>IF(OR(AX100="",AX98=""),"",AX98+AX100)</f>
        <v>228903.58540643647</v>
      </c>
      <c r="AY102" s="10">
        <f>IF(OR(AY100="",AY98=""),"",AY98+AY100)</f>
        <v>219465.16156520956</v>
      </c>
      <c r="AZ102" s="10">
        <f t="shared" ref="AZ102:BJ102" si="988">IF(OR(AZ100="",AZ98=""),"",AZ98+AZ100)</f>
        <v>922463.95082176523</v>
      </c>
      <c r="BA102" s="10">
        <f t="shared" si="988"/>
        <v>54522.593972996357</v>
      </c>
      <c r="BB102" s="10">
        <f t="shared" si="988"/>
        <v>344270.02940612909</v>
      </c>
      <c r="BC102" s="10">
        <f t="shared" si="988"/>
        <v>469636.34655136289</v>
      </c>
      <c r="BD102" s="10">
        <f t="shared" si="988"/>
        <v>149324.77185191266</v>
      </c>
      <c r="BE102" s="10">
        <f t="shared" si="988"/>
        <v>-299027.17761737964</v>
      </c>
      <c r="BF102" s="10">
        <f>IF(OR(BF100="",BF98=""),"",BF98+BF100)</f>
        <v>-236409.69512336832</v>
      </c>
      <c r="BG102" s="10">
        <f>IF(OR(BG100="",BG98=""),"",BG98+BG100)</f>
        <v>-122236.23100626587</v>
      </c>
      <c r="BH102" s="10">
        <f t="shared" si="988"/>
        <v>340098.41451481887</v>
      </c>
      <c r="BI102" s="10">
        <f>IF(OR(BI100="",BI98=""),"",BI98+BI100)</f>
        <v>312283.05552846356</v>
      </c>
      <c r="BJ102" s="10">
        <f t="shared" si="988"/>
        <v>19306.041761521847</v>
      </c>
      <c r="BK102" s="10">
        <f t="shared" ref="BK102" si="989">IF(OR(BK100="",BK98=""),"",BK98+BK100)</f>
        <v>-313576.71893156646</v>
      </c>
      <c r="BL102" s="10">
        <f t="shared" ref="BL102:BP102" si="990">IF(OR(BL100="",BL98=""),"",BL98+BL100)</f>
        <v>-388024.24944293988</v>
      </c>
      <c r="BM102" s="10">
        <f t="shared" si="990"/>
        <v>26204.124976678086</v>
      </c>
      <c r="BN102" s="10">
        <f t="shared" si="990"/>
        <v>350084.16935825202</v>
      </c>
      <c r="BO102" s="10">
        <f t="shared" si="990"/>
        <v>371258.42684445536</v>
      </c>
      <c r="BP102" s="10">
        <f t="shared" si="990"/>
        <v>135395.84494285757</v>
      </c>
      <c r="BQ102" s="10">
        <f>IF(OR(BQ100="",BQ98=""),"",BQ98+BQ100)</f>
        <v>-303570.0727542282</v>
      </c>
      <c r="BR102" s="10">
        <f>IF(OR(BR100="",BR98=""),"",BR98+BR100)</f>
        <v>-287233.66540175868</v>
      </c>
      <c r="BS102" s="10">
        <f>IF(OR(BS100="",BS98=""),"",BS98+BS100)</f>
        <v>-298673.05915937922</v>
      </c>
      <c r="BT102" s="10">
        <f t="shared" ref="BT102:BU102" si="991">IF(OR(BT100="",BT98=""),"",BT98+BT100)</f>
        <v>136108.9111099263</v>
      </c>
      <c r="BU102" s="10">
        <f t="shared" si="991"/>
        <v>326301.49992977519</v>
      </c>
      <c r="BV102" s="10">
        <f t="shared" ref="BV102:BW102" si="992">IF(OR(BV100="",BV98=""),"",BV98+BV100)</f>
        <v>18331.934461298941</v>
      </c>
      <c r="BW102" s="10">
        <f t="shared" si="992"/>
        <v>-2147713.8485262124</v>
      </c>
      <c r="BX102" s="14" t="str">
        <f t="shared" ref="BX102:BY102" si="993">IF(OR(BX100="",BX98=""),"",BX98+BX100)</f>
        <v/>
      </c>
      <c r="BY102" s="14" t="str">
        <f t="shared" si="993"/>
        <v/>
      </c>
      <c r="BZ102" s="14" t="str">
        <f t="shared" ref="BZ102:CA102" si="994">IF(OR(BZ100="",BZ98=""),"",BZ98+BZ100)</f>
        <v/>
      </c>
      <c r="CA102" s="14" t="str">
        <f t="shared" si="994"/>
        <v/>
      </c>
      <c r="CB102" s="14" t="str">
        <f t="shared" ref="CB102:CC102" si="995">IF(OR(CB100="",CB98=""),"",CB98+CB100)</f>
        <v/>
      </c>
      <c r="CC102" s="14" t="str">
        <f t="shared" si="995"/>
        <v/>
      </c>
      <c r="CD102" s="14" t="str">
        <f t="shared" ref="CD102:CE102" si="996">IF(OR(CD100="",CD98=""),"",CD98+CD100)</f>
        <v/>
      </c>
      <c r="CE102" s="14" t="str">
        <f t="shared" si="996"/>
        <v/>
      </c>
      <c r="CF102" s="14" t="str">
        <f t="shared" ref="CF102:CG102" si="997">IF(OR(CF100="",CF98=""),"",CF98+CF100)</f>
        <v/>
      </c>
      <c r="CG102" s="14" t="str">
        <f t="shared" si="997"/>
        <v/>
      </c>
      <c r="CH102" s="14" t="str">
        <f t="shared" ref="CH102:CI102" si="998">IF(OR(CH100="",CH98=""),"",CH98+CH100)</f>
        <v/>
      </c>
      <c r="CI102" s="14" t="str">
        <f t="shared" si="998"/>
        <v/>
      </c>
    </row>
    <row r="103" spans="1:87" x14ac:dyDescent="0.35">
      <c r="A103" s="276"/>
      <c r="B103" s="57" t="s">
        <v>76</v>
      </c>
      <c r="C103" s="41"/>
      <c r="D103" s="41"/>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9">
        <f>IF(OR(AW102="",AV92=""),"",AV92+AW102)</f>
        <v>-179599.91343688645</v>
      </c>
      <c r="AX103" s="10">
        <f>IF(OR(AX102="",AW103=""),"",AW103+AX102)</f>
        <v>49303.671969550021</v>
      </c>
      <c r="AY103" s="10">
        <f t="shared" ref="AY103:BK103" si="999">IF(OR(AY102="",AX103=""),"",AX103+AY102)</f>
        <v>268768.83353475959</v>
      </c>
      <c r="AZ103" s="10">
        <f t="shared" si="999"/>
        <v>1191232.7843565247</v>
      </c>
      <c r="BA103" s="10">
        <f t="shared" si="999"/>
        <v>1245755.378329521</v>
      </c>
      <c r="BB103" s="10">
        <f t="shared" si="999"/>
        <v>1590025.4077356502</v>
      </c>
      <c r="BC103" s="10">
        <f t="shared" si="999"/>
        <v>2059661.7542870131</v>
      </c>
      <c r="BD103" s="10">
        <f t="shared" si="999"/>
        <v>2208986.5261389259</v>
      </c>
      <c r="BE103" s="10">
        <f t="shared" si="999"/>
        <v>1909959.3485215462</v>
      </c>
      <c r="BF103" s="10">
        <f>IF(OR(BF102="",BE103=""),"",BE103+BF102)</f>
        <v>1673549.6533981778</v>
      </c>
      <c r="BG103" s="10">
        <f>IF(OR(BG102="",BF103=""),"",BF103+BG102)</f>
        <v>1551313.422391912</v>
      </c>
      <c r="BH103" s="10">
        <f t="shared" si="999"/>
        <v>1891411.8369067309</v>
      </c>
      <c r="BI103" s="10">
        <f>IF(OR(BI102="",BH103=""),"",BH103+BI102)</f>
        <v>2203694.8924351945</v>
      </c>
      <c r="BJ103" s="10">
        <f t="shared" si="999"/>
        <v>2223000.9341967162</v>
      </c>
      <c r="BK103" s="10">
        <f t="shared" si="999"/>
        <v>1909424.2152651497</v>
      </c>
      <c r="BL103" s="10">
        <f t="shared" ref="BL103:CI103" si="1000">IF(OR(BL102="",BK103=""),"",BK103+BL102)</f>
        <v>1521399.9658222098</v>
      </c>
      <c r="BM103" s="10">
        <f t="shared" si="1000"/>
        <v>1547604.0907988879</v>
      </c>
      <c r="BN103" s="10">
        <f t="shared" si="1000"/>
        <v>1897688.26015714</v>
      </c>
      <c r="BO103" s="10">
        <f t="shared" si="1000"/>
        <v>2268946.6870015953</v>
      </c>
      <c r="BP103" s="10">
        <f t="shared" si="1000"/>
        <v>2404342.5319444528</v>
      </c>
      <c r="BQ103" s="10">
        <f>IF(OR(BQ102="",BP103=""),"",BP103+BQ102)</f>
        <v>2100772.4591902248</v>
      </c>
      <c r="BR103" s="10">
        <f>IF(OR(BR102="",BQ103=""),"",BQ103+BR102)</f>
        <v>1813538.7937884661</v>
      </c>
      <c r="BS103" s="10">
        <f>IF(OR(BS102="",BR103=""),"",BR103+BS102)</f>
        <v>1514865.7346290869</v>
      </c>
      <c r="BT103" s="10">
        <f t="shared" si="1000"/>
        <v>1650974.6457390133</v>
      </c>
      <c r="BU103" s="10">
        <f t="shared" si="1000"/>
        <v>1977276.1456687886</v>
      </c>
      <c r="BV103" s="10">
        <f t="shared" si="1000"/>
        <v>1995608.0801300874</v>
      </c>
      <c r="BW103" s="10">
        <f t="shared" si="1000"/>
        <v>-152105.76839612494</v>
      </c>
      <c r="BX103" s="14" t="str">
        <f t="shared" si="1000"/>
        <v/>
      </c>
      <c r="BY103" s="14" t="str">
        <f t="shared" si="1000"/>
        <v/>
      </c>
      <c r="BZ103" s="14" t="str">
        <f t="shared" si="1000"/>
        <v/>
      </c>
      <c r="CA103" s="14" t="str">
        <f t="shared" si="1000"/>
        <v/>
      </c>
      <c r="CB103" s="14" t="str">
        <f t="shared" si="1000"/>
        <v/>
      </c>
      <c r="CC103" s="14" t="str">
        <f t="shared" si="1000"/>
        <v/>
      </c>
      <c r="CD103" s="14" t="str">
        <f t="shared" si="1000"/>
        <v/>
      </c>
      <c r="CE103" s="14" t="str">
        <f t="shared" si="1000"/>
        <v/>
      </c>
      <c r="CF103" s="14" t="str">
        <f t="shared" si="1000"/>
        <v/>
      </c>
      <c r="CG103" s="14" t="str">
        <f t="shared" si="1000"/>
        <v/>
      </c>
      <c r="CH103" s="14" t="str">
        <f t="shared" si="1000"/>
        <v/>
      </c>
      <c r="CI103" s="14" t="str">
        <f t="shared" si="1000"/>
        <v/>
      </c>
    </row>
    <row r="104" spans="1:87" x14ac:dyDescent="0.35">
      <c r="A104" s="276"/>
      <c r="B104" s="59" t="s">
        <v>77</v>
      </c>
      <c r="C104" s="41"/>
      <c r="D104" s="41"/>
      <c r="E104" s="10"/>
      <c r="F104" s="10"/>
      <c r="G104" s="10"/>
      <c r="H104" s="10"/>
      <c r="I104" s="10"/>
      <c r="J104" s="10"/>
      <c r="K104" s="10"/>
      <c r="L104" s="10"/>
      <c r="M104" s="10"/>
      <c r="N104" s="10"/>
      <c r="O104" s="10"/>
      <c r="P104" s="10" t="str">
        <f t="shared" ref="P104" si="1001">IF(P97="","",O104-P97+P100)</f>
        <v/>
      </c>
      <c r="Q104" s="10" t="str">
        <f t="shared" ref="Q104" si="1002">IF(Q97="","",P104-Q97+Q100)</f>
        <v/>
      </c>
      <c r="R104" s="10" t="str">
        <f t="shared" ref="R104" si="1003">IF(R97="","",Q104-R97+R100)</f>
        <v/>
      </c>
      <c r="S104" s="10" t="str">
        <f t="shared" ref="S104" si="1004">IF(S97="","",R104-S97+S100)</f>
        <v/>
      </c>
      <c r="T104" s="10" t="str">
        <f t="shared" ref="T104" si="1005">IF(T97="","",S104-T97+T100)</f>
        <v/>
      </c>
      <c r="U104" s="10" t="str">
        <f t="shared" ref="U104" si="1006">IF(U97="","",T104-U97+U100)</f>
        <v/>
      </c>
      <c r="V104" s="10" t="str">
        <f t="shared" ref="V104" si="1007">IF(V97="","",U104-V97+V100)</f>
        <v/>
      </c>
      <c r="W104" s="10" t="str">
        <f t="shared" ref="W104" si="1008">IF(W97="","",V104-W97+W100)</f>
        <v/>
      </c>
      <c r="X104" s="10" t="str">
        <f t="shared" ref="X104" si="1009">IF(X97="","",W104-X97+X100)</f>
        <v/>
      </c>
      <c r="Y104" s="10" t="str">
        <f t="shared" ref="Y104" si="1010">IF(Y97="","",X104-Y97+Y100)</f>
        <v/>
      </c>
      <c r="Z104" s="10" t="str">
        <f t="shared" ref="Z104" si="1011">IF(Z97="","",Y104-Z97+Z100)</f>
        <v/>
      </c>
      <c r="AA104" s="10" t="str">
        <f t="shared" ref="AA104" si="1012">IF(AA97="","",Z104-AA97+AA100)</f>
        <v/>
      </c>
      <c r="AB104" s="10" t="str">
        <f t="shared" ref="AB104" si="1013">IF(AB97="","",AA104-AB97+AB100)</f>
        <v/>
      </c>
      <c r="AC104" s="10">
        <v>4662492</v>
      </c>
      <c r="AD104" s="10">
        <f>IF(AD97="","",AC104-AD97+AD100)</f>
        <v>4662492</v>
      </c>
      <c r="AE104" s="10">
        <f t="shared" ref="AE104" si="1014">IF(AE97="","",AD104-AE97+AE100)</f>
        <v>4662492</v>
      </c>
      <c r="AF104" s="10">
        <f t="shared" ref="AF104" si="1015">IF(AF97="","",AE104-AF97+AF100)</f>
        <v>4662492</v>
      </c>
      <c r="AG104" s="10">
        <f t="shared" ref="AG104" si="1016">IF(AG97="","",AF104-AG97+AG100)</f>
        <v>4662492</v>
      </c>
      <c r="AH104" s="10">
        <f t="shared" ref="AH104" si="1017">IF(AH97="","",AG104-AH97+AH100)</f>
        <v>4662492</v>
      </c>
      <c r="AI104" s="10">
        <f t="shared" ref="AI104" si="1018">IF(AI97="","",AH104-AI97+AI100)</f>
        <v>4662492</v>
      </c>
      <c r="AJ104" s="10">
        <f t="shared" ref="AJ104" si="1019">IF(AJ97="","",AI104-AJ97+AJ100)</f>
        <v>4662492</v>
      </c>
      <c r="AK104" s="10">
        <f t="shared" ref="AK104" si="1020">IF(AK97="","",AJ104-AK97+AK100)</f>
        <v>4662492</v>
      </c>
      <c r="AL104" s="10">
        <f>IF(AL97="","",AK104-AL97+AL100+AL95)</f>
        <v>10279277</v>
      </c>
      <c r="AM104" s="10">
        <f>IF(AM97="","",AL104-AM97+AM100+AM95)</f>
        <v>21493034</v>
      </c>
      <c r="AN104" s="10">
        <f>IF(AN97="","",AM104-AN97+AN100)</f>
        <v>21493034</v>
      </c>
      <c r="AO104" s="10">
        <f t="shared" ref="AO104" si="1021">IF(AO97="","",AN104-AO97+AO100)</f>
        <v>21493034</v>
      </c>
      <c r="AP104" s="10">
        <f t="shared" ref="AP104" si="1022">IF(AP97="","",AO104-AP97+AP100)</f>
        <v>21493034</v>
      </c>
      <c r="AQ104" s="10">
        <f t="shared" ref="AQ104" si="1023">IF(AQ97="","",AP104-AQ97+AQ100)</f>
        <v>21493034</v>
      </c>
      <c r="AR104" s="10">
        <f t="shared" ref="AR104" si="1024">IF(AR97="","",AQ104-AR97+AR100)</f>
        <v>21493034</v>
      </c>
      <c r="AS104" s="10">
        <f t="shared" ref="AS104" si="1025">IF(AS97="","",AR104-AS97+AS100)</f>
        <v>21493034</v>
      </c>
      <c r="AT104" s="10">
        <f t="shared" ref="AT104" si="1026">IF(AT97="","",AS104-AT97+AT100)</f>
        <v>21493034</v>
      </c>
      <c r="AU104" s="10">
        <f>IF(AU97="","",AT104-AU97+AU100+AU95)</f>
        <v>39212516</v>
      </c>
      <c r="AV104" s="10">
        <f>IF(AV97="","",AU104-AV97+AV100)</f>
        <v>39212516</v>
      </c>
      <c r="AW104" s="10">
        <f>IF(AW97="","",AV104-AW97+AW100+AW95)</f>
        <v>44199814.084823981</v>
      </c>
      <c r="AX104" s="10">
        <f t="shared" ref="AX104:AY104" si="1027">IF(AX97="","",AW104-AX97+AX100)</f>
        <v>44031263.978056505</v>
      </c>
      <c r="AY104" s="10">
        <f t="shared" si="1027"/>
        <v>43853275.447447807</v>
      </c>
      <c r="AZ104" s="10">
        <f>IF(AZ97="","",AY104-AZ97+AZ100+AZ95)</f>
        <v>42880760.876530446</v>
      </c>
      <c r="BA104" s="10">
        <f t="shared" ref="BA104:CI104" si="1028">IF(BA97="","",AZ104-BA97+BA100)</f>
        <v>41040304.948764309</v>
      </c>
      <c r="BB104" s="10">
        <f t="shared" si="1028"/>
        <v>39489596.456431307</v>
      </c>
      <c r="BC104" s="10">
        <f t="shared" si="1028"/>
        <v>38064254.28124354</v>
      </c>
      <c r="BD104" s="10">
        <f t="shared" si="1028"/>
        <v>36318600.53135632</v>
      </c>
      <c r="BE104" s="10">
        <f t="shared" si="1028"/>
        <v>34124594.831999809</v>
      </c>
      <c r="BF104" s="10">
        <f>IF(BF97="","",BE104-BF97+BF100+BF95)</f>
        <v>31298194.615137309</v>
      </c>
      <c r="BG104" s="10">
        <f>IF(BG97="","",BF104-BG97+BG100)</f>
        <v>29280979.862391911</v>
      </c>
      <c r="BH104" s="10">
        <f t="shared" si="1028"/>
        <v>27726099.7551676</v>
      </c>
      <c r="BI104" s="10">
        <f t="shared" si="1028"/>
        <v>26143404.288956933</v>
      </c>
      <c r="BJ104" s="10">
        <f t="shared" si="1028"/>
        <v>24267731.808979321</v>
      </c>
      <c r="BK104" s="10">
        <f t="shared" si="1028"/>
        <v>22059176.568308622</v>
      </c>
      <c r="BL104" s="10">
        <f t="shared" si="1028"/>
        <v>19834091.463793218</v>
      </c>
      <c r="BM104" s="10">
        <f t="shared" si="1028"/>
        <v>18023234.733697433</v>
      </c>
      <c r="BN104" s="10">
        <f t="shared" si="1028"/>
        <v>16536258.047983222</v>
      </c>
      <c r="BO104" s="10">
        <f t="shared" si="1028"/>
        <v>15070455.619755212</v>
      </c>
      <c r="BP104" s="10">
        <f t="shared" si="1028"/>
        <v>13368790.609625606</v>
      </c>
      <c r="BQ104" s="10">
        <f>IF(BQ97="","",BP104-BQ97+BQ100)</f>
        <v>11228159.681798913</v>
      </c>
      <c r="BR104" s="10">
        <f>IF(BR97="","",BQ104-BR97+BR100+BR95)</f>
        <v>9084035.5232310575</v>
      </c>
      <c r="BS104" s="10">
        <f>IF(BS97="","",BR104-BS97+BS100)</f>
        <v>6948301.6089992141</v>
      </c>
      <c r="BT104" s="10">
        <f>IF(BT97="","",BS104-BT97+BT100)</f>
        <v>5247349.6650366765</v>
      </c>
      <c r="BU104" s="10">
        <f t="shared" si="1028"/>
        <v>3736590.3098939881</v>
      </c>
      <c r="BV104" s="10">
        <f t="shared" si="1028"/>
        <v>1917861.3892828233</v>
      </c>
      <c r="BW104" s="10">
        <f t="shared" si="1028"/>
        <v>-171934.79257672251</v>
      </c>
      <c r="BX104" s="14" t="str">
        <f t="shared" si="1028"/>
        <v/>
      </c>
      <c r="BY104" s="14" t="str">
        <f t="shared" si="1028"/>
        <v/>
      </c>
      <c r="BZ104" s="14" t="str">
        <f t="shared" si="1028"/>
        <v/>
      </c>
      <c r="CA104" s="14" t="str">
        <f t="shared" si="1028"/>
        <v/>
      </c>
      <c r="CB104" s="14" t="str">
        <f t="shared" si="1028"/>
        <v/>
      </c>
      <c r="CC104" s="14" t="str">
        <f t="shared" si="1028"/>
        <v/>
      </c>
      <c r="CD104" s="14" t="str">
        <f t="shared" si="1028"/>
        <v/>
      </c>
      <c r="CE104" s="14" t="str">
        <f t="shared" si="1028"/>
        <v/>
      </c>
      <c r="CF104" s="14" t="str">
        <f t="shared" si="1028"/>
        <v/>
      </c>
      <c r="CG104" s="14" t="str">
        <f t="shared" si="1028"/>
        <v/>
      </c>
      <c r="CH104" s="14" t="str">
        <f t="shared" si="1028"/>
        <v/>
      </c>
      <c r="CI104" s="14" t="str">
        <f t="shared" si="1028"/>
        <v/>
      </c>
    </row>
    <row r="105" spans="1:87" s="5" customFormat="1" ht="8.25" customHeight="1" x14ac:dyDescent="0.35">
      <c r="A105" s="44"/>
      <c r="B105" s="13"/>
      <c r="C105" s="13"/>
      <c r="D105" s="13"/>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row>
    <row r="106" spans="1:87" x14ac:dyDescent="0.35">
      <c r="A106" s="40"/>
    </row>
    <row r="107" spans="1:87" x14ac:dyDescent="0.35">
      <c r="A107" s="40"/>
      <c r="O107" s="43"/>
      <c r="P107" s="43"/>
      <c r="Q107" s="43"/>
      <c r="R107" s="43"/>
      <c r="BD107" s="43"/>
    </row>
    <row r="108" spans="1:87" x14ac:dyDescent="0.35">
      <c r="A108" s="40"/>
      <c r="P108" s="43"/>
    </row>
    <row r="109" spans="1:87" x14ac:dyDescent="0.35">
      <c r="A109" s="40"/>
    </row>
    <row r="110" spans="1:87" x14ac:dyDescent="0.35">
      <c r="A110" s="40"/>
      <c r="BI110" s="43"/>
      <c r="BK110" s="43"/>
      <c r="BL110" s="43"/>
      <c r="BM110" s="43"/>
      <c r="BN110" s="43"/>
      <c r="BO110" s="43"/>
      <c r="BP110" s="43"/>
      <c r="BQ110" s="43"/>
      <c r="BR110" s="43"/>
      <c r="BS110" s="43"/>
      <c r="BT110" s="43"/>
      <c r="BU110" s="43"/>
      <c r="BV110" s="43"/>
      <c r="BW110" s="43"/>
      <c r="BX110" s="43"/>
      <c r="BY110" s="43"/>
      <c r="BZ110" s="43"/>
      <c r="CA110" s="43"/>
      <c r="CB110" s="43"/>
      <c r="CC110" s="43"/>
      <c r="CD110" s="43"/>
      <c r="CE110" s="43"/>
      <c r="CF110" s="43"/>
      <c r="CG110" s="43"/>
      <c r="CH110" s="43"/>
      <c r="CI110" s="43"/>
    </row>
    <row r="111" spans="1:87" x14ac:dyDescent="0.35">
      <c r="A111" s="40"/>
      <c r="BE111" s="88"/>
    </row>
    <row r="112" spans="1:87" x14ac:dyDescent="0.35">
      <c r="A112" s="40"/>
    </row>
    <row r="113" spans="1:70" x14ac:dyDescent="0.35">
      <c r="A113" s="40"/>
      <c r="BR113" s="43"/>
    </row>
    <row r="114" spans="1:70" x14ac:dyDescent="0.35">
      <c r="A114" s="40"/>
    </row>
    <row r="115" spans="1:70" x14ac:dyDescent="0.35">
      <c r="A115" s="40"/>
    </row>
    <row r="116" spans="1:70" x14ac:dyDescent="0.35">
      <c r="A116" s="40"/>
    </row>
    <row r="117" spans="1:70" x14ac:dyDescent="0.35">
      <c r="A117" s="40"/>
    </row>
    <row r="118" spans="1:70" x14ac:dyDescent="0.35">
      <c r="A118" s="40"/>
    </row>
    <row r="119" spans="1:70" x14ac:dyDescent="0.35">
      <c r="A119" s="40"/>
    </row>
    <row r="120" spans="1:70" x14ac:dyDescent="0.35">
      <c r="A120" s="40"/>
    </row>
    <row r="121" spans="1:70" x14ac:dyDescent="0.35">
      <c r="A121" s="40"/>
    </row>
    <row r="122" spans="1:70" x14ac:dyDescent="0.35">
      <c r="A122" s="40"/>
    </row>
    <row r="123" spans="1:70" x14ac:dyDescent="0.35">
      <c r="A123" s="40"/>
    </row>
    <row r="124" spans="1:70" x14ac:dyDescent="0.35">
      <c r="A124" s="40"/>
    </row>
    <row r="125" spans="1:70" x14ac:dyDescent="0.35">
      <c r="A125" s="40"/>
    </row>
    <row r="126" spans="1:70" x14ac:dyDescent="0.35">
      <c r="A126" s="40"/>
    </row>
    <row r="127" spans="1:70" x14ac:dyDescent="0.35">
      <c r="A127" s="40"/>
    </row>
    <row r="128" spans="1:70" x14ac:dyDescent="0.35">
      <c r="A128" s="40"/>
    </row>
    <row r="129" spans="1:1" x14ac:dyDescent="0.35">
      <c r="A129" s="40"/>
    </row>
    <row r="130" spans="1:1" x14ac:dyDescent="0.35">
      <c r="A130" s="40"/>
    </row>
    <row r="131" spans="1:1" x14ac:dyDescent="0.35">
      <c r="A131" s="40"/>
    </row>
    <row r="132" spans="1:1" x14ac:dyDescent="0.35">
      <c r="A132" s="40"/>
    </row>
    <row r="133" spans="1:1" x14ac:dyDescent="0.35">
      <c r="A133" s="40"/>
    </row>
    <row r="134" spans="1:1" x14ac:dyDescent="0.35">
      <c r="A134" s="40"/>
    </row>
    <row r="135" spans="1:1" x14ac:dyDescent="0.35">
      <c r="A135" s="40"/>
    </row>
    <row r="136" spans="1:1" x14ac:dyDescent="0.35">
      <c r="A136" s="40"/>
    </row>
    <row r="137" spans="1:1" x14ac:dyDescent="0.35">
      <c r="A137" s="40"/>
    </row>
    <row r="138" spans="1:1" x14ac:dyDescent="0.35">
      <c r="A138" s="40"/>
    </row>
    <row r="139" spans="1:1" x14ac:dyDescent="0.35">
      <c r="A139" s="40"/>
    </row>
    <row r="140" spans="1:1" x14ac:dyDescent="0.35">
      <c r="A140" s="40"/>
    </row>
    <row r="141" spans="1:1" x14ac:dyDescent="0.35">
      <c r="A141" s="40"/>
    </row>
    <row r="142" spans="1:1" x14ac:dyDescent="0.35">
      <c r="A142" s="40"/>
    </row>
    <row r="143" spans="1:1" x14ac:dyDescent="0.35">
      <c r="A143" s="40"/>
    </row>
    <row r="144" spans="1:1" x14ac:dyDescent="0.35">
      <c r="A144" s="40"/>
    </row>
    <row r="145" spans="1:1" x14ac:dyDescent="0.35">
      <c r="A145" s="40"/>
    </row>
    <row r="146" spans="1:1" x14ac:dyDescent="0.35">
      <c r="A146" s="40"/>
    </row>
    <row r="147" spans="1:1" x14ac:dyDescent="0.35">
      <c r="A147" s="40"/>
    </row>
    <row r="148" spans="1:1" x14ac:dyDescent="0.35">
      <c r="A148" s="40"/>
    </row>
    <row r="149" spans="1:1" x14ac:dyDescent="0.35">
      <c r="A149" s="40"/>
    </row>
    <row r="150" spans="1:1" x14ac:dyDescent="0.35">
      <c r="A150" s="40"/>
    </row>
    <row r="151" spans="1:1" x14ac:dyDescent="0.35">
      <c r="A151" s="40"/>
    </row>
    <row r="152" spans="1:1" x14ac:dyDescent="0.35">
      <c r="A152" s="40"/>
    </row>
    <row r="153" spans="1:1" x14ac:dyDescent="0.35">
      <c r="A153" s="40"/>
    </row>
    <row r="154" spans="1:1" x14ac:dyDescent="0.35">
      <c r="A154" s="40"/>
    </row>
    <row r="155" spans="1:1" x14ac:dyDescent="0.35">
      <c r="A155" s="40"/>
    </row>
    <row r="156" spans="1:1" x14ac:dyDescent="0.35">
      <c r="A156" s="40"/>
    </row>
    <row r="157" spans="1:1" x14ac:dyDescent="0.35">
      <c r="A157" s="40"/>
    </row>
    <row r="158" spans="1:1" x14ac:dyDescent="0.35">
      <c r="A158" s="40"/>
    </row>
    <row r="159" spans="1:1" x14ac:dyDescent="0.35">
      <c r="A159" s="40"/>
    </row>
    <row r="160" spans="1:1" x14ac:dyDescent="0.35">
      <c r="A160" s="40"/>
    </row>
    <row r="161" spans="1:1" x14ac:dyDescent="0.35">
      <c r="A161" s="40"/>
    </row>
    <row r="162" spans="1:1" x14ac:dyDescent="0.35">
      <c r="A162" s="40"/>
    </row>
    <row r="163" spans="1:1" x14ac:dyDescent="0.35">
      <c r="A163" s="40"/>
    </row>
    <row r="164" spans="1:1" x14ac:dyDescent="0.35">
      <c r="A164" s="40"/>
    </row>
    <row r="165" spans="1:1" x14ac:dyDescent="0.35">
      <c r="A165" s="40"/>
    </row>
    <row r="166" spans="1:1" x14ac:dyDescent="0.35">
      <c r="A166" s="40"/>
    </row>
    <row r="167" spans="1:1" x14ac:dyDescent="0.35">
      <c r="A167" s="40"/>
    </row>
    <row r="168" spans="1:1" x14ac:dyDescent="0.35">
      <c r="A168" s="40"/>
    </row>
    <row r="169" spans="1:1" x14ac:dyDescent="0.35">
      <c r="A169" s="40"/>
    </row>
    <row r="170" spans="1:1" x14ac:dyDescent="0.35">
      <c r="A170" s="40"/>
    </row>
    <row r="171" spans="1:1" x14ac:dyDescent="0.35">
      <c r="A171" s="40"/>
    </row>
    <row r="172" spans="1:1" x14ac:dyDescent="0.35">
      <c r="A172" s="40"/>
    </row>
    <row r="173" spans="1:1" x14ac:dyDescent="0.35">
      <c r="A173" s="40"/>
    </row>
    <row r="174" spans="1:1" x14ac:dyDescent="0.35">
      <c r="A174" s="40"/>
    </row>
    <row r="175" spans="1:1" x14ac:dyDescent="0.35">
      <c r="A175" s="40"/>
    </row>
    <row r="176" spans="1:1" x14ac:dyDescent="0.35">
      <c r="A176" s="40"/>
    </row>
    <row r="177" spans="1:1" x14ac:dyDescent="0.35">
      <c r="A177" s="40"/>
    </row>
    <row r="178" spans="1:1" x14ac:dyDescent="0.35">
      <c r="A178" s="40"/>
    </row>
    <row r="179" spans="1:1" x14ac:dyDescent="0.35">
      <c r="A179" s="40"/>
    </row>
    <row r="180" spans="1:1" x14ac:dyDescent="0.35">
      <c r="A180" s="40"/>
    </row>
    <row r="181" spans="1:1" x14ac:dyDescent="0.35">
      <c r="A181" s="40"/>
    </row>
    <row r="182" spans="1:1" x14ac:dyDescent="0.35">
      <c r="A182" s="40"/>
    </row>
    <row r="183" spans="1:1" x14ac:dyDescent="0.35">
      <c r="A183" s="40"/>
    </row>
    <row r="184" spans="1:1" x14ac:dyDescent="0.35">
      <c r="A184" s="40"/>
    </row>
  </sheetData>
  <mergeCells count="10">
    <mergeCell ref="A95:A104"/>
    <mergeCell ref="A56:A64"/>
    <mergeCell ref="A66:A74"/>
    <mergeCell ref="A5:A13"/>
    <mergeCell ref="A15:A24"/>
    <mergeCell ref="A26:A34"/>
    <mergeCell ref="A36:A44"/>
    <mergeCell ref="A46:A54"/>
    <mergeCell ref="A76:A82"/>
    <mergeCell ref="A84:A93"/>
  </mergeCells>
  <printOptions headings="1"/>
  <pageMargins left="0.2" right="0.2" top="0.5" bottom="0.5" header="0.3" footer="0.3"/>
  <pageSetup scale="11" orientation="portrait" cellComments="asDisplayed" r:id="rId1"/>
  <headerFooter>
    <oddHeader>&amp;C&amp;A</oddHead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CY189"/>
  <sheetViews>
    <sheetView zoomScale="85" zoomScaleNormal="85" zoomScaleSheetLayoutView="80" workbookViewId="0">
      <selection activeCell="AS9" sqref="AS9"/>
    </sheetView>
  </sheetViews>
  <sheetFormatPr defaultColWidth="9.1796875" defaultRowHeight="15" customHeight="1" zeroHeight="1" x14ac:dyDescent="0.35"/>
  <cols>
    <col min="1" max="1" width="3.1796875" style="1" customWidth="1"/>
    <col min="2" max="2" width="50" style="40" customWidth="1"/>
    <col min="3" max="4" width="10.7265625" style="40" bestFit="1" customWidth="1"/>
    <col min="5" max="6" width="10.7265625" style="40" hidden="1" customWidth="1"/>
    <col min="7" max="9" width="12.7265625" style="40" hidden="1" customWidth="1"/>
    <col min="10" max="21" width="14.26953125" style="40" hidden="1" customWidth="1"/>
    <col min="22" max="40" width="15.26953125" style="40" hidden="1" customWidth="1"/>
    <col min="41" max="44" width="15.26953125" style="40" bestFit="1" customWidth="1"/>
    <col min="45" max="45" width="14.26953125" style="40" customWidth="1"/>
    <col min="46" max="46" width="12.1796875" style="40" customWidth="1"/>
    <col min="47" max="47" width="9.1796875" style="40"/>
    <col min="48" max="48" width="9.1796875" style="183"/>
    <col min="49" max="49" width="9.1796875" style="40"/>
    <col min="50" max="50" width="48.1796875" style="40" bestFit="1" customWidth="1"/>
    <col min="51" max="51" width="12.7265625" style="40" bestFit="1" customWidth="1"/>
    <col min="52" max="54" width="11.81640625" style="40" bestFit="1" customWidth="1"/>
    <col min="55" max="55" width="12.7265625" style="40" bestFit="1" customWidth="1"/>
    <col min="56" max="56" width="13.54296875" style="40" bestFit="1" customWidth="1"/>
    <col min="57" max="64" width="11.81640625" style="40" bestFit="1" customWidth="1"/>
    <col min="65" max="65" width="12.7265625" style="40" bestFit="1" customWidth="1"/>
    <col min="66" max="66" width="32.7265625" style="40" customWidth="1"/>
    <col min="67" max="67" width="11.81640625" style="40" bestFit="1" customWidth="1"/>
    <col min="68" max="68" width="12.7265625" style="40" bestFit="1" customWidth="1"/>
    <col min="69" max="69" width="16.26953125" style="40" bestFit="1" customWidth="1"/>
    <col min="70" max="75" width="11.81640625" style="40" bestFit="1" customWidth="1"/>
    <col min="76" max="76" width="15.54296875" style="40" bestFit="1" customWidth="1"/>
    <col min="77" max="79" width="9.1796875" style="40"/>
    <col min="80" max="80" width="9.1796875" style="170"/>
    <col min="81" max="81" width="35.1796875" style="40" bestFit="1" customWidth="1"/>
    <col min="82" max="82" width="52.54296875" style="40" bestFit="1" customWidth="1"/>
    <col min="83" max="84" width="15" style="40" bestFit="1" customWidth="1"/>
    <col min="85" max="89" width="14.26953125" style="40" bestFit="1" customWidth="1"/>
    <col min="90" max="91" width="9.1796875" style="40"/>
    <col min="92" max="92" width="35.1796875" style="40" bestFit="1" customWidth="1"/>
    <col min="93" max="93" width="52.54296875" style="40" bestFit="1" customWidth="1"/>
    <col min="94" max="95" width="15" style="40" bestFit="1" customWidth="1"/>
    <col min="96" max="100" width="14.26953125" style="40" bestFit="1" customWidth="1"/>
    <col min="101" max="103" width="13.453125" style="40" bestFit="1" customWidth="1"/>
    <col min="104" max="16384" width="9.1796875" style="40"/>
  </cols>
  <sheetData>
    <row r="1" spans="1:103" ht="15" customHeight="1" x14ac:dyDescent="0.35">
      <c r="A1" s="268" t="s">
        <v>130</v>
      </c>
      <c r="AW1" s="268" t="s">
        <v>130</v>
      </c>
    </row>
    <row r="2" spans="1:103" s="2" customFormat="1" ht="15.5" x14ac:dyDescent="0.35">
      <c r="A2" s="50" t="s">
        <v>1</v>
      </c>
      <c r="AV2" s="183"/>
      <c r="AW2" s="50" t="s">
        <v>1</v>
      </c>
      <c r="AY2" s="91" t="s">
        <v>94</v>
      </c>
      <c r="BM2" s="187">
        <f>BM3-BM4</f>
        <v>-3273.9799999967217</v>
      </c>
      <c r="BN2" s="190" t="s">
        <v>89</v>
      </c>
      <c r="BP2" s="143"/>
      <c r="BT2" s="143"/>
      <c r="CB2" s="170"/>
      <c r="CC2" s="2" t="s">
        <v>122</v>
      </c>
    </row>
    <row r="3" spans="1:103" ht="15.5" x14ac:dyDescent="0.35">
      <c r="A3" s="50" t="s">
        <v>64</v>
      </c>
      <c r="B3" s="36"/>
      <c r="C3" s="36"/>
      <c r="D3" s="36"/>
      <c r="AW3" s="50" t="s">
        <v>7</v>
      </c>
      <c r="AX3" s="36"/>
      <c r="AY3" s="91" t="s">
        <v>93</v>
      </c>
      <c r="BM3" s="43">
        <f>SUM(AY7:BQ7)</f>
        <v>9828949.7200000025</v>
      </c>
      <c r="BN3" s="40" t="s">
        <v>91</v>
      </c>
      <c r="BO3" s="43"/>
      <c r="BP3" s="43"/>
      <c r="BT3" s="43"/>
      <c r="CC3" s="2" t="s">
        <v>117</v>
      </c>
      <c r="CE3" s="12">
        <v>44501</v>
      </c>
      <c r="CF3" s="12">
        <v>44531</v>
      </c>
      <c r="CG3" s="12">
        <v>44562</v>
      </c>
      <c r="CH3" s="12">
        <v>44593</v>
      </c>
      <c r="CI3" s="12">
        <v>44621</v>
      </c>
      <c r="CJ3" s="12">
        <v>44652</v>
      </c>
      <c r="CK3" s="12">
        <v>44682</v>
      </c>
      <c r="CN3" s="40" t="s">
        <v>121</v>
      </c>
      <c r="CP3" s="12">
        <v>44501</v>
      </c>
      <c r="CQ3" s="12">
        <v>44531</v>
      </c>
      <c r="CR3" s="12">
        <v>44562</v>
      </c>
      <c r="CS3" s="12">
        <v>44593</v>
      </c>
      <c r="CT3" s="12">
        <v>44621</v>
      </c>
      <c r="CU3" s="12">
        <v>44652</v>
      </c>
      <c r="CV3" s="12">
        <v>44682</v>
      </c>
    </row>
    <row r="4" spans="1:103" ht="15.5" x14ac:dyDescent="0.35">
      <c r="A4" s="50"/>
      <c r="B4" s="36"/>
      <c r="C4" s="36"/>
      <c r="D4" s="36"/>
      <c r="AW4" s="6"/>
      <c r="BM4" s="43">
        <f>SUM('MEEIA 2 calcs'!AO6:BG6)</f>
        <v>9832223.6999999993</v>
      </c>
      <c r="BN4" s="40" t="s">
        <v>92</v>
      </c>
      <c r="BP4" s="43"/>
      <c r="CC4" s="44"/>
      <c r="CD4" s="13"/>
      <c r="CN4" s="44"/>
      <c r="CO4" s="13"/>
    </row>
    <row r="5" spans="1:103" ht="14.5" x14ac:dyDescent="0.35">
      <c r="A5" s="91" t="s">
        <v>68</v>
      </c>
      <c r="AW5" s="6"/>
      <c r="AY5" s="12">
        <v>43525</v>
      </c>
      <c r="AZ5" s="12">
        <v>43556</v>
      </c>
      <c r="BA5" s="12">
        <v>43586</v>
      </c>
      <c r="BB5" s="12">
        <v>43617</v>
      </c>
      <c r="BC5" s="12">
        <v>43647</v>
      </c>
      <c r="BD5" s="12">
        <v>43678</v>
      </c>
      <c r="BE5" s="12">
        <v>43709</v>
      </c>
      <c r="BF5" s="12">
        <v>43739</v>
      </c>
      <c r="BG5" s="12">
        <v>43770</v>
      </c>
      <c r="BH5" s="12">
        <v>43800</v>
      </c>
      <c r="BI5" s="12">
        <v>43831</v>
      </c>
      <c r="BJ5" s="12">
        <v>43862</v>
      </c>
      <c r="BK5" s="12">
        <v>43891</v>
      </c>
      <c r="BL5" s="12">
        <v>43922</v>
      </c>
      <c r="BM5" s="12">
        <v>43952</v>
      </c>
      <c r="BN5" s="12">
        <v>43983</v>
      </c>
      <c r="BO5" s="12">
        <v>44013</v>
      </c>
      <c r="BP5" s="12">
        <v>44044</v>
      </c>
      <c r="BQ5" s="12">
        <v>44075</v>
      </c>
      <c r="BR5" s="12">
        <v>44105</v>
      </c>
      <c r="BS5" s="12">
        <v>44136</v>
      </c>
      <c r="BT5" s="12">
        <v>44166</v>
      </c>
      <c r="BU5" s="12">
        <v>44197</v>
      </c>
      <c r="BV5" s="12">
        <v>44228</v>
      </c>
      <c r="BW5" s="12">
        <v>44256</v>
      </c>
      <c r="CC5" s="274" t="s">
        <v>25</v>
      </c>
      <c r="CD5" s="17"/>
      <c r="CN5" s="274" t="s">
        <v>25</v>
      </c>
      <c r="CO5" s="17"/>
      <c r="CY5" s="64"/>
    </row>
    <row r="6" spans="1:103" ht="14.5" x14ac:dyDescent="0.35">
      <c r="A6" s="6"/>
      <c r="C6" s="12">
        <v>42614</v>
      </c>
      <c r="D6" s="12">
        <v>42644</v>
      </c>
      <c r="E6" s="12">
        <v>42675</v>
      </c>
      <c r="F6" s="12">
        <v>42705</v>
      </c>
      <c r="G6" s="12">
        <v>42736</v>
      </c>
      <c r="H6" s="12">
        <v>42767</v>
      </c>
      <c r="I6" s="12">
        <v>42795</v>
      </c>
      <c r="J6" s="12">
        <v>42826</v>
      </c>
      <c r="K6" s="12">
        <v>42856</v>
      </c>
      <c r="L6" s="12">
        <v>42887</v>
      </c>
      <c r="M6" s="12">
        <v>42917</v>
      </c>
      <c r="N6" s="12">
        <v>42948</v>
      </c>
      <c r="O6" s="12">
        <v>42979</v>
      </c>
      <c r="P6" s="12">
        <v>43009</v>
      </c>
      <c r="Q6" s="12">
        <v>43040</v>
      </c>
      <c r="AW6" s="277" t="s">
        <v>0</v>
      </c>
      <c r="AX6" s="7"/>
      <c r="AY6" s="31"/>
      <c r="AZ6" s="31"/>
      <c r="BA6" s="31"/>
      <c r="BB6" s="31"/>
      <c r="BC6" s="31"/>
      <c r="BD6" s="31"/>
      <c r="BE6" s="31"/>
      <c r="BF6" s="31"/>
      <c r="BG6" s="31"/>
      <c r="BH6" s="31"/>
      <c r="BI6" s="31"/>
      <c r="BJ6" s="31"/>
      <c r="BK6" s="31"/>
      <c r="BL6" s="31"/>
      <c r="BM6" s="31"/>
      <c r="BN6" s="31"/>
      <c r="BO6" s="31"/>
      <c r="BP6" s="31"/>
      <c r="BQ6" s="31"/>
      <c r="BR6" s="31"/>
      <c r="BS6" s="31"/>
      <c r="BT6" s="31"/>
      <c r="BU6" s="31"/>
      <c r="BV6" s="31"/>
      <c r="BW6" s="31"/>
      <c r="CC6" s="274"/>
      <c r="CD6" s="17" t="s">
        <v>28</v>
      </c>
      <c r="CE6" s="247">
        <v>20626.079999999609</v>
      </c>
      <c r="CF6" s="247">
        <v>24775.299999998882</v>
      </c>
      <c r="CG6" s="247">
        <v>25830.020000001416</v>
      </c>
      <c r="CH6" s="247">
        <v>21223.889999997336</v>
      </c>
      <c r="CI6" s="247">
        <v>0</v>
      </c>
      <c r="CJ6" s="247">
        <v>0</v>
      </c>
      <c r="CK6" s="247">
        <v>0</v>
      </c>
      <c r="CN6" s="274"/>
      <c r="CO6" s="17" t="s">
        <v>28</v>
      </c>
      <c r="CP6" s="247">
        <v>20626.079999999609</v>
      </c>
      <c r="CQ6" s="247">
        <v>24775.299999998882</v>
      </c>
      <c r="CR6" s="247">
        <v>25830.020000001416</v>
      </c>
      <c r="CS6" s="247">
        <v>21223.889999997336</v>
      </c>
      <c r="CT6" s="247">
        <v>0</v>
      </c>
      <c r="CU6" s="247">
        <v>0</v>
      </c>
      <c r="CV6" s="247">
        <v>0</v>
      </c>
      <c r="CY6" s="88"/>
    </row>
    <row r="7" spans="1:103" s="2" customFormat="1" ht="14.5" x14ac:dyDescent="0.35">
      <c r="A7" s="277" t="s">
        <v>0</v>
      </c>
      <c r="B7" s="7"/>
      <c r="C7" s="31"/>
      <c r="D7" s="31"/>
      <c r="E7" s="31"/>
      <c r="F7" s="31"/>
      <c r="G7" s="31"/>
      <c r="H7" s="9"/>
      <c r="I7" s="31"/>
      <c r="J7" s="31"/>
      <c r="K7" s="31"/>
      <c r="L7" s="31"/>
      <c r="M7" s="31"/>
      <c r="N7" s="31"/>
      <c r="O7" s="31"/>
      <c r="P7" s="31"/>
      <c r="Q7" s="31"/>
      <c r="AV7" s="183"/>
      <c r="AW7" s="277"/>
      <c r="AX7" s="7" t="s">
        <v>9</v>
      </c>
      <c r="AY7" s="23">
        <v>7004423.3000000007</v>
      </c>
      <c r="AZ7" s="129">
        <v>193976.29</v>
      </c>
      <c r="BA7" s="129">
        <v>258711.14</v>
      </c>
      <c r="BB7" s="129">
        <v>209760.13</v>
      </c>
      <c r="BC7" s="129">
        <v>1180880.3099999998</v>
      </c>
      <c r="BD7" s="129">
        <v>-1350623.74</v>
      </c>
      <c r="BE7" s="129">
        <v>87350.23</v>
      </c>
      <c r="BF7" s="23">
        <v>459064.35</v>
      </c>
      <c r="BG7" s="129">
        <v>41006.9</v>
      </c>
      <c r="BH7" s="129">
        <v>158880.82</v>
      </c>
      <c r="BI7" s="129">
        <v>83121.37999999999</v>
      </c>
      <c r="BJ7" s="129">
        <v>138134.42000000001</v>
      </c>
      <c r="BK7" s="23">
        <v>209941.13000000003</v>
      </c>
      <c r="BL7" s="23">
        <v>-1300.0800000000563</v>
      </c>
      <c r="BM7" s="23">
        <v>14255.75</v>
      </c>
      <c r="BN7" s="129">
        <v>253636.05</v>
      </c>
      <c r="BO7" s="23">
        <v>60801.639999999985</v>
      </c>
      <c r="BP7" s="23">
        <v>700403.20000000019</v>
      </c>
      <c r="BQ7" s="23">
        <v>126526.49999999997</v>
      </c>
      <c r="BR7" s="23">
        <v>21848.7</v>
      </c>
      <c r="BS7" s="23">
        <v>5996.8600000000006</v>
      </c>
      <c r="BT7" s="23">
        <v>-279762.15999999992</v>
      </c>
      <c r="BU7" s="23">
        <v>95606.290000000008</v>
      </c>
      <c r="BV7" s="23">
        <v>153442.74</v>
      </c>
      <c r="BW7" s="23">
        <v>225.28000000000486</v>
      </c>
      <c r="CB7" s="171"/>
      <c r="CC7" s="274"/>
      <c r="CD7" s="18" t="s">
        <v>26</v>
      </c>
      <c r="CE7" s="247">
        <v>-452926.68</v>
      </c>
      <c r="CF7" s="247">
        <v>-540882.03</v>
      </c>
      <c r="CG7" s="247">
        <v>-651029.75</v>
      </c>
      <c r="CH7" s="247">
        <v>-427144.88</v>
      </c>
      <c r="CI7" s="247">
        <v>-59180.159999999996</v>
      </c>
      <c r="CJ7" s="247">
        <v>-58562.48</v>
      </c>
      <c r="CK7" s="247">
        <v>-50748.47</v>
      </c>
      <c r="CL7" s="5"/>
      <c r="CM7" s="5"/>
      <c r="CN7" s="274"/>
      <c r="CO7" s="18" t="s">
        <v>26</v>
      </c>
      <c r="CP7" s="247">
        <v>-452926.68</v>
      </c>
      <c r="CQ7" s="247">
        <v>-540882.03</v>
      </c>
      <c r="CR7" s="247">
        <v>-651029.75</v>
      </c>
      <c r="CS7" s="247">
        <v>-427144.88</v>
      </c>
      <c r="CT7" s="247">
        <v>-59180.160000000003</v>
      </c>
      <c r="CU7" s="247">
        <v>-58562.479999999996</v>
      </c>
      <c r="CV7" s="247">
        <v>-50748.47</v>
      </c>
      <c r="CW7" s="5"/>
      <c r="CX7" s="5"/>
      <c r="CY7" s="88"/>
    </row>
    <row r="8" spans="1:103" s="4" customFormat="1" ht="15" customHeight="1" x14ac:dyDescent="0.35">
      <c r="A8" s="277"/>
      <c r="B8" s="7" t="s">
        <v>9</v>
      </c>
      <c r="C8" s="23">
        <v>0</v>
      </c>
      <c r="D8" s="23">
        <v>0</v>
      </c>
      <c r="E8" s="23">
        <v>0</v>
      </c>
      <c r="F8" s="23">
        <v>0</v>
      </c>
      <c r="G8" s="23">
        <v>-189515</v>
      </c>
      <c r="H8" s="24">
        <v>-1872.22</v>
      </c>
      <c r="I8" s="24">
        <v>0</v>
      </c>
      <c r="J8" s="23">
        <v>0</v>
      </c>
      <c r="K8" s="23">
        <v>0</v>
      </c>
      <c r="L8" s="24">
        <f>-98663.75-98663.75-1872.22-1872.22</f>
        <v>-201071.94</v>
      </c>
      <c r="M8" s="23">
        <v>0</v>
      </c>
      <c r="N8" s="23">
        <v>0</v>
      </c>
      <c r="O8" s="23">
        <v>0</v>
      </c>
      <c r="P8" s="23">
        <v>0</v>
      </c>
      <c r="Q8" s="23">
        <f>-SUM(G8:P8)</f>
        <v>392459.16000000003</v>
      </c>
      <c r="AV8" s="184"/>
      <c r="AW8" s="277"/>
      <c r="AX8" s="7" t="s">
        <v>10</v>
      </c>
      <c r="AY8" s="24">
        <v>-36362.01</v>
      </c>
      <c r="AZ8" s="24">
        <v>124962.2</v>
      </c>
      <c r="BA8" s="24">
        <v>216142.69</v>
      </c>
      <c r="BB8" s="24">
        <v>164533.09</v>
      </c>
      <c r="BC8" s="24">
        <v>52414.7</v>
      </c>
      <c r="BD8" s="24">
        <v>41132.15</v>
      </c>
      <c r="BE8" s="24">
        <v>99790.34</v>
      </c>
      <c r="BF8" s="23">
        <v>162041.60999999999</v>
      </c>
      <c r="BG8" s="24">
        <v>143971.22</v>
      </c>
      <c r="BH8" s="24">
        <v>8571.3799999999992</v>
      </c>
      <c r="BI8" s="24">
        <v>-35370.6</v>
      </c>
      <c r="BJ8" s="24">
        <v>118298.99</v>
      </c>
      <c r="BK8" s="24">
        <v>171428.03</v>
      </c>
      <c r="BL8" s="24">
        <v>133296.92000000001</v>
      </c>
      <c r="BM8" s="24">
        <v>117655.75</v>
      </c>
      <c r="BN8" s="24">
        <v>130053.22</v>
      </c>
      <c r="BO8" s="24">
        <v>209735.52</v>
      </c>
      <c r="BP8" s="24">
        <v>197790.51</v>
      </c>
      <c r="BQ8" s="24">
        <v>179959.96</v>
      </c>
      <c r="BR8" s="24">
        <v>125626.02</v>
      </c>
      <c r="BS8" s="24">
        <v>131893.51</v>
      </c>
      <c r="BT8" s="24">
        <v>171081.87</v>
      </c>
      <c r="BU8" s="24">
        <v>221573.25</v>
      </c>
      <c r="BV8" s="24">
        <v>139999.91</v>
      </c>
      <c r="BW8" s="24">
        <v>69598.7</v>
      </c>
      <c r="CB8" s="172"/>
      <c r="CC8" s="274"/>
      <c r="CD8" s="18" t="s">
        <v>51</v>
      </c>
      <c r="CE8" s="247">
        <v>492875.96</v>
      </c>
      <c r="CF8" s="247">
        <v>588146.23</v>
      </c>
      <c r="CG8" s="247">
        <v>699374.74</v>
      </c>
      <c r="CH8" s="247">
        <v>432869.69</v>
      </c>
      <c r="CI8" s="247">
        <v>60881.03</v>
      </c>
      <c r="CJ8" s="247">
        <v>60189.59</v>
      </c>
      <c r="CK8" s="247">
        <v>52383.22</v>
      </c>
      <c r="CL8" s="3"/>
      <c r="CM8" s="3"/>
      <c r="CN8" s="274"/>
      <c r="CO8" s="18" t="s">
        <v>51</v>
      </c>
      <c r="CP8" s="247">
        <v>492875.96</v>
      </c>
      <c r="CQ8" s="247">
        <v>588146.23</v>
      </c>
      <c r="CR8" s="247">
        <v>699374.74</v>
      </c>
      <c r="CS8" s="247">
        <v>432869.69</v>
      </c>
      <c r="CT8" s="247">
        <v>60881.03</v>
      </c>
      <c r="CU8" s="247">
        <v>60189.59</v>
      </c>
      <c r="CV8" s="247">
        <v>52383.22</v>
      </c>
      <c r="CW8" s="3"/>
      <c r="CX8" s="3"/>
      <c r="CY8" s="88"/>
    </row>
    <row r="9" spans="1:103" s="4" customFormat="1" ht="14.5" x14ac:dyDescent="0.35">
      <c r="A9" s="277"/>
      <c r="B9" s="7" t="s">
        <v>10</v>
      </c>
      <c r="C9" s="24">
        <v>0</v>
      </c>
      <c r="D9" s="24">
        <v>0</v>
      </c>
      <c r="E9" s="24">
        <v>0</v>
      </c>
      <c r="F9" s="24">
        <v>0</v>
      </c>
      <c r="G9" s="24">
        <v>0</v>
      </c>
      <c r="H9" s="24">
        <v>0</v>
      </c>
      <c r="I9" s="24">
        <v>0</v>
      </c>
      <c r="J9" s="24">
        <v>0</v>
      </c>
      <c r="K9" s="24">
        <v>0</v>
      </c>
      <c r="L9" s="24">
        <v>0</v>
      </c>
      <c r="M9" s="24">
        <v>0</v>
      </c>
      <c r="N9" s="24">
        <v>0</v>
      </c>
      <c r="O9" s="24">
        <v>0</v>
      </c>
      <c r="P9" s="24">
        <v>0</v>
      </c>
      <c r="Q9" s="24">
        <v>0</v>
      </c>
      <c r="AV9" s="184"/>
      <c r="AW9" s="277"/>
      <c r="AX9" s="7" t="s">
        <v>11</v>
      </c>
      <c r="AY9" s="10">
        <v>7040785.3100000005</v>
      </c>
      <c r="AZ9" s="10">
        <v>69014.090000000011</v>
      </c>
      <c r="BA9" s="10">
        <v>42568.450000000012</v>
      </c>
      <c r="BB9" s="10">
        <v>45227.040000000008</v>
      </c>
      <c r="BC9" s="10">
        <v>1128465.6099999999</v>
      </c>
      <c r="BD9" s="10">
        <v>-1391755.89</v>
      </c>
      <c r="BE9" s="10">
        <v>-12440.11</v>
      </c>
      <c r="BF9" s="10">
        <v>297022.74</v>
      </c>
      <c r="BG9" s="10">
        <v>-102964.32</v>
      </c>
      <c r="BH9" s="10">
        <v>150309.44</v>
      </c>
      <c r="BI9" s="10">
        <v>118491.97999999998</v>
      </c>
      <c r="BJ9" s="10">
        <v>19835.430000000008</v>
      </c>
      <c r="BK9" s="10">
        <v>38513.100000000035</v>
      </c>
      <c r="BL9" s="10">
        <v>-134597.00000000006</v>
      </c>
      <c r="BM9" s="10">
        <v>-103400</v>
      </c>
      <c r="BN9" s="10">
        <v>123582.82999999999</v>
      </c>
      <c r="BO9" s="10">
        <v>-148933.88</v>
      </c>
      <c r="BP9" s="10">
        <v>502612.69000000018</v>
      </c>
      <c r="BQ9" s="10">
        <v>-53433.460000000021</v>
      </c>
      <c r="BR9" s="10">
        <v>-103777.32</v>
      </c>
      <c r="BS9" s="10">
        <v>-125896.65000000001</v>
      </c>
      <c r="BT9" s="10">
        <v>-450844.02999999991</v>
      </c>
      <c r="BU9" s="10">
        <v>-125966.95999999999</v>
      </c>
      <c r="BV9" s="10">
        <v>13442.829999999987</v>
      </c>
      <c r="BW9" s="10">
        <v>-69373.42</v>
      </c>
      <c r="CB9" s="171"/>
      <c r="CC9" s="274"/>
      <c r="CD9" s="18" t="s">
        <v>52</v>
      </c>
      <c r="CE9" s="247">
        <v>39949.280000000013</v>
      </c>
      <c r="CF9" s="247">
        <v>47264.200000000004</v>
      </c>
      <c r="CG9" s="247">
        <v>48344.990000000005</v>
      </c>
      <c r="CH9" s="247">
        <v>5724.8099999999795</v>
      </c>
      <c r="CI9" s="247">
        <v>1700.8699999999994</v>
      </c>
      <c r="CJ9" s="247">
        <v>1627.1099999999992</v>
      </c>
      <c r="CK9" s="247">
        <v>1634.7500000000036</v>
      </c>
      <c r="CL9" s="5"/>
      <c r="CM9" s="5"/>
      <c r="CN9" s="274"/>
      <c r="CO9" s="18" t="s">
        <v>52</v>
      </c>
      <c r="CP9" s="247">
        <v>39949.279999999992</v>
      </c>
      <c r="CQ9" s="247">
        <v>47264.199999999983</v>
      </c>
      <c r="CR9" s="247">
        <v>48344.99000000002</v>
      </c>
      <c r="CS9" s="247">
        <v>5724.8100000000086</v>
      </c>
      <c r="CT9" s="247">
        <v>1700.8699999999967</v>
      </c>
      <c r="CU9" s="247">
        <v>1627.1100000000006</v>
      </c>
      <c r="CV9" s="247">
        <v>1634.7500000000009</v>
      </c>
      <c r="CW9" s="5"/>
      <c r="CX9" s="5"/>
      <c r="CY9" s="88"/>
    </row>
    <row r="10" spans="1:103" s="4" customFormat="1" ht="14.5" x14ac:dyDescent="0.35">
      <c r="A10" s="277"/>
      <c r="B10" s="7" t="s">
        <v>11</v>
      </c>
      <c r="C10" s="10">
        <v>0</v>
      </c>
      <c r="D10" s="10">
        <f t="shared" ref="D10:Q10" si="0">IF(OR(D8="",D9=""),"",D8-D9)</f>
        <v>0</v>
      </c>
      <c r="E10" s="10">
        <f t="shared" si="0"/>
        <v>0</v>
      </c>
      <c r="F10" s="10">
        <f t="shared" si="0"/>
        <v>0</v>
      </c>
      <c r="G10" s="10">
        <f t="shared" si="0"/>
        <v>-189515</v>
      </c>
      <c r="H10" s="10">
        <f>IF(OR(H8="",H9=""),"",H8-H9)</f>
        <v>-1872.22</v>
      </c>
      <c r="I10" s="10">
        <f t="shared" si="0"/>
        <v>0</v>
      </c>
      <c r="J10" s="10">
        <f t="shared" si="0"/>
        <v>0</v>
      </c>
      <c r="K10" s="10">
        <f t="shared" si="0"/>
        <v>0</v>
      </c>
      <c r="L10" s="10">
        <f t="shared" si="0"/>
        <v>-201071.94</v>
      </c>
      <c r="M10" s="10">
        <f t="shared" si="0"/>
        <v>0</v>
      </c>
      <c r="N10" s="10">
        <f t="shared" si="0"/>
        <v>0</v>
      </c>
      <c r="O10" s="10">
        <f t="shared" si="0"/>
        <v>0</v>
      </c>
      <c r="P10" s="10">
        <f t="shared" si="0"/>
        <v>0</v>
      </c>
      <c r="Q10" s="10">
        <f t="shared" si="0"/>
        <v>392459.16000000003</v>
      </c>
      <c r="AV10" s="184"/>
      <c r="AW10" s="277"/>
      <c r="AX10" s="7" t="s">
        <v>4</v>
      </c>
      <c r="AY10" s="25">
        <v>2.7878150000000001E-2</v>
      </c>
      <c r="AZ10" s="25">
        <v>2.6622739999999999E-2</v>
      </c>
      <c r="BA10" s="25">
        <v>2.677361E-2</v>
      </c>
      <c r="BB10" s="25">
        <v>2.6500570000000001E-2</v>
      </c>
      <c r="BC10" s="25">
        <v>2.594869E-2</v>
      </c>
      <c r="BD10" s="25">
        <v>2.3511899999999999E-2</v>
      </c>
      <c r="BE10" s="25">
        <v>2.21687E-2</v>
      </c>
      <c r="BF10" s="25">
        <v>2.113932E-2</v>
      </c>
      <c r="BG10" s="25">
        <v>1.8159890000000001E-2</v>
      </c>
      <c r="BH10" s="25">
        <v>1.9151990000000001E-2</v>
      </c>
      <c r="BI10" s="25">
        <v>1.8890779999999999E-2</v>
      </c>
      <c r="BJ10" s="25">
        <v>1.8035829999999999E-2</v>
      </c>
      <c r="BK10" s="25">
        <v>1.888592E-2</v>
      </c>
      <c r="BL10" s="25">
        <v>9.3845999999999999E-3</v>
      </c>
      <c r="BM10" s="25">
        <v>1.2906700000000001E-3</v>
      </c>
      <c r="BN10" s="25">
        <v>1.2563100000000001E-3</v>
      </c>
      <c r="BO10" s="25">
        <v>1.9366299999999999E-3</v>
      </c>
      <c r="BP10" s="25">
        <v>1.3658500000000001E-3</v>
      </c>
      <c r="BQ10" s="25">
        <v>1.23916E-3</v>
      </c>
      <c r="BR10" s="25">
        <v>2E-3</v>
      </c>
      <c r="BS10" s="25">
        <v>2.5244400000000002E-3</v>
      </c>
      <c r="BT10" s="25">
        <v>2.8469900000000002E-3</v>
      </c>
      <c r="BU10" s="25">
        <v>2.0613900000000002E-3</v>
      </c>
      <c r="BV10" s="25">
        <v>2.3221700000000001E-3</v>
      </c>
      <c r="BW10" s="25">
        <v>2.1367399999999998E-3</v>
      </c>
      <c r="CB10" s="171"/>
      <c r="CC10" s="274"/>
      <c r="CD10" s="18" t="s">
        <v>13</v>
      </c>
      <c r="CE10" s="247">
        <v>-19323.200000000405</v>
      </c>
      <c r="CF10" s="247">
        <v>-22488.900000001122</v>
      </c>
      <c r="CG10" s="247">
        <v>-22514.96999999859</v>
      </c>
      <c r="CH10" s="247">
        <v>15499.079999997357</v>
      </c>
      <c r="CI10" s="247">
        <v>-1700.8699999999994</v>
      </c>
      <c r="CJ10" s="247">
        <v>-1627.1099999999992</v>
      </c>
      <c r="CK10" s="247">
        <v>-1634.7500000000036</v>
      </c>
      <c r="CL10" s="5"/>
      <c r="CM10" s="5"/>
      <c r="CN10" s="274"/>
      <c r="CO10" s="18" t="s">
        <v>13</v>
      </c>
      <c r="CP10" s="247">
        <v>-19323.200000000383</v>
      </c>
      <c r="CQ10" s="247">
        <v>-22488.900000001093</v>
      </c>
      <c r="CR10" s="247">
        <v>-22514.969999998611</v>
      </c>
      <c r="CS10" s="247">
        <v>15499.079999997328</v>
      </c>
      <c r="CT10" s="247">
        <v>-1700.8699999999967</v>
      </c>
      <c r="CU10" s="247">
        <v>-1627.1100000000006</v>
      </c>
      <c r="CV10" s="247">
        <v>-1634.7500000000009</v>
      </c>
      <c r="CW10" s="5"/>
      <c r="CX10" s="5"/>
      <c r="CY10" s="88"/>
    </row>
    <row r="11" spans="1:103" s="4" customFormat="1" ht="14.5" x14ac:dyDescent="0.35">
      <c r="A11" s="277"/>
      <c r="B11" s="7" t="s">
        <v>4</v>
      </c>
      <c r="C11" s="25">
        <v>7.5545970550536697E-3</v>
      </c>
      <c r="D11" s="25">
        <v>7.6017000000000003E-3</v>
      </c>
      <c r="E11" s="25">
        <v>7.6414500000000002E-3</v>
      </c>
      <c r="F11" s="25">
        <v>9.6220400000000001E-3</v>
      </c>
      <c r="G11" s="25">
        <v>8.9999999999999993E-3</v>
      </c>
      <c r="H11" s="25">
        <v>8.9999999999999993E-3</v>
      </c>
      <c r="I11" s="25">
        <v>1.15E-2</v>
      </c>
      <c r="J11" s="25">
        <v>1.15E-2</v>
      </c>
      <c r="K11" s="25">
        <v>1.15E-2</v>
      </c>
      <c r="L11" s="25">
        <v>1.41E-2</v>
      </c>
      <c r="M11" s="25">
        <v>1.39185E-2</v>
      </c>
      <c r="N11" s="25">
        <v>1.466976E-2</v>
      </c>
      <c r="O11" s="25">
        <v>1.4482760000000001E-2</v>
      </c>
      <c r="P11" s="25">
        <v>1.45083E-2</v>
      </c>
      <c r="Q11" s="25">
        <v>1.4428689E-2</v>
      </c>
      <c r="AV11" s="184"/>
      <c r="AW11" s="277"/>
      <c r="AX11" s="7" t="s">
        <v>5</v>
      </c>
      <c r="AY11" s="10">
        <v>975.68603367557773</v>
      </c>
      <c r="AZ11" s="10">
        <v>1087.0255341540258</v>
      </c>
      <c r="BA11" s="10">
        <v>1190.5868872923527</v>
      </c>
      <c r="BB11" s="10">
        <v>1280.9529585755447</v>
      </c>
      <c r="BC11" s="10">
        <v>3697.2304528205282</v>
      </c>
      <c r="BD11" s="10">
        <v>630.3728425712826</v>
      </c>
      <c r="BE11" s="10">
        <v>572.54336634096649</v>
      </c>
      <c r="BF11" s="10">
        <v>1070.2047513646482</v>
      </c>
      <c r="BG11" s="10">
        <v>765.16852073249026</v>
      </c>
      <c r="BH11" s="10">
        <v>1048.0856885197029</v>
      </c>
      <c r="BI11" s="10">
        <v>1221.9748230956698</v>
      </c>
      <c r="BJ11" s="10">
        <v>1198.3202447699666</v>
      </c>
      <c r="BK11" s="10">
        <v>1317.3000450301145</v>
      </c>
      <c r="BL11" s="10">
        <v>550.34800114798418</v>
      </c>
      <c r="BM11" s="10">
        <v>64.627630203054068</v>
      </c>
      <c r="BN11" s="10">
        <v>75.852085742545498</v>
      </c>
      <c r="BO11" s="10">
        <v>92.90411199252452</v>
      </c>
      <c r="BP11" s="10">
        <v>122.74099470059521</v>
      </c>
      <c r="BQ11" s="10">
        <v>105.85105877697275</v>
      </c>
      <c r="BR11" s="10">
        <v>153.56466852148051</v>
      </c>
      <c r="BS11" s="10">
        <v>167.37982304000002</v>
      </c>
      <c r="BT11" s="10">
        <v>81.843435917387481</v>
      </c>
      <c r="BU11" s="10">
        <v>37.634652770599523</v>
      </c>
      <c r="BV11" s="10">
        <v>45.004355839053062</v>
      </c>
      <c r="BW11" s="10">
        <v>29.065933206728971</v>
      </c>
      <c r="BX11" s="113" t="s">
        <v>90</v>
      </c>
      <c r="BY11" s="113" t="s">
        <v>89</v>
      </c>
      <c r="CB11" s="171"/>
      <c r="CC11" s="274"/>
      <c r="CD11" s="19" t="s">
        <v>8</v>
      </c>
      <c r="CE11" s="247">
        <v>-256.98413884328068</v>
      </c>
      <c r="CF11" s="247">
        <v>-314.16559918609727</v>
      </c>
      <c r="CG11" s="247">
        <v>-150.60802193166325</v>
      </c>
      <c r="CH11" s="247">
        <v>-79.545964253529533</v>
      </c>
      <c r="CI11" s="247">
        <v>-151.16564332316423</v>
      </c>
      <c r="CJ11" s="247">
        <v>-102.6392662555599</v>
      </c>
      <c r="CK11" s="247">
        <v>-122.26697962723581</v>
      </c>
      <c r="CL11" s="5"/>
      <c r="CM11" s="5"/>
      <c r="CN11" s="274"/>
      <c r="CO11" s="19" t="s">
        <v>8</v>
      </c>
      <c r="CP11" s="247">
        <v>-256.98413884328073</v>
      </c>
      <c r="CQ11" s="247">
        <v>-314.16559918609727</v>
      </c>
      <c r="CR11" s="247">
        <v>-150.60802193166325</v>
      </c>
      <c r="CS11" s="247">
        <v>-79.545964253529519</v>
      </c>
      <c r="CT11" s="247">
        <v>-151.16564332316423</v>
      </c>
      <c r="CU11" s="247">
        <v>-102.63926625555987</v>
      </c>
      <c r="CV11" s="247">
        <v>-122.26697962723584</v>
      </c>
      <c r="CW11" s="5"/>
      <c r="CX11" s="5"/>
      <c r="CY11" s="88"/>
    </row>
    <row r="12" spans="1:103" s="4" customFormat="1" ht="14.5" x14ac:dyDescent="0.35">
      <c r="A12" s="277"/>
      <c r="B12" s="7" t="s">
        <v>5</v>
      </c>
      <c r="C12" s="10">
        <v>0</v>
      </c>
      <c r="D12" s="10">
        <f>IF(OR(D11="",D10="",C15=""),"",((C15+D10)*D11)/12)</f>
        <v>0</v>
      </c>
      <c r="E12" s="10">
        <f t="shared" ref="E12:Q12" si="1">IF(OR(E11="",E10="",D15=""),"",((D15+E10)*E11)/12)</f>
        <v>0</v>
      </c>
      <c r="F12" s="10">
        <f>IF(OR(F11="",F10="",E15=""),"",((E15+F10)*F11)/12)</f>
        <v>0</v>
      </c>
      <c r="G12" s="10">
        <f>IF(OR(G11="",G10="",F15=""),"",((F15+G10)*G11)/12)</f>
        <v>-142.13624999999999</v>
      </c>
      <c r="H12" s="10">
        <f>IF(OR(H11="",H10="",G15=""),"",((G15+H7+H10)*H11)/12)</f>
        <v>-143.64701718749998</v>
      </c>
      <c r="I12" s="10">
        <f t="shared" si="1"/>
        <v>-183.6866281310547</v>
      </c>
      <c r="J12" s="10">
        <f t="shared" si="1"/>
        <v>-183.86266114968029</v>
      </c>
      <c r="K12" s="10">
        <f t="shared" si="1"/>
        <v>-184.0388628666154</v>
      </c>
      <c r="L12" s="10">
        <f t="shared" si="1"/>
        <v>-462.12342441771835</v>
      </c>
      <c r="M12" s="10">
        <f t="shared" si="1"/>
        <v>-456.7108197868975</v>
      </c>
      <c r="N12" s="10">
        <f t="shared" si="1"/>
        <v>-481.9204002163637</v>
      </c>
      <c r="O12" s="10">
        <f t="shared" si="1"/>
        <v>-476.35883889272668</v>
      </c>
      <c r="P12" s="10">
        <f t="shared" si="1"/>
        <v>-477.7748160284246</v>
      </c>
      <c r="Q12" s="10">
        <f t="shared" si="1"/>
        <v>-3.838343557334722</v>
      </c>
      <c r="AV12" s="184"/>
      <c r="AW12" s="277"/>
      <c r="AX12" s="8" t="s">
        <v>6</v>
      </c>
      <c r="AY12" s="10">
        <v>-275582.55886894098</v>
      </c>
      <c r="AZ12" s="10">
        <v>-274495.53333478695</v>
      </c>
      <c r="BA12" s="10">
        <v>-273304.94644749461</v>
      </c>
      <c r="BB12" s="10">
        <v>-272023.99348891905</v>
      </c>
      <c r="BC12" s="10">
        <v>-268326.76303609851</v>
      </c>
      <c r="BD12" s="10">
        <v>-267696.39019352722</v>
      </c>
      <c r="BE12" s="10">
        <v>-267123.84682718624</v>
      </c>
      <c r="BF12" s="10">
        <v>-266053.64207582158</v>
      </c>
      <c r="BG12" s="10">
        <v>-265288.47355508909</v>
      </c>
      <c r="BH12" s="10">
        <v>-264240.38786656939</v>
      </c>
      <c r="BI12" s="10">
        <v>-263018.41304347373</v>
      </c>
      <c r="BJ12" s="10">
        <v>-261820.09279870376</v>
      </c>
      <c r="BK12" s="10">
        <v>-260502.79275367365</v>
      </c>
      <c r="BL12" s="10">
        <v>-259952.44475252565</v>
      </c>
      <c r="BM12" s="10">
        <v>-259887.81712232259</v>
      </c>
      <c r="BN12" s="10">
        <v>-259811.96503658005</v>
      </c>
      <c r="BO12" s="10">
        <v>-259719.06092458751</v>
      </c>
      <c r="BP12" s="10">
        <v>-259596.3199298869</v>
      </c>
      <c r="BQ12" s="10">
        <v>-259490.46887110992</v>
      </c>
      <c r="BR12" s="10">
        <v>-259336.90420258843</v>
      </c>
      <c r="BS12" s="10">
        <v>-259169.52437954841</v>
      </c>
      <c r="BT12" s="10">
        <v>-259087.68094363101</v>
      </c>
      <c r="BU12" s="10">
        <v>-259050.04629086042</v>
      </c>
      <c r="BV12" s="10">
        <v>-259005.04193502138</v>
      </c>
      <c r="BW12" s="10">
        <v>-258975.97600181465</v>
      </c>
      <c r="BX12" s="188">
        <f>'MEEIA 2 calcs'!BL11</f>
        <v>-258938.43989187756</v>
      </c>
      <c r="BY12" s="189">
        <f>BV12-BX12</f>
        <v>-66.602043143822812</v>
      </c>
      <c r="CB12" s="171"/>
      <c r="CC12" s="274"/>
      <c r="CD12" s="19" t="s">
        <v>27</v>
      </c>
      <c r="CE12" s="247">
        <v>-35718.313144887157</v>
      </c>
      <c r="CF12" s="247">
        <v>-36032.478744073254</v>
      </c>
      <c r="CG12" s="247">
        <v>-36183.086766004919</v>
      </c>
      <c r="CH12" s="247">
        <v>-36262.632730258447</v>
      </c>
      <c r="CI12" s="247">
        <v>-36413.798373581609</v>
      </c>
      <c r="CJ12" s="247">
        <v>-36516.437639837168</v>
      </c>
      <c r="CK12" s="247">
        <v>-36638.704619464406</v>
      </c>
      <c r="CL12" s="5"/>
      <c r="CM12" s="5"/>
      <c r="CN12" s="274"/>
      <c r="CO12" s="19" t="s">
        <v>27</v>
      </c>
      <c r="CP12" s="247">
        <v>-35718.313144887157</v>
      </c>
      <c r="CQ12" s="247">
        <v>-36032.478744073254</v>
      </c>
      <c r="CR12" s="247">
        <v>-36183.086766004919</v>
      </c>
      <c r="CS12" s="247">
        <v>-36262.632730258447</v>
      </c>
      <c r="CT12" s="247">
        <v>-36413.798373581609</v>
      </c>
      <c r="CU12" s="247">
        <v>-36516.437639837168</v>
      </c>
      <c r="CV12" s="247">
        <v>-36638.704619464406</v>
      </c>
      <c r="CW12" s="5"/>
      <c r="CX12" s="5"/>
      <c r="CY12" s="88"/>
    </row>
    <row r="13" spans="1:103" s="4" customFormat="1" ht="14.5" x14ac:dyDescent="0.35">
      <c r="A13" s="277"/>
      <c r="B13" s="8" t="s">
        <v>6</v>
      </c>
      <c r="C13" s="10">
        <v>0</v>
      </c>
      <c r="D13" s="10">
        <f t="shared" ref="D13:Q13" si="2">IF(OR(C13="",D12=""),"",C13+D12)</f>
        <v>0</v>
      </c>
      <c r="E13" s="10">
        <f t="shared" si="2"/>
        <v>0</v>
      </c>
      <c r="F13" s="10">
        <f t="shared" si="2"/>
        <v>0</v>
      </c>
      <c r="G13" s="10">
        <f t="shared" si="2"/>
        <v>-142.13624999999999</v>
      </c>
      <c r="H13" s="10">
        <f>IF(OR(G13="",H12=""),"",G13+H12)</f>
        <v>-285.78326718749997</v>
      </c>
      <c r="I13" s="10">
        <f t="shared" si="2"/>
        <v>-469.46989531855468</v>
      </c>
      <c r="J13" s="10">
        <f t="shared" si="2"/>
        <v>-653.332556468235</v>
      </c>
      <c r="K13" s="10">
        <f t="shared" si="2"/>
        <v>-837.37141933485043</v>
      </c>
      <c r="L13" s="10">
        <f t="shared" si="2"/>
        <v>-1299.4948437525688</v>
      </c>
      <c r="M13" s="10">
        <f t="shared" si="2"/>
        <v>-1756.2056635394663</v>
      </c>
      <c r="N13" s="10">
        <f t="shared" si="2"/>
        <v>-2238.1260637558298</v>
      </c>
      <c r="O13" s="10">
        <f t="shared" si="2"/>
        <v>-2714.4849026485563</v>
      </c>
      <c r="P13" s="10">
        <f>IF(OR(O13="",P12=""),"",O13+P12)</f>
        <v>-3192.2597186769808</v>
      </c>
      <c r="Q13" s="10">
        <f t="shared" si="2"/>
        <v>-3196.0980622343154</v>
      </c>
      <c r="AV13" s="184"/>
      <c r="AW13" s="277"/>
      <c r="AX13" s="7" t="s">
        <v>12</v>
      </c>
      <c r="AY13" s="10">
        <v>7041760.996033676</v>
      </c>
      <c r="AZ13" s="10">
        <v>70101.115534154043</v>
      </c>
      <c r="BA13" s="10">
        <v>43759.036887292365</v>
      </c>
      <c r="BB13" s="10">
        <v>46507.992958575553</v>
      </c>
      <c r="BC13" s="10">
        <v>1132162.8404528203</v>
      </c>
      <c r="BD13" s="10">
        <v>-1391125.5171574287</v>
      </c>
      <c r="BE13" s="10">
        <v>-11867.566633659035</v>
      </c>
      <c r="BF13" s="10">
        <v>298092.94475136464</v>
      </c>
      <c r="BG13" s="10">
        <v>-102199.15147926752</v>
      </c>
      <c r="BH13" s="10">
        <v>151357.5256885197</v>
      </c>
      <c r="BI13" s="10">
        <v>119713.95482309566</v>
      </c>
      <c r="BJ13" s="10">
        <v>21033.750244769974</v>
      </c>
      <c r="BK13" s="10">
        <v>39830.400045030146</v>
      </c>
      <c r="BL13" s="10">
        <v>-134046.65199885209</v>
      </c>
      <c r="BM13" s="10">
        <v>-103335.37236979694</v>
      </c>
      <c r="BN13" s="10">
        <v>123658.68208574253</v>
      </c>
      <c r="BO13" s="10">
        <v>-148840.97588800747</v>
      </c>
      <c r="BP13" s="10">
        <v>502735.43099470076</v>
      </c>
      <c r="BQ13" s="10">
        <v>-53327.60894122305</v>
      </c>
      <c r="BR13" s="10">
        <v>-103623.75533147853</v>
      </c>
      <c r="BS13" s="10">
        <v>-125729.27017696001</v>
      </c>
      <c r="BT13" s="10">
        <v>-450762.18656408251</v>
      </c>
      <c r="BU13" s="10">
        <v>-125929.32534722939</v>
      </c>
      <c r="BV13" s="10">
        <v>13487.834355839041</v>
      </c>
      <c r="BW13" s="10">
        <v>-69344.354066793268</v>
      </c>
      <c r="CB13" s="171"/>
      <c r="CC13" s="274"/>
      <c r="CD13" s="18" t="s">
        <v>14</v>
      </c>
      <c r="CE13" s="247">
        <v>-19580.184138843688</v>
      </c>
      <c r="CF13" s="247">
        <v>-22803.065599187223</v>
      </c>
      <c r="CG13" s="247">
        <v>-22665.578021930254</v>
      </c>
      <c r="CH13" s="247">
        <v>15419.534035743827</v>
      </c>
      <c r="CI13" s="247">
        <v>-1852.0356433231636</v>
      </c>
      <c r="CJ13" s="247">
        <v>-1729.7492662555592</v>
      </c>
      <c r="CK13" s="247">
        <v>-1757.0169796272394</v>
      </c>
      <c r="CL13" s="5"/>
      <c r="CM13" s="5"/>
      <c r="CN13" s="274"/>
      <c r="CO13" s="18" t="s">
        <v>14</v>
      </c>
      <c r="CP13" s="247">
        <v>-19580.184138843662</v>
      </c>
      <c r="CQ13" s="247">
        <v>-22803.065599187194</v>
      </c>
      <c r="CR13" s="247">
        <v>-22665.578021930276</v>
      </c>
      <c r="CS13" s="247">
        <v>15419.5340357438</v>
      </c>
      <c r="CT13" s="247">
        <v>-1852.0356433231609</v>
      </c>
      <c r="CU13" s="247">
        <v>-1729.7492662555605</v>
      </c>
      <c r="CV13" s="247">
        <v>-1757.0169796272367</v>
      </c>
      <c r="CW13" s="5"/>
      <c r="CX13" s="5"/>
      <c r="CY13" s="88"/>
    </row>
    <row r="14" spans="1:103" s="4" customFormat="1" ht="14.5" x14ac:dyDescent="0.35">
      <c r="A14" s="277"/>
      <c r="B14" s="7" t="s">
        <v>12</v>
      </c>
      <c r="C14" s="10">
        <v>0</v>
      </c>
      <c r="D14" s="10">
        <f>IF(OR(D12="",D10=""),"",D10+D12)</f>
        <v>0</v>
      </c>
      <c r="E14" s="10">
        <f t="shared" ref="E14:F14" si="3">IF(OR(E12="",E10=""),"",E10+E12)</f>
        <v>0</v>
      </c>
      <c r="F14" s="10">
        <f t="shared" si="3"/>
        <v>0</v>
      </c>
      <c r="G14" s="10">
        <f>IF(OR(G12="",G10=""),"",G10+G12)</f>
        <v>-189657.13625000001</v>
      </c>
      <c r="H14" s="10">
        <f>IF(OR(H12="",H10=""),"",H10+H12)</f>
        <v>-2015.8670171875001</v>
      </c>
      <c r="I14" s="10">
        <f t="shared" ref="I14:Q14" si="4">IF(OR(I12="",I10=""),"",I10+I12)</f>
        <v>-183.6866281310547</v>
      </c>
      <c r="J14" s="10">
        <f t="shared" si="4"/>
        <v>-183.86266114968029</v>
      </c>
      <c r="K14" s="10">
        <f t="shared" si="4"/>
        <v>-184.0388628666154</v>
      </c>
      <c r="L14" s="10">
        <f t="shared" si="4"/>
        <v>-201534.06342441772</v>
      </c>
      <c r="M14" s="10">
        <f>IF(OR(M12="",M10=""),"",M10+M12)</f>
        <v>-456.7108197868975</v>
      </c>
      <c r="N14" s="10">
        <f t="shared" si="4"/>
        <v>-481.9204002163637</v>
      </c>
      <c r="O14" s="10">
        <f t="shared" si="4"/>
        <v>-476.35883889272668</v>
      </c>
      <c r="P14" s="10">
        <f t="shared" si="4"/>
        <v>-477.7748160284246</v>
      </c>
      <c r="Q14" s="10">
        <f t="shared" si="4"/>
        <v>392455.32165644271</v>
      </c>
      <c r="AV14" s="184"/>
      <c r="AW14" s="277"/>
      <c r="AX14" s="11" t="s">
        <v>3</v>
      </c>
      <c r="AY14" s="10">
        <v>420954.50113105215</v>
      </c>
      <c r="AZ14" s="10">
        <v>491055.61666520621</v>
      </c>
      <c r="BA14" s="10">
        <v>534814.65355249855</v>
      </c>
      <c r="BB14" s="10">
        <v>581322.64651107416</v>
      </c>
      <c r="BC14" s="10">
        <v>1713485.4869638945</v>
      </c>
      <c r="BD14" s="10">
        <v>322359.96980646579</v>
      </c>
      <c r="BE14" s="10">
        <v>310492.40317280678</v>
      </c>
      <c r="BF14" s="10">
        <v>608585.34792417148</v>
      </c>
      <c r="BG14" s="10">
        <v>506386.19644490397</v>
      </c>
      <c r="BH14" s="10">
        <v>657743.72213342367</v>
      </c>
      <c r="BI14" s="10">
        <v>777457.67695651937</v>
      </c>
      <c r="BJ14" s="10">
        <v>798491.42720128933</v>
      </c>
      <c r="BK14" s="10">
        <v>838321.8272463195</v>
      </c>
      <c r="BL14" s="10">
        <v>704275.17524746736</v>
      </c>
      <c r="BM14" s="10">
        <v>600939.80287767039</v>
      </c>
      <c r="BN14" s="10">
        <v>724598.48496341286</v>
      </c>
      <c r="BO14" s="10">
        <v>575757.50907540543</v>
      </c>
      <c r="BP14" s="10">
        <v>1078492.9400701062</v>
      </c>
      <c r="BQ14" s="10">
        <v>1025165.3311288832</v>
      </c>
      <c r="BR14" s="10">
        <v>921541.57579740463</v>
      </c>
      <c r="BS14" s="10">
        <v>795812.30562044459</v>
      </c>
      <c r="BT14" s="10">
        <v>345050.11905636208</v>
      </c>
      <c r="BU14" s="10">
        <v>219120.7937091327</v>
      </c>
      <c r="BV14" s="10">
        <v>232608.62806497174</v>
      </c>
      <c r="BW14" s="10">
        <v>163264.27399817848</v>
      </c>
      <c r="CB14" s="171"/>
      <c r="CC14" s="274"/>
      <c r="CD14" s="20" t="s">
        <v>2</v>
      </c>
      <c r="CE14" s="247">
        <v>-2013069.3294445162</v>
      </c>
      <c r="CF14" s="247">
        <v>-1447726.1650437033</v>
      </c>
      <c r="CG14" s="247">
        <v>-771017.0030656337</v>
      </c>
      <c r="CH14" s="247">
        <v>-322727.77902988991</v>
      </c>
      <c r="CI14" s="247">
        <v>-263698.78467321303</v>
      </c>
      <c r="CJ14" s="247">
        <v>-205238.94393946859</v>
      </c>
      <c r="CK14" s="247">
        <v>-154612.74091909587</v>
      </c>
      <c r="CL14" s="5"/>
      <c r="CM14" s="5"/>
      <c r="CN14" s="274"/>
      <c r="CO14" s="20" t="s">
        <v>2</v>
      </c>
      <c r="CP14" s="247">
        <v>-2013069.3294445162</v>
      </c>
      <c r="CQ14" s="247">
        <v>-1447726.1650437033</v>
      </c>
      <c r="CR14" s="247">
        <v>-771017.00306563359</v>
      </c>
      <c r="CS14" s="247">
        <v>-322727.77902988985</v>
      </c>
      <c r="CT14" s="247">
        <v>-263698.78467321297</v>
      </c>
      <c r="CU14" s="247">
        <v>-205238.94393946859</v>
      </c>
      <c r="CV14" s="247">
        <v>-154612.74091909581</v>
      </c>
      <c r="CW14" s="5"/>
      <c r="CX14" s="5"/>
      <c r="CY14" s="88"/>
    </row>
    <row r="15" spans="1:103" s="4" customFormat="1" ht="14.5" x14ac:dyDescent="0.35">
      <c r="A15" s="277"/>
      <c r="B15" s="11" t="s">
        <v>3</v>
      </c>
      <c r="C15" s="10">
        <v>0</v>
      </c>
      <c r="D15" s="10">
        <f>IF(OR(D14="",C15=""),"",D14+C15)</f>
        <v>0</v>
      </c>
      <c r="E15" s="10">
        <f t="shared" ref="E15:Q15" si="5">IF(OR(E14="",D15=""),"",E14+D15)</f>
        <v>0</v>
      </c>
      <c r="F15" s="10">
        <f t="shared" si="5"/>
        <v>0</v>
      </c>
      <c r="G15" s="10">
        <f>IF(OR(G14="",F15=""),"",G14+F15)</f>
        <v>-189657.13625000001</v>
      </c>
      <c r="H15" s="10">
        <f>IF(OR(H14="",G15=""),"",H14+G15+H7)</f>
        <v>-191673.00326718751</v>
      </c>
      <c r="I15" s="10">
        <f t="shared" si="5"/>
        <v>-191856.68989531856</v>
      </c>
      <c r="J15" s="10">
        <f t="shared" si="5"/>
        <v>-192040.55255646823</v>
      </c>
      <c r="K15" s="10">
        <f t="shared" si="5"/>
        <v>-192224.59141933484</v>
      </c>
      <c r="L15" s="10">
        <f t="shared" si="5"/>
        <v>-393758.65484375256</v>
      </c>
      <c r="M15" s="10">
        <f t="shared" si="5"/>
        <v>-394215.36566353944</v>
      </c>
      <c r="N15" s="10">
        <f t="shared" si="5"/>
        <v>-394697.2860637558</v>
      </c>
      <c r="O15" s="10">
        <f t="shared" si="5"/>
        <v>-395173.64490264852</v>
      </c>
      <c r="P15" s="10">
        <f t="shared" si="5"/>
        <v>-395651.41971867695</v>
      </c>
      <c r="Q15" s="10">
        <f t="shared" si="5"/>
        <v>-3196.0980622342322</v>
      </c>
      <c r="AV15" s="184"/>
      <c r="CB15" s="171"/>
      <c r="CC15" s="44"/>
      <c r="CD15" s="13"/>
      <c r="CE15" s="3"/>
      <c r="CF15" s="3"/>
      <c r="CG15" s="3"/>
      <c r="CH15" s="3"/>
      <c r="CI15" s="3"/>
      <c r="CJ15" s="3"/>
      <c r="CK15" s="3"/>
      <c r="CL15" s="5"/>
      <c r="CM15" s="5"/>
      <c r="CN15" s="44"/>
      <c r="CO15" s="13"/>
      <c r="CP15" s="3"/>
      <c r="CQ15" s="3"/>
      <c r="CR15" s="3"/>
      <c r="CS15" s="3"/>
      <c r="CT15" s="3"/>
      <c r="CU15" s="3"/>
      <c r="CV15" s="3"/>
      <c r="CW15" s="5"/>
      <c r="CX15" s="5"/>
      <c r="CY15" s="5"/>
    </row>
    <row r="16" spans="1:103" s="5" customFormat="1" ht="8.25" customHeight="1" x14ac:dyDescent="0.35">
      <c r="A16" s="44"/>
      <c r="B16" s="13"/>
      <c r="C16" s="14"/>
      <c r="D16" s="14"/>
      <c r="E16" s="14"/>
      <c r="F16" s="14"/>
      <c r="G16" s="14"/>
      <c r="H16" s="14"/>
      <c r="I16" s="14"/>
      <c r="J16" s="14"/>
      <c r="K16" s="14"/>
      <c r="L16" s="14"/>
      <c r="M16" s="14"/>
      <c r="N16" s="14"/>
      <c r="O16" s="14"/>
      <c r="P16" s="14"/>
      <c r="Q16" s="14"/>
      <c r="AV16" s="185"/>
      <c r="CB16" s="171"/>
      <c r="CC16" s="274" t="s">
        <v>20</v>
      </c>
      <c r="CD16" s="17"/>
      <c r="CE16" s="3"/>
      <c r="CF16" s="3"/>
      <c r="CG16" s="3"/>
      <c r="CH16" s="3"/>
      <c r="CI16" s="3"/>
      <c r="CJ16" s="3"/>
      <c r="CK16" s="3"/>
      <c r="CN16" s="274" t="s">
        <v>20</v>
      </c>
      <c r="CO16" s="17"/>
      <c r="CP16" s="3"/>
      <c r="CQ16" s="3"/>
      <c r="CR16" s="3"/>
      <c r="CS16" s="3"/>
      <c r="CT16" s="3"/>
      <c r="CU16" s="3"/>
      <c r="CV16" s="3"/>
    </row>
    <row r="17" spans="1:103" s="1" customFormat="1" ht="14.5" x14ac:dyDescent="0.35">
      <c r="B17" s="40"/>
      <c r="C17" s="40"/>
      <c r="D17" s="40"/>
      <c r="E17" s="40"/>
      <c r="F17" s="40"/>
      <c r="G17" s="40"/>
      <c r="H17" s="40"/>
      <c r="I17" s="40"/>
      <c r="J17" s="40"/>
      <c r="K17" s="40"/>
      <c r="L17" s="40"/>
      <c r="M17" s="40"/>
      <c r="N17" s="40"/>
      <c r="O17" s="40"/>
      <c r="P17" s="40"/>
      <c r="Q17" s="40"/>
      <c r="AV17" s="186"/>
      <c r="CB17" s="171"/>
      <c r="CC17" s="274"/>
      <c r="CD17" s="17" t="s">
        <v>28</v>
      </c>
      <c r="CE17" s="248">
        <v>0</v>
      </c>
      <c r="CF17" s="248">
        <v>0</v>
      </c>
      <c r="CG17" s="248">
        <v>0</v>
      </c>
      <c r="CH17" s="248">
        <v>0</v>
      </c>
      <c r="CI17" s="248">
        <v>0</v>
      </c>
      <c r="CJ17" s="248">
        <v>0</v>
      </c>
      <c r="CK17" s="248">
        <v>0</v>
      </c>
      <c r="CL17" s="5"/>
      <c r="CM17" s="5"/>
      <c r="CN17" s="274"/>
      <c r="CO17" s="17" t="s">
        <v>28</v>
      </c>
      <c r="CP17" s="248">
        <v>0</v>
      </c>
      <c r="CQ17" s="248">
        <v>0</v>
      </c>
      <c r="CR17" s="248">
        <v>0</v>
      </c>
      <c r="CS17" s="248">
        <v>0</v>
      </c>
      <c r="CT17" s="248">
        <v>0</v>
      </c>
      <c r="CU17" s="248">
        <v>0</v>
      </c>
      <c r="CV17" s="248">
        <v>0</v>
      </c>
      <c r="CW17" s="5"/>
      <c r="CX17" s="5"/>
      <c r="CY17" s="5"/>
    </row>
    <row r="18" spans="1:103" s="1" customFormat="1" ht="14.5" x14ac:dyDescent="0.35">
      <c r="B18" s="40"/>
      <c r="C18" s="40"/>
      <c r="D18" s="40"/>
      <c r="E18" s="40"/>
      <c r="F18" s="40"/>
      <c r="G18" s="40"/>
      <c r="H18" s="40"/>
      <c r="I18" s="40"/>
      <c r="J18" s="40"/>
      <c r="K18" s="40"/>
      <c r="L18" s="40"/>
      <c r="M18" s="40"/>
      <c r="N18" s="40"/>
      <c r="O18" s="40"/>
      <c r="P18" s="40"/>
      <c r="Q18" s="40"/>
      <c r="AV18" s="186"/>
      <c r="CB18" s="172"/>
      <c r="CC18" s="274"/>
      <c r="CD18" s="18" t="s">
        <v>26</v>
      </c>
      <c r="CE18" s="248">
        <v>-236659.87723249063</v>
      </c>
      <c r="CF18" s="248">
        <v>-296177.30566513271</v>
      </c>
      <c r="CG18" s="248">
        <v>-381804.14898688439</v>
      </c>
      <c r="CH18" s="248">
        <v>-246708.5763060193</v>
      </c>
      <c r="CI18" s="248">
        <v>-14067.704131906468</v>
      </c>
      <c r="CJ18" s="248">
        <v>-8075.3701007850805</v>
      </c>
      <c r="CK18" s="248">
        <v>-8069.5010685150701</v>
      </c>
      <c r="CL18" s="3"/>
      <c r="CM18" s="3"/>
      <c r="CN18" s="274"/>
      <c r="CO18" s="18" t="s">
        <v>26</v>
      </c>
      <c r="CP18" s="248">
        <v>-237270.92053566518</v>
      </c>
      <c r="CQ18" s="248">
        <v>-297440.02156472043</v>
      </c>
      <c r="CR18" s="248">
        <v>-384027.55955538503</v>
      </c>
      <c r="CS18" s="248">
        <v>-248448.70779312411</v>
      </c>
      <c r="CT18" s="248">
        <v>-14142.518065753948</v>
      </c>
      <c r="CU18" s="248">
        <v>-8108.3955144196925</v>
      </c>
      <c r="CV18" s="248">
        <v>-8073.3360940229468</v>
      </c>
      <c r="CW18" s="3"/>
      <c r="CX18" s="3"/>
      <c r="CY18" s="3"/>
    </row>
    <row r="19" spans="1:103" s="1" customFormat="1" ht="14.5" x14ac:dyDescent="0.35">
      <c r="B19" s="40"/>
      <c r="C19" s="40"/>
      <c r="D19" s="40"/>
      <c r="E19" s="40"/>
      <c r="F19" s="40"/>
      <c r="G19" s="40"/>
      <c r="H19" s="40"/>
      <c r="I19" s="40"/>
      <c r="J19" s="40"/>
      <c r="K19" s="40"/>
      <c r="L19" s="40"/>
      <c r="M19" s="40"/>
      <c r="N19" s="40"/>
      <c r="O19" s="40"/>
      <c r="P19" s="40"/>
      <c r="Q19" s="40"/>
      <c r="AV19" s="186"/>
      <c r="CB19" s="171"/>
      <c r="CC19" s="274"/>
      <c r="CD19" s="18" t="s">
        <v>51</v>
      </c>
      <c r="CE19" s="248">
        <v>232427.07</v>
      </c>
      <c r="CF19" s="248">
        <v>290836.61</v>
      </c>
      <c r="CG19" s="248">
        <v>375935.37</v>
      </c>
      <c r="CH19" s="248">
        <v>242680.23</v>
      </c>
      <c r="CI19" s="248">
        <v>13830.45</v>
      </c>
      <c r="CJ19" s="248">
        <v>7909.14</v>
      </c>
      <c r="CK19" s="248">
        <v>7927.25</v>
      </c>
      <c r="CL19" s="5"/>
      <c r="CM19" s="5"/>
      <c r="CN19" s="274"/>
      <c r="CO19" s="18" t="s">
        <v>51</v>
      </c>
      <c r="CP19" s="248">
        <v>232427.07</v>
      </c>
      <c r="CQ19" s="248">
        <v>290836.61</v>
      </c>
      <c r="CR19" s="248">
        <v>375935.37</v>
      </c>
      <c r="CS19" s="248">
        <v>242680.23</v>
      </c>
      <c r="CT19" s="248">
        <v>13830.45</v>
      </c>
      <c r="CU19" s="248">
        <v>7909.14</v>
      </c>
      <c r="CV19" s="248">
        <v>7927.25</v>
      </c>
      <c r="CW19" s="5"/>
      <c r="CX19" s="5"/>
      <c r="CY19" s="5"/>
    </row>
    <row r="20" spans="1:103" s="1" customFormat="1" ht="14.5" x14ac:dyDescent="0.35">
      <c r="B20" s="40"/>
      <c r="C20" s="40"/>
      <c r="D20" s="40"/>
      <c r="E20" s="40"/>
      <c r="F20" s="40"/>
      <c r="G20" s="40"/>
      <c r="H20" s="40"/>
      <c r="I20" s="40"/>
      <c r="J20" s="40"/>
      <c r="K20" s="40"/>
      <c r="L20" s="40"/>
      <c r="M20" s="40"/>
      <c r="N20" s="40"/>
      <c r="O20" s="40"/>
      <c r="P20" s="40"/>
      <c r="Q20" s="40"/>
      <c r="AV20" s="186"/>
      <c r="CB20" s="171"/>
      <c r="CC20" s="274"/>
      <c r="CD20" s="18" t="s">
        <v>52</v>
      </c>
      <c r="CE20" s="248">
        <v>-4232.8072324906243</v>
      </c>
      <c r="CF20" s="248">
        <v>-5340.69566513272</v>
      </c>
      <c r="CG20" s="248">
        <v>-5868.7789868843975</v>
      </c>
      <c r="CH20" s="248">
        <v>-4028.346306019288</v>
      </c>
      <c r="CI20" s="248">
        <v>-237.25413190646759</v>
      </c>
      <c r="CJ20" s="248">
        <v>-166.23010078508014</v>
      </c>
      <c r="CK20" s="248">
        <v>-142.25106851507007</v>
      </c>
      <c r="CL20" s="5"/>
      <c r="CM20" s="5"/>
      <c r="CN20" s="274"/>
      <c r="CO20" s="18" t="s">
        <v>52</v>
      </c>
      <c r="CP20" s="248">
        <v>-4843.8505356651731</v>
      </c>
      <c r="CQ20" s="248">
        <v>-6603.4115647204453</v>
      </c>
      <c r="CR20" s="248">
        <v>-8092.1895553850336</v>
      </c>
      <c r="CS20" s="248">
        <v>-5768.4777931240969</v>
      </c>
      <c r="CT20" s="248">
        <v>-312.06806575394694</v>
      </c>
      <c r="CU20" s="248">
        <v>-199.25551441969219</v>
      </c>
      <c r="CV20" s="248">
        <v>-146.08609402294678</v>
      </c>
      <c r="CW20" s="5" t="s">
        <v>118</v>
      </c>
      <c r="CX20" s="5" t="s">
        <v>119</v>
      </c>
      <c r="CY20" s="5" t="s">
        <v>120</v>
      </c>
    </row>
    <row r="21" spans="1:103" s="1" customFormat="1" ht="14.5" x14ac:dyDescent="0.35">
      <c r="B21" s="40"/>
      <c r="C21" s="40"/>
      <c r="D21" s="40"/>
      <c r="E21" s="40"/>
      <c r="F21" s="40"/>
      <c r="G21" s="40"/>
      <c r="H21" s="40"/>
      <c r="I21" s="40"/>
      <c r="J21" s="40"/>
      <c r="K21" s="40"/>
      <c r="L21" s="40"/>
      <c r="M21" s="40"/>
      <c r="N21" s="40"/>
      <c r="O21" s="40"/>
      <c r="P21" s="40"/>
      <c r="Q21" s="40"/>
      <c r="AV21" s="186"/>
      <c r="CB21" s="171"/>
      <c r="CC21" s="274"/>
      <c r="CD21" s="18" t="s">
        <v>13</v>
      </c>
      <c r="CE21" s="248">
        <v>4232.8072324906243</v>
      </c>
      <c r="CF21" s="248">
        <v>5340.69566513272</v>
      </c>
      <c r="CG21" s="248">
        <v>5868.7789868843975</v>
      </c>
      <c r="CH21" s="248">
        <v>4028.346306019288</v>
      </c>
      <c r="CI21" s="248">
        <v>237.25413190646759</v>
      </c>
      <c r="CJ21" s="248">
        <v>166.23010078508014</v>
      </c>
      <c r="CK21" s="248">
        <v>142.25106851507007</v>
      </c>
      <c r="CL21" s="5"/>
      <c r="CM21" s="5"/>
      <c r="CN21" s="274"/>
      <c r="CO21" s="18" t="s">
        <v>13</v>
      </c>
      <c r="CP21" s="248">
        <v>4843.8505356651731</v>
      </c>
      <c r="CQ21" s="248">
        <v>6603.4115647204453</v>
      </c>
      <c r="CR21" s="248">
        <v>8092.1895553850336</v>
      </c>
      <c r="CS21" s="248">
        <v>5768.4777931240969</v>
      </c>
      <c r="CT21" s="248">
        <v>312.06806575394694</v>
      </c>
      <c r="CU21" s="248">
        <v>199.25551441969219</v>
      </c>
      <c r="CV21" s="248">
        <v>146.08609402294678</v>
      </c>
      <c r="CW21" s="249">
        <f>SUM(CP21:CV21)</f>
        <v>25965.339123091337</v>
      </c>
      <c r="CX21" s="249">
        <f>SUM(CE21:CK21)</f>
        <v>20016.363491733649</v>
      </c>
      <c r="CY21" s="249">
        <f>CW21-CX21</f>
        <v>5948.9756313576872</v>
      </c>
    </row>
    <row r="22" spans="1:103" s="1" customFormat="1" ht="14.5" x14ac:dyDescent="0.35">
      <c r="B22" s="40"/>
      <c r="C22" s="40"/>
      <c r="D22" s="40"/>
      <c r="E22" s="40"/>
      <c r="F22" s="40"/>
      <c r="G22" s="40"/>
      <c r="H22" s="40"/>
      <c r="I22" s="40"/>
      <c r="J22" s="40"/>
      <c r="K22" s="40"/>
      <c r="L22" s="40"/>
      <c r="M22" s="40"/>
      <c r="N22" s="40"/>
      <c r="O22" s="40"/>
      <c r="P22" s="40"/>
      <c r="Q22" s="40"/>
      <c r="AV22" s="186"/>
      <c r="CB22" s="171"/>
      <c r="CC22" s="274"/>
      <c r="CD22" s="19" t="s">
        <v>8</v>
      </c>
      <c r="CE22" s="248">
        <v>-107.40502640789749</v>
      </c>
      <c r="CF22" s="248">
        <v>-118.33168507342872</v>
      </c>
      <c r="CG22" s="248">
        <v>-31.941369690225681</v>
      </c>
      <c r="CH22" s="248">
        <v>20.509519436720471</v>
      </c>
      <c r="CI22" s="248">
        <v>55.79634342978386</v>
      </c>
      <c r="CJ22" s="248">
        <v>52.740800728104723</v>
      </c>
      <c r="CK22" s="248">
        <v>89.850608756352003</v>
      </c>
      <c r="CL22" s="5"/>
      <c r="CM22" s="5"/>
      <c r="CN22" s="274"/>
      <c r="CO22" s="19" t="s">
        <v>8</v>
      </c>
      <c r="CP22" s="248">
        <v>-107.32701196336744</v>
      </c>
      <c r="CQ22" s="248">
        <v>-117.9249624593099</v>
      </c>
      <c r="CR22" s="248">
        <v>-31.140790440662332</v>
      </c>
      <c r="CS22" s="248">
        <v>21.948969436329914</v>
      </c>
      <c r="CT22" s="248">
        <v>59.188977333193556</v>
      </c>
      <c r="CU22" s="248">
        <v>55.718492833910751</v>
      </c>
      <c r="CV22" s="248">
        <v>94.56595005354167</v>
      </c>
      <c r="CW22" s="5"/>
      <c r="CX22" s="5"/>
      <c r="CY22" s="5"/>
    </row>
    <row r="23" spans="1:103" s="1" customFormat="1" ht="14.5" x14ac:dyDescent="0.35">
      <c r="B23" s="40"/>
      <c r="C23" s="40"/>
      <c r="D23" s="40"/>
      <c r="E23" s="40"/>
      <c r="F23" s="40"/>
      <c r="G23" s="40"/>
      <c r="H23" s="40"/>
      <c r="I23" s="40"/>
      <c r="J23" s="40"/>
      <c r="K23" s="40"/>
      <c r="L23" s="40"/>
      <c r="M23" s="40"/>
      <c r="N23" s="40"/>
      <c r="O23" s="40"/>
      <c r="P23" s="40"/>
      <c r="Q23" s="40"/>
      <c r="AV23" s="186"/>
      <c r="CB23" s="171"/>
      <c r="CC23" s="274"/>
      <c r="CD23" s="18" t="s">
        <v>14</v>
      </c>
      <c r="CE23" s="248">
        <v>4125.4022060827265</v>
      </c>
      <c r="CF23" s="248">
        <v>5222.363980059291</v>
      </c>
      <c r="CG23" s="248">
        <v>5836.8376171941718</v>
      </c>
      <c r="CH23" s="248">
        <v>4048.8558254560085</v>
      </c>
      <c r="CI23" s="248">
        <v>293.05047533625145</v>
      </c>
      <c r="CJ23" s="248">
        <v>218.97090151318486</v>
      </c>
      <c r="CK23" s="248">
        <v>232.10167727142209</v>
      </c>
      <c r="CL23" s="5"/>
      <c r="CM23" s="5"/>
      <c r="CN23" s="274"/>
      <c r="CO23" s="18" t="s">
        <v>14</v>
      </c>
      <c r="CP23" s="248">
        <v>4736.523523701806</v>
      </c>
      <c r="CQ23" s="248">
        <v>6485.486602261135</v>
      </c>
      <c r="CR23" s="248">
        <v>8061.0487649443712</v>
      </c>
      <c r="CS23" s="248">
        <v>5790.4267625604271</v>
      </c>
      <c r="CT23" s="248">
        <v>371.25704308714052</v>
      </c>
      <c r="CU23" s="248">
        <v>254.97400725360293</v>
      </c>
      <c r="CV23" s="248">
        <v>240.65204407648844</v>
      </c>
      <c r="CW23" s="5"/>
      <c r="CX23" s="5"/>
      <c r="CY23" s="5"/>
    </row>
    <row r="24" spans="1:103" s="1" customFormat="1" ht="14.5" x14ac:dyDescent="0.35">
      <c r="B24" s="40"/>
      <c r="C24" s="40"/>
      <c r="D24" s="40"/>
      <c r="E24" s="40"/>
      <c r="F24" s="40"/>
      <c r="G24" s="40"/>
      <c r="H24" s="40"/>
      <c r="I24" s="40"/>
      <c r="J24" s="40"/>
      <c r="K24" s="40"/>
      <c r="L24" s="40"/>
      <c r="M24" s="40"/>
      <c r="N24" s="40"/>
      <c r="O24" s="40"/>
      <c r="P24" s="40"/>
      <c r="Q24" s="40"/>
      <c r="AV24" s="186"/>
      <c r="CB24" s="171"/>
      <c r="CC24" s="274"/>
      <c r="CD24" s="20" t="s">
        <v>15</v>
      </c>
      <c r="CE24" s="248">
        <v>-841350.61978191836</v>
      </c>
      <c r="CF24" s="248">
        <v>-545291.64580185909</v>
      </c>
      <c r="CG24" s="248">
        <v>-163519.43818466493</v>
      </c>
      <c r="CH24" s="248">
        <v>83209.647640791081</v>
      </c>
      <c r="CI24" s="248">
        <v>97333.148116127326</v>
      </c>
      <c r="CJ24" s="248">
        <v>105461.25901764051</v>
      </c>
      <c r="CK24" s="248">
        <v>113620.61069491193</v>
      </c>
      <c r="CL24" s="5"/>
      <c r="CM24" s="5"/>
      <c r="CN24" s="274"/>
      <c r="CO24" s="20" t="s">
        <v>15</v>
      </c>
      <c r="CP24" s="248">
        <v>-840739.49846429913</v>
      </c>
      <c r="CQ24" s="248">
        <v>-543417.40186203807</v>
      </c>
      <c r="CR24" s="248">
        <v>-159420.9830970937</v>
      </c>
      <c r="CS24" s="248">
        <v>89049.673665466747</v>
      </c>
      <c r="CT24" s="248">
        <v>103251.38070855389</v>
      </c>
      <c r="CU24" s="248">
        <v>111415.49471580749</v>
      </c>
      <c r="CV24" s="248">
        <v>119583.39675988398</v>
      </c>
      <c r="CW24" s="5"/>
      <c r="CX24" s="5"/>
      <c r="CY24" s="5"/>
    </row>
    <row r="25" spans="1:103" s="1" customFormat="1" ht="14.5" x14ac:dyDescent="0.35">
      <c r="B25" s="40"/>
      <c r="C25" s="40"/>
      <c r="D25" s="40"/>
      <c r="E25" s="40"/>
      <c r="F25" s="40"/>
      <c r="G25" s="40"/>
      <c r="H25" s="40"/>
      <c r="I25" s="40"/>
      <c r="J25" s="40"/>
      <c r="K25" s="40"/>
      <c r="L25" s="40"/>
      <c r="M25" s="40"/>
      <c r="N25" s="40"/>
      <c r="O25" s="40"/>
      <c r="P25" s="40"/>
      <c r="Q25" s="40"/>
      <c r="AV25" s="186"/>
      <c r="CB25" s="171"/>
      <c r="CC25" s="44"/>
      <c r="CD25" s="13"/>
      <c r="CE25" s="3"/>
      <c r="CF25" s="3"/>
      <c r="CG25" s="3"/>
      <c r="CH25" s="3"/>
      <c r="CI25" s="3"/>
      <c r="CJ25" s="3"/>
      <c r="CK25" s="3"/>
      <c r="CL25" s="5"/>
      <c r="CM25" s="5"/>
      <c r="CN25" s="44"/>
      <c r="CO25" s="13"/>
      <c r="CP25" s="3"/>
      <c r="CQ25" s="3"/>
      <c r="CR25" s="3"/>
      <c r="CS25" s="3"/>
      <c r="CT25" s="3"/>
      <c r="CU25" s="3"/>
      <c r="CV25" s="3"/>
      <c r="CW25" s="5"/>
      <c r="CX25" s="5"/>
      <c r="CY25" s="5"/>
    </row>
    <row r="26" spans="1:103" s="1" customFormat="1" ht="14.5" x14ac:dyDescent="0.35">
      <c r="B26" s="40"/>
      <c r="C26" s="40"/>
      <c r="D26" s="40"/>
      <c r="E26" s="40"/>
      <c r="F26" s="40"/>
      <c r="G26" s="40"/>
      <c r="H26" s="40"/>
      <c r="I26" s="40"/>
      <c r="J26" s="40"/>
      <c r="K26" s="40"/>
      <c r="L26" s="40"/>
      <c r="M26" s="40"/>
      <c r="N26" s="40"/>
      <c r="O26" s="40"/>
      <c r="P26" s="40"/>
      <c r="Q26" s="40"/>
      <c r="AV26" s="186"/>
      <c r="CB26" s="171"/>
      <c r="CC26" s="274" t="s">
        <v>21</v>
      </c>
      <c r="CD26" s="17"/>
      <c r="CE26" s="3"/>
      <c r="CF26" s="3"/>
      <c r="CG26" s="3"/>
      <c r="CH26" s="3"/>
      <c r="CI26" s="3"/>
      <c r="CJ26" s="3"/>
      <c r="CK26" s="3"/>
      <c r="CL26" s="5"/>
      <c r="CM26" s="5"/>
      <c r="CN26" s="274" t="s">
        <v>21</v>
      </c>
      <c r="CO26" s="17"/>
      <c r="CP26" s="3"/>
      <c r="CQ26" s="3"/>
      <c r="CR26" s="3"/>
      <c r="CS26" s="3"/>
      <c r="CT26" s="3"/>
      <c r="CU26" s="3"/>
      <c r="CV26" s="3"/>
      <c r="CW26" s="5"/>
      <c r="CX26" s="5"/>
      <c r="CY26" s="5"/>
    </row>
    <row r="27" spans="1:103" s="1" customFormat="1" ht="14.5" x14ac:dyDescent="0.35">
      <c r="B27" s="40"/>
      <c r="C27" s="40"/>
      <c r="D27" s="40"/>
      <c r="E27" s="40"/>
      <c r="F27" s="40"/>
      <c r="G27" s="40"/>
      <c r="H27" s="40"/>
      <c r="I27" s="40"/>
      <c r="J27" s="40"/>
      <c r="K27" s="40"/>
      <c r="L27" s="40"/>
      <c r="M27" s="40"/>
      <c r="N27" s="40"/>
      <c r="O27" s="40"/>
      <c r="P27" s="40"/>
      <c r="Q27" s="40"/>
      <c r="AV27" s="186"/>
      <c r="CB27" s="171"/>
      <c r="CC27" s="274"/>
      <c r="CD27" s="17" t="s">
        <v>28</v>
      </c>
      <c r="CE27" s="248">
        <v>993.04000000096858</v>
      </c>
      <c r="CF27" s="248">
        <v>1022.7099999990314</v>
      </c>
      <c r="CG27" s="248">
        <v>1061.0999999996275</v>
      </c>
      <c r="CH27" s="248">
        <v>818.65000000037253</v>
      </c>
      <c r="CI27" s="248">
        <v>0</v>
      </c>
      <c r="CJ27" s="248">
        <v>0</v>
      </c>
      <c r="CK27" s="248">
        <v>0</v>
      </c>
      <c r="CL27" s="5"/>
      <c r="CM27" s="5"/>
      <c r="CN27" s="274"/>
      <c r="CO27" s="17" t="s">
        <v>28</v>
      </c>
      <c r="CP27" s="248">
        <v>993.04000000096858</v>
      </c>
      <c r="CQ27" s="248">
        <v>1022.7099999990314</v>
      </c>
      <c r="CR27" s="248">
        <v>1061.0999999996275</v>
      </c>
      <c r="CS27" s="248">
        <v>818.65000000037253</v>
      </c>
      <c r="CT27" s="248">
        <v>0</v>
      </c>
      <c r="CU27" s="248">
        <v>0</v>
      </c>
      <c r="CV27" s="248">
        <v>0</v>
      </c>
      <c r="CW27" s="5"/>
      <c r="CX27" s="5"/>
      <c r="CY27" s="5"/>
    </row>
    <row r="28" spans="1:103" ht="14.5" x14ac:dyDescent="0.35">
      <c r="CB28" s="172"/>
      <c r="CC28" s="274"/>
      <c r="CD28" s="18" t="s">
        <v>26</v>
      </c>
      <c r="CE28" s="248">
        <v>-85048.337899656035</v>
      </c>
      <c r="CF28" s="248">
        <v>-96923.929909834478</v>
      </c>
      <c r="CG28" s="248">
        <v>-114316.61954150567</v>
      </c>
      <c r="CH28" s="248">
        <v>-70347.05152582172</v>
      </c>
      <c r="CI28" s="248">
        <v>-3800.9561632831483</v>
      </c>
      <c r="CJ28" s="248">
        <v>-3430.8126987825262</v>
      </c>
      <c r="CK28" s="248">
        <v>-3159.8932354852132</v>
      </c>
      <c r="CL28" s="3"/>
      <c r="CM28" s="3"/>
      <c r="CN28" s="274"/>
      <c r="CO28" s="18" t="s">
        <v>26</v>
      </c>
      <c r="CP28" s="248">
        <v>-84913.526641125747</v>
      </c>
      <c r="CQ28" s="248">
        <v>-96636.184986975422</v>
      </c>
      <c r="CR28" s="248">
        <v>-113783.66949853272</v>
      </c>
      <c r="CS28" s="248">
        <v>-69912.247064021896</v>
      </c>
      <c r="CT28" s="248">
        <v>-3783.1481282858335</v>
      </c>
      <c r="CU28" s="248">
        <v>-3423.5497542955159</v>
      </c>
      <c r="CV28" s="248">
        <v>-3159.0651251823288</v>
      </c>
      <c r="CW28" s="3"/>
      <c r="CX28" s="3"/>
      <c r="CY28" s="3"/>
    </row>
    <row r="29" spans="1:103" ht="14.5" x14ac:dyDescent="0.35">
      <c r="A29" s="91" t="s">
        <v>82</v>
      </c>
      <c r="CB29" s="171"/>
      <c r="CC29" s="274"/>
      <c r="CD29" s="18" t="s">
        <v>51</v>
      </c>
      <c r="CE29" s="248">
        <v>86249.99</v>
      </c>
      <c r="CF29" s="248">
        <v>98347.18</v>
      </c>
      <c r="CG29" s="248">
        <v>116084.16</v>
      </c>
      <c r="CH29" s="248">
        <v>72696.31</v>
      </c>
      <c r="CI29" s="248">
        <v>3930.01</v>
      </c>
      <c r="CJ29" s="248">
        <v>3532.61</v>
      </c>
      <c r="CK29" s="248">
        <v>3250.65</v>
      </c>
      <c r="CL29" s="5"/>
      <c r="CM29" s="5"/>
      <c r="CN29" s="274"/>
      <c r="CO29" s="18" t="s">
        <v>51</v>
      </c>
      <c r="CP29" s="248">
        <v>86249.99</v>
      </c>
      <c r="CQ29" s="248">
        <v>98347.18</v>
      </c>
      <c r="CR29" s="248">
        <v>116084.16</v>
      </c>
      <c r="CS29" s="248">
        <v>72696.31</v>
      </c>
      <c r="CT29" s="248">
        <v>3930.01</v>
      </c>
      <c r="CU29" s="248">
        <v>3532.61</v>
      </c>
      <c r="CV29" s="248">
        <v>3250.65</v>
      </c>
      <c r="CW29" s="5"/>
      <c r="CX29" s="5"/>
      <c r="CY29" s="5"/>
    </row>
    <row r="30" spans="1:103" ht="14.5" x14ac:dyDescent="0.35">
      <c r="A30" s="6"/>
      <c r="C30" s="12">
        <v>42370</v>
      </c>
      <c r="D30" s="12">
        <v>42401</v>
      </c>
      <c r="E30" s="12">
        <v>42430</v>
      </c>
      <c r="F30" s="12">
        <v>42461</v>
      </c>
      <c r="G30" s="12">
        <v>42491</v>
      </c>
      <c r="H30" s="12">
        <v>42522</v>
      </c>
      <c r="I30" s="12">
        <v>42552</v>
      </c>
      <c r="J30" s="12">
        <v>42583</v>
      </c>
      <c r="K30" s="12">
        <v>42614</v>
      </c>
      <c r="L30" s="12">
        <v>42644</v>
      </c>
      <c r="M30" s="12">
        <v>42675</v>
      </c>
      <c r="N30" s="12">
        <v>42705</v>
      </c>
      <c r="O30" s="12">
        <v>42736</v>
      </c>
      <c r="P30" s="12">
        <v>42767</v>
      </c>
      <c r="Q30" s="12">
        <v>42795</v>
      </c>
      <c r="R30" s="12">
        <v>42826</v>
      </c>
      <c r="S30" s="12">
        <v>42856</v>
      </c>
      <c r="T30" s="12">
        <v>42887</v>
      </c>
      <c r="U30" s="12">
        <v>42917</v>
      </c>
      <c r="V30" s="12">
        <v>42948</v>
      </c>
      <c r="W30" s="12">
        <v>42979</v>
      </c>
      <c r="X30" s="12">
        <v>43009</v>
      </c>
      <c r="Y30" s="12">
        <v>43040</v>
      </c>
      <c r="Z30" s="12">
        <v>43070</v>
      </c>
      <c r="AA30" s="12">
        <v>43101</v>
      </c>
      <c r="AB30" s="12">
        <v>43132</v>
      </c>
      <c r="AC30" s="12">
        <v>43160</v>
      </c>
      <c r="AD30" s="12">
        <v>43191</v>
      </c>
      <c r="AE30" s="12">
        <v>43221</v>
      </c>
      <c r="AF30" s="12">
        <v>43252</v>
      </c>
      <c r="AG30" s="12">
        <v>43282</v>
      </c>
      <c r="AH30" s="12">
        <v>43313</v>
      </c>
      <c r="AI30" s="12">
        <v>43344</v>
      </c>
      <c r="AJ30" s="12">
        <v>43374</v>
      </c>
      <c r="AK30" s="12">
        <v>43405</v>
      </c>
      <c r="AL30" s="12">
        <v>43435</v>
      </c>
      <c r="AM30" s="12">
        <v>43466</v>
      </c>
      <c r="AN30" s="12">
        <v>43497</v>
      </c>
      <c r="AO30" s="12">
        <v>43525</v>
      </c>
      <c r="AP30" s="12">
        <v>43556</v>
      </c>
      <c r="AQ30" s="12">
        <v>43586</v>
      </c>
      <c r="AR30" s="12">
        <v>43617</v>
      </c>
      <c r="CB30" s="171"/>
      <c r="CC30" s="274"/>
      <c r="CD30" s="18" t="s">
        <v>52</v>
      </c>
      <c r="CE30" s="248">
        <v>1201.6521003439702</v>
      </c>
      <c r="CF30" s="248">
        <v>1423.2500901655148</v>
      </c>
      <c r="CG30" s="248">
        <v>1767.5404584943317</v>
      </c>
      <c r="CH30" s="248">
        <v>2349.2584741782775</v>
      </c>
      <c r="CI30" s="248">
        <v>129.05383671685195</v>
      </c>
      <c r="CJ30" s="248">
        <v>101.79730121747389</v>
      </c>
      <c r="CK30" s="248">
        <v>90.756764514786937</v>
      </c>
      <c r="CL30" s="5"/>
      <c r="CM30" s="5"/>
      <c r="CN30" s="274"/>
      <c r="CO30" s="18" t="s">
        <v>52</v>
      </c>
      <c r="CP30" s="248">
        <v>1336.4633588742581</v>
      </c>
      <c r="CQ30" s="248">
        <v>1710.9950130245707</v>
      </c>
      <c r="CR30" s="248">
        <v>2300.490501467284</v>
      </c>
      <c r="CS30" s="248">
        <v>2784.0629359781015</v>
      </c>
      <c r="CT30" s="248">
        <v>146.86187171416668</v>
      </c>
      <c r="CU30" s="248">
        <v>109.06024570448426</v>
      </c>
      <c r="CV30" s="248">
        <v>91.584874817671334</v>
      </c>
      <c r="CW30" s="5" t="s">
        <v>118</v>
      </c>
      <c r="CX30" s="5" t="s">
        <v>119</v>
      </c>
      <c r="CY30" s="5" t="s">
        <v>120</v>
      </c>
    </row>
    <row r="31" spans="1:103" s="2" customFormat="1" ht="15" customHeight="1" x14ac:dyDescent="0.35">
      <c r="A31" s="274" t="s">
        <v>25</v>
      </c>
      <c r="B31" s="17"/>
      <c r="C31" s="32"/>
      <c r="D31" s="32"/>
      <c r="E31" s="9"/>
      <c r="F31" s="9"/>
      <c r="G31" s="9"/>
      <c r="H31" s="9"/>
      <c r="I31" s="9"/>
      <c r="J31" s="9"/>
      <c r="K31" s="9"/>
      <c r="L31" s="9"/>
      <c r="M31" s="9"/>
      <c r="N31" s="9"/>
      <c r="O31" s="9"/>
      <c r="P31" s="74">
        <v>13541921.743700374</v>
      </c>
      <c r="Q31" s="9"/>
      <c r="R31" s="9"/>
      <c r="S31" s="9"/>
      <c r="T31" s="9"/>
      <c r="U31" s="9"/>
      <c r="V31" s="9"/>
      <c r="W31" s="9"/>
      <c r="X31" s="9"/>
      <c r="Y31" s="9"/>
      <c r="Z31" s="9"/>
      <c r="AA31" s="9"/>
      <c r="AB31" s="9"/>
      <c r="AC31" s="9"/>
      <c r="AD31" s="9"/>
      <c r="AE31" s="9"/>
      <c r="AF31" s="9"/>
      <c r="AG31" s="9"/>
      <c r="AH31" s="9"/>
      <c r="AI31" s="9"/>
      <c r="AJ31" s="9"/>
      <c r="AK31" s="9"/>
      <c r="AL31" s="9"/>
      <c r="AM31" s="9"/>
      <c r="AN31" s="9"/>
      <c r="AO31" s="9"/>
      <c r="AP31" s="73"/>
      <c r="AQ31" s="73"/>
      <c r="AR31" s="73"/>
      <c r="AV31" s="183"/>
      <c r="CB31" s="171"/>
      <c r="CC31" s="274"/>
      <c r="CD31" s="18" t="s">
        <v>13</v>
      </c>
      <c r="CE31" s="248">
        <v>-208.61210034300166</v>
      </c>
      <c r="CF31" s="248">
        <v>-400.54009016648342</v>
      </c>
      <c r="CG31" s="248">
        <v>-706.44045849470422</v>
      </c>
      <c r="CH31" s="248">
        <v>-1530.608474177905</v>
      </c>
      <c r="CI31" s="248">
        <v>-129.05383671685195</v>
      </c>
      <c r="CJ31" s="248">
        <v>-101.79730121747389</v>
      </c>
      <c r="CK31" s="248">
        <v>-90.756764514786937</v>
      </c>
      <c r="CL31" s="5"/>
      <c r="CM31" s="5"/>
      <c r="CN31" s="274"/>
      <c r="CO31" s="18" t="s">
        <v>13</v>
      </c>
      <c r="CP31" s="248">
        <v>-343.42335887328954</v>
      </c>
      <c r="CQ31" s="248">
        <v>-688.28501302553923</v>
      </c>
      <c r="CR31" s="248">
        <v>-1239.3905014676566</v>
      </c>
      <c r="CS31" s="248">
        <v>-1965.4129359777289</v>
      </c>
      <c r="CT31" s="248">
        <v>-146.86187171416668</v>
      </c>
      <c r="CU31" s="248">
        <v>-109.06024570448426</v>
      </c>
      <c r="CV31" s="248">
        <v>-91.584874817671334</v>
      </c>
      <c r="CW31" s="249">
        <f>SUM(CP31:CV31)</f>
        <v>-4584.018801580537</v>
      </c>
      <c r="CX31" s="249">
        <f>SUM(CE31:CK31)</f>
        <v>-3167.8090256312071</v>
      </c>
      <c r="CY31" s="249">
        <f>CW31-CX31</f>
        <v>-1416.2097759493299</v>
      </c>
    </row>
    <row r="32" spans="1:103" s="4" customFormat="1" ht="15" customHeight="1" x14ac:dyDescent="0.35">
      <c r="A32" s="274"/>
      <c r="B32" s="17" t="s">
        <v>28</v>
      </c>
      <c r="C32" s="32"/>
      <c r="D32" s="32"/>
      <c r="E32" s="21">
        <f>+E58</f>
        <v>0</v>
      </c>
      <c r="F32" s="21">
        <f t="shared" ref="F32:AR32" si="6">+F58</f>
        <v>1315.62</v>
      </c>
      <c r="G32" s="21">
        <f t="shared" si="6"/>
        <v>9547.77</v>
      </c>
      <c r="H32" s="21">
        <f t="shared" si="6"/>
        <v>131836.54999999999</v>
      </c>
      <c r="I32" s="21">
        <f t="shared" si="6"/>
        <v>295613.25</v>
      </c>
      <c r="J32" s="21">
        <f t="shared" si="6"/>
        <v>620316.48999999987</v>
      </c>
      <c r="K32" s="21">
        <f t="shared" si="6"/>
        <v>555398.20999999985</v>
      </c>
      <c r="L32" s="21">
        <f t="shared" si="6"/>
        <v>198514.37000000011</v>
      </c>
      <c r="M32" s="21">
        <f t="shared" si="6"/>
        <v>277476.9599999999</v>
      </c>
      <c r="N32" s="21">
        <f t="shared" si="6"/>
        <v>434867.4</v>
      </c>
      <c r="O32" s="21">
        <f t="shared" si="6"/>
        <v>508459.40000000014</v>
      </c>
      <c r="P32" s="21">
        <f t="shared" si="6"/>
        <v>490745.49000000017</v>
      </c>
      <c r="Q32" s="21">
        <f t="shared" si="6"/>
        <v>527476.22000000009</v>
      </c>
      <c r="R32" s="21">
        <f t="shared" si="6"/>
        <v>258953.52000000025</v>
      </c>
      <c r="S32" s="21">
        <f t="shared" si="6"/>
        <v>394310.88999999978</v>
      </c>
      <c r="T32" s="21">
        <f t="shared" si="6"/>
        <v>1342259.4100000001</v>
      </c>
      <c r="U32" s="21">
        <f t="shared" si="6"/>
        <v>1962488.9300000002</v>
      </c>
      <c r="V32" s="21">
        <f t="shared" si="6"/>
        <v>2100865.73</v>
      </c>
      <c r="W32" s="21">
        <f t="shared" si="6"/>
        <v>1649752.0800000003</v>
      </c>
      <c r="X32" s="21">
        <f t="shared" si="6"/>
        <v>751621.14999999979</v>
      </c>
      <c r="Y32" s="21">
        <f t="shared" si="6"/>
        <v>841460.40999999968</v>
      </c>
      <c r="Z32" s="21">
        <f t="shared" si="6"/>
        <v>1085634.8200000005</v>
      </c>
      <c r="AA32" s="21">
        <f t="shared" si="6"/>
        <v>1183123.0699999994</v>
      </c>
      <c r="AB32" s="21">
        <f t="shared" si="6"/>
        <v>1041235.799999999</v>
      </c>
      <c r="AC32" s="21">
        <f t="shared" si="6"/>
        <v>1113426.4299999995</v>
      </c>
      <c r="AD32" s="21">
        <f t="shared" si="6"/>
        <v>1057341.1199999994</v>
      </c>
      <c r="AE32" s="21">
        <f t="shared" si="6"/>
        <v>1420849.9099999997</v>
      </c>
      <c r="AF32" s="21">
        <f t="shared" si="6"/>
        <v>3799102.3500000015</v>
      </c>
      <c r="AG32" s="21">
        <f t="shared" si="6"/>
        <v>5128806.18</v>
      </c>
      <c r="AH32" s="21">
        <f t="shared" si="6"/>
        <v>4697486.7700000005</v>
      </c>
      <c r="AI32" s="21">
        <f t="shared" si="6"/>
        <v>3577277.59</v>
      </c>
      <c r="AJ32" s="21">
        <f t="shared" si="6"/>
        <v>1552311.3900000006</v>
      </c>
      <c r="AK32" s="21">
        <f t="shared" si="6"/>
        <v>1560965.8799999983</v>
      </c>
      <c r="AL32" s="21">
        <f t="shared" si="6"/>
        <v>1902498.7800000007</v>
      </c>
      <c r="AM32" s="21">
        <f t="shared" si="6"/>
        <v>2044546.7300000009</v>
      </c>
      <c r="AN32" s="21">
        <f t="shared" si="6"/>
        <v>1819223.7300000016</v>
      </c>
      <c r="AO32" s="21">
        <f t="shared" si="6"/>
        <v>1991958.3199999982</v>
      </c>
      <c r="AP32" s="21">
        <f t="shared" si="6"/>
        <v>1852056.3300000017</v>
      </c>
      <c r="AQ32" s="21">
        <f t="shared" si="6"/>
        <v>2404199.6199999982</v>
      </c>
      <c r="AR32" s="21">
        <f t="shared" si="6"/>
        <v>6080629.2500000019</v>
      </c>
      <c r="AV32" s="184"/>
      <c r="CB32" s="171"/>
      <c r="CC32" s="274"/>
      <c r="CD32" s="19" t="s">
        <v>8</v>
      </c>
      <c r="CE32" s="248">
        <v>-33.896799027812584</v>
      </c>
      <c r="CF32" s="248">
        <v>-36.374195914962691</v>
      </c>
      <c r="CG32" s="248">
        <v>-10.206485686119455</v>
      </c>
      <c r="CH32" s="248">
        <v>4.6633211652036026</v>
      </c>
      <c r="CI32" s="248">
        <v>13.032095954644355</v>
      </c>
      <c r="CJ32" s="248">
        <v>13.091305131004477</v>
      </c>
      <c r="CK32" s="248">
        <v>23.218272374650894</v>
      </c>
      <c r="CL32" s="5"/>
      <c r="CM32" s="5"/>
      <c r="CN32" s="274"/>
      <c r="CO32" s="19" t="s">
        <v>8</v>
      </c>
      <c r="CP32" s="248">
        <v>-33.914010942902728</v>
      </c>
      <c r="CQ32" s="248">
        <v>-36.465916878557387</v>
      </c>
      <c r="CR32" s="248">
        <v>-10.39318899746541</v>
      </c>
      <c r="CS32" s="248">
        <v>4.3204799236523046</v>
      </c>
      <c r="CT32" s="248">
        <v>12.224061000676528</v>
      </c>
      <c r="CU32" s="248">
        <v>12.382399874886771</v>
      </c>
      <c r="CV32" s="248">
        <v>22.09574861116813</v>
      </c>
      <c r="CW32" s="5"/>
      <c r="CX32" s="5"/>
      <c r="CY32" s="5"/>
    </row>
    <row r="33" spans="1:103" s="4" customFormat="1" ht="14.5" x14ac:dyDescent="0.35">
      <c r="A33" s="274"/>
      <c r="B33" s="18" t="s">
        <v>26</v>
      </c>
      <c r="C33" s="26"/>
      <c r="D33" s="26"/>
      <c r="E33" s="21">
        <v>0</v>
      </c>
      <c r="F33" s="21">
        <v>0</v>
      </c>
      <c r="G33" s="21">
        <v>17393.11</v>
      </c>
      <c r="H33" s="21">
        <v>264954.01</v>
      </c>
      <c r="I33" s="21">
        <v>347680.79</v>
      </c>
      <c r="J33" s="21">
        <v>348292.31</v>
      </c>
      <c r="K33" s="21">
        <v>325763.31</v>
      </c>
      <c r="L33" s="21">
        <v>246495.91999999998</v>
      </c>
      <c r="M33" s="21">
        <v>210020.45</v>
      </c>
      <c r="N33" s="21">
        <v>286405.52</v>
      </c>
      <c r="O33" s="21">
        <v>537350.65</v>
      </c>
      <c r="P33" s="21">
        <v>2380685.19</v>
      </c>
      <c r="Q33" s="21">
        <v>1978228.74</v>
      </c>
      <c r="R33" s="21">
        <f>+'M2 Allocations - TD'!Q55</f>
        <v>1865586.4</v>
      </c>
      <c r="S33" s="21">
        <f>+'M2 Allocations - TD'!R55</f>
        <v>1834668.9400000002</v>
      </c>
      <c r="T33" s="21">
        <f>+'M2 Allocations - TD'!S55</f>
        <v>2295880.5500000003</v>
      </c>
      <c r="U33" s="21">
        <f>+'M2 Allocations - TD'!T55</f>
        <v>2739739.71</v>
      </c>
      <c r="V33" s="21">
        <f>+'M2 Allocations - TD'!U55</f>
        <v>2810029.6700000004</v>
      </c>
      <c r="W33" s="21">
        <f>+'M2 Allocations - TD'!V55</f>
        <v>2397146.59</v>
      </c>
      <c r="X33" s="21">
        <f>+'M2 Allocations - TD'!W55</f>
        <v>2196198.75</v>
      </c>
      <c r="Y33" s="21">
        <f>+'M2 Allocations - TD'!X55</f>
        <v>1955310.19</v>
      </c>
      <c r="Z33" s="21">
        <f>+'M2 Allocations - TD'!Y55</f>
        <v>2272928.3199999998</v>
      </c>
      <c r="AA33" s="21">
        <f>+'M2 Allocations - TD'!Z55</f>
        <v>3133513.62</v>
      </c>
      <c r="AB33" s="21">
        <f>+'M2 Allocations - TD'!AA55</f>
        <v>2686519.32</v>
      </c>
      <c r="AC33" s="21">
        <f>+'M2 Allocations - TD'!AB55</f>
        <v>2253809.6800000002</v>
      </c>
      <c r="AD33" s="21">
        <f>+'M2 Allocations - TD'!AC55</f>
        <v>2191880.6200000006</v>
      </c>
      <c r="AE33" s="21">
        <f>+'M2 Allocations - TD'!AD55</f>
        <v>2008078.9100000001</v>
      </c>
      <c r="AF33" s="21">
        <f>+'M2 Allocations - TD'!AE55</f>
        <v>2628092.9099999997</v>
      </c>
      <c r="AG33" s="21">
        <f>+'M2 Allocations - TD'!AF55</f>
        <v>2927384.4800000004</v>
      </c>
      <c r="AH33" s="21">
        <f>+'M2 Allocations - TD'!AG55</f>
        <v>2713828.6699999995</v>
      </c>
      <c r="AI33" s="21">
        <f>+'M2 Allocations - TD'!AH55</f>
        <v>2656476.0999999996</v>
      </c>
      <c r="AJ33" s="21">
        <f>+'M2 Allocations - TD'!AI55</f>
        <v>2241568.5700000003</v>
      </c>
      <c r="AK33" s="21">
        <f>+'M2 Allocations - TD'!AJ55</f>
        <v>2050332.64</v>
      </c>
      <c r="AL33" s="21">
        <f>+'M2 Allocations - TD'!AK55</f>
        <v>2540211.56</v>
      </c>
      <c r="AM33" s="21">
        <f>+'M2 Allocations - TD'!AL55</f>
        <v>2758522.64</v>
      </c>
      <c r="AN33" s="21">
        <f>+'M2 Allocations - TD'!AM55</f>
        <v>3731846.29</v>
      </c>
      <c r="AO33" s="21">
        <f>+'M2 Allocations - TD'!AN55</f>
        <v>3504116.61</v>
      </c>
      <c r="AP33" s="21">
        <f>+'M2 Allocations - TD'!AO55</f>
        <v>2834702.33</v>
      </c>
      <c r="AQ33" s="21">
        <f>+'M2 Allocations - TD'!AP55</f>
        <v>2693990.7500000005</v>
      </c>
      <c r="AR33" s="21">
        <f>+'M2 Allocations - TD'!AQ55</f>
        <v>3224890.5700000003</v>
      </c>
      <c r="AV33" s="184"/>
      <c r="CB33" s="171"/>
      <c r="CC33" s="274"/>
      <c r="CD33" s="18" t="s">
        <v>14</v>
      </c>
      <c r="CE33" s="248">
        <v>-242.50889937081425</v>
      </c>
      <c r="CF33" s="248">
        <v>-436.91428608144611</v>
      </c>
      <c r="CG33" s="248">
        <v>-716.64694418082365</v>
      </c>
      <c r="CH33" s="248">
        <v>-1525.9451530127014</v>
      </c>
      <c r="CI33" s="248">
        <v>-116.0217407622076</v>
      </c>
      <c r="CJ33" s="248">
        <v>-88.705996086469412</v>
      </c>
      <c r="CK33" s="248">
        <v>-67.538492140136043</v>
      </c>
      <c r="CL33" s="5"/>
      <c r="CM33" s="5"/>
      <c r="CN33" s="274"/>
      <c r="CO33" s="18" t="s">
        <v>14</v>
      </c>
      <c r="CP33" s="248">
        <v>-377.33736981619228</v>
      </c>
      <c r="CQ33" s="248">
        <v>-724.75092990409667</v>
      </c>
      <c r="CR33" s="248">
        <v>-1249.7836904651219</v>
      </c>
      <c r="CS33" s="248">
        <v>-1961.0924560540766</v>
      </c>
      <c r="CT33" s="248">
        <v>-134.63781071349015</v>
      </c>
      <c r="CU33" s="248">
        <v>-96.677845829597487</v>
      </c>
      <c r="CV33" s="248">
        <v>-69.489126206503201</v>
      </c>
      <c r="CW33" s="5"/>
      <c r="CX33" s="5"/>
      <c r="CY33" s="5"/>
    </row>
    <row r="34" spans="1:103" s="4" customFormat="1" ht="14.5" x14ac:dyDescent="0.35">
      <c r="A34" s="274"/>
      <c r="B34" s="18" t="s">
        <v>51</v>
      </c>
      <c r="C34" s="26"/>
      <c r="D34" s="26"/>
      <c r="E34" s="21"/>
      <c r="F34" s="21"/>
      <c r="G34" s="21"/>
      <c r="H34" s="21"/>
      <c r="I34" s="21"/>
      <c r="J34" s="21"/>
      <c r="K34" s="21"/>
      <c r="L34" s="21"/>
      <c r="M34" s="21"/>
      <c r="N34" s="21"/>
      <c r="O34" s="21">
        <f>+'MEEIA 2 calcs'!O18</f>
        <v>0</v>
      </c>
      <c r="P34" s="21">
        <f>+'MEEIA 2 calcs'!P18</f>
        <v>-1207876.0699999998</v>
      </c>
      <c r="Q34" s="21">
        <f>+'MEEIA 2 calcs'!Q18</f>
        <v>-991453.85</v>
      </c>
      <c r="R34" s="21">
        <f>+'MEEIA 2 calcs'!R18</f>
        <v>-942175.03</v>
      </c>
      <c r="S34" s="21">
        <f>+'MEEIA 2 calcs'!S18</f>
        <v>-924830.89</v>
      </c>
      <c r="T34" s="21">
        <f>+'MEEIA 2 calcs'!T18</f>
        <v>-1162964.6800000002</v>
      </c>
      <c r="U34" s="21">
        <f>+'MEEIA 2 calcs'!U18</f>
        <v>-1377616.51</v>
      </c>
      <c r="V34" s="21">
        <f>+'MEEIA 2 calcs'!V18</f>
        <v>-1419206.7000000002</v>
      </c>
      <c r="W34" s="21">
        <f>+'MEEIA 2 calcs'!W18</f>
        <v>-1209460.76</v>
      </c>
      <c r="X34" s="21">
        <f>+'MEEIA 2 calcs'!X18</f>
        <v>-1107295.8</v>
      </c>
      <c r="Y34" s="21">
        <f>+'MEEIA 2 calcs'!Y18</f>
        <v>-988276.53</v>
      </c>
      <c r="Z34" s="21">
        <f>+'MEEIA 2 calcs'!Z18</f>
        <v>-1145553.06</v>
      </c>
      <c r="AA34" s="21">
        <f>+'MEEIA 2 calcs'!AA18</f>
        <v>-1569459.38</v>
      </c>
      <c r="AB34" s="21">
        <f>+'MEEIA 2 calcs'!AB18</f>
        <v>231630.62999999998</v>
      </c>
      <c r="AC34" s="21">
        <f>+'MEEIA 2 calcs'!AC18</f>
        <v>87666.98000000001</v>
      </c>
      <c r="AD34" s="21">
        <f>+'MEEIA 2 calcs'!AD18</f>
        <v>85411.62</v>
      </c>
      <c r="AE34" s="21">
        <f>+'MEEIA 2 calcs'!AE18</f>
        <v>84463.6</v>
      </c>
      <c r="AF34" s="21">
        <f>+'MEEIA 2 calcs'!AF18</f>
        <v>105228.66999999998</v>
      </c>
      <c r="AG34" s="21">
        <f>+'MEEIA 2 calcs'!AG18</f>
        <v>100170.55</v>
      </c>
      <c r="AH34" s="21">
        <f>+'MEEIA 2 calcs'!AH18</f>
        <v>108068.86000000002</v>
      </c>
      <c r="AI34" s="21">
        <f>+'MEEIA 2 calcs'!AI18</f>
        <v>105313.19999999998</v>
      </c>
      <c r="AJ34" s="21">
        <f>+'MEEIA 2 calcs'!AJ18</f>
        <v>93009.289999999979</v>
      </c>
      <c r="AK34" s="21">
        <f>+'MEEIA 2 calcs'!AK18</f>
        <v>85572.94</v>
      </c>
      <c r="AL34" s="21">
        <f>+'MEEIA 2 calcs'!AL18</f>
        <v>97124.979999999981</v>
      </c>
      <c r="AM34" s="21">
        <f>+'MEEIA 2 calcs'!AM18</f>
        <v>105785.10999999999</v>
      </c>
      <c r="AN34" s="21">
        <f>+'MEEIA 2 calcs'!AN18</f>
        <v>181359.25</v>
      </c>
      <c r="AO34" s="21">
        <f>+'MEEIA 2 calcs'!AO18</f>
        <v>164712.29999999999</v>
      </c>
      <c r="AP34" s="21">
        <f>+'MEEIA 2 calcs'!AP18</f>
        <v>113525.45999999999</v>
      </c>
      <c r="AQ34" s="21">
        <f>+'MEEIA 2 calcs'!AQ18</f>
        <v>93935.329999999987</v>
      </c>
      <c r="AR34" s="21">
        <f>+'MEEIA 2 calcs'!AR18</f>
        <v>130300.17</v>
      </c>
      <c r="AV34" s="184"/>
      <c r="CB34" s="171"/>
      <c r="CC34" s="274"/>
      <c r="CD34" s="20" t="s">
        <v>16</v>
      </c>
      <c r="CE34" s="248">
        <v>-265528.47501163348</v>
      </c>
      <c r="CF34" s="248">
        <v>-167618.20929771493</v>
      </c>
      <c r="CG34" s="248">
        <v>-52250.696241895756</v>
      </c>
      <c r="CH34" s="248">
        <v>18919.668605091545</v>
      </c>
      <c r="CI34" s="248">
        <v>22733.656864329336</v>
      </c>
      <c r="CJ34" s="248">
        <v>26177.560868242865</v>
      </c>
      <c r="CK34" s="248">
        <v>29360.672376102728</v>
      </c>
      <c r="CL34" s="5"/>
      <c r="CM34" s="5"/>
      <c r="CN34" s="274"/>
      <c r="CO34" s="20" t="s">
        <v>16</v>
      </c>
      <c r="CP34" s="248">
        <v>-265663.30348207883</v>
      </c>
      <c r="CQ34" s="248">
        <v>-168040.87441198295</v>
      </c>
      <c r="CR34" s="248">
        <v>-53206.498102448066</v>
      </c>
      <c r="CS34" s="248">
        <v>17528.719441497858</v>
      </c>
      <c r="CT34" s="248">
        <v>21324.091630784369</v>
      </c>
      <c r="CU34" s="248">
        <v>24760.02378495477</v>
      </c>
      <c r="CV34" s="248">
        <v>27941.184658748269</v>
      </c>
      <c r="CW34" s="5"/>
      <c r="CX34" s="5"/>
      <c r="CY34" s="5"/>
    </row>
    <row r="35" spans="1:103" s="4" customFormat="1" ht="14.5" x14ac:dyDescent="0.35">
      <c r="A35" s="274"/>
      <c r="B35" s="18" t="s">
        <v>52</v>
      </c>
      <c r="C35" s="26"/>
      <c r="D35" s="26"/>
      <c r="E35" s="21"/>
      <c r="F35" s="21"/>
      <c r="G35" s="21"/>
      <c r="H35" s="21"/>
      <c r="I35" s="21"/>
      <c r="J35" s="21"/>
      <c r="K35" s="21"/>
      <c r="L35" s="21"/>
      <c r="M35" s="21"/>
      <c r="N35" s="21"/>
      <c r="O35" s="21">
        <f>+O33+O34</f>
        <v>537350.65</v>
      </c>
      <c r="P35" s="21">
        <f t="shared" ref="P35:AR35" si="7">+P33+P34</f>
        <v>1172809.1200000001</v>
      </c>
      <c r="Q35" s="21">
        <f t="shared" si="7"/>
        <v>986774.89</v>
      </c>
      <c r="R35" s="21">
        <f t="shared" si="7"/>
        <v>923411.36999999988</v>
      </c>
      <c r="S35" s="21">
        <f t="shared" si="7"/>
        <v>909838.05000000016</v>
      </c>
      <c r="T35" s="21">
        <f t="shared" si="7"/>
        <v>1132915.8700000001</v>
      </c>
      <c r="U35" s="21">
        <f t="shared" si="7"/>
        <v>1362123.2</v>
      </c>
      <c r="V35" s="21">
        <f t="shared" si="7"/>
        <v>1390822.9700000002</v>
      </c>
      <c r="W35" s="21">
        <f t="shared" si="7"/>
        <v>1187685.8299999998</v>
      </c>
      <c r="X35" s="21">
        <f t="shared" si="7"/>
        <v>1088902.95</v>
      </c>
      <c r="Y35" s="21">
        <f t="shared" si="7"/>
        <v>967033.65999999992</v>
      </c>
      <c r="Z35" s="21">
        <f t="shared" si="7"/>
        <v>1127375.2599999998</v>
      </c>
      <c r="AA35" s="21">
        <f t="shared" si="7"/>
        <v>1564054.2400000002</v>
      </c>
      <c r="AB35" s="21">
        <f t="shared" si="7"/>
        <v>2918149.9499999997</v>
      </c>
      <c r="AC35" s="21">
        <f t="shared" si="7"/>
        <v>2341476.66</v>
      </c>
      <c r="AD35" s="21">
        <f t="shared" si="7"/>
        <v>2277292.2400000007</v>
      </c>
      <c r="AE35" s="21">
        <f t="shared" si="7"/>
        <v>2092542.5100000002</v>
      </c>
      <c r="AF35" s="21">
        <f t="shared" si="7"/>
        <v>2733321.5799999996</v>
      </c>
      <c r="AG35" s="21">
        <f t="shared" si="7"/>
        <v>3027555.0300000003</v>
      </c>
      <c r="AH35" s="21">
        <f t="shared" si="7"/>
        <v>2821897.5299999993</v>
      </c>
      <c r="AI35" s="21">
        <f t="shared" si="7"/>
        <v>2761789.3</v>
      </c>
      <c r="AJ35" s="21">
        <f t="shared" si="7"/>
        <v>2334577.8600000003</v>
      </c>
      <c r="AK35" s="21">
        <f t="shared" si="7"/>
        <v>2135905.58</v>
      </c>
      <c r="AL35" s="21">
        <f t="shared" si="7"/>
        <v>2637336.54</v>
      </c>
      <c r="AM35" s="21">
        <f t="shared" si="7"/>
        <v>2864307.75</v>
      </c>
      <c r="AN35" s="21">
        <f t="shared" si="7"/>
        <v>3913205.54</v>
      </c>
      <c r="AO35" s="21">
        <f t="shared" si="7"/>
        <v>3668828.9099999997</v>
      </c>
      <c r="AP35" s="21">
        <f t="shared" si="7"/>
        <v>2948227.79</v>
      </c>
      <c r="AQ35" s="21">
        <f t="shared" si="7"/>
        <v>2787926.0800000005</v>
      </c>
      <c r="AR35" s="21">
        <f t="shared" si="7"/>
        <v>3355190.74</v>
      </c>
      <c r="AV35" s="184"/>
      <c r="CB35" s="171"/>
      <c r="CC35" s="44"/>
      <c r="CD35" s="13"/>
      <c r="CE35" s="3"/>
      <c r="CF35" s="3"/>
      <c r="CG35" s="3"/>
      <c r="CH35" s="3"/>
      <c r="CI35" s="3"/>
      <c r="CJ35" s="3"/>
      <c r="CK35" s="3"/>
      <c r="CL35" s="5"/>
      <c r="CM35" s="5"/>
      <c r="CN35" s="44"/>
      <c r="CO35" s="13"/>
      <c r="CP35" s="3"/>
      <c r="CQ35" s="3"/>
      <c r="CR35" s="3"/>
      <c r="CS35" s="3"/>
      <c r="CT35" s="3"/>
      <c r="CU35" s="3"/>
      <c r="CV35" s="3"/>
      <c r="CW35" s="5"/>
      <c r="CX35" s="5"/>
      <c r="CY35" s="5"/>
    </row>
    <row r="36" spans="1:103" s="4" customFormat="1" ht="14.5" x14ac:dyDescent="0.35">
      <c r="A36" s="274"/>
      <c r="B36" s="18" t="s">
        <v>13</v>
      </c>
      <c r="C36" s="26"/>
      <c r="D36" s="26"/>
      <c r="E36" s="21">
        <f>+E32-E33</f>
        <v>0</v>
      </c>
      <c r="F36" s="21">
        <f t="shared" ref="F36:N36" si="8">+F32-F33</f>
        <v>1315.62</v>
      </c>
      <c r="G36" s="21">
        <f t="shared" si="8"/>
        <v>-7845.34</v>
      </c>
      <c r="H36" s="21">
        <f t="shared" si="8"/>
        <v>-133117.46000000002</v>
      </c>
      <c r="I36" s="21">
        <f t="shared" si="8"/>
        <v>-52067.539999999979</v>
      </c>
      <c r="J36" s="21">
        <f t="shared" si="8"/>
        <v>272024.17999999988</v>
      </c>
      <c r="K36" s="21">
        <f t="shared" si="8"/>
        <v>229634.89999999985</v>
      </c>
      <c r="L36" s="21">
        <f t="shared" si="8"/>
        <v>-47981.549999999872</v>
      </c>
      <c r="M36" s="21">
        <f t="shared" si="8"/>
        <v>67456.509999999893</v>
      </c>
      <c r="N36" s="21">
        <f t="shared" si="8"/>
        <v>148461.88</v>
      </c>
      <c r="O36" s="21">
        <f>+O32-O35</f>
        <v>-28891.249999999884</v>
      </c>
      <c r="P36" s="21">
        <f t="shared" ref="P36:AR36" si="9">+P32-P35</f>
        <v>-682063.62999999989</v>
      </c>
      <c r="Q36" s="21">
        <f t="shared" si="9"/>
        <v>-459298.66999999993</v>
      </c>
      <c r="R36" s="21">
        <f t="shared" si="9"/>
        <v>-664457.84999999963</v>
      </c>
      <c r="S36" s="21">
        <f t="shared" si="9"/>
        <v>-515527.16000000038</v>
      </c>
      <c r="T36" s="21">
        <f t="shared" si="9"/>
        <v>209343.54000000004</v>
      </c>
      <c r="U36" s="21">
        <f t="shared" si="9"/>
        <v>600365.73000000021</v>
      </c>
      <c r="V36" s="21">
        <f t="shared" si="9"/>
        <v>710042.75999999978</v>
      </c>
      <c r="W36" s="21">
        <f t="shared" si="9"/>
        <v>462066.25000000047</v>
      </c>
      <c r="X36" s="21">
        <f t="shared" si="9"/>
        <v>-337281.80000000016</v>
      </c>
      <c r="Y36" s="21">
        <f t="shared" si="9"/>
        <v>-125573.25000000023</v>
      </c>
      <c r="Z36" s="21">
        <f t="shared" si="9"/>
        <v>-41740.439999999246</v>
      </c>
      <c r="AA36" s="21">
        <f t="shared" si="9"/>
        <v>-380931.17000000086</v>
      </c>
      <c r="AB36" s="21">
        <f t="shared" si="9"/>
        <v>-1876914.1500000008</v>
      </c>
      <c r="AC36" s="21">
        <f t="shared" si="9"/>
        <v>-1228050.2300000007</v>
      </c>
      <c r="AD36" s="21">
        <f t="shared" si="9"/>
        <v>-1219951.1200000013</v>
      </c>
      <c r="AE36" s="21">
        <f t="shared" si="9"/>
        <v>-671692.60000000056</v>
      </c>
      <c r="AF36" s="21">
        <f t="shared" si="9"/>
        <v>1065780.7700000019</v>
      </c>
      <c r="AG36" s="21">
        <f t="shared" si="9"/>
        <v>2101251.1499999994</v>
      </c>
      <c r="AH36" s="21">
        <f t="shared" si="9"/>
        <v>1875589.2400000012</v>
      </c>
      <c r="AI36" s="21">
        <f t="shared" si="9"/>
        <v>815488.29</v>
      </c>
      <c r="AJ36" s="21">
        <f t="shared" si="9"/>
        <v>-782266.46999999974</v>
      </c>
      <c r="AK36" s="21">
        <f t="shared" si="9"/>
        <v>-574939.70000000182</v>
      </c>
      <c r="AL36" s="21">
        <f t="shared" si="9"/>
        <v>-734837.75999999931</v>
      </c>
      <c r="AM36" s="21">
        <f t="shared" si="9"/>
        <v>-819761.01999999909</v>
      </c>
      <c r="AN36" s="21">
        <f t="shared" si="9"/>
        <v>-2093981.8099999984</v>
      </c>
      <c r="AO36" s="21">
        <f t="shared" si="9"/>
        <v>-1676870.5900000015</v>
      </c>
      <c r="AP36" s="21">
        <f t="shared" si="9"/>
        <v>-1096171.4599999983</v>
      </c>
      <c r="AQ36" s="21">
        <f t="shared" si="9"/>
        <v>-383726.46000000229</v>
      </c>
      <c r="AR36" s="21">
        <f t="shared" si="9"/>
        <v>2725438.5100000016</v>
      </c>
      <c r="AV36" s="184"/>
      <c r="CB36" s="171"/>
      <c r="CC36" s="274" t="s">
        <v>22</v>
      </c>
      <c r="CD36" s="17"/>
      <c r="CE36" s="3"/>
      <c r="CF36" s="3"/>
      <c r="CG36" s="3"/>
      <c r="CH36" s="3"/>
      <c r="CI36" s="3"/>
      <c r="CJ36" s="3"/>
      <c r="CK36" s="3"/>
      <c r="CL36" s="5"/>
      <c r="CM36" s="5"/>
      <c r="CN36" s="274" t="s">
        <v>22</v>
      </c>
      <c r="CO36" s="17"/>
      <c r="CP36" s="3"/>
      <c r="CQ36" s="3"/>
      <c r="CR36" s="3"/>
      <c r="CS36" s="3"/>
      <c r="CT36" s="3"/>
      <c r="CU36" s="3"/>
      <c r="CV36" s="3"/>
      <c r="CW36" s="5"/>
      <c r="CX36" s="5"/>
      <c r="CY36" s="5"/>
    </row>
    <row r="37" spans="1:103" s="4" customFormat="1" ht="14.5" x14ac:dyDescent="0.35">
      <c r="A37" s="274"/>
      <c r="B37" s="19" t="s">
        <v>8</v>
      </c>
      <c r="C37" s="30"/>
      <c r="D37" s="30"/>
      <c r="E37" s="21">
        <f>+(D40+E36)*'MEEIA 2 calcs'!E9/12</f>
        <v>0</v>
      </c>
      <c r="F37" s="21">
        <f>+(E40+F36)*'MEEIA 2 calcs'!F9/12</f>
        <v>0.81740457315000004</v>
      </c>
      <c r="G37" s="21">
        <f>+(F40+G36)*'MEEIA 2 calcs'!G9/12</f>
        <v>-4.1120878401733671</v>
      </c>
      <c r="H37" s="21">
        <f>+(G40+H36)*'MEEIA 2 calcs'!H9/12</f>
        <v>-72.888470503810979</v>
      </c>
      <c r="I37" s="21">
        <f>+(H40+I36)*'MEEIA 2 calcs'!I9/12</f>
        <v>-100.53727091046454</v>
      </c>
      <c r="J37" s="21">
        <f>+(I40+J36)*'MEEIA 2 calcs'!J9/12</f>
        <v>51.055640138452524</v>
      </c>
      <c r="K37" s="21">
        <f>+(J40+K36)*'MEEIA 2 calcs'!K9/12</f>
        <v>195.04628353960507</v>
      </c>
      <c r="L37" s="21">
        <f>+(K40+L36)*'MEEIA 2 calcs'!L9/12</f>
        <v>165.9908425098269</v>
      </c>
      <c r="M37" s="21">
        <f>+(L40+M36)*'MEEIA 2 calcs'!M9/12</f>
        <v>209.91998739941698</v>
      </c>
      <c r="N37" s="21">
        <f>+(M40+N36)*'MEEIA 2 calcs'!N9/12</f>
        <v>383.53972018736869</v>
      </c>
      <c r="O37" s="21">
        <f>+(N40+O36)*'MEEIA 2 calcs'!O9/12</f>
        <v>337.36408653681991</v>
      </c>
      <c r="P37" s="21">
        <f>+(O40+P36+P34+P31)*'MEEIA 2 calcs'!P9/12</f>
        <v>9076.6036423770038</v>
      </c>
      <c r="Q37" s="21">
        <f>+(P40+Q36+Q34+Q31)*'MEEIA 2 calcs'!Q9/12</f>
        <v>10216.276345416782</v>
      </c>
      <c r="R37" s="21">
        <f>+(Q40+R36+R34+R31)*'MEEIA 2 calcs'!R9/12</f>
        <v>8686.3771002478079</v>
      </c>
      <c r="S37" s="21">
        <f>+(R40+S36+S34+S31)*'MEEIA 2 calcs'!S9/12</f>
        <v>7314.3584137188782</v>
      </c>
      <c r="T37" s="21">
        <f>+(S40+T36+T34+T31)*'MEEIA 2 calcs'!T9/12</f>
        <v>7856.1289780218758</v>
      </c>
      <c r="U37" s="21">
        <f>+(T40+U36+U34+U31)*'MEEIA 2 calcs'!U9/12</f>
        <v>6862.6005905357752</v>
      </c>
      <c r="V37" s="21">
        <f>+(U40+V36+V34+V31)*'MEEIA 2 calcs'!V9/12</f>
        <v>6374.4645350234823</v>
      </c>
      <c r="W37" s="21">
        <f>+(V40+W36+W34+W31)*'MEEIA 2 calcs'!W9/12</f>
        <v>5398.8726272971644</v>
      </c>
      <c r="X37" s="21">
        <f>+(W40+X36+X34+X31)*'MEEIA 2 calcs'!X9/12</f>
        <v>3668.3903488622923</v>
      </c>
      <c r="Y37" s="21">
        <f>+(X40+Y36+Y34+Y31)*'MEEIA 2 calcs'!Y9/12</f>
        <v>2313.3890565334823</v>
      </c>
      <c r="Z37" s="21">
        <f>+(Y40+Z36+Z34+Z31)*'MEEIA 2 calcs'!Z9/12</f>
        <v>1092.2218515735174</v>
      </c>
      <c r="AA37" s="21">
        <f>+(Z40+AA36+AA34+AA31)*'MEEIA 2 calcs'!AA9/12</f>
        <v>-1730.0916849366415</v>
      </c>
      <c r="AB37" s="21">
        <f>+(AA40+AB36+AB34+AB31)*'MEEIA 2 calcs'!AB9/12</f>
        <v>-4351.5884484099142</v>
      </c>
      <c r="AC37" s="21">
        <f>+(AB40+AC36+AC34+AC31)*'MEEIA 2 calcs'!AC9/12</f>
        <v>-6849.9712319403661</v>
      </c>
      <c r="AD37" s="21">
        <f>+(AC40+AD36+AD34+AD31)*'MEEIA 2 calcs'!AD9/12</f>
        <v>-9906.2199792734245</v>
      </c>
      <c r="AE37" s="21">
        <f>+(AD40+AE36+AE34+AE31)*'MEEIA 2 calcs'!AE9/12</f>
        <v>-10518.596470181234</v>
      </c>
      <c r="AF37" s="21">
        <f>+(AE40+AF36+AF34+AF31)*'MEEIA 2 calcs'!AF9/12</f>
        <v>-8700.4568393734316</v>
      </c>
      <c r="AG37" s="21">
        <f>+(AF40+AG36+AG34+AG31)*'MEEIA 2 calcs'!AG9/12</f>
        <v>-4669.5918585107474</v>
      </c>
      <c r="AH37" s="21">
        <f>+(AG40+AH36+AH34+AH31)*'MEEIA 2 calcs'!AH9/12</f>
        <v>-791.3491249462927</v>
      </c>
      <c r="AI37" s="21">
        <f>+(AH40+AI36+AI34+AI31)*'MEEIA 2 calcs'!AI9/12</f>
        <v>993.01159523930812</v>
      </c>
      <c r="AJ37" s="21">
        <f>+(AI40+AJ36+AJ34+AJ31)*'MEEIA 2 calcs'!AJ9/12</f>
        <v>-361.67784872719307</v>
      </c>
      <c r="AK37" s="21">
        <f>+(AJ40+AK36+AK34+AK31)*'MEEIA 2 calcs'!AK9/12</f>
        <v>-1403.27042635164</v>
      </c>
      <c r="AL37" s="21">
        <f>+(AK40+AL36+AL34+AL31)*'MEEIA 2 calcs'!AL9/12</f>
        <v>-2996.657001182999</v>
      </c>
      <c r="AM37" s="21">
        <f>+(AL40+AM36+AM34+AM31)*'MEEIA 2 calcs'!AM9/12</f>
        <v>-4836.4667881191972</v>
      </c>
      <c r="AN37" s="21">
        <f>+(AM40+AN36+AN34+AN31)*'MEEIA 2 calcs'!AN9/12</f>
        <v>-9325.6901584176212</v>
      </c>
      <c r="AO37" s="21">
        <f>+(AN40+AO36+AO34+AO31)*'MEEIA 2 calcs'!AO9/12</f>
        <v>-12687.750328235825</v>
      </c>
      <c r="AP37" s="21">
        <f>+(AO40+AP36+AP34+AP31)*'MEEIA 2 calcs'!AP9/12</f>
        <v>-14324.604336454917</v>
      </c>
      <c r="AQ37" s="21">
        <f>+(AP40+AQ36+AQ34+AQ31)*'MEEIA 2 calcs'!AQ9/12</f>
        <v>-15084.304300307596</v>
      </c>
      <c r="AR37" s="21">
        <f>+(AQ40+AR36+AR34+AR31)*'MEEIA 2 calcs'!AR9/12</f>
        <v>-8657.226352239104</v>
      </c>
      <c r="AS37" s="113" t="s">
        <v>84</v>
      </c>
      <c r="AT37" s="113" t="s">
        <v>85</v>
      </c>
      <c r="AV37" s="184"/>
      <c r="CB37" s="171"/>
      <c r="CC37" s="274"/>
      <c r="CD37" s="17" t="s">
        <v>28</v>
      </c>
      <c r="CE37" s="248">
        <v>9312.6499999985099</v>
      </c>
      <c r="CF37" s="248">
        <v>11751.719999998808</v>
      </c>
      <c r="CG37" s="248">
        <v>12005.310000002384</v>
      </c>
      <c r="CH37" s="248">
        <v>10126.529999997467</v>
      </c>
      <c r="CI37" s="248">
        <v>0</v>
      </c>
      <c r="CJ37" s="248">
        <v>0</v>
      </c>
      <c r="CK37" s="248">
        <v>0</v>
      </c>
      <c r="CL37" s="5"/>
      <c r="CM37" s="5"/>
      <c r="CN37" s="274"/>
      <c r="CO37" s="17" t="s">
        <v>28</v>
      </c>
      <c r="CP37" s="248">
        <v>9312.6499999985099</v>
      </c>
      <c r="CQ37" s="248">
        <v>11751.719999998808</v>
      </c>
      <c r="CR37" s="248">
        <v>12005.310000002384</v>
      </c>
      <c r="CS37" s="248">
        <v>10126.529999997467</v>
      </c>
      <c r="CT37" s="248">
        <v>0</v>
      </c>
      <c r="CU37" s="248">
        <v>0</v>
      </c>
      <c r="CV37" s="248">
        <v>0</v>
      </c>
      <c r="CW37" s="5"/>
      <c r="CX37" s="5"/>
      <c r="CY37" s="5"/>
    </row>
    <row r="38" spans="1:103" s="4" customFormat="1" ht="14.5" x14ac:dyDescent="0.35">
      <c r="A38" s="274"/>
      <c r="B38" s="19" t="s">
        <v>27</v>
      </c>
      <c r="C38" s="30"/>
      <c r="D38" s="30"/>
      <c r="E38" s="21">
        <f>+E37</f>
        <v>0</v>
      </c>
      <c r="F38" s="16">
        <f>+E38+F37</f>
        <v>0.81740457315000004</v>
      </c>
      <c r="G38" s="16">
        <f t="shared" ref="G38:AR38" si="10">+F38+G37</f>
        <v>-3.294683267023367</v>
      </c>
      <c r="H38" s="16">
        <f t="shared" si="10"/>
        <v>-76.183153770834352</v>
      </c>
      <c r="I38" s="16">
        <f t="shared" si="10"/>
        <v>-176.72042468129888</v>
      </c>
      <c r="J38" s="16">
        <f t="shared" si="10"/>
        <v>-125.66478454284635</v>
      </c>
      <c r="K38" s="16">
        <f t="shared" si="10"/>
        <v>69.381498996758722</v>
      </c>
      <c r="L38" s="16">
        <f t="shared" si="10"/>
        <v>235.37234150658563</v>
      </c>
      <c r="M38" s="16">
        <f t="shared" si="10"/>
        <v>445.29232890600258</v>
      </c>
      <c r="N38" s="16">
        <f t="shared" si="10"/>
        <v>828.83204909337132</v>
      </c>
      <c r="O38" s="16">
        <f t="shared" si="10"/>
        <v>1166.1961356301913</v>
      </c>
      <c r="P38" s="16">
        <f t="shared" si="10"/>
        <v>10242.799778007195</v>
      </c>
      <c r="Q38" s="16">
        <f t="shared" si="10"/>
        <v>20459.076123423976</v>
      </c>
      <c r="R38" s="16">
        <f t="shared" si="10"/>
        <v>29145.453223671786</v>
      </c>
      <c r="S38" s="16">
        <f t="shared" si="10"/>
        <v>36459.811637390667</v>
      </c>
      <c r="T38" s="16">
        <f t="shared" si="10"/>
        <v>44315.940615412546</v>
      </c>
      <c r="U38" s="16">
        <f t="shared" si="10"/>
        <v>51178.541205948321</v>
      </c>
      <c r="V38" s="16">
        <f t="shared" si="10"/>
        <v>57553.005740971799</v>
      </c>
      <c r="W38" s="16">
        <f t="shared" si="10"/>
        <v>62951.878368268961</v>
      </c>
      <c r="X38" s="16">
        <f t="shared" si="10"/>
        <v>66620.268717131257</v>
      </c>
      <c r="Y38" s="16">
        <f t="shared" si="10"/>
        <v>68933.657773664745</v>
      </c>
      <c r="Z38" s="16">
        <f t="shared" si="10"/>
        <v>70025.87962523826</v>
      </c>
      <c r="AA38" s="16">
        <f t="shared" si="10"/>
        <v>68295.787940301612</v>
      </c>
      <c r="AB38" s="16">
        <f t="shared" si="10"/>
        <v>63944.199491891697</v>
      </c>
      <c r="AC38" s="16">
        <f t="shared" si="10"/>
        <v>57094.228259951327</v>
      </c>
      <c r="AD38" s="16">
        <f t="shared" si="10"/>
        <v>47188.008280677903</v>
      </c>
      <c r="AE38" s="16">
        <f t="shared" si="10"/>
        <v>36669.411810496669</v>
      </c>
      <c r="AF38" s="16">
        <f t="shared" si="10"/>
        <v>27968.954971123239</v>
      </c>
      <c r="AG38" s="16">
        <f t="shared" si="10"/>
        <v>23299.363112612493</v>
      </c>
      <c r="AH38" s="16">
        <f t="shared" si="10"/>
        <v>22508.0139876662</v>
      </c>
      <c r="AI38" s="16">
        <f t="shared" si="10"/>
        <v>23501.02558290551</v>
      </c>
      <c r="AJ38" s="16">
        <f t="shared" si="10"/>
        <v>23139.347734178318</v>
      </c>
      <c r="AK38" s="16">
        <f t="shared" si="10"/>
        <v>21736.077307826679</v>
      </c>
      <c r="AL38" s="16">
        <f t="shared" si="10"/>
        <v>18739.420306643682</v>
      </c>
      <c r="AM38" s="16">
        <f t="shared" si="10"/>
        <v>13902.953518524486</v>
      </c>
      <c r="AN38" s="16">
        <f t="shared" si="10"/>
        <v>4577.2633601068646</v>
      </c>
      <c r="AO38" s="16">
        <f t="shared" si="10"/>
        <v>-8110.4869681289601</v>
      </c>
      <c r="AP38" s="16">
        <f t="shared" si="10"/>
        <v>-22435.091304583875</v>
      </c>
      <c r="AQ38" s="16">
        <f t="shared" si="10"/>
        <v>-37519.39560489147</v>
      </c>
      <c r="AR38" s="16">
        <f t="shared" si="10"/>
        <v>-46176.62195713057</v>
      </c>
      <c r="AS38" s="114">
        <f>+'MEEIA 2 calcs'!AR22</f>
        <v>-36524.301393109679</v>
      </c>
      <c r="AT38" s="115">
        <f>+AR38-AS38</f>
        <v>-9652.3205640208907</v>
      </c>
      <c r="AV38" s="184"/>
      <c r="CB38" s="172"/>
      <c r="CC38" s="274"/>
      <c r="CD38" s="18" t="s">
        <v>26</v>
      </c>
      <c r="CE38" s="248">
        <v>-109523.64277962862</v>
      </c>
      <c r="CF38" s="248">
        <v>-119570.42005814648</v>
      </c>
      <c r="CG38" s="248">
        <v>-127589.09913487616</v>
      </c>
      <c r="CH38" s="248">
        <v>-90032.567630487814</v>
      </c>
      <c r="CI38" s="248">
        <v>-29850.366428408659</v>
      </c>
      <c r="CJ38" s="248">
        <v>-27677.731835119779</v>
      </c>
      <c r="CK38" s="248">
        <v>-28367.49080792554</v>
      </c>
      <c r="CL38" s="3"/>
      <c r="CM38" s="3"/>
      <c r="CN38" s="274"/>
      <c r="CO38" s="18" t="s">
        <v>26</v>
      </c>
      <c r="CP38" s="248">
        <v>-109213.44913716688</v>
      </c>
      <c r="CQ38" s="248">
        <v>-118950.08683599679</v>
      </c>
      <c r="CR38" s="248">
        <v>-126522.54456751024</v>
      </c>
      <c r="CS38" s="248">
        <v>-89191.627690175315</v>
      </c>
      <c r="CT38" s="248">
        <v>-29813.934940734485</v>
      </c>
      <c r="CU38" s="248">
        <v>-27661.804594547866</v>
      </c>
      <c r="CV38" s="248">
        <v>-28365.583171593844</v>
      </c>
      <c r="CW38" s="3"/>
      <c r="CX38" s="3"/>
      <c r="CY38" s="3"/>
    </row>
    <row r="39" spans="1:103" s="4" customFormat="1" ht="14.5" x14ac:dyDescent="0.35">
      <c r="A39" s="274"/>
      <c r="B39" s="18" t="s">
        <v>14</v>
      </c>
      <c r="C39" s="26"/>
      <c r="D39" s="26"/>
      <c r="E39" s="21">
        <f>+E36+E37</f>
        <v>0</v>
      </c>
      <c r="F39" s="21">
        <f t="shared" ref="F39:AR39" si="11">+F36+F37</f>
        <v>1316.4374045731499</v>
      </c>
      <c r="G39" s="21">
        <f t="shared" si="11"/>
        <v>-7849.4520878401736</v>
      </c>
      <c r="H39" s="21">
        <f t="shared" si="11"/>
        <v>-133190.34847050384</v>
      </c>
      <c r="I39" s="21">
        <f t="shared" si="11"/>
        <v>-52168.077270910442</v>
      </c>
      <c r="J39" s="21">
        <f t="shared" si="11"/>
        <v>272075.23564013833</v>
      </c>
      <c r="K39" s="21">
        <f t="shared" si="11"/>
        <v>229829.94628353947</v>
      </c>
      <c r="L39" s="21">
        <f t="shared" si="11"/>
        <v>-47815.559157490046</v>
      </c>
      <c r="M39" s="21">
        <f t="shared" si="11"/>
        <v>67666.429987399315</v>
      </c>
      <c r="N39" s="21">
        <f t="shared" si="11"/>
        <v>148845.41972018738</v>
      </c>
      <c r="O39" s="21">
        <f t="shared" si="11"/>
        <v>-28553.885913463062</v>
      </c>
      <c r="P39" s="21">
        <f t="shared" si="11"/>
        <v>-672987.02635762293</v>
      </c>
      <c r="Q39" s="21">
        <f t="shared" si="11"/>
        <v>-449082.39365458314</v>
      </c>
      <c r="R39" s="21">
        <f t="shared" si="11"/>
        <v>-655771.47289975185</v>
      </c>
      <c r="S39" s="21">
        <f t="shared" si="11"/>
        <v>-508212.80158628151</v>
      </c>
      <c r="T39" s="21">
        <f t="shared" si="11"/>
        <v>217199.66897802192</v>
      </c>
      <c r="U39" s="21">
        <f t="shared" si="11"/>
        <v>607228.330590536</v>
      </c>
      <c r="V39" s="21">
        <f t="shared" si="11"/>
        <v>716417.22453502321</v>
      </c>
      <c r="W39" s="21">
        <f t="shared" si="11"/>
        <v>467465.12262729765</v>
      </c>
      <c r="X39" s="21">
        <f t="shared" si="11"/>
        <v>-333613.40965113789</v>
      </c>
      <c r="Y39" s="21">
        <f t="shared" si="11"/>
        <v>-123259.86094346675</v>
      </c>
      <c r="Z39" s="21">
        <f t="shared" si="11"/>
        <v>-40648.218148425731</v>
      </c>
      <c r="AA39" s="21">
        <f t="shared" si="11"/>
        <v>-382661.26168493752</v>
      </c>
      <c r="AB39" s="21">
        <f t="shared" si="11"/>
        <v>-1881265.7384484108</v>
      </c>
      <c r="AC39" s="21">
        <f t="shared" si="11"/>
        <v>-1234900.2012319411</v>
      </c>
      <c r="AD39" s="21">
        <f t="shared" si="11"/>
        <v>-1229857.3399792747</v>
      </c>
      <c r="AE39" s="21">
        <f t="shared" si="11"/>
        <v>-682211.19647018181</v>
      </c>
      <c r="AF39" s="21">
        <f t="shared" si="11"/>
        <v>1057080.3131606285</v>
      </c>
      <c r="AG39" s="21">
        <f t="shared" si="11"/>
        <v>2096581.5581414886</v>
      </c>
      <c r="AH39" s="21">
        <f t="shared" si="11"/>
        <v>1874797.8908750548</v>
      </c>
      <c r="AI39" s="21">
        <f t="shared" si="11"/>
        <v>816481.30159523932</v>
      </c>
      <c r="AJ39" s="21">
        <f t="shared" si="11"/>
        <v>-782628.14784872695</v>
      </c>
      <c r="AK39" s="21">
        <f t="shared" si="11"/>
        <v>-576342.97042635351</v>
      </c>
      <c r="AL39" s="21">
        <f t="shared" si="11"/>
        <v>-737834.41700118233</v>
      </c>
      <c r="AM39" s="21">
        <f t="shared" si="11"/>
        <v>-824597.48678811826</v>
      </c>
      <c r="AN39" s="21">
        <f t="shared" si="11"/>
        <v>-2103307.5001584161</v>
      </c>
      <c r="AO39" s="21">
        <f t="shared" si="11"/>
        <v>-1689558.3403282373</v>
      </c>
      <c r="AP39" s="21">
        <f t="shared" si="11"/>
        <v>-1110496.0643364533</v>
      </c>
      <c r="AQ39" s="21">
        <f t="shared" si="11"/>
        <v>-398810.76430030988</v>
      </c>
      <c r="AR39" s="21">
        <f t="shared" si="11"/>
        <v>2716781.2836477626</v>
      </c>
      <c r="AV39" s="184"/>
      <c r="CB39" s="171"/>
      <c r="CC39" s="274"/>
      <c r="CD39" s="18" t="s">
        <v>51</v>
      </c>
      <c r="CE39" s="248">
        <v>135146.15</v>
      </c>
      <c r="CF39" s="248">
        <v>147703.67000000001</v>
      </c>
      <c r="CG39" s="248">
        <v>157813.82</v>
      </c>
      <c r="CH39" s="248">
        <v>94457.73</v>
      </c>
      <c r="CI39" s="248">
        <v>30773.360000000001</v>
      </c>
      <c r="CJ39" s="248">
        <v>28505.86</v>
      </c>
      <c r="CK39" s="248">
        <v>29204.54</v>
      </c>
      <c r="CL39" s="5"/>
      <c r="CM39" s="5"/>
      <c r="CN39" s="274"/>
      <c r="CO39" s="18" t="s">
        <v>51</v>
      </c>
      <c r="CP39" s="248">
        <v>135146.15</v>
      </c>
      <c r="CQ39" s="248">
        <v>147703.67000000001</v>
      </c>
      <c r="CR39" s="248">
        <v>157813.82</v>
      </c>
      <c r="CS39" s="248">
        <v>94457.73</v>
      </c>
      <c r="CT39" s="248">
        <v>30773.360000000001</v>
      </c>
      <c r="CU39" s="248">
        <v>28505.86</v>
      </c>
      <c r="CV39" s="248">
        <v>29204.54</v>
      </c>
      <c r="CW39" s="5"/>
      <c r="CX39" s="5"/>
      <c r="CY39" s="5"/>
    </row>
    <row r="40" spans="1:103" s="5" customFormat="1" ht="14.5" x14ac:dyDescent="0.35">
      <c r="A40" s="274"/>
      <c r="B40" s="20" t="s">
        <v>2</v>
      </c>
      <c r="C40" s="28"/>
      <c r="D40" s="28"/>
      <c r="E40" s="21">
        <f>+D40+E39</f>
        <v>0</v>
      </c>
      <c r="F40" s="21">
        <f t="shared" ref="F40:O40" si="12">+E40+F39</f>
        <v>1316.4374045731499</v>
      </c>
      <c r="G40" s="21">
        <f t="shared" si="12"/>
        <v>-6533.0146832670234</v>
      </c>
      <c r="H40" s="21">
        <f t="shared" si="12"/>
        <v>-139723.36315377086</v>
      </c>
      <c r="I40" s="21">
        <f t="shared" si="12"/>
        <v>-191891.44042468129</v>
      </c>
      <c r="J40" s="21">
        <f t="shared" si="12"/>
        <v>80183.795215457038</v>
      </c>
      <c r="K40" s="21">
        <f t="shared" si="12"/>
        <v>310013.7414989965</v>
      </c>
      <c r="L40" s="21">
        <f t="shared" si="12"/>
        <v>262198.18234150647</v>
      </c>
      <c r="M40" s="21">
        <f t="shared" si="12"/>
        <v>329864.61232890579</v>
      </c>
      <c r="N40" s="21">
        <f t="shared" si="12"/>
        <v>478710.03204909316</v>
      </c>
      <c r="O40" s="21">
        <f t="shared" si="12"/>
        <v>450156.14613563009</v>
      </c>
      <c r="P40" s="21">
        <f>+O40+P39+P31+P34</f>
        <v>12111214.793478381</v>
      </c>
      <c r="Q40" s="21">
        <f t="shared" ref="Q40:AR40" si="13">+P40+Q39+Q31+Q34</f>
        <v>10670678.549823798</v>
      </c>
      <c r="R40" s="21">
        <f t="shared" si="13"/>
        <v>9072732.0469240472</v>
      </c>
      <c r="S40" s="21">
        <f t="shared" si="13"/>
        <v>7639688.355337766</v>
      </c>
      <c r="T40" s="21">
        <f t="shared" si="13"/>
        <v>6693923.3443157878</v>
      </c>
      <c r="U40" s="21">
        <f t="shared" si="13"/>
        <v>5923535.1649063239</v>
      </c>
      <c r="V40" s="21">
        <f t="shared" si="13"/>
        <v>5220745.6894413466</v>
      </c>
      <c r="W40" s="21">
        <f t="shared" si="13"/>
        <v>4478750.0520686442</v>
      </c>
      <c r="X40" s="21">
        <f t="shared" si="13"/>
        <v>3037840.8424175065</v>
      </c>
      <c r="Y40" s="21">
        <f t="shared" si="13"/>
        <v>1926304.4514740396</v>
      </c>
      <c r="Z40" s="21">
        <f t="shared" si="13"/>
        <v>740103.17332561384</v>
      </c>
      <c r="AA40" s="21">
        <f t="shared" si="13"/>
        <v>-1212017.4683593237</v>
      </c>
      <c r="AB40" s="21">
        <f t="shared" si="13"/>
        <v>-2861652.5768077346</v>
      </c>
      <c r="AC40" s="21">
        <f t="shared" si="13"/>
        <v>-4008885.7980396757</v>
      </c>
      <c r="AD40" s="21">
        <f t="shared" si="13"/>
        <v>-5153331.5180189507</v>
      </c>
      <c r="AE40" s="21">
        <f t="shared" si="13"/>
        <v>-5751079.1144891325</v>
      </c>
      <c r="AF40" s="21">
        <f t="shared" si="13"/>
        <v>-4588770.1313285045</v>
      </c>
      <c r="AG40" s="21">
        <f t="shared" si="13"/>
        <v>-2392018.0231870161</v>
      </c>
      <c r="AH40" s="21">
        <f t="shared" si="13"/>
        <v>-409151.27231196139</v>
      </c>
      <c r="AI40" s="21">
        <f t="shared" si="13"/>
        <v>512643.22928327788</v>
      </c>
      <c r="AJ40" s="21">
        <f t="shared" si="13"/>
        <v>-176975.62856544909</v>
      </c>
      <c r="AK40" s="21">
        <f t="shared" si="13"/>
        <v>-667745.65899180272</v>
      </c>
      <c r="AL40" s="21">
        <f t="shared" si="13"/>
        <v>-1308455.0959929852</v>
      </c>
      <c r="AM40" s="21">
        <f t="shared" si="13"/>
        <v>-2027267.4727811036</v>
      </c>
      <c r="AN40" s="21">
        <f t="shared" si="13"/>
        <v>-3949215.7229395197</v>
      </c>
      <c r="AO40" s="21">
        <f t="shared" si="13"/>
        <v>-5474061.7632677574</v>
      </c>
      <c r="AP40" s="21">
        <f t="shared" si="13"/>
        <v>-6471032.367604211</v>
      </c>
      <c r="AQ40" s="21">
        <f t="shared" si="13"/>
        <v>-6775907.801904521</v>
      </c>
      <c r="AR40" s="21">
        <f t="shared" si="13"/>
        <v>-3928826.3482567584</v>
      </c>
      <c r="AV40" s="185"/>
      <c r="CB40" s="171"/>
      <c r="CC40" s="274"/>
      <c r="CD40" s="18" t="s">
        <v>52</v>
      </c>
      <c r="CE40" s="248">
        <v>25622.507220371379</v>
      </c>
      <c r="CF40" s="248">
        <v>28133.24994185353</v>
      </c>
      <c r="CG40" s="248">
        <v>30224.720865123847</v>
      </c>
      <c r="CH40" s="248">
        <v>4425.1623695121816</v>
      </c>
      <c r="CI40" s="248">
        <v>922.99357159134161</v>
      </c>
      <c r="CJ40" s="248">
        <v>828.12816488022145</v>
      </c>
      <c r="CK40" s="248">
        <v>837.04919207446073</v>
      </c>
      <c r="CN40" s="274"/>
      <c r="CO40" s="18" t="s">
        <v>52</v>
      </c>
      <c r="CP40" s="248">
        <v>25932.70086283311</v>
      </c>
      <c r="CQ40" s="248">
        <v>28753.583164003227</v>
      </c>
      <c r="CR40" s="248">
        <v>31291.275432489769</v>
      </c>
      <c r="CS40" s="248">
        <v>5266.1023098246806</v>
      </c>
      <c r="CT40" s="248">
        <v>959.4250592655153</v>
      </c>
      <c r="CU40" s="248">
        <v>844.05540545213444</v>
      </c>
      <c r="CV40" s="248">
        <v>838.956828406157</v>
      </c>
      <c r="CW40" s="5" t="s">
        <v>118</v>
      </c>
      <c r="CX40" s="5" t="s">
        <v>119</v>
      </c>
      <c r="CY40" s="5" t="s">
        <v>120</v>
      </c>
    </row>
    <row r="41" spans="1:103" ht="14.5" x14ac:dyDescent="0.35">
      <c r="CB41" s="171"/>
      <c r="CC41" s="274"/>
      <c r="CD41" s="18" t="s">
        <v>13</v>
      </c>
      <c r="CE41" s="248">
        <v>-16309.857220372869</v>
      </c>
      <c r="CF41" s="248">
        <v>-16381.529941854722</v>
      </c>
      <c r="CG41" s="248">
        <v>-18219.410865121463</v>
      </c>
      <c r="CH41" s="248">
        <v>5701.3676304852852</v>
      </c>
      <c r="CI41" s="248">
        <v>-922.99357159134161</v>
      </c>
      <c r="CJ41" s="248">
        <v>-828.12816488022145</v>
      </c>
      <c r="CK41" s="248">
        <v>-837.04919207446073</v>
      </c>
      <c r="CL41" s="5"/>
      <c r="CM41" s="5"/>
      <c r="CN41" s="274"/>
      <c r="CO41" s="18" t="s">
        <v>13</v>
      </c>
      <c r="CP41" s="248">
        <v>-16620.0508628346</v>
      </c>
      <c r="CQ41" s="248">
        <v>-17001.863164004419</v>
      </c>
      <c r="CR41" s="248">
        <v>-19285.965432487385</v>
      </c>
      <c r="CS41" s="248">
        <v>4860.4276901727862</v>
      </c>
      <c r="CT41" s="248">
        <v>-959.4250592655153</v>
      </c>
      <c r="CU41" s="248">
        <v>-844.05540545213444</v>
      </c>
      <c r="CV41" s="248">
        <v>-838.956828406157</v>
      </c>
      <c r="CW41" s="249">
        <f>SUM(CP41:CV41)</f>
        <v>-50689.88906227742</v>
      </c>
      <c r="CX41" s="249">
        <f>SUM(CE41:CK41)</f>
        <v>-47797.6013254098</v>
      </c>
      <c r="CY41" s="249">
        <f>CW41-CX41</f>
        <v>-2892.28773686762</v>
      </c>
    </row>
    <row r="42" spans="1:103" ht="14.5" x14ac:dyDescent="0.35">
      <c r="A42" s="39" t="s">
        <v>38</v>
      </c>
      <c r="B42" s="39"/>
      <c r="C42" s="34"/>
      <c r="D42" s="34"/>
      <c r="E42" s="112" t="s">
        <v>83</v>
      </c>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CB42" s="171"/>
      <c r="CC42" s="274"/>
      <c r="CD42" s="19" t="s">
        <v>8</v>
      </c>
      <c r="CE42" s="248">
        <v>-84.941653771023212</v>
      </c>
      <c r="CF42" s="248">
        <v>-115.92016346648461</v>
      </c>
      <c r="CG42" s="248">
        <v>-77.091957039179292</v>
      </c>
      <c r="CH42" s="248">
        <v>-72.606903432645424</v>
      </c>
      <c r="CI42" s="248">
        <v>-151.84084377784714</v>
      </c>
      <c r="CJ42" s="248">
        <v>-118.68167734782816</v>
      </c>
      <c r="CK42" s="248">
        <v>-165.36745250356313</v>
      </c>
      <c r="CL42" s="5"/>
      <c r="CM42" s="5"/>
      <c r="CN42" s="274"/>
      <c r="CO42" s="19" t="s">
        <v>8</v>
      </c>
      <c r="CP42" s="248">
        <v>-84.981257485829829</v>
      </c>
      <c r="CQ42" s="248">
        <v>-116.12214602032306</v>
      </c>
      <c r="CR42" s="248">
        <v>-77.482184023869124</v>
      </c>
      <c r="CS42" s="248">
        <v>-73.306747354553593</v>
      </c>
      <c r="CT42" s="248">
        <v>-153.49033626118796</v>
      </c>
      <c r="CU42" s="248">
        <v>-120.12936100482553</v>
      </c>
      <c r="CV42" s="248">
        <v>-167.6599743454681</v>
      </c>
      <c r="CW42" s="5"/>
      <c r="CX42" s="5"/>
      <c r="CY42" s="5"/>
    </row>
    <row r="43" spans="1:103" ht="14.5" x14ac:dyDescent="0.35">
      <c r="A43" s="40" t="s">
        <v>33</v>
      </c>
      <c r="C43" s="41"/>
      <c r="D43" s="41"/>
      <c r="E43" s="45">
        <v>0</v>
      </c>
      <c r="F43" s="45">
        <v>1315.62</v>
      </c>
      <c r="G43" s="45">
        <v>10863.39</v>
      </c>
      <c r="H43" s="45">
        <v>131166.53999999998</v>
      </c>
      <c r="I43" s="45">
        <v>387036.02</v>
      </c>
      <c r="J43" s="45">
        <v>954427.99</v>
      </c>
      <c r="K43" s="45">
        <v>1422347.46</v>
      </c>
      <c r="L43" s="45">
        <v>1541935.33</v>
      </c>
      <c r="M43" s="45">
        <v>1724075.76</v>
      </c>
      <c r="N43" s="45">
        <v>2021006.24</v>
      </c>
      <c r="O43" s="45">
        <v>2345067.64</v>
      </c>
      <c r="P43" s="45">
        <v>2665179.0900000003</v>
      </c>
      <c r="Q43" s="45">
        <v>2980723.6900000004</v>
      </c>
      <c r="R43" s="45">
        <v>3131477.4300000006</v>
      </c>
      <c r="S43" s="45">
        <v>3331069.0200000005</v>
      </c>
      <c r="T43" s="45">
        <v>4201806.9000000004</v>
      </c>
      <c r="U43" s="45">
        <v>5473047.7200000007</v>
      </c>
      <c r="V43" s="45">
        <v>6865154.2600000007</v>
      </c>
      <c r="W43" s="45">
        <v>7768433.6700000009</v>
      </c>
      <c r="X43" s="46">
        <v>8046566.0200000005</v>
      </c>
      <c r="Y43" s="46">
        <v>8430171.9900000002</v>
      </c>
      <c r="Z43" s="46">
        <v>8973651.790000001</v>
      </c>
      <c r="AA43" s="46">
        <v>9526672.7300000004</v>
      </c>
      <c r="AB43" s="46">
        <v>10016175.68</v>
      </c>
      <c r="AC43" s="46">
        <v>10476907.279999999</v>
      </c>
      <c r="AD43" s="46">
        <v>10845217.629999999</v>
      </c>
      <c r="AE43" s="46">
        <v>11326489.399999999</v>
      </c>
      <c r="AF43" s="46">
        <v>13319448.119999999</v>
      </c>
      <c r="AG43" s="46">
        <v>16025105.289999999</v>
      </c>
      <c r="AH43" s="46">
        <v>18630918.66</v>
      </c>
      <c r="AI43" s="46">
        <v>20159549.379999999</v>
      </c>
      <c r="AJ43" s="46">
        <v>20538767.649999999</v>
      </c>
      <c r="AK43" s="46">
        <v>21025291.689999998</v>
      </c>
      <c r="AL43" s="46">
        <v>21687799.919999998</v>
      </c>
      <c r="AM43" s="46">
        <v>22350456.27</v>
      </c>
      <c r="AN43" s="46">
        <v>22942873.07</v>
      </c>
      <c r="AO43" s="46">
        <v>23494830.52</v>
      </c>
      <c r="AP43" s="46">
        <v>23930455.640000001</v>
      </c>
      <c r="AQ43" s="46">
        <v>24520866.27</v>
      </c>
      <c r="AR43" s="46">
        <v>27144259.460000001</v>
      </c>
      <c r="CB43" s="171"/>
      <c r="CC43" s="274"/>
      <c r="CD43" s="18" t="s">
        <v>14</v>
      </c>
      <c r="CE43" s="248">
        <v>-16394.798874143893</v>
      </c>
      <c r="CF43" s="248">
        <v>-16497.450105321208</v>
      </c>
      <c r="CG43" s="248">
        <v>-18296.502822160641</v>
      </c>
      <c r="CH43" s="248">
        <v>5628.7607270526396</v>
      </c>
      <c r="CI43" s="248">
        <v>-1074.8344153691887</v>
      </c>
      <c r="CJ43" s="248">
        <v>-946.80984222804955</v>
      </c>
      <c r="CK43" s="248">
        <v>-1002.4166445780238</v>
      </c>
      <c r="CL43" s="5"/>
      <c r="CM43" s="5"/>
      <c r="CN43" s="274"/>
      <c r="CO43" s="18" t="s">
        <v>14</v>
      </c>
      <c r="CP43" s="248">
        <v>-16705.032120320429</v>
      </c>
      <c r="CQ43" s="248">
        <v>-17117.985310024742</v>
      </c>
      <c r="CR43" s="248">
        <v>-19363.447616511254</v>
      </c>
      <c r="CS43" s="248">
        <v>4787.1209428182328</v>
      </c>
      <c r="CT43" s="248">
        <v>-1112.9153955267034</v>
      </c>
      <c r="CU43" s="248">
        <v>-964.18476645696001</v>
      </c>
      <c r="CV43" s="248">
        <v>-1006.6168027516251</v>
      </c>
      <c r="CW43" s="5"/>
      <c r="CX43" s="5"/>
      <c r="CY43" s="5"/>
    </row>
    <row r="44" spans="1:103" ht="14.5" x14ac:dyDescent="0.35">
      <c r="A44" s="40" t="s">
        <v>34</v>
      </c>
      <c r="C44" s="41"/>
      <c r="D44" s="41"/>
      <c r="E44" s="45">
        <v>0</v>
      </c>
      <c r="F44" s="45">
        <v>0</v>
      </c>
      <c r="G44" s="45">
        <v>0</v>
      </c>
      <c r="H44" s="45">
        <v>4137.67</v>
      </c>
      <c r="I44" s="45">
        <v>17379.89</v>
      </c>
      <c r="J44" s="45">
        <v>31710.98</v>
      </c>
      <c r="K44" s="45">
        <v>53901.279999999999</v>
      </c>
      <c r="L44" s="45">
        <v>77392.58</v>
      </c>
      <c r="M44" s="45">
        <v>104809.43</v>
      </c>
      <c r="N44" s="45">
        <v>141632.76</v>
      </c>
      <c r="O44" s="45">
        <v>189180.89</v>
      </c>
      <c r="P44" s="45">
        <v>231631.52000000002</v>
      </c>
      <c r="Q44" s="45">
        <v>284317.06</v>
      </c>
      <c r="R44" s="45">
        <v>308249.02</v>
      </c>
      <c r="S44" s="45">
        <v>353276.86</v>
      </c>
      <c r="T44" s="45">
        <v>437936.68</v>
      </c>
      <c r="U44" s="45">
        <v>570057.93999999994</v>
      </c>
      <c r="V44" s="45">
        <v>694339.08</v>
      </c>
      <c r="W44" s="45">
        <v>837878.04999999993</v>
      </c>
      <c r="X44" s="46">
        <v>948910.29999999993</v>
      </c>
      <c r="Y44" s="46">
        <v>1055083.5899999999</v>
      </c>
      <c r="Z44" s="46">
        <v>1178710.0299999998</v>
      </c>
      <c r="AA44" s="46">
        <v>1324771.1099999999</v>
      </c>
      <c r="AB44" s="46">
        <v>1450947.7499999998</v>
      </c>
      <c r="AC44" s="46">
        <v>1608620.2299999997</v>
      </c>
      <c r="AD44" s="46">
        <v>1789739.7799999998</v>
      </c>
      <c r="AE44" s="46">
        <v>2044452.3199999998</v>
      </c>
      <c r="AF44" s="46">
        <v>2426232.96</v>
      </c>
      <c r="AG44" s="46">
        <v>2956688.29</v>
      </c>
      <c r="AH44" s="46">
        <v>3400127.59</v>
      </c>
      <c r="AI44" s="46">
        <v>3902289.12</v>
      </c>
      <c r="AJ44" s="46">
        <v>4245964.8900000006</v>
      </c>
      <c r="AK44" s="46">
        <v>4556973.95</v>
      </c>
      <c r="AL44" s="46">
        <v>4900967.08</v>
      </c>
      <c r="AM44" s="46">
        <v>5271737.41</v>
      </c>
      <c r="AN44" s="46">
        <v>5586511.8100000005</v>
      </c>
      <c r="AO44" s="46">
        <v>5965803.6600000001</v>
      </c>
      <c r="AP44" s="46">
        <v>6353214.2999999998</v>
      </c>
      <c r="AQ44" s="46">
        <v>6845511.75</v>
      </c>
      <c r="AR44" s="46">
        <v>7542708.96</v>
      </c>
      <c r="CB44" s="171"/>
      <c r="CC44" s="274"/>
      <c r="CD44" s="20" t="s">
        <v>17</v>
      </c>
      <c r="CE44" s="248">
        <v>-665385.1820132006</v>
      </c>
      <c r="CF44" s="248">
        <v>-534178.9621185218</v>
      </c>
      <c r="CG44" s="248">
        <v>-394661.64494068245</v>
      </c>
      <c r="CH44" s="248">
        <v>-294575.15421362984</v>
      </c>
      <c r="CI44" s="248">
        <v>-264876.62862899899</v>
      </c>
      <c r="CJ44" s="248">
        <v>-237317.57847122705</v>
      </c>
      <c r="CK44" s="248">
        <v>-209115.45511580509</v>
      </c>
      <c r="CL44" s="5"/>
      <c r="CM44" s="5"/>
      <c r="CN44" s="274"/>
      <c r="CO44" s="20" t="s">
        <v>17</v>
      </c>
      <c r="CP44" s="248">
        <v>-665695.41525937722</v>
      </c>
      <c r="CQ44" s="248">
        <v>-535109.73056940199</v>
      </c>
      <c r="CR44" s="248">
        <v>-396659.35818591324</v>
      </c>
      <c r="CS44" s="248">
        <v>-297414.50724309502</v>
      </c>
      <c r="CT44" s="248">
        <v>-267754.06263862172</v>
      </c>
      <c r="CU44" s="248">
        <v>-240212.38740507868</v>
      </c>
      <c r="CV44" s="248">
        <v>-212014.46420783031</v>
      </c>
      <c r="CW44" s="5"/>
      <c r="CX44" s="5"/>
      <c r="CY44" s="5"/>
    </row>
    <row r="45" spans="1:103" ht="14.5" x14ac:dyDescent="0.35">
      <c r="A45" s="40" t="s">
        <v>35</v>
      </c>
      <c r="C45" s="41"/>
      <c r="D45" s="41"/>
      <c r="E45" s="45">
        <v>0</v>
      </c>
      <c r="F45" s="45">
        <v>0</v>
      </c>
      <c r="G45" s="45">
        <v>0</v>
      </c>
      <c r="H45" s="45">
        <v>6869.5</v>
      </c>
      <c r="I45" s="45">
        <v>31303.59</v>
      </c>
      <c r="J45" s="45">
        <v>64748.7</v>
      </c>
      <c r="K45" s="45">
        <v>121255.72</v>
      </c>
      <c r="L45" s="45">
        <v>169552.81</v>
      </c>
      <c r="M45" s="45">
        <v>225508.91</v>
      </c>
      <c r="N45" s="45">
        <v>301145.52</v>
      </c>
      <c r="O45" s="45">
        <v>398580.96</v>
      </c>
      <c r="P45" s="45">
        <v>490208.33</v>
      </c>
      <c r="Q45" s="45">
        <v>604857.14</v>
      </c>
      <c r="R45" s="45">
        <v>666314.65</v>
      </c>
      <c r="S45" s="45">
        <v>770470.61</v>
      </c>
      <c r="T45" s="45">
        <v>994805.05</v>
      </c>
      <c r="U45" s="45">
        <v>1330352.24</v>
      </c>
      <c r="V45" s="45">
        <v>1652784.7</v>
      </c>
      <c r="W45" s="45">
        <v>2007406.74</v>
      </c>
      <c r="X45" s="46">
        <v>2239872.39</v>
      </c>
      <c r="Y45" s="46">
        <v>2463589.64</v>
      </c>
      <c r="Z45" s="46">
        <v>2730371.64</v>
      </c>
      <c r="AA45" s="46">
        <v>3042506.19</v>
      </c>
      <c r="AB45" s="46">
        <v>3314030.7199999997</v>
      </c>
      <c r="AC45" s="46">
        <v>3633532.4899999998</v>
      </c>
      <c r="AD45" s="46">
        <v>3968022.1199999996</v>
      </c>
      <c r="AE45" s="46">
        <v>4418193.97</v>
      </c>
      <c r="AF45" s="46">
        <v>5292598.74</v>
      </c>
      <c r="AG45" s="46">
        <v>6473842.0099999998</v>
      </c>
      <c r="AH45" s="46">
        <v>7487104.5899999999</v>
      </c>
      <c r="AI45" s="46">
        <v>8491574.9000000004</v>
      </c>
      <c r="AJ45" s="46">
        <v>9047137.040000001</v>
      </c>
      <c r="AK45" s="46">
        <v>9551899.1300000008</v>
      </c>
      <c r="AL45" s="46">
        <v>10140818.360000001</v>
      </c>
      <c r="AM45" s="46">
        <v>10806286.970000001</v>
      </c>
      <c r="AN45" s="46">
        <v>11396408.860000001</v>
      </c>
      <c r="AO45" s="46">
        <v>12084453.48</v>
      </c>
      <c r="AP45" s="46">
        <v>12758882.860000001</v>
      </c>
      <c r="AQ45" s="46">
        <v>13617205.550000001</v>
      </c>
      <c r="AR45" s="46">
        <v>15282414.110000001</v>
      </c>
      <c r="CB45" s="171"/>
      <c r="CC45" s="44"/>
      <c r="CD45" s="13"/>
      <c r="CE45" s="3"/>
      <c r="CF45" s="3"/>
      <c r="CG45" s="3"/>
      <c r="CH45" s="3"/>
      <c r="CI45" s="3"/>
      <c r="CJ45" s="3"/>
      <c r="CK45" s="3"/>
      <c r="CL45" s="5"/>
      <c r="CM45" s="5"/>
      <c r="CN45" s="44"/>
      <c r="CO45" s="13"/>
      <c r="CP45" s="3"/>
      <c r="CQ45" s="3"/>
      <c r="CR45" s="3"/>
      <c r="CS45" s="3"/>
      <c r="CT45" s="3"/>
      <c r="CU45" s="3"/>
      <c r="CV45" s="3"/>
      <c r="CW45" s="5"/>
      <c r="CX45" s="5"/>
      <c r="CY45" s="5"/>
    </row>
    <row r="46" spans="1:103" ht="14.5" x14ac:dyDescent="0.35">
      <c r="A46" s="40" t="s">
        <v>36</v>
      </c>
      <c r="C46" s="41"/>
      <c r="D46" s="41"/>
      <c r="E46" s="45">
        <v>0</v>
      </c>
      <c r="F46" s="45">
        <v>0</v>
      </c>
      <c r="G46" s="45">
        <v>0</v>
      </c>
      <c r="H46" s="45">
        <v>526.23</v>
      </c>
      <c r="I46" s="45">
        <v>2233.4700000000003</v>
      </c>
      <c r="J46" s="45">
        <v>4262.4400000000005</v>
      </c>
      <c r="K46" s="45">
        <v>8761.7000000000007</v>
      </c>
      <c r="L46" s="45">
        <v>13045.740000000002</v>
      </c>
      <c r="M46" s="45">
        <v>20273.660000000003</v>
      </c>
      <c r="N46" s="45">
        <v>37885.900000000009</v>
      </c>
      <c r="O46" s="45">
        <v>65178.16</v>
      </c>
      <c r="P46" s="45">
        <v>88883.11</v>
      </c>
      <c r="Q46" s="45">
        <v>117758.75</v>
      </c>
      <c r="R46" s="45">
        <v>128287.45</v>
      </c>
      <c r="S46" s="45">
        <v>156969.91999999998</v>
      </c>
      <c r="T46" s="45">
        <v>283745.70999999996</v>
      </c>
      <c r="U46" s="45">
        <v>460465.1</v>
      </c>
      <c r="V46" s="45">
        <v>676481.38</v>
      </c>
      <c r="W46" s="45">
        <v>878807.12</v>
      </c>
      <c r="X46" s="46">
        <v>979154.54</v>
      </c>
      <c r="Y46" s="46">
        <v>1074451.24</v>
      </c>
      <c r="Z46" s="46">
        <v>1186616.24</v>
      </c>
      <c r="AA46" s="46">
        <v>1315454.6599999999</v>
      </c>
      <c r="AB46" s="46">
        <v>1428559.95</v>
      </c>
      <c r="AC46" s="46">
        <v>1557915.5699999998</v>
      </c>
      <c r="AD46" s="46">
        <v>1686488.2399999998</v>
      </c>
      <c r="AE46" s="46">
        <v>1862900.9999999998</v>
      </c>
      <c r="AF46" s="46">
        <v>2278664.34</v>
      </c>
      <c r="AG46" s="46">
        <v>2813126</v>
      </c>
      <c r="AH46" s="46">
        <v>3289771.59</v>
      </c>
      <c r="AI46" s="46">
        <v>3697831.11</v>
      </c>
      <c r="AJ46" s="46">
        <v>3900717.4</v>
      </c>
      <c r="AK46" s="46">
        <v>4087079.7399999998</v>
      </c>
      <c r="AL46" s="46">
        <v>4305525.0999999996</v>
      </c>
      <c r="AM46" s="46">
        <v>4552393.01</v>
      </c>
      <c r="AN46" s="46">
        <v>4778787.0999999996</v>
      </c>
      <c r="AO46" s="46">
        <v>5045402.72</v>
      </c>
      <c r="AP46" s="46">
        <v>5300788.51</v>
      </c>
      <c r="AQ46" s="46">
        <v>5635365.4399999995</v>
      </c>
      <c r="AR46" s="46">
        <v>6411912.9499999993</v>
      </c>
      <c r="CB46" s="171"/>
      <c r="CC46" s="274" t="s">
        <v>23</v>
      </c>
      <c r="CD46" s="17"/>
      <c r="CE46" s="3"/>
      <c r="CF46" s="3"/>
      <c r="CG46" s="3"/>
      <c r="CH46" s="3"/>
      <c r="CI46" s="3"/>
      <c r="CJ46" s="3"/>
      <c r="CK46" s="3"/>
      <c r="CL46" s="5"/>
      <c r="CM46" s="5"/>
      <c r="CN46" s="274" t="s">
        <v>23</v>
      </c>
      <c r="CO46" s="17"/>
      <c r="CP46" s="3"/>
      <c r="CQ46" s="3"/>
      <c r="CR46" s="3"/>
      <c r="CS46" s="3"/>
      <c r="CT46" s="3"/>
      <c r="CU46" s="3"/>
      <c r="CV46" s="3"/>
      <c r="CW46" s="5"/>
      <c r="CX46" s="5"/>
      <c r="CY46" s="5"/>
    </row>
    <row r="47" spans="1:103" ht="14.5" x14ac:dyDescent="0.35">
      <c r="A47" s="40" t="s">
        <v>37</v>
      </c>
      <c r="C47" s="41"/>
      <c r="D47" s="41"/>
      <c r="E47" s="45">
        <v>0</v>
      </c>
      <c r="F47" s="45">
        <v>0</v>
      </c>
      <c r="G47" s="45">
        <v>0</v>
      </c>
      <c r="H47" s="45">
        <v>0</v>
      </c>
      <c r="I47" s="45">
        <v>360.22</v>
      </c>
      <c r="J47" s="45">
        <v>1610.72</v>
      </c>
      <c r="K47" s="45">
        <v>3708.4399999999996</v>
      </c>
      <c r="L47" s="45">
        <v>5556.58</v>
      </c>
      <c r="M47" s="45">
        <v>7842.59</v>
      </c>
      <c r="N47" s="45">
        <v>10918.86</v>
      </c>
      <c r="O47" s="45">
        <v>16615.46</v>
      </c>
      <c r="P47" s="45">
        <v>22758.07</v>
      </c>
      <c r="Q47" s="45">
        <v>31593.03</v>
      </c>
      <c r="R47" s="45">
        <v>39281.5</v>
      </c>
      <c r="S47" s="45">
        <v>50126.66</v>
      </c>
      <c r="T47" s="45">
        <v>70160.39</v>
      </c>
      <c r="U47" s="45">
        <v>99498.43</v>
      </c>
      <c r="V47" s="45">
        <v>125723.48999999999</v>
      </c>
      <c r="W47" s="45">
        <v>151515.57</v>
      </c>
      <c r="X47" s="46">
        <v>170427.22</v>
      </c>
      <c r="Y47" s="46">
        <v>188562.65</v>
      </c>
      <c r="Z47" s="46">
        <v>208655.59</v>
      </c>
      <c r="AA47" s="46">
        <v>231472.88999999998</v>
      </c>
      <c r="AB47" s="46">
        <v>251997.65999999997</v>
      </c>
      <c r="AC47" s="46">
        <v>274863.21999999997</v>
      </c>
      <c r="AD47" s="46">
        <v>298818.81999999995</v>
      </c>
      <c r="AE47" s="46">
        <v>331875.56999999995</v>
      </c>
      <c r="AF47" s="46">
        <v>404071.67999999993</v>
      </c>
      <c r="AG47" s="46">
        <v>500160.08999999997</v>
      </c>
      <c r="AH47" s="46">
        <v>581014.66999999993</v>
      </c>
      <c r="AI47" s="46">
        <v>646771.12999999989</v>
      </c>
      <c r="AJ47" s="46">
        <v>682335.71999999986</v>
      </c>
      <c r="AK47" s="46">
        <v>715657.68999999983</v>
      </c>
      <c r="AL47" s="46">
        <v>756057.14999999979</v>
      </c>
      <c r="AM47" s="46">
        <v>803044.9099999998</v>
      </c>
      <c r="AN47" s="46">
        <v>850516.91999999981</v>
      </c>
      <c r="AO47" s="46">
        <v>903405.12999999977</v>
      </c>
      <c r="AP47" s="46">
        <v>953931.43999999971</v>
      </c>
      <c r="AQ47" s="46">
        <v>1023538.6499999997</v>
      </c>
      <c r="AR47" s="46">
        <v>1212863.4699999997</v>
      </c>
      <c r="CB47" s="171"/>
      <c r="CC47" s="274"/>
      <c r="CD47" s="17" t="s">
        <v>28</v>
      </c>
      <c r="CE47" s="248">
        <v>10374.580000000075</v>
      </c>
      <c r="CF47" s="248">
        <v>12057.450000001118</v>
      </c>
      <c r="CG47" s="248">
        <v>12824.789999999106</v>
      </c>
      <c r="CH47" s="248">
        <v>10330.179999999702</v>
      </c>
      <c r="CI47" s="248">
        <v>0</v>
      </c>
      <c r="CJ47" s="248">
        <v>0</v>
      </c>
      <c r="CK47" s="248">
        <v>0</v>
      </c>
      <c r="CL47" s="5"/>
      <c r="CM47" s="5"/>
      <c r="CN47" s="274"/>
      <c r="CO47" s="17" t="s">
        <v>28</v>
      </c>
      <c r="CP47" s="248">
        <v>10374.580000000075</v>
      </c>
      <c r="CQ47" s="248">
        <v>12057.450000001118</v>
      </c>
      <c r="CR47" s="248">
        <v>12824.789999999106</v>
      </c>
      <c r="CS47" s="248">
        <v>10330.179999999702</v>
      </c>
      <c r="CT47" s="248">
        <v>0</v>
      </c>
      <c r="CU47" s="248">
        <v>0</v>
      </c>
      <c r="CV47" s="248">
        <v>0</v>
      </c>
      <c r="CW47" s="5"/>
      <c r="CX47" s="5"/>
      <c r="CY47" s="5"/>
    </row>
    <row r="48" spans="1:103" ht="14.5" x14ac:dyDescent="0.35">
      <c r="A48" s="40" t="s">
        <v>29</v>
      </c>
      <c r="C48" s="41"/>
      <c r="D48" s="41"/>
      <c r="E48" s="45">
        <v>0</v>
      </c>
      <c r="F48" s="45">
        <v>0</v>
      </c>
      <c r="G48" s="45">
        <v>0</v>
      </c>
      <c r="H48" s="45">
        <v>0</v>
      </c>
      <c r="I48" s="45">
        <v>0</v>
      </c>
      <c r="J48" s="45">
        <v>1868.8500000000001</v>
      </c>
      <c r="K48" s="45">
        <v>4053.29</v>
      </c>
      <c r="L48" s="45">
        <v>5059.2199999999993</v>
      </c>
      <c r="M48" s="45">
        <v>7508.869999999999</v>
      </c>
      <c r="N48" s="45">
        <v>12297.34</v>
      </c>
      <c r="O48" s="45">
        <v>18722.91</v>
      </c>
      <c r="P48" s="45">
        <v>25431.389999999996</v>
      </c>
      <c r="Q48" s="45">
        <v>32318.059999999998</v>
      </c>
      <c r="R48" s="45">
        <v>36911.199999999997</v>
      </c>
      <c r="S48" s="45">
        <v>42919.069999999992</v>
      </c>
      <c r="T48" s="45">
        <v>58636.82</v>
      </c>
      <c r="U48" s="45">
        <v>76159.05</v>
      </c>
      <c r="V48" s="45">
        <v>95963.299999999988</v>
      </c>
      <c r="W48" s="45">
        <v>116157.13999999998</v>
      </c>
      <c r="X48" s="46">
        <v>126888.96999999999</v>
      </c>
      <c r="Y48" s="46">
        <v>141420.74</v>
      </c>
      <c r="Z48" s="46">
        <v>160909.37999999995</v>
      </c>
      <c r="AA48" s="46">
        <v>181160.15999999997</v>
      </c>
      <c r="AB48" s="46">
        <v>201561.77999999997</v>
      </c>
      <c r="AC48" s="46">
        <v>224861.17999999996</v>
      </c>
      <c r="AD48" s="46">
        <v>245754.5</v>
      </c>
      <c r="AE48" s="46">
        <v>270978.73999999993</v>
      </c>
      <c r="AF48" s="46">
        <v>332977.51</v>
      </c>
      <c r="AG48" s="46">
        <v>413877.85</v>
      </c>
      <c r="AH48" s="46">
        <v>491349.19999999995</v>
      </c>
      <c r="AI48" s="46">
        <v>559548.25</v>
      </c>
      <c r="AJ48" s="46">
        <v>594952.58000000007</v>
      </c>
      <c r="AK48" s="46">
        <v>633938.96</v>
      </c>
      <c r="AL48" s="46">
        <v>682172.33</v>
      </c>
      <c r="AM48" s="46">
        <v>733968.09999999986</v>
      </c>
      <c r="AN48" s="46">
        <v>782012.6399999999</v>
      </c>
      <c r="AO48" s="46">
        <v>835173.21</v>
      </c>
      <c r="AP48" s="46">
        <v>883852.3</v>
      </c>
      <c r="AQ48" s="46">
        <v>942837.01</v>
      </c>
      <c r="AR48" s="46">
        <v>1071794.97</v>
      </c>
      <c r="CB48" s="172"/>
      <c r="CC48" s="274"/>
      <c r="CD48" s="18" t="s">
        <v>26</v>
      </c>
      <c r="CE48" s="248">
        <v>-22828.889630809208</v>
      </c>
      <c r="CF48" s="248">
        <v>-29924.142514541847</v>
      </c>
      <c r="CG48" s="248">
        <v>-28848.082586273878</v>
      </c>
      <c r="CH48" s="248">
        <v>-20936.748032217365</v>
      </c>
      <c r="CI48" s="248">
        <v>-9363.3583204824445</v>
      </c>
      <c r="CJ48" s="248">
        <v>-9437.0051141241493</v>
      </c>
      <c r="CK48" s="248">
        <v>-9234.9091119732129</v>
      </c>
      <c r="CL48" s="3"/>
      <c r="CM48" s="3"/>
      <c r="CN48" s="274"/>
      <c r="CO48" s="18" t="s">
        <v>26</v>
      </c>
      <c r="CP48" s="248">
        <v>-22705.686486155013</v>
      </c>
      <c r="CQ48" s="248">
        <v>-29648.694170827279</v>
      </c>
      <c r="CR48" s="248">
        <v>-28388.594686249391</v>
      </c>
      <c r="CS48" s="248">
        <v>-20595.01936131802</v>
      </c>
      <c r="CT48" s="248">
        <v>-9348.310124921727</v>
      </c>
      <c r="CU48" s="248">
        <v>-9429.8658266884941</v>
      </c>
      <c r="CV48" s="248">
        <v>-9234.0736114224255</v>
      </c>
      <c r="CW48" s="3"/>
      <c r="CX48" s="3"/>
      <c r="CY48" s="3"/>
    </row>
    <row r="49" spans="1:103" ht="14.5" x14ac:dyDescent="0.35">
      <c r="A49" s="35" t="s">
        <v>31</v>
      </c>
      <c r="B49" s="35"/>
      <c r="C49" s="33"/>
      <c r="D49" s="33"/>
      <c r="E49" s="48">
        <f>SUM(E43:E48)</f>
        <v>0</v>
      </c>
      <c r="F49" s="48">
        <f t="shared" ref="F49:AR49" si="14">SUM(F43:F48)</f>
        <v>1315.62</v>
      </c>
      <c r="G49" s="48">
        <f t="shared" si="14"/>
        <v>10863.39</v>
      </c>
      <c r="H49" s="48">
        <f t="shared" si="14"/>
        <v>142699.94</v>
      </c>
      <c r="I49" s="48">
        <f t="shared" si="14"/>
        <v>438313.19</v>
      </c>
      <c r="J49" s="48">
        <f t="shared" si="14"/>
        <v>1058629.68</v>
      </c>
      <c r="K49" s="48">
        <f t="shared" si="14"/>
        <v>1614027.89</v>
      </c>
      <c r="L49" s="48">
        <f t="shared" si="14"/>
        <v>1812542.2600000002</v>
      </c>
      <c r="M49" s="48">
        <f t="shared" si="14"/>
        <v>2090019.22</v>
      </c>
      <c r="N49" s="48">
        <f t="shared" si="14"/>
        <v>2524886.6199999996</v>
      </c>
      <c r="O49" s="48">
        <f t="shared" si="14"/>
        <v>3033346.0200000005</v>
      </c>
      <c r="P49" s="48">
        <f t="shared" si="14"/>
        <v>3524091.5100000002</v>
      </c>
      <c r="Q49" s="48">
        <f t="shared" si="14"/>
        <v>4051567.7300000004</v>
      </c>
      <c r="R49" s="48">
        <f t="shared" si="14"/>
        <v>4310521.2500000009</v>
      </c>
      <c r="S49" s="48">
        <f t="shared" si="14"/>
        <v>4704832.1400000006</v>
      </c>
      <c r="T49" s="48">
        <f t="shared" si="14"/>
        <v>6047091.5499999998</v>
      </c>
      <c r="U49" s="48">
        <f t="shared" si="14"/>
        <v>8009580.4799999995</v>
      </c>
      <c r="V49" s="48">
        <f t="shared" si="14"/>
        <v>10110446.210000003</v>
      </c>
      <c r="W49" s="48">
        <f t="shared" si="14"/>
        <v>11760198.290000001</v>
      </c>
      <c r="X49" s="48">
        <f t="shared" si="14"/>
        <v>12511819.440000001</v>
      </c>
      <c r="Y49" s="48">
        <f t="shared" si="14"/>
        <v>13353279.850000001</v>
      </c>
      <c r="Z49" s="48">
        <f t="shared" si="14"/>
        <v>14438914.670000002</v>
      </c>
      <c r="AA49" s="48">
        <f t="shared" si="14"/>
        <v>15622037.74</v>
      </c>
      <c r="AB49" s="48">
        <f t="shared" si="14"/>
        <v>16663273.539999997</v>
      </c>
      <c r="AC49" s="48">
        <f t="shared" si="14"/>
        <v>17776699.969999999</v>
      </c>
      <c r="AD49" s="48">
        <f t="shared" si="14"/>
        <v>18834041.089999996</v>
      </c>
      <c r="AE49" s="48">
        <f t="shared" si="14"/>
        <v>20254890.999999996</v>
      </c>
      <c r="AF49" s="48">
        <f t="shared" si="14"/>
        <v>24053993.350000001</v>
      </c>
      <c r="AG49" s="48">
        <f t="shared" si="14"/>
        <v>29182799.529999997</v>
      </c>
      <c r="AH49" s="48">
        <f t="shared" si="14"/>
        <v>33880286.300000004</v>
      </c>
      <c r="AI49" s="48">
        <f t="shared" si="14"/>
        <v>37457563.890000001</v>
      </c>
      <c r="AJ49" s="48">
        <f t="shared" si="14"/>
        <v>39009875.279999994</v>
      </c>
      <c r="AK49" s="48">
        <f t="shared" si="14"/>
        <v>40570841.159999996</v>
      </c>
      <c r="AL49" s="48">
        <f t="shared" si="14"/>
        <v>42473339.939999998</v>
      </c>
      <c r="AM49" s="48">
        <f t="shared" si="14"/>
        <v>44517886.669999994</v>
      </c>
      <c r="AN49" s="48">
        <f t="shared" si="14"/>
        <v>46337110.400000006</v>
      </c>
      <c r="AO49" s="48">
        <f t="shared" si="14"/>
        <v>48329068.719999999</v>
      </c>
      <c r="AP49" s="48">
        <f t="shared" si="14"/>
        <v>50181125.049999997</v>
      </c>
      <c r="AQ49" s="48">
        <f t="shared" si="14"/>
        <v>52585324.669999994</v>
      </c>
      <c r="AR49" s="48">
        <f t="shared" si="14"/>
        <v>58665953.920000002</v>
      </c>
      <c r="CB49" s="171"/>
      <c r="CC49" s="274"/>
      <c r="CD49" s="18" t="s">
        <v>51</v>
      </c>
      <c r="CE49" s="248">
        <v>39890.089999999997</v>
      </c>
      <c r="CF49" s="248">
        <v>52432.800000000003</v>
      </c>
      <c r="CG49" s="248">
        <v>50635.33</v>
      </c>
      <c r="CH49" s="248">
        <v>23630.6</v>
      </c>
      <c r="CI49" s="248">
        <v>10235.24</v>
      </c>
      <c r="CJ49" s="248">
        <v>10302.52</v>
      </c>
      <c r="CK49" s="248">
        <v>10077.35</v>
      </c>
      <c r="CL49" s="5"/>
      <c r="CM49" s="5"/>
      <c r="CN49" s="274"/>
      <c r="CO49" s="18" t="s">
        <v>51</v>
      </c>
      <c r="CP49" s="248">
        <v>39890.089999999997</v>
      </c>
      <c r="CQ49" s="248">
        <v>52432.800000000003</v>
      </c>
      <c r="CR49" s="248">
        <v>50635.33</v>
      </c>
      <c r="CS49" s="248">
        <v>23630.6</v>
      </c>
      <c r="CT49" s="248">
        <v>10235.24</v>
      </c>
      <c r="CU49" s="248">
        <v>10302.52</v>
      </c>
      <c r="CV49" s="248">
        <v>10077.35</v>
      </c>
      <c r="CW49" s="5"/>
      <c r="CX49" s="5"/>
      <c r="CY49" s="5"/>
    </row>
    <row r="50" spans="1:103" ht="14.5" x14ac:dyDescent="0.35">
      <c r="A50" s="40"/>
      <c r="C50" s="41"/>
      <c r="D50" s="41"/>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CB50" s="171"/>
      <c r="CC50" s="274"/>
      <c r="CD50" s="18" t="s">
        <v>52</v>
      </c>
      <c r="CE50" s="248">
        <v>17061.200369190788</v>
      </c>
      <c r="CF50" s="248">
        <v>22508.657485458156</v>
      </c>
      <c r="CG50" s="248">
        <v>21787.247413726123</v>
      </c>
      <c r="CH50" s="248">
        <v>2693.8519677826334</v>
      </c>
      <c r="CI50" s="248">
        <v>871.88167951755531</v>
      </c>
      <c r="CJ50" s="248">
        <v>865.51488587585118</v>
      </c>
      <c r="CK50" s="248">
        <v>842.44088802678743</v>
      </c>
      <c r="CL50" s="5"/>
      <c r="CM50" s="5"/>
      <c r="CN50" s="274"/>
      <c r="CO50" s="18" t="s">
        <v>52</v>
      </c>
      <c r="CP50" s="248">
        <v>17184.403513844984</v>
      </c>
      <c r="CQ50" s="248">
        <v>22784.105829172724</v>
      </c>
      <c r="CR50" s="248">
        <v>22246.735313750611</v>
      </c>
      <c r="CS50" s="248">
        <v>3035.5806386819786</v>
      </c>
      <c r="CT50" s="248">
        <v>886.92987507827274</v>
      </c>
      <c r="CU50" s="248">
        <v>872.65417331150638</v>
      </c>
      <c r="CV50" s="248">
        <v>843.27638857757483</v>
      </c>
      <c r="CW50" s="5" t="s">
        <v>118</v>
      </c>
      <c r="CX50" s="5" t="s">
        <v>119</v>
      </c>
      <c r="CY50" s="5" t="s">
        <v>120</v>
      </c>
    </row>
    <row r="51" spans="1:103" ht="14.5" x14ac:dyDescent="0.35">
      <c r="A51" s="39" t="s">
        <v>39</v>
      </c>
      <c r="B51" s="39"/>
      <c r="C51" s="41"/>
      <c r="D51" s="41"/>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CB51" s="171"/>
      <c r="CC51" s="274"/>
      <c r="CD51" s="18" t="s">
        <v>13</v>
      </c>
      <c r="CE51" s="248">
        <v>-6686.620369190714</v>
      </c>
      <c r="CF51" s="248">
        <v>-10451.207485457038</v>
      </c>
      <c r="CG51" s="248">
        <v>-8962.4574137270174</v>
      </c>
      <c r="CH51" s="248">
        <v>7636.3280322170685</v>
      </c>
      <c r="CI51" s="248">
        <v>-871.88167951755531</v>
      </c>
      <c r="CJ51" s="248">
        <v>-865.51488587585118</v>
      </c>
      <c r="CK51" s="248">
        <v>-842.44088802678743</v>
      </c>
      <c r="CL51" s="5"/>
      <c r="CM51" s="5"/>
      <c r="CN51" s="274"/>
      <c r="CO51" s="18" t="s">
        <v>13</v>
      </c>
      <c r="CP51" s="248">
        <v>-6809.823513844909</v>
      </c>
      <c r="CQ51" s="248">
        <v>-10726.655829171606</v>
      </c>
      <c r="CR51" s="248">
        <v>-9421.9453137515047</v>
      </c>
      <c r="CS51" s="248">
        <v>7294.5993613177234</v>
      </c>
      <c r="CT51" s="248">
        <v>-886.92987507827274</v>
      </c>
      <c r="CU51" s="248">
        <v>-872.65417331150638</v>
      </c>
      <c r="CV51" s="248">
        <v>-843.27638857757483</v>
      </c>
      <c r="CW51" s="249">
        <f>SUM(CP51:CV51)</f>
        <v>-22266.685732417649</v>
      </c>
      <c r="CX51" s="249">
        <f>SUM(CE51:CK51)</f>
        <v>-21043.794689577895</v>
      </c>
      <c r="CY51" s="249">
        <f>CW51-CX51</f>
        <v>-1222.8910428397539</v>
      </c>
    </row>
    <row r="52" spans="1:103" ht="14.5" x14ac:dyDescent="0.35">
      <c r="A52" s="42" t="s">
        <v>33</v>
      </c>
      <c r="B52" s="42"/>
      <c r="C52" s="41"/>
      <c r="D52" s="41"/>
      <c r="E52" s="49">
        <f>E43-D43</f>
        <v>0</v>
      </c>
      <c r="F52" s="49">
        <f>IF(F43="","",F43-E43)</f>
        <v>1315.62</v>
      </c>
      <c r="G52" s="49">
        <f>IF(G43="","",G43-F43)</f>
        <v>9547.77</v>
      </c>
      <c r="H52" s="49">
        <f t="shared" ref="H52:AR57" si="15">IF(H43="","",H43-G43)</f>
        <v>120303.14999999998</v>
      </c>
      <c r="I52" s="49">
        <f t="shared" si="15"/>
        <v>255869.48000000004</v>
      </c>
      <c r="J52" s="49">
        <f t="shared" si="15"/>
        <v>567391.97</v>
      </c>
      <c r="K52" s="49">
        <f t="shared" si="15"/>
        <v>467919.47</v>
      </c>
      <c r="L52" s="49">
        <f t="shared" si="15"/>
        <v>119587.87000000011</v>
      </c>
      <c r="M52" s="49">
        <f t="shared" si="15"/>
        <v>182140.42999999993</v>
      </c>
      <c r="N52" s="49">
        <f t="shared" si="15"/>
        <v>296930.48</v>
      </c>
      <c r="O52" s="49">
        <f t="shared" si="15"/>
        <v>324061.40000000014</v>
      </c>
      <c r="P52" s="49">
        <f t="shared" si="15"/>
        <v>320111.45000000019</v>
      </c>
      <c r="Q52" s="49">
        <f t="shared" si="15"/>
        <v>315544.60000000009</v>
      </c>
      <c r="R52" s="49">
        <f t="shared" si="15"/>
        <v>150753.74000000022</v>
      </c>
      <c r="S52" s="49">
        <f t="shared" si="15"/>
        <v>199591.58999999985</v>
      </c>
      <c r="T52" s="49">
        <f t="shared" si="15"/>
        <v>870737.87999999989</v>
      </c>
      <c r="U52" s="49">
        <f t="shared" si="15"/>
        <v>1271240.8200000003</v>
      </c>
      <c r="V52" s="49">
        <f t="shared" si="15"/>
        <v>1392106.54</v>
      </c>
      <c r="W52" s="49">
        <f t="shared" si="15"/>
        <v>903279.41000000015</v>
      </c>
      <c r="X52" s="49">
        <f t="shared" si="15"/>
        <v>278132.34999999963</v>
      </c>
      <c r="Y52" s="49">
        <f>IF(Y43="","",Y43-X43)</f>
        <v>383605.96999999974</v>
      </c>
      <c r="Z52" s="49">
        <f t="shared" si="15"/>
        <v>543479.80000000075</v>
      </c>
      <c r="AA52" s="49">
        <f t="shared" si="15"/>
        <v>553020.93999999948</v>
      </c>
      <c r="AB52" s="49">
        <f t="shared" si="15"/>
        <v>489502.94999999925</v>
      </c>
      <c r="AC52" s="49">
        <f t="shared" si="15"/>
        <v>460731.59999999963</v>
      </c>
      <c r="AD52" s="49">
        <f t="shared" si="15"/>
        <v>368310.34999999963</v>
      </c>
      <c r="AE52" s="49">
        <f t="shared" si="15"/>
        <v>481271.76999999955</v>
      </c>
      <c r="AF52" s="49">
        <f t="shared" si="15"/>
        <v>1992958.7200000007</v>
      </c>
      <c r="AG52" s="49">
        <f t="shared" si="15"/>
        <v>2705657.17</v>
      </c>
      <c r="AH52" s="49">
        <f t="shared" si="15"/>
        <v>2605813.370000001</v>
      </c>
      <c r="AI52" s="49">
        <f t="shared" si="15"/>
        <v>1528630.7199999988</v>
      </c>
      <c r="AJ52" s="49">
        <f t="shared" si="15"/>
        <v>379218.26999999955</v>
      </c>
      <c r="AK52" s="49">
        <f t="shared" si="15"/>
        <v>486524.03999999911</v>
      </c>
      <c r="AL52" s="49">
        <f t="shared" si="15"/>
        <v>662508.23000000045</v>
      </c>
      <c r="AM52" s="49">
        <f t="shared" si="15"/>
        <v>662656.35000000149</v>
      </c>
      <c r="AN52" s="49">
        <f t="shared" si="15"/>
        <v>592416.80000000075</v>
      </c>
      <c r="AO52" s="49">
        <f>IF(AO43="","",AO43-AN43)</f>
        <v>551957.44999999925</v>
      </c>
      <c r="AP52" s="49">
        <f>IF(AP43="","",AP43-AO43)</f>
        <v>435625.12000000104</v>
      </c>
      <c r="AQ52" s="49">
        <f t="shared" si="15"/>
        <v>590410.62999999896</v>
      </c>
      <c r="AR52" s="49">
        <f t="shared" si="15"/>
        <v>2623393.1900000013</v>
      </c>
      <c r="CB52" s="171"/>
      <c r="CC52" s="274"/>
      <c r="CD52" s="19" t="s">
        <v>8</v>
      </c>
      <c r="CE52" s="248">
        <v>-27.035384303313489</v>
      </c>
      <c r="CF52" s="248">
        <v>-36.855312051041274</v>
      </c>
      <c r="CG52" s="248">
        <v>-25.039728528201056</v>
      </c>
      <c r="CH52" s="248">
        <v>-23.894863251534023</v>
      </c>
      <c r="CI52" s="248">
        <v>-50.234736557447974</v>
      </c>
      <c r="CJ52" s="248">
        <v>-39.124245328254908</v>
      </c>
      <c r="CK52" s="248">
        <v>-54.60684331866792</v>
      </c>
      <c r="CL52" s="5"/>
      <c r="CM52" s="5"/>
      <c r="CN52" s="274"/>
      <c r="CO52" s="19" t="s">
        <v>8</v>
      </c>
      <c r="CP52" s="248">
        <v>-27.051114162137921</v>
      </c>
      <c r="CQ52" s="248">
        <v>-36.9418440996483</v>
      </c>
      <c r="CR52" s="248">
        <v>-25.207407490628555</v>
      </c>
      <c r="CS52" s="248">
        <v>-24.190746274209076</v>
      </c>
      <c r="CT52" s="248">
        <v>-50.931912768175017</v>
      </c>
      <c r="CU52" s="248">
        <v>-39.736328683212392</v>
      </c>
      <c r="CV52" s="248">
        <v>-55.576148746981119</v>
      </c>
      <c r="CW52" s="5"/>
      <c r="CX52" s="5"/>
      <c r="CY52" s="5"/>
    </row>
    <row r="53" spans="1:103" ht="14.5" x14ac:dyDescent="0.35">
      <c r="A53" s="42" t="s">
        <v>34</v>
      </c>
      <c r="B53" s="42"/>
      <c r="C53" s="41"/>
      <c r="D53" s="41"/>
      <c r="E53" s="49">
        <f t="shared" ref="E53:E57" si="16">E44-D44</f>
        <v>0</v>
      </c>
      <c r="F53" s="49">
        <f t="shared" ref="F53:U57" si="17">IF(F44="","",F44-E44)</f>
        <v>0</v>
      </c>
      <c r="G53" s="49">
        <f t="shared" si="17"/>
        <v>0</v>
      </c>
      <c r="H53" s="49">
        <f t="shared" si="17"/>
        <v>4137.67</v>
      </c>
      <c r="I53" s="49">
        <f t="shared" si="17"/>
        <v>13242.22</v>
      </c>
      <c r="J53" s="49">
        <f t="shared" si="17"/>
        <v>14331.09</v>
      </c>
      <c r="K53" s="49">
        <f t="shared" si="17"/>
        <v>22190.3</v>
      </c>
      <c r="L53" s="49">
        <f t="shared" si="17"/>
        <v>23491.300000000003</v>
      </c>
      <c r="M53" s="49">
        <f t="shared" si="17"/>
        <v>27416.849999999991</v>
      </c>
      <c r="N53" s="49">
        <f t="shared" si="17"/>
        <v>36823.330000000016</v>
      </c>
      <c r="O53" s="49">
        <f t="shared" si="17"/>
        <v>47548.130000000005</v>
      </c>
      <c r="P53" s="49">
        <f t="shared" si="17"/>
        <v>42450.630000000005</v>
      </c>
      <c r="Q53" s="49">
        <f t="shared" si="17"/>
        <v>52685.539999999979</v>
      </c>
      <c r="R53" s="49">
        <f t="shared" si="17"/>
        <v>23931.960000000021</v>
      </c>
      <c r="S53" s="49">
        <f t="shared" si="17"/>
        <v>45027.839999999967</v>
      </c>
      <c r="T53" s="49">
        <f t="shared" si="17"/>
        <v>84659.82</v>
      </c>
      <c r="U53" s="49">
        <f t="shared" si="17"/>
        <v>132121.25999999995</v>
      </c>
      <c r="V53" s="49">
        <f t="shared" si="15"/>
        <v>124281.14000000001</v>
      </c>
      <c r="W53" s="49">
        <f t="shared" si="15"/>
        <v>143538.96999999997</v>
      </c>
      <c r="X53" s="49">
        <f t="shared" si="15"/>
        <v>111032.25</v>
      </c>
      <c r="Y53" s="49">
        <f t="shared" si="15"/>
        <v>106173.28999999992</v>
      </c>
      <c r="Z53" s="49">
        <f t="shared" si="15"/>
        <v>123626.43999999994</v>
      </c>
      <c r="AA53" s="49">
        <f t="shared" si="15"/>
        <v>146061.08000000007</v>
      </c>
      <c r="AB53" s="49">
        <f t="shared" si="15"/>
        <v>126176.6399999999</v>
      </c>
      <c r="AC53" s="49">
        <f t="shared" si="15"/>
        <v>157672.47999999998</v>
      </c>
      <c r="AD53" s="49">
        <f t="shared" si="15"/>
        <v>181119.55000000005</v>
      </c>
      <c r="AE53" s="49">
        <f t="shared" si="15"/>
        <v>254712.54000000004</v>
      </c>
      <c r="AF53" s="49">
        <f t="shared" si="15"/>
        <v>381780.64000000013</v>
      </c>
      <c r="AG53" s="49">
        <f t="shared" si="15"/>
        <v>530455.33000000007</v>
      </c>
      <c r="AH53" s="49">
        <f t="shared" si="15"/>
        <v>443439.29999999981</v>
      </c>
      <c r="AI53" s="49">
        <f t="shared" si="15"/>
        <v>502161.53000000026</v>
      </c>
      <c r="AJ53" s="49">
        <f t="shared" si="15"/>
        <v>343675.77000000048</v>
      </c>
      <c r="AK53" s="49">
        <f t="shared" si="15"/>
        <v>311009.05999999959</v>
      </c>
      <c r="AL53" s="49">
        <f t="shared" si="15"/>
        <v>343993.12999999989</v>
      </c>
      <c r="AM53" s="49">
        <f t="shared" si="15"/>
        <v>370770.33000000007</v>
      </c>
      <c r="AN53" s="49">
        <f t="shared" si="15"/>
        <v>314774.40000000037</v>
      </c>
      <c r="AO53" s="49">
        <f>IF(AO44="","",AO44-AN44)</f>
        <v>379291.84999999963</v>
      </c>
      <c r="AP53" s="49">
        <f t="shared" si="15"/>
        <v>387410.63999999966</v>
      </c>
      <c r="AQ53" s="49">
        <f t="shared" si="15"/>
        <v>492297.45000000019</v>
      </c>
      <c r="AR53" s="49">
        <f t="shared" si="15"/>
        <v>697197.21</v>
      </c>
      <c r="CB53" s="171"/>
      <c r="CC53" s="274"/>
      <c r="CD53" s="18" t="s">
        <v>14</v>
      </c>
      <c r="CE53" s="248">
        <v>-6713.6557534940275</v>
      </c>
      <c r="CF53" s="248">
        <v>-10488.062797508079</v>
      </c>
      <c r="CG53" s="248">
        <v>-8987.4971422552189</v>
      </c>
      <c r="CH53" s="248">
        <v>7612.4331689655346</v>
      </c>
      <c r="CI53" s="248">
        <v>-922.11641607500326</v>
      </c>
      <c r="CJ53" s="248">
        <v>-904.63913120410609</v>
      </c>
      <c r="CK53" s="248">
        <v>-897.0477313454553</v>
      </c>
      <c r="CL53" s="5"/>
      <c r="CM53" s="5"/>
      <c r="CN53" s="274"/>
      <c r="CO53" s="18" t="s">
        <v>14</v>
      </c>
      <c r="CP53" s="248">
        <v>-6836.8746280070472</v>
      </c>
      <c r="CQ53" s="248">
        <v>-10763.597673271255</v>
      </c>
      <c r="CR53" s="248">
        <v>-9447.1527212421333</v>
      </c>
      <c r="CS53" s="248">
        <v>7270.4086150435141</v>
      </c>
      <c r="CT53" s="248">
        <v>-937.86178784644778</v>
      </c>
      <c r="CU53" s="248">
        <v>-912.39050199471876</v>
      </c>
      <c r="CV53" s="248">
        <v>-898.8525373245559</v>
      </c>
      <c r="CW53" s="5"/>
      <c r="CX53" s="5"/>
      <c r="CY53" s="5"/>
    </row>
    <row r="54" spans="1:103" ht="14.5" x14ac:dyDescent="0.35">
      <c r="A54" s="42" t="s">
        <v>35</v>
      </c>
      <c r="B54" s="42"/>
      <c r="C54" s="41"/>
      <c r="D54" s="41"/>
      <c r="E54" s="49">
        <f t="shared" si="16"/>
        <v>0</v>
      </c>
      <c r="F54" s="49">
        <f t="shared" si="17"/>
        <v>0</v>
      </c>
      <c r="G54" s="49">
        <f t="shared" si="17"/>
        <v>0</v>
      </c>
      <c r="H54" s="49">
        <f t="shared" si="17"/>
        <v>6869.5</v>
      </c>
      <c r="I54" s="49">
        <f t="shared" si="17"/>
        <v>24434.09</v>
      </c>
      <c r="J54" s="49">
        <f t="shared" si="17"/>
        <v>33445.11</v>
      </c>
      <c r="K54" s="49">
        <f t="shared" si="17"/>
        <v>56507.020000000004</v>
      </c>
      <c r="L54" s="49">
        <f t="shared" si="17"/>
        <v>48297.09</v>
      </c>
      <c r="M54" s="49">
        <f t="shared" si="17"/>
        <v>55956.100000000006</v>
      </c>
      <c r="N54" s="49">
        <f t="shared" si="17"/>
        <v>75636.610000000015</v>
      </c>
      <c r="O54" s="49">
        <f t="shared" si="17"/>
        <v>97435.44</v>
      </c>
      <c r="P54" s="49">
        <f t="shared" si="17"/>
        <v>91627.37</v>
      </c>
      <c r="Q54" s="49">
        <f t="shared" si="17"/>
        <v>114648.81</v>
      </c>
      <c r="R54" s="49">
        <f t="shared" si="17"/>
        <v>61457.510000000009</v>
      </c>
      <c r="S54" s="49">
        <f t="shared" si="17"/>
        <v>104155.95999999996</v>
      </c>
      <c r="T54" s="49">
        <f t="shared" si="17"/>
        <v>224334.44000000006</v>
      </c>
      <c r="U54" s="49">
        <f t="shared" si="17"/>
        <v>335547.18999999994</v>
      </c>
      <c r="V54" s="49">
        <f t="shared" si="15"/>
        <v>322432.45999999996</v>
      </c>
      <c r="W54" s="49">
        <f t="shared" si="15"/>
        <v>354622.04000000004</v>
      </c>
      <c r="X54" s="49">
        <f t="shared" si="15"/>
        <v>232465.65000000014</v>
      </c>
      <c r="Y54" s="49">
        <f t="shared" si="15"/>
        <v>223717.25</v>
      </c>
      <c r="Z54" s="49">
        <f t="shared" si="15"/>
        <v>266782</v>
      </c>
      <c r="AA54" s="49">
        <f t="shared" si="15"/>
        <v>312134.54999999981</v>
      </c>
      <c r="AB54" s="49">
        <f t="shared" si="15"/>
        <v>271524.5299999998</v>
      </c>
      <c r="AC54" s="49">
        <f t="shared" si="15"/>
        <v>319501.77</v>
      </c>
      <c r="AD54" s="49">
        <f t="shared" si="15"/>
        <v>334489.62999999989</v>
      </c>
      <c r="AE54" s="49">
        <f t="shared" si="15"/>
        <v>450171.85000000009</v>
      </c>
      <c r="AF54" s="49">
        <f t="shared" si="15"/>
        <v>874404.77000000048</v>
      </c>
      <c r="AG54" s="49">
        <f t="shared" si="15"/>
        <v>1181243.2699999996</v>
      </c>
      <c r="AH54" s="49">
        <f t="shared" si="15"/>
        <v>1013262.5800000001</v>
      </c>
      <c r="AI54" s="49">
        <f t="shared" si="15"/>
        <v>1004470.3100000005</v>
      </c>
      <c r="AJ54" s="49">
        <f t="shared" si="15"/>
        <v>555562.1400000006</v>
      </c>
      <c r="AK54" s="49">
        <f t="shared" si="15"/>
        <v>504762.08999999985</v>
      </c>
      <c r="AL54" s="49">
        <f t="shared" si="15"/>
        <v>588919.23000000045</v>
      </c>
      <c r="AM54" s="49">
        <f t="shared" si="15"/>
        <v>665468.6099999994</v>
      </c>
      <c r="AN54" s="49">
        <f t="shared" si="15"/>
        <v>590121.8900000006</v>
      </c>
      <c r="AO54" s="49">
        <f t="shared" si="15"/>
        <v>688044.61999999918</v>
      </c>
      <c r="AP54" s="49">
        <f t="shared" si="15"/>
        <v>674429.38000000082</v>
      </c>
      <c r="AQ54" s="49">
        <f t="shared" si="15"/>
        <v>858322.68999999948</v>
      </c>
      <c r="AR54" s="49">
        <f t="shared" si="15"/>
        <v>1665208.5600000005</v>
      </c>
      <c r="CB54" s="171"/>
      <c r="CC54" s="274"/>
      <c r="CD54" s="20" t="s">
        <v>18</v>
      </c>
      <c r="CE54" s="248">
        <v>-211780.00788576331</v>
      </c>
      <c r="CF54" s="248">
        <v>-169835.27068327137</v>
      </c>
      <c r="CG54" s="248">
        <v>-128187.43782552659</v>
      </c>
      <c r="CH54" s="248">
        <v>-96944.404656561062</v>
      </c>
      <c r="CI54" s="248">
        <v>-87631.281072636062</v>
      </c>
      <c r="CJ54" s="248">
        <v>-78233.400203840167</v>
      </c>
      <c r="CK54" s="248">
        <v>-69053.097935185622</v>
      </c>
      <c r="CL54" s="5"/>
      <c r="CM54" s="5"/>
      <c r="CN54" s="274"/>
      <c r="CO54" s="20" t="s">
        <v>18</v>
      </c>
      <c r="CP54" s="248">
        <v>-211903.2267602763</v>
      </c>
      <c r="CQ54" s="248">
        <v>-170234.02443354757</v>
      </c>
      <c r="CR54" s="248">
        <v>-129045.84715478971</v>
      </c>
      <c r="CS54" s="248">
        <v>-98144.838539746197</v>
      </c>
      <c r="CT54" s="248">
        <v>-88847.460327592649</v>
      </c>
      <c r="CU54" s="248">
        <v>-79457.330829587372</v>
      </c>
      <c r="CV54" s="248">
        <v>-70278.833366911931</v>
      </c>
      <c r="CW54" s="5"/>
      <c r="CX54" s="5"/>
      <c r="CY54" s="5"/>
    </row>
    <row r="55" spans="1:103" ht="14.5" x14ac:dyDescent="0.35">
      <c r="A55" s="42" t="s">
        <v>36</v>
      </c>
      <c r="B55" s="42"/>
      <c r="C55" s="41"/>
      <c r="D55" s="41"/>
      <c r="E55" s="49">
        <f t="shared" si="16"/>
        <v>0</v>
      </c>
      <c r="F55" s="49">
        <f t="shared" si="17"/>
        <v>0</v>
      </c>
      <c r="G55" s="49">
        <f t="shared" si="17"/>
        <v>0</v>
      </c>
      <c r="H55" s="49">
        <f t="shared" si="17"/>
        <v>526.23</v>
      </c>
      <c r="I55" s="49">
        <f t="shared" si="17"/>
        <v>1707.2400000000002</v>
      </c>
      <c r="J55" s="49">
        <f t="shared" si="17"/>
        <v>2028.9700000000003</v>
      </c>
      <c r="K55" s="49">
        <f t="shared" si="17"/>
        <v>4499.26</v>
      </c>
      <c r="L55" s="49">
        <f t="shared" si="17"/>
        <v>4284.0400000000009</v>
      </c>
      <c r="M55" s="49">
        <f t="shared" si="17"/>
        <v>7227.9200000000019</v>
      </c>
      <c r="N55" s="49">
        <f t="shared" si="17"/>
        <v>17612.240000000005</v>
      </c>
      <c r="O55" s="49">
        <f t="shared" si="17"/>
        <v>27292.259999999995</v>
      </c>
      <c r="P55" s="49">
        <f t="shared" si="17"/>
        <v>23704.949999999997</v>
      </c>
      <c r="Q55" s="49">
        <f t="shared" si="17"/>
        <v>28875.64</v>
      </c>
      <c r="R55" s="49">
        <f t="shared" si="17"/>
        <v>10528.699999999997</v>
      </c>
      <c r="S55" s="49">
        <f t="shared" si="17"/>
        <v>28682.469999999987</v>
      </c>
      <c r="T55" s="49">
        <f t="shared" si="17"/>
        <v>126775.78999999998</v>
      </c>
      <c r="U55" s="49">
        <f t="shared" si="17"/>
        <v>176719.39</v>
      </c>
      <c r="V55" s="49">
        <f t="shared" si="15"/>
        <v>216016.28000000003</v>
      </c>
      <c r="W55" s="49">
        <f t="shared" si="15"/>
        <v>202325.74</v>
      </c>
      <c r="X55" s="49">
        <f t="shared" si="15"/>
        <v>100347.42000000004</v>
      </c>
      <c r="Y55" s="49">
        <f t="shared" si="15"/>
        <v>95296.699999999953</v>
      </c>
      <c r="Z55" s="49">
        <f t="shared" si="15"/>
        <v>112165</v>
      </c>
      <c r="AA55" s="49">
        <f t="shared" si="15"/>
        <v>128838.41999999993</v>
      </c>
      <c r="AB55" s="49">
        <f t="shared" si="15"/>
        <v>113105.29000000004</v>
      </c>
      <c r="AC55" s="49">
        <f t="shared" si="15"/>
        <v>129355.61999999988</v>
      </c>
      <c r="AD55" s="49">
        <f t="shared" si="15"/>
        <v>128572.66999999993</v>
      </c>
      <c r="AE55" s="49">
        <f t="shared" si="15"/>
        <v>176412.76</v>
      </c>
      <c r="AF55" s="49">
        <f t="shared" si="15"/>
        <v>415763.34000000008</v>
      </c>
      <c r="AG55" s="49">
        <f t="shared" si="15"/>
        <v>534461.66000000015</v>
      </c>
      <c r="AH55" s="49">
        <f t="shared" si="15"/>
        <v>476645.58999999985</v>
      </c>
      <c r="AI55" s="49">
        <f t="shared" si="15"/>
        <v>408059.52</v>
      </c>
      <c r="AJ55" s="49">
        <f t="shared" si="15"/>
        <v>202886.29000000004</v>
      </c>
      <c r="AK55" s="49">
        <f t="shared" si="15"/>
        <v>186362.33999999985</v>
      </c>
      <c r="AL55" s="49">
        <f t="shared" si="15"/>
        <v>218445.35999999987</v>
      </c>
      <c r="AM55" s="49">
        <f t="shared" si="15"/>
        <v>246867.91000000015</v>
      </c>
      <c r="AN55" s="49">
        <f t="shared" si="15"/>
        <v>226394.08999999985</v>
      </c>
      <c r="AO55" s="49">
        <f t="shared" si="15"/>
        <v>266615.62000000011</v>
      </c>
      <c r="AP55" s="49">
        <f t="shared" si="15"/>
        <v>255385.79000000004</v>
      </c>
      <c r="AQ55" s="49">
        <f t="shared" si="15"/>
        <v>334576.9299999997</v>
      </c>
      <c r="AR55" s="49">
        <f t="shared" si="15"/>
        <v>776547.50999999978</v>
      </c>
      <c r="CB55" s="171"/>
      <c r="CC55" s="44"/>
      <c r="CD55" s="13"/>
      <c r="CE55" s="3"/>
      <c r="CF55" s="3"/>
      <c r="CG55" s="3"/>
      <c r="CH55" s="3"/>
      <c r="CI55" s="3"/>
      <c r="CJ55" s="3"/>
      <c r="CK55" s="3"/>
      <c r="CL55" s="5"/>
      <c r="CM55" s="5"/>
      <c r="CN55" s="44"/>
      <c r="CO55" s="13"/>
      <c r="CP55" s="3"/>
      <c r="CQ55" s="3"/>
      <c r="CR55" s="3"/>
      <c r="CS55" s="3"/>
      <c r="CT55" s="3"/>
      <c r="CU55" s="3"/>
      <c r="CV55" s="3"/>
      <c r="CW55" s="5"/>
      <c r="CX55" s="5"/>
      <c r="CY55" s="5"/>
    </row>
    <row r="56" spans="1:103" ht="14.5" x14ac:dyDescent="0.35">
      <c r="A56" s="42" t="s">
        <v>37</v>
      </c>
      <c r="B56" s="42"/>
      <c r="C56" s="41"/>
      <c r="D56" s="41"/>
      <c r="E56" s="49">
        <f t="shared" si="16"/>
        <v>0</v>
      </c>
      <c r="F56" s="49">
        <f t="shared" si="17"/>
        <v>0</v>
      </c>
      <c r="G56" s="49">
        <f t="shared" si="17"/>
        <v>0</v>
      </c>
      <c r="H56" s="49">
        <f t="shared" si="17"/>
        <v>0</v>
      </c>
      <c r="I56" s="49">
        <f t="shared" si="17"/>
        <v>360.22</v>
      </c>
      <c r="J56" s="49">
        <f t="shared" si="17"/>
        <v>1250.5</v>
      </c>
      <c r="K56" s="49">
        <f t="shared" si="17"/>
        <v>2097.7199999999993</v>
      </c>
      <c r="L56" s="49">
        <f t="shared" si="17"/>
        <v>1848.1400000000003</v>
      </c>
      <c r="M56" s="49">
        <f t="shared" si="17"/>
        <v>2286.0100000000002</v>
      </c>
      <c r="N56" s="49">
        <f t="shared" si="17"/>
        <v>3076.2700000000004</v>
      </c>
      <c r="O56" s="49">
        <f t="shared" si="17"/>
        <v>5696.5999999999985</v>
      </c>
      <c r="P56" s="49">
        <f t="shared" si="17"/>
        <v>6142.6100000000006</v>
      </c>
      <c r="Q56" s="49">
        <f t="shared" si="17"/>
        <v>8834.9599999999991</v>
      </c>
      <c r="R56" s="49">
        <f t="shared" si="17"/>
        <v>7688.4700000000012</v>
      </c>
      <c r="S56" s="49">
        <f t="shared" si="17"/>
        <v>10845.160000000003</v>
      </c>
      <c r="T56" s="49">
        <f t="shared" si="17"/>
        <v>20033.729999999996</v>
      </c>
      <c r="U56" s="49">
        <f t="shared" si="17"/>
        <v>29338.039999999994</v>
      </c>
      <c r="V56" s="49">
        <f t="shared" si="15"/>
        <v>26225.059999999998</v>
      </c>
      <c r="W56" s="49">
        <f t="shared" si="15"/>
        <v>25792.080000000016</v>
      </c>
      <c r="X56" s="49">
        <f t="shared" si="15"/>
        <v>18911.649999999994</v>
      </c>
      <c r="Y56" s="49">
        <f t="shared" si="15"/>
        <v>18135.429999999993</v>
      </c>
      <c r="Z56" s="49">
        <f t="shared" si="15"/>
        <v>20092.940000000002</v>
      </c>
      <c r="AA56" s="49">
        <f t="shared" si="15"/>
        <v>22817.299999999988</v>
      </c>
      <c r="AB56" s="49">
        <f t="shared" si="15"/>
        <v>20524.76999999999</v>
      </c>
      <c r="AC56" s="49">
        <f t="shared" si="15"/>
        <v>22865.559999999998</v>
      </c>
      <c r="AD56" s="49">
        <f t="shared" si="15"/>
        <v>23955.599999999977</v>
      </c>
      <c r="AE56" s="49">
        <f t="shared" si="15"/>
        <v>33056.75</v>
      </c>
      <c r="AF56" s="49">
        <f t="shared" si="15"/>
        <v>72196.109999999986</v>
      </c>
      <c r="AG56" s="49">
        <f t="shared" si="15"/>
        <v>96088.410000000033</v>
      </c>
      <c r="AH56" s="49">
        <f t="shared" si="15"/>
        <v>80854.579999999958</v>
      </c>
      <c r="AI56" s="49">
        <f t="shared" si="15"/>
        <v>65756.459999999963</v>
      </c>
      <c r="AJ56" s="49">
        <f t="shared" si="15"/>
        <v>35564.589999999967</v>
      </c>
      <c r="AK56" s="49">
        <f t="shared" si="15"/>
        <v>33321.969999999972</v>
      </c>
      <c r="AL56" s="49">
        <f t="shared" si="15"/>
        <v>40399.459999999963</v>
      </c>
      <c r="AM56" s="49">
        <f t="shared" si="15"/>
        <v>46987.760000000009</v>
      </c>
      <c r="AN56" s="49">
        <f t="shared" si="15"/>
        <v>47472.010000000009</v>
      </c>
      <c r="AO56" s="49">
        <f t="shared" si="15"/>
        <v>52888.209999999963</v>
      </c>
      <c r="AP56" s="49">
        <f t="shared" si="15"/>
        <v>50526.309999999939</v>
      </c>
      <c r="AQ56" s="49">
        <f t="shared" si="15"/>
        <v>69607.209999999963</v>
      </c>
      <c r="AR56" s="49">
        <f t="shared" si="15"/>
        <v>189324.82000000007</v>
      </c>
      <c r="CB56" s="171"/>
      <c r="CC56" s="274" t="s">
        <v>24</v>
      </c>
      <c r="CD56" s="17"/>
      <c r="CE56" s="3"/>
      <c r="CF56" s="3"/>
      <c r="CG56" s="3"/>
      <c r="CH56" s="3"/>
      <c r="CI56" s="3"/>
      <c r="CJ56" s="3"/>
      <c r="CK56" s="3"/>
      <c r="CL56" s="5"/>
      <c r="CM56" s="5"/>
      <c r="CN56" s="274" t="s">
        <v>24</v>
      </c>
      <c r="CO56" s="17"/>
      <c r="CP56" s="3"/>
      <c r="CQ56" s="3"/>
      <c r="CR56" s="3"/>
      <c r="CS56" s="3"/>
      <c r="CT56" s="3"/>
      <c r="CU56" s="3"/>
      <c r="CV56" s="3"/>
      <c r="CW56" s="5"/>
      <c r="CX56" s="5"/>
      <c r="CY56" s="5"/>
    </row>
    <row r="57" spans="1:103" ht="14.5" x14ac:dyDescent="0.35">
      <c r="A57" s="42" t="s">
        <v>29</v>
      </c>
      <c r="B57" s="42"/>
      <c r="C57" s="41"/>
      <c r="D57" s="41"/>
      <c r="E57" s="49">
        <f t="shared" si="16"/>
        <v>0</v>
      </c>
      <c r="F57" s="49">
        <f t="shared" si="17"/>
        <v>0</v>
      </c>
      <c r="G57" s="49">
        <f t="shared" si="17"/>
        <v>0</v>
      </c>
      <c r="H57" s="49">
        <f t="shared" si="17"/>
        <v>0</v>
      </c>
      <c r="I57" s="49">
        <f t="shared" si="17"/>
        <v>0</v>
      </c>
      <c r="J57" s="49">
        <f t="shared" si="17"/>
        <v>1868.8500000000001</v>
      </c>
      <c r="K57" s="49">
        <f t="shared" si="17"/>
        <v>2184.4399999999996</v>
      </c>
      <c r="L57" s="49">
        <f t="shared" si="17"/>
        <v>1005.9299999999994</v>
      </c>
      <c r="M57" s="49">
        <f t="shared" si="17"/>
        <v>2449.6499999999996</v>
      </c>
      <c r="N57" s="49">
        <f t="shared" si="17"/>
        <v>4788.4700000000012</v>
      </c>
      <c r="O57" s="49">
        <f t="shared" si="17"/>
        <v>6425.57</v>
      </c>
      <c r="P57" s="49">
        <f t="shared" si="17"/>
        <v>6708.4799999999959</v>
      </c>
      <c r="Q57" s="49">
        <f t="shared" si="17"/>
        <v>6886.6700000000019</v>
      </c>
      <c r="R57" s="49">
        <f t="shared" si="17"/>
        <v>4593.1399999999994</v>
      </c>
      <c r="S57" s="49">
        <f t="shared" si="17"/>
        <v>6007.8699999999953</v>
      </c>
      <c r="T57" s="49">
        <f t="shared" si="17"/>
        <v>15717.750000000007</v>
      </c>
      <c r="U57" s="49">
        <f t="shared" si="17"/>
        <v>17522.230000000003</v>
      </c>
      <c r="V57" s="49">
        <f t="shared" si="15"/>
        <v>19804.249999999985</v>
      </c>
      <c r="W57" s="49">
        <f t="shared" si="15"/>
        <v>20193.839999999997</v>
      </c>
      <c r="X57" s="49">
        <f t="shared" si="15"/>
        <v>10731.830000000002</v>
      </c>
      <c r="Y57" s="49">
        <f t="shared" si="15"/>
        <v>14531.770000000004</v>
      </c>
      <c r="Z57" s="49">
        <f t="shared" si="15"/>
        <v>19488.639999999956</v>
      </c>
      <c r="AA57" s="49">
        <f t="shared" si="15"/>
        <v>20250.780000000028</v>
      </c>
      <c r="AB57" s="49">
        <f t="shared" si="15"/>
        <v>20401.619999999995</v>
      </c>
      <c r="AC57" s="49">
        <f t="shared" si="15"/>
        <v>23299.399999999994</v>
      </c>
      <c r="AD57" s="49">
        <f t="shared" si="15"/>
        <v>20893.320000000036</v>
      </c>
      <c r="AE57" s="49">
        <f t="shared" si="15"/>
        <v>25224.239999999932</v>
      </c>
      <c r="AF57" s="49">
        <f t="shared" si="15"/>
        <v>61998.770000000077</v>
      </c>
      <c r="AG57" s="49">
        <f t="shared" si="15"/>
        <v>80900.339999999967</v>
      </c>
      <c r="AH57" s="49">
        <f t="shared" si="15"/>
        <v>77471.349999999977</v>
      </c>
      <c r="AI57" s="49">
        <f t="shared" si="15"/>
        <v>68199.050000000047</v>
      </c>
      <c r="AJ57" s="49">
        <f t="shared" si="15"/>
        <v>35404.330000000075</v>
      </c>
      <c r="AK57" s="49">
        <f t="shared" si="15"/>
        <v>38986.379999999888</v>
      </c>
      <c r="AL57" s="49">
        <f t="shared" si="15"/>
        <v>48233.369999999995</v>
      </c>
      <c r="AM57" s="49">
        <f t="shared" si="15"/>
        <v>51795.769999999902</v>
      </c>
      <c r="AN57" s="49">
        <f t="shared" si="15"/>
        <v>48044.540000000037</v>
      </c>
      <c r="AO57" s="49">
        <f t="shared" si="15"/>
        <v>53160.570000000065</v>
      </c>
      <c r="AP57" s="49">
        <f t="shared" si="15"/>
        <v>48679.090000000084</v>
      </c>
      <c r="AQ57" s="49">
        <f t="shared" si="15"/>
        <v>58984.709999999963</v>
      </c>
      <c r="AR57" s="49">
        <f t="shared" si="15"/>
        <v>128957.95999999996</v>
      </c>
      <c r="CC57" s="274"/>
      <c r="CD57" s="17" t="s">
        <v>28</v>
      </c>
      <c r="CE57" s="248">
        <v>-54.189999999944121</v>
      </c>
      <c r="CF57" s="248">
        <v>-56.580000000074506</v>
      </c>
      <c r="CG57" s="248">
        <v>-61.179999999701977</v>
      </c>
      <c r="CH57" s="248">
        <v>-51.470000000204891</v>
      </c>
      <c r="CI57" s="248">
        <v>0</v>
      </c>
      <c r="CJ57" s="248">
        <v>0</v>
      </c>
      <c r="CK57" s="248">
        <v>0</v>
      </c>
      <c r="CN57" s="274"/>
      <c r="CO57" s="17" t="s">
        <v>28</v>
      </c>
      <c r="CP57" s="248">
        <v>-54.189999999944121</v>
      </c>
      <c r="CQ57" s="248">
        <v>-56.580000000074506</v>
      </c>
      <c r="CR57" s="248">
        <v>-61.179999999701977</v>
      </c>
      <c r="CS57" s="248">
        <v>-51.470000000204891</v>
      </c>
      <c r="CT57" s="248">
        <v>0</v>
      </c>
      <c r="CU57" s="248">
        <v>0</v>
      </c>
      <c r="CV57" s="248">
        <v>0</v>
      </c>
    </row>
    <row r="58" spans="1:103" ht="14.5" x14ac:dyDescent="0.35">
      <c r="A58" s="38" t="s">
        <v>31</v>
      </c>
      <c r="B58" s="38"/>
      <c r="C58" s="41"/>
      <c r="D58" s="41"/>
      <c r="E58" s="48">
        <f>SUM(E52:E57)</f>
        <v>0</v>
      </c>
      <c r="F58" s="48">
        <f t="shared" ref="F58:AR58" si="18">SUM(F52:F57)</f>
        <v>1315.62</v>
      </c>
      <c r="G58" s="48">
        <f t="shared" si="18"/>
        <v>9547.77</v>
      </c>
      <c r="H58" s="48">
        <f t="shared" si="18"/>
        <v>131836.54999999999</v>
      </c>
      <c r="I58" s="48">
        <f t="shared" si="18"/>
        <v>295613.25</v>
      </c>
      <c r="J58" s="48">
        <f t="shared" si="18"/>
        <v>620316.48999999987</v>
      </c>
      <c r="K58" s="48">
        <f t="shared" si="18"/>
        <v>555398.20999999985</v>
      </c>
      <c r="L58" s="48">
        <f t="shared" si="18"/>
        <v>198514.37000000011</v>
      </c>
      <c r="M58" s="48">
        <f t="shared" si="18"/>
        <v>277476.9599999999</v>
      </c>
      <c r="N58" s="48">
        <f t="shared" si="18"/>
        <v>434867.4</v>
      </c>
      <c r="O58" s="48">
        <f t="shared" si="18"/>
        <v>508459.40000000014</v>
      </c>
      <c r="P58" s="48">
        <f t="shared" si="18"/>
        <v>490745.49000000017</v>
      </c>
      <c r="Q58" s="48">
        <f t="shared" si="18"/>
        <v>527476.22000000009</v>
      </c>
      <c r="R58" s="48">
        <f t="shared" si="18"/>
        <v>258953.52000000025</v>
      </c>
      <c r="S58" s="48">
        <f t="shared" si="18"/>
        <v>394310.88999999978</v>
      </c>
      <c r="T58" s="48">
        <f t="shared" si="18"/>
        <v>1342259.4100000001</v>
      </c>
      <c r="U58" s="48">
        <f t="shared" si="18"/>
        <v>1962488.9300000002</v>
      </c>
      <c r="V58" s="48">
        <f t="shared" si="18"/>
        <v>2100865.73</v>
      </c>
      <c r="W58" s="48">
        <f t="shared" si="18"/>
        <v>1649752.0800000003</v>
      </c>
      <c r="X58" s="48">
        <f t="shared" si="18"/>
        <v>751621.14999999979</v>
      </c>
      <c r="Y58" s="48">
        <f t="shared" si="18"/>
        <v>841460.40999999968</v>
      </c>
      <c r="Z58" s="48">
        <f t="shared" si="18"/>
        <v>1085634.8200000005</v>
      </c>
      <c r="AA58" s="48">
        <f t="shared" si="18"/>
        <v>1183123.0699999994</v>
      </c>
      <c r="AB58" s="48">
        <f t="shared" si="18"/>
        <v>1041235.799999999</v>
      </c>
      <c r="AC58" s="48">
        <f t="shared" si="18"/>
        <v>1113426.4299999995</v>
      </c>
      <c r="AD58" s="48">
        <f t="shared" si="18"/>
        <v>1057341.1199999994</v>
      </c>
      <c r="AE58" s="48">
        <f t="shared" si="18"/>
        <v>1420849.9099999997</v>
      </c>
      <c r="AF58" s="48">
        <f t="shared" si="18"/>
        <v>3799102.3500000015</v>
      </c>
      <c r="AG58" s="48">
        <f t="shared" si="18"/>
        <v>5128806.18</v>
      </c>
      <c r="AH58" s="48">
        <f t="shared" si="18"/>
        <v>4697486.7700000005</v>
      </c>
      <c r="AI58" s="48">
        <f t="shared" si="18"/>
        <v>3577277.59</v>
      </c>
      <c r="AJ58" s="48">
        <f t="shared" si="18"/>
        <v>1552311.3900000006</v>
      </c>
      <c r="AK58" s="48">
        <f t="shared" si="18"/>
        <v>1560965.8799999983</v>
      </c>
      <c r="AL58" s="48">
        <f t="shared" si="18"/>
        <v>1902498.7800000007</v>
      </c>
      <c r="AM58" s="48">
        <f t="shared" si="18"/>
        <v>2044546.7300000009</v>
      </c>
      <c r="AN58" s="48">
        <f t="shared" si="18"/>
        <v>1819223.7300000016</v>
      </c>
      <c r="AO58" s="48">
        <f t="shared" si="18"/>
        <v>1991958.3199999982</v>
      </c>
      <c r="AP58" s="48">
        <f t="shared" si="18"/>
        <v>1852056.3300000017</v>
      </c>
      <c r="AQ58" s="48">
        <f t="shared" si="18"/>
        <v>2404199.6199999982</v>
      </c>
      <c r="AR58" s="48">
        <f t="shared" si="18"/>
        <v>6080629.2500000019</v>
      </c>
      <c r="CC58" s="274"/>
      <c r="CD58" s="18" t="s">
        <v>26</v>
      </c>
      <c r="CE58" s="248">
        <v>1134.0675425845006</v>
      </c>
      <c r="CF58" s="248">
        <v>1713.7681476555249</v>
      </c>
      <c r="CG58" s="248">
        <v>1528.2002495401016</v>
      </c>
      <c r="CH58" s="248">
        <v>880.06349454617578</v>
      </c>
      <c r="CI58" s="248">
        <v>-2097.7749559192816</v>
      </c>
      <c r="CJ58" s="248">
        <v>-9941.5602511884663</v>
      </c>
      <c r="CK58" s="248">
        <v>-1916.6757761009615</v>
      </c>
      <c r="CN58" s="274"/>
      <c r="CO58" s="18" t="s">
        <v>26</v>
      </c>
      <c r="CP58" s="248">
        <v>1176.9028001128138</v>
      </c>
      <c r="CQ58" s="248">
        <v>1792.9575585199016</v>
      </c>
      <c r="CR58" s="248">
        <v>1692.6183076773953</v>
      </c>
      <c r="CS58" s="248">
        <v>1002.7219086393443</v>
      </c>
      <c r="CT58" s="248">
        <v>-2092.2487403040109</v>
      </c>
      <c r="CU58" s="248">
        <v>-9938.8643100484314</v>
      </c>
      <c r="CV58" s="248">
        <v>-1916.4119977784555</v>
      </c>
    </row>
    <row r="59" spans="1:103" ht="14.5" x14ac:dyDescent="0.35">
      <c r="CB59" s="214"/>
      <c r="CC59" s="274"/>
      <c r="CD59" s="18" t="s">
        <v>51</v>
      </c>
      <c r="CE59" s="248">
        <v>-837.34</v>
      </c>
      <c r="CF59" s="248">
        <v>-1174.03</v>
      </c>
      <c r="CG59" s="248">
        <v>-1093.94</v>
      </c>
      <c r="CH59" s="248">
        <v>-595.17999999999995</v>
      </c>
      <c r="CI59" s="248">
        <v>2111.9699999999998</v>
      </c>
      <c r="CJ59" s="248">
        <v>9939.4599999999991</v>
      </c>
      <c r="CK59" s="248">
        <v>1923.43</v>
      </c>
      <c r="CL59" s="1"/>
      <c r="CM59" s="1"/>
      <c r="CN59" s="274"/>
      <c r="CO59" s="18" t="s">
        <v>51</v>
      </c>
      <c r="CP59" s="248">
        <v>-837.34</v>
      </c>
      <c r="CQ59" s="248">
        <v>-1174.03</v>
      </c>
      <c r="CR59" s="248">
        <v>-1093.94</v>
      </c>
      <c r="CS59" s="248">
        <v>-595.17999999999995</v>
      </c>
      <c r="CT59" s="248">
        <v>2111.9699999999998</v>
      </c>
      <c r="CU59" s="248">
        <v>9939.4599999999991</v>
      </c>
      <c r="CV59" s="248">
        <v>1923.43</v>
      </c>
      <c r="CW59" s="1"/>
      <c r="CX59" s="1"/>
      <c r="CY59" s="1"/>
    </row>
    <row r="60" spans="1:103" ht="14.5" x14ac:dyDescent="0.35">
      <c r="CC60" s="274"/>
      <c r="CD60" s="18" t="s">
        <v>52</v>
      </c>
      <c r="CE60" s="248">
        <v>296.72754258450061</v>
      </c>
      <c r="CF60" s="248">
        <v>539.73814765552493</v>
      </c>
      <c r="CG60" s="248">
        <v>434.26024954010154</v>
      </c>
      <c r="CH60" s="248">
        <v>284.88349454617583</v>
      </c>
      <c r="CI60" s="248">
        <v>14.195044080718162</v>
      </c>
      <c r="CJ60" s="248">
        <v>-2.1002511884671549</v>
      </c>
      <c r="CK60" s="248">
        <v>6.7542238990386068</v>
      </c>
      <c r="CN60" s="274"/>
      <c r="CO60" s="18" t="s">
        <v>52</v>
      </c>
      <c r="CP60" s="248">
        <v>339.56280011281376</v>
      </c>
      <c r="CQ60" s="248">
        <v>618.92755851990159</v>
      </c>
      <c r="CR60" s="248">
        <v>598.6783076773952</v>
      </c>
      <c r="CS60" s="248">
        <v>407.54190863934434</v>
      </c>
      <c r="CT60" s="248">
        <v>19.72125969598892</v>
      </c>
      <c r="CU60" s="248">
        <v>0.59568995156769233</v>
      </c>
      <c r="CV60" s="248">
        <v>7.0180022215445206</v>
      </c>
      <c r="CW60" s="5" t="s">
        <v>118</v>
      </c>
      <c r="CX60" s="5" t="s">
        <v>119</v>
      </c>
      <c r="CY60" s="5" t="s">
        <v>120</v>
      </c>
    </row>
    <row r="61" spans="1:103" ht="14.5" x14ac:dyDescent="0.35">
      <c r="CC61" s="274"/>
      <c r="CD61" s="18" t="s">
        <v>13</v>
      </c>
      <c r="CE61" s="248">
        <v>-350.91754258444473</v>
      </c>
      <c r="CF61" s="248">
        <v>-596.31814765559943</v>
      </c>
      <c r="CG61" s="248">
        <v>-495.44024953980352</v>
      </c>
      <c r="CH61" s="248">
        <v>-336.35349454638072</v>
      </c>
      <c r="CI61" s="248">
        <v>-14.195044080718162</v>
      </c>
      <c r="CJ61" s="248">
        <v>2.1002511884671549</v>
      </c>
      <c r="CK61" s="248">
        <v>-6.7542238990386068</v>
      </c>
      <c r="CN61" s="274"/>
      <c r="CO61" s="18" t="s">
        <v>13</v>
      </c>
      <c r="CP61" s="248">
        <v>-393.75280011275788</v>
      </c>
      <c r="CQ61" s="248">
        <v>-675.5075585199761</v>
      </c>
      <c r="CR61" s="248">
        <v>-659.85830767709717</v>
      </c>
      <c r="CS61" s="248">
        <v>-459.01190863954923</v>
      </c>
      <c r="CT61" s="248">
        <v>-19.72125969598892</v>
      </c>
      <c r="CU61" s="248">
        <v>-0.59568995156769233</v>
      </c>
      <c r="CV61" s="248">
        <v>-7.0180022215445206</v>
      </c>
      <c r="CW61" s="249">
        <f>SUM(CP61:CV61)</f>
        <v>-2215.4655268184815</v>
      </c>
      <c r="CX61" s="249">
        <f>SUM(CE61:CK61)</f>
        <v>-1797.8784511175181</v>
      </c>
      <c r="CY61" s="249">
        <f>CW61-CX61</f>
        <v>-417.5870757009634</v>
      </c>
    </row>
    <row r="62" spans="1:103" ht="14.5" x14ac:dyDescent="0.35">
      <c r="CC62" s="274"/>
      <c r="CD62" s="19" t="s">
        <v>8</v>
      </c>
      <c r="CE62" s="248">
        <v>-3.7052753332339194</v>
      </c>
      <c r="CF62" s="248">
        <v>-6.6842426801800059</v>
      </c>
      <c r="CG62" s="248">
        <v>-6.3284809879377741</v>
      </c>
      <c r="CH62" s="248">
        <v>-8.2170381712741474</v>
      </c>
      <c r="CI62" s="248">
        <v>-17.918502372297308</v>
      </c>
      <c r="CJ62" s="248">
        <v>-10.665449438586032</v>
      </c>
      <c r="CK62" s="248">
        <v>-15.361564936007662</v>
      </c>
      <c r="CN62" s="274"/>
      <c r="CO62" s="19" t="s">
        <v>8</v>
      </c>
      <c r="CP62" s="248">
        <v>-3.7107442890427991</v>
      </c>
      <c r="CQ62" s="248">
        <v>-6.7107297282586211</v>
      </c>
      <c r="CR62" s="248">
        <v>-6.3844509790378297</v>
      </c>
      <c r="CS62" s="248">
        <v>-8.3179199847490732</v>
      </c>
      <c r="CT62" s="248">
        <v>-18.156432627671325</v>
      </c>
      <c r="CU62" s="248">
        <v>-10.874469276319472</v>
      </c>
      <c r="CV62" s="248">
        <v>-15.692555199496416</v>
      </c>
    </row>
    <row r="63" spans="1:103" ht="14.5" x14ac:dyDescent="0.35">
      <c r="CC63" s="274"/>
      <c r="CD63" s="18" t="s">
        <v>14</v>
      </c>
      <c r="CE63" s="248">
        <v>-354.62281791767867</v>
      </c>
      <c r="CF63" s="248">
        <v>-603.00239033577941</v>
      </c>
      <c r="CG63" s="248">
        <v>-501.7687305277413</v>
      </c>
      <c r="CH63" s="248">
        <v>-344.57053271765488</v>
      </c>
      <c r="CI63" s="248">
        <v>-32.113546453015474</v>
      </c>
      <c r="CJ63" s="248">
        <v>-8.5651982501188773</v>
      </c>
      <c r="CK63" s="248">
        <v>-22.115788835046267</v>
      </c>
      <c r="CN63" s="274"/>
      <c r="CO63" s="18" t="s">
        <v>14</v>
      </c>
      <c r="CP63" s="248">
        <v>-397.46354440180068</v>
      </c>
      <c r="CQ63" s="248">
        <v>-682.21828824823467</v>
      </c>
      <c r="CR63" s="248">
        <v>-666.24275865613504</v>
      </c>
      <c r="CS63" s="248">
        <v>-467.32982862429833</v>
      </c>
      <c r="CT63" s="248">
        <v>-37.877692323660241</v>
      </c>
      <c r="CU63" s="248">
        <v>-11.470159227887164</v>
      </c>
      <c r="CV63" s="248">
        <v>-22.710557421040939</v>
      </c>
    </row>
    <row r="64" spans="1:103" ht="14.5" x14ac:dyDescent="0.35">
      <c r="CC64" s="274"/>
      <c r="CD64" s="20" t="s">
        <v>19</v>
      </c>
      <c r="CE64" s="248">
        <v>-29025.044752000424</v>
      </c>
      <c r="CF64" s="248">
        <v>-30802.077142336202</v>
      </c>
      <c r="CG64" s="248">
        <v>-32397.785872863944</v>
      </c>
      <c r="CH64" s="248">
        <v>-33337.536405581595</v>
      </c>
      <c r="CI64" s="248">
        <v>-31257.67995203461</v>
      </c>
      <c r="CJ64" s="248">
        <v>-21326.78515028473</v>
      </c>
      <c r="CK64" s="248">
        <v>-19425.470939119776</v>
      </c>
      <c r="CN64" s="274"/>
      <c r="CO64" s="20" t="s">
        <v>19</v>
      </c>
      <c r="CP64" s="248">
        <v>-29067.885478484546</v>
      </c>
      <c r="CQ64" s="248">
        <v>-30924.133766732783</v>
      </c>
      <c r="CR64" s="248">
        <v>-32684.316525388916</v>
      </c>
      <c r="CS64" s="248">
        <v>-33746.826354013217</v>
      </c>
      <c r="CT64" s="248">
        <v>-31672.734046336878</v>
      </c>
      <c r="CU64" s="248">
        <v>-21744.744205564766</v>
      </c>
      <c r="CV64" s="248">
        <v>-19844.024762985806</v>
      </c>
    </row>
    <row r="65" spans="81:100" ht="14.5" x14ac:dyDescent="0.35"/>
    <row r="66" spans="81:100" ht="14.5" x14ac:dyDescent="0.35"/>
    <row r="67" spans="81:100" ht="14.5" x14ac:dyDescent="0.35"/>
    <row r="68" spans="81:100" ht="14.5" x14ac:dyDescent="0.35">
      <c r="CC68" s="29"/>
      <c r="CD68" s="29" t="s">
        <v>32</v>
      </c>
      <c r="CN68" s="29"/>
      <c r="CO68" s="29" t="s">
        <v>32</v>
      </c>
    </row>
    <row r="69" spans="81:100" ht="14.5" x14ac:dyDescent="0.35">
      <c r="CD69" s="40" t="s">
        <v>33</v>
      </c>
      <c r="CE69" s="47">
        <v>849229853</v>
      </c>
      <c r="CF69" s="47">
        <v>1063566547</v>
      </c>
      <c r="CG69" s="47">
        <v>1372451320</v>
      </c>
      <c r="CH69" s="47">
        <v>1445914846</v>
      </c>
      <c r="CI69" s="47">
        <v>1156058653</v>
      </c>
      <c r="CJ69" s="47">
        <v>900363528</v>
      </c>
      <c r="CK69" s="47">
        <v>837159184</v>
      </c>
      <c r="CO69" s="40" t="s">
        <v>33</v>
      </c>
      <c r="CP69" s="47">
        <v>616534565.60039997</v>
      </c>
      <c r="CQ69" s="47">
        <v>621003419.78059995</v>
      </c>
      <c r="CR69" s="47">
        <v>656971283.38569999</v>
      </c>
      <c r="CS69" s="47">
        <v>646272651.48329997</v>
      </c>
      <c r="CT69" s="47">
        <v>615981334.59430003</v>
      </c>
      <c r="CU69" s="47">
        <v>577077250.67460001</v>
      </c>
      <c r="CV69" s="47">
        <v>787949883.91209996</v>
      </c>
    </row>
    <row r="70" spans="81:100" ht="14.5" x14ac:dyDescent="0.35">
      <c r="CD70" s="40" t="s">
        <v>34</v>
      </c>
      <c r="CE70" s="47">
        <v>219607166</v>
      </c>
      <c r="CF70" s="47">
        <v>250466096</v>
      </c>
      <c r="CG70" s="47">
        <v>295383726</v>
      </c>
      <c r="CH70" s="47">
        <v>301077290</v>
      </c>
      <c r="CI70" s="47">
        <v>261058604</v>
      </c>
      <c r="CJ70" s="47">
        <v>230949228</v>
      </c>
      <c r="CK70" s="47">
        <v>223998788</v>
      </c>
      <c r="CO70" s="40" t="s">
        <v>34</v>
      </c>
      <c r="CP70" s="47">
        <v>219607159</v>
      </c>
      <c r="CQ70" s="47">
        <v>250528302</v>
      </c>
      <c r="CR70" s="47">
        <v>295412831</v>
      </c>
      <c r="CS70" s="47">
        <v>301068791</v>
      </c>
      <c r="CT70" s="47">
        <v>261058604</v>
      </c>
      <c r="CU70" s="47">
        <v>230949228</v>
      </c>
      <c r="CV70" s="47">
        <v>223998788</v>
      </c>
    </row>
    <row r="71" spans="81:100" ht="14.5" x14ac:dyDescent="0.35">
      <c r="CD71" s="40" t="s">
        <v>35</v>
      </c>
      <c r="CE71" s="47">
        <v>505304455</v>
      </c>
      <c r="CF71" s="47">
        <v>555282313.60000002</v>
      </c>
      <c r="CG71" s="47">
        <v>590675076</v>
      </c>
      <c r="CH71" s="47">
        <v>582248455</v>
      </c>
      <c r="CI71" s="47">
        <v>534070902</v>
      </c>
      <c r="CJ71" s="47">
        <v>506459043</v>
      </c>
      <c r="CK71" s="47">
        <v>516003997</v>
      </c>
      <c r="CO71" s="40" t="s">
        <v>35</v>
      </c>
      <c r="CP71" s="47">
        <v>505304455</v>
      </c>
      <c r="CQ71" s="47">
        <v>552284069</v>
      </c>
      <c r="CR71" s="47">
        <v>590858313</v>
      </c>
      <c r="CS71" s="47">
        <v>582248455</v>
      </c>
      <c r="CT71" s="47">
        <v>534070902</v>
      </c>
      <c r="CU71" s="47">
        <v>506459043</v>
      </c>
      <c r="CV71" s="47">
        <v>516003997</v>
      </c>
    </row>
    <row r="72" spans="81:100" ht="14.5" x14ac:dyDescent="0.35">
      <c r="CD72" s="40" t="s">
        <v>36</v>
      </c>
      <c r="CE72" s="47">
        <v>200697530</v>
      </c>
      <c r="CF72" s="47">
        <v>269908616.5</v>
      </c>
      <c r="CG72" s="47">
        <v>254759231</v>
      </c>
      <c r="CH72" s="47">
        <v>236605471</v>
      </c>
      <c r="CI72" s="47">
        <v>220600472</v>
      </c>
      <c r="CJ72" s="47">
        <v>227017145</v>
      </c>
      <c r="CK72" s="47">
        <v>225997805</v>
      </c>
      <c r="CO72" s="40" t="s">
        <v>36</v>
      </c>
      <c r="CP72" s="47">
        <v>200697530</v>
      </c>
      <c r="CQ72" s="47">
        <v>263803028</v>
      </c>
      <c r="CR72" s="47">
        <v>254759231</v>
      </c>
      <c r="CS72" s="47">
        <v>236605471</v>
      </c>
      <c r="CT72" s="47">
        <v>220600472</v>
      </c>
      <c r="CU72" s="47">
        <v>227017145</v>
      </c>
      <c r="CV72" s="47">
        <v>225997805</v>
      </c>
    </row>
    <row r="73" spans="81:100" ht="14.5" x14ac:dyDescent="0.35">
      <c r="CD73" s="40" t="s">
        <v>37</v>
      </c>
      <c r="CE73" s="47">
        <v>69778498</v>
      </c>
      <c r="CF73" s="47">
        <v>120928612.40000001</v>
      </c>
      <c r="CG73" s="47">
        <v>91160220</v>
      </c>
      <c r="CH73" s="47">
        <v>84926008</v>
      </c>
      <c r="CI73" s="47">
        <v>81012090</v>
      </c>
      <c r="CJ73" s="47">
        <v>85726323</v>
      </c>
      <c r="CK73" s="47">
        <v>71350428</v>
      </c>
      <c r="CO73" s="40" t="s">
        <v>37</v>
      </c>
      <c r="CP73" s="47">
        <v>69778498</v>
      </c>
      <c r="CQ73" s="47">
        <v>110311543</v>
      </c>
      <c r="CR73" s="47">
        <v>91160220</v>
      </c>
      <c r="CS73" s="47">
        <v>84926008</v>
      </c>
      <c r="CT73" s="47">
        <v>81012090</v>
      </c>
      <c r="CU73" s="47">
        <v>85726323</v>
      </c>
      <c r="CV73" s="47">
        <v>71350428</v>
      </c>
    </row>
    <row r="74" spans="81:100" ht="14.5" x14ac:dyDescent="0.35">
      <c r="CC74" s="35"/>
      <c r="CD74" s="35" t="s">
        <v>31</v>
      </c>
      <c r="CE74" s="37">
        <v>1844617502</v>
      </c>
      <c r="CF74" s="37">
        <v>2260152185.5</v>
      </c>
      <c r="CG74" s="37">
        <v>2604429573</v>
      </c>
      <c r="CH74" s="37">
        <v>2650772070</v>
      </c>
      <c r="CI74" s="37">
        <v>2252800721</v>
      </c>
      <c r="CJ74" s="37">
        <v>1950515267</v>
      </c>
      <c r="CK74" s="37">
        <v>1874510202</v>
      </c>
      <c r="CN74" s="35"/>
      <c r="CO74" s="35" t="s">
        <v>31</v>
      </c>
      <c r="CP74" s="37">
        <v>1611922207.6004</v>
      </c>
      <c r="CQ74" s="37">
        <v>1797930361.7806001</v>
      </c>
      <c r="CR74" s="37">
        <v>1889161878.3857</v>
      </c>
      <c r="CS74" s="37">
        <v>1851121376.4833</v>
      </c>
      <c r="CT74" s="37">
        <v>1712723402.5943</v>
      </c>
      <c r="CU74" s="37">
        <v>1627228989.6746001</v>
      </c>
      <c r="CV74" s="37">
        <v>1825300901.9120998</v>
      </c>
    </row>
    <row r="75" spans="81:100" ht="14.5" x14ac:dyDescent="0.35"/>
    <row r="76" spans="81:100" ht="14.5" x14ac:dyDescent="0.35"/>
    <row r="77" spans="81:100" ht="14.5" x14ac:dyDescent="0.35"/>
    <row r="78" spans="81:100" ht="14.5" x14ac:dyDescent="0.35"/>
    <row r="79" spans="81:100" ht="14.5" x14ac:dyDescent="0.35"/>
    <row r="80" spans="81:100" ht="14.5" x14ac:dyDescent="0.35"/>
    <row r="81" spans="80:103" ht="14.5" x14ac:dyDescent="0.35"/>
    <row r="82" spans="80:103" ht="14.5" x14ac:dyDescent="0.35"/>
    <row r="83" spans="80:103" ht="14.5" x14ac:dyDescent="0.35"/>
    <row r="84" spans="80:103" ht="14.5" x14ac:dyDescent="0.35"/>
    <row r="85" spans="80:103" ht="14.5" x14ac:dyDescent="0.35">
      <c r="CB85" s="214"/>
      <c r="CC85" s="1"/>
      <c r="CD85" s="1"/>
      <c r="CE85" s="1"/>
      <c r="CF85" s="1"/>
      <c r="CG85" s="1"/>
      <c r="CH85" s="1"/>
      <c r="CI85" s="1"/>
      <c r="CJ85" s="1"/>
      <c r="CK85" s="1"/>
      <c r="CL85" s="1"/>
      <c r="CM85" s="1"/>
      <c r="CN85" s="1"/>
      <c r="CO85" s="1"/>
      <c r="CP85" s="1"/>
      <c r="CQ85" s="1"/>
      <c r="CR85" s="1"/>
      <c r="CS85" s="1"/>
      <c r="CT85" s="1"/>
      <c r="CU85" s="1"/>
      <c r="CV85" s="1"/>
      <c r="CW85" s="1"/>
      <c r="CX85" s="1"/>
      <c r="CY85" s="1"/>
    </row>
    <row r="86" spans="80:103" ht="14.5" x14ac:dyDescent="0.35">
      <c r="CB86" s="214"/>
      <c r="CC86" s="1"/>
      <c r="CD86" s="1"/>
      <c r="CE86" s="1"/>
      <c r="CF86" s="1"/>
      <c r="CG86" s="1"/>
      <c r="CH86" s="1"/>
      <c r="CI86" s="1"/>
      <c r="CJ86" s="1"/>
      <c r="CK86" s="1"/>
      <c r="CL86" s="1"/>
      <c r="CM86" s="1"/>
      <c r="CN86" s="1"/>
      <c r="CO86" s="1"/>
      <c r="CP86" s="1"/>
      <c r="CQ86" s="1"/>
      <c r="CR86" s="1"/>
      <c r="CS86" s="1"/>
      <c r="CT86" s="1"/>
      <c r="CU86" s="1"/>
      <c r="CV86" s="1"/>
      <c r="CW86" s="1"/>
      <c r="CX86" s="1"/>
      <c r="CY86" s="1"/>
    </row>
    <row r="87" spans="80:103" ht="14.5" x14ac:dyDescent="0.35">
      <c r="CB87" s="214"/>
      <c r="CC87" s="1"/>
      <c r="CD87" s="1"/>
      <c r="CE87" s="1"/>
      <c r="CF87" s="1"/>
      <c r="CG87" s="1"/>
      <c r="CH87" s="1"/>
      <c r="CI87" s="1"/>
      <c r="CJ87" s="1"/>
      <c r="CK87" s="1"/>
      <c r="CL87" s="1"/>
      <c r="CM87" s="1"/>
      <c r="CN87" s="1"/>
      <c r="CO87" s="1"/>
      <c r="CP87" s="1"/>
      <c r="CQ87" s="1"/>
      <c r="CR87" s="1"/>
      <c r="CS87" s="1"/>
      <c r="CT87" s="1"/>
      <c r="CU87" s="1"/>
      <c r="CV87" s="1"/>
      <c r="CW87" s="1"/>
      <c r="CX87" s="1"/>
      <c r="CY87" s="1"/>
    </row>
    <row r="88" spans="80:103" ht="14.5" x14ac:dyDescent="0.35">
      <c r="CB88" s="214"/>
      <c r="CC88" s="1"/>
      <c r="CD88" s="1"/>
      <c r="CE88" s="1"/>
      <c r="CF88" s="1"/>
      <c r="CG88" s="1"/>
      <c r="CH88" s="1"/>
      <c r="CI88" s="1"/>
      <c r="CJ88" s="1"/>
      <c r="CK88" s="1"/>
      <c r="CL88" s="1"/>
      <c r="CM88" s="1"/>
      <c r="CN88" s="1"/>
      <c r="CO88" s="1"/>
      <c r="CP88" s="1"/>
      <c r="CQ88" s="1"/>
      <c r="CR88" s="1"/>
      <c r="CS88" s="1"/>
      <c r="CT88" s="1"/>
      <c r="CU88" s="1"/>
      <c r="CV88" s="1"/>
      <c r="CW88" s="1"/>
      <c r="CX88" s="1"/>
      <c r="CY88" s="1"/>
    </row>
    <row r="89" spans="80:103" ht="14.5" x14ac:dyDescent="0.35">
      <c r="CB89" s="214"/>
      <c r="CC89" s="1"/>
      <c r="CD89" s="1"/>
      <c r="CE89" s="1"/>
      <c r="CF89" s="1"/>
      <c r="CG89" s="1"/>
      <c r="CH89" s="1"/>
      <c r="CI89" s="1"/>
      <c r="CJ89" s="1"/>
      <c r="CK89" s="1"/>
      <c r="CL89" s="1"/>
      <c r="CM89" s="1"/>
      <c r="CN89" s="1"/>
      <c r="CO89" s="1"/>
      <c r="CP89" s="1"/>
      <c r="CQ89" s="1"/>
      <c r="CR89" s="1"/>
      <c r="CS89" s="1"/>
      <c r="CT89" s="1"/>
      <c r="CU89" s="1"/>
      <c r="CV89" s="1"/>
      <c r="CW89" s="1"/>
      <c r="CX89" s="1"/>
      <c r="CY89" s="1"/>
    </row>
    <row r="90" spans="80:103" ht="14.5" x14ac:dyDescent="0.35">
      <c r="CB90" s="214"/>
      <c r="CC90" s="1"/>
      <c r="CD90" s="1"/>
      <c r="CE90" s="1"/>
      <c r="CF90" s="1"/>
      <c r="CG90" s="1"/>
      <c r="CH90" s="1"/>
      <c r="CI90" s="1"/>
      <c r="CJ90" s="1"/>
      <c r="CK90" s="1"/>
      <c r="CL90" s="1"/>
      <c r="CM90" s="1"/>
      <c r="CN90" s="1"/>
      <c r="CO90" s="1"/>
      <c r="CP90" s="1"/>
      <c r="CQ90" s="1"/>
      <c r="CR90" s="1"/>
      <c r="CS90" s="1"/>
      <c r="CT90" s="1"/>
      <c r="CU90" s="1"/>
      <c r="CV90" s="1"/>
      <c r="CW90" s="1"/>
      <c r="CX90" s="1"/>
      <c r="CY90" s="1"/>
    </row>
    <row r="91" spans="80:103" ht="14.5" x14ac:dyDescent="0.35">
      <c r="CB91" s="214"/>
      <c r="CC91" s="1"/>
      <c r="CD91" s="1"/>
      <c r="CE91" s="1"/>
      <c r="CF91" s="1"/>
      <c r="CG91" s="1"/>
      <c r="CH91" s="1"/>
      <c r="CI91" s="1"/>
      <c r="CJ91" s="1"/>
      <c r="CK91" s="1"/>
      <c r="CL91" s="1"/>
      <c r="CM91" s="1"/>
      <c r="CN91" s="1"/>
      <c r="CO91" s="1"/>
      <c r="CP91" s="1"/>
      <c r="CQ91" s="1"/>
      <c r="CR91" s="1"/>
      <c r="CS91" s="1"/>
      <c r="CT91" s="1"/>
      <c r="CU91" s="1"/>
      <c r="CV91" s="1"/>
      <c r="CW91" s="1"/>
      <c r="CX91" s="1"/>
      <c r="CY91" s="1"/>
    </row>
    <row r="92" spans="80:103" ht="14.5" x14ac:dyDescent="0.35">
      <c r="CB92" s="214"/>
      <c r="CC92" s="1"/>
      <c r="CD92" s="1"/>
      <c r="CE92" s="1"/>
      <c r="CF92" s="1"/>
      <c r="CG92" s="1"/>
      <c r="CH92" s="1"/>
      <c r="CI92" s="1"/>
      <c r="CJ92" s="1"/>
      <c r="CK92" s="1"/>
      <c r="CL92" s="1"/>
      <c r="CM92" s="1"/>
      <c r="CN92" s="1"/>
      <c r="CO92" s="1"/>
      <c r="CP92" s="1"/>
      <c r="CQ92" s="1"/>
      <c r="CR92" s="1"/>
      <c r="CS92" s="1"/>
      <c r="CT92" s="1"/>
      <c r="CU92" s="1"/>
      <c r="CV92" s="1"/>
      <c r="CW92" s="1"/>
      <c r="CX92" s="1"/>
      <c r="CY92" s="1"/>
    </row>
    <row r="93" spans="80:103" ht="14.5" x14ac:dyDescent="0.35">
      <c r="CB93" s="214"/>
      <c r="CC93" s="1"/>
      <c r="CD93" s="1"/>
      <c r="CE93" s="1"/>
      <c r="CF93" s="1"/>
      <c r="CG93" s="1"/>
      <c r="CH93" s="1"/>
      <c r="CI93" s="1"/>
      <c r="CJ93" s="1"/>
      <c r="CK93" s="1"/>
      <c r="CL93" s="1"/>
      <c r="CM93" s="1"/>
      <c r="CN93" s="1"/>
      <c r="CO93" s="1"/>
      <c r="CP93" s="1"/>
      <c r="CQ93" s="1"/>
      <c r="CR93" s="1"/>
      <c r="CS93" s="1"/>
      <c r="CT93" s="1"/>
      <c r="CU93" s="1"/>
      <c r="CV93" s="1"/>
      <c r="CW93" s="1"/>
      <c r="CX93" s="1"/>
      <c r="CY93" s="1"/>
    </row>
    <row r="94" spans="80:103" ht="14.5" x14ac:dyDescent="0.35">
      <c r="CB94" s="214"/>
      <c r="CC94" s="1"/>
      <c r="CD94" s="1"/>
      <c r="CE94" s="1"/>
      <c r="CF94" s="1"/>
      <c r="CG94" s="1"/>
      <c r="CH94" s="1"/>
      <c r="CI94" s="1"/>
      <c r="CJ94" s="1"/>
      <c r="CK94" s="1"/>
      <c r="CL94" s="1"/>
      <c r="CM94" s="1"/>
      <c r="CN94" s="1"/>
      <c r="CO94" s="1"/>
      <c r="CP94" s="1"/>
      <c r="CQ94" s="1"/>
      <c r="CR94" s="1"/>
      <c r="CS94" s="1"/>
      <c r="CT94" s="1"/>
      <c r="CU94" s="1"/>
      <c r="CV94" s="1"/>
      <c r="CW94" s="1"/>
      <c r="CX94" s="1"/>
      <c r="CY94" s="1"/>
    </row>
    <row r="95" spans="80:103" ht="14.5" x14ac:dyDescent="0.35">
      <c r="CB95" s="214"/>
      <c r="CC95" s="1"/>
      <c r="CD95" s="1"/>
      <c r="CE95" s="1"/>
      <c r="CF95" s="1"/>
      <c r="CG95" s="1"/>
      <c r="CH95" s="1"/>
      <c r="CI95" s="1"/>
      <c r="CJ95" s="1"/>
      <c r="CK95" s="1"/>
      <c r="CL95" s="1"/>
      <c r="CM95" s="1"/>
      <c r="CN95" s="1"/>
      <c r="CO95" s="1"/>
      <c r="CP95" s="1"/>
      <c r="CQ95" s="1"/>
      <c r="CR95" s="1"/>
      <c r="CS95" s="1"/>
      <c r="CT95" s="1"/>
      <c r="CU95" s="1"/>
      <c r="CV95" s="1"/>
      <c r="CW95" s="1"/>
      <c r="CX95" s="1"/>
      <c r="CY95" s="1"/>
    </row>
    <row r="96" spans="80:103" ht="14.5" x14ac:dyDescent="0.35">
      <c r="CB96" s="214"/>
      <c r="CC96" s="1"/>
      <c r="CD96" s="1"/>
      <c r="CE96" s="1"/>
      <c r="CF96" s="1"/>
      <c r="CG96" s="1"/>
      <c r="CH96" s="1"/>
      <c r="CI96" s="1"/>
      <c r="CJ96" s="1"/>
      <c r="CK96" s="1"/>
      <c r="CL96" s="1"/>
      <c r="CM96" s="1"/>
      <c r="CN96" s="1"/>
      <c r="CO96" s="1"/>
      <c r="CP96" s="1"/>
      <c r="CQ96" s="1"/>
      <c r="CR96" s="1"/>
      <c r="CS96" s="1"/>
      <c r="CT96" s="1"/>
      <c r="CU96" s="1"/>
      <c r="CV96" s="1"/>
      <c r="CW96" s="1"/>
      <c r="CX96" s="1"/>
      <c r="CY96" s="1"/>
    </row>
    <row r="97" spans="80:103" ht="14.5" x14ac:dyDescent="0.35">
      <c r="CB97" s="214"/>
      <c r="CC97" s="1"/>
      <c r="CD97" s="1"/>
      <c r="CE97" s="1"/>
      <c r="CF97" s="1"/>
      <c r="CG97" s="1"/>
      <c r="CH97" s="1"/>
      <c r="CI97" s="1"/>
      <c r="CJ97" s="1"/>
      <c r="CK97" s="1"/>
      <c r="CL97" s="1"/>
      <c r="CM97" s="1"/>
      <c r="CN97" s="1"/>
      <c r="CO97" s="1"/>
      <c r="CP97" s="1"/>
      <c r="CQ97" s="1"/>
      <c r="CR97" s="1"/>
      <c r="CS97" s="1"/>
      <c r="CT97" s="1"/>
      <c r="CU97" s="1"/>
      <c r="CV97" s="1"/>
      <c r="CW97" s="1"/>
      <c r="CX97" s="1"/>
      <c r="CY97" s="1"/>
    </row>
    <row r="98" spans="80:103" ht="14.5" x14ac:dyDescent="0.35">
      <c r="CB98" s="214"/>
      <c r="CC98" s="1"/>
      <c r="CD98" s="1"/>
      <c r="CE98" s="1"/>
      <c r="CF98" s="1"/>
      <c r="CG98" s="1"/>
      <c r="CH98" s="1"/>
      <c r="CI98" s="1"/>
      <c r="CJ98" s="1"/>
      <c r="CK98" s="1"/>
      <c r="CL98" s="1"/>
      <c r="CM98" s="1"/>
      <c r="CN98" s="1"/>
      <c r="CO98" s="1"/>
      <c r="CP98" s="1"/>
      <c r="CQ98" s="1"/>
      <c r="CR98" s="1"/>
      <c r="CS98" s="1"/>
      <c r="CT98" s="1"/>
      <c r="CU98" s="1"/>
      <c r="CV98" s="1"/>
      <c r="CW98" s="1"/>
      <c r="CX98" s="1"/>
      <c r="CY98" s="1"/>
    </row>
    <row r="99" spans="80:103" ht="14.5" x14ac:dyDescent="0.35">
      <c r="CB99" s="214"/>
      <c r="CC99" s="1"/>
      <c r="CD99" s="1"/>
      <c r="CE99" s="1"/>
      <c r="CF99" s="1"/>
      <c r="CG99" s="1"/>
      <c r="CH99" s="1"/>
      <c r="CI99" s="1"/>
      <c r="CJ99" s="1"/>
      <c r="CK99" s="1"/>
      <c r="CL99" s="1"/>
      <c r="CM99" s="1"/>
      <c r="CN99" s="1"/>
      <c r="CO99" s="1"/>
      <c r="CP99" s="1"/>
      <c r="CQ99" s="1"/>
      <c r="CR99" s="1"/>
      <c r="CS99" s="1"/>
      <c r="CT99" s="1"/>
      <c r="CU99" s="1"/>
      <c r="CV99" s="1"/>
      <c r="CW99" s="1"/>
      <c r="CX99" s="1"/>
      <c r="CY99" s="1"/>
    </row>
    <row r="100" spans="80:103" ht="14.5" x14ac:dyDescent="0.35">
      <c r="CB100" s="214"/>
      <c r="CC100" s="1"/>
      <c r="CD100" s="1"/>
      <c r="CE100" s="1"/>
      <c r="CF100" s="1"/>
      <c r="CG100" s="1"/>
      <c r="CH100" s="1"/>
      <c r="CI100" s="1"/>
      <c r="CJ100" s="1"/>
      <c r="CK100" s="1"/>
      <c r="CL100" s="1"/>
      <c r="CM100" s="1"/>
      <c r="CN100" s="1"/>
      <c r="CO100" s="1"/>
      <c r="CP100" s="1"/>
      <c r="CQ100" s="1"/>
      <c r="CR100" s="1"/>
      <c r="CS100" s="1"/>
      <c r="CT100" s="1"/>
      <c r="CU100" s="1"/>
      <c r="CV100" s="1"/>
      <c r="CW100" s="1"/>
      <c r="CX100" s="1"/>
      <c r="CY100" s="1"/>
    </row>
    <row r="101" spans="80:103" ht="14.5" x14ac:dyDescent="0.35">
      <c r="CB101" s="214"/>
      <c r="CC101" s="1"/>
      <c r="CD101" s="1"/>
      <c r="CE101" s="1"/>
      <c r="CF101" s="1"/>
      <c r="CG101" s="1"/>
      <c r="CH101" s="1"/>
      <c r="CI101" s="1"/>
      <c r="CJ101" s="1"/>
      <c r="CK101" s="1"/>
      <c r="CL101" s="1"/>
      <c r="CM101" s="1"/>
      <c r="CN101" s="1"/>
      <c r="CO101" s="1"/>
      <c r="CP101" s="1"/>
      <c r="CQ101" s="1"/>
      <c r="CR101" s="1"/>
      <c r="CS101" s="1"/>
      <c r="CT101" s="1"/>
      <c r="CU101" s="1"/>
      <c r="CV101" s="1"/>
      <c r="CW101" s="1"/>
      <c r="CX101" s="1"/>
      <c r="CY101" s="1"/>
    </row>
    <row r="102" spans="80:103" ht="14.5" x14ac:dyDescent="0.35">
      <c r="CB102" s="214"/>
      <c r="CC102" s="1"/>
      <c r="CD102" s="1"/>
      <c r="CE102" s="1"/>
      <c r="CF102" s="1"/>
      <c r="CG102" s="1"/>
      <c r="CH102" s="1"/>
      <c r="CI102" s="1"/>
      <c r="CJ102" s="1"/>
      <c r="CK102" s="1"/>
      <c r="CL102" s="1"/>
      <c r="CM102" s="1"/>
      <c r="CN102" s="1"/>
      <c r="CO102" s="1"/>
      <c r="CP102" s="1"/>
      <c r="CQ102" s="1"/>
      <c r="CR102" s="1"/>
      <c r="CS102" s="1"/>
      <c r="CT102" s="1"/>
      <c r="CU102" s="1"/>
      <c r="CV102" s="1"/>
      <c r="CW102" s="1"/>
      <c r="CX102" s="1"/>
      <c r="CY102" s="1"/>
    </row>
    <row r="103" spans="80:103" ht="14.5" x14ac:dyDescent="0.35">
      <c r="CB103" s="214"/>
      <c r="CC103" s="1"/>
      <c r="CD103" s="1"/>
      <c r="CE103" s="1"/>
      <c r="CF103" s="1"/>
      <c r="CG103" s="1"/>
      <c r="CH103" s="1"/>
      <c r="CI103" s="1"/>
      <c r="CJ103" s="1"/>
      <c r="CK103" s="1"/>
      <c r="CL103" s="1"/>
      <c r="CM103" s="1"/>
      <c r="CN103" s="1"/>
      <c r="CO103" s="1"/>
      <c r="CP103" s="1"/>
      <c r="CQ103" s="1"/>
      <c r="CR103" s="1"/>
      <c r="CS103" s="1"/>
      <c r="CT103" s="1"/>
      <c r="CU103" s="1"/>
      <c r="CV103" s="1"/>
      <c r="CW103" s="1"/>
      <c r="CX103" s="1"/>
      <c r="CY103" s="1"/>
    </row>
    <row r="104" spans="80:103" ht="14.5" x14ac:dyDescent="0.35">
      <c r="CB104" s="214"/>
      <c r="CC104" s="1"/>
      <c r="CD104" s="1"/>
      <c r="CE104" s="1"/>
      <c r="CF104" s="1"/>
      <c r="CG104" s="1"/>
      <c r="CH104" s="1"/>
      <c r="CI104" s="1"/>
      <c r="CJ104" s="1"/>
      <c r="CK104" s="1"/>
      <c r="CL104" s="1"/>
      <c r="CM104" s="1"/>
      <c r="CN104" s="1"/>
      <c r="CO104" s="1"/>
      <c r="CP104" s="1"/>
      <c r="CQ104" s="1"/>
      <c r="CR104" s="1"/>
      <c r="CS104" s="1"/>
      <c r="CT104" s="1"/>
      <c r="CU104" s="1"/>
      <c r="CV104" s="1"/>
      <c r="CW104" s="1"/>
      <c r="CX104" s="1"/>
      <c r="CY104" s="1"/>
    </row>
    <row r="105" spans="80:103" ht="14.5" x14ac:dyDescent="0.35">
      <c r="CB105" s="214"/>
      <c r="CC105" s="1"/>
      <c r="CD105" s="1"/>
      <c r="CE105" s="1"/>
      <c r="CF105" s="1"/>
      <c r="CG105" s="1"/>
      <c r="CH105" s="1"/>
      <c r="CI105" s="1"/>
      <c r="CJ105" s="1"/>
      <c r="CK105" s="1"/>
      <c r="CL105" s="1"/>
      <c r="CM105" s="1"/>
      <c r="CN105" s="1"/>
      <c r="CO105" s="1"/>
      <c r="CP105" s="1"/>
      <c r="CQ105" s="1"/>
      <c r="CR105" s="1"/>
      <c r="CS105" s="1"/>
      <c r="CT105" s="1"/>
      <c r="CU105" s="1"/>
      <c r="CV105" s="1"/>
      <c r="CW105" s="1"/>
      <c r="CX105" s="1"/>
      <c r="CY105" s="1"/>
    </row>
    <row r="106" spans="80:103" ht="14.5" x14ac:dyDescent="0.35">
      <c r="CB106" s="214"/>
      <c r="CC106" s="1"/>
      <c r="CD106" s="1"/>
      <c r="CE106" s="1"/>
      <c r="CF106" s="1"/>
      <c r="CG106" s="1"/>
      <c r="CH106" s="1"/>
      <c r="CI106" s="1"/>
      <c r="CJ106" s="1"/>
      <c r="CK106" s="1"/>
      <c r="CL106" s="1"/>
      <c r="CM106" s="1"/>
      <c r="CN106" s="1"/>
      <c r="CO106" s="1"/>
      <c r="CP106" s="1"/>
      <c r="CQ106" s="1"/>
      <c r="CR106" s="1"/>
      <c r="CS106" s="1"/>
      <c r="CT106" s="1"/>
      <c r="CU106" s="1"/>
      <c r="CV106" s="1"/>
      <c r="CW106" s="1"/>
      <c r="CX106" s="1"/>
      <c r="CY106" s="1"/>
    </row>
    <row r="107" spans="80:103" ht="15" customHeight="1" x14ac:dyDescent="0.35">
      <c r="CB107" s="214"/>
      <c r="CC107" s="1"/>
      <c r="CD107" s="1"/>
      <c r="CE107" s="1"/>
      <c r="CF107" s="1"/>
      <c r="CG107" s="1"/>
      <c r="CH107" s="1"/>
      <c r="CI107" s="1"/>
      <c r="CJ107" s="1"/>
      <c r="CK107" s="1"/>
      <c r="CL107" s="1"/>
      <c r="CM107" s="1"/>
      <c r="CN107" s="1"/>
      <c r="CO107" s="1"/>
      <c r="CP107" s="1"/>
      <c r="CQ107" s="1"/>
      <c r="CR107" s="1"/>
      <c r="CS107" s="1"/>
      <c r="CT107" s="1"/>
      <c r="CU107" s="1"/>
      <c r="CV107" s="1"/>
      <c r="CW107" s="1"/>
      <c r="CX107" s="1"/>
      <c r="CY107" s="1"/>
    </row>
    <row r="108" spans="80:103" ht="15" customHeight="1" x14ac:dyDescent="0.35">
      <c r="CB108" s="214"/>
      <c r="CC108" s="1"/>
      <c r="CD108" s="1"/>
      <c r="CE108" s="1"/>
      <c r="CF108" s="1"/>
      <c r="CG108" s="1"/>
      <c r="CH108" s="1"/>
      <c r="CI108" s="1"/>
      <c r="CJ108" s="1"/>
      <c r="CK108" s="1"/>
      <c r="CL108" s="1"/>
      <c r="CM108" s="1"/>
      <c r="CN108" s="1"/>
      <c r="CO108" s="1"/>
      <c r="CP108" s="1"/>
      <c r="CQ108" s="1"/>
      <c r="CR108" s="1"/>
      <c r="CS108" s="1"/>
      <c r="CT108" s="1"/>
      <c r="CU108" s="1"/>
      <c r="CV108" s="1"/>
      <c r="CW108" s="1"/>
      <c r="CX108" s="1"/>
      <c r="CY108" s="1"/>
    </row>
    <row r="109" spans="80:103" ht="15" customHeight="1" x14ac:dyDescent="0.35">
      <c r="CB109" s="214"/>
      <c r="CC109" s="1"/>
      <c r="CD109" s="1"/>
      <c r="CE109" s="1"/>
      <c r="CF109" s="1"/>
      <c r="CG109" s="1"/>
      <c r="CH109" s="1"/>
      <c r="CI109" s="1"/>
      <c r="CJ109" s="1"/>
      <c r="CK109" s="1"/>
      <c r="CL109" s="1"/>
      <c r="CM109" s="1"/>
      <c r="CN109" s="1"/>
      <c r="CO109" s="1"/>
      <c r="CP109" s="1"/>
      <c r="CQ109" s="1"/>
      <c r="CR109" s="1"/>
      <c r="CS109" s="1"/>
      <c r="CT109" s="1"/>
      <c r="CU109" s="1"/>
      <c r="CV109" s="1"/>
      <c r="CW109" s="1"/>
      <c r="CX109" s="1"/>
      <c r="CY109" s="1"/>
    </row>
    <row r="110" spans="80:103" ht="15" customHeight="1" x14ac:dyDescent="0.35">
      <c r="CB110" s="214"/>
      <c r="CC110" s="1"/>
      <c r="CD110" s="1"/>
      <c r="CE110" s="1"/>
      <c r="CF110" s="1"/>
      <c r="CG110" s="1"/>
      <c r="CH110" s="1"/>
      <c r="CI110" s="1"/>
      <c r="CJ110" s="1"/>
      <c r="CK110" s="1"/>
      <c r="CL110" s="1"/>
      <c r="CM110" s="1"/>
      <c r="CN110" s="1"/>
      <c r="CO110" s="1"/>
      <c r="CP110" s="1"/>
      <c r="CQ110" s="1"/>
      <c r="CR110" s="1"/>
      <c r="CS110" s="1"/>
      <c r="CT110" s="1"/>
      <c r="CU110" s="1"/>
      <c r="CV110" s="1"/>
      <c r="CW110" s="1"/>
      <c r="CX110" s="1"/>
      <c r="CY110" s="1"/>
    </row>
    <row r="111" spans="80:103" ht="15" customHeight="1" x14ac:dyDescent="0.35">
      <c r="CB111" s="214"/>
      <c r="CC111" s="1"/>
      <c r="CD111" s="1"/>
      <c r="CE111" s="1"/>
      <c r="CF111" s="1"/>
      <c r="CG111" s="1"/>
      <c r="CH111" s="1"/>
      <c r="CI111" s="1"/>
      <c r="CJ111" s="1"/>
      <c r="CK111" s="1"/>
      <c r="CL111" s="1"/>
      <c r="CM111" s="1"/>
      <c r="CN111" s="1"/>
      <c r="CO111" s="1"/>
      <c r="CP111" s="1"/>
      <c r="CQ111" s="1"/>
      <c r="CR111" s="1"/>
      <c r="CS111" s="1"/>
      <c r="CT111" s="1"/>
      <c r="CU111" s="1"/>
      <c r="CV111" s="1"/>
      <c r="CW111" s="1"/>
      <c r="CX111" s="1"/>
      <c r="CY111" s="1"/>
    </row>
    <row r="112" spans="80:103" ht="15" customHeight="1" x14ac:dyDescent="0.35">
      <c r="CB112" s="214"/>
      <c r="CC112" s="1"/>
      <c r="CD112" s="1"/>
      <c r="CE112" s="1"/>
      <c r="CF112" s="1"/>
      <c r="CG112" s="1"/>
      <c r="CH112" s="1"/>
      <c r="CI112" s="1"/>
      <c r="CJ112" s="1"/>
      <c r="CK112" s="1"/>
      <c r="CL112" s="1"/>
      <c r="CM112" s="1"/>
      <c r="CN112" s="1"/>
      <c r="CO112" s="1"/>
      <c r="CP112" s="1"/>
      <c r="CQ112" s="1"/>
      <c r="CR112" s="1"/>
      <c r="CS112" s="1"/>
      <c r="CT112" s="1"/>
      <c r="CU112" s="1"/>
      <c r="CV112" s="1"/>
      <c r="CW112" s="1"/>
      <c r="CX112" s="1"/>
      <c r="CY112" s="1"/>
    </row>
    <row r="113" spans="80:103" ht="15" customHeight="1" x14ac:dyDescent="0.35">
      <c r="CB113" s="214"/>
      <c r="CC113" s="1"/>
      <c r="CD113" s="1"/>
      <c r="CE113" s="1"/>
      <c r="CF113" s="1"/>
      <c r="CG113" s="1"/>
      <c r="CH113" s="1"/>
      <c r="CI113" s="1"/>
      <c r="CJ113" s="1"/>
      <c r="CK113" s="1"/>
      <c r="CL113" s="1"/>
      <c r="CM113" s="1"/>
      <c r="CN113" s="1"/>
      <c r="CO113" s="1"/>
      <c r="CP113" s="1"/>
      <c r="CQ113" s="1"/>
      <c r="CR113" s="1"/>
      <c r="CS113" s="1"/>
      <c r="CT113" s="1"/>
      <c r="CU113" s="1"/>
      <c r="CV113" s="1"/>
      <c r="CW113" s="1"/>
      <c r="CX113" s="1"/>
      <c r="CY113" s="1"/>
    </row>
    <row r="114" spans="80:103" ht="15" customHeight="1" x14ac:dyDescent="0.35">
      <c r="CB114" s="214"/>
      <c r="CC114" s="1"/>
      <c r="CD114" s="1"/>
      <c r="CE114" s="1"/>
      <c r="CF114" s="1"/>
      <c r="CG114" s="1"/>
      <c r="CH114" s="1"/>
      <c r="CI114" s="1"/>
      <c r="CJ114" s="1"/>
      <c r="CK114" s="1"/>
      <c r="CL114" s="1"/>
      <c r="CM114" s="1"/>
      <c r="CN114" s="1"/>
      <c r="CO114" s="1"/>
      <c r="CP114" s="1"/>
      <c r="CQ114" s="1"/>
      <c r="CR114" s="1"/>
      <c r="CS114" s="1"/>
      <c r="CT114" s="1"/>
      <c r="CU114" s="1"/>
      <c r="CV114" s="1"/>
      <c r="CW114" s="1"/>
      <c r="CX114" s="1"/>
      <c r="CY114" s="1"/>
    </row>
    <row r="115" spans="80:103" ht="15" customHeight="1" x14ac:dyDescent="0.35">
      <c r="CB115" s="214"/>
      <c r="CC115" s="1"/>
      <c r="CD115" s="1"/>
      <c r="CE115" s="1"/>
      <c r="CF115" s="1"/>
      <c r="CG115" s="1"/>
      <c r="CH115" s="1"/>
      <c r="CI115" s="1"/>
      <c r="CJ115" s="1"/>
      <c r="CK115" s="1"/>
      <c r="CL115" s="1"/>
      <c r="CM115" s="1"/>
      <c r="CN115" s="1"/>
      <c r="CO115" s="1"/>
      <c r="CP115" s="1"/>
      <c r="CQ115" s="1"/>
      <c r="CR115" s="1"/>
      <c r="CS115" s="1"/>
      <c r="CT115" s="1"/>
      <c r="CU115" s="1"/>
      <c r="CV115" s="1"/>
      <c r="CW115" s="1"/>
      <c r="CX115" s="1"/>
      <c r="CY115" s="1"/>
    </row>
    <row r="116" spans="80:103" ht="15" customHeight="1" x14ac:dyDescent="0.35">
      <c r="CB116" s="214"/>
      <c r="CC116" s="1"/>
      <c r="CD116" s="1"/>
      <c r="CE116" s="1"/>
      <c r="CF116" s="1"/>
      <c r="CG116" s="1"/>
      <c r="CH116" s="1"/>
      <c r="CI116" s="1"/>
      <c r="CJ116" s="1"/>
      <c r="CK116" s="1"/>
      <c r="CL116" s="1"/>
      <c r="CM116" s="1"/>
      <c r="CN116" s="1"/>
      <c r="CO116" s="1"/>
      <c r="CP116" s="1"/>
      <c r="CQ116" s="1"/>
      <c r="CR116" s="1"/>
      <c r="CS116" s="1"/>
      <c r="CT116" s="1"/>
      <c r="CU116" s="1"/>
      <c r="CV116" s="1"/>
      <c r="CW116" s="1"/>
      <c r="CX116" s="1"/>
      <c r="CY116" s="1"/>
    </row>
    <row r="117" spans="80:103" ht="15" customHeight="1" x14ac:dyDescent="0.35">
      <c r="CB117" s="214"/>
      <c r="CC117" s="1"/>
      <c r="CD117" s="1"/>
      <c r="CE117" s="1"/>
      <c r="CF117" s="1"/>
      <c r="CG117" s="1"/>
      <c r="CH117" s="1"/>
      <c r="CI117" s="1"/>
      <c r="CJ117" s="1"/>
      <c r="CK117" s="1"/>
      <c r="CL117" s="1"/>
      <c r="CM117" s="1"/>
      <c r="CN117" s="1"/>
      <c r="CO117" s="1"/>
      <c r="CP117" s="1"/>
      <c r="CQ117" s="1"/>
      <c r="CR117" s="1"/>
      <c r="CS117" s="1"/>
      <c r="CT117" s="1"/>
      <c r="CU117" s="1"/>
      <c r="CV117" s="1"/>
      <c r="CW117" s="1"/>
      <c r="CX117" s="1"/>
      <c r="CY117" s="1"/>
    </row>
    <row r="118" spans="80:103" ht="15" customHeight="1" x14ac:dyDescent="0.35">
      <c r="CB118" s="214"/>
      <c r="CC118" s="1"/>
      <c r="CD118" s="1"/>
      <c r="CE118" s="1"/>
      <c r="CF118" s="1"/>
      <c r="CG118" s="1"/>
      <c r="CH118" s="1"/>
      <c r="CI118" s="1"/>
      <c r="CJ118" s="1"/>
      <c r="CK118" s="1"/>
      <c r="CL118" s="1"/>
      <c r="CM118" s="1"/>
      <c r="CN118" s="1"/>
      <c r="CO118" s="1"/>
      <c r="CP118" s="1"/>
      <c r="CQ118" s="1"/>
      <c r="CR118" s="1"/>
      <c r="CS118" s="1"/>
      <c r="CT118" s="1"/>
      <c r="CU118" s="1"/>
      <c r="CV118" s="1"/>
      <c r="CW118" s="1"/>
      <c r="CX118" s="1"/>
      <c r="CY118" s="1"/>
    </row>
    <row r="119" spans="80:103" ht="15" customHeight="1" x14ac:dyDescent="0.35">
      <c r="CB119" s="214"/>
      <c r="CC119" s="1"/>
      <c r="CD119" s="1"/>
      <c r="CE119" s="1"/>
      <c r="CF119" s="1"/>
      <c r="CG119" s="1"/>
      <c r="CH119" s="1"/>
      <c r="CI119" s="1"/>
      <c r="CJ119" s="1"/>
      <c r="CK119" s="1"/>
      <c r="CL119" s="1"/>
      <c r="CM119" s="1"/>
      <c r="CN119" s="1"/>
      <c r="CO119" s="1"/>
      <c r="CP119" s="1"/>
      <c r="CQ119" s="1"/>
      <c r="CR119" s="1"/>
      <c r="CS119" s="1"/>
      <c r="CT119" s="1"/>
      <c r="CU119" s="1"/>
      <c r="CV119" s="1"/>
      <c r="CW119" s="1"/>
      <c r="CX119" s="1"/>
      <c r="CY119" s="1"/>
    </row>
    <row r="120" spans="80:103" ht="15" customHeight="1" x14ac:dyDescent="0.35">
      <c r="CB120" s="214"/>
      <c r="CC120" s="1"/>
      <c r="CD120" s="1"/>
      <c r="CE120" s="1"/>
      <c r="CF120" s="1"/>
      <c r="CG120" s="1"/>
      <c r="CH120" s="1"/>
      <c r="CI120" s="1"/>
      <c r="CJ120" s="1"/>
      <c r="CK120" s="1"/>
      <c r="CL120" s="1"/>
      <c r="CM120" s="1"/>
      <c r="CN120" s="1"/>
      <c r="CO120" s="1"/>
      <c r="CP120" s="1"/>
      <c r="CQ120" s="1"/>
      <c r="CR120" s="1"/>
      <c r="CS120" s="1"/>
      <c r="CT120" s="1"/>
      <c r="CU120" s="1"/>
      <c r="CV120" s="1"/>
      <c r="CW120" s="1"/>
      <c r="CX120" s="1"/>
      <c r="CY120" s="1"/>
    </row>
    <row r="121" spans="80:103" ht="15" customHeight="1" x14ac:dyDescent="0.35">
      <c r="CB121" s="214"/>
      <c r="CC121" s="1"/>
      <c r="CD121" s="1"/>
      <c r="CE121" s="1"/>
      <c r="CF121" s="1"/>
      <c r="CG121" s="1"/>
      <c r="CH121" s="1"/>
      <c r="CI121" s="1"/>
      <c r="CJ121" s="1"/>
      <c r="CK121" s="1"/>
      <c r="CL121" s="1"/>
      <c r="CM121" s="1"/>
      <c r="CN121" s="1"/>
      <c r="CO121" s="1"/>
      <c r="CP121" s="1"/>
      <c r="CQ121" s="1"/>
      <c r="CR121" s="1"/>
      <c r="CS121" s="1"/>
      <c r="CT121" s="1"/>
      <c r="CU121" s="1"/>
      <c r="CV121" s="1"/>
      <c r="CW121" s="1"/>
      <c r="CX121" s="1"/>
      <c r="CY121" s="1"/>
    </row>
    <row r="122" spans="80:103" ht="15" customHeight="1" x14ac:dyDescent="0.35">
      <c r="CB122" s="214"/>
      <c r="CC122" s="1"/>
      <c r="CD122" s="1"/>
      <c r="CE122" s="1"/>
      <c r="CF122" s="1"/>
      <c r="CG122" s="1"/>
      <c r="CH122" s="1"/>
      <c r="CI122" s="1"/>
      <c r="CJ122" s="1"/>
      <c r="CK122" s="1"/>
      <c r="CL122" s="1"/>
      <c r="CM122" s="1"/>
      <c r="CN122" s="1"/>
      <c r="CO122" s="1"/>
      <c r="CP122" s="1"/>
      <c r="CQ122" s="1"/>
      <c r="CR122" s="1"/>
      <c r="CS122" s="1"/>
      <c r="CT122" s="1"/>
      <c r="CU122" s="1"/>
      <c r="CV122" s="1"/>
      <c r="CW122" s="1"/>
      <c r="CX122" s="1"/>
      <c r="CY122" s="1"/>
    </row>
    <row r="123" spans="80:103" ht="15" customHeight="1" x14ac:dyDescent="0.35">
      <c r="CB123" s="214"/>
      <c r="CC123" s="1"/>
      <c r="CD123" s="1"/>
      <c r="CE123" s="1"/>
      <c r="CF123" s="1"/>
      <c r="CG123" s="1"/>
      <c r="CH123" s="1"/>
      <c r="CI123" s="1"/>
      <c r="CJ123" s="1"/>
      <c r="CK123" s="1"/>
      <c r="CL123" s="1"/>
      <c r="CM123" s="1"/>
      <c r="CN123" s="1"/>
      <c r="CO123" s="1"/>
      <c r="CP123" s="1"/>
      <c r="CQ123" s="1"/>
      <c r="CR123" s="1"/>
      <c r="CS123" s="1"/>
      <c r="CT123" s="1"/>
      <c r="CU123" s="1"/>
      <c r="CV123" s="1"/>
      <c r="CW123" s="1"/>
      <c r="CX123" s="1"/>
      <c r="CY123" s="1"/>
    </row>
    <row r="124" spans="80:103" ht="15" customHeight="1" x14ac:dyDescent="0.35">
      <c r="CB124" s="214"/>
      <c r="CC124" s="1"/>
      <c r="CD124" s="1"/>
      <c r="CE124" s="1"/>
      <c r="CF124" s="1"/>
      <c r="CG124" s="1"/>
      <c r="CH124" s="1"/>
      <c r="CI124" s="1"/>
      <c r="CJ124" s="1"/>
      <c r="CK124" s="1"/>
      <c r="CL124" s="1"/>
      <c r="CM124" s="1"/>
      <c r="CN124" s="1"/>
      <c r="CO124" s="1"/>
      <c r="CP124" s="1"/>
      <c r="CQ124" s="1"/>
      <c r="CR124" s="1"/>
      <c r="CS124" s="1"/>
      <c r="CT124" s="1"/>
      <c r="CU124" s="1"/>
      <c r="CV124" s="1"/>
      <c r="CW124" s="1"/>
      <c r="CX124" s="1"/>
      <c r="CY124" s="1"/>
    </row>
    <row r="125" spans="80:103" ht="15" customHeight="1" x14ac:dyDescent="0.35">
      <c r="CB125" s="214"/>
      <c r="CC125" s="1"/>
      <c r="CD125" s="1"/>
      <c r="CE125" s="1"/>
      <c r="CF125" s="1"/>
      <c r="CG125" s="1"/>
      <c r="CH125" s="1"/>
      <c r="CI125" s="1"/>
      <c r="CJ125" s="1"/>
      <c r="CK125" s="1"/>
      <c r="CL125" s="1"/>
      <c r="CM125" s="1"/>
      <c r="CN125" s="1"/>
      <c r="CO125" s="1"/>
      <c r="CP125" s="1"/>
      <c r="CQ125" s="1"/>
      <c r="CR125" s="1"/>
      <c r="CS125" s="1"/>
      <c r="CT125" s="1"/>
      <c r="CU125" s="1"/>
      <c r="CV125" s="1"/>
      <c r="CW125" s="1"/>
      <c r="CX125" s="1"/>
      <c r="CY125" s="1"/>
    </row>
    <row r="126" spans="80:103" ht="15" customHeight="1" x14ac:dyDescent="0.35">
      <c r="CB126" s="214"/>
      <c r="CC126" s="1"/>
      <c r="CD126" s="1"/>
      <c r="CE126" s="1"/>
      <c r="CF126" s="1"/>
      <c r="CG126" s="1"/>
      <c r="CH126" s="1"/>
      <c r="CI126" s="1"/>
      <c r="CJ126" s="1"/>
      <c r="CK126" s="1"/>
      <c r="CL126" s="1"/>
      <c r="CM126" s="1"/>
      <c r="CN126" s="1"/>
      <c r="CO126" s="1"/>
      <c r="CP126" s="1"/>
      <c r="CQ126" s="1"/>
      <c r="CR126" s="1"/>
      <c r="CS126" s="1"/>
      <c r="CT126" s="1"/>
      <c r="CU126" s="1"/>
      <c r="CV126" s="1"/>
      <c r="CW126" s="1"/>
      <c r="CX126" s="1"/>
      <c r="CY126" s="1"/>
    </row>
    <row r="127" spans="80:103" ht="15" customHeight="1" x14ac:dyDescent="0.35">
      <c r="CB127" s="214"/>
      <c r="CC127" s="1"/>
      <c r="CD127" s="1"/>
      <c r="CE127" s="1"/>
      <c r="CF127" s="1"/>
      <c r="CG127" s="1"/>
      <c r="CH127" s="1"/>
      <c r="CI127" s="1"/>
      <c r="CJ127" s="1"/>
      <c r="CK127" s="1"/>
      <c r="CL127" s="1"/>
      <c r="CM127" s="1"/>
      <c r="CN127" s="1"/>
      <c r="CO127" s="1"/>
      <c r="CP127" s="1"/>
      <c r="CQ127" s="1"/>
      <c r="CR127" s="1"/>
      <c r="CS127" s="1"/>
      <c r="CT127" s="1"/>
      <c r="CU127" s="1"/>
      <c r="CV127" s="1"/>
      <c r="CW127" s="1"/>
      <c r="CX127" s="1"/>
      <c r="CY127" s="1"/>
    </row>
    <row r="128" spans="80:103" ht="15" customHeight="1" x14ac:dyDescent="0.35">
      <c r="CB128" s="214"/>
      <c r="CC128" s="1"/>
      <c r="CD128" s="1"/>
      <c r="CE128" s="1"/>
      <c r="CF128" s="1"/>
      <c r="CG128" s="1"/>
      <c r="CH128" s="1"/>
      <c r="CI128" s="1"/>
      <c r="CJ128" s="1"/>
      <c r="CK128" s="1"/>
      <c r="CL128" s="1"/>
      <c r="CM128" s="1"/>
      <c r="CN128" s="1"/>
      <c r="CO128" s="1"/>
      <c r="CP128" s="1"/>
      <c r="CQ128" s="1"/>
      <c r="CR128" s="1"/>
      <c r="CS128" s="1"/>
      <c r="CT128" s="1"/>
      <c r="CU128" s="1"/>
      <c r="CV128" s="1"/>
      <c r="CW128" s="1"/>
      <c r="CX128" s="1"/>
      <c r="CY128" s="1"/>
    </row>
    <row r="129" spans="80:103" ht="15" customHeight="1" x14ac:dyDescent="0.35">
      <c r="CB129" s="214"/>
      <c r="CC129" s="1"/>
      <c r="CD129" s="1"/>
      <c r="CE129" s="1"/>
      <c r="CF129" s="1"/>
      <c r="CG129" s="1"/>
      <c r="CH129" s="1"/>
      <c r="CI129" s="1"/>
      <c r="CJ129" s="1"/>
      <c r="CK129" s="1"/>
      <c r="CL129" s="1"/>
      <c r="CM129" s="1"/>
      <c r="CN129" s="1"/>
      <c r="CO129" s="1"/>
      <c r="CP129" s="1"/>
      <c r="CQ129" s="1"/>
      <c r="CR129" s="1"/>
      <c r="CS129" s="1"/>
      <c r="CT129" s="1"/>
      <c r="CU129" s="1"/>
      <c r="CV129" s="1"/>
      <c r="CW129" s="1"/>
      <c r="CX129" s="1"/>
      <c r="CY129" s="1"/>
    </row>
    <row r="130" spans="80:103" ht="15" customHeight="1" x14ac:dyDescent="0.35">
      <c r="CB130" s="214"/>
      <c r="CC130" s="1"/>
      <c r="CD130" s="1"/>
      <c r="CE130" s="1"/>
      <c r="CF130" s="1"/>
      <c r="CG130" s="1"/>
      <c r="CH130" s="1"/>
      <c r="CI130" s="1"/>
      <c r="CJ130" s="1"/>
      <c r="CK130" s="1"/>
      <c r="CL130" s="1"/>
      <c r="CM130" s="1"/>
      <c r="CN130" s="1"/>
      <c r="CO130" s="1"/>
      <c r="CP130" s="1"/>
      <c r="CQ130" s="1"/>
      <c r="CR130" s="1"/>
      <c r="CS130" s="1"/>
      <c r="CT130" s="1"/>
      <c r="CU130" s="1"/>
      <c r="CV130" s="1"/>
      <c r="CW130" s="1"/>
      <c r="CX130" s="1"/>
      <c r="CY130" s="1"/>
    </row>
    <row r="131" spans="80:103" ht="15" customHeight="1" x14ac:dyDescent="0.35">
      <c r="CB131" s="214"/>
      <c r="CC131" s="1"/>
      <c r="CD131" s="1"/>
      <c r="CE131" s="1"/>
      <c r="CF131" s="1"/>
      <c r="CG131" s="1"/>
      <c r="CH131" s="1"/>
      <c r="CI131" s="1"/>
      <c r="CJ131" s="1"/>
      <c r="CK131" s="1"/>
      <c r="CL131" s="1"/>
      <c r="CM131" s="1"/>
      <c r="CN131" s="1"/>
      <c r="CO131" s="1"/>
      <c r="CP131" s="1"/>
      <c r="CQ131" s="1"/>
      <c r="CR131" s="1"/>
      <c r="CS131" s="1"/>
      <c r="CT131" s="1"/>
      <c r="CU131" s="1"/>
      <c r="CV131" s="1"/>
      <c r="CW131" s="1"/>
      <c r="CX131" s="1"/>
      <c r="CY131" s="1"/>
    </row>
    <row r="132" spans="80:103" ht="15" customHeight="1" x14ac:dyDescent="0.35">
      <c r="CB132" s="214"/>
      <c r="CC132" s="1"/>
      <c r="CD132" s="1"/>
      <c r="CE132" s="1"/>
      <c r="CF132" s="1"/>
      <c r="CG132" s="1"/>
      <c r="CH132" s="1"/>
      <c r="CI132" s="1"/>
      <c r="CJ132" s="1"/>
      <c r="CK132" s="1"/>
      <c r="CL132" s="1"/>
      <c r="CM132" s="1"/>
      <c r="CN132" s="1"/>
      <c r="CO132" s="1"/>
      <c r="CP132" s="1"/>
      <c r="CQ132" s="1"/>
      <c r="CR132" s="1"/>
      <c r="CS132" s="1"/>
      <c r="CT132" s="1"/>
      <c r="CU132" s="1"/>
      <c r="CV132" s="1"/>
      <c r="CW132" s="1"/>
      <c r="CX132" s="1"/>
      <c r="CY132" s="1"/>
    </row>
    <row r="133" spans="80:103" ht="15" customHeight="1" x14ac:dyDescent="0.35">
      <c r="CB133" s="214"/>
      <c r="CC133" s="1"/>
      <c r="CD133" s="1"/>
      <c r="CE133" s="1"/>
      <c r="CF133" s="1"/>
      <c r="CG133" s="1"/>
      <c r="CH133" s="1"/>
      <c r="CI133" s="1"/>
      <c r="CJ133" s="1"/>
      <c r="CK133" s="1"/>
      <c r="CL133" s="1"/>
      <c r="CM133" s="1"/>
      <c r="CN133" s="1"/>
      <c r="CO133" s="1"/>
      <c r="CP133" s="1"/>
      <c r="CQ133" s="1"/>
      <c r="CR133" s="1"/>
      <c r="CS133" s="1"/>
      <c r="CT133" s="1"/>
      <c r="CU133" s="1"/>
      <c r="CV133" s="1"/>
      <c r="CW133" s="1"/>
      <c r="CX133" s="1"/>
      <c r="CY133" s="1"/>
    </row>
    <row r="134" spans="80:103" ht="15" customHeight="1" x14ac:dyDescent="0.35">
      <c r="CB134" s="214"/>
      <c r="CC134" s="1"/>
      <c r="CD134" s="1"/>
      <c r="CE134" s="1"/>
      <c r="CF134" s="1"/>
      <c r="CG134" s="1"/>
      <c r="CH134" s="1"/>
      <c r="CI134" s="1"/>
      <c r="CJ134" s="1"/>
      <c r="CK134" s="1"/>
      <c r="CL134" s="1"/>
      <c r="CM134" s="1"/>
      <c r="CN134" s="1"/>
      <c r="CO134" s="1"/>
      <c r="CP134" s="1"/>
      <c r="CQ134" s="1"/>
      <c r="CR134" s="1"/>
      <c r="CS134" s="1"/>
      <c r="CT134" s="1"/>
      <c r="CU134" s="1"/>
      <c r="CV134" s="1"/>
      <c r="CW134" s="1"/>
      <c r="CX134" s="1"/>
      <c r="CY134" s="1"/>
    </row>
    <row r="135" spans="80:103" ht="15" customHeight="1" x14ac:dyDescent="0.35">
      <c r="CB135" s="214"/>
      <c r="CC135" s="1"/>
      <c r="CD135" s="1"/>
      <c r="CE135" s="1"/>
      <c r="CF135" s="1"/>
      <c r="CG135" s="1"/>
      <c r="CH135" s="1"/>
      <c r="CI135" s="1"/>
      <c r="CJ135" s="1"/>
      <c r="CK135" s="1"/>
      <c r="CL135" s="1"/>
      <c r="CM135" s="1"/>
      <c r="CN135" s="1"/>
      <c r="CO135" s="1"/>
      <c r="CP135" s="1"/>
      <c r="CQ135" s="1"/>
      <c r="CR135" s="1"/>
      <c r="CS135" s="1"/>
      <c r="CT135" s="1"/>
      <c r="CU135" s="1"/>
      <c r="CV135" s="1"/>
      <c r="CW135" s="1"/>
      <c r="CX135" s="1"/>
      <c r="CY135" s="1"/>
    </row>
    <row r="136" spans="80:103" ht="15" customHeight="1" x14ac:dyDescent="0.35">
      <c r="CB136" s="214"/>
      <c r="CC136" s="1"/>
      <c r="CD136" s="1"/>
      <c r="CE136" s="1"/>
      <c r="CF136" s="1"/>
      <c r="CG136" s="1"/>
      <c r="CH136" s="1"/>
      <c r="CI136" s="1"/>
      <c r="CJ136" s="1"/>
      <c r="CK136" s="1"/>
      <c r="CL136" s="1"/>
      <c r="CM136" s="1"/>
      <c r="CN136" s="1"/>
      <c r="CO136" s="1"/>
      <c r="CP136" s="1"/>
      <c r="CQ136" s="1"/>
      <c r="CR136" s="1"/>
      <c r="CS136" s="1"/>
      <c r="CT136" s="1"/>
      <c r="CU136" s="1"/>
      <c r="CV136" s="1"/>
      <c r="CW136" s="1"/>
      <c r="CX136" s="1"/>
      <c r="CY136" s="1"/>
    </row>
    <row r="137" spans="80:103" ht="15" customHeight="1" x14ac:dyDescent="0.35">
      <c r="CB137" s="214"/>
      <c r="CC137" s="1"/>
      <c r="CD137" s="1"/>
      <c r="CE137" s="1"/>
      <c r="CF137" s="1"/>
      <c r="CG137" s="1"/>
      <c r="CH137" s="1"/>
      <c r="CI137" s="1"/>
      <c r="CJ137" s="1"/>
      <c r="CK137" s="1"/>
      <c r="CL137" s="1"/>
      <c r="CM137" s="1"/>
      <c r="CN137" s="1"/>
      <c r="CO137" s="1"/>
      <c r="CP137" s="1"/>
      <c r="CQ137" s="1"/>
      <c r="CR137" s="1"/>
      <c r="CS137" s="1"/>
      <c r="CT137" s="1"/>
      <c r="CU137" s="1"/>
      <c r="CV137" s="1"/>
      <c r="CW137" s="1"/>
      <c r="CX137" s="1"/>
      <c r="CY137" s="1"/>
    </row>
    <row r="138" spans="80:103" ht="15" customHeight="1" x14ac:dyDescent="0.35">
      <c r="CB138" s="214"/>
      <c r="CC138" s="1"/>
      <c r="CD138" s="1"/>
      <c r="CE138" s="1"/>
      <c r="CF138" s="1"/>
      <c r="CG138" s="1"/>
      <c r="CH138" s="1"/>
      <c r="CI138" s="1"/>
      <c r="CJ138" s="1"/>
      <c r="CK138" s="1"/>
      <c r="CL138" s="1"/>
      <c r="CM138" s="1"/>
      <c r="CN138" s="1"/>
      <c r="CO138" s="1"/>
      <c r="CP138" s="1"/>
      <c r="CQ138" s="1"/>
      <c r="CR138" s="1"/>
      <c r="CS138" s="1"/>
      <c r="CT138" s="1"/>
      <c r="CU138" s="1"/>
      <c r="CV138" s="1"/>
      <c r="CW138" s="1"/>
      <c r="CX138" s="1"/>
      <c r="CY138" s="1"/>
    </row>
    <row r="139" spans="80:103" ht="15" customHeight="1" x14ac:dyDescent="0.35">
      <c r="CB139" s="214"/>
      <c r="CC139" s="1"/>
      <c r="CD139" s="1"/>
      <c r="CE139" s="1"/>
      <c r="CF139" s="1"/>
      <c r="CG139" s="1"/>
      <c r="CH139" s="1"/>
      <c r="CI139" s="1"/>
      <c r="CJ139" s="1"/>
      <c r="CK139" s="1"/>
      <c r="CL139" s="1"/>
      <c r="CM139" s="1"/>
      <c r="CN139" s="1"/>
      <c r="CO139" s="1"/>
      <c r="CP139" s="1"/>
      <c r="CQ139" s="1"/>
      <c r="CR139" s="1"/>
      <c r="CS139" s="1"/>
      <c r="CT139" s="1"/>
      <c r="CU139" s="1"/>
      <c r="CV139" s="1"/>
      <c r="CW139" s="1"/>
      <c r="CX139" s="1"/>
      <c r="CY139" s="1"/>
    </row>
    <row r="140" spans="80:103" ht="15" customHeight="1" x14ac:dyDescent="0.35">
      <c r="CB140" s="214"/>
      <c r="CC140" s="1"/>
      <c r="CD140" s="1"/>
      <c r="CE140" s="1"/>
      <c r="CF140" s="1"/>
      <c r="CG140" s="1"/>
      <c r="CH140" s="1"/>
      <c r="CI140" s="1"/>
      <c r="CJ140" s="1"/>
      <c r="CK140" s="1"/>
      <c r="CL140" s="1"/>
      <c r="CM140" s="1"/>
      <c r="CN140" s="1"/>
      <c r="CO140" s="1"/>
      <c r="CP140" s="1"/>
      <c r="CQ140" s="1"/>
      <c r="CR140" s="1"/>
      <c r="CS140" s="1"/>
      <c r="CT140" s="1"/>
      <c r="CU140" s="1"/>
      <c r="CV140" s="1"/>
      <c r="CW140" s="1"/>
      <c r="CX140" s="1"/>
      <c r="CY140" s="1"/>
    </row>
    <row r="141" spans="80:103" ht="15" customHeight="1" x14ac:dyDescent="0.35">
      <c r="CB141" s="214"/>
      <c r="CC141" s="1"/>
      <c r="CD141" s="1"/>
      <c r="CE141" s="1"/>
      <c r="CF141" s="1"/>
      <c r="CG141" s="1"/>
      <c r="CH141" s="1"/>
      <c r="CI141" s="1"/>
      <c r="CJ141" s="1"/>
      <c r="CK141" s="1"/>
      <c r="CL141" s="1"/>
      <c r="CM141" s="1"/>
      <c r="CN141" s="1"/>
      <c r="CO141" s="1"/>
      <c r="CP141" s="1"/>
      <c r="CQ141" s="1"/>
      <c r="CR141" s="1"/>
      <c r="CS141" s="1"/>
      <c r="CT141" s="1"/>
      <c r="CU141" s="1"/>
      <c r="CV141" s="1"/>
      <c r="CW141" s="1"/>
      <c r="CX141" s="1"/>
      <c r="CY141" s="1"/>
    </row>
    <row r="142" spans="80:103" ht="15" customHeight="1" x14ac:dyDescent="0.35">
      <c r="CB142" s="214"/>
      <c r="CC142" s="1"/>
      <c r="CD142" s="1"/>
      <c r="CE142" s="1"/>
      <c r="CF142" s="1"/>
      <c r="CG142" s="1"/>
      <c r="CH142" s="1"/>
      <c r="CI142" s="1"/>
      <c r="CJ142" s="1"/>
      <c r="CK142" s="1"/>
      <c r="CL142" s="1"/>
      <c r="CM142" s="1"/>
      <c r="CN142" s="1"/>
      <c r="CO142" s="1"/>
      <c r="CP142" s="1"/>
      <c r="CQ142" s="1"/>
      <c r="CR142" s="1"/>
      <c r="CS142" s="1"/>
      <c r="CT142" s="1"/>
      <c r="CU142" s="1"/>
      <c r="CV142" s="1"/>
      <c r="CW142" s="1"/>
      <c r="CX142" s="1"/>
      <c r="CY142" s="1"/>
    </row>
    <row r="143" spans="80:103" ht="15" customHeight="1" x14ac:dyDescent="0.35">
      <c r="CB143" s="214"/>
      <c r="CC143" s="1"/>
      <c r="CD143" s="1"/>
      <c r="CE143" s="1"/>
      <c r="CF143" s="1"/>
      <c r="CG143" s="1"/>
      <c r="CH143" s="1"/>
      <c r="CI143" s="1"/>
      <c r="CJ143" s="1"/>
      <c r="CK143" s="1"/>
      <c r="CL143" s="1"/>
      <c r="CM143" s="1"/>
      <c r="CN143" s="1"/>
      <c r="CO143" s="1"/>
      <c r="CP143" s="1"/>
      <c r="CQ143" s="1"/>
      <c r="CR143" s="1"/>
      <c r="CS143" s="1"/>
      <c r="CT143" s="1"/>
      <c r="CU143" s="1"/>
      <c r="CV143" s="1"/>
      <c r="CW143" s="1"/>
      <c r="CX143" s="1"/>
      <c r="CY143" s="1"/>
    </row>
    <row r="144" spans="80:103" ht="15" customHeight="1" x14ac:dyDescent="0.35">
      <c r="CB144" s="214"/>
      <c r="CC144" s="1"/>
      <c r="CD144" s="1"/>
      <c r="CE144" s="1"/>
      <c r="CF144" s="1"/>
      <c r="CG144" s="1"/>
      <c r="CH144" s="1"/>
      <c r="CI144" s="1"/>
      <c r="CJ144" s="1"/>
      <c r="CK144" s="1"/>
      <c r="CL144" s="1"/>
      <c r="CM144" s="1"/>
      <c r="CN144" s="1"/>
      <c r="CO144" s="1"/>
      <c r="CP144" s="1"/>
      <c r="CQ144" s="1"/>
      <c r="CR144" s="1"/>
      <c r="CS144" s="1"/>
      <c r="CT144" s="1"/>
      <c r="CU144" s="1"/>
      <c r="CV144" s="1"/>
      <c r="CW144" s="1"/>
      <c r="CX144" s="1"/>
      <c r="CY144" s="1"/>
    </row>
    <row r="145" spans="80:103" ht="15" customHeight="1" x14ac:dyDescent="0.35">
      <c r="CB145" s="214"/>
      <c r="CC145" s="1"/>
      <c r="CD145" s="1"/>
      <c r="CE145" s="1"/>
      <c r="CF145" s="1"/>
      <c r="CG145" s="1"/>
      <c r="CH145" s="1"/>
      <c r="CI145" s="1"/>
      <c r="CJ145" s="1"/>
      <c r="CK145" s="1"/>
      <c r="CL145" s="1"/>
      <c r="CM145" s="1"/>
      <c r="CN145" s="1"/>
      <c r="CO145" s="1"/>
      <c r="CP145" s="1"/>
      <c r="CQ145" s="1"/>
      <c r="CR145" s="1"/>
      <c r="CS145" s="1"/>
      <c r="CT145" s="1"/>
      <c r="CU145" s="1"/>
      <c r="CV145" s="1"/>
      <c r="CW145" s="1"/>
      <c r="CX145" s="1"/>
      <c r="CY145" s="1"/>
    </row>
    <row r="146" spans="80:103" ht="15" customHeight="1" x14ac:dyDescent="0.35">
      <c r="CB146" s="214"/>
      <c r="CC146" s="1"/>
      <c r="CD146" s="1"/>
      <c r="CE146" s="1"/>
      <c r="CF146" s="1"/>
      <c r="CG146" s="1"/>
      <c r="CH146" s="1"/>
      <c r="CI146" s="1"/>
      <c r="CJ146" s="1"/>
      <c r="CK146" s="1"/>
      <c r="CL146" s="1"/>
      <c r="CM146" s="1"/>
      <c r="CN146" s="1"/>
      <c r="CO146" s="1"/>
      <c r="CP146" s="1"/>
      <c r="CQ146" s="1"/>
      <c r="CR146" s="1"/>
      <c r="CS146" s="1"/>
      <c r="CT146" s="1"/>
      <c r="CU146" s="1"/>
      <c r="CV146" s="1"/>
      <c r="CW146" s="1"/>
      <c r="CX146" s="1"/>
      <c r="CY146" s="1"/>
    </row>
    <row r="147" spans="80:103" ht="15" customHeight="1" x14ac:dyDescent="0.35">
      <c r="CB147" s="214"/>
      <c r="CC147" s="1"/>
      <c r="CD147" s="1"/>
      <c r="CE147" s="1"/>
      <c r="CF147" s="1"/>
      <c r="CG147" s="1"/>
      <c r="CH147" s="1"/>
      <c r="CI147" s="1"/>
      <c r="CJ147" s="1"/>
      <c r="CK147" s="1"/>
      <c r="CL147" s="1"/>
      <c r="CM147" s="1"/>
      <c r="CN147" s="1"/>
      <c r="CO147" s="1"/>
      <c r="CP147" s="1"/>
      <c r="CQ147" s="1"/>
      <c r="CR147" s="1"/>
      <c r="CS147" s="1"/>
      <c r="CT147" s="1"/>
      <c r="CU147" s="1"/>
      <c r="CV147" s="1"/>
      <c r="CW147" s="1"/>
      <c r="CX147" s="1"/>
      <c r="CY147" s="1"/>
    </row>
    <row r="148" spans="80:103" ht="15" customHeight="1" x14ac:dyDescent="0.35">
      <c r="CB148" s="214"/>
      <c r="CC148" s="1"/>
      <c r="CD148" s="1"/>
      <c r="CE148" s="1"/>
      <c r="CF148" s="1"/>
      <c r="CG148" s="1"/>
      <c r="CH148" s="1"/>
      <c r="CI148" s="1"/>
      <c r="CJ148" s="1"/>
      <c r="CK148" s="1"/>
      <c r="CL148" s="1"/>
      <c r="CM148" s="1"/>
      <c r="CN148" s="1"/>
      <c r="CO148" s="1"/>
      <c r="CP148" s="1"/>
      <c r="CQ148" s="1"/>
      <c r="CR148" s="1"/>
      <c r="CS148" s="1"/>
      <c r="CT148" s="1"/>
      <c r="CU148" s="1"/>
      <c r="CV148" s="1"/>
      <c r="CW148" s="1"/>
      <c r="CX148" s="1"/>
      <c r="CY148" s="1"/>
    </row>
    <row r="149" spans="80:103" ht="15" customHeight="1" x14ac:dyDescent="0.35">
      <c r="CB149" s="214"/>
      <c r="CC149" s="1"/>
      <c r="CD149" s="1"/>
      <c r="CE149" s="1"/>
      <c r="CF149" s="1"/>
      <c r="CG149" s="1"/>
      <c r="CH149" s="1"/>
      <c r="CI149" s="1"/>
      <c r="CJ149" s="1"/>
      <c r="CK149" s="1"/>
      <c r="CL149" s="1"/>
      <c r="CM149" s="1"/>
      <c r="CN149" s="1"/>
      <c r="CO149" s="1"/>
      <c r="CP149" s="1"/>
      <c r="CQ149" s="1"/>
      <c r="CR149" s="1"/>
      <c r="CS149" s="1"/>
      <c r="CT149" s="1"/>
      <c r="CU149" s="1"/>
      <c r="CV149" s="1"/>
      <c r="CW149" s="1"/>
      <c r="CX149" s="1"/>
      <c r="CY149" s="1"/>
    </row>
    <row r="150" spans="80:103" ht="15" customHeight="1" x14ac:dyDescent="0.35">
      <c r="CB150" s="214"/>
      <c r="CC150" s="1"/>
      <c r="CD150" s="1"/>
      <c r="CE150" s="1"/>
      <c r="CF150" s="1"/>
      <c r="CG150" s="1"/>
      <c r="CH150" s="1"/>
      <c r="CI150" s="1"/>
      <c r="CJ150" s="1"/>
      <c r="CK150" s="1"/>
      <c r="CL150" s="1"/>
      <c r="CM150" s="1"/>
      <c r="CN150" s="1"/>
      <c r="CO150" s="1"/>
      <c r="CP150" s="1"/>
      <c r="CQ150" s="1"/>
      <c r="CR150" s="1"/>
      <c r="CS150" s="1"/>
      <c r="CT150" s="1"/>
      <c r="CU150" s="1"/>
      <c r="CV150" s="1"/>
      <c r="CW150" s="1"/>
      <c r="CX150" s="1"/>
      <c r="CY150" s="1"/>
    </row>
    <row r="151" spans="80:103" ht="15" customHeight="1" x14ac:dyDescent="0.35">
      <c r="CB151" s="214"/>
      <c r="CC151" s="1"/>
      <c r="CD151" s="1"/>
      <c r="CE151" s="1"/>
      <c r="CF151" s="1"/>
      <c r="CG151" s="1"/>
      <c r="CH151" s="1"/>
      <c r="CI151" s="1"/>
      <c r="CJ151" s="1"/>
      <c r="CK151" s="1"/>
      <c r="CL151" s="1"/>
      <c r="CM151" s="1"/>
      <c r="CN151" s="1"/>
      <c r="CO151" s="1"/>
      <c r="CP151" s="1"/>
      <c r="CQ151" s="1"/>
      <c r="CR151" s="1"/>
      <c r="CS151" s="1"/>
      <c r="CT151" s="1"/>
      <c r="CU151" s="1"/>
      <c r="CV151" s="1"/>
      <c r="CW151" s="1"/>
      <c r="CX151" s="1"/>
      <c r="CY151" s="1"/>
    </row>
    <row r="152" spans="80:103" ht="15" customHeight="1" x14ac:dyDescent="0.35">
      <c r="CB152" s="214"/>
      <c r="CC152" s="1"/>
      <c r="CD152" s="1"/>
      <c r="CE152" s="1"/>
      <c r="CF152" s="1"/>
      <c r="CG152" s="1"/>
      <c r="CH152" s="1"/>
      <c r="CI152" s="1"/>
      <c r="CJ152" s="1"/>
      <c r="CK152" s="1"/>
      <c r="CL152" s="1"/>
      <c r="CM152" s="1"/>
      <c r="CN152" s="1"/>
      <c r="CO152" s="1"/>
      <c r="CP152" s="1"/>
      <c r="CQ152" s="1"/>
      <c r="CR152" s="1"/>
      <c r="CS152" s="1"/>
      <c r="CT152" s="1"/>
      <c r="CU152" s="1"/>
      <c r="CV152" s="1"/>
      <c r="CW152" s="1"/>
      <c r="CX152" s="1"/>
      <c r="CY152" s="1"/>
    </row>
    <row r="153" spans="80:103" ht="15" customHeight="1" x14ac:dyDescent="0.35">
      <c r="CB153" s="214"/>
      <c r="CC153" s="1"/>
      <c r="CD153" s="1"/>
      <c r="CE153" s="1"/>
      <c r="CF153" s="1"/>
      <c r="CG153" s="1"/>
      <c r="CH153" s="1"/>
      <c r="CI153" s="1"/>
      <c r="CJ153" s="1"/>
      <c r="CK153" s="1"/>
      <c r="CL153" s="1"/>
      <c r="CM153" s="1"/>
      <c r="CN153" s="1"/>
      <c r="CO153" s="1"/>
      <c r="CP153" s="1"/>
      <c r="CQ153" s="1"/>
      <c r="CR153" s="1"/>
      <c r="CS153" s="1"/>
      <c r="CT153" s="1"/>
      <c r="CU153" s="1"/>
      <c r="CV153" s="1"/>
      <c r="CW153" s="1"/>
      <c r="CX153" s="1"/>
      <c r="CY153" s="1"/>
    </row>
    <row r="154" spans="80:103" ht="15" customHeight="1" x14ac:dyDescent="0.35">
      <c r="CB154" s="214"/>
      <c r="CC154" s="1"/>
      <c r="CD154" s="1"/>
      <c r="CE154" s="1"/>
      <c r="CF154" s="1"/>
      <c r="CG154" s="1"/>
      <c r="CH154" s="1"/>
      <c r="CI154" s="1"/>
      <c r="CJ154" s="1"/>
      <c r="CK154" s="1"/>
      <c r="CL154" s="1"/>
      <c r="CM154" s="1"/>
      <c r="CN154" s="1"/>
      <c r="CO154" s="1"/>
      <c r="CP154" s="1"/>
      <c r="CQ154" s="1"/>
      <c r="CR154" s="1"/>
      <c r="CS154" s="1"/>
      <c r="CT154" s="1"/>
      <c r="CU154" s="1"/>
      <c r="CV154" s="1"/>
      <c r="CW154" s="1"/>
      <c r="CX154" s="1"/>
      <c r="CY154" s="1"/>
    </row>
    <row r="155" spans="80:103" ht="15" customHeight="1" x14ac:dyDescent="0.35">
      <c r="CB155" s="214"/>
      <c r="CC155" s="1"/>
      <c r="CD155" s="1"/>
      <c r="CE155" s="1"/>
      <c r="CF155" s="1"/>
      <c r="CG155" s="1"/>
      <c r="CH155" s="1"/>
      <c r="CI155" s="1"/>
      <c r="CJ155" s="1"/>
      <c r="CK155" s="1"/>
      <c r="CL155" s="1"/>
      <c r="CM155" s="1"/>
      <c r="CN155" s="1"/>
      <c r="CO155" s="1"/>
      <c r="CP155" s="1"/>
      <c r="CQ155" s="1"/>
      <c r="CR155" s="1"/>
      <c r="CS155" s="1"/>
      <c r="CT155" s="1"/>
      <c r="CU155" s="1"/>
      <c r="CV155" s="1"/>
      <c r="CW155" s="1"/>
      <c r="CX155" s="1"/>
      <c r="CY155" s="1"/>
    </row>
    <row r="156" spans="80:103" ht="15" customHeight="1" x14ac:dyDescent="0.35">
      <c r="CB156" s="214"/>
      <c r="CC156" s="1"/>
      <c r="CD156" s="1"/>
      <c r="CE156" s="1"/>
      <c r="CF156" s="1"/>
      <c r="CG156" s="1"/>
      <c r="CH156" s="1"/>
      <c r="CI156" s="1"/>
      <c r="CJ156" s="1"/>
      <c r="CK156" s="1"/>
      <c r="CL156" s="1"/>
      <c r="CM156" s="1"/>
      <c r="CN156" s="1"/>
      <c r="CO156" s="1"/>
      <c r="CP156" s="1"/>
      <c r="CQ156" s="1"/>
      <c r="CR156" s="1"/>
      <c r="CS156" s="1"/>
      <c r="CT156" s="1"/>
      <c r="CU156" s="1"/>
      <c r="CV156" s="1"/>
      <c r="CW156" s="1"/>
      <c r="CX156" s="1"/>
      <c r="CY156" s="1"/>
    </row>
    <row r="157" spans="80:103" ht="15" customHeight="1" x14ac:dyDescent="0.35">
      <c r="CB157" s="214"/>
      <c r="CC157" s="1"/>
      <c r="CD157" s="1"/>
      <c r="CE157" s="1"/>
      <c r="CF157" s="1"/>
      <c r="CG157" s="1"/>
      <c r="CH157" s="1"/>
      <c r="CI157" s="1"/>
      <c r="CJ157" s="1"/>
      <c r="CK157" s="1"/>
      <c r="CL157" s="1"/>
      <c r="CM157" s="1"/>
      <c r="CN157" s="1"/>
      <c r="CO157" s="1"/>
      <c r="CP157" s="1"/>
      <c r="CQ157" s="1"/>
      <c r="CR157" s="1"/>
      <c r="CS157" s="1"/>
      <c r="CT157" s="1"/>
      <c r="CU157" s="1"/>
      <c r="CV157" s="1"/>
      <c r="CW157" s="1"/>
      <c r="CX157" s="1"/>
      <c r="CY157" s="1"/>
    </row>
    <row r="158" spans="80:103" ht="15" customHeight="1" x14ac:dyDescent="0.35">
      <c r="CB158" s="214"/>
      <c r="CC158" s="1"/>
      <c r="CD158" s="1"/>
      <c r="CE158" s="1"/>
      <c r="CF158" s="1"/>
      <c r="CG158" s="1"/>
      <c r="CH158" s="1"/>
      <c r="CI158" s="1"/>
      <c r="CJ158" s="1"/>
      <c r="CK158" s="1"/>
      <c r="CL158" s="1"/>
      <c r="CM158" s="1"/>
      <c r="CN158" s="1"/>
      <c r="CO158" s="1"/>
      <c r="CP158" s="1"/>
      <c r="CQ158" s="1"/>
      <c r="CR158" s="1"/>
      <c r="CS158" s="1"/>
      <c r="CT158" s="1"/>
      <c r="CU158" s="1"/>
      <c r="CV158" s="1"/>
      <c r="CW158" s="1"/>
      <c r="CX158" s="1"/>
      <c r="CY158" s="1"/>
    </row>
    <row r="159" spans="80:103" ht="15" customHeight="1" x14ac:dyDescent="0.35">
      <c r="CB159" s="214"/>
      <c r="CC159" s="1"/>
      <c r="CD159" s="1"/>
      <c r="CE159" s="1"/>
      <c r="CF159" s="1"/>
      <c r="CG159" s="1"/>
      <c r="CH159" s="1"/>
      <c r="CI159" s="1"/>
      <c r="CJ159" s="1"/>
      <c r="CK159" s="1"/>
      <c r="CL159" s="1"/>
      <c r="CM159" s="1"/>
      <c r="CN159" s="1"/>
      <c r="CO159" s="1"/>
      <c r="CP159" s="1"/>
      <c r="CQ159" s="1"/>
      <c r="CR159" s="1"/>
      <c r="CS159" s="1"/>
      <c r="CT159" s="1"/>
      <c r="CU159" s="1"/>
      <c r="CV159" s="1"/>
      <c r="CW159" s="1"/>
      <c r="CX159" s="1"/>
      <c r="CY159" s="1"/>
    </row>
    <row r="160" spans="80:103" ht="15" customHeight="1" x14ac:dyDescent="0.35">
      <c r="CB160" s="214"/>
      <c r="CC160" s="1"/>
      <c r="CD160" s="1"/>
      <c r="CE160" s="1"/>
      <c r="CF160" s="1"/>
      <c r="CG160" s="1"/>
      <c r="CH160" s="1"/>
      <c r="CI160" s="1"/>
      <c r="CJ160" s="1"/>
      <c r="CK160" s="1"/>
      <c r="CL160" s="1"/>
      <c r="CM160" s="1"/>
      <c r="CN160" s="1"/>
      <c r="CO160" s="1"/>
      <c r="CP160" s="1"/>
      <c r="CQ160" s="1"/>
      <c r="CR160" s="1"/>
      <c r="CS160" s="1"/>
      <c r="CT160" s="1"/>
      <c r="CU160" s="1"/>
      <c r="CV160" s="1"/>
      <c r="CW160" s="1"/>
      <c r="CX160" s="1"/>
      <c r="CY160" s="1"/>
    </row>
    <row r="161" spans="80:103" ht="15" customHeight="1" x14ac:dyDescent="0.35">
      <c r="CB161" s="214"/>
      <c r="CC161" s="1"/>
      <c r="CD161" s="1"/>
      <c r="CE161" s="1"/>
      <c r="CF161" s="1"/>
      <c r="CG161" s="1"/>
      <c r="CH161" s="1"/>
      <c r="CI161" s="1"/>
      <c r="CJ161" s="1"/>
      <c r="CK161" s="1"/>
      <c r="CL161" s="1"/>
      <c r="CM161" s="1"/>
      <c r="CN161" s="1"/>
      <c r="CO161" s="1"/>
      <c r="CP161" s="1"/>
      <c r="CQ161" s="1"/>
      <c r="CR161" s="1"/>
      <c r="CS161" s="1"/>
      <c r="CT161" s="1"/>
      <c r="CU161" s="1"/>
      <c r="CV161" s="1"/>
      <c r="CW161" s="1"/>
      <c r="CX161" s="1"/>
      <c r="CY161" s="1"/>
    </row>
    <row r="162" spans="80:103" ht="15" customHeight="1" x14ac:dyDescent="0.35">
      <c r="CB162" s="214"/>
      <c r="CC162" s="1"/>
      <c r="CD162" s="1"/>
      <c r="CE162" s="1"/>
      <c r="CF162" s="1"/>
      <c r="CG162" s="1"/>
      <c r="CH162" s="1"/>
      <c r="CI162" s="1"/>
      <c r="CJ162" s="1"/>
      <c r="CK162" s="1"/>
      <c r="CL162" s="1"/>
      <c r="CM162" s="1"/>
      <c r="CN162" s="1"/>
      <c r="CO162" s="1"/>
      <c r="CP162" s="1"/>
      <c r="CQ162" s="1"/>
      <c r="CR162" s="1"/>
      <c r="CS162" s="1"/>
      <c r="CT162" s="1"/>
      <c r="CU162" s="1"/>
      <c r="CV162" s="1"/>
      <c r="CW162" s="1"/>
      <c r="CX162" s="1"/>
      <c r="CY162" s="1"/>
    </row>
    <row r="163" spans="80:103" ht="15" customHeight="1" x14ac:dyDescent="0.35">
      <c r="CB163" s="214"/>
      <c r="CC163" s="1"/>
      <c r="CD163" s="1"/>
      <c r="CE163" s="1"/>
      <c r="CF163" s="1"/>
      <c r="CG163" s="1"/>
      <c r="CH163" s="1"/>
      <c r="CI163" s="1"/>
      <c r="CJ163" s="1"/>
      <c r="CK163" s="1"/>
      <c r="CL163" s="1"/>
      <c r="CM163" s="1"/>
      <c r="CN163" s="1"/>
      <c r="CO163" s="1"/>
      <c r="CP163" s="1"/>
      <c r="CQ163" s="1"/>
      <c r="CR163" s="1"/>
      <c r="CS163" s="1"/>
      <c r="CT163" s="1"/>
      <c r="CU163" s="1"/>
      <c r="CV163" s="1"/>
      <c r="CW163" s="1"/>
      <c r="CX163" s="1"/>
      <c r="CY163" s="1"/>
    </row>
    <row r="164" spans="80:103" ht="15" customHeight="1" x14ac:dyDescent="0.35">
      <c r="CB164" s="214"/>
      <c r="CC164" s="1"/>
      <c r="CD164" s="1"/>
      <c r="CE164" s="1"/>
      <c r="CF164" s="1"/>
      <c r="CG164" s="1"/>
      <c r="CH164" s="1"/>
      <c r="CI164" s="1"/>
      <c r="CJ164" s="1"/>
      <c r="CK164" s="1"/>
      <c r="CL164" s="1"/>
      <c r="CM164" s="1"/>
      <c r="CN164" s="1"/>
      <c r="CO164" s="1"/>
      <c r="CP164" s="1"/>
      <c r="CQ164" s="1"/>
      <c r="CR164" s="1"/>
      <c r="CS164" s="1"/>
      <c r="CT164" s="1"/>
      <c r="CU164" s="1"/>
      <c r="CV164" s="1"/>
      <c r="CW164" s="1"/>
      <c r="CX164" s="1"/>
      <c r="CY164" s="1"/>
    </row>
    <row r="165" spans="80:103" ht="15" customHeight="1" x14ac:dyDescent="0.35">
      <c r="CB165" s="214"/>
      <c r="CC165" s="1"/>
      <c r="CD165" s="1"/>
      <c r="CE165" s="1"/>
      <c r="CF165" s="1"/>
      <c r="CG165" s="1"/>
      <c r="CH165" s="1"/>
      <c r="CI165" s="1"/>
      <c r="CJ165" s="1"/>
      <c r="CK165" s="1"/>
      <c r="CL165" s="1"/>
      <c r="CM165" s="1"/>
      <c r="CN165" s="1"/>
      <c r="CO165" s="1"/>
      <c r="CP165" s="1"/>
      <c r="CQ165" s="1"/>
      <c r="CR165" s="1"/>
      <c r="CS165" s="1"/>
      <c r="CT165" s="1"/>
      <c r="CU165" s="1"/>
      <c r="CV165" s="1"/>
      <c r="CW165" s="1"/>
      <c r="CX165" s="1"/>
      <c r="CY165" s="1"/>
    </row>
    <row r="166" spans="80:103" ht="15" customHeight="1" x14ac:dyDescent="0.35">
      <c r="CB166" s="214"/>
      <c r="CC166" s="1"/>
      <c r="CD166" s="1"/>
      <c r="CE166" s="1"/>
      <c r="CF166" s="1"/>
      <c r="CG166" s="1"/>
      <c r="CH166" s="1"/>
      <c r="CI166" s="1"/>
      <c r="CJ166" s="1"/>
      <c r="CK166" s="1"/>
      <c r="CL166" s="1"/>
      <c r="CM166" s="1"/>
      <c r="CN166" s="1"/>
      <c r="CO166" s="1"/>
      <c r="CP166" s="1"/>
      <c r="CQ166" s="1"/>
      <c r="CR166" s="1"/>
      <c r="CS166" s="1"/>
      <c r="CT166" s="1"/>
      <c r="CU166" s="1"/>
      <c r="CV166" s="1"/>
      <c r="CW166" s="1"/>
      <c r="CX166" s="1"/>
      <c r="CY166" s="1"/>
    </row>
    <row r="167" spans="80:103" ht="15" customHeight="1" x14ac:dyDescent="0.35">
      <c r="CB167" s="214"/>
      <c r="CC167" s="1"/>
      <c r="CD167" s="1"/>
      <c r="CE167" s="1"/>
      <c r="CF167" s="1"/>
      <c r="CG167" s="1"/>
      <c r="CH167" s="1"/>
      <c r="CI167" s="1"/>
      <c r="CJ167" s="1"/>
      <c r="CK167" s="1"/>
      <c r="CL167" s="1"/>
      <c r="CM167" s="1"/>
      <c r="CN167" s="1"/>
      <c r="CO167" s="1"/>
      <c r="CP167" s="1"/>
      <c r="CQ167" s="1"/>
      <c r="CR167" s="1"/>
      <c r="CS167" s="1"/>
      <c r="CT167" s="1"/>
      <c r="CU167" s="1"/>
      <c r="CV167" s="1"/>
      <c r="CW167" s="1"/>
      <c r="CX167" s="1"/>
      <c r="CY167" s="1"/>
    </row>
    <row r="168" spans="80:103" ht="15" customHeight="1" x14ac:dyDescent="0.35">
      <c r="CB168" s="214"/>
      <c r="CC168" s="1"/>
      <c r="CD168" s="1"/>
      <c r="CE168" s="1"/>
      <c r="CF168" s="1"/>
      <c r="CG168" s="1"/>
      <c r="CH168" s="1"/>
      <c r="CI168" s="1"/>
      <c r="CJ168" s="1"/>
      <c r="CK168" s="1"/>
      <c r="CL168" s="1"/>
      <c r="CM168" s="1"/>
      <c r="CN168" s="1"/>
      <c r="CO168" s="1"/>
      <c r="CP168" s="1"/>
      <c r="CQ168" s="1"/>
      <c r="CR168" s="1"/>
      <c r="CS168" s="1"/>
      <c r="CT168" s="1"/>
      <c r="CU168" s="1"/>
      <c r="CV168" s="1"/>
      <c r="CW168" s="1"/>
      <c r="CX168" s="1"/>
      <c r="CY168" s="1"/>
    </row>
    <row r="169" spans="80:103" ht="15" customHeight="1" x14ac:dyDescent="0.35">
      <c r="CB169" s="214"/>
      <c r="CC169" s="1"/>
      <c r="CD169" s="1"/>
      <c r="CE169" s="1"/>
      <c r="CF169" s="1"/>
      <c r="CG169" s="1"/>
      <c r="CH169" s="1"/>
      <c r="CI169" s="1"/>
      <c r="CJ169" s="1"/>
      <c r="CK169" s="1"/>
      <c r="CL169" s="1"/>
      <c r="CM169" s="1"/>
      <c r="CN169" s="1"/>
      <c r="CO169" s="1"/>
      <c r="CP169" s="1"/>
      <c r="CQ169" s="1"/>
      <c r="CR169" s="1"/>
      <c r="CS169" s="1"/>
      <c r="CT169" s="1"/>
      <c r="CU169" s="1"/>
      <c r="CV169" s="1"/>
      <c r="CW169" s="1"/>
      <c r="CX169" s="1"/>
      <c r="CY169" s="1"/>
    </row>
    <row r="170" spans="80:103" ht="15" customHeight="1" x14ac:dyDescent="0.35">
      <c r="CB170" s="214"/>
      <c r="CC170" s="1"/>
      <c r="CD170" s="1"/>
      <c r="CE170" s="1"/>
      <c r="CF170" s="1"/>
      <c r="CG170" s="1"/>
      <c r="CH170" s="1"/>
      <c r="CI170" s="1"/>
      <c r="CJ170" s="1"/>
      <c r="CK170" s="1"/>
      <c r="CL170" s="1"/>
      <c r="CM170" s="1"/>
      <c r="CN170" s="1"/>
      <c r="CO170" s="1"/>
      <c r="CP170" s="1"/>
      <c r="CQ170" s="1"/>
      <c r="CR170" s="1"/>
      <c r="CS170" s="1"/>
      <c r="CT170" s="1"/>
      <c r="CU170" s="1"/>
      <c r="CV170" s="1"/>
      <c r="CW170" s="1"/>
      <c r="CX170" s="1"/>
      <c r="CY170" s="1"/>
    </row>
    <row r="171" spans="80:103" ht="15" hidden="1" customHeight="1" x14ac:dyDescent="0.35">
      <c r="CB171" s="214"/>
      <c r="CC171" s="1"/>
      <c r="CD171" s="1"/>
      <c r="CE171" s="1"/>
      <c r="CF171" s="1"/>
      <c r="CG171" s="1"/>
      <c r="CH171" s="1"/>
      <c r="CI171" s="1"/>
      <c r="CJ171" s="1"/>
      <c r="CK171" s="1"/>
      <c r="CL171" s="1"/>
      <c r="CM171" s="1"/>
      <c r="CN171" s="1"/>
      <c r="CO171" s="1"/>
      <c r="CP171" s="1"/>
      <c r="CQ171" s="1"/>
      <c r="CR171" s="1"/>
      <c r="CS171" s="1"/>
      <c r="CT171" s="1"/>
      <c r="CU171" s="1"/>
      <c r="CV171" s="1"/>
      <c r="CW171" s="1"/>
      <c r="CX171" s="1"/>
      <c r="CY171" s="1"/>
    </row>
    <row r="172" spans="80:103" ht="15" hidden="1" customHeight="1" x14ac:dyDescent="0.35">
      <c r="CB172" s="214"/>
      <c r="CC172" s="1"/>
      <c r="CD172" s="1"/>
      <c r="CE172" s="1"/>
      <c r="CF172" s="1"/>
      <c r="CG172" s="1"/>
      <c r="CH172" s="1"/>
      <c r="CI172" s="1"/>
      <c r="CJ172" s="1"/>
      <c r="CK172" s="1"/>
      <c r="CL172" s="1"/>
      <c r="CM172" s="1"/>
      <c r="CN172" s="1"/>
      <c r="CO172" s="1"/>
      <c r="CP172" s="1"/>
      <c r="CQ172" s="1"/>
      <c r="CR172" s="1"/>
      <c r="CS172" s="1"/>
      <c r="CT172" s="1"/>
      <c r="CU172" s="1"/>
      <c r="CV172" s="1"/>
      <c r="CW172" s="1"/>
      <c r="CX172" s="1"/>
      <c r="CY172" s="1"/>
    </row>
    <row r="173" spans="80:103" ht="15" hidden="1" customHeight="1" x14ac:dyDescent="0.35">
      <c r="CB173" s="214"/>
      <c r="CC173" s="1"/>
      <c r="CD173" s="1"/>
      <c r="CE173" s="1"/>
      <c r="CF173" s="1"/>
      <c r="CG173" s="1"/>
      <c r="CH173" s="1"/>
      <c r="CI173" s="1"/>
      <c r="CJ173" s="1"/>
      <c r="CK173" s="1"/>
      <c r="CL173" s="1"/>
      <c r="CM173" s="1"/>
      <c r="CN173" s="1"/>
      <c r="CO173" s="1"/>
      <c r="CP173" s="1"/>
      <c r="CQ173" s="1"/>
      <c r="CR173" s="1"/>
      <c r="CS173" s="1"/>
      <c r="CT173" s="1"/>
      <c r="CU173" s="1"/>
      <c r="CV173" s="1"/>
      <c r="CW173" s="1"/>
      <c r="CX173" s="1"/>
      <c r="CY173" s="1"/>
    </row>
    <row r="174" spans="80:103" ht="15" hidden="1" customHeight="1" x14ac:dyDescent="0.35">
      <c r="CB174" s="214"/>
      <c r="CC174" s="1"/>
      <c r="CD174" s="1"/>
      <c r="CE174" s="1"/>
      <c r="CF174" s="1"/>
      <c r="CG174" s="1"/>
      <c r="CH174" s="1"/>
      <c r="CI174" s="1"/>
      <c r="CJ174" s="1"/>
      <c r="CK174" s="1"/>
      <c r="CL174" s="1"/>
      <c r="CM174" s="1"/>
      <c r="CN174" s="1"/>
      <c r="CO174" s="1"/>
      <c r="CP174" s="1"/>
      <c r="CQ174" s="1"/>
      <c r="CR174" s="1"/>
      <c r="CS174" s="1"/>
      <c r="CT174" s="1"/>
      <c r="CU174" s="1"/>
      <c r="CV174" s="1"/>
      <c r="CW174" s="1"/>
      <c r="CX174" s="1"/>
      <c r="CY174" s="1"/>
    </row>
    <row r="175" spans="80:103" ht="15" hidden="1" customHeight="1" x14ac:dyDescent="0.35">
      <c r="CB175" s="214"/>
      <c r="CC175" s="1"/>
      <c r="CD175" s="1"/>
      <c r="CE175" s="1"/>
      <c r="CF175" s="1"/>
      <c r="CG175" s="1"/>
      <c r="CH175" s="1"/>
      <c r="CI175" s="1"/>
      <c r="CJ175" s="1"/>
      <c r="CK175" s="1"/>
      <c r="CL175" s="1"/>
      <c r="CM175" s="1"/>
      <c r="CN175" s="1"/>
      <c r="CO175" s="1"/>
      <c r="CP175" s="1"/>
      <c r="CQ175" s="1"/>
      <c r="CR175" s="1"/>
      <c r="CS175" s="1"/>
      <c r="CT175" s="1"/>
      <c r="CU175" s="1"/>
      <c r="CV175" s="1"/>
      <c r="CW175" s="1"/>
      <c r="CX175" s="1"/>
      <c r="CY175" s="1"/>
    </row>
    <row r="176" spans="80:103" ht="15" hidden="1" customHeight="1" x14ac:dyDescent="0.35">
      <c r="CB176" s="214"/>
      <c r="CC176" s="1"/>
      <c r="CD176" s="1"/>
      <c r="CE176" s="1"/>
      <c r="CF176" s="1"/>
      <c r="CG176" s="1"/>
      <c r="CH176" s="1"/>
      <c r="CI176" s="1"/>
      <c r="CJ176" s="1"/>
      <c r="CK176" s="1"/>
      <c r="CL176" s="1"/>
      <c r="CM176" s="1"/>
      <c r="CN176" s="1"/>
      <c r="CO176" s="1"/>
      <c r="CP176" s="1"/>
      <c r="CQ176" s="1"/>
      <c r="CR176" s="1"/>
      <c r="CS176" s="1"/>
      <c r="CT176" s="1"/>
      <c r="CU176" s="1"/>
      <c r="CV176" s="1"/>
      <c r="CW176" s="1"/>
      <c r="CX176" s="1"/>
      <c r="CY176" s="1"/>
    </row>
    <row r="177" spans="80:103" ht="15" hidden="1" customHeight="1" x14ac:dyDescent="0.35">
      <c r="CB177" s="214"/>
      <c r="CC177" s="1"/>
      <c r="CD177" s="1"/>
      <c r="CE177" s="1"/>
      <c r="CF177" s="1"/>
      <c r="CG177" s="1"/>
      <c r="CH177" s="1"/>
      <c r="CI177" s="1"/>
      <c r="CJ177" s="1"/>
      <c r="CK177" s="1"/>
      <c r="CL177" s="1"/>
      <c r="CM177" s="1"/>
      <c r="CN177" s="1"/>
      <c r="CO177" s="1"/>
      <c r="CP177" s="1"/>
      <c r="CQ177" s="1"/>
      <c r="CR177" s="1"/>
      <c r="CS177" s="1"/>
      <c r="CT177" s="1"/>
      <c r="CU177" s="1"/>
      <c r="CV177" s="1"/>
      <c r="CW177" s="1"/>
      <c r="CX177" s="1"/>
      <c r="CY177" s="1"/>
    </row>
    <row r="178" spans="80:103" ht="15" hidden="1" customHeight="1" x14ac:dyDescent="0.35">
      <c r="CB178" s="214"/>
      <c r="CC178" s="1"/>
      <c r="CD178" s="1"/>
      <c r="CE178" s="1"/>
      <c r="CF178" s="1"/>
      <c r="CG178" s="1"/>
      <c r="CH178" s="1"/>
      <c r="CI178" s="1"/>
      <c r="CJ178" s="1"/>
      <c r="CK178" s="1"/>
      <c r="CL178" s="1"/>
      <c r="CM178" s="1"/>
      <c r="CN178" s="1"/>
      <c r="CO178" s="1"/>
      <c r="CP178" s="1"/>
      <c r="CQ178" s="1"/>
      <c r="CR178" s="1"/>
      <c r="CS178" s="1"/>
      <c r="CT178" s="1"/>
      <c r="CU178" s="1"/>
      <c r="CV178" s="1"/>
      <c r="CW178" s="1"/>
      <c r="CX178" s="1"/>
      <c r="CY178" s="1"/>
    </row>
    <row r="179" spans="80:103" ht="15" hidden="1" customHeight="1" x14ac:dyDescent="0.35">
      <c r="CB179" s="214"/>
      <c r="CC179" s="1"/>
      <c r="CD179" s="1"/>
      <c r="CE179" s="1"/>
      <c r="CF179" s="1"/>
      <c r="CG179" s="1"/>
      <c r="CH179" s="1"/>
      <c r="CI179" s="1"/>
      <c r="CJ179" s="1"/>
      <c r="CK179" s="1"/>
      <c r="CL179" s="1"/>
      <c r="CM179" s="1"/>
      <c r="CN179" s="1"/>
      <c r="CO179" s="1"/>
      <c r="CP179" s="1"/>
      <c r="CQ179" s="1"/>
      <c r="CR179" s="1"/>
      <c r="CS179" s="1"/>
      <c r="CT179" s="1"/>
      <c r="CU179" s="1"/>
      <c r="CV179" s="1"/>
      <c r="CW179" s="1"/>
      <c r="CX179" s="1"/>
      <c r="CY179" s="1"/>
    </row>
    <row r="180" spans="80:103" ht="15" hidden="1" customHeight="1" x14ac:dyDescent="0.35">
      <c r="CB180" s="214"/>
      <c r="CC180" s="1"/>
      <c r="CD180" s="1"/>
      <c r="CE180" s="1"/>
      <c r="CF180" s="1"/>
      <c r="CG180" s="1"/>
      <c r="CH180" s="1"/>
      <c r="CI180" s="1"/>
      <c r="CJ180" s="1"/>
      <c r="CK180" s="1"/>
      <c r="CL180" s="1"/>
      <c r="CM180" s="1"/>
      <c r="CN180" s="1"/>
      <c r="CO180" s="1"/>
      <c r="CP180" s="1"/>
      <c r="CQ180" s="1"/>
      <c r="CR180" s="1"/>
      <c r="CS180" s="1"/>
      <c r="CT180" s="1"/>
      <c r="CU180" s="1"/>
      <c r="CV180" s="1"/>
      <c r="CW180" s="1"/>
      <c r="CX180" s="1"/>
      <c r="CY180" s="1"/>
    </row>
    <row r="181" spans="80:103" ht="15" hidden="1" customHeight="1" x14ac:dyDescent="0.35">
      <c r="CB181" s="214"/>
      <c r="CC181" s="1"/>
      <c r="CD181" s="1"/>
      <c r="CE181" s="1"/>
      <c r="CF181" s="1"/>
      <c r="CG181" s="1"/>
      <c r="CH181" s="1"/>
      <c r="CI181" s="1"/>
      <c r="CJ181" s="1"/>
      <c r="CK181" s="1"/>
      <c r="CL181" s="1"/>
      <c r="CM181" s="1"/>
      <c r="CN181" s="1"/>
      <c r="CO181" s="1"/>
      <c r="CP181" s="1"/>
      <c r="CQ181" s="1"/>
      <c r="CR181" s="1"/>
      <c r="CS181" s="1"/>
      <c r="CT181" s="1"/>
      <c r="CU181" s="1"/>
      <c r="CV181" s="1"/>
      <c r="CW181" s="1"/>
      <c r="CX181" s="1"/>
      <c r="CY181" s="1"/>
    </row>
    <row r="182" spans="80:103" ht="15" hidden="1" customHeight="1" x14ac:dyDescent="0.35">
      <c r="CB182" s="214"/>
      <c r="CC182" s="1"/>
      <c r="CD182" s="1"/>
      <c r="CE182" s="1"/>
      <c r="CF182" s="1"/>
      <c r="CG182" s="1"/>
      <c r="CH182" s="1"/>
      <c r="CI182" s="1"/>
      <c r="CJ182" s="1"/>
      <c r="CK182" s="1"/>
      <c r="CL182" s="1"/>
      <c r="CM182" s="1"/>
      <c r="CN182" s="1"/>
      <c r="CO182" s="1"/>
      <c r="CP182" s="1"/>
      <c r="CQ182" s="1"/>
      <c r="CR182" s="1"/>
      <c r="CS182" s="1"/>
      <c r="CT182" s="1"/>
      <c r="CU182" s="1"/>
      <c r="CV182" s="1"/>
      <c r="CW182" s="1"/>
      <c r="CX182" s="1"/>
      <c r="CY182" s="1"/>
    </row>
    <row r="183" spans="80:103" ht="15" hidden="1" customHeight="1" x14ac:dyDescent="0.35">
      <c r="CB183" s="214"/>
      <c r="CC183" s="1"/>
      <c r="CD183" s="1"/>
      <c r="CE183" s="1"/>
      <c r="CF183" s="1"/>
      <c r="CG183" s="1"/>
      <c r="CH183" s="1"/>
      <c r="CI183" s="1"/>
      <c r="CJ183" s="1"/>
      <c r="CK183" s="1"/>
      <c r="CL183" s="1"/>
      <c r="CM183" s="1"/>
      <c r="CN183" s="1"/>
      <c r="CO183" s="1"/>
      <c r="CP183" s="1"/>
      <c r="CQ183" s="1"/>
      <c r="CR183" s="1"/>
      <c r="CS183" s="1"/>
      <c r="CT183" s="1"/>
      <c r="CU183" s="1"/>
      <c r="CV183" s="1"/>
      <c r="CW183" s="1"/>
      <c r="CX183" s="1"/>
      <c r="CY183" s="1"/>
    </row>
    <row r="184" spans="80:103" ht="15" hidden="1" customHeight="1" x14ac:dyDescent="0.35">
      <c r="CB184" s="214"/>
      <c r="CC184" s="1"/>
      <c r="CD184" s="1"/>
      <c r="CE184" s="1"/>
      <c r="CF184" s="1"/>
      <c r="CG184" s="1"/>
      <c r="CH184" s="1"/>
      <c r="CI184" s="1"/>
      <c r="CJ184" s="1"/>
      <c r="CK184" s="1"/>
      <c r="CL184" s="1"/>
      <c r="CM184" s="1"/>
      <c r="CN184" s="1"/>
      <c r="CO184" s="1"/>
      <c r="CP184" s="1"/>
      <c r="CQ184" s="1"/>
      <c r="CR184" s="1"/>
      <c r="CS184" s="1"/>
      <c r="CT184" s="1"/>
      <c r="CU184" s="1"/>
      <c r="CV184" s="1"/>
      <c r="CW184" s="1"/>
      <c r="CX184" s="1"/>
      <c r="CY184" s="1"/>
    </row>
    <row r="185" spans="80:103" ht="15" hidden="1" customHeight="1" x14ac:dyDescent="0.35">
      <c r="CB185" s="214"/>
      <c r="CC185" s="1"/>
      <c r="CD185" s="1"/>
      <c r="CE185" s="1"/>
      <c r="CF185" s="1"/>
      <c r="CG185" s="1"/>
      <c r="CH185" s="1"/>
      <c r="CI185" s="1"/>
      <c r="CJ185" s="1"/>
      <c r="CK185" s="1"/>
      <c r="CL185" s="1"/>
      <c r="CM185" s="1"/>
      <c r="CN185" s="1"/>
      <c r="CO185" s="1"/>
      <c r="CP185" s="1"/>
      <c r="CQ185" s="1"/>
      <c r="CR185" s="1"/>
      <c r="CS185" s="1"/>
      <c r="CT185" s="1"/>
      <c r="CU185" s="1"/>
      <c r="CV185" s="1"/>
      <c r="CW185" s="1"/>
      <c r="CX185" s="1"/>
      <c r="CY185" s="1"/>
    </row>
    <row r="186" spans="80:103" ht="15" hidden="1" customHeight="1" x14ac:dyDescent="0.35">
      <c r="CB186" s="214"/>
      <c r="CC186" s="1"/>
      <c r="CD186" s="1"/>
      <c r="CE186" s="1"/>
      <c r="CF186" s="1"/>
      <c r="CG186" s="1"/>
      <c r="CH186" s="1"/>
      <c r="CI186" s="1"/>
      <c r="CJ186" s="1"/>
      <c r="CK186" s="1"/>
      <c r="CL186" s="1"/>
      <c r="CM186" s="1"/>
      <c r="CN186" s="1"/>
      <c r="CO186" s="1"/>
      <c r="CP186" s="1"/>
      <c r="CQ186" s="1"/>
      <c r="CR186" s="1"/>
      <c r="CS186" s="1"/>
      <c r="CT186" s="1"/>
      <c r="CU186" s="1"/>
      <c r="CV186" s="1"/>
      <c r="CW186" s="1"/>
      <c r="CX186" s="1"/>
      <c r="CY186" s="1"/>
    </row>
    <row r="187" spans="80:103" ht="15" hidden="1" customHeight="1" x14ac:dyDescent="0.35">
      <c r="CB187" s="214"/>
      <c r="CC187" s="1"/>
      <c r="CD187" s="1"/>
      <c r="CE187" s="1"/>
      <c r="CF187" s="1"/>
      <c r="CG187" s="1"/>
      <c r="CH187" s="1"/>
      <c r="CI187" s="1"/>
      <c r="CJ187" s="1"/>
      <c r="CK187" s="1"/>
      <c r="CL187" s="1"/>
      <c r="CM187" s="1"/>
      <c r="CN187" s="1"/>
      <c r="CO187" s="1"/>
      <c r="CP187" s="1"/>
      <c r="CQ187" s="1"/>
      <c r="CR187" s="1"/>
      <c r="CS187" s="1"/>
      <c r="CT187" s="1"/>
      <c r="CU187" s="1"/>
      <c r="CV187" s="1"/>
      <c r="CW187" s="1"/>
      <c r="CX187" s="1"/>
      <c r="CY187" s="1"/>
    </row>
    <row r="188" spans="80:103" ht="15" hidden="1" customHeight="1" x14ac:dyDescent="0.35">
      <c r="CB188" s="214"/>
      <c r="CC188" s="1"/>
      <c r="CD188" s="1"/>
      <c r="CE188" s="1"/>
      <c r="CF188" s="1"/>
      <c r="CG188" s="1"/>
      <c r="CH188" s="1"/>
      <c r="CI188" s="1"/>
      <c r="CJ188" s="1"/>
      <c r="CK188" s="1"/>
      <c r="CL188" s="1"/>
      <c r="CM188" s="1"/>
      <c r="CN188" s="1"/>
      <c r="CO188" s="1"/>
      <c r="CP188" s="1"/>
      <c r="CQ188" s="1"/>
      <c r="CR188" s="1"/>
      <c r="CS188" s="1"/>
      <c r="CT188" s="1"/>
      <c r="CU188" s="1"/>
      <c r="CV188" s="1"/>
      <c r="CW188" s="1"/>
      <c r="CX188" s="1"/>
      <c r="CY188" s="1"/>
    </row>
    <row r="189" spans="80:103" ht="15" hidden="1" customHeight="1" x14ac:dyDescent="0.35">
      <c r="CB189" s="214"/>
      <c r="CC189" s="1"/>
      <c r="CD189" s="1"/>
      <c r="CE189" s="1"/>
      <c r="CF189" s="1"/>
      <c r="CG189" s="1"/>
      <c r="CH189" s="1"/>
      <c r="CI189" s="1"/>
      <c r="CJ189" s="1"/>
      <c r="CK189" s="1"/>
      <c r="CL189" s="1"/>
      <c r="CM189" s="1"/>
      <c r="CN189" s="1"/>
      <c r="CO189" s="1"/>
      <c r="CP189" s="1"/>
      <c r="CQ189" s="1"/>
      <c r="CR189" s="1"/>
      <c r="CS189" s="1"/>
      <c r="CT189" s="1"/>
      <c r="CU189" s="1"/>
      <c r="CV189" s="1"/>
      <c r="CW189" s="1"/>
      <c r="CX189" s="1"/>
      <c r="CY189" s="1"/>
    </row>
  </sheetData>
  <mergeCells count="15">
    <mergeCell ref="A7:A15"/>
    <mergeCell ref="AW6:AW14"/>
    <mergeCell ref="CC5:CC14"/>
    <mergeCell ref="CN5:CN14"/>
    <mergeCell ref="CC16:CC24"/>
    <mergeCell ref="CN16:CN24"/>
    <mergeCell ref="CC46:CC54"/>
    <mergeCell ref="CN46:CN54"/>
    <mergeCell ref="CC56:CC64"/>
    <mergeCell ref="CN56:CN64"/>
    <mergeCell ref="A31:A40"/>
    <mergeCell ref="CC26:CC34"/>
    <mergeCell ref="CN26:CN34"/>
    <mergeCell ref="CC36:CC44"/>
    <mergeCell ref="CN36:CN44"/>
  </mergeCells>
  <printOptions headings="1"/>
  <pageMargins left="0.2" right="0.2" top="0.5" bottom="0.5" header="0.3" footer="0.3"/>
  <pageSetup orientation="portrait" cellComments="asDisplayed" r:id="rId1"/>
  <headerFooter>
    <oddHeader>&amp;C&amp;A</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dimension ref="A1:CT73"/>
  <sheetViews>
    <sheetView zoomScaleNormal="100" workbookViewId="0">
      <pane xSplit="1" ySplit="3" topLeftCell="CD4" activePane="bottomRight" state="frozen"/>
      <selection activeCell="AL26" sqref="AL26"/>
      <selection pane="topRight" activeCell="AL26" sqref="AL26"/>
      <selection pane="bottomLeft" activeCell="AL26" sqref="AL26"/>
      <selection pane="bottomRight" activeCell="A14" sqref="A14"/>
    </sheetView>
  </sheetViews>
  <sheetFormatPr defaultColWidth="9.1796875" defaultRowHeight="14.5" x14ac:dyDescent="0.35"/>
  <cols>
    <col min="1" max="1" width="39.1796875" style="40" customWidth="1"/>
    <col min="2" max="3" width="11" style="40" customWidth="1"/>
    <col min="4" max="4" width="16" style="40" customWidth="1"/>
    <col min="5" max="18" width="14.1796875" style="40" customWidth="1"/>
    <col min="19" max="19" width="15" style="40" bestFit="1" customWidth="1"/>
    <col min="20" max="20" width="14.1796875" style="40" customWidth="1"/>
    <col min="21" max="21" width="15" style="40" customWidth="1"/>
    <col min="22" max="37" width="15.26953125" style="40" bestFit="1" customWidth="1"/>
    <col min="38" max="38" width="15" style="40" bestFit="1" customWidth="1"/>
    <col min="39" max="52" width="15.26953125" style="40" bestFit="1" customWidth="1"/>
    <col min="53" max="83" width="16" style="40" bestFit="1" customWidth="1"/>
    <col min="84" max="84" width="17.7265625" style="40" customWidth="1"/>
    <col min="85" max="98" width="15.26953125" style="40" bestFit="1" customWidth="1"/>
    <col min="99" max="16384" width="9.1796875" style="40"/>
  </cols>
  <sheetData>
    <row r="1" spans="1:98" x14ac:dyDescent="0.35">
      <c r="A1" s="35" t="s">
        <v>30</v>
      </c>
    </row>
    <row r="2" spans="1:98" x14ac:dyDescent="0.35">
      <c r="A2" s="27"/>
    </row>
    <row r="3" spans="1:98" x14ac:dyDescent="0.35">
      <c r="B3" s="12">
        <v>42370</v>
      </c>
      <c r="C3" s="12">
        <v>42401</v>
      </c>
      <c r="D3" s="12">
        <v>42430</v>
      </c>
      <c r="E3" s="12">
        <v>42461</v>
      </c>
      <c r="F3" s="12">
        <v>42491</v>
      </c>
      <c r="G3" s="12">
        <v>42522</v>
      </c>
      <c r="H3" s="12">
        <v>42552</v>
      </c>
      <c r="I3" s="12">
        <v>42583</v>
      </c>
      <c r="J3" s="12">
        <v>42614</v>
      </c>
      <c r="K3" s="12">
        <v>42644</v>
      </c>
      <c r="L3" s="12">
        <v>42675</v>
      </c>
      <c r="M3" s="12">
        <v>42705</v>
      </c>
      <c r="N3" s="12">
        <v>42736</v>
      </c>
      <c r="O3" s="12">
        <v>42767</v>
      </c>
      <c r="P3" s="12">
        <v>42795</v>
      </c>
      <c r="Q3" s="12">
        <v>42826</v>
      </c>
      <c r="R3" s="12">
        <v>42856</v>
      </c>
      <c r="S3" s="12">
        <v>42887</v>
      </c>
      <c r="T3" s="12">
        <v>42917</v>
      </c>
      <c r="U3" s="12">
        <v>42948</v>
      </c>
      <c r="V3" s="12">
        <v>42979</v>
      </c>
      <c r="W3" s="12">
        <v>43009</v>
      </c>
      <c r="X3" s="12">
        <v>43040</v>
      </c>
      <c r="Y3" s="12">
        <v>43070</v>
      </c>
      <c r="Z3" s="12">
        <v>43101</v>
      </c>
      <c r="AA3" s="12">
        <v>43132</v>
      </c>
      <c r="AB3" s="12">
        <v>43160</v>
      </c>
      <c r="AC3" s="12">
        <v>43191</v>
      </c>
      <c r="AD3" s="12">
        <v>43221</v>
      </c>
      <c r="AE3" s="12">
        <v>43252</v>
      </c>
      <c r="AF3" s="12">
        <v>43282</v>
      </c>
      <c r="AG3" s="12">
        <v>43313</v>
      </c>
      <c r="AH3" s="12">
        <v>43344</v>
      </c>
      <c r="AI3" s="12">
        <v>43374</v>
      </c>
      <c r="AJ3" s="12">
        <v>43405</v>
      </c>
      <c r="AK3" s="12">
        <v>43435</v>
      </c>
      <c r="AL3" s="12">
        <v>43466</v>
      </c>
      <c r="AM3" s="12">
        <v>43497</v>
      </c>
      <c r="AN3" s="12">
        <v>43525</v>
      </c>
      <c r="AO3" s="12">
        <v>43556</v>
      </c>
      <c r="AP3" s="12">
        <v>43586</v>
      </c>
      <c r="AQ3" s="12">
        <v>43617</v>
      </c>
      <c r="AR3" s="12">
        <v>43647</v>
      </c>
      <c r="AS3" s="12">
        <v>43678</v>
      </c>
      <c r="AT3" s="12">
        <v>43709</v>
      </c>
      <c r="AU3" s="12">
        <v>43739</v>
      </c>
      <c r="AV3" s="12">
        <v>43770</v>
      </c>
      <c r="AW3" s="12">
        <v>43800</v>
      </c>
      <c r="AX3" s="12">
        <v>43831</v>
      </c>
      <c r="AY3" s="12">
        <v>43862</v>
      </c>
      <c r="AZ3" s="12">
        <v>43891</v>
      </c>
      <c r="BA3" s="12">
        <v>43922</v>
      </c>
      <c r="BB3" s="12">
        <v>43952</v>
      </c>
      <c r="BC3" s="12">
        <v>43983</v>
      </c>
      <c r="BD3" s="12">
        <v>44013</v>
      </c>
      <c r="BE3" s="12">
        <v>44044</v>
      </c>
      <c r="BF3" s="12">
        <v>44075</v>
      </c>
      <c r="BG3" s="12">
        <v>44105</v>
      </c>
      <c r="BH3" s="12">
        <v>44136</v>
      </c>
      <c r="BI3" s="12">
        <v>44166</v>
      </c>
      <c r="BJ3" s="12">
        <v>44197</v>
      </c>
      <c r="BK3" s="12">
        <v>44228</v>
      </c>
      <c r="BL3" s="12">
        <v>44256</v>
      </c>
      <c r="BM3" s="12">
        <v>44287</v>
      </c>
      <c r="BN3" s="12">
        <v>44317</v>
      </c>
      <c r="BO3" s="12">
        <v>44348</v>
      </c>
      <c r="BP3" s="12">
        <v>44378</v>
      </c>
      <c r="BQ3" s="12">
        <v>44409</v>
      </c>
      <c r="BR3" s="12">
        <v>44440</v>
      </c>
      <c r="BS3" s="12">
        <v>44470</v>
      </c>
      <c r="BT3" s="12">
        <v>44501</v>
      </c>
      <c r="BU3" s="12">
        <v>44531</v>
      </c>
      <c r="BV3" s="12">
        <v>44562</v>
      </c>
      <c r="BW3" s="12">
        <v>44593</v>
      </c>
      <c r="BX3" s="12">
        <v>44621</v>
      </c>
      <c r="BY3" s="12">
        <v>44652</v>
      </c>
      <c r="BZ3" s="12">
        <v>44682</v>
      </c>
      <c r="CA3" s="12">
        <v>44713</v>
      </c>
      <c r="CB3" s="12">
        <v>44743</v>
      </c>
      <c r="CC3" s="12">
        <v>44774</v>
      </c>
      <c r="CD3" s="12">
        <v>44805</v>
      </c>
      <c r="CE3" s="12">
        <v>44835</v>
      </c>
      <c r="CF3" s="12">
        <v>44866</v>
      </c>
      <c r="CG3" s="12">
        <v>44896</v>
      </c>
      <c r="CH3" s="12">
        <v>44927</v>
      </c>
      <c r="CI3" s="12">
        <v>44958</v>
      </c>
      <c r="CJ3" s="12">
        <v>44986</v>
      </c>
      <c r="CK3" s="12">
        <v>45017</v>
      </c>
      <c r="CL3" s="12">
        <v>45047</v>
      </c>
      <c r="CM3" s="12">
        <v>45078</v>
      </c>
      <c r="CN3" s="12">
        <v>45108</v>
      </c>
      <c r="CO3" s="12">
        <v>45139</v>
      </c>
      <c r="CP3" s="12">
        <v>45170</v>
      </c>
      <c r="CQ3" s="12">
        <v>45200</v>
      </c>
      <c r="CR3" s="12">
        <v>45231</v>
      </c>
      <c r="CS3" s="12">
        <v>45261</v>
      </c>
      <c r="CT3" s="12">
        <v>45292</v>
      </c>
    </row>
    <row r="4" spans="1:98" s="2" customFormat="1" x14ac:dyDescent="0.35">
      <c r="A4" s="137" t="s">
        <v>38</v>
      </c>
      <c r="B4" s="34"/>
      <c r="C4" s="34"/>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row>
    <row r="5" spans="1:98" x14ac:dyDescent="0.35">
      <c r="A5" s="40" t="s">
        <v>33</v>
      </c>
      <c r="B5" s="41"/>
      <c r="C5" s="41"/>
      <c r="D5" s="45">
        <v>0</v>
      </c>
      <c r="E5" s="45">
        <v>1328.78</v>
      </c>
      <c r="F5" s="45">
        <v>10855.31</v>
      </c>
      <c r="G5" s="45">
        <v>131208.19</v>
      </c>
      <c r="H5" s="45">
        <v>387288.84</v>
      </c>
      <c r="I5" s="45">
        <v>759760.94</v>
      </c>
      <c r="J5" s="45">
        <v>1430369.44</v>
      </c>
      <c r="K5" s="45">
        <v>1550921.07</v>
      </c>
      <c r="L5" s="45">
        <v>1735396.69</v>
      </c>
      <c r="M5" s="45">
        <v>2037094.64</v>
      </c>
      <c r="N5" s="45">
        <v>2364452.61</v>
      </c>
      <c r="O5" s="45">
        <v>2681724.66</v>
      </c>
      <c r="P5" s="45">
        <v>2987072.85</v>
      </c>
      <c r="Q5" s="45">
        <v>3184865.01</v>
      </c>
      <c r="R5" s="45">
        <v>3385529.7699999996</v>
      </c>
      <c r="S5" s="45">
        <v>4264552</v>
      </c>
      <c r="T5" s="45">
        <v>5547156.3399999999</v>
      </c>
      <c r="U5" s="45">
        <v>6946190.2599999998</v>
      </c>
      <c r="V5" s="45">
        <v>7850232.6099999994</v>
      </c>
      <c r="W5" s="46">
        <v>8126747.0099999998</v>
      </c>
      <c r="X5" s="46">
        <v>8499539.6099999994</v>
      </c>
      <c r="Y5" s="46">
        <v>9058824.6600000001</v>
      </c>
      <c r="Z5" s="46">
        <v>9650198.3699999992</v>
      </c>
      <c r="AA5" s="46">
        <v>10151034.449999999</v>
      </c>
      <c r="AB5" s="46">
        <v>10613841.620000001</v>
      </c>
      <c r="AC5" s="46">
        <v>10869441.710000001</v>
      </c>
      <c r="AD5" s="46">
        <v>11350949.390000001</v>
      </c>
      <c r="AE5" s="46">
        <v>13348695.730000002</v>
      </c>
      <c r="AF5" s="46">
        <v>16063513.910000002</v>
      </c>
      <c r="AG5" s="46">
        <v>18680994.800000004</v>
      </c>
      <c r="AH5" s="46">
        <v>20236402.510000005</v>
      </c>
      <c r="AI5" s="46">
        <v>20777772.98</v>
      </c>
      <c r="AJ5" s="46">
        <v>21274714.609999999</v>
      </c>
      <c r="AK5" s="46">
        <v>21954224.789999999</v>
      </c>
      <c r="AL5" s="46">
        <v>22632751.569999997</v>
      </c>
      <c r="AM5" s="46">
        <v>23234453.34</v>
      </c>
      <c r="AN5" s="46">
        <v>23939498.760000002</v>
      </c>
      <c r="AO5" s="46">
        <v>24497192.960000001</v>
      </c>
      <c r="AP5" s="46">
        <v>24846329.540000003</v>
      </c>
      <c r="AQ5" s="46">
        <v>27513104.980000004</v>
      </c>
      <c r="AR5" s="46">
        <v>30526797.800000001</v>
      </c>
      <c r="AS5" s="46">
        <v>33776773.060000002</v>
      </c>
      <c r="AT5" s="46">
        <v>35595655.670000002</v>
      </c>
      <c r="AU5" s="46">
        <f>36043069.48+0</f>
        <v>36043069.479999997</v>
      </c>
      <c r="AV5" s="46">
        <f>36595561+0</f>
        <v>36595561</v>
      </c>
      <c r="AW5" s="46">
        <f>37286780.96+0</f>
        <v>37286780.960000001</v>
      </c>
      <c r="AX5" s="46">
        <f>37986377.11+0</f>
        <v>37986377.109999999</v>
      </c>
      <c r="AY5" s="46">
        <f>0+36858732.18</f>
        <v>36858732.18</v>
      </c>
      <c r="AZ5" s="46">
        <f>0+37334684.61</f>
        <v>37334684.609999999</v>
      </c>
      <c r="BA5" s="46">
        <f t="shared" ref="BA5:BF5" si="0">37334684.61+0</f>
        <v>37334684.609999999</v>
      </c>
      <c r="BB5" s="46">
        <f t="shared" si="0"/>
        <v>37334684.609999999</v>
      </c>
      <c r="BC5" s="46">
        <f t="shared" si="0"/>
        <v>37334684.609999999</v>
      </c>
      <c r="BD5" s="46">
        <f t="shared" si="0"/>
        <v>37334684.609999999</v>
      </c>
      <c r="BE5" s="46">
        <f t="shared" si="0"/>
        <v>37334684.609999999</v>
      </c>
      <c r="BF5" s="46">
        <f t="shared" si="0"/>
        <v>37334684.609999999</v>
      </c>
      <c r="BG5" s="46">
        <f t="shared" ref="BG5:BM5" si="1">37334684.61+0</f>
        <v>37334684.609999999</v>
      </c>
      <c r="BH5" s="46">
        <f t="shared" si="1"/>
        <v>37334684.609999999</v>
      </c>
      <c r="BI5" s="46">
        <f t="shared" si="1"/>
        <v>37334684.609999999</v>
      </c>
      <c r="BJ5" s="46">
        <f t="shared" si="1"/>
        <v>37334684.609999999</v>
      </c>
      <c r="BK5" s="46">
        <f t="shared" si="1"/>
        <v>37334684.609999999</v>
      </c>
      <c r="BL5" s="46">
        <f t="shared" si="1"/>
        <v>37334684.609999999</v>
      </c>
      <c r="BM5" s="46">
        <f t="shared" si="1"/>
        <v>37334684.609999999</v>
      </c>
      <c r="BN5" s="46">
        <f t="shared" ref="BN5:BR5" si="2">37334684.61+0</f>
        <v>37334684.609999999</v>
      </c>
      <c r="BO5" s="46">
        <f t="shared" si="2"/>
        <v>37334684.609999999</v>
      </c>
      <c r="BP5" s="46">
        <f t="shared" si="2"/>
        <v>37334684.609999999</v>
      </c>
      <c r="BQ5" s="46">
        <f t="shared" si="2"/>
        <v>37334684.609999999</v>
      </c>
      <c r="BR5" s="46">
        <f t="shared" si="2"/>
        <v>37334684.609999999</v>
      </c>
      <c r="BS5" s="46">
        <f t="shared" ref="BS5:BW5" si="3">37334684.61+0</f>
        <v>37334684.609999999</v>
      </c>
      <c r="BT5" s="46">
        <f t="shared" si="3"/>
        <v>37334684.609999999</v>
      </c>
      <c r="BU5" s="46">
        <f t="shared" si="3"/>
        <v>37334684.609999999</v>
      </c>
      <c r="BV5" s="46">
        <f t="shared" si="3"/>
        <v>37334684.609999999</v>
      </c>
      <c r="BW5" s="46">
        <f t="shared" si="3"/>
        <v>37334684.609999999</v>
      </c>
      <c r="BX5" s="46">
        <f t="shared" ref="BX5:CE5" si="4">37334684.61+0</f>
        <v>37334684.609999999</v>
      </c>
      <c r="BY5" s="46">
        <f t="shared" si="4"/>
        <v>37334684.609999999</v>
      </c>
      <c r="BZ5" s="46">
        <f t="shared" si="4"/>
        <v>37334684.609999999</v>
      </c>
      <c r="CA5" s="46">
        <f t="shared" si="4"/>
        <v>37334684.609999999</v>
      </c>
      <c r="CB5" s="46">
        <f t="shared" si="4"/>
        <v>37334684.609999999</v>
      </c>
      <c r="CC5" s="46">
        <f t="shared" si="4"/>
        <v>37334684.609999999</v>
      </c>
      <c r="CD5" s="46">
        <f t="shared" si="4"/>
        <v>37334684.609999999</v>
      </c>
      <c r="CE5" s="46">
        <f t="shared" si="4"/>
        <v>37334684.609999999</v>
      </c>
      <c r="CF5" s="133">
        <f>CE5+CF14</f>
        <v>37334684.609999999</v>
      </c>
      <c r="CG5" s="133">
        <f t="shared" ref="CG5:CS5" si="5">CF5+CG14</f>
        <v>37334684.609999999</v>
      </c>
      <c r="CH5" s="133">
        <f t="shared" si="5"/>
        <v>37334684.609999999</v>
      </c>
      <c r="CI5" s="133">
        <f t="shared" si="5"/>
        <v>37334684.609999999</v>
      </c>
      <c r="CJ5" s="133">
        <f t="shared" si="5"/>
        <v>37334684.609999999</v>
      </c>
      <c r="CK5" s="133">
        <f t="shared" si="5"/>
        <v>37334684.609999999</v>
      </c>
      <c r="CL5" s="133">
        <f t="shared" si="5"/>
        <v>37334684.609999999</v>
      </c>
      <c r="CM5" s="133">
        <f t="shared" si="5"/>
        <v>37334684.609999999</v>
      </c>
      <c r="CN5" s="133">
        <f t="shared" si="5"/>
        <v>37334684.609999999</v>
      </c>
      <c r="CO5" s="133">
        <f t="shared" si="5"/>
        <v>37334684.609999999</v>
      </c>
      <c r="CP5" s="133">
        <f t="shared" si="5"/>
        <v>37334684.609999999</v>
      </c>
      <c r="CQ5" s="133">
        <f t="shared" si="5"/>
        <v>37334684.609999999</v>
      </c>
      <c r="CR5" s="133">
        <f t="shared" si="5"/>
        <v>37334684.609999999</v>
      </c>
      <c r="CS5" s="133">
        <f t="shared" si="5"/>
        <v>37334684.609999999</v>
      </c>
      <c r="CT5" s="133">
        <f t="shared" ref="CT5:CT10" si="6">CS5+CT14</f>
        <v>37334684.609999999</v>
      </c>
    </row>
    <row r="6" spans="1:98" x14ac:dyDescent="0.35">
      <c r="A6" s="40" t="s">
        <v>34</v>
      </c>
      <c r="B6" s="41"/>
      <c r="C6" s="41"/>
      <c r="D6" s="45">
        <v>0</v>
      </c>
      <c r="E6" s="45">
        <v>0</v>
      </c>
      <c r="F6" s="45">
        <v>0</v>
      </c>
      <c r="G6" s="45">
        <v>4167.9399999999996</v>
      </c>
      <c r="H6" s="45">
        <v>17525.88</v>
      </c>
      <c r="I6" s="45">
        <v>31980.06</v>
      </c>
      <c r="J6" s="45">
        <v>54300.31</v>
      </c>
      <c r="K6" s="45">
        <v>77885.14</v>
      </c>
      <c r="L6" s="45">
        <v>105438.65</v>
      </c>
      <c r="M6" s="45">
        <v>142311.95000000001</v>
      </c>
      <c r="N6" s="45">
        <v>189359.05000000002</v>
      </c>
      <c r="O6" s="45">
        <v>231701.2</v>
      </c>
      <c r="P6" s="45">
        <v>283963.62</v>
      </c>
      <c r="Q6" s="45">
        <v>308673.44</v>
      </c>
      <c r="R6" s="45">
        <v>357395.51</v>
      </c>
      <c r="S6" s="45">
        <v>446610.88</v>
      </c>
      <c r="T6" s="45">
        <v>585542.78</v>
      </c>
      <c r="U6" s="45">
        <v>716001.10999999987</v>
      </c>
      <c r="V6" s="45">
        <v>865623.52</v>
      </c>
      <c r="W6" s="46">
        <v>981465.67</v>
      </c>
      <c r="X6" s="46">
        <v>1068238.3799999999</v>
      </c>
      <c r="Y6" s="46">
        <v>1193729.2599999998</v>
      </c>
      <c r="Z6" s="46">
        <v>1341747.9499999997</v>
      </c>
      <c r="AA6" s="46">
        <v>1469438.1399999997</v>
      </c>
      <c r="AB6" s="46">
        <v>1628844.4099999997</v>
      </c>
      <c r="AC6" s="46">
        <v>1811879.49</v>
      </c>
      <c r="AD6" s="46">
        <v>2069719.65</v>
      </c>
      <c r="AE6" s="46">
        <v>2457404.2800000003</v>
      </c>
      <c r="AF6" s="46">
        <v>2966091.15</v>
      </c>
      <c r="AG6" s="46">
        <v>3413766.9499999997</v>
      </c>
      <c r="AH6" s="46">
        <v>3901789.65</v>
      </c>
      <c r="AI6" s="46">
        <v>4245964.8900000006</v>
      </c>
      <c r="AJ6" s="46">
        <v>4556973.95</v>
      </c>
      <c r="AK6" s="46">
        <v>4900967.08</v>
      </c>
      <c r="AL6" s="46">
        <v>5271737.41</v>
      </c>
      <c r="AM6" s="46">
        <v>5581907.2999999998</v>
      </c>
      <c r="AN6" s="46">
        <v>6001660.4600000009</v>
      </c>
      <c r="AO6" s="46">
        <v>6425471.5500000007</v>
      </c>
      <c r="AP6" s="46">
        <v>6844402.4900000002</v>
      </c>
      <c r="AQ6" s="46">
        <v>7540501.0500000007</v>
      </c>
      <c r="AR6" s="46">
        <v>8428918.1699999999</v>
      </c>
      <c r="AS6" s="46">
        <v>9148140.2100000009</v>
      </c>
      <c r="AT6" s="46">
        <v>9900811.9400000013</v>
      </c>
      <c r="AU6" s="46">
        <f>10403257.47+14619.86</f>
        <v>10417877.33</v>
      </c>
      <c r="AV6" s="46">
        <f>17933.11+10840302.54</f>
        <v>10858235.649999999</v>
      </c>
      <c r="AW6" s="46">
        <f>11209069.54+21421.12</f>
        <v>11230490.659999998</v>
      </c>
      <c r="AX6" s="46">
        <f>11649860.33+25097.33</f>
        <v>11674957.66</v>
      </c>
      <c r="AY6" s="46">
        <f>27924.85+11990356.64</f>
        <v>12018281.49</v>
      </c>
      <c r="AZ6" s="46">
        <f>31132.53+12369648.49</f>
        <v>12400781.02</v>
      </c>
      <c r="BA6" s="46">
        <f t="shared" ref="BA6:BF6" si="7">12369648.49+31132.53</f>
        <v>12400781.02</v>
      </c>
      <c r="BB6" s="46">
        <f t="shared" si="7"/>
        <v>12400781.02</v>
      </c>
      <c r="BC6" s="46">
        <f t="shared" si="7"/>
        <v>12400781.02</v>
      </c>
      <c r="BD6" s="46">
        <f t="shared" si="7"/>
        <v>12400781.02</v>
      </c>
      <c r="BE6" s="46">
        <f t="shared" si="7"/>
        <v>12400781.02</v>
      </c>
      <c r="BF6" s="46">
        <f t="shared" si="7"/>
        <v>12400781.02</v>
      </c>
      <c r="BG6" s="46">
        <f>12369648.49+31132.53</f>
        <v>12400781.02</v>
      </c>
      <c r="BH6" s="46">
        <f>12369648.49+31132.53</f>
        <v>12400781.02</v>
      </c>
      <c r="BI6" s="46">
        <f>12369648.49+31132.53</f>
        <v>12400781.02</v>
      </c>
      <c r="BJ6" s="46">
        <f>12369648.49+31132.53</f>
        <v>12400781.02</v>
      </c>
      <c r="BK6" s="46">
        <f>12369648.49+31388.17</f>
        <v>12401036.66</v>
      </c>
      <c r="BL6" s="46">
        <f>12369648.49+31980.51</f>
        <v>12401629</v>
      </c>
      <c r="BM6" s="46">
        <f>12369648.49+32612.92</f>
        <v>12402261.41</v>
      </c>
      <c r="BN6" s="46">
        <f>12369648.49+33505.45</f>
        <v>12403153.939999999</v>
      </c>
      <c r="BO6" s="46">
        <f>12369648.49+35463.84</f>
        <v>12405112.33</v>
      </c>
      <c r="BP6" s="46">
        <f>12369648.49+38039.83</f>
        <v>12407688.32</v>
      </c>
      <c r="BQ6" s="46">
        <f>12369648.49+40941.42</f>
        <v>12410589.91</v>
      </c>
      <c r="BR6" s="46">
        <f>12369648.49+43196.63</f>
        <v>12412845.120000001</v>
      </c>
      <c r="BS6" s="46">
        <f>12369648.49+44397.68</f>
        <v>12414046.17</v>
      </c>
      <c r="BT6" s="46">
        <f>12369648.49+45390.72</f>
        <v>12415039.210000001</v>
      </c>
      <c r="BU6" s="46">
        <f>12369648.49+46413.43</f>
        <v>12416061.92</v>
      </c>
      <c r="BV6" s="46">
        <f>12369648.49+47474.53</f>
        <v>12417123.02</v>
      </c>
      <c r="BW6" s="46">
        <f t="shared" ref="BW6:CE6" si="8">12369648.49+48293.18</f>
        <v>12417941.67</v>
      </c>
      <c r="BX6" s="46">
        <f t="shared" si="8"/>
        <v>12417941.67</v>
      </c>
      <c r="BY6" s="46">
        <f t="shared" si="8"/>
        <v>12417941.67</v>
      </c>
      <c r="BZ6" s="46">
        <f t="shared" si="8"/>
        <v>12417941.67</v>
      </c>
      <c r="CA6" s="46">
        <f t="shared" si="8"/>
        <v>12417941.67</v>
      </c>
      <c r="CB6" s="46">
        <f t="shared" si="8"/>
        <v>12417941.67</v>
      </c>
      <c r="CC6" s="46">
        <f t="shared" si="8"/>
        <v>12417941.67</v>
      </c>
      <c r="CD6" s="46">
        <f t="shared" si="8"/>
        <v>12417941.67</v>
      </c>
      <c r="CE6" s="46">
        <f t="shared" si="8"/>
        <v>12417941.67</v>
      </c>
      <c r="CF6" s="133">
        <f t="shared" ref="CF6:CS10" si="9">CE6+CF15</f>
        <v>12417941.67</v>
      </c>
      <c r="CG6" s="133">
        <f t="shared" si="9"/>
        <v>12417941.67</v>
      </c>
      <c r="CH6" s="133">
        <f t="shared" si="9"/>
        <v>12417941.67</v>
      </c>
      <c r="CI6" s="133">
        <f t="shared" si="9"/>
        <v>12417941.67</v>
      </c>
      <c r="CJ6" s="133">
        <f t="shared" si="9"/>
        <v>12417941.67</v>
      </c>
      <c r="CK6" s="133">
        <f t="shared" si="9"/>
        <v>12417941.67</v>
      </c>
      <c r="CL6" s="133">
        <f t="shared" si="9"/>
        <v>12417941.67</v>
      </c>
      <c r="CM6" s="133">
        <f t="shared" si="9"/>
        <v>12417941.67</v>
      </c>
      <c r="CN6" s="133">
        <f t="shared" si="9"/>
        <v>12417941.67</v>
      </c>
      <c r="CO6" s="133">
        <f t="shared" si="9"/>
        <v>12417941.67</v>
      </c>
      <c r="CP6" s="133">
        <f t="shared" si="9"/>
        <v>12417941.67</v>
      </c>
      <c r="CQ6" s="133">
        <f t="shared" si="9"/>
        <v>12417941.67</v>
      </c>
      <c r="CR6" s="133">
        <f t="shared" si="9"/>
        <v>12417941.67</v>
      </c>
      <c r="CS6" s="133">
        <f t="shared" si="9"/>
        <v>12417941.67</v>
      </c>
      <c r="CT6" s="133">
        <f t="shared" si="6"/>
        <v>12417941.67</v>
      </c>
    </row>
    <row r="7" spans="1:98" x14ac:dyDescent="0.35">
      <c r="A7" s="40" t="s">
        <v>35</v>
      </c>
      <c r="B7" s="41"/>
      <c r="C7" s="41"/>
      <c r="D7" s="45">
        <v>0</v>
      </c>
      <c r="E7" s="45">
        <v>0</v>
      </c>
      <c r="F7" s="45">
        <v>0</v>
      </c>
      <c r="G7" s="45">
        <v>6853.38</v>
      </c>
      <c r="H7" s="45">
        <v>31346.880000000001</v>
      </c>
      <c r="I7" s="45">
        <v>64756.57</v>
      </c>
      <c r="J7" s="45">
        <v>121217.18</v>
      </c>
      <c r="K7" s="45">
        <v>169574.21</v>
      </c>
      <c r="L7" s="45">
        <v>225474</v>
      </c>
      <c r="M7" s="45">
        <v>301020.03000000003</v>
      </c>
      <c r="N7" s="45">
        <v>398372.26</v>
      </c>
      <c r="O7" s="45">
        <v>489934.36</v>
      </c>
      <c r="P7" s="45">
        <v>604498.14</v>
      </c>
      <c r="Q7" s="45">
        <v>665653.74</v>
      </c>
      <c r="R7" s="45">
        <v>767859.38</v>
      </c>
      <c r="S7" s="45">
        <v>989490.46</v>
      </c>
      <c r="T7" s="45">
        <v>1321696.51</v>
      </c>
      <c r="U7" s="45">
        <v>1640841.6600000001</v>
      </c>
      <c r="V7" s="45">
        <v>1992842.86</v>
      </c>
      <c r="W7" s="46">
        <v>2223572.41</v>
      </c>
      <c r="X7" s="46">
        <v>2462963.7799999998</v>
      </c>
      <c r="Y7" s="46">
        <v>2729745.36</v>
      </c>
      <c r="Z7" s="46">
        <v>3041850.56</v>
      </c>
      <c r="AA7" s="46">
        <v>3313329.05</v>
      </c>
      <c r="AB7" s="46">
        <v>3632789.6599999997</v>
      </c>
      <c r="AC7" s="46">
        <v>3967218.2799999993</v>
      </c>
      <c r="AD7" s="46">
        <v>4417212.879999999</v>
      </c>
      <c r="AE7" s="46">
        <v>5288524.1399999987</v>
      </c>
      <c r="AF7" s="46">
        <v>6465914.9300000006</v>
      </c>
      <c r="AG7" s="46">
        <v>7475631.5000000009</v>
      </c>
      <c r="AH7" s="46">
        <v>8491958.2899999991</v>
      </c>
      <c r="AI7" s="46">
        <v>9047137.040000001</v>
      </c>
      <c r="AJ7" s="46">
        <v>9551899.1300000008</v>
      </c>
      <c r="AK7" s="46">
        <v>10140818.360000001</v>
      </c>
      <c r="AL7" s="46">
        <v>10806286.970000001</v>
      </c>
      <c r="AM7" s="46">
        <v>11385718.91</v>
      </c>
      <c r="AN7" s="46">
        <v>12157855.650000002</v>
      </c>
      <c r="AO7" s="46">
        <v>12903645.290000003</v>
      </c>
      <c r="AP7" s="46">
        <v>13617957.34</v>
      </c>
      <c r="AQ7" s="46">
        <v>15284047.689999999</v>
      </c>
      <c r="AR7" s="46">
        <v>17381958.23</v>
      </c>
      <c r="AS7" s="46">
        <v>19154184.34</v>
      </c>
      <c r="AT7" s="46">
        <v>20774799.379999999</v>
      </c>
      <c r="AU7" s="46">
        <f>21466264.93+141399.01</f>
        <v>21607663.940000001</v>
      </c>
      <c r="AV7" s="46">
        <f>154940.01+22162809.44</f>
        <v>22317749.450000003</v>
      </c>
      <c r="AW7" s="46">
        <f>22915276.66+171269.94</f>
        <v>23086546.600000001</v>
      </c>
      <c r="AX7" s="46">
        <f>23704212.35+189482.57</f>
        <v>23893694.920000002</v>
      </c>
      <c r="AY7" s="46">
        <f>205033.54+24339777.35</f>
        <v>24544810.890000001</v>
      </c>
      <c r="AZ7" s="46">
        <f>221566.4+25027821.97</f>
        <v>25249388.369999997</v>
      </c>
      <c r="BA7" s="46">
        <f>25027821.97+223852.71</f>
        <v>25251674.68</v>
      </c>
      <c r="BB7" s="46">
        <f>25027821.97+226513.58</f>
        <v>25254335.549999997</v>
      </c>
      <c r="BC7" s="46">
        <f>25027821.97+238736.89</f>
        <v>25266558.859999999</v>
      </c>
      <c r="BD7" s="46">
        <f>25027821.97+261590.07</f>
        <v>25289412.039999999</v>
      </c>
      <c r="BE7" s="46">
        <f>25027821.97+282130.34</f>
        <v>25309952.309999999</v>
      </c>
      <c r="BF7" s="46">
        <f>25027821.97+297152.55</f>
        <v>25324974.52</v>
      </c>
      <c r="BG7" s="46">
        <f>25027821.97+303863.64</f>
        <v>25331685.609999999</v>
      </c>
      <c r="BH7" s="46">
        <f>25027821.97+310566.48</f>
        <v>25338388.449999999</v>
      </c>
      <c r="BI7" s="46">
        <f>25027821.97+318693.52</f>
        <v>25346515.489999998</v>
      </c>
      <c r="BJ7" s="46">
        <f>25027821.97+327022.82</f>
        <v>25354844.789999999</v>
      </c>
      <c r="BK7" s="46">
        <f>25027821.97+335823.09</f>
        <v>25363645.059999999</v>
      </c>
      <c r="BL7" s="46">
        <f>25027821.97+346156.16</f>
        <v>25373978.129999999</v>
      </c>
      <c r="BM7" s="46">
        <f>25027821.97+354916.17</f>
        <v>25382738.140000001</v>
      </c>
      <c r="BN7" s="46">
        <f>25027821.97+365961.08</f>
        <v>25393783.049999997</v>
      </c>
      <c r="BO7" s="46">
        <f>25027821.97+397868.39</f>
        <v>25425690.359999999</v>
      </c>
      <c r="BP7" s="46">
        <f>25027821.97+438814.57</f>
        <v>25466636.539999999</v>
      </c>
      <c r="BQ7" s="46">
        <f>25027821.97+475224.93</f>
        <v>25503046.899999999</v>
      </c>
      <c r="BR7" s="46">
        <f>25027821.97+497543.33</f>
        <v>25525365.299999997</v>
      </c>
      <c r="BS7" s="46">
        <f>25027821.97+506487.62</f>
        <v>25534309.59</v>
      </c>
      <c r="BT7" s="46">
        <f>25027821.97+515800.27</f>
        <v>25543622.239999998</v>
      </c>
      <c r="BU7" s="46">
        <f>25027821.97+527551.99</f>
        <v>25555373.959999997</v>
      </c>
      <c r="BV7" s="46">
        <f>25027821.97+539557.3</f>
        <v>25567379.27</v>
      </c>
      <c r="BW7" s="46">
        <f t="shared" ref="BW7:CE7" si="10">25027821.97+549683.83</f>
        <v>25577505.799999997</v>
      </c>
      <c r="BX7" s="46">
        <f t="shared" si="10"/>
        <v>25577505.799999997</v>
      </c>
      <c r="BY7" s="46">
        <f t="shared" si="10"/>
        <v>25577505.799999997</v>
      </c>
      <c r="BZ7" s="46">
        <f t="shared" si="10"/>
        <v>25577505.799999997</v>
      </c>
      <c r="CA7" s="46">
        <f t="shared" si="10"/>
        <v>25577505.799999997</v>
      </c>
      <c r="CB7" s="46">
        <f t="shared" si="10"/>
        <v>25577505.799999997</v>
      </c>
      <c r="CC7" s="46">
        <f t="shared" si="10"/>
        <v>25577505.799999997</v>
      </c>
      <c r="CD7" s="46">
        <f t="shared" si="10"/>
        <v>25577505.799999997</v>
      </c>
      <c r="CE7" s="46">
        <f t="shared" si="10"/>
        <v>25577505.799999997</v>
      </c>
      <c r="CF7" s="133">
        <f t="shared" si="9"/>
        <v>25577505.799999997</v>
      </c>
      <c r="CG7" s="133">
        <f t="shared" si="9"/>
        <v>25577505.799999997</v>
      </c>
      <c r="CH7" s="133">
        <f t="shared" si="9"/>
        <v>25577505.799999997</v>
      </c>
      <c r="CI7" s="133">
        <f t="shared" si="9"/>
        <v>25577505.799999997</v>
      </c>
      <c r="CJ7" s="133">
        <f t="shared" si="9"/>
        <v>25577505.799999997</v>
      </c>
      <c r="CK7" s="133">
        <f t="shared" si="9"/>
        <v>25577505.799999997</v>
      </c>
      <c r="CL7" s="133">
        <f t="shared" si="9"/>
        <v>25577505.799999997</v>
      </c>
      <c r="CM7" s="133">
        <f t="shared" si="9"/>
        <v>25577505.799999997</v>
      </c>
      <c r="CN7" s="133">
        <f t="shared" si="9"/>
        <v>25577505.799999997</v>
      </c>
      <c r="CO7" s="133">
        <f t="shared" si="9"/>
        <v>25577505.799999997</v>
      </c>
      <c r="CP7" s="133">
        <f t="shared" si="9"/>
        <v>25577505.799999997</v>
      </c>
      <c r="CQ7" s="133">
        <f t="shared" si="9"/>
        <v>25577505.799999997</v>
      </c>
      <c r="CR7" s="133">
        <f t="shared" si="9"/>
        <v>25577505.799999997</v>
      </c>
      <c r="CS7" s="133">
        <f t="shared" si="9"/>
        <v>25577505.799999997</v>
      </c>
      <c r="CT7" s="133">
        <f t="shared" si="6"/>
        <v>25577505.799999997</v>
      </c>
    </row>
    <row r="8" spans="1:98" x14ac:dyDescent="0.35">
      <c r="A8" s="40" t="s">
        <v>36</v>
      </c>
      <c r="B8" s="41"/>
      <c r="C8" s="41"/>
      <c r="D8" s="45">
        <v>0</v>
      </c>
      <c r="E8" s="45">
        <v>0</v>
      </c>
      <c r="F8" s="45">
        <v>0</v>
      </c>
      <c r="G8" s="45">
        <v>526.23</v>
      </c>
      <c r="H8" s="45">
        <v>2233.4699999999998</v>
      </c>
      <c r="I8" s="45">
        <v>4262.4399999999996</v>
      </c>
      <c r="J8" s="45">
        <v>8761.7000000000007</v>
      </c>
      <c r="K8" s="45">
        <v>13045.74</v>
      </c>
      <c r="L8" s="45">
        <v>20273.66</v>
      </c>
      <c r="M8" s="45">
        <v>37982.83</v>
      </c>
      <c r="N8" s="45">
        <v>65485.26</v>
      </c>
      <c r="O8" s="45">
        <v>89352.91</v>
      </c>
      <c r="P8" s="45">
        <v>118408.26</v>
      </c>
      <c r="Q8" s="45">
        <v>129165.95000000001</v>
      </c>
      <c r="R8" s="45">
        <v>156969.91999999998</v>
      </c>
      <c r="S8" s="45">
        <v>283536.74</v>
      </c>
      <c r="T8" s="45">
        <v>459226.48</v>
      </c>
      <c r="U8" s="45">
        <v>674409.64</v>
      </c>
      <c r="V8" s="45">
        <v>877196.58000000007</v>
      </c>
      <c r="W8" s="46">
        <v>977284.15000000014</v>
      </c>
      <c r="X8" s="46">
        <v>1073543.23</v>
      </c>
      <c r="Y8" s="46">
        <v>1185708.23</v>
      </c>
      <c r="Z8" s="46">
        <v>1314546.6499999999</v>
      </c>
      <c r="AA8" s="46">
        <v>1427651.01</v>
      </c>
      <c r="AB8" s="46">
        <v>1557090.47</v>
      </c>
      <c r="AC8" s="46">
        <v>1686737.0899999999</v>
      </c>
      <c r="AD8" s="46">
        <v>1863356.25</v>
      </c>
      <c r="AE8" s="46">
        <v>2279448.1</v>
      </c>
      <c r="AF8" s="46">
        <v>2814330.83</v>
      </c>
      <c r="AG8" s="46">
        <v>3291326.8600000003</v>
      </c>
      <c r="AH8" s="46">
        <v>3697906.36</v>
      </c>
      <c r="AI8" s="46">
        <v>3900717.4</v>
      </c>
      <c r="AJ8" s="46">
        <v>4087079.7399999998</v>
      </c>
      <c r="AK8" s="46">
        <v>4305525.0999999996</v>
      </c>
      <c r="AL8" s="46">
        <v>4552393.01</v>
      </c>
      <c r="AM8" s="46">
        <v>4768797.74</v>
      </c>
      <c r="AN8" s="46">
        <v>5069031.21</v>
      </c>
      <c r="AO8" s="46">
        <v>5347376.22</v>
      </c>
      <c r="AP8" s="46">
        <v>5635365.4399999995</v>
      </c>
      <c r="AQ8" s="46">
        <v>6411912.9499999993</v>
      </c>
      <c r="AR8" s="46">
        <v>7373784.9299999997</v>
      </c>
      <c r="AS8" s="46">
        <v>8233706.0199999996</v>
      </c>
      <c r="AT8" s="46">
        <v>8908132.5299999993</v>
      </c>
      <c r="AU8" s="46">
        <f>9176465.3+47940.65</f>
        <v>9224405.9500000011</v>
      </c>
      <c r="AV8" s="46">
        <f>52071.47+9446777.6</f>
        <v>9498849.0700000003</v>
      </c>
      <c r="AW8" s="46">
        <f>9709021.01+56434.82</f>
        <v>9765455.8300000001</v>
      </c>
      <c r="AX8" s="46">
        <f>10002128.12+61120.41</f>
        <v>10063248.529999999</v>
      </c>
      <c r="AY8" s="46">
        <f>64854.68+10245268.37</f>
        <v>10310123.049999999</v>
      </c>
      <c r="AZ8" s="46">
        <f>69029.51+10511883.99</f>
        <v>10580913.5</v>
      </c>
      <c r="BA8" s="46">
        <f>10511883.99+69029.51</f>
        <v>10580913.5</v>
      </c>
      <c r="BB8" s="46">
        <f>10511883.99+69029.51</f>
        <v>10580913.5</v>
      </c>
      <c r="BC8" s="46">
        <f>10511883.99+69029.51</f>
        <v>10580913.5</v>
      </c>
      <c r="BD8" s="46">
        <f>10511883.99+69029.51</f>
        <v>10580913.5</v>
      </c>
      <c r="BE8" s="46">
        <f>10511883.99+85843.09</f>
        <v>10597727.08</v>
      </c>
      <c r="BF8" s="46">
        <f>10511883.99+105230.49</f>
        <v>10617114.48</v>
      </c>
      <c r="BG8" s="46">
        <f>10511883.99+112015.56</f>
        <v>10623899.550000001</v>
      </c>
      <c r="BH8" s="46">
        <f>10511883.99+118182.79</f>
        <v>10630066.779999999</v>
      </c>
      <c r="BI8" s="46">
        <f>10511883.99+127769.78</f>
        <v>10639653.77</v>
      </c>
      <c r="BJ8" s="46">
        <f>10511883.99+140267.36</f>
        <v>10652151.35</v>
      </c>
      <c r="BK8" s="46">
        <f>10511883.99+150310.67</f>
        <v>10662194.66</v>
      </c>
      <c r="BL8" s="46">
        <f>10511883.99+160806.72</f>
        <v>10672690.710000001</v>
      </c>
      <c r="BM8" s="46">
        <f>10511883.99+170582.68</f>
        <v>10682466.67</v>
      </c>
      <c r="BN8" s="46">
        <f>10511883.99+184110.33</f>
        <v>10695994.32</v>
      </c>
      <c r="BO8" s="46">
        <f>10511883.99+220605.18</f>
        <v>10732489.17</v>
      </c>
      <c r="BP8" s="46">
        <f>10511883.99+268285.15</f>
        <v>10780169.140000001</v>
      </c>
      <c r="BQ8" s="46">
        <f>10511883.99+313573.59</f>
        <v>10825457.58</v>
      </c>
      <c r="BR8" s="46">
        <f>10511883.99+343059.99</f>
        <v>10854943.98</v>
      </c>
      <c r="BS8" s="46">
        <f>10511883.99+354893.28</f>
        <v>10866777.27</v>
      </c>
      <c r="BT8" s="46">
        <f>10511883.99+365267.86</f>
        <v>10877151.85</v>
      </c>
      <c r="BU8" s="46">
        <f>10511883.99+377325.31</f>
        <v>10889209.300000001</v>
      </c>
      <c r="BV8" s="46">
        <f>10511883.99+390150.1</f>
        <v>10902034.09</v>
      </c>
      <c r="BW8" s="46">
        <f t="shared" ref="BW8:CE8" si="11">10511883.99+400480.28</f>
        <v>10912364.27</v>
      </c>
      <c r="BX8" s="46">
        <f t="shared" si="11"/>
        <v>10912364.27</v>
      </c>
      <c r="BY8" s="46">
        <f t="shared" si="11"/>
        <v>10912364.27</v>
      </c>
      <c r="BZ8" s="46">
        <f t="shared" si="11"/>
        <v>10912364.27</v>
      </c>
      <c r="CA8" s="46">
        <f t="shared" si="11"/>
        <v>10912364.27</v>
      </c>
      <c r="CB8" s="46">
        <f t="shared" si="11"/>
        <v>10912364.27</v>
      </c>
      <c r="CC8" s="46">
        <f t="shared" si="11"/>
        <v>10912364.27</v>
      </c>
      <c r="CD8" s="46">
        <f t="shared" si="11"/>
        <v>10912364.27</v>
      </c>
      <c r="CE8" s="46">
        <f t="shared" si="11"/>
        <v>10912364.27</v>
      </c>
      <c r="CF8" s="133">
        <f t="shared" si="9"/>
        <v>10912364.27</v>
      </c>
      <c r="CG8" s="133">
        <f t="shared" si="9"/>
        <v>10912364.27</v>
      </c>
      <c r="CH8" s="133">
        <f t="shared" si="9"/>
        <v>10912364.27</v>
      </c>
      <c r="CI8" s="133">
        <f t="shared" si="9"/>
        <v>10912364.27</v>
      </c>
      <c r="CJ8" s="133">
        <f t="shared" si="9"/>
        <v>10912364.27</v>
      </c>
      <c r="CK8" s="133">
        <f t="shared" si="9"/>
        <v>10912364.27</v>
      </c>
      <c r="CL8" s="133">
        <f t="shared" si="9"/>
        <v>10912364.27</v>
      </c>
      <c r="CM8" s="133">
        <f t="shared" si="9"/>
        <v>10912364.27</v>
      </c>
      <c r="CN8" s="133">
        <f t="shared" si="9"/>
        <v>10912364.27</v>
      </c>
      <c r="CO8" s="133">
        <f t="shared" si="9"/>
        <v>10912364.27</v>
      </c>
      <c r="CP8" s="133">
        <f t="shared" si="9"/>
        <v>10912364.27</v>
      </c>
      <c r="CQ8" s="133">
        <f t="shared" si="9"/>
        <v>10912364.27</v>
      </c>
      <c r="CR8" s="133">
        <f t="shared" si="9"/>
        <v>10912364.27</v>
      </c>
      <c r="CS8" s="133">
        <f t="shared" si="9"/>
        <v>10912364.27</v>
      </c>
      <c r="CT8" s="133">
        <f t="shared" si="6"/>
        <v>10912364.27</v>
      </c>
    </row>
    <row r="9" spans="1:98" x14ac:dyDescent="0.35">
      <c r="A9" s="40" t="s">
        <v>37</v>
      </c>
      <c r="B9" s="41"/>
      <c r="C9" s="41"/>
      <c r="D9" s="45">
        <v>0</v>
      </c>
      <c r="E9" s="45">
        <v>0</v>
      </c>
      <c r="F9" s="45">
        <v>0</v>
      </c>
      <c r="G9" s="45">
        <v>0</v>
      </c>
      <c r="H9" s="45">
        <v>360.22</v>
      </c>
      <c r="I9" s="45">
        <v>1610.72</v>
      </c>
      <c r="J9" s="45">
        <v>3708.44</v>
      </c>
      <c r="K9" s="45">
        <v>5556.58</v>
      </c>
      <c r="L9" s="45">
        <v>7842.59</v>
      </c>
      <c r="M9" s="45">
        <v>10918.86</v>
      </c>
      <c r="N9" s="45">
        <v>16615.46</v>
      </c>
      <c r="O9" s="45">
        <v>22758.07</v>
      </c>
      <c r="P9" s="45">
        <v>31593.03</v>
      </c>
      <c r="Q9" s="45">
        <v>39281.5</v>
      </c>
      <c r="R9" s="45">
        <v>50126.66</v>
      </c>
      <c r="S9" s="45">
        <v>70160.39</v>
      </c>
      <c r="T9" s="45">
        <v>99498.43</v>
      </c>
      <c r="U9" s="45">
        <v>125723.48999999999</v>
      </c>
      <c r="V9" s="45">
        <v>151515.57</v>
      </c>
      <c r="W9" s="46">
        <v>170427.22</v>
      </c>
      <c r="X9" s="46">
        <v>188562.65</v>
      </c>
      <c r="Y9" s="46">
        <v>208655.59</v>
      </c>
      <c r="Z9" s="46">
        <v>231472.88999999998</v>
      </c>
      <c r="AA9" s="46">
        <v>251997.65999999997</v>
      </c>
      <c r="AB9" s="46">
        <v>274863.21999999997</v>
      </c>
      <c r="AC9" s="46">
        <v>298818.81999999995</v>
      </c>
      <c r="AD9" s="46">
        <v>331875.56999999995</v>
      </c>
      <c r="AE9" s="46">
        <v>404071.67999999993</v>
      </c>
      <c r="AF9" s="46">
        <v>500160.08999999997</v>
      </c>
      <c r="AG9" s="46">
        <v>581014.66999999993</v>
      </c>
      <c r="AH9" s="46">
        <v>646771.12999999989</v>
      </c>
      <c r="AI9" s="46">
        <v>682335.71999999986</v>
      </c>
      <c r="AJ9" s="46">
        <v>715657.68999999983</v>
      </c>
      <c r="AK9" s="46">
        <v>756057.14999999979</v>
      </c>
      <c r="AL9" s="46">
        <v>803044.9099999998</v>
      </c>
      <c r="AM9" s="46">
        <v>847067.0299999998</v>
      </c>
      <c r="AN9" s="46">
        <v>906643.35999999987</v>
      </c>
      <c r="AO9" s="46">
        <v>960281.54999999981</v>
      </c>
      <c r="AP9" s="46">
        <v>1023538.6499999997</v>
      </c>
      <c r="AQ9" s="46">
        <v>1212863.4699999997</v>
      </c>
      <c r="AR9" s="46">
        <v>1467669.6399999997</v>
      </c>
      <c r="AS9" s="46">
        <v>1693254.0199999996</v>
      </c>
      <c r="AT9" s="46">
        <v>1837329.1699999995</v>
      </c>
      <c r="AU9" s="46">
        <f>1898561.58+190.94</f>
        <v>1898752.52</v>
      </c>
      <c r="AV9" s="46">
        <f>495.42+1951906.31</f>
        <v>1952401.73</v>
      </c>
      <c r="AW9" s="46">
        <f>2005628.02+817.44</f>
        <v>2006445.46</v>
      </c>
      <c r="AX9" s="46">
        <f>2064005.66+1163.45</f>
        <v>2065169.1099999999</v>
      </c>
      <c r="AY9" s="46">
        <f>1454.53+2116249.21</f>
        <v>2117703.7399999998</v>
      </c>
      <c r="AZ9" s="46">
        <f>1758.71+2169137.42</f>
        <v>2170896.13</v>
      </c>
      <c r="BA9" s="46">
        <f t="shared" ref="BA9:BF9" si="12">2169137.42+1758.71</f>
        <v>2170896.13</v>
      </c>
      <c r="BB9" s="46">
        <f t="shared" si="12"/>
        <v>2170896.13</v>
      </c>
      <c r="BC9" s="46">
        <f t="shared" si="12"/>
        <v>2170896.13</v>
      </c>
      <c r="BD9" s="46">
        <f t="shared" si="12"/>
        <v>2170896.13</v>
      </c>
      <c r="BE9" s="46">
        <f t="shared" si="12"/>
        <v>2170896.13</v>
      </c>
      <c r="BF9" s="46">
        <f t="shared" si="12"/>
        <v>2170896.13</v>
      </c>
      <c r="BG9" s="46">
        <f t="shared" ref="BG9:BL9" si="13">2169137.42+1758.71</f>
        <v>2170896.13</v>
      </c>
      <c r="BH9" s="46">
        <f t="shared" si="13"/>
        <v>2170896.13</v>
      </c>
      <c r="BI9" s="46">
        <f t="shared" si="13"/>
        <v>2170896.13</v>
      </c>
      <c r="BJ9" s="46">
        <f t="shared" si="13"/>
        <v>2170896.13</v>
      </c>
      <c r="BK9" s="46">
        <f t="shared" si="13"/>
        <v>2170896.13</v>
      </c>
      <c r="BL9" s="46">
        <f t="shared" si="13"/>
        <v>2170896.13</v>
      </c>
      <c r="BM9" s="46">
        <f>2169137.42+1758.71</f>
        <v>2170896.13</v>
      </c>
      <c r="BN9" s="46">
        <f>2169137.42+1758.71</f>
        <v>2170896.13</v>
      </c>
      <c r="BO9" s="46">
        <f>2169137.42+1758.71</f>
        <v>2170896.13</v>
      </c>
      <c r="BP9" s="46">
        <f>2169137.42+1758.71</f>
        <v>2170896.13</v>
      </c>
      <c r="BQ9" s="46">
        <f>2169137.42+1657.56</f>
        <v>2170794.98</v>
      </c>
      <c r="BR9" s="46">
        <f>2169137.42+1549.4</f>
        <v>2170686.8199999998</v>
      </c>
      <c r="BS9" s="46">
        <f>2169137.42+1481.88</f>
        <v>2170619.2999999998</v>
      </c>
      <c r="BT9" s="46">
        <f>2169137.42+1427.69</f>
        <v>2170565.11</v>
      </c>
      <c r="BU9" s="46">
        <f>2169137.42+1371.11</f>
        <v>2170508.5299999998</v>
      </c>
      <c r="BV9" s="46">
        <f>2169137.42+1309.93</f>
        <v>2170447.35</v>
      </c>
      <c r="BW9" s="46">
        <f t="shared" ref="BW9:CE9" si="14">2169137.42+1258.46</f>
        <v>2170395.88</v>
      </c>
      <c r="BX9" s="46">
        <f t="shared" si="14"/>
        <v>2170395.88</v>
      </c>
      <c r="BY9" s="46">
        <f t="shared" si="14"/>
        <v>2170395.88</v>
      </c>
      <c r="BZ9" s="46">
        <f t="shared" si="14"/>
        <v>2170395.88</v>
      </c>
      <c r="CA9" s="46">
        <f t="shared" si="14"/>
        <v>2170395.88</v>
      </c>
      <c r="CB9" s="46">
        <f t="shared" si="14"/>
        <v>2170395.88</v>
      </c>
      <c r="CC9" s="46">
        <f t="shared" si="14"/>
        <v>2170395.88</v>
      </c>
      <c r="CD9" s="46">
        <f t="shared" si="14"/>
        <v>2170395.88</v>
      </c>
      <c r="CE9" s="46">
        <f t="shared" si="14"/>
        <v>2170395.88</v>
      </c>
      <c r="CF9" s="133">
        <f t="shared" si="9"/>
        <v>2170395.88</v>
      </c>
      <c r="CG9" s="133">
        <f t="shared" si="9"/>
        <v>2170395.88</v>
      </c>
      <c r="CH9" s="133">
        <f t="shared" si="9"/>
        <v>2170395.88</v>
      </c>
      <c r="CI9" s="133">
        <f t="shared" si="9"/>
        <v>2170395.88</v>
      </c>
      <c r="CJ9" s="133">
        <f t="shared" si="9"/>
        <v>2170395.88</v>
      </c>
      <c r="CK9" s="133">
        <f t="shared" si="9"/>
        <v>2170395.88</v>
      </c>
      <c r="CL9" s="133">
        <f t="shared" si="9"/>
        <v>2170395.88</v>
      </c>
      <c r="CM9" s="133">
        <f t="shared" si="9"/>
        <v>2170395.88</v>
      </c>
      <c r="CN9" s="133">
        <f t="shared" si="9"/>
        <v>2170395.88</v>
      </c>
      <c r="CO9" s="133">
        <f t="shared" si="9"/>
        <v>2170395.88</v>
      </c>
      <c r="CP9" s="133">
        <f t="shared" si="9"/>
        <v>2170395.88</v>
      </c>
      <c r="CQ9" s="133">
        <f t="shared" si="9"/>
        <v>2170395.88</v>
      </c>
      <c r="CR9" s="133">
        <f t="shared" si="9"/>
        <v>2170395.88</v>
      </c>
      <c r="CS9" s="133">
        <f t="shared" si="9"/>
        <v>2170395.88</v>
      </c>
      <c r="CT9" s="133">
        <f t="shared" si="6"/>
        <v>2170395.88</v>
      </c>
    </row>
    <row r="10" spans="1:98" x14ac:dyDescent="0.35">
      <c r="A10" s="40" t="s">
        <v>29</v>
      </c>
      <c r="B10" s="41"/>
      <c r="C10" s="41"/>
      <c r="D10" s="45">
        <v>0</v>
      </c>
      <c r="E10" s="45">
        <v>0</v>
      </c>
      <c r="F10" s="45">
        <v>0</v>
      </c>
      <c r="G10" s="45">
        <v>0</v>
      </c>
      <c r="H10" s="45">
        <v>0</v>
      </c>
      <c r="I10" s="45">
        <v>1938.36</v>
      </c>
      <c r="J10" s="45">
        <v>4471.67</v>
      </c>
      <c r="K10" s="45">
        <v>5196.7299999999996</v>
      </c>
      <c r="L10" s="45">
        <v>6862.23</v>
      </c>
      <c r="M10" s="45">
        <v>10267.16</v>
      </c>
      <c r="N10" s="45">
        <v>14971.71</v>
      </c>
      <c r="O10" s="45">
        <v>19986.64</v>
      </c>
      <c r="P10" s="45">
        <v>24761.3</v>
      </c>
      <c r="Q10" s="45">
        <v>35353.409999999996</v>
      </c>
      <c r="R10" s="45">
        <v>37586.060000000005</v>
      </c>
      <c r="S10" s="45">
        <v>49965.19000000001</v>
      </c>
      <c r="T10" s="45">
        <f>S10</f>
        <v>49965.19000000001</v>
      </c>
      <c r="U10" s="45">
        <v>79271.760000000009</v>
      </c>
      <c r="V10" s="45">
        <v>98032.219999999987</v>
      </c>
      <c r="W10" s="46">
        <v>106584.77999999998</v>
      </c>
      <c r="X10" s="46">
        <v>118285.69999999998</v>
      </c>
      <c r="Y10" s="46">
        <v>131572.22999999998</v>
      </c>
      <c r="Z10" s="46">
        <v>161846.31999999998</v>
      </c>
      <c r="AA10" s="46">
        <v>190951.01</v>
      </c>
      <c r="AB10" s="46">
        <v>213429.63</v>
      </c>
      <c r="AC10" s="46">
        <v>246557.09999999998</v>
      </c>
      <c r="AD10" s="46">
        <v>271769.84999999998</v>
      </c>
      <c r="AE10" s="46">
        <v>331308.89999999997</v>
      </c>
      <c r="AF10" s="46">
        <v>412191.51</v>
      </c>
      <c r="AG10" s="46">
        <v>493335.19</v>
      </c>
      <c r="AH10" s="46">
        <v>559581.99</v>
      </c>
      <c r="AI10" s="46">
        <v>595007.44000000006</v>
      </c>
      <c r="AJ10" s="46">
        <v>634031.60000000009</v>
      </c>
      <c r="AK10" s="46">
        <v>682284.17</v>
      </c>
      <c r="AL10" s="46">
        <v>734097.55</v>
      </c>
      <c r="AM10" s="46">
        <v>781994.41999999993</v>
      </c>
      <c r="AN10" s="46">
        <v>837841.06999999983</v>
      </c>
      <c r="AO10" s="46">
        <v>888476.94</v>
      </c>
      <c r="AP10" s="46">
        <v>942837.01</v>
      </c>
      <c r="AQ10" s="46">
        <v>1071794.97</v>
      </c>
      <c r="AR10" s="46">
        <v>1230408.1299999999</v>
      </c>
      <c r="AS10" s="46">
        <v>1372751.47</v>
      </c>
      <c r="AT10" s="46">
        <v>1487367.92</v>
      </c>
      <c r="AU10" s="122">
        <f>1535636.39+0</f>
        <v>1535636.39</v>
      </c>
      <c r="AV10" s="46">
        <f>0+1583004.44</f>
        <v>1583004.44</v>
      </c>
      <c r="AW10" s="46">
        <f>1658816.51+0</f>
        <v>1658816.51</v>
      </c>
      <c r="AX10" s="46">
        <f>1720936.64+0</f>
        <v>1720936.64</v>
      </c>
      <c r="AY10" s="46">
        <f>0+1772288.01</f>
        <v>1772288.01</v>
      </c>
      <c r="AZ10" s="46">
        <f>0+1825448.58</f>
        <v>1825448.58</v>
      </c>
      <c r="BA10" s="46">
        <f>1825448.58+0</f>
        <v>1825448.58</v>
      </c>
      <c r="BB10" s="46">
        <f t="shared" ref="BB10:BG10" si="15">1822821.1+0</f>
        <v>1822821.1</v>
      </c>
      <c r="BC10" s="46">
        <f t="shared" si="15"/>
        <v>1822821.1</v>
      </c>
      <c r="BD10" s="46">
        <f t="shared" si="15"/>
        <v>1822821.1</v>
      </c>
      <c r="BE10" s="46">
        <f t="shared" si="15"/>
        <v>1822821.1</v>
      </c>
      <c r="BF10" s="46">
        <f t="shared" si="15"/>
        <v>1822821.1</v>
      </c>
      <c r="BG10" s="46">
        <f t="shared" si="15"/>
        <v>1822821.1</v>
      </c>
      <c r="BH10" s="46">
        <f t="shared" ref="BH10:BM10" si="16">1822821.1+0</f>
        <v>1822821.1</v>
      </c>
      <c r="BI10" s="46">
        <f t="shared" si="16"/>
        <v>1822821.1</v>
      </c>
      <c r="BJ10" s="46">
        <f t="shared" si="16"/>
        <v>1822821.1</v>
      </c>
      <c r="BK10" s="46">
        <f t="shared" si="16"/>
        <v>1822821.1</v>
      </c>
      <c r="BL10" s="46">
        <f t="shared" si="16"/>
        <v>1822821.1</v>
      </c>
      <c r="BM10" s="46">
        <f t="shared" si="16"/>
        <v>1822821.1</v>
      </c>
      <c r="BN10" s="46">
        <f t="shared" ref="BN10:BR10" si="17">1822821.1+0</f>
        <v>1822821.1</v>
      </c>
      <c r="BO10" s="46">
        <f t="shared" si="17"/>
        <v>1822821.1</v>
      </c>
      <c r="BP10" s="46">
        <f t="shared" si="17"/>
        <v>1822821.1</v>
      </c>
      <c r="BQ10" s="46">
        <f t="shared" si="17"/>
        <v>1822821.1</v>
      </c>
      <c r="BR10" s="46">
        <f t="shared" si="17"/>
        <v>1822821.1</v>
      </c>
      <c r="BS10" s="46">
        <f t="shared" ref="BS10:BW10" si="18">1822821.1+0</f>
        <v>1822821.1</v>
      </c>
      <c r="BT10" s="46">
        <f t="shared" si="18"/>
        <v>1822821.1</v>
      </c>
      <c r="BU10" s="46">
        <f t="shared" si="18"/>
        <v>1822821.1</v>
      </c>
      <c r="BV10" s="46">
        <f t="shared" si="18"/>
        <v>1822821.1</v>
      </c>
      <c r="BW10" s="46">
        <f t="shared" si="18"/>
        <v>1822821.1</v>
      </c>
      <c r="BX10" s="46">
        <f t="shared" ref="BX10:CE10" si="19">1822821.1+0</f>
        <v>1822821.1</v>
      </c>
      <c r="BY10" s="46">
        <f t="shared" si="19"/>
        <v>1822821.1</v>
      </c>
      <c r="BZ10" s="46">
        <f t="shared" si="19"/>
        <v>1822821.1</v>
      </c>
      <c r="CA10" s="46">
        <f t="shared" si="19"/>
        <v>1822821.1</v>
      </c>
      <c r="CB10" s="46">
        <f t="shared" si="19"/>
        <v>1822821.1</v>
      </c>
      <c r="CC10" s="46">
        <f t="shared" si="19"/>
        <v>1822821.1</v>
      </c>
      <c r="CD10" s="46">
        <f t="shared" si="19"/>
        <v>1822821.1</v>
      </c>
      <c r="CE10" s="46">
        <f t="shared" si="19"/>
        <v>1822821.1</v>
      </c>
      <c r="CF10" s="133">
        <f>CE10+CF19</f>
        <v>1822821.1</v>
      </c>
      <c r="CG10" s="133">
        <f t="shared" si="9"/>
        <v>1822821.1</v>
      </c>
      <c r="CH10" s="133">
        <f t="shared" si="9"/>
        <v>1822821.1</v>
      </c>
      <c r="CI10" s="133">
        <f t="shared" si="9"/>
        <v>1822821.1</v>
      </c>
      <c r="CJ10" s="133">
        <f t="shared" si="9"/>
        <v>1822821.1</v>
      </c>
      <c r="CK10" s="133">
        <f t="shared" si="9"/>
        <v>1822821.1</v>
      </c>
      <c r="CL10" s="133">
        <f t="shared" si="9"/>
        <v>1822821.1</v>
      </c>
      <c r="CM10" s="133">
        <f>CL10+CM19</f>
        <v>1822821.1</v>
      </c>
      <c r="CN10" s="133">
        <f t="shared" si="9"/>
        <v>1822821.1</v>
      </c>
      <c r="CO10" s="133">
        <f t="shared" si="9"/>
        <v>1822821.1</v>
      </c>
      <c r="CP10" s="133">
        <f t="shared" si="9"/>
        <v>1822821.1</v>
      </c>
      <c r="CQ10" s="133">
        <f t="shared" si="9"/>
        <v>1822821.1</v>
      </c>
      <c r="CR10" s="133">
        <f t="shared" si="9"/>
        <v>1822821.1</v>
      </c>
      <c r="CS10" s="133">
        <f t="shared" si="9"/>
        <v>1822821.1</v>
      </c>
      <c r="CT10" s="133">
        <f t="shared" si="6"/>
        <v>1822821.1</v>
      </c>
    </row>
    <row r="11" spans="1:98" x14ac:dyDescent="0.35">
      <c r="A11" s="35" t="s">
        <v>31</v>
      </c>
      <c r="B11" s="33"/>
      <c r="C11" s="33"/>
      <c r="D11" s="48">
        <f>SUM(D5:D10)</f>
        <v>0</v>
      </c>
      <c r="E11" s="48">
        <f t="shared" ref="E11:AW11" si="20">SUM(E5:E10)</f>
        <v>1328.78</v>
      </c>
      <c r="F11" s="48">
        <f t="shared" si="20"/>
        <v>10855.31</v>
      </c>
      <c r="G11" s="48">
        <f t="shared" si="20"/>
        <v>142755.74000000002</v>
      </c>
      <c r="H11" s="48">
        <f t="shared" si="20"/>
        <v>438755.29</v>
      </c>
      <c r="I11" s="48">
        <f t="shared" si="20"/>
        <v>864309.08999999985</v>
      </c>
      <c r="J11" s="48">
        <f t="shared" si="20"/>
        <v>1622828.7399999998</v>
      </c>
      <c r="K11" s="48">
        <f t="shared" si="20"/>
        <v>1822179.47</v>
      </c>
      <c r="L11" s="48">
        <f t="shared" si="20"/>
        <v>2101287.8199999998</v>
      </c>
      <c r="M11" s="48">
        <f t="shared" si="20"/>
        <v>2539595.4700000002</v>
      </c>
      <c r="N11" s="48">
        <f t="shared" si="20"/>
        <v>3049256.3499999996</v>
      </c>
      <c r="O11" s="48">
        <f t="shared" si="20"/>
        <v>3535457.8400000003</v>
      </c>
      <c r="P11" s="48">
        <f t="shared" si="20"/>
        <v>4050297.1999999997</v>
      </c>
      <c r="Q11" s="48">
        <f t="shared" si="20"/>
        <v>4362993.05</v>
      </c>
      <c r="R11" s="48">
        <f t="shared" si="20"/>
        <v>4755467.2999999989</v>
      </c>
      <c r="S11" s="48">
        <f t="shared" si="20"/>
        <v>6104315.6600000001</v>
      </c>
      <c r="T11" s="48">
        <f t="shared" si="20"/>
        <v>8063085.7299999995</v>
      </c>
      <c r="U11" s="48">
        <f t="shared" si="20"/>
        <v>10182437.92</v>
      </c>
      <c r="V11" s="48">
        <f t="shared" si="20"/>
        <v>11835443.359999999</v>
      </c>
      <c r="W11" s="48">
        <f t="shared" si="20"/>
        <v>12586081.24</v>
      </c>
      <c r="X11" s="48">
        <f t="shared" si="20"/>
        <v>13411133.349999998</v>
      </c>
      <c r="Y11" s="48">
        <f t="shared" si="20"/>
        <v>14508235.33</v>
      </c>
      <c r="Z11" s="48">
        <f t="shared" si="20"/>
        <v>15741662.74</v>
      </c>
      <c r="AA11" s="48">
        <f t="shared" si="20"/>
        <v>16804401.32</v>
      </c>
      <c r="AB11" s="48">
        <f t="shared" si="20"/>
        <v>17920859.009999998</v>
      </c>
      <c r="AC11" s="48">
        <f t="shared" si="20"/>
        <v>18880652.490000002</v>
      </c>
      <c r="AD11" s="48">
        <f t="shared" si="20"/>
        <v>20304883.590000004</v>
      </c>
      <c r="AE11" s="48">
        <f t="shared" si="20"/>
        <v>24109452.829999998</v>
      </c>
      <c r="AF11" s="48">
        <f t="shared" si="20"/>
        <v>29222202.420000002</v>
      </c>
      <c r="AG11" s="48">
        <f t="shared" si="20"/>
        <v>33936069.969999999</v>
      </c>
      <c r="AH11" s="48">
        <f t="shared" si="20"/>
        <v>37534409.930000007</v>
      </c>
      <c r="AI11" s="48">
        <f t="shared" si="20"/>
        <v>39248935.469999999</v>
      </c>
      <c r="AJ11" s="48">
        <f t="shared" si="20"/>
        <v>40820356.719999999</v>
      </c>
      <c r="AK11" s="48">
        <f t="shared" si="20"/>
        <v>42739876.649999999</v>
      </c>
      <c r="AL11" s="48">
        <f t="shared" si="20"/>
        <v>44800311.419999987</v>
      </c>
      <c r="AM11" s="48">
        <f t="shared" si="20"/>
        <v>46599938.740000002</v>
      </c>
      <c r="AN11" s="48">
        <f t="shared" si="20"/>
        <v>48912530.510000005</v>
      </c>
      <c r="AO11" s="48">
        <f t="shared" si="20"/>
        <v>51022444.509999998</v>
      </c>
      <c r="AP11" s="48">
        <f t="shared" si="20"/>
        <v>52910430.469999999</v>
      </c>
      <c r="AQ11" s="48">
        <f t="shared" si="20"/>
        <v>59034225.109999999</v>
      </c>
      <c r="AR11" s="48">
        <f t="shared" si="20"/>
        <v>66409536.900000006</v>
      </c>
      <c r="AS11" s="48">
        <f t="shared" si="20"/>
        <v>73378809.11999999</v>
      </c>
      <c r="AT11" s="48">
        <f t="shared" si="20"/>
        <v>78504096.609999999</v>
      </c>
      <c r="AU11" s="48">
        <f t="shared" si="20"/>
        <v>80727405.609999999</v>
      </c>
      <c r="AV11" s="48">
        <f t="shared" si="20"/>
        <v>82805801.339999989</v>
      </c>
      <c r="AW11" s="48">
        <f t="shared" si="20"/>
        <v>85034536.019999996</v>
      </c>
      <c r="AX11" s="48">
        <f t="shared" ref="AX11:AY11" si="21">SUM(AX5:AX10)</f>
        <v>87404383.969999999</v>
      </c>
      <c r="AY11" s="48">
        <f t="shared" si="21"/>
        <v>87621939.359999999</v>
      </c>
      <c r="AZ11" s="48">
        <f t="shared" ref="AZ11:BA11" si="22">SUM(AZ5:AZ10)</f>
        <v>89562112.209999993</v>
      </c>
      <c r="BA11" s="48">
        <f t="shared" si="22"/>
        <v>89564398.519999996</v>
      </c>
      <c r="BB11" s="48">
        <f t="shared" ref="BB11:BC11" si="23">SUM(BB5:BB10)</f>
        <v>89564431.909999982</v>
      </c>
      <c r="BC11" s="48">
        <f t="shared" si="23"/>
        <v>89576655.219999984</v>
      </c>
      <c r="BD11" s="48">
        <f t="shared" ref="BD11:BE11" si="24">SUM(BD5:BD10)</f>
        <v>89599508.399999976</v>
      </c>
      <c r="BE11" s="48">
        <f t="shared" si="24"/>
        <v>89636862.249999985</v>
      </c>
      <c r="BF11" s="48">
        <f t="shared" ref="BF11:BG11" si="25">SUM(BF5:BF10)</f>
        <v>89671271.859999985</v>
      </c>
      <c r="BG11" s="48">
        <f t="shared" si="25"/>
        <v>89684768.019999981</v>
      </c>
      <c r="BH11" s="48">
        <f t="shared" ref="BH11:BI11" si="26">SUM(BH5:BH10)</f>
        <v>89697638.089999989</v>
      </c>
      <c r="BI11" s="48">
        <f t="shared" si="26"/>
        <v>89715352.119999975</v>
      </c>
      <c r="BJ11" s="48">
        <f t="shared" ref="BJ11:BK11" si="27">SUM(BJ5:BJ10)</f>
        <v>89736178.99999997</v>
      </c>
      <c r="BK11" s="48">
        <f t="shared" si="27"/>
        <v>89755278.219999984</v>
      </c>
      <c r="BL11" s="48">
        <f t="shared" ref="BL11:BM11" si="28">SUM(BL5:BL10)</f>
        <v>89776699.679999977</v>
      </c>
      <c r="BM11" s="48">
        <f t="shared" si="28"/>
        <v>89795868.059999987</v>
      </c>
      <c r="BN11" s="48">
        <f t="shared" ref="BN11:BO11" si="29">SUM(BN5:BN10)</f>
        <v>89821333.149999976</v>
      </c>
      <c r="BO11" s="48">
        <f t="shared" si="29"/>
        <v>89891693.699999988</v>
      </c>
      <c r="BP11" s="48">
        <f t="shared" ref="BP11:BQ11" si="30">SUM(BP5:BP10)</f>
        <v>89982895.839999989</v>
      </c>
      <c r="BQ11" s="48">
        <f t="shared" si="30"/>
        <v>90067395.079999983</v>
      </c>
      <c r="BR11" s="48">
        <f t="shared" ref="BR11:BS11" si="31">SUM(BR5:BR10)</f>
        <v>90121346.929999992</v>
      </c>
      <c r="BS11" s="48">
        <f t="shared" si="31"/>
        <v>90143258.039999992</v>
      </c>
      <c r="BT11" s="48">
        <f t="shared" ref="BT11:BU11" si="32">SUM(BT5:BT10)</f>
        <v>90163884.11999999</v>
      </c>
      <c r="BU11" s="48">
        <f t="shared" si="32"/>
        <v>90188659.419999987</v>
      </c>
      <c r="BV11" s="48">
        <f t="shared" ref="BV11:BW11" si="33">SUM(BV5:BV10)</f>
        <v>90214489.439999983</v>
      </c>
      <c r="BW11" s="48">
        <f t="shared" si="33"/>
        <v>90235713.329999983</v>
      </c>
      <c r="BX11" s="48">
        <f t="shared" ref="BX11:BY11" si="34">SUM(BX5:BX10)</f>
        <v>90235713.329999983</v>
      </c>
      <c r="BY11" s="48">
        <f t="shared" si="34"/>
        <v>90235713.329999983</v>
      </c>
      <c r="BZ11" s="48">
        <f t="shared" ref="BZ11:CA11" si="35">SUM(BZ5:BZ10)</f>
        <v>90235713.329999983</v>
      </c>
      <c r="CA11" s="48">
        <f t="shared" si="35"/>
        <v>90235713.329999983</v>
      </c>
      <c r="CB11" s="48">
        <f t="shared" ref="CB11:CC11" si="36">SUM(CB5:CB10)</f>
        <v>90235713.329999983</v>
      </c>
      <c r="CC11" s="48">
        <f t="shared" si="36"/>
        <v>90235713.329999983</v>
      </c>
      <c r="CD11" s="48">
        <f t="shared" ref="CD11:CE11" si="37">SUM(CD5:CD10)</f>
        <v>90235713.329999983</v>
      </c>
      <c r="CE11" s="48">
        <f t="shared" si="37"/>
        <v>90235713.329999983</v>
      </c>
      <c r="CF11" s="48">
        <f t="shared" ref="CF11:CG11" si="38">SUM(CF5:CF10)</f>
        <v>90235713.329999983</v>
      </c>
      <c r="CG11" s="48">
        <f t="shared" si="38"/>
        <v>90235713.329999983</v>
      </c>
      <c r="CH11" s="48">
        <f t="shared" ref="CH11:CI11" si="39">SUM(CH5:CH10)</f>
        <v>90235713.329999983</v>
      </c>
      <c r="CI11" s="48">
        <f t="shared" si="39"/>
        <v>90235713.329999983</v>
      </c>
      <c r="CJ11" s="48">
        <f t="shared" ref="CJ11:CK11" si="40">SUM(CJ5:CJ10)</f>
        <v>90235713.329999983</v>
      </c>
      <c r="CK11" s="48">
        <f t="shared" si="40"/>
        <v>90235713.329999983</v>
      </c>
      <c r="CL11" s="48">
        <f t="shared" ref="CL11:CM11" si="41">SUM(CL5:CL10)</f>
        <v>90235713.329999983</v>
      </c>
      <c r="CM11" s="48">
        <f t="shared" si="41"/>
        <v>90235713.329999983</v>
      </c>
      <c r="CN11" s="48">
        <f t="shared" ref="CN11:CO11" si="42">SUM(CN5:CN10)</f>
        <v>90235713.329999983</v>
      </c>
      <c r="CO11" s="48">
        <f t="shared" si="42"/>
        <v>90235713.329999983</v>
      </c>
      <c r="CP11" s="48">
        <f t="shared" ref="CP11:CQ11" si="43">SUM(CP5:CP10)</f>
        <v>90235713.329999983</v>
      </c>
      <c r="CQ11" s="48">
        <f t="shared" si="43"/>
        <v>90235713.329999983</v>
      </c>
      <c r="CR11" s="48">
        <f t="shared" ref="CR11:CS11" si="44">SUM(CR5:CR10)</f>
        <v>90235713.329999983</v>
      </c>
      <c r="CS11" s="48">
        <f t="shared" si="44"/>
        <v>90235713.329999983</v>
      </c>
      <c r="CT11" s="48">
        <f>SUM(CT5:CT10)</f>
        <v>90235713.329999983</v>
      </c>
    </row>
    <row r="12" spans="1:98" x14ac:dyDescent="0.35">
      <c r="B12" s="41"/>
      <c r="C12" s="41"/>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row>
    <row r="13" spans="1:98" x14ac:dyDescent="0.35">
      <c r="A13" s="137" t="s">
        <v>39</v>
      </c>
      <c r="B13" s="41"/>
      <c r="C13" s="41"/>
      <c r="D13" s="49"/>
      <c r="E13" s="49"/>
      <c r="F13" s="49"/>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250" t="s">
        <v>123</v>
      </c>
      <c r="CG13" s="49"/>
      <c r="CH13" s="49"/>
      <c r="CI13" s="49"/>
      <c r="CJ13" s="49"/>
      <c r="CK13" s="49"/>
      <c r="CL13" s="49"/>
      <c r="CM13" s="49"/>
      <c r="CN13" s="49"/>
      <c r="CO13" s="49"/>
      <c r="CP13" s="49"/>
      <c r="CQ13" s="49"/>
      <c r="CR13" s="49"/>
      <c r="CS13" s="49"/>
      <c r="CT13" s="49"/>
    </row>
    <row r="14" spans="1:98" x14ac:dyDescent="0.35">
      <c r="A14" s="42" t="s">
        <v>33</v>
      </c>
      <c r="B14" s="41"/>
      <c r="C14" s="41"/>
      <c r="D14" s="49">
        <f>D5-C5</f>
        <v>0</v>
      </c>
      <c r="E14" s="49">
        <f>IF(E5="","",E5-D5)</f>
        <v>1328.78</v>
      </c>
      <c r="F14" s="49">
        <f>IF(F5="","",F5-E5)</f>
        <v>9526.5299999999988</v>
      </c>
      <c r="G14" s="49">
        <f t="shared" ref="F14:AY19" si="45">IF(G5="","",G5-F5)</f>
        <v>120352.88</v>
      </c>
      <c r="H14" s="49">
        <f t="shared" si="45"/>
        <v>256080.65000000002</v>
      </c>
      <c r="I14" s="49">
        <f t="shared" si="45"/>
        <v>372472.09999999992</v>
      </c>
      <c r="J14" s="49">
        <f t="shared" si="45"/>
        <v>670608.5</v>
      </c>
      <c r="K14" s="49">
        <f t="shared" si="45"/>
        <v>120551.63000000012</v>
      </c>
      <c r="L14" s="49">
        <f t="shared" si="45"/>
        <v>184475.61999999988</v>
      </c>
      <c r="M14" s="49">
        <f t="shared" si="45"/>
        <v>301697.94999999995</v>
      </c>
      <c r="N14" s="49">
        <f t="shared" si="45"/>
        <v>327357.96999999997</v>
      </c>
      <c r="O14" s="49">
        <f t="shared" si="45"/>
        <v>317272.05000000028</v>
      </c>
      <c r="P14" s="49">
        <f t="shared" si="45"/>
        <v>305348.18999999994</v>
      </c>
      <c r="Q14" s="49">
        <f t="shared" si="45"/>
        <v>197792.15999999968</v>
      </c>
      <c r="R14" s="49">
        <f t="shared" si="45"/>
        <v>200664.75999999978</v>
      </c>
      <c r="S14" s="49">
        <f t="shared" si="45"/>
        <v>879022.23000000045</v>
      </c>
      <c r="T14" s="49">
        <f t="shared" si="45"/>
        <v>1282604.3399999999</v>
      </c>
      <c r="U14" s="49">
        <f t="shared" si="45"/>
        <v>1399033.92</v>
      </c>
      <c r="V14" s="49">
        <f t="shared" si="45"/>
        <v>904042.34999999963</v>
      </c>
      <c r="W14" s="49">
        <f t="shared" si="45"/>
        <v>276514.40000000037</v>
      </c>
      <c r="X14" s="49">
        <f>IF(X5="","",X5-W5)</f>
        <v>372792.59999999963</v>
      </c>
      <c r="Y14" s="49">
        <f t="shared" si="45"/>
        <v>559285.05000000075</v>
      </c>
      <c r="Z14" s="49">
        <f t="shared" si="45"/>
        <v>591373.70999999903</v>
      </c>
      <c r="AA14" s="49">
        <f t="shared" si="45"/>
        <v>500836.08000000007</v>
      </c>
      <c r="AB14" s="49">
        <f t="shared" si="45"/>
        <v>462807.17000000179</v>
      </c>
      <c r="AC14" s="49">
        <f t="shared" si="45"/>
        <v>255600.08999999985</v>
      </c>
      <c r="AD14" s="49">
        <f t="shared" si="45"/>
        <v>481507.6799999997</v>
      </c>
      <c r="AE14" s="49">
        <f t="shared" si="45"/>
        <v>1997746.3400000017</v>
      </c>
      <c r="AF14" s="49">
        <f t="shared" si="45"/>
        <v>2714818.1799999997</v>
      </c>
      <c r="AG14" s="49">
        <f t="shared" si="45"/>
        <v>2617480.8900000025</v>
      </c>
      <c r="AH14" s="49">
        <f t="shared" si="45"/>
        <v>1555407.7100000009</v>
      </c>
      <c r="AI14" s="49">
        <f t="shared" si="45"/>
        <v>541370.46999999508</v>
      </c>
      <c r="AJ14" s="49">
        <f t="shared" si="45"/>
        <v>496941.62999999896</v>
      </c>
      <c r="AK14" s="49">
        <f t="shared" si="45"/>
        <v>679510.1799999997</v>
      </c>
      <c r="AL14" s="49">
        <f t="shared" si="45"/>
        <v>678526.77999999747</v>
      </c>
      <c r="AM14" s="49">
        <f t="shared" si="45"/>
        <v>601701.77000000328</v>
      </c>
      <c r="AN14" s="49">
        <f t="shared" si="45"/>
        <v>705045.42000000179</v>
      </c>
      <c r="AO14" s="49">
        <f t="shared" si="45"/>
        <v>557694.19999999925</v>
      </c>
      <c r="AP14" s="49">
        <f t="shared" si="45"/>
        <v>349136.58000000194</v>
      </c>
      <c r="AQ14" s="49">
        <f t="shared" si="45"/>
        <v>2666775.4400000013</v>
      </c>
      <c r="AR14" s="49">
        <f t="shared" si="45"/>
        <v>3013692.8199999966</v>
      </c>
      <c r="AS14" s="49">
        <f t="shared" si="45"/>
        <v>3249975.2600000016</v>
      </c>
      <c r="AT14" s="49">
        <f t="shared" si="45"/>
        <v>1818882.6099999994</v>
      </c>
      <c r="AU14" s="49">
        <f t="shared" si="45"/>
        <v>447413.80999999493</v>
      </c>
      <c r="AV14" s="49">
        <f>IF(AV5="","",AV5-AU5)</f>
        <v>552491.52000000328</v>
      </c>
      <c r="AW14" s="49">
        <f t="shared" si="45"/>
        <v>691219.96000000089</v>
      </c>
      <c r="AX14" s="49">
        <f t="shared" si="45"/>
        <v>699596.14999999851</v>
      </c>
      <c r="AY14" s="49">
        <f t="shared" si="45"/>
        <v>-1127644.9299999997</v>
      </c>
      <c r="AZ14" s="49">
        <f t="shared" ref="AZ14:CE17" si="46">IF(AZ5="","",AZ5-AY5)</f>
        <v>475952.4299999997</v>
      </c>
      <c r="BA14" s="49">
        <f t="shared" ref="BA14:CE14" si="47">IF(BA5="","",BA5-AZ5)</f>
        <v>0</v>
      </c>
      <c r="BB14" s="49">
        <f t="shared" si="47"/>
        <v>0</v>
      </c>
      <c r="BC14" s="49">
        <f t="shared" si="47"/>
        <v>0</v>
      </c>
      <c r="BD14" s="49">
        <f t="shared" si="47"/>
        <v>0</v>
      </c>
      <c r="BE14" s="49">
        <f t="shared" si="47"/>
        <v>0</v>
      </c>
      <c r="BF14" s="49">
        <f t="shared" si="47"/>
        <v>0</v>
      </c>
      <c r="BG14" s="49">
        <f t="shared" si="47"/>
        <v>0</v>
      </c>
      <c r="BH14" s="49">
        <f t="shared" si="47"/>
        <v>0</v>
      </c>
      <c r="BI14" s="49">
        <f t="shared" si="47"/>
        <v>0</v>
      </c>
      <c r="BJ14" s="49">
        <f t="shared" si="47"/>
        <v>0</v>
      </c>
      <c r="BK14" s="49">
        <f t="shared" si="47"/>
        <v>0</v>
      </c>
      <c r="BL14" s="49">
        <f t="shared" si="47"/>
        <v>0</v>
      </c>
      <c r="BM14" s="49">
        <f t="shared" si="47"/>
        <v>0</v>
      </c>
      <c r="BN14" s="49">
        <f t="shared" si="47"/>
        <v>0</v>
      </c>
      <c r="BO14" s="49">
        <f t="shared" si="47"/>
        <v>0</v>
      </c>
      <c r="BP14" s="49">
        <f t="shared" si="47"/>
        <v>0</v>
      </c>
      <c r="BQ14" s="49">
        <f t="shared" si="47"/>
        <v>0</v>
      </c>
      <c r="BR14" s="49">
        <f t="shared" si="47"/>
        <v>0</v>
      </c>
      <c r="BS14" s="49">
        <f t="shared" si="47"/>
        <v>0</v>
      </c>
      <c r="BT14" s="49">
        <f t="shared" si="47"/>
        <v>0</v>
      </c>
      <c r="BU14" s="49">
        <f t="shared" si="47"/>
        <v>0</v>
      </c>
      <c r="BV14" s="49">
        <f t="shared" si="47"/>
        <v>0</v>
      </c>
      <c r="BW14" s="49">
        <f t="shared" si="47"/>
        <v>0</v>
      </c>
      <c r="BX14" s="49">
        <f t="shared" si="47"/>
        <v>0</v>
      </c>
      <c r="BY14" s="49">
        <f t="shared" si="47"/>
        <v>0</v>
      </c>
      <c r="BZ14" s="49">
        <f t="shared" si="47"/>
        <v>0</v>
      </c>
      <c r="CA14" s="49">
        <f t="shared" si="47"/>
        <v>0</v>
      </c>
      <c r="CB14" s="49">
        <f t="shared" si="47"/>
        <v>0</v>
      </c>
      <c r="CC14" s="49">
        <f t="shared" si="47"/>
        <v>0</v>
      </c>
      <c r="CD14" s="49">
        <f t="shared" si="47"/>
        <v>0</v>
      </c>
      <c r="CE14" s="49">
        <f t="shared" si="47"/>
        <v>0</v>
      </c>
      <c r="CF14" s="251">
        <v>0</v>
      </c>
      <c r="CG14" s="251">
        <v>0</v>
      </c>
      <c r="CH14" s="251">
        <v>0</v>
      </c>
      <c r="CI14" s="251">
        <v>0</v>
      </c>
      <c r="CJ14" s="251">
        <v>0</v>
      </c>
      <c r="CK14" s="251">
        <v>0</v>
      </c>
      <c r="CL14" s="251">
        <v>0</v>
      </c>
      <c r="CM14" s="251">
        <v>0</v>
      </c>
      <c r="CN14" s="251">
        <v>0</v>
      </c>
      <c r="CO14" s="251">
        <v>0</v>
      </c>
      <c r="CP14" s="251">
        <v>0</v>
      </c>
      <c r="CQ14" s="251">
        <v>0</v>
      </c>
      <c r="CR14" s="251">
        <v>0</v>
      </c>
      <c r="CS14" s="251">
        <v>0</v>
      </c>
      <c r="CT14" s="251">
        <v>0</v>
      </c>
    </row>
    <row r="15" spans="1:98" x14ac:dyDescent="0.35">
      <c r="A15" s="42" t="s">
        <v>34</v>
      </c>
      <c r="B15" s="41"/>
      <c r="C15" s="41"/>
      <c r="D15" s="49">
        <f t="shared" ref="D15:D19" si="48">D6-C6</f>
        <v>0</v>
      </c>
      <c r="E15" s="49">
        <f t="shared" ref="E15:T19" si="49">IF(E6="","",E6-D6)</f>
        <v>0</v>
      </c>
      <c r="F15" s="49">
        <f t="shared" si="49"/>
        <v>0</v>
      </c>
      <c r="G15" s="49">
        <f t="shared" si="49"/>
        <v>4167.9399999999996</v>
      </c>
      <c r="H15" s="49">
        <f t="shared" si="49"/>
        <v>13357.940000000002</v>
      </c>
      <c r="I15" s="49">
        <f t="shared" si="49"/>
        <v>14454.18</v>
      </c>
      <c r="J15" s="49">
        <f t="shared" si="49"/>
        <v>22320.249999999996</v>
      </c>
      <c r="K15" s="49">
        <f t="shared" si="49"/>
        <v>23584.83</v>
      </c>
      <c r="L15" s="49">
        <f t="shared" si="49"/>
        <v>27553.509999999995</v>
      </c>
      <c r="M15" s="49">
        <f t="shared" si="49"/>
        <v>36873.300000000017</v>
      </c>
      <c r="N15" s="49">
        <f t="shared" si="49"/>
        <v>47047.100000000006</v>
      </c>
      <c r="O15" s="49">
        <f t="shared" si="49"/>
        <v>42342.149999999994</v>
      </c>
      <c r="P15" s="49">
        <f t="shared" si="49"/>
        <v>52262.419999999984</v>
      </c>
      <c r="Q15" s="49">
        <f t="shared" si="49"/>
        <v>24709.820000000007</v>
      </c>
      <c r="R15" s="49">
        <f t="shared" si="49"/>
        <v>48722.070000000007</v>
      </c>
      <c r="S15" s="49">
        <f t="shared" si="49"/>
        <v>89215.37</v>
      </c>
      <c r="T15" s="49">
        <f t="shared" si="49"/>
        <v>138931.90000000002</v>
      </c>
      <c r="U15" s="49">
        <f t="shared" si="45"/>
        <v>130458.32999999984</v>
      </c>
      <c r="V15" s="49">
        <f t="shared" si="45"/>
        <v>149622.41000000015</v>
      </c>
      <c r="W15" s="49">
        <f t="shared" si="45"/>
        <v>115842.15000000002</v>
      </c>
      <c r="X15" s="49">
        <f t="shared" si="45"/>
        <v>86772.709999999846</v>
      </c>
      <c r="Y15" s="49">
        <f t="shared" si="45"/>
        <v>125490.87999999989</v>
      </c>
      <c r="Z15" s="49">
        <f t="shared" si="45"/>
        <v>148018.68999999994</v>
      </c>
      <c r="AA15" s="49">
        <f t="shared" si="45"/>
        <v>127690.18999999994</v>
      </c>
      <c r="AB15" s="49">
        <f t="shared" si="45"/>
        <v>159406.27000000002</v>
      </c>
      <c r="AC15" s="49">
        <f t="shared" si="45"/>
        <v>183035.08000000031</v>
      </c>
      <c r="AD15" s="49">
        <f t="shared" si="45"/>
        <v>257840.15999999992</v>
      </c>
      <c r="AE15" s="49">
        <f t="shared" si="45"/>
        <v>387684.63000000035</v>
      </c>
      <c r="AF15" s="49">
        <f t="shared" si="45"/>
        <v>508686.86999999965</v>
      </c>
      <c r="AG15" s="49">
        <f t="shared" si="45"/>
        <v>447675.79999999981</v>
      </c>
      <c r="AH15" s="49">
        <f t="shared" si="45"/>
        <v>488022.70000000019</v>
      </c>
      <c r="AI15" s="49">
        <f t="shared" si="45"/>
        <v>344175.24000000069</v>
      </c>
      <c r="AJ15" s="49">
        <f t="shared" si="45"/>
        <v>311009.05999999959</v>
      </c>
      <c r="AK15" s="49">
        <f t="shared" si="45"/>
        <v>343993.12999999989</v>
      </c>
      <c r="AL15" s="49">
        <f t="shared" si="45"/>
        <v>370770.33000000007</v>
      </c>
      <c r="AM15" s="49">
        <f t="shared" si="45"/>
        <v>310169.88999999966</v>
      </c>
      <c r="AN15" s="49">
        <f t="shared" si="45"/>
        <v>419753.16000000108</v>
      </c>
      <c r="AO15" s="49">
        <f t="shared" si="45"/>
        <v>423811.08999999985</v>
      </c>
      <c r="AP15" s="49">
        <f t="shared" si="45"/>
        <v>418930.93999999948</v>
      </c>
      <c r="AQ15" s="49">
        <f t="shared" si="45"/>
        <v>696098.56000000052</v>
      </c>
      <c r="AR15" s="49">
        <f t="shared" si="45"/>
        <v>888417.11999999918</v>
      </c>
      <c r="AS15" s="49">
        <f t="shared" si="45"/>
        <v>719222.04000000097</v>
      </c>
      <c r="AT15" s="49">
        <f t="shared" si="45"/>
        <v>752671.73000000045</v>
      </c>
      <c r="AU15" s="49">
        <f t="shared" si="45"/>
        <v>517065.38999999873</v>
      </c>
      <c r="AV15" s="49">
        <f t="shared" si="45"/>
        <v>440358.31999999844</v>
      </c>
      <c r="AW15" s="49">
        <f t="shared" si="45"/>
        <v>372255.00999999978</v>
      </c>
      <c r="AX15" s="49">
        <f t="shared" si="45"/>
        <v>444467.00000000186</v>
      </c>
      <c r="AY15" s="49">
        <f t="shared" si="45"/>
        <v>343323.83000000007</v>
      </c>
      <c r="AZ15" s="49">
        <f t="shared" si="46"/>
        <v>382499.52999999933</v>
      </c>
      <c r="BA15" s="49">
        <f t="shared" si="46"/>
        <v>0</v>
      </c>
      <c r="BB15" s="49">
        <f t="shared" si="46"/>
        <v>0</v>
      </c>
      <c r="BC15" s="49">
        <f t="shared" si="46"/>
        <v>0</v>
      </c>
      <c r="BD15" s="49">
        <f t="shared" si="46"/>
        <v>0</v>
      </c>
      <c r="BE15" s="49">
        <f t="shared" si="46"/>
        <v>0</v>
      </c>
      <c r="BF15" s="49">
        <f t="shared" si="46"/>
        <v>0</v>
      </c>
      <c r="BG15" s="49">
        <f t="shared" si="46"/>
        <v>0</v>
      </c>
      <c r="BH15" s="49">
        <f t="shared" si="46"/>
        <v>0</v>
      </c>
      <c r="BI15" s="49">
        <f t="shared" si="46"/>
        <v>0</v>
      </c>
      <c r="BJ15" s="49">
        <f t="shared" si="46"/>
        <v>0</v>
      </c>
      <c r="BK15" s="49">
        <f t="shared" si="46"/>
        <v>255.64000000059605</v>
      </c>
      <c r="BL15" s="49">
        <f t="shared" si="46"/>
        <v>592.33999999985099</v>
      </c>
      <c r="BM15" s="49">
        <f t="shared" si="46"/>
        <v>632.41000000014901</v>
      </c>
      <c r="BN15" s="49">
        <f t="shared" si="46"/>
        <v>892.52999999932945</v>
      </c>
      <c r="BO15" s="49">
        <f t="shared" si="46"/>
        <v>1958.390000000596</v>
      </c>
      <c r="BP15" s="49">
        <f t="shared" si="46"/>
        <v>2575.9900000002235</v>
      </c>
      <c r="BQ15" s="49">
        <f t="shared" si="46"/>
        <v>2901.589999999851</v>
      </c>
      <c r="BR15" s="49">
        <f t="shared" si="46"/>
        <v>2255.2100000008941</v>
      </c>
      <c r="BS15" s="49">
        <f t="shared" si="46"/>
        <v>1201.0499999988824</v>
      </c>
      <c r="BT15" s="49">
        <f t="shared" si="46"/>
        <v>993.04000000096858</v>
      </c>
      <c r="BU15" s="49">
        <f t="shared" si="46"/>
        <v>1022.7099999990314</v>
      </c>
      <c r="BV15" s="49">
        <f t="shared" si="46"/>
        <v>1061.0999999996275</v>
      </c>
      <c r="BW15" s="49">
        <f t="shared" si="46"/>
        <v>818.65000000037253</v>
      </c>
      <c r="BX15" s="49">
        <f t="shared" si="46"/>
        <v>0</v>
      </c>
      <c r="BY15" s="49">
        <f t="shared" si="46"/>
        <v>0</v>
      </c>
      <c r="BZ15" s="49">
        <f t="shared" si="46"/>
        <v>0</v>
      </c>
      <c r="CA15" s="49">
        <f t="shared" si="46"/>
        <v>0</v>
      </c>
      <c r="CB15" s="49">
        <f t="shared" si="46"/>
        <v>0</v>
      </c>
      <c r="CC15" s="49">
        <f t="shared" si="46"/>
        <v>0</v>
      </c>
      <c r="CD15" s="49">
        <f t="shared" si="46"/>
        <v>0</v>
      </c>
      <c r="CE15" s="49">
        <f t="shared" si="46"/>
        <v>0</v>
      </c>
      <c r="CF15" s="251">
        <v>0</v>
      </c>
      <c r="CG15" s="251">
        <v>0</v>
      </c>
      <c r="CH15" s="251">
        <v>0</v>
      </c>
      <c r="CI15" s="251">
        <v>0</v>
      </c>
      <c r="CJ15" s="251">
        <v>0</v>
      </c>
      <c r="CK15" s="251">
        <v>0</v>
      </c>
      <c r="CL15" s="251">
        <v>0</v>
      </c>
      <c r="CM15" s="251">
        <v>0</v>
      </c>
      <c r="CN15" s="251">
        <v>0</v>
      </c>
      <c r="CO15" s="251">
        <v>0</v>
      </c>
      <c r="CP15" s="251">
        <v>0</v>
      </c>
      <c r="CQ15" s="251">
        <v>0</v>
      </c>
      <c r="CR15" s="251">
        <v>0</v>
      </c>
      <c r="CS15" s="251">
        <v>0</v>
      </c>
      <c r="CT15" s="251">
        <v>0</v>
      </c>
    </row>
    <row r="16" spans="1:98" x14ac:dyDescent="0.35">
      <c r="A16" s="42" t="s">
        <v>35</v>
      </c>
      <c r="B16" s="41"/>
      <c r="C16" s="41"/>
      <c r="D16" s="49">
        <f t="shared" si="48"/>
        <v>0</v>
      </c>
      <c r="E16" s="49">
        <f t="shared" si="49"/>
        <v>0</v>
      </c>
      <c r="F16" s="49">
        <f t="shared" si="45"/>
        <v>0</v>
      </c>
      <c r="G16" s="49">
        <f t="shared" si="45"/>
        <v>6853.38</v>
      </c>
      <c r="H16" s="49">
        <f t="shared" si="45"/>
        <v>24493.5</v>
      </c>
      <c r="I16" s="49">
        <f t="shared" si="45"/>
        <v>33409.69</v>
      </c>
      <c r="J16" s="49">
        <f t="shared" si="45"/>
        <v>56460.609999999993</v>
      </c>
      <c r="K16" s="49">
        <f t="shared" si="45"/>
        <v>48357.03</v>
      </c>
      <c r="L16" s="49">
        <f t="shared" si="45"/>
        <v>55899.790000000008</v>
      </c>
      <c r="M16" s="49">
        <f t="shared" si="45"/>
        <v>75546.030000000028</v>
      </c>
      <c r="N16" s="49">
        <f t="shared" si="45"/>
        <v>97352.229999999981</v>
      </c>
      <c r="O16" s="49">
        <f t="shared" si="45"/>
        <v>91562.099999999977</v>
      </c>
      <c r="P16" s="49">
        <f t="shared" si="45"/>
        <v>114563.78000000003</v>
      </c>
      <c r="Q16" s="49">
        <f t="shared" si="45"/>
        <v>61155.599999999977</v>
      </c>
      <c r="R16" s="49">
        <f t="shared" si="45"/>
        <v>102205.64000000001</v>
      </c>
      <c r="S16" s="49">
        <f t="shared" si="45"/>
        <v>221631.07999999996</v>
      </c>
      <c r="T16" s="49">
        <f t="shared" si="45"/>
        <v>332206.05000000005</v>
      </c>
      <c r="U16" s="49">
        <f t="shared" si="45"/>
        <v>319145.15000000014</v>
      </c>
      <c r="V16" s="49">
        <f t="shared" si="45"/>
        <v>352001.19999999995</v>
      </c>
      <c r="W16" s="49">
        <f t="shared" si="45"/>
        <v>230729.55000000005</v>
      </c>
      <c r="X16" s="49">
        <f t="shared" si="45"/>
        <v>239391.36999999965</v>
      </c>
      <c r="Y16" s="49">
        <f t="shared" si="45"/>
        <v>266781.58000000007</v>
      </c>
      <c r="Z16" s="49">
        <f t="shared" si="45"/>
        <v>312105.20000000019</v>
      </c>
      <c r="AA16" s="49">
        <f t="shared" si="45"/>
        <v>271478.48999999976</v>
      </c>
      <c r="AB16" s="49">
        <f t="shared" si="45"/>
        <v>319460.60999999987</v>
      </c>
      <c r="AC16" s="49">
        <f t="shared" si="45"/>
        <v>334428.61999999965</v>
      </c>
      <c r="AD16" s="49">
        <f t="shared" si="45"/>
        <v>449994.59999999963</v>
      </c>
      <c r="AE16" s="49">
        <f t="shared" si="45"/>
        <v>871311.25999999978</v>
      </c>
      <c r="AF16" s="49">
        <f t="shared" si="45"/>
        <v>1177390.7900000019</v>
      </c>
      <c r="AG16" s="49">
        <f t="shared" si="45"/>
        <v>1009716.5700000003</v>
      </c>
      <c r="AH16" s="49">
        <f t="shared" si="45"/>
        <v>1016326.7899999982</v>
      </c>
      <c r="AI16" s="49">
        <f t="shared" si="45"/>
        <v>555178.75000000186</v>
      </c>
      <c r="AJ16" s="49">
        <f t="shared" si="45"/>
        <v>504762.08999999985</v>
      </c>
      <c r="AK16" s="49">
        <f t="shared" si="45"/>
        <v>588919.23000000045</v>
      </c>
      <c r="AL16" s="49">
        <f t="shared" si="45"/>
        <v>665468.6099999994</v>
      </c>
      <c r="AM16" s="49">
        <f t="shared" si="45"/>
        <v>579431.93999999948</v>
      </c>
      <c r="AN16" s="49">
        <f t="shared" si="45"/>
        <v>772136.74000000209</v>
      </c>
      <c r="AO16" s="49">
        <f t="shared" si="45"/>
        <v>745789.6400000006</v>
      </c>
      <c r="AP16" s="49">
        <f t="shared" si="45"/>
        <v>714312.04999999702</v>
      </c>
      <c r="AQ16" s="49">
        <f t="shared" si="45"/>
        <v>1666090.3499999996</v>
      </c>
      <c r="AR16" s="49">
        <f t="shared" si="45"/>
        <v>2097910.540000001</v>
      </c>
      <c r="AS16" s="49">
        <f t="shared" si="45"/>
        <v>1772226.1099999994</v>
      </c>
      <c r="AT16" s="49">
        <f t="shared" si="45"/>
        <v>1620615.0399999991</v>
      </c>
      <c r="AU16" s="49">
        <f t="shared" si="45"/>
        <v>832864.56000000238</v>
      </c>
      <c r="AV16" s="49">
        <f t="shared" si="45"/>
        <v>710085.51000000164</v>
      </c>
      <c r="AW16" s="49">
        <f t="shared" si="45"/>
        <v>768797.14999999851</v>
      </c>
      <c r="AX16" s="49">
        <f t="shared" si="45"/>
        <v>807148.3200000003</v>
      </c>
      <c r="AY16" s="49">
        <f t="shared" si="45"/>
        <v>651115.96999999881</v>
      </c>
      <c r="AZ16" s="49">
        <f t="shared" si="46"/>
        <v>704577.47999999672</v>
      </c>
      <c r="BA16" s="49">
        <f t="shared" ref="BA16:CE16" si="50">IF(BA7="","",BA7-AZ7)</f>
        <v>2286.3100000023842</v>
      </c>
      <c r="BB16" s="49">
        <f t="shared" si="50"/>
        <v>2660.8699999973178</v>
      </c>
      <c r="BC16" s="49">
        <f t="shared" si="50"/>
        <v>12223.310000002384</v>
      </c>
      <c r="BD16" s="49">
        <f t="shared" si="50"/>
        <v>22853.179999999702</v>
      </c>
      <c r="BE16" s="49">
        <f t="shared" si="50"/>
        <v>20540.269999999553</v>
      </c>
      <c r="BF16" s="49">
        <f t="shared" si="50"/>
        <v>15022.210000000894</v>
      </c>
      <c r="BG16" s="49">
        <f t="shared" si="50"/>
        <v>6711.089999999851</v>
      </c>
      <c r="BH16" s="49">
        <f t="shared" si="50"/>
        <v>6702.839999999851</v>
      </c>
      <c r="BI16" s="49">
        <f t="shared" si="50"/>
        <v>8127.0399999991059</v>
      </c>
      <c r="BJ16" s="49">
        <f t="shared" si="50"/>
        <v>8329.3000000007451</v>
      </c>
      <c r="BK16" s="49">
        <f t="shared" si="50"/>
        <v>8800.269999999553</v>
      </c>
      <c r="BL16" s="49">
        <f t="shared" si="50"/>
        <v>10333.070000000298</v>
      </c>
      <c r="BM16" s="49">
        <f t="shared" si="50"/>
        <v>8760.0100000016391</v>
      </c>
      <c r="BN16" s="49">
        <f t="shared" si="50"/>
        <v>11044.909999996424</v>
      </c>
      <c r="BO16" s="49">
        <f t="shared" si="50"/>
        <v>31907.310000002384</v>
      </c>
      <c r="BP16" s="49">
        <f t="shared" si="50"/>
        <v>40946.179999999702</v>
      </c>
      <c r="BQ16" s="49">
        <f t="shared" si="50"/>
        <v>36410.359999999404</v>
      </c>
      <c r="BR16" s="49">
        <f t="shared" si="50"/>
        <v>22318.39999999851</v>
      </c>
      <c r="BS16" s="49">
        <f t="shared" si="50"/>
        <v>8944.2900000028312</v>
      </c>
      <c r="BT16" s="49">
        <f t="shared" si="50"/>
        <v>9312.6499999985099</v>
      </c>
      <c r="BU16" s="49">
        <f t="shared" si="50"/>
        <v>11751.719999998808</v>
      </c>
      <c r="BV16" s="49">
        <f t="shared" si="50"/>
        <v>12005.310000002384</v>
      </c>
      <c r="BW16" s="49">
        <f t="shared" si="50"/>
        <v>10126.529999997467</v>
      </c>
      <c r="BX16" s="49">
        <f t="shared" si="50"/>
        <v>0</v>
      </c>
      <c r="BY16" s="49">
        <f t="shared" si="50"/>
        <v>0</v>
      </c>
      <c r="BZ16" s="49">
        <f t="shared" si="50"/>
        <v>0</v>
      </c>
      <c r="CA16" s="49">
        <f t="shared" si="50"/>
        <v>0</v>
      </c>
      <c r="CB16" s="49">
        <f t="shared" si="50"/>
        <v>0</v>
      </c>
      <c r="CC16" s="49">
        <f t="shared" si="50"/>
        <v>0</v>
      </c>
      <c r="CD16" s="49">
        <f t="shared" si="50"/>
        <v>0</v>
      </c>
      <c r="CE16" s="49">
        <f t="shared" si="50"/>
        <v>0</v>
      </c>
      <c r="CF16" s="251">
        <v>0</v>
      </c>
      <c r="CG16" s="251">
        <v>0</v>
      </c>
      <c r="CH16" s="251">
        <v>0</v>
      </c>
      <c r="CI16" s="251">
        <v>0</v>
      </c>
      <c r="CJ16" s="251">
        <v>0</v>
      </c>
      <c r="CK16" s="251">
        <v>0</v>
      </c>
      <c r="CL16" s="251">
        <v>0</v>
      </c>
      <c r="CM16" s="251">
        <v>0</v>
      </c>
      <c r="CN16" s="251">
        <v>0</v>
      </c>
      <c r="CO16" s="251">
        <v>0</v>
      </c>
      <c r="CP16" s="251">
        <v>0</v>
      </c>
      <c r="CQ16" s="251">
        <v>0</v>
      </c>
      <c r="CR16" s="251">
        <v>0</v>
      </c>
      <c r="CS16" s="251">
        <v>0</v>
      </c>
      <c r="CT16" s="251">
        <v>0</v>
      </c>
    </row>
    <row r="17" spans="1:98" x14ac:dyDescent="0.35">
      <c r="A17" s="42" t="s">
        <v>36</v>
      </c>
      <c r="B17" s="41"/>
      <c r="C17" s="41"/>
      <c r="D17" s="49">
        <f t="shared" si="48"/>
        <v>0</v>
      </c>
      <c r="E17" s="49">
        <f t="shared" si="49"/>
        <v>0</v>
      </c>
      <c r="F17" s="49">
        <f t="shared" si="45"/>
        <v>0</v>
      </c>
      <c r="G17" s="49">
        <f t="shared" si="45"/>
        <v>526.23</v>
      </c>
      <c r="H17" s="49">
        <f t="shared" si="45"/>
        <v>1707.2399999999998</v>
      </c>
      <c r="I17" s="49">
        <f t="shared" si="45"/>
        <v>2028.9699999999998</v>
      </c>
      <c r="J17" s="49">
        <f t="shared" si="45"/>
        <v>4499.2600000000011</v>
      </c>
      <c r="K17" s="49">
        <f t="shared" si="45"/>
        <v>4284.0399999999991</v>
      </c>
      <c r="L17" s="49">
        <f t="shared" si="45"/>
        <v>7227.92</v>
      </c>
      <c r="M17" s="49">
        <f t="shared" si="45"/>
        <v>17709.170000000002</v>
      </c>
      <c r="N17" s="49">
        <f t="shared" si="45"/>
        <v>27502.43</v>
      </c>
      <c r="O17" s="49">
        <f t="shared" si="45"/>
        <v>23867.65</v>
      </c>
      <c r="P17" s="49">
        <f t="shared" si="45"/>
        <v>29055.349999999991</v>
      </c>
      <c r="Q17" s="49">
        <f t="shared" si="45"/>
        <v>10757.690000000017</v>
      </c>
      <c r="R17" s="49">
        <f t="shared" si="45"/>
        <v>27803.969999999972</v>
      </c>
      <c r="S17" s="49">
        <f t="shared" si="45"/>
        <v>126566.82</v>
      </c>
      <c r="T17" s="49">
        <f t="shared" si="45"/>
        <v>175689.74</v>
      </c>
      <c r="U17" s="49">
        <f t="shared" si="45"/>
        <v>215183.16000000003</v>
      </c>
      <c r="V17" s="49">
        <f t="shared" si="45"/>
        <v>202786.94000000006</v>
      </c>
      <c r="W17" s="49">
        <f t="shared" si="45"/>
        <v>100087.57000000007</v>
      </c>
      <c r="X17" s="49">
        <f t="shared" si="45"/>
        <v>96259.079999999842</v>
      </c>
      <c r="Y17" s="49">
        <f t="shared" si="45"/>
        <v>112165</v>
      </c>
      <c r="Z17" s="49">
        <f t="shared" si="45"/>
        <v>128838.41999999993</v>
      </c>
      <c r="AA17" s="49">
        <f t="shared" si="45"/>
        <v>113104.3600000001</v>
      </c>
      <c r="AB17" s="49">
        <f t="shared" si="45"/>
        <v>129439.45999999996</v>
      </c>
      <c r="AC17" s="49">
        <f t="shared" si="45"/>
        <v>129646.61999999988</v>
      </c>
      <c r="AD17" s="49">
        <f t="shared" si="45"/>
        <v>176619.16000000015</v>
      </c>
      <c r="AE17" s="49">
        <f t="shared" si="45"/>
        <v>416091.85000000009</v>
      </c>
      <c r="AF17" s="49">
        <f t="shared" si="45"/>
        <v>534882.73</v>
      </c>
      <c r="AG17" s="49">
        <f t="shared" si="45"/>
        <v>476996.03000000026</v>
      </c>
      <c r="AH17" s="49">
        <f t="shared" si="45"/>
        <v>406579.49999999953</v>
      </c>
      <c r="AI17" s="49">
        <f t="shared" si="45"/>
        <v>202811.04000000004</v>
      </c>
      <c r="AJ17" s="49">
        <f t="shared" si="45"/>
        <v>186362.33999999985</v>
      </c>
      <c r="AK17" s="49">
        <f t="shared" si="45"/>
        <v>218445.35999999987</v>
      </c>
      <c r="AL17" s="49">
        <f t="shared" si="45"/>
        <v>246867.91000000015</v>
      </c>
      <c r="AM17" s="49">
        <f t="shared" si="45"/>
        <v>216404.73000000045</v>
      </c>
      <c r="AN17" s="49">
        <f t="shared" si="45"/>
        <v>300233.46999999974</v>
      </c>
      <c r="AO17" s="49">
        <f t="shared" si="45"/>
        <v>278345.00999999978</v>
      </c>
      <c r="AP17" s="49">
        <f t="shared" si="45"/>
        <v>287989.21999999974</v>
      </c>
      <c r="AQ17" s="49">
        <f t="shared" si="45"/>
        <v>776547.50999999978</v>
      </c>
      <c r="AR17" s="49">
        <f t="shared" si="45"/>
        <v>961871.98000000045</v>
      </c>
      <c r="AS17" s="49">
        <f t="shared" si="45"/>
        <v>859921.08999999985</v>
      </c>
      <c r="AT17" s="49">
        <f t="shared" si="45"/>
        <v>674426.50999999978</v>
      </c>
      <c r="AU17" s="49">
        <f t="shared" si="45"/>
        <v>316273.42000000179</v>
      </c>
      <c r="AV17" s="49">
        <f t="shared" si="45"/>
        <v>274443.11999999918</v>
      </c>
      <c r="AW17" s="49">
        <f t="shared" si="45"/>
        <v>266606.75999999978</v>
      </c>
      <c r="AX17" s="49">
        <f t="shared" si="45"/>
        <v>297792.69999999925</v>
      </c>
      <c r="AY17" s="49">
        <f t="shared" si="45"/>
        <v>246874.51999999955</v>
      </c>
      <c r="AZ17" s="49">
        <f t="shared" si="46"/>
        <v>270790.45000000112</v>
      </c>
      <c r="BA17" s="49">
        <f t="shared" si="46"/>
        <v>0</v>
      </c>
      <c r="BB17" s="49">
        <f t="shared" si="46"/>
        <v>0</v>
      </c>
      <c r="BC17" s="49">
        <f t="shared" si="46"/>
        <v>0</v>
      </c>
      <c r="BD17" s="49">
        <f t="shared" si="46"/>
        <v>0</v>
      </c>
      <c r="BE17" s="49">
        <f t="shared" si="46"/>
        <v>16813.580000000075</v>
      </c>
      <c r="BF17" s="49">
        <f t="shared" si="46"/>
        <v>19387.400000000373</v>
      </c>
      <c r="BG17" s="49">
        <f t="shared" si="46"/>
        <v>6785.070000000298</v>
      </c>
      <c r="BH17" s="49">
        <f t="shared" si="46"/>
        <v>6167.2299999985844</v>
      </c>
      <c r="BI17" s="49">
        <f t="shared" si="46"/>
        <v>9586.9900000002235</v>
      </c>
      <c r="BJ17" s="49">
        <f t="shared" si="46"/>
        <v>12497.580000000075</v>
      </c>
      <c r="BK17" s="49">
        <f t="shared" si="46"/>
        <v>10043.310000000522</v>
      </c>
      <c r="BL17" s="49">
        <f t="shared" si="46"/>
        <v>10496.050000000745</v>
      </c>
      <c r="BM17" s="49">
        <f t="shared" si="46"/>
        <v>9775.9599999990314</v>
      </c>
      <c r="BN17" s="49">
        <f t="shared" si="46"/>
        <v>13527.650000000373</v>
      </c>
      <c r="BO17" s="49">
        <f t="shared" si="46"/>
        <v>36494.849999999627</v>
      </c>
      <c r="BP17" s="49">
        <f t="shared" si="46"/>
        <v>47679.970000000671</v>
      </c>
      <c r="BQ17" s="49">
        <f t="shared" si="46"/>
        <v>45288.439999999478</v>
      </c>
      <c r="BR17" s="49">
        <f t="shared" si="46"/>
        <v>29486.400000000373</v>
      </c>
      <c r="BS17" s="49">
        <f t="shared" si="46"/>
        <v>11833.289999999106</v>
      </c>
      <c r="BT17" s="49">
        <f t="shared" si="46"/>
        <v>10374.580000000075</v>
      </c>
      <c r="BU17" s="49">
        <f t="shared" si="46"/>
        <v>12057.450000001118</v>
      </c>
      <c r="BV17" s="49">
        <f t="shared" si="46"/>
        <v>12824.789999999106</v>
      </c>
      <c r="BW17" s="49">
        <f t="shared" si="46"/>
        <v>10330.179999999702</v>
      </c>
      <c r="BX17" s="49">
        <f t="shared" si="46"/>
        <v>0</v>
      </c>
      <c r="BY17" s="49">
        <f t="shared" si="46"/>
        <v>0</v>
      </c>
      <c r="BZ17" s="49">
        <f t="shared" si="46"/>
        <v>0</v>
      </c>
      <c r="CA17" s="49">
        <f t="shared" si="46"/>
        <v>0</v>
      </c>
      <c r="CB17" s="49">
        <f t="shared" si="46"/>
        <v>0</v>
      </c>
      <c r="CC17" s="49">
        <f t="shared" si="46"/>
        <v>0</v>
      </c>
      <c r="CD17" s="49">
        <f t="shared" si="46"/>
        <v>0</v>
      </c>
      <c r="CE17" s="49">
        <f t="shared" si="46"/>
        <v>0</v>
      </c>
      <c r="CF17" s="251">
        <v>0</v>
      </c>
      <c r="CG17" s="251">
        <v>0</v>
      </c>
      <c r="CH17" s="251">
        <v>0</v>
      </c>
      <c r="CI17" s="251">
        <v>0</v>
      </c>
      <c r="CJ17" s="251">
        <v>0</v>
      </c>
      <c r="CK17" s="251">
        <v>0</v>
      </c>
      <c r="CL17" s="251">
        <v>0</v>
      </c>
      <c r="CM17" s="251">
        <v>0</v>
      </c>
      <c r="CN17" s="251">
        <v>0</v>
      </c>
      <c r="CO17" s="251">
        <v>0</v>
      </c>
      <c r="CP17" s="251">
        <v>0</v>
      </c>
      <c r="CQ17" s="251">
        <v>0</v>
      </c>
      <c r="CR17" s="251">
        <v>0</v>
      </c>
      <c r="CS17" s="251">
        <v>0</v>
      </c>
      <c r="CT17" s="251">
        <v>0</v>
      </c>
    </row>
    <row r="18" spans="1:98" x14ac:dyDescent="0.35">
      <c r="A18" s="42" t="s">
        <v>37</v>
      </c>
      <c r="B18" s="41"/>
      <c r="C18" s="41"/>
      <c r="D18" s="49">
        <f t="shared" si="48"/>
        <v>0</v>
      </c>
      <c r="E18" s="49">
        <f t="shared" si="49"/>
        <v>0</v>
      </c>
      <c r="F18" s="49">
        <f t="shared" si="45"/>
        <v>0</v>
      </c>
      <c r="G18" s="49">
        <f t="shared" si="45"/>
        <v>0</v>
      </c>
      <c r="H18" s="49">
        <f t="shared" si="45"/>
        <v>360.22</v>
      </c>
      <c r="I18" s="49">
        <f t="shared" si="45"/>
        <v>1250.5</v>
      </c>
      <c r="J18" s="49">
        <f t="shared" si="45"/>
        <v>2097.7200000000003</v>
      </c>
      <c r="K18" s="49">
        <f t="shared" si="45"/>
        <v>1848.1399999999999</v>
      </c>
      <c r="L18" s="49">
        <f t="shared" si="45"/>
        <v>2286.0100000000002</v>
      </c>
      <c r="M18" s="49">
        <f t="shared" si="45"/>
        <v>3076.2700000000004</v>
      </c>
      <c r="N18" s="49">
        <f t="shared" si="45"/>
        <v>5696.5999999999985</v>
      </c>
      <c r="O18" s="49">
        <f t="shared" si="45"/>
        <v>6142.6100000000006</v>
      </c>
      <c r="P18" s="49">
        <f t="shared" si="45"/>
        <v>8834.9599999999991</v>
      </c>
      <c r="Q18" s="49">
        <f t="shared" si="45"/>
        <v>7688.4700000000012</v>
      </c>
      <c r="R18" s="49">
        <f t="shared" si="45"/>
        <v>10845.160000000003</v>
      </c>
      <c r="S18" s="49">
        <f t="shared" si="45"/>
        <v>20033.729999999996</v>
      </c>
      <c r="T18" s="49">
        <f t="shared" si="45"/>
        <v>29338.039999999994</v>
      </c>
      <c r="U18" s="49">
        <f t="shared" si="45"/>
        <v>26225.059999999998</v>
      </c>
      <c r="V18" s="49">
        <f t="shared" si="45"/>
        <v>25792.080000000016</v>
      </c>
      <c r="W18" s="49">
        <f t="shared" si="45"/>
        <v>18911.649999999994</v>
      </c>
      <c r="X18" s="49">
        <f t="shared" si="45"/>
        <v>18135.429999999993</v>
      </c>
      <c r="Y18" s="49">
        <f t="shared" si="45"/>
        <v>20092.940000000002</v>
      </c>
      <c r="Z18" s="49">
        <f t="shared" si="45"/>
        <v>22817.299999999988</v>
      </c>
      <c r="AA18" s="49">
        <f t="shared" si="45"/>
        <v>20524.76999999999</v>
      </c>
      <c r="AB18" s="49">
        <f t="shared" si="45"/>
        <v>22865.559999999998</v>
      </c>
      <c r="AC18" s="49">
        <f t="shared" si="45"/>
        <v>23955.599999999977</v>
      </c>
      <c r="AD18" s="49">
        <f t="shared" si="45"/>
        <v>33056.75</v>
      </c>
      <c r="AE18" s="49">
        <f t="shared" si="45"/>
        <v>72196.109999999986</v>
      </c>
      <c r="AF18" s="49">
        <f t="shared" si="45"/>
        <v>96088.410000000033</v>
      </c>
      <c r="AG18" s="49">
        <f t="shared" si="45"/>
        <v>80854.579999999958</v>
      </c>
      <c r="AH18" s="49">
        <f t="shared" si="45"/>
        <v>65756.459999999963</v>
      </c>
      <c r="AI18" s="49">
        <f t="shared" si="45"/>
        <v>35564.589999999967</v>
      </c>
      <c r="AJ18" s="49">
        <f t="shared" si="45"/>
        <v>33321.969999999972</v>
      </c>
      <c r="AK18" s="49">
        <f t="shared" si="45"/>
        <v>40399.459999999963</v>
      </c>
      <c r="AL18" s="49">
        <f t="shared" si="45"/>
        <v>46987.760000000009</v>
      </c>
      <c r="AM18" s="49">
        <f t="shared" si="45"/>
        <v>44022.119999999995</v>
      </c>
      <c r="AN18" s="49">
        <f t="shared" si="45"/>
        <v>59576.330000000075</v>
      </c>
      <c r="AO18" s="49">
        <f t="shared" si="45"/>
        <v>53638.189999999944</v>
      </c>
      <c r="AP18" s="49">
        <f t="shared" si="45"/>
        <v>63257.09999999986</v>
      </c>
      <c r="AQ18" s="49">
        <f t="shared" si="45"/>
        <v>189324.82000000007</v>
      </c>
      <c r="AR18" s="49">
        <f t="shared" si="45"/>
        <v>254806.16999999993</v>
      </c>
      <c r="AS18" s="49">
        <f t="shared" si="45"/>
        <v>225584.37999999989</v>
      </c>
      <c r="AT18" s="49">
        <f t="shared" si="45"/>
        <v>144075.14999999991</v>
      </c>
      <c r="AU18" s="49">
        <f t="shared" si="45"/>
        <v>61423.350000000559</v>
      </c>
      <c r="AV18" s="49">
        <f t="shared" si="45"/>
        <v>53649.209999999963</v>
      </c>
      <c r="AW18" s="49">
        <f t="shared" si="45"/>
        <v>54043.729999999981</v>
      </c>
      <c r="AX18" s="49">
        <f t="shared" si="45"/>
        <v>58723.649999999907</v>
      </c>
      <c r="AY18" s="49">
        <f t="shared" ref="AY18:CE19" si="51">IF(AY9="","",AY9-AX9)</f>
        <v>52534.629999999888</v>
      </c>
      <c r="AZ18" s="49">
        <f t="shared" si="51"/>
        <v>53192.39000000013</v>
      </c>
      <c r="BA18" s="49">
        <f t="shared" si="51"/>
        <v>0</v>
      </c>
      <c r="BB18" s="49">
        <f t="shared" si="51"/>
        <v>0</v>
      </c>
      <c r="BC18" s="49">
        <f t="shared" si="51"/>
        <v>0</v>
      </c>
      <c r="BD18" s="49">
        <f t="shared" si="51"/>
        <v>0</v>
      </c>
      <c r="BE18" s="49">
        <f t="shared" si="51"/>
        <v>0</v>
      </c>
      <c r="BF18" s="49">
        <f t="shared" si="51"/>
        <v>0</v>
      </c>
      <c r="BG18" s="49">
        <f t="shared" si="51"/>
        <v>0</v>
      </c>
      <c r="BH18" s="49">
        <f t="shared" si="51"/>
        <v>0</v>
      </c>
      <c r="BI18" s="49">
        <f t="shared" si="51"/>
        <v>0</v>
      </c>
      <c r="BJ18" s="49">
        <f t="shared" si="51"/>
        <v>0</v>
      </c>
      <c r="BK18" s="49">
        <f t="shared" si="51"/>
        <v>0</v>
      </c>
      <c r="BL18" s="49">
        <f t="shared" si="51"/>
        <v>0</v>
      </c>
      <c r="BM18" s="49">
        <f t="shared" si="51"/>
        <v>0</v>
      </c>
      <c r="BN18" s="49">
        <f t="shared" si="51"/>
        <v>0</v>
      </c>
      <c r="BO18" s="49">
        <f t="shared" si="51"/>
        <v>0</v>
      </c>
      <c r="BP18" s="49">
        <f t="shared" si="51"/>
        <v>0</v>
      </c>
      <c r="BQ18" s="49">
        <f t="shared" si="51"/>
        <v>-101.14999999990687</v>
      </c>
      <c r="BR18" s="49">
        <f t="shared" si="51"/>
        <v>-108.16000000014901</v>
      </c>
      <c r="BS18" s="49">
        <f t="shared" si="51"/>
        <v>-67.520000000018626</v>
      </c>
      <c r="BT18" s="49">
        <f t="shared" si="51"/>
        <v>-54.189999999944121</v>
      </c>
      <c r="BU18" s="49">
        <f t="shared" si="51"/>
        <v>-56.580000000074506</v>
      </c>
      <c r="BV18" s="49">
        <f t="shared" si="51"/>
        <v>-61.179999999701977</v>
      </c>
      <c r="BW18" s="49">
        <f t="shared" si="51"/>
        <v>-51.470000000204891</v>
      </c>
      <c r="BX18" s="49">
        <f t="shared" si="51"/>
        <v>0</v>
      </c>
      <c r="BY18" s="49">
        <f t="shared" si="51"/>
        <v>0</v>
      </c>
      <c r="BZ18" s="49">
        <f t="shared" si="51"/>
        <v>0</v>
      </c>
      <c r="CA18" s="49">
        <f t="shared" si="51"/>
        <v>0</v>
      </c>
      <c r="CB18" s="49">
        <f t="shared" si="51"/>
        <v>0</v>
      </c>
      <c r="CC18" s="49">
        <f t="shared" si="51"/>
        <v>0</v>
      </c>
      <c r="CD18" s="49">
        <f t="shared" si="51"/>
        <v>0</v>
      </c>
      <c r="CE18" s="49">
        <f t="shared" si="51"/>
        <v>0</v>
      </c>
      <c r="CF18" s="251">
        <v>0</v>
      </c>
      <c r="CG18" s="251">
        <v>0</v>
      </c>
      <c r="CH18" s="251">
        <v>0</v>
      </c>
      <c r="CI18" s="251">
        <v>0</v>
      </c>
      <c r="CJ18" s="251">
        <v>0</v>
      </c>
      <c r="CK18" s="251">
        <v>0</v>
      </c>
      <c r="CL18" s="251">
        <v>0</v>
      </c>
      <c r="CM18" s="251">
        <v>0</v>
      </c>
      <c r="CN18" s="251">
        <v>0</v>
      </c>
      <c r="CO18" s="251">
        <v>0</v>
      </c>
      <c r="CP18" s="251">
        <v>0</v>
      </c>
      <c r="CQ18" s="251">
        <v>0</v>
      </c>
      <c r="CR18" s="251">
        <v>0</v>
      </c>
      <c r="CS18" s="251">
        <v>0</v>
      </c>
      <c r="CT18" s="251">
        <v>0</v>
      </c>
    </row>
    <row r="19" spans="1:98" x14ac:dyDescent="0.35">
      <c r="A19" s="42" t="s">
        <v>29</v>
      </c>
      <c r="B19" s="41"/>
      <c r="C19" s="41"/>
      <c r="D19" s="49">
        <f t="shared" si="48"/>
        <v>0</v>
      </c>
      <c r="E19" s="49">
        <f t="shared" si="49"/>
        <v>0</v>
      </c>
      <c r="F19" s="49">
        <f t="shared" si="45"/>
        <v>0</v>
      </c>
      <c r="G19" s="49">
        <f t="shared" si="45"/>
        <v>0</v>
      </c>
      <c r="H19" s="49">
        <f t="shared" si="45"/>
        <v>0</v>
      </c>
      <c r="I19" s="49">
        <f t="shared" si="45"/>
        <v>1938.36</v>
      </c>
      <c r="J19" s="49">
        <f t="shared" si="45"/>
        <v>2533.3100000000004</v>
      </c>
      <c r="K19" s="49">
        <f t="shared" si="45"/>
        <v>725.05999999999949</v>
      </c>
      <c r="L19" s="49">
        <f t="shared" si="45"/>
        <v>1665.5</v>
      </c>
      <c r="M19" s="49">
        <f t="shared" si="45"/>
        <v>3404.9300000000003</v>
      </c>
      <c r="N19" s="49">
        <f t="shared" si="45"/>
        <v>4704.5499999999993</v>
      </c>
      <c r="O19" s="49">
        <f t="shared" si="45"/>
        <v>5014.93</v>
      </c>
      <c r="P19" s="49">
        <f t="shared" si="45"/>
        <v>4774.66</v>
      </c>
      <c r="Q19" s="49">
        <f t="shared" si="45"/>
        <v>10592.109999999997</v>
      </c>
      <c r="R19" s="49">
        <f t="shared" si="45"/>
        <v>2232.6500000000087</v>
      </c>
      <c r="S19" s="49">
        <f t="shared" si="45"/>
        <v>12379.130000000005</v>
      </c>
      <c r="T19" s="49">
        <f t="shared" si="45"/>
        <v>0</v>
      </c>
      <c r="U19" s="49">
        <f t="shared" si="45"/>
        <v>29306.57</v>
      </c>
      <c r="V19" s="49">
        <f t="shared" si="45"/>
        <v>18760.459999999977</v>
      </c>
      <c r="W19" s="49">
        <f t="shared" si="45"/>
        <v>8552.5599999999977</v>
      </c>
      <c r="X19" s="49">
        <f t="shared" si="45"/>
        <v>11700.919999999998</v>
      </c>
      <c r="Y19" s="49">
        <f t="shared" si="45"/>
        <v>13286.529999999999</v>
      </c>
      <c r="Z19" s="49">
        <f t="shared" si="45"/>
        <v>30274.089999999997</v>
      </c>
      <c r="AA19" s="49">
        <f t="shared" si="45"/>
        <v>29104.690000000031</v>
      </c>
      <c r="AB19" s="49">
        <f t="shared" si="45"/>
        <v>22478.619999999995</v>
      </c>
      <c r="AC19" s="49">
        <f t="shared" si="45"/>
        <v>33127.469999999972</v>
      </c>
      <c r="AD19" s="49">
        <f t="shared" si="45"/>
        <v>25212.75</v>
      </c>
      <c r="AE19" s="49">
        <f t="shared" si="45"/>
        <v>59539.049999999988</v>
      </c>
      <c r="AF19" s="49">
        <f t="shared" si="45"/>
        <v>80882.610000000044</v>
      </c>
      <c r="AG19" s="49">
        <f t="shared" si="45"/>
        <v>81143.679999999993</v>
      </c>
      <c r="AH19" s="49">
        <f t="shared" si="45"/>
        <v>66246.799999999988</v>
      </c>
      <c r="AI19" s="49">
        <f t="shared" si="45"/>
        <v>35425.45000000007</v>
      </c>
      <c r="AJ19" s="49">
        <f t="shared" si="45"/>
        <v>39024.160000000033</v>
      </c>
      <c r="AK19" s="49">
        <f t="shared" si="45"/>
        <v>48252.569999999949</v>
      </c>
      <c r="AL19" s="49">
        <f t="shared" si="45"/>
        <v>51813.380000000005</v>
      </c>
      <c r="AM19" s="49">
        <f t="shared" si="45"/>
        <v>47896.869999999879</v>
      </c>
      <c r="AN19" s="49">
        <f t="shared" si="45"/>
        <v>55846.649999999907</v>
      </c>
      <c r="AO19" s="49">
        <f t="shared" si="45"/>
        <v>50635.870000000112</v>
      </c>
      <c r="AP19" s="49">
        <f t="shared" si="45"/>
        <v>54360.070000000065</v>
      </c>
      <c r="AQ19" s="49">
        <f t="shared" si="45"/>
        <v>128957.95999999996</v>
      </c>
      <c r="AR19" s="49">
        <f t="shared" si="45"/>
        <v>158613.15999999992</v>
      </c>
      <c r="AS19" s="49">
        <f t="shared" si="45"/>
        <v>142343.34000000008</v>
      </c>
      <c r="AT19" s="49">
        <f t="shared" si="45"/>
        <v>114616.44999999995</v>
      </c>
      <c r="AU19" s="49">
        <f t="shared" si="45"/>
        <v>48268.469999999972</v>
      </c>
      <c r="AV19" s="49">
        <f>IF(AV10="","",AV10-AU10)</f>
        <v>47368.050000000047</v>
      </c>
      <c r="AW19" s="49">
        <f t="shared" si="45"/>
        <v>75812.070000000065</v>
      </c>
      <c r="AX19" s="49">
        <f t="shared" si="45"/>
        <v>62120.129999999888</v>
      </c>
      <c r="AY19" s="49">
        <f t="shared" si="51"/>
        <v>51351.370000000112</v>
      </c>
      <c r="AZ19" s="49">
        <f t="shared" si="51"/>
        <v>53160.570000000065</v>
      </c>
      <c r="BA19" s="49">
        <f t="shared" si="51"/>
        <v>0</v>
      </c>
      <c r="BB19" s="49">
        <f t="shared" si="51"/>
        <v>-2627.4799999999814</v>
      </c>
      <c r="BC19" s="49">
        <f t="shared" si="51"/>
        <v>0</v>
      </c>
      <c r="BD19" s="49">
        <f t="shared" si="51"/>
        <v>0</v>
      </c>
      <c r="BE19" s="49">
        <f t="shared" si="51"/>
        <v>0</v>
      </c>
      <c r="BF19" s="49">
        <f t="shared" si="51"/>
        <v>0</v>
      </c>
      <c r="BG19" s="49">
        <f t="shared" si="51"/>
        <v>0</v>
      </c>
      <c r="BH19" s="49">
        <f t="shared" si="51"/>
        <v>0</v>
      </c>
      <c r="BI19" s="49">
        <f t="shared" si="51"/>
        <v>0</v>
      </c>
      <c r="BJ19" s="49">
        <f t="shared" si="51"/>
        <v>0</v>
      </c>
      <c r="BK19" s="49">
        <f t="shared" si="51"/>
        <v>0</v>
      </c>
      <c r="BL19" s="49">
        <f t="shared" si="51"/>
        <v>0</v>
      </c>
      <c r="BM19" s="49">
        <f t="shared" si="51"/>
        <v>0</v>
      </c>
      <c r="BN19" s="49">
        <f t="shared" si="51"/>
        <v>0</v>
      </c>
      <c r="BO19" s="49">
        <f t="shared" si="51"/>
        <v>0</v>
      </c>
      <c r="BP19" s="49">
        <f t="shared" si="51"/>
        <v>0</v>
      </c>
      <c r="BQ19" s="49">
        <f t="shared" si="51"/>
        <v>0</v>
      </c>
      <c r="BR19" s="49">
        <f t="shared" si="51"/>
        <v>0</v>
      </c>
      <c r="BS19" s="49">
        <f t="shared" si="51"/>
        <v>0</v>
      </c>
      <c r="BT19" s="49">
        <f t="shared" si="51"/>
        <v>0</v>
      </c>
      <c r="BU19" s="49">
        <f t="shared" si="51"/>
        <v>0</v>
      </c>
      <c r="BV19" s="49">
        <f t="shared" si="51"/>
        <v>0</v>
      </c>
      <c r="BW19" s="49">
        <f t="shared" si="51"/>
        <v>0</v>
      </c>
      <c r="BX19" s="49">
        <f t="shared" si="51"/>
        <v>0</v>
      </c>
      <c r="BY19" s="49">
        <f t="shared" si="51"/>
        <v>0</v>
      </c>
      <c r="BZ19" s="49">
        <f t="shared" si="51"/>
        <v>0</v>
      </c>
      <c r="CA19" s="49">
        <f t="shared" si="51"/>
        <v>0</v>
      </c>
      <c r="CB19" s="49">
        <f t="shared" si="51"/>
        <v>0</v>
      </c>
      <c r="CC19" s="49">
        <f t="shared" si="51"/>
        <v>0</v>
      </c>
      <c r="CD19" s="49">
        <f t="shared" si="51"/>
        <v>0</v>
      </c>
      <c r="CE19" s="49">
        <f t="shared" si="51"/>
        <v>0</v>
      </c>
      <c r="CF19" s="251">
        <v>0</v>
      </c>
      <c r="CG19" s="251">
        <v>0</v>
      </c>
      <c r="CH19" s="251">
        <v>0</v>
      </c>
      <c r="CI19" s="251">
        <v>0</v>
      </c>
      <c r="CJ19" s="251">
        <v>0</v>
      </c>
      <c r="CK19" s="251">
        <v>0</v>
      </c>
      <c r="CL19" s="251">
        <v>0</v>
      </c>
      <c r="CM19" s="251">
        <v>0</v>
      </c>
      <c r="CN19" s="251">
        <v>0</v>
      </c>
      <c r="CO19" s="251">
        <v>0</v>
      </c>
      <c r="CP19" s="251">
        <v>0</v>
      </c>
      <c r="CQ19" s="251">
        <v>0</v>
      </c>
      <c r="CR19" s="251">
        <v>0</v>
      </c>
      <c r="CS19" s="251">
        <v>0</v>
      </c>
      <c r="CT19" s="251">
        <v>0</v>
      </c>
    </row>
    <row r="20" spans="1:98" x14ac:dyDescent="0.35">
      <c r="A20" s="38" t="s">
        <v>31</v>
      </c>
      <c r="B20" s="41"/>
      <c r="C20" s="41"/>
      <c r="D20" s="48">
        <f>SUM(D14:D19)</f>
        <v>0</v>
      </c>
      <c r="E20" s="48">
        <f t="shared" ref="E20:AW20" si="52">SUM(E14:E19)</f>
        <v>1328.78</v>
      </c>
      <c r="F20" s="48">
        <f t="shared" si="52"/>
        <v>9526.5299999999988</v>
      </c>
      <c r="G20" s="48">
        <f t="shared" si="52"/>
        <v>131900.43000000002</v>
      </c>
      <c r="H20" s="48">
        <f t="shared" si="52"/>
        <v>295999.55</v>
      </c>
      <c r="I20" s="48">
        <f t="shared" si="52"/>
        <v>425553.79999999987</v>
      </c>
      <c r="J20" s="48">
        <f t="shared" si="52"/>
        <v>758519.65</v>
      </c>
      <c r="K20" s="48">
        <f t="shared" si="52"/>
        <v>199350.73000000016</v>
      </c>
      <c r="L20" s="48">
        <f t="shared" si="52"/>
        <v>279108.34999999992</v>
      </c>
      <c r="M20" s="48">
        <f t="shared" si="52"/>
        <v>438307.65</v>
      </c>
      <c r="N20" s="48">
        <f t="shared" si="52"/>
        <v>509660.87999999989</v>
      </c>
      <c r="O20" s="48">
        <f t="shared" si="52"/>
        <v>486201.49000000028</v>
      </c>
      <c r="P20" s="48">
        <f t="shared" si="52"/>
        <v>514839.35999999993</v>
      </c>
      <c r="Q20" s="48">
        <f t="shared" si="52"/>
        <v>312695.84999999963</v>
      </c>
      <c r="R20" s="48">
        <f t="shared" si="52"/>
        <v>392474.24999999977</v>
      </c>
      <c r="S20" s="48">
        <f t="shared" si="52"/>
        <v>1348848.3600000003</v>
      </c>
      <c r="T20" s="48">
        <f t="shared" si="52"/>
        <v>1958770.0699999998</v>
      </c>
      <c r="U20" s="48">
        <f t="shared" si="52"/>
        <v>2119352.19</v>
      </c>
      <c r="V20" s="48">
        <f t="shared" si="52"/>
        <v>1653005.44</v>
      </c>
      <c r="W20" s="48">
        <f t="shared" si="52"/>
        <v>750637.88000000059</v>
      </c>
      <c r="X20" s="48">
        <f t="shared" si="52"/>
        <v>825052.10999999905</v>
      </c>
      <c r="Y20" s="48">
        <f t="shared" si="52"/>
        <v>1097101.9800000007</v>
      </c>
      <c r="Z20" s="48">
        <f t="shared" si="52"/>
        <v>1233427.4099999992</v>
      </c>
      <c r="AA20" s="48">
        <f t="shared" si="52"/>
        <v>1062738.5799999998</v>
      </c>
      <c r="AB20" s="48">
        <f t="shared" si="52"/>
        <v>1116457.6900000018</v>
      </c>
      <c r="AC20" s="48">
        <f t="shared" si="52"/>
        <v>959793.47999999963</v>
      </c>
      <c r="AD20" s="48">
        <f t="shared" si="52"/>
        <v>1424231.0999999994</v>
      </c>
      <c r="AE20" s="48">
        <f t="shared" si="52"/>
        <v>3804569.2400000016</v>
      </c>
      <c r="AF20" s="48">
        <f t="shared" si="52"/>
        <v>5112749.5900000026</v>
      </c>
      <c r="AG20" s="48">
        <f t="shared" si="52"/>
        <v>4713867.5500000026</v>
      </c>
      <c r="AH20" s="48">
        <f t="shared" si="52"/>
        <v>3598339.9599999986</v>
      </c>
      <c r="AI20" s="48">
        <f t="shared" si="52"/>
        <v>1714525.5399999977</v>
      </c>
      <c r="AJ20" s="48">
        <f t="shared" si="52"/>
        <v>1571421.2499999981</v>
      </c>
      <c r="AK20" s="48">
        <f t="shared" si="52"/>
        <v>1919519.9299999997</v>
      </c>
      <c r="AL20" s="48">
        <f t="shared" si="52"/>
        <v>2060434.7699999972</v>
      </c>
      <c r="AM20" s="48">
        <f t="shared" si="52"/>
        <v>1799627.3200000029</v>
      </c>
      <c r="AN20" s="48">
        <f t="shared" si="52"/>
        <v>2312591.7700000047</v>
      </c>
      <c r="AO20" s="48">
        <f t="shared" si="52"/>
        <v>2109913.9999999995</v>
      </c>
      <c r="AP20" s="48">
        <f t="shared" si="52"/>
        <v>1887985.9599999981</v>
      </c>
      <c r="AQ20" s="48">
        <f t="shared" si="52"/>
        <v>6123794.6400000015</v>
      </c>
      <c r="AR20" s="48">
        <f t="shared" si="52"/>
        <v>7375311.7899999972</v>
      </c>
      <c r="AS20" s="48">
        <f t="shared" si="52"/>
        <v>6969272.2200000016</v>
      </c>
      <c r="AT20" s="48">
        <f t="shared" si="52"/>
        <v>5125287.4899999993</v>
      </c>
      <c r="AU20" s="48">
        <f t="shared" si="52"/>
        <v>2223308.9999999981</v>
      </c>
      <c r="AV20" s="48">
        <f t="shared" si="52"/>
        <v>2078395.7300000025</v>
      </c>
      <c r="AW20" s="48">
        <f t="shared" si="52"/>
        <v>2228734.6799999988</v>
      </c>
      <c r="AX20" s="48">
        <f t="shared" ref="AX20:AY20" si="53">SUM(AX14:AX19)</f>
        <v>2369847.9499999997</v>
      </c>
      <c r="AY20" s="48">
        <f t="shared" si="53"/>
        <v>217555.38999999873</v>
      </c>
      <c r="AZ20" s="48">
        <f t="shared" ref="AZ20:BA20" si="54">SUM(AZ14:AZ19)</f>
        <v>1940172.8499999971</v>
      </c>
      <c r="BA20" s="48">
        <f t="shared" si="54"/>
        <v>2286.3100000023842</v>
      </c>
      <c r="BB20" s="48">
        <f t="shared" ref="BB20:BC20" si="55">SUM(BB14:BB19)</f>
        <v>33.389999997336417</v>
      </c>
      <c r="BC20" s="48">
        <f t="shared" si="55"/>
        <v>12223.310000002384</v>
      </c>
      <c r="BD20" s="48">
        <f t="shared" ref="BD20:BE20" si="56">SUM(BD14:BD19)</f>
        <v>22853.179999999702</v>
      </c>
      <c r="BE20" s="48">
        <f t="shared" si="56"/>
        <v>37353.849999999627</v>
      </c>
      <c r="BF20" s="48">
        <f t="shared" ref="BF20:BG20" si="57">SUM(BF14:BF19)</f>
        <v>34409.610000001267</v>
      </c>
      <c r="BG20" s="48">
        <f t="shared" si="57"/>
        <v>13496.160000000149</v>
      </c>
      <c r="BH20" s="48">
        <f t="shared" ref="BH20:BI20" si="58">SUM(BH14:BH19)</f>
        <v>12870.069999998435</v>
      </c>
      <c r="BI20" s="48">
        <f t="shared" si="58"/>
        <v>17714.029999999329</v>
      </c>
      <c r="BJ20" s="48">
        <f t="shared" ref="BJ20:BK20" si="59">SUM(BJ14:BJ19)</f>
        <v>20826.88000000082</v>
      </c>
      <c r="BK20" s="48">
        <f t="shared" si="59"/>
        <v>19099.220000000671</v>
      </c>
      <c r="BL20" s="48">
        <f t="shared" ref="BL20:BM20" si="60">SUM(BL14:BL19)</f>
        <v>21421.460000000894</v>
      </c>
      <c r="BM20" s="48">
        <f t="shared" si="60"/>
        <v>19168.38000000082</v>
      </c>
      <c r="BN20" s="48">
        <f t="shared" ref="BN20:BO20" si="61">SUM(BN14:BN19)</f>
        <v>25465.089999996126</v>
      </c>
      <c r="BO20" s="48">
        <f t="shared" si="61"/>
        <v>70360.550000002608</v>
      </c>
      <c r="BP20" s="48">
        <f t="shared" ref="BP20:BQ20" si="62">SUM(BP14:BP19)</f>
        <v>91202.140000000596</v>
      </c>
      <c r="BQ20" s="48">
        <f t="shared" si="62"/>
        <v>84499.239999998827</v>
      </c>
      <c r="BR20" s="48">
        <f t="shared" ref="BR20:BS20" si="63">SUM(BR14:BR19)</f>
        <v>53951.849999999627</v>
      </c>
      <c r="BS20" s="48">
        <f t="shared" si="63"/>
        <v>21911.110000000801</v>
      </c>
      <c r="BT20" s="48">
        <f t="shared" ref="BT20:BU20" si="64">SUM(BT14:BT19)</f>
        <v>20626.079999999609</v>
      </c>
      <c r="BU20" s="48">
        <f t="shared" si="64"/>
        <v>24775.299999998882</v>
      </c>
      <c r="BV20" s="48">
        <f t="shared" ref="BV20:BW20" si="65">SUM(BV14:BV19)</f>
        <v>25830.020000001416</v>
      </c>
      <c r="BW20" s="48">
        <f t="shared" si="65"/>
        <v>21223.889999997336</v>
      </c>
      <c r="BX20" s="48">
        <f t="shared" ref="BX20:BY20" si="66">SUM(BX14:BX19)</f>
        <v>0</v>
      </c>
      <c r="BY20" s="48">
        <f t="shared" si="66"/>
        <v>0</v>
      </c>
      <c r="BZ20" s="48">
        <f t="shared" ref="BZ20:CA20" si="67">SUM(BZ14:BZ19)</f>
        <v>0</v>
      </c>
      <c r="CA20" s="48">
        <f t="shared" si="67"/>
        <v>0</v>
      </c>
      <c r="CB20" s="48">
        <f t="shared" ref="CB20:CC20" si="68">SUM(CB14:CB19)</f>
        <v>0</v>
      </c>
      <c r="CC20" s="48">
        <f t="shared" si="68"/>
        <v>0</v>
      </c>
      <c r="CD20" s="48">
        <f t="shared" ref="CD20:CE20" si="69">SUM(CD14:CD19)</f>
        <v>0</v>
      </c>
      <c r="CE20" s="48">
        <f t="shared" si="69"/>
        <v>0</v>
      </c>
      <c r="CF20" s="48">
        <f>SUM(CF14:CF19)</f>
        <v>0</v>
      </c>
      <c r="CG20" s="48">
        <f t="shared" ref="CG20" si="70">SUM(CG14:CG19)</f>
        <v>0</v>
      </c>
      <c r="CH20" s="48">
        <f t="shared" ref="CH20:CI20" si="71">SUM(CH14:CH19)</f>
        <v>0</v>
      </c>
      <c r="CI20" s="48">
        <f t="shared" si="71"/>
        <v>0</v>
      </c>
      <c r="CJ20" s="48">
        <f t="shared" ref="CJ20:CK20" si="72">SUM(CJ14:CJ19)</f>
        <v>0</v>
      </c>
      <c r="CK20" s="48">
        <f t="shared" si="72"/>
        <v>0</v>
      </c>
      <c r="CL20" s="48">
        <f t="shared" ref="CL20:CM20" si="73">SUM(CL14:CL19)</f>
        <v>0</v>
      </c>
      <c r="CM20" s="48">
        <f t="shared" si="73"/>
        <v>0</v>
      </c>
      <c r="CN20" s="48">
        <f t="shared" ref="CN20:CO20" si="74">SUM(CN14:CN19)</f>
        <v>0</v>
      </c>
      <c r="CO20" s="48">
        <f t="shared" si="74"/>
        <v>0</v>
      </c>
      <c r="CP20" s="48">
        <f t="shared" ref="CP20:CQ20" si="75">SUM(CP14:CP19)</f>
        <v>0</v>
      </c>
      <c r="CQ20" s="48">
        <f t="shared" si="75"/>
        <v>0</v>
      </c>
      <c r="CR20" s="48">
        <f t="shared" ref="CR20:CS20" si="76">SUM(CR14:CR19)</f>
        <v>0</v>
      </c>
      <c r="CS20" s="48">
        <f t="shared" si="76"/>
        <v>0</v>
      </c>
      <c r="CT20" s="48">
        <f>SUM(CT14:CT19)</f>
        <v>0</v>
      </c>
    </row>
    <row r="21" spans="1:98" x14ac:dyDescent="0.35">
      <c r="A21" s="38"/>
      <c r="B21" s="41"/>
      <c r="C21" s="41"/>
    </row>
    <row r="22" spans="1:98" x14ac:dyDescent="0.35">
      <c r="A22" s="29" t="s">
        <v>32</v>
      </c>
      <c r="B22" s="41"/>
      <c r="C22" s="41"/>
      <c r="CF22" s="252" t="s">
        <v>124</v>
      </c>
      <c r="CG22" s="253"/>
    </row>
    <row r="23" spans="1:98" x14ac:dyDescent="0.35">
      <c r="A23" s="40" t="s">
        <v>33</v>
      </c>
      <c r="B23" s="41"/>
      <c r="C23" s="41"/>
      <c r="D23" s="47">
        <v>993615280</v>
      </c>
      <c r="E23" s="47">
        <v>799965556</v>
      </c>
      <c r="F23" s="47">
        <v>694347365</v>
      </c>
      <c r="G23" s="47">
        <v>1033880199</v>
      </c>
      <c r="H23" s="47">
        <v>1389519683</v>
      </c>
      <c r="I23" s="47">
        <v>1393717014</v>
      </c>
      <c r="J23" s="47">
        <v>1260356462</v>
      </c>
      <c r="K23" s="47">
        <v>898752689</v>
      </c>
      <c r="L23" s="47">
        <v>737254549</v>
      </c>
      <c r="M23" s="47">
        <v>1139687162</v>
      </c>
      <c r="N23" s="47">
        <v>1486587515</v>
      </c>
      <c r="O23" s="47">
        <v>1118519560</v>
      </c>
      <c r="P23" s="47">
        <v>900425374</v>
      </c>
      <c r="Q23" s="47">
        <v>785388980</v>
      </c>
      <c r="R23" s="47">
        <v>745552820</v>
      </c>
      <c r="S23" s="47">
        <v>999249366</v>
      </c>
      <c r="T23" s="47">
        <v>1328710328</v>
      </c>
      <c r="U23" s="47">
        <v>1345571317</v>
      </c>
      <c r="V23" s="47">
        <v>1065182267</v>
      </c>
      <c r="W23" s="47">
        <v>935823271</v>
      </c>
      <c r="X23" s="47">
        <v>821487370</v>
      </c>
      <c r="Y23" s="47">
        <v>1061048123</v>
      </c>
      <c r="Z23" s="47">
        <v>1655009463</v>
      </c>
      <c r="AA23" s="47">
        <v>1329247401</v>
      </c>
      <c r="AB23" s="47">
        <v>1071720684</v>
      </c>
      <c r="AC23" s="47">
        <v>1035354332</v>
      </c>
      <c r="AD23" s="47">
        <v>838111932</v>
      </c>
      <c r="AE23" s="47">
        <v>1238437606</v>
      </c>
      <c r="AF23" s="47">
        <v>1451979984</v>
      </c>
      <c r="AG23" s="47">
        <v>1300666274</v>
      </c>
      <c r="AH23" s="47">
        <v>1250635703</v>
      </c>
      <c r="AI23" s="47">
        <v>971081766</v>
      </c>
      <c r="AJ23" s="47">
        <v>906818656</v>
      </c>
      <c r="AK23" s="47">
        <v>1263779046</v>
      </c>
      <c r="AL23" s="47">
        <v>1395672993</v>
      </c>
      <c r="AM23" s="47">
        <v>1407530571</v>
      </c>
      <c r="AN23" s="47">
        <v>1268128455</v>
      </c>
      <c r="AO23" s="47">
        <v>872933544</v>
      </c>
      <c r="AP23" s="47">
        <v>738196558</v>
      </c>
      <c r="AQ23" s="47">
        <v>978975302</v>
      </c>
      <c r="AR23" s="47">
        <v>1243909773</v>
      </c>
      <c r="AS23" s="47">
        <v>1310015315</v>
      </c>
      <c r="AT23" s="47">
        <v>1208033233</v>
      </c>
      <c r="AU23" s="120">
        <v>993546162</v>
      </c>
      <c r="AV23" s="47">
        <v>897156231</v>
      </c>
      <c r="AW23" s="47">
        <v>1208147189</v>
      </c>
      <c r="AX23" s="47">
        <v>1334184680</v>
      </c>
      <c r="AY23" s="47">
        <v>1302694951</v>
      </c>
      <c r="AZ23" s="47">
        <v>1123586700</v>
      </c>
      <c r="BA23" s="47">
        <v>886578697</v>
      </c>
      <c r="BB23" s="47">
        <v>790098101</v>
      </c>
      <c r="BC23" s="47">
        <v>1041013964</v>
      </c>
      <c r="BD23" s="47">
        <v>1397050553</v>
      </c>
      <c r="BE23" s="47">
        <v>1310723723</v>
      </c>
      <c r="BF23" s="47">
        <v>1275164339</v>
      </c>
      <c r="BG23" s="47">
        <v>800796996</v>
      </c>
      <c r="BH23" s="47">
        <v>856955103</v>
      </c>
      <c r="BI23" s="47">
        <v>1137867523</v>
      </c>
      <c r="BJ23" s="47">
        <v>1482496943</v>
      </c>
      <c r="BK23" s="47">
        <v>1507047480</v>
      </c>
      <c r="BL23" s="47">
        <v>1193201650</v>
      </c>
      <c r="BM23" s="47">
        <v>803567941</v>
      </c>
      <c r="BN23" s="47">
        <v>753161249</v>
      </c>
      <c r="BO23" s="47">
        <v>1061485022</v>
      </c>
      <c r="BP23" s="47">
        <v>1299384453</v>
      </c>
      <c r="BQ23" s="47">
        <v>1325635096</v>
      </c>
      <c r="BR23" s="47">
        <v>1302322503</v>
      </c>
      <c r="BS23" s="47">
        <v>902367562</v>
      </c>
      <c r="BT23" s="47">
        <v>849229853</v>
      </c>
      <c r="BU23" s="47">
        <v>1063566547</v>
      </c>
      <c r="BV23" s="47">
        <v>1372451320</v>
      </c>
      <c r="BW23" s="47">
        <v>1445914846</v>
      </c>
      <c r="BX23" s="47">
        <v>1156058653</v>
      </c>
      <c r="BY23" s="47">
        <v>900363528</v>
      </c>
      <c r="BZ23" s="47">
        <v>837159184</v>
      </c>
      <c r="CA23" s="47">
        <v>1060197293</v>
      </c>
      <c r="CB23" s="47">
        <v>1457350528</v>
      </c>
      <c r="CC23" s="47">
        <v>1390553772</v>
      </c>
      <c r="CD23" s="47">
        <v>1159635260</v>
      </c>
      <c r="CE23" s="47">
        <v>837049627</v>
      </c>
      <c r="CF23" s="254">
        <f>'[116]PPC.1, PCR.2F, EO.3'!B27</f>
        <v>823809710.89954734</v>
      </c>
      <c r="CG23" s="254">
        <f>'[116]PPC.1, PCR.2F, EO.3'!C27</f>
        <v>1184020781.8935058</v>
      </c>
      <c r="CH23" s="254">
        <f>'[116]PPC.1, PCR.2F, EO.3'!D27</f>
        <v>1463715224.8515413</v>
      </c>
      <c r="CI23" s="254">
        <f>'[116]PPC.1, PCR.2F, EO.3'!E27</f>
        <v>1336664994.0460832</v>
      </c>
      <c r="CJ23" s="254">
        <f>'[116]PPC.1, PCR.2F, EO.3'!F27</f>
        <v>1119079665.4526877</v>
      </c>
      <c r="CK23" s="254">
        <f>'[116]PPC.1, PCR.2F, EO.3'!G27</f>
        <v>861310496.59871697</v>
      </c>
      <c r="CL23" s="254">
        <f>'[116]PPC.1, PCR.2F, EO.3'!H27</f>
        <v>719637418.50404811</v>
      </c>
      <c r="CM23" s="254">
        <f>'[116]PPC.1, PCR.2F, EO.3'!I27</f>
        <v>953087156.89234209</v>
      </c>
      <c r="CN23" s="254">
        <f>'[116]PPC.1, PCR.2F, EO.3'!J27</f>
        <v>1248214161.8172109</v>
      </c>
      <c r="CO23" s="254">
        <f>'[116]PPC.1, PCR.2F, EO.3'!K27</f>
        <v>1255176708.3970134</v>
      </c>
      <c r="CP23" s="254">
        <f>'[116]PPC.1, PCR.2F, EO.3'!L27</f>
        <v>1155438853.4211845</v>
      </c>
      <c r="CQ23" s="254">
        <f>'[116]PPC.1, PCR.2F, EO.3'!M27</f>
        <v>799316341.7253443</v>
      </c>
      <c r="CR23" s="254">
        <f>'[116]PPC.1, PCR.2F, EO.3'!N27</f>
        <v>823435842.64099085</v>
      </c>
      <c r="CS23" s="254">
        <f>'[116]PPC.1, PCR.2F, EO.3'!O27</f>
        <v>1182253404.6712387</v>
      </c>
      <c r="CT23" s="254">
        <f>'[116]PPC.1, PCR.2F, EO.3'!P27</f>
        <v>1463243391.1134698</v>
      </c>
    </row>
    <row r="24" spans="1:98" x14ac:dyDescent="0.35">
      <c r="A24" s="40" t="s">
        <v>34</v>
      </c>
      <c r="B24" s="41"/>
      <c r="C24" s="41"/>
      <c r="D24" s="47">
        <v>260227273</v>
      </c>
      <c r="E24" s="47">
        <v>236480663</v>
      </c>
      <c r="F24" s="47">
        <v>226604577</v>
      </c>
      <c r="G24" s="47">
        <v>276800633</v>
      </c>
      <c r="H24" s="47">
        <v>328433342</v>
      </c>
      <c r="I24" s="47">
        <v>327996744</v>
      </c>
      <c r="J24" s="47">
        <v>315410170</v>
      </c>
      <c r="K24" s="47">
        <v>268275261</v>
      </c>
      <c r="L24" s="47">
        <v>238400191</v>
      </c>
      <c r="M24" s="47">
        <v>276639061</v>
      </c>
      <c r="N24" s="47">
        <v>331623730</v>
      </c>
      <c r="O24" s="47">
        <v>274620464</v>
      </c>
      <c r="P24" s="47">
        <v>244043467</v>
      </c>
      <c r="Q24" s="47">
        <v>230986921</v>
      </c>
      <c r="R24" s="47">
        <v>228484392</v>
      </c>
      <c r="S24" s="47">
        <v>271547337</v>
      </c>
      <c r="T24" s="47">
        <v>314773105</v>
      </c>
      <c r="U24" s="47">
        <v>317794583</v>
      </c>
      <c r="V24" s="47">
        <v>284270101</v>
      </c>
      <c r="W24" s="47">
        <v>269129889</v>
      </c>
      <c r="X24" s="47">
        <v>240618906</v>
      </c>
      <c r="Y24" s="47">
        <v>265688240</v>
      </c>
      <c r="Z24" s="47">
        <v>350848362</v>
      </c>
      <c r="AA24" s="47">
        <v>304988610</v>
      </c>
      <c r="AB24" s="47">
        <v>267166722</v>
      </c>
      <c r="AC24" s="47">
        <v>263421812</v>
      </c>
      <c r="AD24" s="47">
        <v>238338730</v>
      </c>
      <c r="AE24" s="47">
        <v>299991891</v>
      </c>
      <c r="AF24" s="47">
        <v>330814291</v>
      </c>
      <c r="AG24" s="47">
        <v>309298324</v>
      </c>
      <c r="AH24" s="47">
        <v>303923884</v>
      </c>
      <c r="AI24" s="47">
        <v>267631865</v>
      </c>
      <c r="AJ24" s="47">
        <v>241319654</v>
      </c>
      <c r="AK24" s="47">
        <v>291652347</v>
      </c>
      <c r="AL24" s="47">
        <v>307968093</v>
      </c>
      <c r="AM24" s="47">
        <v>308068267</v>
      </c>
      <c r="AN24" s="47">
        <v>290178959</v>
      </c>
      <c r="AO24" s="47">
        <v>235096003</v>
      </c>
      <c r="AP24" s="47">
        <v>221772499</v>
      </c>
      <c r="AQ24" s="47">
        <v>258735845</v>
      </c>
      <c r="AR24" s="47">
        <v>295975497</v>
      </c>
      <c r="AS24" s="47">
        <v>304175879</v>
      </c>
      <c r="AT24" s="47">
        <v>293549572</v>
      </c>
      <c r="AU24" s="120">
        <v>264736629</v>
      </c>
      <c r="AV24" s="47">
        <v>237145043</v>
      </c>
      <c r="AW24" s="47">
        <v>278572550</v>
      </c>
      <c r="AX24" s="47">
        <v>297050898</v>
      </c>
      <c r="AY24" s="47">
        <v>290934660</v>
      </c>
      <c r="AZ24" s="47">
        <v>265078600</v>
      </c>
      <c r="BA24" s="47">
        <v>203506574</v>
      </c>
      <c r="BB24" s="47">
        <v>184563246</v>
      </c>
      <c r="BC24" s="47">
        <v>231230759</v>
      </c>
      <c r="BD24" s="47">
        <v>288425422</v>
      </c>
      <c r="BE24" s="47">
        <v>281389691</v>
      </c>
      <c r="BF24" s="47">
        <v>269111017</v>
      </c>
      <c r="BG24" s="47">
        <v>218212399</v>
      </c>
      <c r="BH24" s="47">
        <v>218068919</v>
      </c>
      <c r="BI24" s="47">
        <v>251883126</v>
      </c>
      <c r="BJ24" s="47">
        <v>300425840</v>
      </c>
      <c r="BK24" s="47">
        <v>303577891</v>
      </c>
      <c r="BL24" s="47">
        <v>265359424</v>
      </c>
      <c r="BM24" s="47">
        <v>211100441</v>
      </c>
      <c r="BN24" s="47">
        <v>205986967</v>
      </c>
      <c r="BO24" s="47">
        <v>264522271</v>
      </c>
      <c r="BP24" s="47">
        <v>291815734</v>
      </c>
      <c r="BQ24" s="47">
        <v>291413887</v>
      </c>
      <c r="BR24" s="47">
        <v>294374400</v>
      </c>
      <c r="BS24" s="47">
        <v>245524134</v>
      </c>
      <c r="BT24" s="47">
        <v>219607166</v>
      </c>
      <c r="BU24" s="47">
        <v>250466096</v>
      </c>
      <c r="BV24" s="47">
        <v>295383726</v>
      </c>
      <c r="BW24" s="47">
        <v>301077290</v>
      </c>
      <c r="BX24" s="47">
        <v>261058604</v>
      </c>
      <c r="BY24" s="47">
        <v>230949228</v>
      </c>
      <c r="BZ24" s="47">
        <v>223998788</v>
      </c>
      <c r="CA24" s="47">
        <v>260692423</v>
      </c>
      <c r="CB24" s="47">
        <v>312328749</v>
      </c>
      <c r="CC24" s="47">
        <v>305346654</v>
      </c>
      <c r="CD24" s="47">
        <v>279929276</v>
      </c>
      <c r="CE24" s="47">
        <v>230143220</v>
      </c>
      <c r="CF24" s="254">
        <f>'[116]PPC.1, PCR.2F, EO.3'!B28</f>
        <v>214006590.80418369</v>
      </c>
      <c r="CG24" s="254">
        <f>'[116]PPC.1, PCR.2F, EO.3'!C28</f>
        <v>259208399.28055152</v>
      </c>
      <c r="CH24" s="254">
        <f>'[116]PPC.1, PCR.2F, EO.3'!D28</f>
        <v>305953434.20188934</v>
      </c>
      <c r="CI24" s="254">
        <f>'[116]PPC.1, PCR.2F, EO.3'!E28</f>
        <v>280856418.68896633</v>
      </c>
      <c r="CJ24" s="254">
        <f>'[116]PPC.1, PCR.2F, EO.3'!F28</f>
        <v>244645940.36085454</v>
      </c>
      <c r="CK24" s="254">
        <f>'[116]PPC.1, PCR.2F, EO.3'!G28</f>
        <v>211287471.96717843</v>
      </c>
      <c r="CL24" s="254">
        <f>'[116]PPC.1, PCR.2F, EO.3'!H28</f>
        <v>203754783.1300754</v>
      </c>
      <c r="CM24" s="254">
        <f>'[116]PPC.1, PCR.2F, EO.3'!I28</f>
        <v>248296251.07174692</v>
      </c>
      <c r="CN24" s="254">
        <f>'[116]PPC.1, PCR.2F, EO.3'!J28</f>
        <v>276440786.4582572</v>
      </c>
      <c r="CO24" s="254">
        <f>'[116]PPC.1, PCR.2F, EO.3'!K28</f>
        <v>276703179.2840662</v>
      </c>
      <c r="CP24" s="254">
        <f>'[116]PPC.1, PCR.2F, EO.3'!L28</f>
        <v>268461515.94519675</v>
      </c>
      <c r="CQ24" s="254">
        <f>'[116]PPC.1, PCR.2F, EO.3'!M28</f>
        <v>222468642.64741558</v>
      </c>
      <c r="CR24" s="254">
        <f>'[116]PPC.1, PCR.2F, EO.3'!N28</f>
        <v>214037969.80153504</v>
      </c>
      <c r="CS24" s="254">
        <f>'[116]PPC.1, PCR.2F, EO.3'!O28</f>
        <v>259388443.35974792</v>
      </c>
      <c r="CT24" s="254">
        <f>'[116]PPC.1, PCR.2F, EO.3'!P28</f>
        <v>309078989.07965964</v>
      </c>
    </row>
    <row r="25" spans="1:98" x14ac:dyDescent="0.35">
      <c r="A25" s="40" t="s">
        <v>35</v>
      </c>
      <c r="B25" s="41"/>
      <c r="C25" s="41"/>
      <c r="D25" s="47">
        <v>596370095</v>
      </c>
      <c r="E25" s="47">
        <v>585567373</v>
      </c>
      <c r="F25" s="47">
        <v>584363020</v>
      </c>
      <c r="G25" s="47">
        <v>661650596</v>
      </c>
      <c r="H25" s="47">
        <v>744450846</v>
      </c>
      <c r="I25" s="47">
        <v>746230356</v>
      </c>
      <c r="J25" s="47">
        <v>749176357</v>
      </c>
      <c r="K25" s="47">
        <v>659221190</v>
      </c>
      <c r="L25" s="47">
        <v>600231827</v>
      </c>
      <c r="M25" s="47">
        <v>624953134</v>
      </c>
      <c r="N25" s="47">
        <v>693030252</v>
      </c>
      <c r="O25" s="47">
        <v>607344097</v>
      </c>
      <c r="P25" s="47">
        <v>572358448</v>
      </c>
      <c r="Q25" s="47">
        <v>562854773</v>
      </c>
      <c r="R25" s="47">
        <v>578075204</v>
      </c>
      <c r="S25" s="47">
        <v>655641906</v>
      </c>
      <c r="T25" s="47">
        <v>714056556</v>
      </c>
      <c r="U25" s="47">
        <v>727381902</v>
      </c>
      <c r="V25" s="47">
        <v>685704779</v>
      </c>
      <c r="W25" s="47">
        <v>658415575</v>
      </c>
      <c r="X25" s="47">
        <v>591258230</v>
      </c>
      <c r="Y25" s="47">
        <v>617045102</v>
      </c>
      <c r="Z25" s="47">
        <v>713223360</v>
      </c>
      <c r="AA25" s="47">
        <v>637748229</v>
      </c>
      <c r="AB25" s="47">
        <v>591995322</v>
      </c>
      <c r="AC25" s="47">
        <v>597309651</v>
      </c>
      <c r="AD25" s="47">
        <v>591787732</v>
      </c>
      <c r="AE25" s="47">
        <v>706111391</v>
      </c>
      <c r="AF25" s="47">
        <v>750019857</v>
      </c>
      <c r="AG25" s="47">
        <v>709167976</v>
      </c>
      <c r="AH25" s="47">
        <v>721543630</v>
      </c>
      <c r="AI25" s="47">
        <v>655717182</v>
      </c>
      <c r="AJ25" s="47">
        <v>583325592</v>
      </c>
      <c r="AK25" s="47">
        <v>635010680</v>
      </c>
      <c r="AL25" s="47">
        <v>645753087</v>
      </c>
      <c r="AM25" s="47">
        <v>624256369</v>
      </c>
      <c r="AN25" s="47">
        <v>599641261</v>
      </c>
      <c r="AO25" s="47">
        <v>546450417</v>
      </c>
      <c r="AP25" s="47">
        <v>548775486</v>
      </c>
      <c r="AQ25" s="47">
        <v>609609142</v>
      </c>
      <c r="AR25" s="47">
        <v>656813642</v>
      </c>
      <c r="AS25" s="47">
        <v>671886437</v>
      </c>
      <c r="AT25" s="47">
        <v>678219627</v>
      </c>
      <c r="AU25" s="120">
        <v>622550219</v>
      </c>
      <c r="AV25" s="47">
        <v>549600433</v>
      </c>
      <c r="AW25" s="47">
        <v>596432225</v>
      </c>
      <c r="AX25" s="47">
        <v>616923082</v>
      </c>
      <c r="AY25" s="47">
        <v>599527620</v>
      </c>
      <c r="AZ25" s="47">
        <v>566693954</v>
      </c>
      <c r="BA25" s="47">
        <v>483801855</v>
      </c>
      <c r="BB25" s="47">
        <v>451939609</v>
      </c>
      <c r="BC25" s="47">
        <v>534583835</v>
      </c>
      <c r="BD25" s="47">
        <v>624356693</v>
      </c>
      <c r="BE25" s="47">
        <v>621885740</v>
      </c>
      <c r="BF25" s="47">
        <v>619148163</v>
      </c>
      <c r="BG25" s="47">
        <v>528448107.69999999</v>
      </c>
      <c r="BH25" s="47">
        <v>514648084</v>
      </c>
      <c r="BI25" s="47">
        <v>553120787</v>
      </c>
      <c r="BJ25" s="47">
        <v>592823385</v>
      </c>
      <c r="BK25" s="47">
        <v>585712392</v>
      </c>
      <c r="BL25" s="47">
        <v>543642088</v>
      </c>
      <c r="BM25" s="47">
        <v>483262229</v>
      </c>
      <c r="BN25" s="47">
        <v>492375125.19999999</v>
      </c>
      <c r="BO25" s="47">
        <v>586671915</v>
      </c>
      <c r="BP25" s="47">
        <v>641235470</v>
      </c>
      <c r="BQ25" s="47">
        <v>634777638</v>
      </c>
      <c r="BR25" s="47">
        <v>647017474</v>
      </c>
      <c r="BS25" s="47">
        <v>568724491</v>
      </c>
      <c r="BT25" s="47">
        <v>505304455</v>
      </c>
      <c r="BU25" s="47">
        <v>555282313.60000002</v>
      </c>
      <c r="BV25" s="47">
        <v>590675076</v>
      </c>
      <c r="BW25" s="47">
        <v>582248455</v>
      </c>
      <c r="BX25" s="47">
        <v>534070902</v>
      </c>
      <c r="BY25" s="47">
        <v>506459043</v>
      </c>
      <c r="BZ25" s="47">
        <v>516003997</v>
      </c>
      <c r="CA25" s="47">
        <v>579943536</v>
      </c>
      <c r="CB25" s="47">
        <v>650768443</v>
      </c>
      <c r="CC25" s="47">
        <v>645110540</v>
      </c>
      <c r="CD25" s="47">
        <v>617464584</v>
      </c>
      <c r="CE25" s="47">
        <v>530232061</v>
      </c>
      <c r="CF25" s="254">
        <f>'[116]PPC.1, PCR.2F, EO.3'!B29</f>
        <v>504852117.67261267</v>
      </c>
      <c r="CG25" s="254">
        <f>'[116]PPC.1, PCR.2F, EO.3'!C29</f>
        <v>560359725.04073942</v>
      </c>
      <c r="CH25" s="254">
        <f>'[116]PPC.1, PCR.2F, EO.3'!D29</f>
        <v>613374545.87154281</v>
      </c>
      <c r="CI25" s="254">
        <f>'[116]PPC.1, PCR.2F, EO.3'!E29</f>
        <v>563003155.08682692</v>
      </c>
      <c r="CJ25" s="254">
        <f>'[116]PPC.1, PCR.2F, EO.3'!F29</f>
        <v>525777849.44958454</v>
      </c>
      <c r="CK25" s="254">
        <f>'[116]PPC.1, PCR.2F, EO.3'!G29</f>
        <v>500829507.5393312</v>
      </c>
      <c r="CL25" s="254">
        <f>'[116]PPC.1, PCR.2F, EO.3'!H29</f>
        <v>504013757.42662746</v>
      </c>
      <c r="CM25" s="254">
        <f>'[116]PPC.1, PCR.2F, EO.3'!I29</f>
        <v>561164365.77195811</v>
      </c>
      <c r="CN25" s="254">
        <f>'[116]PPC.1, PCR.2F, EO.3'!J29</f>
        <v>614242841.92436695</v>
      </c>
      <c r="CO25" s="254">
        <f>'[116]PPC.1, PCR.2F, EO.3'!K29</f>
        <v>612510395.20461011</v>
      </c>
      <c r="CP25" s="254">
        <f>'[116]PPC.1, PCR.2F, EO.3'!L29</f>
        <v>609064939.63719511</v>
      </c>
      <c r="CQ25" s="254">
        <f>'[116]PPC.1, PCR.2F, EO.3'!M29</f>
        <v>542930139.38885951</v>
      </c>
      <c r="CR25" s="254">
        <f>'[116]PPC.1, PCR.2F, EO.3'!N29</f>
        <v>505332973.16220433</v>
      </c>
      <c r="CS25" s="254">
        <f>'[116]PPC.1, PCR.2F, EO.3'!O29</f>
        <v>552569144.60818577</v>
      </c>
      <c r="CT25" s="254">
        <f>'[116]PPC.1, PCR.2F, EO.3'!P29</f>
        <v>619327366.38035524</v>
      </c>
    </row>
    <row r="26" spans="1:98" x14ac:dyDescent="0.35">
      <c r="A26" s="40" t="s">
        <v>36</v>
      </c>
      <c r="B26" s="41"/>
      <c r="C26" s="41"/>
      <c r="D26" s="47">
        <v>247441789</v>
      </c>
      <c r="E26" s="47">
        <v>263524459</v>
      </c>
      <c r="F26" s="47">
        <v>273810149</v>
      </c>
      <c r="G26" s="47">
        <v>281099842</v>
      </c>
      <c r="H26" s="47">
        <v>312186695</v>
      </c>
      <c r="I26" s="47">
        <v>304162315</v>
      </c>
      <c r="J26" s="47">
        <v>330143172</v>
      </c>
      <c r="K26" s="47">
        <v>280092260</v>
      </c>
      <c r="L26" s="47">
        <v>268855946</v>
      </c>
      <c r="M26" s="47">
        <v>269553572</v>
      </c>
      <c r="N26" s="47">
        <v>287482958</v>
      </c>
      <c r="O26" s="47">
        <v>284042474</v>
      </c>
      <c r="P26" s="47">
        <v>243773343</v>
      </c>
      <c r="Q26" s="47">
        <v>262317859</v>
      </c>
      <c r="R26" s="47">
        <v>265729533</v>
      </c>
      <c r="S26" s="47">
        <v>305383990</v>
      </c>
      <c r="T26" s="47">
        <v>299141306</v>
      </c>
      <c r="U26" s="47">
        <v>315582091</v>
      </c>
      <c r="V26" s="47">
        <v>303646750</v>
      </c>
      <c r="W26" s="47">
        <v>297206861</v>
      </c>
      <c r="X26" s="47">
        <v>267769856</v>
      </c>
      <c r="Y26" s="47">
        <v>280403761</v>
      </c>
      <c r="Z26" s="47">
        <v>308993823</v>
      </c>
      <c r="AA26" s="47">
        <v>274104685</v>
      </c>
      <c r="AB26" s="47">
        <v>272372147</v>
      </c>
      <c r="AC26" s="47">
        <v>251417733</v>
      </c>
      <c r="AD26" s="47">
        <v>289575324</v>
      </c>
      <c r="AE26" s="47">
        <v>314032531</v>
      </c>
      <c r="AF26" s="47">
        <v>325203026</v>
      </c>
      <c r="AG26" s="47">
        <v>319660753</v>
      </c>
      <c r="AH26" s="47">
        <v>311095874</v>
      </c>
      <c r="AI26" s="47">
        <v>289535965</v>
      </c>
      <c r="AJ26" s="47">
        <v>271491896</v>
      </c>
      <c r="AK26" s="47">
        <v>291933586</v>
      </c>
      <c r="AL26" s="47">
        <v>252980562</v>
      </c>
      <c r="AM26" s="47">
        <v>248710812</v>
      </c>
      <c r="AN26" s="47">
        <v>242499726</v>
      </c>
      <c r="AO26" s="47">
        <v>232539680</v>
      </c>
      <c r="AP26" s="47">
        <v>229224298</v>
      </c>
      <c r="AQ26" s="47">
        <v>266349220</v>
      </c>
      <c r="AR26" s="47">
        <v>267674678</v>
      </c>
      <c r="AS26" s="47">
        <v>281003685</v>
      </c>
      <c r="AT26" s="47">
        <v>279302255</v>
      </c>
      <c r="AU26" s="120">
        <v>258807768</v>
      </c>
      <c r="AV26" s="47">
        <v>239334214</v>
      </c>
      <c r="AW26" s="47">
        <v>241025466</v>
      </c>
      <c r="AX26" s="47">
        <v>247898204</v>
      </c>
      <c r="AY26" s="47">
        <v>255420215</v>
      </c>
      <c r="AZ26" s="47">
        <v>225135566</v>
      </c>
      <c r="BA26" s="47">
        <v>219961316</v>
      </c>
      <c r="BB26" s="47">
        <v>207074154</v>
      </c>
      <c r="BC26" s="47">
        <v>241165089</v>
      </c>
      <c r="BD26" s="47">
        <v>253833450</v>
      </c>
      <c r="BE26" s="47">
        <v>266058831</v>
      </c>
      <c r="BF26" s="47">
        <v>266126792</v>
      </c>
      <c r="BG26" s="47">
        <v>236673642.40000001</v>
      </c>
      <c r="BH26" s="47">
        <v>234876378</v>
      </c>
      <c r="BI26" s="47">
        <v>245759481</v>
      </c>
      <c r="BJ26" s="47">
        <v>241302585</v>
      </c>
      <c r="BK26" s="47">
        <v>254211213</v>
      </c>
      <c r="BL26" s="47">
        <v>216207694</v>
      </c>
      <c r="BM26" s="47">
        <v>214809052</v>
      </c>
      <c r="BN26" s="47">
        <v>221576502.5</v>
      </c>
      <c r="BO26" s="47">
        <v>232417188</v>
      </c>
      <c r="BP26" s="47">
        <v>286577542</v>
      </c>
      <c r="BQ26" s="47">
        <v>263115351</v>
      </c>
      <c r="BR26" s="47">
        <v>266455046</v>
      </c>
      <c r="BS26" s="47">
        <v>230080105</v>
      </c>
      <c r="BT26" s="47">
        <v>200697530</v>
      </c>
      <c r="BU26" s="47">
        <v>269908616.5</v>
      </c>
      <c r="BV26" s="47">
        <v>254759231</v>
      </c>
      <c r="BW26" s="47">
        <v>236605471</v>
      </c>
      <c r="BX26" s="47">
        <v>220600472</v>
      </c>
      <c r="BY26" s="47">
        <v>227017145</v>
      </c>
      <c r="BZ26" s="47">
        <v>225997805</v>
      </c>
      <c r="CA26" s="47">
        <v>251076328</v>
      </c>
      <c r="CB26" s="47">
        <v>267504084</v>
      </c>
      <c r="CC26" s="47">
        <v>272015339</v>
      </c>
      <c r="CD26" s="47">
        <v>258297228</v>
      </c>
      <c r="CE26" s="47">
        <v>229178636</v>
      </c>
      <c r="CF26" s="254">
        <f>'[116]PPC.1, PCR.2F, EO.3'!B30</f>
        <v>223136740.16275239</v>
      </c>
      <c r="CG26" s="254">
        <f>'[116]PPC.1, PCR.2F, EO.3'!C30</f>
        <v>232535693.78009516</v>
      </c>
      <c r="CH26" s="254">
        <f>'[116]PPC.1, PCR.2F, EO.3'!D30</f>
        <v>241558091.74347511</v>
      </c>
      <c r="CI26" s="254">
        <f>'[116]PPC.1, PCR.2F, EO.3'!E30</f>
        <v>223273876.06086823</v>
      </c>
      <c r="CJ26" s="254">
        <f>'[116]PPC.1, PCR.2F, EO.3'!F30</f>
        <v>219930504.46499082</v>
      </c>
      <c r="CK26" s="254">
        <f>'[116]PPC.1, PCR.2F, EO.3'!G30</f>
        <v>219972621.34758601</v>
      </c>
      <c r="CL26" s="254">
        <f>'[116]PPC.1, PCR.2F, EO.3'!H30</f>
        <v>222450916.65547773</v>
      </c>
      <c r="CM26" s="254">
        <f>'[116]PPC.1, PCR.2F, EO.3'!I30</f>
        <v>242282151.68348587</v>
      </c>
      <c r="CN26" s="254">
        <f>'[116]PPC.1, PCR.2F, EO.3'!J30</f>
        <v>250975463.49602565</v>
      </c>
      <c r="CO26" s="254">
        <f>'[116]PPC.1, PCR.2F, EO.3'!K30</f>
        <v>250580809.74395686</v>
      </c>
      <c r="CP26" s="254">
        <f>'[116]PPC.1, PCR.2F, EO.3'!L30</f>
        <v>252332508.81780612</v>
      </c>
      <c r="CQ26" s="254">
        <f>'[116]PPC.1, PCR.2F, EO.3'!M30</f>
        <v>232854682.76037392</v>
      </c>
      <c r="CR26" s="254">
        <f>'[116]PPC.1, PCR.2F, EO.3'!N30</f>
        <v>221336739.48931596</v>
      </c>
      <c r="CS26" s="254">
        <f>'[116]PPC.1, PCR.2F, EO.3'!O30</f>
        <v>230201207.14389151</v>
      </c>
      <c r="CT26" s="254">
        <f>'[116]PPC.1, PCR.2F, EO.3'!P30</f>
        <v>241935503.49668512</v>
      </c>
    </row>
    <row r="27" spans="1:98" x14ac:dyDescent="0.35">
      <c r="A27" s="40" t="s">
        <v>37</v>
      </c>
      <c r="B27" s="41"/>
      <c r="C27" s="41"/>
      <c r="D27" s="47">
        <v>127273740</v>
      </c>
      <c r="E27" s="47">
        <v>133415922</v>
      </c>
      <c r="F27" s="47">
        <v>133920097</v>
      </c>
      <c r="G27" s="47">
        <v>151320401</v>
      </c>
      <c r="H27" s="47">
        <v>158812387</v>
      </c>
      <c r="I27" s="47">
        <v>160367769</v>
      </c>
      <c r="J27" s="47">
        <v>176194341</v>
      </c>
      <c r="K27" s="47">
        <v>154604539</v>
      </c>
      <c r="L27" s="47">
        <v>142536252</v>
      </c>
      <c r="M27" s="47">
        <v>134004611</v>
      </c>
      <c r="N27" s="47">
        <v>132646039</v>
      </c>
      <c r="O27" s="47">
        <v>136324918</v>
      </c>
      <c r="P27" s="47">
        <v>118000396</v>
      </c>
      <c r="Q27" s="47">
        <v>130771713</v>
      </c>
      <c r="R27" s="47">
        <v>133006544</v>
      </c>
      <c r="S27" s="47">
        <v>158813593</v>
      </c>
      <c r="T27" s="47">
        <v>150211763</v>
      </c>
      <c r="U27" s="47">
        <v>166478792</v>
      </c>
      <c r="V27" s="47">
        <v>158634223</v>
      </c>
      <c r="W27" s="47">
        <v>151247524</v>
      </c>
      <c r="X27" s="47">
        <v>147830606</v>
      </c>
      <c r="Y27" s="47">
        <v>132139915</v>
      </c>
      <c r="Z27" s="47">
        <v>134787267</v>
      </c>
      <c r="AA27" s="47">
        <v>125603697</v>
      </c>
      <c r="AB27" s="47">
        <v>125857767</v>
      </c>
      <c r="AC27" s="47">
        <v>119174583</v>
      </c>
      <c r="AD27" s="47">
        <v>136766539</v>
      </c>
      <c r="AE27" s="47">
        <v>151258088</v>
      </c>
      <c r="AF27" s="47">
        <v>155948179</v>
      </c>
      <c r="AG27" s="47">
        <v>160224923</v>
      </c>
      <c r="AH27" s="47">
        <v>150480926</v>
      </c>
      <c r="AI27" s="47">
        <v>148580162</v>
      </c>
      <c r="AJ27" s="47">
        <v>139627995</v>
      </c>
      <c r="AK27" s="47">
        <v>135972391</v>
      </c>
      <c r="AL27" s="47">
        <v>101960146</v>
      </c>
      <c r="AM27" s="47">
        <v>96075286</v>
      </c>
      <c r="AN27" s="47">
        <v>99309923</v>
      </c>
      <c r="AO27" s="47">
        <v>98876748</v>
      </c>
      <c r="AP27" s="47">
        <v>96480454</v>
      </c>
      <c r="AQ27" s="47">
        <v>121526151</v>
      </c>
      <c r="AR27" s="47">
        <v>113123855</v>
      </c>
      <c r="AS27" s="47">
        <v>125262874</v>
      </c>
      <c r="AT27" s="47">
        <v>126945040</v>
      </c>
      <c r="AU27" s="120">
        <v>119752379</v>
      </c>
      <c r="AV27" s="47">
        <v>106348532</v>
      </c>
      <c r="AW27" s="47">
        <v>100067076</v>
      </c>
      <c r="AX27" s="47">
        <v>105899561</v>
      </c>
      <c r="AY27" s="47">
        <v>111203176</v>
      </c>
      <c r="AZ27" s="47">
        <v>86704807</v>
      </c>
      <c r="BA27" s="47">
        <v>92097434</v>
      </c>
      <c r="BB27" s="47">
        <v>93506334</v>
      </c>
      <c r="BC27" s="47">
        <v>92139707</v>
      </c>
      <c r="BD27" s="47">
        <v>105110654</v>
      </c>
      <c r="BE27" s="47">
        <v>108265948</v>
      </c>
      <c r="BF27" s="47">
        <v>109806573</v>
      </c>
      <c r="BG27" s="47">
        <v>96724322.099999994</v>
      </c>
      <c r="BH27" s="47">
        <v>94866307</v>
      </c>
      <c r="BI27" s="47">
        <v>96874394</v>
      </c>
      <c r="BJ27" s="47">
        <v>84244327</v>
      </c>
      <c r="BK27" s="47">
        <v>112346620</v>
      </c>
      <c r="BL27" s="47">
        <v>50801494</v>
      </c>
      <c r="BM27" s="47">
        <v>85186767</v>
      </c>
      <c r="BN27" s="47">
        <v>94290468.700000003</v>
      </c>
      <c r="BO27" s="47">
        <v>96665030</v>
      </c>
      <c r="BP27" s="47">
        <v>111403127</v>
      </c>
      <c r="BQ27" s="47">
        <v>106051211</v>
      </c>
      <c r="BR27" s="47">
        <v>114673513</v>
      </c>
      <c r="BS27" s="47">
        <v>105106440</v>
      </c>
      <c r="BT27" s="47">
        <v>69778498</v>
      </c>
      <c r="BU27" s="47">
        <v>120928612.40000001</v>
      </c>
      <c r="BV27" s="47">
        <v>91160220</v>
      </c>
      <c r="BW27" s="47">
        <v>84926008</v>
      </c>
      <c r="BX27" s="47">
        <v>81012090</v>
      </c>
      <c r="BY27" s="47">
        <v>85726323</v>
      </c>
      <c r="BZ27" s="47">
        <v>71350428</v>
      </c>
      <c r="CA27" s="47">
        <v>86976917</v>
      </c>
      <c r="CB27" s="47">
        <v>99783323</v>
      </c>
      <c r="CC27" s="47">
        <v>98663196</v>
      </c>
      <c r="CD27" s="47">
        <v>102858299</v>
      </c>
      <c r="CE27" s="47">
        <v>88364839</v>
      </c>
      <c r="CF27" s="254">
        <f>'[116]PPC.1, PCR.2F, EO.3'!B31</f>
        <v>85688222.716237277</v>
      </c>
      <c r="CG27" s="254">
        <f>'[116]PPC.1, PCR.2F, EO.3'!C31</f>
        <v>83961913.884668529</v>
      </c>
      <c r="CH27" s="254">
        <f>'[116]PPC.1, PCR.2F, EO.3'!D31</f>
        <v>88463159.829218939</v>
      </c>
      <c r="CI27" s="254">
        <f>'[116]PPC.1, PCR.2F, EO.3'!E31</f>
        <v>79423268.344595075</v>
      </c>
      <c r="CJ27" s="254">
        <f>'[116]PPC.1, PCR.2F, EO.3'!F31</f>
        <v>83175188.403440759</v>
      </c>
      <c r="CK27" s="254">
        <f>'[116]PPC.1, PCR.2F, EO.3'!G31</f>
        <v>86735284.633053958</v>
      </c>
      <c r="CL27" s="254">
        <f>'[116]PPC.1, PCR.2F, EO.3'!H31</f>
        <v>93247060.641321868</v>
      </c>
      <c r="CM27" s="254">
        <f>'[116]PPC.1, PCR.2F, EO.3'!I31</f>
        <v>97836095.436305955</v>
      </c>
      <c r="CN27" s="254">
        <f>'[116]PPC.1, PCR.2F, EO.3'!J31</f>
        <v>103752963.75649156</v>
      </c>
      <c r="CO27" s="254">
        <f>'[116]PPC.1, PCR.2F, EO.3'!K31</f>
        <v>102347189.25692093</v>
      </c>
      <c r="CP27" s="254">
        <f>'[116]PPC.1, PCR.2F, EO.3'!L31</f>
        <v>98368052.772272438</v>
      </c>
      <c r="CQ27" s="254">
        <f>'[116]PPC.1, PCR.2F, EO.3'!M31</f>
        <v>94567086.487890512</v>
      </c>
      <c r="CR27" s="254">
        <f>'[116]PPC.1, PCR.2F, EO.3'!N31</f>
        <v>88235436.372101769</v>
      </c>
      <c r="CS27" s="254">
        <f>'[116]PPC.1, PCR.2F, EO.3'!O31</f>
        <v>86463760.310069621</v>
      </c>
      <c r="CT27" s="254">
        <f>'[116]PPC.1, PCR.2F, EO.3'!P31</f>
        <v>89132027.692243785</v>
      </c>
    </row>
    <row r="28" spans="1:98" x14ac:dyDescent="0.35">
      <c r="A28" s="35" t="s">
        <v>31</v>
      </c>
      <c r="B28" s="33"/>
      <c r="C28" s="33"/>
      <c r="D28" s="37">
        <f>SUM(D23:D27)</f>
        <v>2224928177</v>
      </c>
      <c r="E28" s="37">
        <f t="shared" ref="E28:AW28" si="77">SUM(E23:E27)</f>
        <v>2018953973</v>
      </c>
      <c r="F28" s="37">
        <f t="shared" si="77"/>
        <v>1913045208</v>
      </c>
      <c r="G28" s="37">
        <f t="shared" si="77"/>
        <v>2404751671</v>
      </c>
      <c r="H28" s="37">
        <f t="shared" si="77"/>
        <v>2933402953</v>
      </c>
      <c r="I28" s="37">
        <f t="shared" si="77"/>
        <v>2932474198</v>
      </c>
      <c r="J28" s="37">
        <f t="shared" si="77"/>
        <v>2831280502</v>
      </c>
      <c r="K28" s="37">
        <f t="shared" si="77"/>
        <v>2260945939</v>
      </c>
      <c r="L28" s="37">
        <f t="shared" si="77"/>
        <v>1987278765</v>
      </c>
      <c r="M28" s="37">
        <f t="shared" si="77"/>
        <v>2444837540</v>
      </c>
      <c r="N28" s="37">
        <f t="shared" si="77"/>
        <v>2931370494</v>
      </c>
      <c r="O28" s="37">
        <f t="shared" si="77"/>
        <v>2420851513</v>
      </c>
      <c r="P28" s="37">
        <f t="shared" si="77"/>
        <v>2078601028</v>
      </c>
      <c r="Q28" s="37">
        <f t="shared" si="77"/>
        <v>1972320246</v>
      </c>
      <c r="R28" s="37">
        <f t="shared" si="77"/>
        <v>1950848493</v>
      </c>
      <c r="S28" s="37">
        <f t="shared" si="77"/>
        <v>2390636192</v>
      </c>
      <c r="T28" s="37">
        <f t="shared" si="77"/>
        <v>2806893058</v>
      </c>
      <c r="U28" s="37">
        <f t="shared" si="77"/>
        <v>2872808685</v>
      </c>
      <c r="V28" s="37">
        <f t="shared" si="77"/>
        <v>2497438120</v>
      </c>
      <c r="W28" s="37">
        <f t="shared" si="77"/>
        <v>2311823120</v>
      </c>
      <c r="X28" s="37">
        <f t="shared" si="77"/>
        <v>2068964968</v>
      </c>
      <c r="Y28" s="37">
        <f t="shared" si="77"/>
        <v>2356325141</v>
      </c>
      <c r="Z28" s="37">
        <f t="shared" si="77"/>
        <v>3162862275</v>
      </c>
      <c r="AA28" s="37">
        <f t="shared" si="77"/>
        <v>2671692622</v>
      </c>
      <c r="AB28" s="37">
        <f t="shared" si="77"/>
        <v>2329112642</v>
      </c>
      <c r="AC28" s="37">
        <f t="shared" si="77"/>
        <v>2266678111</v>
      </c>
      <c r="AD28" s="37">
        <f t="shared" si="77"/>
        <v>2094580257</v>
      </c>
      <c r="AE28" s="37">
        <f t="shared" si="77"/>
        <v>2709831507</v>
      </c>
      <c r="AF28" s="37">
        <f t="shared" si="77"/>
        <v>3013965337</v>
      </c>
      <c r="AG28" s="37">
        <f t="shared" si="77"/>
        <v>2799018250</v>
      </c>
      <c r="AH28" s="37">
        <f t="shared" si="77"/>
        <v>2737680017</v>
      </c>
      <c r="AI28" s="37">
        <f t="shared" si="77"/>
        <v>2332546940</v>
      </c>
      <c r="AJ28" s="37">
        <f t="shared" si="77"/>
        <v>2142583793</v>
      </c>
      <c r="AK28" s="37">
        <f t="shared" si="77"/>
        <v>2618348050</v>
      </c>
      <c r="AL28" s="37">
        <f t="shared" si="77"/>
        <v>2704334881</v>
      </c>
      <c r="AM28" s="37">
        <f t="shared" si="77"/>
        <v>2684641305</v>
      </c>
      <c r="AN28" s="37">
        <f t="shared" si="77"/>
        <v>2499758324</v>
      </c>
      <c r="AO28" s="37">
        <f t="shared" si="77"/>
        <v>1985896392</v>
      </c>
      <c r="AP28" s="37">
        <f t="shared" si="77"/>
        <v>1834449295</v>
      </c>
      <c r="AQ28" s="37">
        <f t="shared" si="77"/>
        <v>2235195660</v>
      </c>
      <c r="AR28" s="37">
        <f t="shared" si="77"/>
        <v>2577497445</v>
      </c>
      <c r="AS28" s="37">
        <f t="shared" si="77"/>
        <v>2692344190</v>
      </c>
      <c r="AT28" s="37">
        <f t="shared" si="77"/>
        <v>2586049727</v>
      </c>
      <c r="AU28" s="37">
        <f t="shared" si="77"/>
        <v>2259393157</v>
      </c>
      <c r="AV28" s="37">
        <f t="shared" si="77"/>
        <v>2029584453</v>
      </c>
      <c r="AW28" s="37">
        <f t="shared" si="77"/>
        <v>2424244506</v>
      </c>
      <c r="AX28" s="37">
        <f t="shared" ref="AX28:AY28" si="78">SUM(AX23:AX27)</f>
        <v>2601956425</v>
      </c>
      <c r="AY28" s="37">
        <f t="shared" si="78"/>
        <v>2559780622</v>
      </c>
      <c r="AZ28" s="37">
        <f t="shared" ref="AZ28:BA28" si="79">SUM(AZ23:AZ27)</f>
        <v>2267199627</v>
      </c>
      <c r="BA28" s="37">
        <f t="shared" si="79"/>
        <v>1885945876</v>
      </c>
      <c r="BB28" s="37">
        <f t="shared" ref="BB28:BC28" si="80">SUM(BB23:BB27)</f>
        <v>1727181444</v>
      </c>
      <c r="BC28" s="37">
        <f t="shared" si="80"/>
        <v>2140133354</v>
      </c>
      <c r="BD28" s="37">
        <f t="shared" ref="BD28:BE28" si="81">SUM(BD23:BD27)</f>
        <v>2668776772</v>
      </c>
      <c r="BE28" s="37">
        <f t="shared" si="81"/>
        <v>2588323933</v>
      </c>
      <c r="BF28" s="37">
        <f t="shared" ref="BF28:BG28" si="82">SUM(BF23:BF27)</f>
        <v>2539356884</v>
      </c>
      <c r="BG28" s="37">
        <f t="shared" si="82"/>
        <v>1880855467.2</v>
      </c>
      <c r="BH28" s="37">
        <f t="shared" ref="BH28:BI28" si="83">SUM(BH23:BH27)</f>
        <v>1919414791</v>
      </c>
      <c r="BI28" s="37">
        <f t="shared" si="83"/>
        <v>2285505311</v>
      </c>
      <c r="BJ28" s="37">
        <f t="shared" ref="BJ28:BK28" si="84">SUM(BJ23:BJ27)</f>
        <v>2701293080</v>
      </c>
      <c r="BK28" s="37">
        <f t="shared" si="84"/>
        <v>2762895596</v>
      </c>
      <c r="BL28" s="37">
        <f t="shared" ref="BL28:BM28" si="85">SUM(BL23:BL27)</f>
        <v>2269212350</v>
      </c>
      <c r="BM28" s="37">
        <f t="shared" si="85"/>
        <v>1797926430</v>
      </c>
      <c r="BN28" s="37">
        <f t="shared" ref="BN28:BO28" si="86">SUM(BN23:BN27)</f>
        <v>1767390312.4000001</v>
      </c>
      <c r="BO28" s="37">
        <f t="shared" si="86"/>
        <v>2241761426</v>
      </c>
      <c r="BP28" s="37">
        <f t="shared" ref="BP28:BQ28" si="87">SUM(BP23:BP27)</f>
        <v>2630416326</v>
      </c>
      <c r="BQ28" s="37">
        <f t="shared" si="87"/>
        <v>2620993183</v>
      </c>
      <c r="BR28" s="37">
        <f t="shared" ref="BR28:BS28" si="88">SUM(BR23:BR27)</f>
        <v>2624842936</v>
      </c>
      <c r="BS28" s="37">
        <f t="shared" si="88"/>
        <v>2051802732</v>
      </c>
      <c r="BT28" s="37">
        <f t="shared" ref="BT28:BU28" si="89">SUM(BT23:BT27)</f>
        <v>1844617502</v>
      </c>
      <c r="BU28" s="37">
        <f t="shared" si="89"/>
        <v>2260152185.5</v>
      </c>
      <c r="BV28" s="37">
        <f t="shared" ref="BV28:BW28" si="90">SUM(BV23:BV27)</f>
        <v>2604429573</v>
      </c>
      <c r="BW28" s="37">
        <f t="shared" si="90"/>
        <v>2650772070</v>
      </c>
      <c r="BX28" s="37">
        <f t="shared" ref="BX28:BY28" si="91">SUM(BX23:BX27)</f>
        <v>2252800721</v>
      </c>
      <c r="BY28" s="37">
        <f t="shared" si="91"/>
        <v>1950515267</v>
      </c>
      <c r="BZ28" s="37">
        <f t="shared" ref="BZ28:CA28" si="92">SUM(BZ23:BZ27)</f>
        <v>1874510202</v>
      </c>
      <c r="CA28" s="37">
        <f t="shared" si="92"/>
        <v>2238886497</v>
      </c>
      <c r="CB28" s="37">
        <f t="shared" ref="CB28:CC28" si="93">SUM(CB23:CB27)</f>
        <v>2787735127</v>
      </c>
      <c r="CC28" s="37">
        <f t="shared" si="93"/>
        <v>2711689501</v>
      </c>
      <c r="CD28" s="37">
        <f t="shared" ref="CD28:CE28" si="94">SUM(CD23:CD27)</f>
        <v>2418184647</v>
      </c>
      <c r="CE28" s="37">
        <f t="shared" si="94"/>
        <v>1914968383</v>
      </c>
      <c r="CF28" s="37">
        <f>SUM(CF23:CF27)</f>
        <v>1851493382.2553334</v>
      </c>
      <c r="CG28" s="37">
        <f t="shared" ref="CG28" si="95">SUM(CG23:CG27)</f>
        <v>2320086513.87956</v>
      </c>
      <c r="CH28" s="37">
        <f t="shared" ref="CH28:CI28" si="96">SUM(CH23:CH27)</f>
        <v>2713064456.4976673</v>
      </c>
      <c r="CI28" s="37">
        <f t="shared" si="96"/>
        <v>2483221712.2273397</v>
      </c>
      <c r="CJ28" s="37">
        <f t="shared" ref="CJ28:CK28" si="97">SUM(CJ23:CJ27)</f>
        <v>2192609148.1315584</v>
      </c>
      <c r="CK28" s="37">
        <f t="shared" si="97"/>
        <v>1880135382.0858665</v>
      </c>
      <c r="CL28" s="37">
        <f t="shared" ref="CL28:CM28" si="98">SUM(CL23:CL27)</f>
        <v>1743103936.3575506</v>
      </c>
      <c r="CM28" s="37">
        <f t="shared" si="98"/>
        <v>2102666020.8558388</v>
      </c>
      <c r="CN28" s="37">
        <f t="shared" ref="CN28:CO28" si="99">SUM(CN23:CN27)</f>
        <v>2493626217.4523525</v>
      </c>
      <c r="CO28" s="37">
        <f t="shared" si="99"/>
        <v>2497318281.8865676</v>
      </c>
      <c r="CP28" s="37">
        <f t="shared" ref="CP28:CQ28" si="100">SUM(CP23:CP27)</f>
        <v>2383665870.5936551</v>
      </c>
      <c r="CQ28" s="37">
        <f t="shared" si="100"/>
        <v>1892136893.0098836</v>
      </c>
      <c r="CR28" s="37">
        <f t="shared" ref="CR28:CS28" si="101">SUM(CR23:CR27)</f>
        <v>1852378961.4661479</v>
      </c>
      <c r="CS28" s="37">
        <f t="shared" si="101"/>
        <v>2310875960.0931334</v>
      </c>
      <c r="CT28" s="37">
        <f t="shared" ref="CT28" si="102">SUM(CT23:CT27)</f>
        <v>2722717277.7624135</v>
      </c>
    </row>
    <row r="29" spans="1:98" x14ac:dyDescent="0.35">
      <c r="B29" s="41"/>
      <c r="C29" s="41"/>
    </row>
    <row r="30" spans="1:98" x14ac:dyDescent="0.35">
      <c r="A30" s="136" t="s">
        <v>40</v>
      </c>
      <c r="B30" s="41"/>
      <c r="C30" s="41"/>
    </row>
    <row r="31" spans="1:98" x14ac:dyDescent="0.35">
      <c r="A31" s="40" t="s">
        <v>33</v>
      </c>
      <c r="B31" s="41"/>
      <c r="C31" s="41"/>
      <c r="D31" s="255">
        <f>D14+(D$19*(D23/D$28))</f>
        <v>0</v>
      </c>
      <c r="E31" s="256">
        <f>IF(E14="","",E14+(E$19*(E23/E$28)))</f>
        <v>1328.78</v>
      </c>
      <c r="F31" s="256">
        <f t="shared" ref="E31:F35" si="103">IF(F14="","",F14+(F$19*(F23/F$28)))</f>
        <v>9526.5299999999988</v>
      </c>
      <c r="G31" s="255">
        <f t="shared" ref="G31:AW31" si="104">IF(G14="","",G14+(G$19*(G23/G$28)))</f>
        <v>120352.88</v>
      </c>
      <c r="H31" s="255">
        <f t="shared" si="104"/>
        <v>256080.65000000002</v>
      </c>
      <c r="I31" s="255">
        <f t="shared" si="104"/>
        <v>373393.34435846674</v>
      </c>
      <c r="J31" s="255">
        <f t="shared" si="104"/>
        <v>671736.21363575384</v>
      </c>
      <c r="K31" s="255">
        <f t="shared" si="104"/>
        <v>120839.84990541483</v>
      </c>
      <c r="L31" s="255">
        <f t="shared" si="104"/>
        <v>185093.49881649271</v>
      </c>
      <c r="M31" s="255">
        <f t="shared" si="104"/>
        <v>303285.19452852954</v>
      </c>
      <c r="N31" s="255">
        <f t="shared" si="104"/>
        <v>329743.7910035231</v>
      </c>
      <c r="O31" s="255">
        <f t="shared" si="104"/>
        <v>319589.12614734296</v>
      </c>
      <c r="P31" s="255">
        <f t="shared" si="104"/>
        <v>307416.51622437377</v>
      </c>
      <c r="Q31" s="255">
        <f>IF(Q14="","",Q14+(Q$19*(Q23/Q$28)))</f>
        <v>202009.99758789604</v>
      </c>
      <c r="R31" s="255">
        <f t="shared" si="104"/>
        <v>201518.00847600689</v>
      </c>
      <c r="S31" s="255">
        <f t="shared" si="104"/>
        <v>884196.51701427973</v>
      </c>
      <c r="T31" s="255">
        <f t="shared" si="104"/>
        <v>1282604.3399999999</v>
      </c>
      <c r="U31" s="255">
        <f t="shared" si="104"/>
        <v>1412760.5841518985</v>
      </c>
      <c r="V31" s="255">
        <f t="shared" si="104"/>
        <v>912043.87330211163</v>
      </c>
      <c r="W31" s="255">
        <f t="shared" si="104"/>
        <v>279976.46619588812</v>
      </c>
      <c r="X31" s="255">
        <f t="shared" si="104"/>
        <v>377438.47759872582</v>
      </c>
      <c r="Y31" s="255">
        <f t="shared" si="104"/>
        <v>565267.94576951256</v>
      </c>
      <c r="Z31" s="255">
        <f t="shared" si="104"/>
        <v>607215.02747681318</v>
      </c>
      <c r="AA31" s="255">
        <f t="shared" si="104"/>
        <v>515316.53827609093</v>
      </c>
      <c r="AB31" s="255">
        <f t="shared" si="104"/>
        <v>473150.50916160172</v>
      </c>
      <c r="AC31" s="255">
        <f t="shared" si="104"/>
        <v>270731.77958850004</v>
      </c>
      <c r="AD31" s="255">
        <f t="shared" si="104"/>
        <v>491596.14834248205</v>
      </c>
      <c r="AE31" s="255">
        <f t="shared" si="104"/>
        <v>2024956.6659391024</v>
      </c>
      <c r="AF31" s="255">
        <f t="shared" si="104"/>
        <v>2753783.435947692</v>
      </c>
      <c r="AG31" s="255">
        <f t="shared" si="104"/>
        <v>2655187.2707727067</v>
      </c>
      <c r="AH31" s="255">
        <f t="shared" si="104"/>
        <v>1585670.784126644</v>
      </c>
      <c r="AI31" s="255">
        <f t="shared" si="104"/>
        <v>556118.7299202627</v>
      </c>
      <c r="AJ31" s="255">
        <f t="shared" si="104"/>
        <v>513458.06050710165</v>
      </c>
      <c r="AK31" s="255">
        <f t="shared" si="104"/>
        <v>702799.89768350183</v>
      </c>
      <c r="AL31" s="255">
        <f t="shared" si="104"/>
        <v>705267.00941836974</v>
      </c>
      <c r="AM31" s="255">
        <f t="shared" si="104"/>
        <v>626813.61963691877</v>
      </c>
      <c r="AN31" s="255">
        <f t="shared" si="104"/>
        <v>733376.44916449382</v>
      </c>
      <c r="AO31" s="255">
        <f t="shared" si="104"/>
        <v>579952.0325992658</v>
      </c>
      <c r="AP31" s="255">
        <f>IF(AP14="","",AP14+(AP$19*(AP23/AP$28)))</f>
        <v>371011.49182013981</v>
      </c>
      <c r="AQ31" s="255">
        <f t="shared" si="104"/>
        <v>2723256.6958003566</v>
      </c>
      <c r="AR31" s="255">
        <f t="shared" si="104"/>
        <v>3090240.1159956334</v>
      </c>
      <c r="AS31" s="255">
        <f t="shared" si="104"/>
        <v>3319235.3330920129</v>
      </c>
      <c r="AT31" s="255">
        <f t="shared" si="104"/>
        <v>1872423.9163418177</v>
      </c>
      <c r="AU31" s="255">
        <f t="shared" si="104"/>
        <v>468639.40013933519</v>
      </c>
      <c r="AV31" s="255">
        <f t="shared" si="104"/>
        <v>573430.06293424976</v>
      </c>
      <c r="AW31" s="255">
        <f t="shared" si="104"/>
        <v>729001.68500178226</v>
      </c>
      <c r="AX31" s="255">
        <f t="shared" ref="AX31:BC31" si="105">IF(AX14="","",AX14+(AX$19*(AX23/AX$28)))</f>
        <v>731448.99925192562</v>
      </c>
      <c r="AY31" s="255">
        <f t="shared" si="105"/>
        <v>-1101511.7645830091</v>
      </c>
      <c r="AZ31" s="255">
        <f t="shared" si="105"/>
        <v>502297.9307248104</v>
      </c>
      <c r="BA31" s="255">
        <f t="shared" si="105"/>
        <v>0</v>
      </c>
      <c r="BB31" s="255">
        <f t="shared" si="105"/>
        <v>-1201.9391278357582</v>
      </c>
      <c r="BC31" s="255">
        <f t="shared" si="105"/>
        <v>0</v>
      </c>
      <c r="BD31" s="255">
        <f t="shared" ref="BD31:BE31" si="106">IF(BD14="","",BD14+(BD$19*(BD23/BD$28)))</f>
        <v>0</v>
      </c>
      <c r="BE31" s="255">
        <f t="shared" si="106"/>
        <v>0</v>
      </c>
      <c r="BF31" s="255">
        <f t="shared" ref="BF31:BG31" si="107">IF(BF14="","",BF14+(BF$19*(BF23/BF$28)))</f>
        <v>0</v>
      </c>
      <c r="BG31" s="255">
        <f t="shared" si="107"/>
        <v>0</v>
      </c>
      <c r="BH31" s="255">
        <f t="shared" ref="BH31:BI31" si="108">IF(BH14="","",BH14+(BH$19*(BH23/BH$28)))</f>
        <v>0</v>
      </c>
      <c r="BI31" s="255">
        <f t="shared" si="108"/>
        <v>0</v>
      </c>
      <c r="BJ31" s="255">
        <f t="shared" ref="BJ31:BK31" si="109">IF(BJ14="","",BJ14+(BJ$19*(BJ23/BJ$28)))</f>
        <v>0</v>
      </c>
      <c r="BK31" s="255">
        <f t="shared" si="109"/>
        <v>0</v>
      </c>
      <c r="BL31" s="255">
        <f t="shared" ref="BL31:BM31" si="110">IF(BL14="","",BL14+(BL$19*(BL23/BL$28)))</f>
        <v>0</v>
      </c>
      <c r="BM31" s="255">
        <f t="shared" si="110"/>
        <v>0</v>
      </c>
      <c r="BN31" s="255">
        <f t="shared" ref="BN31:BO31" si="111">IF(BN14="","",BN14+(BN$19*(BN23/BN$28)))</f>
        <v>0</v>
      </c>
      <c r="BO31" s="255">
        <f t="shared" si="111"/>
        <v>0</v>
      </c>
      <c r="BP31" s="255">
        <f t="shared" ref="BP31:BQ31" si="112">IF(BP14="","",BP14+(BP$19*(BP23/BP$28)))</f>
        <v>0</v>
      </c>
      <c r="BQ31" s="255">
        <f t="shared" si="112"/>
        <v>0</v>
      </c>
      <c r="BR31" s="255">
        <f t="shared" ref="BR31:BS31" si="113">IF(BR14="","",BR14+(BR$19*(BR23/BR$28)))</f>
        <v>0</v>
      </c>
      <c r="BS31" s="255">
        <f t="shared" si="113"/>
        <v>0</v>
      </c>
      <c r="BT31" s="255">
        <f t="shared" ref="BT31:BU31" si="114">IF(BT14="","",BT14+(BT$19*(BT23/BT$28)))</f>
        <v>0</v>
      </c>
      <c r="BU31" s="255">
        <f t="shared" si="114"/>
        <v>0</v>
      </c>
      <c r="BV31" s="255">
        <f t="shared" ref="BV31:BW31" si="115">IF(BV14="","",BV14+(BV$19*(BV23/BV$28)))</f>
        <v>0</v>
      </c>
      <c r="BW31" s="255">
        <f t="shared" si="115"/>
        <v>0</v>
      </c>
      <c r="BX31" s="255">
        <f t="shared" ref="BX31:BY31" si="116">IF(BX14="","",BX14+(BX$19*(BX23/BX$28)))</f>
        <v>0</v>
      </c>
      <c r="BY31" s="255">
        <f t="shared" si="116"/>
        <v>0</v>
      </c>
      <c r="BZ31" s="255">
        <f t="shared" ref="BZ31:CA31" si="117">IF(BZ14="","",BZ14+(BZ$19*(BZ23/BZ$28)))</f>
        <v>0</v>
      </c>
      <c r="CA31" s="255">
        <f t="shared" si="117"/>
        <v>0</v>
      </c>
      <c r="CB31" s="255">
        <f t="shared" ref="CB31:CC31" si="118">IF(CB14="","",CB14+(CB$19*(CB23/CB$28)))</f>
        <v>0</v>
      </c>
      <c r="CC31" s="255">
        <f t="shared" si="118"/>
        <v>0</v>
      </c>
      <c r="CD31" s="255">
        <f t="shared" ref="CD31:CE31" si="119">IF(CD14="","",CD14+(CD$19*(CD23/CD$28)))</f>
        <v>0</v>
      </c>
      <c r="CE31" s="255">
        <f t="shared" si="119"/>
        <v>0</v>
      </c>
      <c r="CF31" s="257">
        <f t="shared" ref="CF31:CG31" si="120">IF(CF14="","",CF14+(CF$19*(CF23/CF$28)))</f>
        <v>0</v>
      </c>
      <c r="CG31" s="257">
        <f t="shared" si="120"/>
        <v>0</v>
      </c>
      <c r="CH31" s="257">
        <f t="shared" ref="CH31:CI31" si="121">IF(CH14="","",CH14+(CH$19*(CH23/CH$28)))</f>
        <v>0</v>
      </c>
      <c r="CI31" s="258">
        <f t="shared" si="121"/>
        <v>0</v>
      </c>
      <c r="CJ31" s="258">
        <f t="shared" ref="CJ31:CK31" si="122">IF(CJ14="","",CJ14+(CJ$19*(CJ23/CJ$28)))</f>
        <v>0</v>
      </c>
      <c r="CK31" s="258">
        <f t="shared" si="122"/>
        <v>0</v>
      </c>
      <c r="CL31" s="258">
        <f t="shared" ref="CL31:CM31" si="123">IF(CL14="","",CL14+(CL$19*(CL23/CL$28)))</f>
        <v>0</v>
      </c>
      <c r="CM31" s="258">
        <f t="shared" si="123"/>
        <v>0</v>
      </c>
      <c r="CN31" s="258">
        <f t="shared" ref="CN31:CO31" si="124">IF(CN14="","",CN14+(CN$19*(CN23/CN$28)))</f>
        <v>0</v>
      </c>
      <c r="CO31" s="258">
        <f t="shared" si="124"/>
        <v>0</v>
      </c>
      <c r="CP31" s="258">
        <f t="shared" ref="CP31:CQ31" si="125">IF(CP14="","",CP14+(CP$19*(CP23/CP$28)))</f>
        <v>0</v>
      </c>
      <c r="CQ31" s="258">
        <f t="shared" si="125"/>
        <v>0</v>
      </c>
      <c r="CR31" s="258">
        <f t="shared" ref="CR31:CS31" si="126">IF(CR14="","",CR14+(CR$19*(CR23/CR$28)))</f>
        <v>0</v>
      </c>
      <c r="CS31" s="258">
        <f t="shared" si="126"/>
        <v>0</v>
      </c>
      <c r="CT31" s="258">
        <f t="shared" ref="CT31" si="127">IF(CT14="","",CT14+(CT$19*(CT23/CT$28)))</f>
        <v>0</v>
      </c>
    </row>
    <row r="32" spans="1:98" x14ac:dyDescent="0.35">
      <c r="A32" s="40" t="s">
        <v>34</v>
      </c>
      <c r="B32" s="41"/>
      <c r="C32" s="41"/>
      <c r="D32" s="255">
        <f>D15+(D$19*(D24/D$28))</f>
        <v>0</v>
      </c>
      <c r="E32" s="255">
        <f t="shared" si="103"/>
        <v>0</v>
      </c>
      <c r="F32" s="255">
        <f t="shared" si="103"/>
        <v>0</v>
      </c>
      <c r="G32" s="255">
        <f t="shared" ref="G32:AW32" si="128">IF(G15="","",G15+(G$19*(G24/G$28)))</f>
        <v>4167.9399999999996</v>
      </c>
      <c r="H32" s="255">
        <f t="shared" si="128"/>
        <v>13357.940000000002</v>
      </c>
      <c r="I32" s="255">
        <f t="shared" si="128"/>
        <v>14670.985238775314</v>
      </c>
      <c r="J32" s="255">
        <f t="shared" si="128"/>
        <v>22602.465674921033</v>
      </c>
      <c r="K32" s="255">
        <f t="shared" si="128"/>
        <v>23670.862866768453</v>
      </c>
      <c r="L32" s="255">
        <f t="shared" si="128"/>
        <v>27753.308601536653</v>
      </c>
      <c r="M32" s="255">
        <f t="shared" si="128"/>
        <v>37258.575758638253</v>
      </c>
      <c r="N32" s="255">
        <f t="shared" si="128"/>
        <v>47579.322188278435</v>
      </c>
      <c r="O32" s="255">
        <f t="shared" si="128"/>
        <v>42911.041729266297</v>
      </c>
      <c r="P32" s="255">
        <f t="shared" si="128"/>
        <v>52823.001162257649</v>
      </c>
      <c r="Q32" s="255">
        <f t="shared" si="128"/>
        <v>25950.307634173645</v>
      </c>
      <c r="R32" s="255">
        <f t="shared" si="128"/>
        <v>48983.559131334005</v>
      </c>
      <c r="S32" s="255">
        <f t="shared" si="128"/>
        <v>90621.489340586311</v>
      </c>
      <c r="T32" s="255">
        <f t="shared" si="128"/>
        <v>138931.90000000002</v>
      </c>
      <c r="U32" s="255">
        <f t="shared" si="128"/>
        <v>133700.2685394297</v>
      </c>
      <c r="V32" s="255">
        <f t="shared" si="128"/>
        <v>151757.81340251025</v>
      </c>
      <c r="W32" s="255">
        <f t="shared" si="128"/>
        <v>116837.79257470783</v>
      </c>
      <c r="X32" s="255">
        <f t="shared" si="128"/>
        <v>88133.517269885691</v>
      </c>
      <c r="Y32" s="255">
        <f t="shared" si="128"/>
        <v>126989.00719390194</v>
      </c>
      <c r="Z32" s="255">
        <f t="shared" si="128"/>
        <v>151376.91870679389</v>
      </c>
      <c r="AA32" s="255">
        <f t="shared" si="128"/>
        <v>131012.65264951537</v>
      </c>
      <c r="AB32" s="255">
        <f t="shared" si="128"/>
        <v>161984.73662810036</v>
      </c>
      <c r="AC32" s="255">
        <f t="shared" si="128"/>
        <v>186884.98622710272</v>
      </c>
      <c r="AD32" s="255">
        <f t="shared" si="128"/>
        <v>260709.07600105793</v>
      </c>
      <c r="AE32" s="255">
        <f t="shared" si="128"/>
        <v>394275.90039880731</v>
      </c>
      <c r="AF32" s="255">
        <f t="shared" si="128"/>
        <v>517564.58433629415</v>
      </c>
      <c r="AG32" s="255">
        <f t="shared" si="128"/>
        <v>456642.37398614379</v>
      </c>
      <c r="AH32" s="255">
        <f t="shared" si="128"/>
        <v>495377.09665466635</v>
      </c>
      <c r="AI32" s="255">
        <f t="shared" si="128"/>
        <v>348239.88671273278</v>
      </c>
      <c r="AJ32" s="255">
        <f t="shared" si="128"/>
        <v>315404.35918017995</v>
      </c>
      <c r="AK32" s="255">
        <f t="shared" si="128"/>
        <v>349367.88347835495</v>
      </c>
      <c r="AL32" s="255">
        <f t="shared" si="128"/>
        <v>376670.80776353204</v>
      </c>
      <c r="AM32" s="255">
        <f t="shared" si="128"/>
        <v>315666.15712072933</v>
      </c>
      <c r="AN32" s="255">
        <f t="shared" si="128"/>
        <v>426235.9958025862</v>
      </c>
      <c r="AO32" s="255">
        <f t="shared" si="128"/>
        <v>429805.50677490461</v>
      </c>
      <c r="AP32" s="255">
        <f t="shared" si="128"/>
        <v>425502.70439957909</v>
      </c>
      <c r="AQ32" s="255">
        <f t="shared" si="128"/>
        <v>711026.13316380861</v>
      </c>
      <c r="AR32" s="255">
        <f t="shared" si="128"/>
        <v>906630.75933951</v>
      </c>
      <c r="AS32" s="255">
        <f t="shared" si="128"/>
        <v>735303.71734464087</v>
      </c>
      <c r="AT32" s="255">
        <f t="shared" si="128"/>
        <v>765682.15647802898</v>
      </c>
      <c r="AU32" s="255">
        <f t="shared" si="128"/>
        <v>522721.08210263157</v>
      </c>
      <c r="AV32" s="255">
        <f t="shared" si="128"/>
        <v>445892.99890309712</v>
      </c>
      <c r="AW32" s="255">
        <f t="shared" si="128"/>
        <v>380966.65670412086</v>
      </c>
      <c r="AX32" s="255">
        <f t="shared" ref="AX32:AY32" si="129">IF(AX15="","",AX15+(AX$19*(AX24/AX$28)))</f>
        <v>451558.90985025105</v>
      </c>
      <c r="AY32" s="255">
        <f t="shared" si="129"/>
        <v>349160.22599545511</v>
      </c>
      <c r="AZ32" s="255">
        <f t="shared" ref="AZ32:BA32" si="130">IF(AZ15="","",AZ15+(AZ$19*(AZ24/AZ$28)))</f>
        <v>388715.00802980497</v>
      </c>
      <c r="BA32" s="255">
        <f t="shared" si="130"/>
        <v>0</v>
      </c>
      <c r="BB32" s="255">
        <f t="shared" ref="BB32:BC32" si="131">IF(BB15="","",BB15+(BB$19*(BB24/BB$28)))</f>
        <v>-280.76739666505853</v>
      </c>
      <c r="BC32" s="255">
        <f t="shared" si="131"/>
        <v>0</v>
      </c>
      <c r="BD32" s="255">
        <f t="shared" ref="BD32:BE32" si="132">IF(BD15="","",BD15+(BD$19*(BD24/BD$28)))</f>
        <v>0</v>
      </c>
      <c r="BE32" s="255">
        <f t="shared" si="132"/>
        <v>0</v>
      </c>
      <c r="BF32" s="255">
        <f t="shared" ref="BF32:BG32" si="133">IF(BF15="","",BF15+(BF$19*(BF24/BF$28)))</f>
        <v>0</v>
      </c>
      <c r="BG32" s="255">
        <f t="shared" si="133"/>
        <v>0</v>
      </c>
      <c r="BH32" s="255">
        <f t="shared" ref="BH32:BI32" si="134">IF(BH15="","",BH15+(BH$19*(BH24/BH$28)))</f>
        <v>0</v>
      </c>
      <c r="BI32" s="255">
        <f t="shared" si="134"/>
        <v>0</v>
      </c>
      <c r="BJ32" s="255">
        <f t="shared" ref="BJ32:BK32" si="135">IF(BJ15="","",BJ15+(BJ$19*(BJ24/BJ$28)))</f>
        <v>0</v>
      </c>
      <c r="BK32" s="255">
        <f t="shared" si="135"/>
        <v>255.64000000059605</v>
      </c>
      <c r="BL32" s="255">
        <f t="shared" ref="BL32:BM32" si="136">IF(BL15="","",BL15+(BL$19*(BL24/BL$28)))</f>
        <v>592.33999999985099</v>
      </c>
      <c r="BM32" s="255">
        <f t="shared" si="136"/>
        <v>632.41000000014901</v>
      </c>
      <c r="BN32" s="255">
        <f t="shared" ref="BN32:BO32" si="137">IF(BN15="","",BN15+(BN$19*(BN24/BN$28)))</f>
        <v>892.52999999932945</v>
      </c>
      <c r="BO32" s="255">
        <f t="shared" si="137"/>
        <v>1958.390000000596</v>
      </c>
      <c r="BP32" s="255">
        <f t="shared" ref="BP32:BQ32" si="138">IF(BP15="","",BP15+(BP$19*(BP24/BP$28)))</f>
        <v>2575.9900000002235</v>
      </c>
      <c r="BQ32" s="255">
        <f t="shared" si="138"/>
        <v>2901.589999999851</v>
      </c>
      <c r="BR32" s="255">
        <f t="shared" ref="BR32:BS32" si="139">IF(BR15="","",BR15+(BR$19*(BR24/BR$28)))</f>
        <v>2255.2100000008941</v>
      </c>
      <c r="BS32" s="255">
        <f t="shared" si="139"/>
        <v>1201.0499999988824</v>
      </c>
      <c r="BT32" s="255">
        <f t="shared" ref="BT32:BU32" si="140">IF(BT15="","",BT15+(BT$19*(BT24/BT$28)))</f>
        <v>993.04000000096858</v>
      </c>
      <c r="BU32" s="255">
        <f t="shared" si="140"/>
        <v>1022.7099999990314</v>
      </c>
      <c r="BV32" s="255">
        <f t="shared" ref="BV32:BW32" si="141">IF(BV15="","",BV15+(BV$19*(BV24/BV$28)))</f>
        <v>1061.0999999996275</v>
      </c>
      <c r="BW32" s="255">
        <f t="shared" si="141"/>
        <v>818.65000000037253</v>
      </c>
      <c r="BX32" s="255">
        <f t="shared" ref="BX32:BY32" si="142">IF(BX15="","",BX15+(BX$19*(BX24/BX$28)))</f>
        <v>0</v>
      </c>
      <c r="BY32" s="255">
        <f t="shared" si="142"/>
        <v>0</v>
      </c>
      <c r="BZ32" s="255">
        <f t="shared" ref="BZ32:CA32" si="143">IF(BZ15="","",BZ15+(BZ$19*(BZ24/BZ$28)))</f>
        <v>0</v>
      </c>
      <c r="CA32" s="255">
        <f t="shared" si="143"/>
        <v>0</v>
      </c>
      <c r="CB32" s="255">
        <f t="shared" ref="CB32:CC32" si="144">IF(CB15="","",CB15+(CB$19*(CB24/CB$28)))</f>
        <v>0</v>
      </c>
      <c r="CC32" s="255">
        <f t="shared" si="144"/>
        <v>0</v>
      </c>
      <c r="CD32" s="255">
        <f t="shared" ref="CD32:CE32" si="145">IF(CD15="","",CD15+(CD$19*(CD24/CD$28)))</f>
        <v>0</v>
      </c>
      <c r="CE32" s="255">
        <f t="shared" si="145"/>
        <v>0</v>
      </c>
      <c r="CF32" s="257">
        <f t="shared" ref="CF32:CG32" si="146">IF(CF15="","",CF15+(CF$19*(CF24/CF$28)))</f>
        <v>0</v>
      </c>
      <c r="CG32" s="257">
        <f t="shared" si="146"/>
        <v>0</v>
      </c>
      <c r="CH32" s="257">
        <f t="shared" ref="CH32:CI32" si="147">IF(CH15="","",CH15+(CH$19*(CH24/CH$28)))</f>
        <v>0</v>
      </c>
      <c r="CI32" s="258">
        <f t="shared" si="147"/>
        <v>0</v>
      </c>
      <c r="CJ32" s="258">
        <f t="shared" ref="CJ32:CK32" si="148">IF(CJ15="","",CJ15+(CJ$19*(CJ24/CJ$28)))</f>
        <v>0</v>
      </c>
      <c r="CK32" s="258">
        <f t="shared" si="148"/>
        <v>0</v>
      </c>
      <c r="CL32" s="258">
        <f t="shared" ref="CL32:CM32" si="149">IF(CL15="","",CL15+(CL$19*(CL24/CL$28)))</f>
        <v>0</v>
      </c>
      <c r="CM32" s="258">
        <f t="shared" si="149"/>
        <v>0</v>
      </c>
      <c r="CN32" s="258">
        <f t="shared" ref="CN32:CO32" si="150">IF(CN15="","",CN15+(CN$19*(CN24/CN$28)))</f>
        <v>0</v>
      </c>
      <c r="CO32" s="258">
        <f t="shared" si="150"/>
        <v>0</v>
      </c>
      <c r="CP32" s="258">
        <f t="shared" ref="CP32:CQ32" si="151">IF(CP15="","",CP15+(CP$19*(CP24/CP$28)))</f>
        <v>0</v>
      </c>
      <c r="CQ32" s="258">
        <f t="shared" si="151"/>
        <v>0</v>
      </c>
      <c r="CR32" s="258">
        <f t="shared" ref="CR32:CS32" si="152">IF(CR15="","",CR15+(CR$19*(CR24/CR$28)))</f>
        <v>0</v>
      </c>
      <c r="CS32" s="258">
        <f t="shared" si="152"/>
        <v>0</v>
      </c>
      <c r="CT32" s="258">
        <f t="shared" ref="CT32" si="153">IF(CT15="","",CT15+(CT$19*(CT24/CT$28)))</f>
        <v>0</v>
      </c>
    </row>
    <row r="33" spans="1:98" x14ac:dyDescent="0.35">
      <c r="A33" s="40" t="s">
        <v>35</v>
      </c>
      <c r="B33" s="41"/>
      <c r="C33" s="41"/>
      <c r="D33" s="255">
        <f>D16+(D$19*(D25/D$28))</f>
        <v>0</v>
      </c>
      <c r="E33" s="255">
        <f t="shared" si="103"/>
        <v>0</v>
      </c>
      <c r="F33" s="255">
        <f t="shared" si="103"/>
        <v>0</v>
      </c>
      <c r="G33" s="255">
        <f t="shared" ref="G33:AW33" si="154">IF(G16="","",G16+(G$19*(G25/G$28)))</f>
        <v>6853.38</v>
      </c>
      <c r="H33" s="255">
        <f t="shared" si="154"/>
        <v>24493.5</v>
      </c>
      <c r="I33" s="255">
        <f t="shared" si="154"/>
        <v>33902.946879751129</v>
      </c>
      <c r="J33" s="255">
        <f t="shared" si="154"/>
        <v>57130.941306139037</v>
      </c>
      <c r="K33" s="255">
        <f t="shared" si="154"/>
        <v>48568.434840680449</v>
      </c>
      <c r="L33" s="255">
        <f t="shared" si="154"/>
        <v>56402.832716238408</v>
      </c>
      <c r="M33" s="255">
        <f t="shared" si="154"/>
        <v>76416.403445979842</v>
      </c>
      <c r="N33" s="255">
        <f t="shared" si="154"/>
        <v>98464.472713338357</v>
      </c>
      <c r="O33" s="255">
        <f t="shared" si="154"/>
        <v>92820.247439449406</v>
      </c>
      <c r="P33" s="255">
        <f t="shared" si="154"/>
        <v>115878.51859125202</v>
      </c>
      <c r="Q33" s="255">
        <f t="shared" si="154"/>
        <v>64178.344243350926</v>
      </c>
      <c r="R33" s="255">
        <f t="shared" si="154"/>
        <v>102867.21859456625</v>
      </c>
      <c r="S33" s="255">
        <f t="shared" si="154"/>
        <v>225026.10782354834</v>
      </c>
      <c r="T33" s="255">
        <f t="shared" si="154"/>
        <v>332206.05000000005</v>
      </c>
      <c r="U33" s="255">
        <f t="shared" si="154"/>
        <v>326565.43828407576</v>
      </c>
      <c r="V33" s="255">
        <f t="shared" si="154"/>
        <v>357152.1332604558</v>
      </c>
      <c r="W33" s="255">
        <f t="shared" si="154"/>
        <v>233165.34998028661</v>
      </c>
      <c r="X33" s="255">
        <f t="shared" si="154"/>
        <v>242735.19909115109</v>
      </c>
      <c r="Y33" s="255">
        <f t="shared" si="154"/>
        <v>270260.8911173091</v>
      </c>
      <c r="Z33" s="255">
        <f t="shared" si="154"/>
        <v>318931.98735694966</v>
      </c>
      <c r="AA33" s="255">
        <f t="shared" si="154"/>
        <v>278425.9450890508</v>
      </c>
      <c r="AB33" s="255">
        <f t="shared" si="154"/>
        <v>325174.04680208978</v>
      </c>
      <c r="AC33" s="255">
        <f t="shared" si="154"/>
        <v>343158.29248776339</v>
      </c>
      <c r="AD33" s="255">
        <f t="shared" si="154"/>
        <v>457118.03014316031</v>
      </c>
      <c r="AE33" s="255">
        <f t="shared" si="154"/>
        <v>886825.58305134752</v>
      </c>
      <c r="AF33" s="255">
        <f t="shared" si="154"/>
        <v>1197518.2821251666</v>
      </c>
      <c r="AG33" s="255">
        <f t="shared" si="154"/>
        <v>1030275.3853313371</v>
      </c>
      <c r="AH33" s="255">
        <f t="shared" si="154"/>
        <v>1033786.813176945</v>
      </c>
      <c r="AI33" s="255">
        <f t="shared" si="154"/>
        <v>565137.42472021224</v>
      </c>
      <c r="AJ33" s="255">
        <f t="shared" si="154"/>
        <v>515386.54786655982</v>
      </c>
      <c r="AK33" s="255">
        <f t="shared" si="154"/>
        <v>600621.60749234632</v>
      </c>
      <c r="AL33" s="255">
        <f t="shared" si="154"/>
        <v>677840.83886779845</v>
      </c>
      <c r="AM33" s="255">
        <f t="shared" si="154"/>
        <v>590569.34077565547</v>
      </c>
      <c r="AN33" s="255">
        <f t="shared" si="154"/>
        <v>785533.21729427099</v>
      </c>
      <c r="AO33" s="255">
        <f t="shared" si="154"/>
        <v>759722.89069128735</v>
      </c>
      <c r="AP33" s="255">
        <f t="shared" si="154"/>
        <v>730573.86433008127</v>
      </c>
      <c r="AQ33" s="255">
        <f t="shared" si="154"/>
        <v>1701261.2984572235</v>
      </c>
      <c r="AR33" s="255">
        <f t="shared" si="154"/>
        <v>2138329.3142225798</v>
      </c>
      <c r="AS33" s="255">
        <f t="shared" si="154"/>
        <v>1807748.5219926799</v>
      </c>
      <c r="AT33" s="255">
        <f t="shared" si="154"/>
        <v>1650674.4488178033</v>
      </c>
      <c r="AU33" s="255">
        <f t="shared" si="154"/>
        <v>846164.39074269368</v>
      </c>
      <c r="AV33" s="255">
        <f t="shared" si="154"/>
        <v>722912.52035272913</v>
      </c>
      <c r="AW33" s="255">
        <f t="shared" si="154"/>
        <v>787449.04813982907</v>
      </c>
      <c r="AX33" s="255">
        <f t="shared" ref="AX33:AY33" si="155">IF(AX16="","",AX16+(AX$19*(AX25/AX$28)))</f>
        <v>821876.98404895363</v>
      </c>
      <c r="AY33" s="255">
        <f t="shared" si="155"/>
        <v>663143.00246334542</v>
      </c>
      <c r="AZ33" s="255">
        <f t="shared" ref="AZ33" si="156">IF(AZ16="","",AZ16+(AZ$19*(AZ25/AZ$28)))</f>
        <v>717865.1381538827</v>
      </c>
      <c r="BA33" s="255">
        <f t="shared" ref="BA33:BF33" si="157">IF(BA16="","",BA16+(BA$19*(BA25/BA$28)))</f>
        <v>2286.3100000023842</v>
      </c>
      <c r="BB33" s="255">
        <f t="shared" si="157"/>
        <v>1973.3555017490889</v>
      </c>
      <c r="BC33" s="255">
        <f t="shared" si="157"/>
        <v>12223.310000002384</v>
      </c>
      <c r="BD33" s="255">
        <f t="shared" si="157"/>
        <v>22853.179999999702</v>
      </c>
      <c r="BE33" s="255">
        <f t="shared" si="157"/>
        <v>20540.269999999553</v>
      </c>
      <c r="BF33" s="255">
        <f t="shared" si="157"/>
        <v>15022.210000000894</v>
      </c>
      <c r="BG33" s="255">
        <f t="shared" ref="BG33:BH33" si="158">IF(BG16="","",BG16+(BG$19*(BG25/BG$28)))</f>
        <v>6711.089999999851</v>
      </c>
      <c r="BH33" s="255">
        <f t="shared" si="158"/>
        <v>6702.839999999851</v>
      </c>
      <c r="BI33" s="255">
        <f t="shared" ref="BI33:BJ33" si="159">IF(BI16="","",BI16+(BI$19*(BI25/BI$28)))</f>
        <v>8127.0399999991059</v>
      </c>
      <c r="BJ33" s="255">
        <f t="shared" si="159"/>
        <v>8329.3000000007451</v>
      </c>
      <c r="BK33" s="255">
        <f t="shared" ref="BK33:BL33" si="160">IF(BK16="","",BK16+(BK$19*(BK25/BK$28)))</f>
        <v>8800.269999999553</v>
      </c>
      <c r="BL33" s="255">
        <f t="shared" si="160"/>
        <v>10333.070000000298</v>
      </c>
      <c r="BM33" s="255">
        <f t="shared" ref="BM33:BN33" si="161">IF(BM16="","",BM16+(BM$19*(BM25/BM$28)))</f>
        <v>8760.0100000016391</v>
      </c>
      <c r="BN33" s="255">
        <f t="shared" si="161"/>
        <v>11044.909999996424</v>
      </c>
      <c r="BO33" s="255">
        <f t="shared" ref="BO33:BP33" si="162">IF(BO16="","",BO16+(BO$19*(BO25/BO$28)))</f>
        <v>31907.310000002384</v>
      </c>
      <c r="BP33" s="255">
        <f t="shared" si="162"/>
        <v>40946.179999999702</v>
      </c>
      <c r="BQ33" s="255">
        <f t="shared" ref="BQ33:BR33" si="163">IF(BQ16="","",BQ16+(BQ$19*(BQ25/BQ$28)))</f>
        <v>36410.359999999404</v>
      </c>
      <c r="BR33" s="255">
        <f t="shared" si="163"/>
        <v>22318.39999999851</v>
      </c>
      <c r="BS33" s="255">
        <f t="shared" ref="BS33:BT33" si="164">IF(BS16="","",BS16+(BS$19*(BS25/BS$28)))</f>
        <v>8944.2900000028312</v>
      </c>
      <c r="BT33" s="255">
        <f t="shared" si="164"/>
        <v>9312.6499999985099</v>
      </c>
      <c r="BU33" s="255">
        <f t="shared" ref="BU33:BV33" si="165">IF(BU16="","",BU16+(BU$19*(BU25/BU$28)))</f>
        <v>11751.719999998808</v>
      </c>
      <c r="BV33" s="255">
        <f t="shared" si="165"/>
        <v>12005.310000002384</v>
      </c>
      <c r="BW33" s="255">
        <f t="shared" ref="BW33:BX33" si="166">IF(BW16="","",BW16+(BW$19*(BW25/BW$28)))</f>
        <v>10126.529999997467</v>
      </c>
      <c r="BX33" s="255">
        <f t="shared" si="166"/>
        <v>0</v>
      </c>
      <c r="BY33" s="255">
        <f t="shared" ref="BY33:BZ33" si="167">IF(BY16="","",BY16+(BY$19*(BY25/BY$28)))</f>
        <v>0</v>
      </c>
      <c r="BZ33" s="255">
        <f t="shared" si="167"/>
        <v>0</v>
      </c>
      <c r="CA33" s="255">
        <f t="shared" ref="CA33:CB33" si="168">IF(CA16="","",CA16+(CA$19*(CA25/CA$28)))</f>
        <v>0</v>
      </c>
      <c r="CB33" s="255">
        <f t="shared" si="168"/>
        <v>0</v>
      </c>
      <c r="CC33" s="255">
        <f t="shared" ref="CC33:CD33" si="169">IF(CC16="","",CC16+(CC$19*(CC25/CC$28)))</f>
        <v>0</v>
      </c>
      <c r="CD33" s="255">
        <f t="shared" si="169"/>
        <v>0</v>
      </c>
      <c r="CE33" s="255">
        <f t="shared" ref="CE33:CF33" si="170">IF(CE16="","",CE16+(CE$19*(CE25/CE$28)))</f>
        <v>0</v>
      </c>
      <c r="CF33" s="257">
        <f t="shared" si="170"/>
        <v>0</v>
      </c>
      <c r="CG33" s="257">
        <f t="shared" ref="CG33:CH33" si="171">IF(CG16="","",CG16+(CG$19*(CG25/CG$28)))</f>
        <v>0</v>
      </c>
      <c r="CH33" s="257">
        <f t="shared" si="171"/>
        <v>0</v>
      </c>
      <c r="CI33" s="258">
        <f t="shared" ref="CI33:CJ33" si="172">IF(CI16="","",CI16+(CI$19*(CI25/CI$28)))</f>
        <v>0</v>
      </c>
      <c r="CJ33" s="258">
        <f t="shared" si="172"/>
        <v>0</v>
      </c>
      <c r="CK33" s="258">
        <f t="shared" ref="CK33:CL33" si="173">IF(CK16="","",CK16+(CK$19*(CK25/CK$28)))</f>
        <v>0</v>
      </c>
      <c r="CL33" s="258">
        <f t="shared" si="173"/>
        <v>0</v>
      </c>
      <c r="CM33" s="258">
        <f t="shared" ref="CM33:CN33" si="174">IF(CM16="","",CM16+(CM$19*(CM25/CM$28)))</f>
        <v>0</v>
      </c>
      <c r="CN33" s="258">
        <f t="shared" si="174"/>
        <v>0</v>
      </c>
      <c r="CO33" s="258">
        <f t="shared" ref="CO33:CP33" si="175">IF(CO16="","",CO16+(CO$19*(CO25/CO$28)))</f>
        <v>0</v>
      </c>
      <c r="CP33" s="258">
        <f t="shared" si="175"/>
        <v>0</v>
      </c>
      <c r="CQ33" s="258">
        <f t="shared" ref="CQ33:CR33" si="176">IF(CQ16="","",CQ16+(CQ$19*(CQ25/CQ$28)))</f>
        <v>0</v>
      </c>
      <c r="CR33" s="258">
        <f t="shared" si="176"/>
        <v>0</v>
      </c>
      <c r="CS33" s="258">
        <f t="shared" ref="CS33:CT33" si="177">IF(CS16="","",CS16+(CS$19*(CS25/CS$28)))</f>
        <v>0</v>
      </c>
      <c r="CT33" s="258">
        <f t="shared" si="177"/>
        <v>0</v>
      </c>
    </row>
    <row r="34" spans="1:98" x14ac:dyDescent="0.35">
      <c r="A34" s="40" t="s">
        <v>36</v>
      </c>
      <c r="B34" s="41"/>
      <c r="C34" s="41"/>
      <c r="D34" s="255">
        <f>D17+(D$19*(D26/D$28))</f>
        <v>0</v>
      </c>
      <c r="E34" s="255">
        <f t="shared" si="103"/>
        <v>0</v>
      </c>
      <c r="F34" s="255">
        <f t="shared" si="103"/>
        <v>0</v>
      </c>
      <c r="G34" s="255">
        <f t="shared" ref="G34:AW34" si="178">IF(G17="","",G17+(G$19*(G26/G$28)))</f>
        <v>526.23</v>
      </c>
      <c r="H34" s="255">
        <f t="shared" si="178"/>
        <v>1707.2399999999998</v>
      </c>
      <c r="I34" s="255">
        <f t="shared" si="178"/>
        <v>2230.0207254609436</v>
      </c>
      <c r="J34" s="255">
        <f t="shared" si="178"/>
        <v>4794.6581417484167</v>
      </c>
      <c r="K34" s="255">
        <f t="shared" si="178"/>
        <v>4373.862445788076</v>
      </c>
      <c r="L34" s="255">
        <f t="shared" si="178"/>
        <v>7453.242982336099</v>
      </c>
      <c r="M34" s="255">
        <f t="shared" si="178"/>
        <v>18084.577784318448</v>
      </c>
      <c r="N34" s="255">
        <f t="shared" si="178"/>
        <v>27963.810761260709</v>
      </c>
      <c r="O34" s="255">
        <f t="shared" si="178"/>
        <v>24456.059952649921</v>
      </c>
      <c r="P34" s="255">
        <f t="shared" si="178"/>
        <v>29615.310672687767</v>
      </c>
      <c r="Q34" s="255">
        <f t="shared" si="178"/>
        <v>12166.436689655247</v>
      </c>
      <c r="R34" s="255">
        <f t="shared" si="178"/>
        <v>28108.084360485296</v>
      </c>
      <c r="S34" s="255">
        <f t="shared" si="178"/>
        <v>128148.15141495112</v>
      </c>
      <c r="T34" s="255">
        <f t="shared" si="178"/>
        <v>175689.74</v>
      </c>
      <c r="U34" s="255">
        <f t="shared" si="178"/>
        <v>218402.52810095585</v>
      </c>
      <c r="V34" s="255">
        <f t="shared" si="178"/>
        <v>205067.89849978662</v>
      </c>
      <c r="W34" s="255">
        <f t="shared" si="178"/>
        <v>101187.08297273742</v>
      </c>
      <c r="X34" s="255">
        <f t="shared" si="178"/>
        <v>97773.438006020719</v>
      </c>
      <c r="Y34" s="255">
        <f t="shared" si="178"/>
        <v>113746.10309897989</v>
      </c>
      <c r="Z34" s="255">
        <f t="shared" si="178"/>
        <v>131796.02801249109</v>
      </c>
      <c r="AA34" s="255">
        <f t="shared" si="178"/>
        <v>116090.38160247794</v>
      </c>
      <c r="AB34" s="255">
        <f t="shared" si="178"/>
        <v>132068.16497570253</v>
      </c>
      <c r="AC34" s="255">
        <f t="shared" si="178"/>
        <v>133321.08677453059</v>
      </c>
      <c r="AD34" s="255">
        <f t="shared" si="178"/>
        <v>180104.81791441111</v>
      </c>
      <c r="AE34" s="255">
        <f t="shared" si="178"/>
        <v>422991.61425343697</v>
      </c>
      <c r="AF34" s="255">
        <f t="shared" si="178"/>
        <v>543609.86073367961</v>
      </c>
      <c r="AG34" s="255">
        <f t="shared" si="178"/>
        <v>486263.01132460969</v>
      </c>
      <c r="AH34" s="255">
        <f t="shared" si="178"/>
        <v>414107.44556621916</v>
      </c>
      <c r="AI34" s="255">
        <f t="shared" si="178"/>
        <v>207208.35422995902</v>
      </c>
      <c r="AJ34" s="255">
        <f t="shared" si="178"/>
        <v>191307.18426831797</v>
      </c>
      <c r="AK34" s="255">
        <f t="shared" si="178"/>
        <v>223825.29632810416</v>
      </c>
      <c r="AL34" s="255">
        <f t="shared" si="178"/>
        <v>251714.86075436554</v>
      </c>
      <c r="AM34" s="255">
        <f t="shared" si="178"/>
        <v>220841.99668727524</v>
      </c>
      <c r="AN34" s="255">
        <f t="shared" si="178"/>
        <v>305651.11265488941</v>
      </c>
      <c r="AO34" s="255">
        <f t="shared" si="178"/>
        <v>284274.24631552736</v>
      </c>
      <c r="AP34" s="255">
        <f t="shared" si="178"/>
        <v>294781.80288519792</v>
      </c>
      <c r="AQ34" s="255">
        <f t="shared" si="178"/>
        <v>791914.33120203775</v>
      </c>
      <c r="AR34" s="255">
        <f t="shared" si="178"/>
        <v>978344.05317777325</v>
      </c>
      <c r="AS34" s="255">
        <f t="shared" si="178"/>
        <v>874777.66117086785</v>
      </c>
      <c r="AT34" s="255">
        <f t="shared" si="178"/>
        <v>686805.48036969628</v>
      </c>
      <c r="AU34" s="255">
        <f t="shared" si="178"/>
        <v>321802.45107933023</v>
      </c>
      <c r="AV34" s="255">
        <f t="shared" si="178"/>
        <v>280028.89151037188</v>
      </c>
      <c r="AW34" s="255">
        <f t="shared" si="178"/>
        <v>274144.21732121875</v>
      </c>
      <c r="AX34" s="255">
        <f t="shared" ref="AX34:AY34" si="179">IF(AX17="","",AX17+(AX$19*(AX26/AX$28)))</f>
        <v>303711.11912158254</v>
      </c>
      <c r="AY34" s="255">
        <f t="shared" si="179"/>
        <v>251998.46611210689</v>
      </c>
      <c r="AZ34" s="255">
        <f t="shared" ref="AZ34:BA34" si="180">IF(AZ17="","",AZ17+(AZ$19*(AZ26/AZ$28)))</f>
        <v>276069.3565741299</v>
      </c>
      <c r="BA34" s="255">
        <f t="shared" si="180"/>
        <v>0</v>
      </c>
      <c r="BB34" s="255">
        <f t="shared" ref="BB34:BC34" si="181">IF(BB17="","",BB17+(BB$19*(BB26/BB$28)))</f>
        <v>-315.01218360235936</v>
      </c>
      <c r="BC34" s="255">
        <f t="shared" si="181"/>
        <v>0</v>
      </c>
      <c r="BD34" s="255">
        <f t="shared" ref="BD34:BE34" si="182">IF(BD17="","",BD17+(BD$19*(BD26/BD$28)))</f>
        <v>0</v>
      </c>
      <c r="BE34" s="255">
        <f t="shared" si="182"/>
        <v>16813.580000000075</v>
      </c>
      <c r="BF34" s="255">
        <f t="shared" ref="BF34:BG34" si="183">IF(BF17="","",BF17+(BF$19*(BF26/BF$28)))</f>
        <v>19387.400000000373</v>
      </c>
      <c r="BG34" s="255">
        <f t="shared" si="183"/>
        <v>6785.070000000298</v>
      </c>
      <c r="BH34" s="255">
        <f t="shared" ref="BH34:BI34" si="184">IF(BH17="","",BH17+(BH$19*(BH26/BH$28)))</f>
        <v>6167.2299999985844</v>
      </c>
      <c r="BI34" s="255">
        <f t="shared" si="184"/>
        <v>9586.9900000002235</v>
      </c>
      <c r="BJ34" s="255">
        <f t="shared" ref="BJ34:BK34" si="185">IF(BJ17="","",BJ17+(BJ$19*(BJ26/BJ$28)))</f>
        <v>12497.580000000075</v>
      </c>
      <c r="BK34" s="255">
        <f t="shared" si="185"/>
        <v>10043.310000000522</v>
      </c>
      <c r="BL34" s="255">
        <f t="shared" ref="BL34:BM34" si="186">IF(BL17="","",BL17+(BL$19*(BL26/BL$28)))</f>
        <v>10496.050000000745</v>
      </c>
      <c r="BM34" s="255">
        <f t="shared" si="186"/>
        <v>9775.9599999990314</v>
      </c>
      <c r="BN34" s="255">
        <f t="shared" ref="BN34:BO34" si="187">IF(BN17="","",BN17+(BN$19*(BN26/BN$28)))</f>
        <v>13527.650000000373</v>
      </c>
      <c r="BO34" s="255">
        <f t="shared" si="187"/>
        <v>36494.849999999627</v>
      </c>
      <c r="BP34" s="255">
        <f t="shared" ref="BP34:BQ34" si="188">IF(BP17="","",BP17+(BP$19*(BP26/BP$28)))</f>
        <v>47679.970000000671</v>
      </c>
      <c r="BQ34" s="255">
        <f t="shared" si="188"/>
        <v>45288.439999999478</v>
      </c>
      <c r="BR34" s="255">
        <f t="shared" ref="BR34:BS34" si="189">IF(BR17="","",BR17+(BR$19*(BR26/BR$28)))</f>
        <v>29486.400000000373</v>
      </c>
      <c r="BS34" s="255">
        <f t="shared" si="189"/>
        <v>11833.289999999106</v>
      </c>
      <c r="BT34" s="255">
        <f t="shared" ref="BT34:BU34" si="190">IF(BT17="","",BT17+(BT$19*(BT26/BT$28)))</f>
        <v>10374.580000000075</v>
      </c>
      <c r="BU34" s="255">
        <f t="shared" si="190"/>
        <v>12057.450000001118</v>
      </c>
      <c r="BV34" s="255">
        <f t="shared" ref="BV34:BW34" si="191">IF(BV17="","",BV17+(BV$19*(BV26/BV$28)))</f>
        <v>12824.789999999106</v>
      </c>
      <c r="BW34" s="255">
        <f t="shared" si="191"/>
        <v>10330.179999999702</v>
      </c>
      <c r="BX34" s="255">
        <f t="shared" ref="BX34:BY34" si="192">IF(BX17="","",BX17+(BX$19*(BX26/BX$28)))</f>
        <v>0</v>
      </c>
      <c r="BY34" s="255">
        <f t="shared" si="192"/>
        <v>0</v>
      </c>
      <c r="BZ34" s="255">
        <f t="shared" ref="BZ34:CA34" si="193">IF(BZ17="","",BZ17+(BZ$19*(BZ26/BZ$28)))</f>
        <v>0</v>
      </c>
      <c r="CA34" s="255">
        <f t="shared" si="193"/>
        <v>0</v>
      </c>
      <c r="CB34" s="255">
        <f t="shared" ref="CB34:CC34" si="194">IF(CB17="","",CB17+(CB$19*(CB26/CB$28)))</f>
        <v>0</v>
      </c>
      <c r="CC34" s="255">
        <f t="shared" si="194"/>
        <v>0</v>
      </c>
      <c r="CD34" s="255">
        <f t="shared" ref="CD34:CE34" si="195">IF(CD17="","",CD17+(CD$19*(CD26/CD$28)))</f>
        <v>0</v>
      </c>
      <c r="CE34" s="255">
        <f t="shared" si="195"/>
        <v>0</v>
      </c>
      <c r="CF34" s="257">
        <f t="shared" ref="CF34:CG34" si="196">IF(CF17="","",CF17+(CF$19*(CF26/CF$28)))</f>
        <v>0</v>
      </c>
      <c r="CG34" s="257">
        <f t="shared" si="196"/>
        <v>0</v>
      </c>
      <c r="CH34" s="257">
        <f t="shared" ref="CH34:CI34" si="197">IF(CH17="","",CH17+(CH$19*(CH26/CH$28)))</f>
        <v>0</v>
      </c>
      <c r="CI34" s="258">
        <f t="shared" si="197"/>
        <v>0</v>
      </c>
      <c r="CJ34" s="258">
        <f t="shared" ref="CJ34:CK34" si="198">IF(CJ17="","",CJ17+(CJ$19*(CJ26/CJ$28)))</f>
        <v>0</v>
      </c>
      <c r="CK34" s="258">
        <f t="shared" si="198"/>
        <v>0</v>
      </c>
      <c r="CL34" s="258">
        <f t="shared" ref="CL34:CM34" si="199">IF(CL17="","",CL17+(CL$19*(CL26/CL$28)))</f>
        <v>0</v>
      </c>
      <c r="CM34" s="258">
        <f t="shared" si="199"/>
        <v>0</v>
      </c>
      <c r="CN34" s="258">
        <f t="shared" ref="CN34:CO34" si="200">IF(CN17="","",CN17+(CN$19*(CN26/CN$28)))</f>
        <v>0</v>
      </c>
      <c r="CO34" s="258">
        <f t="shared" si="200"/>
        <v>0</v>
      </c>
      <c r="CP34" s="258">
        <f t="shared" ref="CP34:CQ34" si="201">IF(CP17="","",CP17+(CP$19*(CP26/CP$28)))</f>
        <v>0</v>
      </c>
      <c r="CQ34" s="258">
        <f t="shared" si="201"/>
        <v>0</v>
      </c>
      <c r="CR34" s="258">
        <f t="shared" ref="CR34:CS34" si="202">IF(CR17="","",CR17+(CR$19*(CR26/CR$28)))</f>
        <v>0</v>
      </c>
      <c r="CS34" s="258">
        <f t="shared" si="202"/>
        <v>0</v>
      </c>
      <c r="CT34" s="258">
        <f t="shared" ref="CT34" si="203">IF(CT17="","",CT17+(CT$19*(CT26/CT$28)))</f>
        <v>0</v>
      </c>
    </row>
    <row r="35" spans="1:98" x14ac:dyDescent="0.35">
      <c r="A35" s="40" t="s">
        <v>37</v>
      </c>
      <c r="B35" s="41"/>
      <c r="C35" s="41"/>
      <c r="D35" s="255">
        <f>D18+(D$19*(D27/D$28))</f>
        <v>0</v>
      </c>
      <c r="E35" s="255">
        <f t="shared" si="103"/>
        <v>0</v>
      </c>
      <c r="F35" s="255">
        <f t="shared" si="103"/>
        <v>0</v>
      </c>
      <c r="G35" s="255">
        <f t="shared" ref="G35:AW35" si="204">IF(G18="","",G18+(G$19*(G27/G$28)))</f>
        <v>0</v>
      </c>
      <c r="H35" s="255">
        <f t="shared" si="204"/>
        <v>360.22</v>
      </c>
      <c r="I35" s="255">
        <f t="shared" si="204"/>
        <v>1356.5027975457876</v>
      </c>
      <c r="J35" s="255">
        <f t="shared" si="204"/>
        <v>2255.3712414377201</v>
      </c>
      <c r="K35" s="255">
        <f t="shared" si="204"/>
        <v>1897.7199413483188</v>
      </c>
      <c r="L35" s="255">
        <f t="shared" si="204"/>
        <v>2405.4668833960245</v>
      </c>
      <c r="M35" s="255">
        <f t="shared" si="204"/>
        <v>3262.8984825339485</v>
      </c>
      <c r="N35" s="255">
        <f t="shared" si="204"/>
        <v>5909.4833335993335</v>
      </c>
      <c r="O35" s="255">
        <f t="shared" si="204"/>
        <v>6425.014731291647</v>
      </c>
      <c r="P35" s="255">
        <f t="shared" si="204"/>
        <v>9106.0133494287093</v>
      </c>
      <c r="Q35" s="255">
        <f t="shared" si="204"/>
        <v>8390.7638449238184</v>
      </c>
      <c r="R35" s="255">
        <f t="shared" si="204"/>
        <v>10997.379437607351</v>
      </c>
      <c r="S35" s="255">
        <f t="shared" si="204"/>
        <v>20856.094406634937</v>
      </c>
      <c r="T35" s="255">
        <f t="shared" si="204"/>
        <v>29338.039999999994</v>
      </c>
      <c r="U35" s="255">
        <f t="shared" si="204"/>
        <v>27923.370923640025</v>
      </c>
      <c r="V35" s="255">
        <f t="shared" si="204"/>
        <v>26983.721535135461</v>
      </c>
      <c r="W35" s="255">
        <f t="shared" si="204"/>
        <v>19471.188276380515</v>
      </c>
      <c r="X35" s="255">
        <f t="shared" si="204"/>
        <v>18971.478034215677</v>
      </c>
      <c r="Y35" s="255">
        <f t="shared" si="204"/>
        <v>20838.032820297231</v>
      </c>
      <c r="Z35" s="255">
        <f t="shared" si="204"/>
        <v>24107.448446951264</v>
      </c>
      <c r="AA35" s="255">
        <f t="shared" si="204"/>
        <v>21893.062382864882</v>
      </c>
      <c r="AB35" s="255">
        <f t="shared" si="204"/>
        <v>24080.232432507251</v>
      </c>
      <c r="AC35" s="255">
        <f t="shared" si="204"/>
        <v>25697.334922102909</v>
      </c>
      <c r="AD35" s="255">
        <f t="shared" si="204"/>
        <v>34703.027598888038</v>
      </c>
      <c r="AE35" s="255">
        <f t="shared" si="204"/>
        <v>75519.476357307751</v>
      </c>
      <c r="AF35" s="255">
        <f t="shared" si="204"/>
        <v>100273.42685716876</v>
      </c>
      <c r="AG35" s="255">
        <f t="shared" si="204"/>
        <v>85499.508585205374</v>
      </c>
      <c r="AH35" s="255">
        <f t="shared" si="204"/>
        <v>69397.820475524379</v>
      </c>
      <c r="AI35" s="255">
        <f t="shared" si="204"/>
        <v>37821.144416831085</v>
      </c>
      <c r="AJ35" s="255">
        <f t="shared" si="204"/>
        <v>35865.098177838852</v>
      </c>
      <c r="AK35" s="255">
        <f t="shared" si="204"/>
        <v>42905.24501769265</v>
      </c>
      <c r="AL35" s="255">
        <f t="shared" si="204"/>
        <v>48941.253195931422</v>
      </c>
      <c r="AM35" s="255">
        <f t="shared" si="204"/>
        <v>45736.205779424003</v>
      </c>
      <c r="AN35" s="255">
        <f t="shared" si="204"/>
        <v>61794.995083764363</v>
      </c>
      <c r="AO35" s="255">
        <f t="shared" si="204"/>
        <v>56159.323619014431</v>
      </c>
      <c r="AP35" s="255">
        <f t="shared" si="204"/>
        <v>66116.096564999927</v>
      </c>
      <c r="AQ35" s="255">
        <f t="shared" si="204"/>
        <v>196336.18137657503</v>
      </c>
      <c r="AR35" s="255">
        <f t="shared" si="204"/>
        <v>261767.5472645007</v>
      </c>
      <c r="AS35" s="255">
        <f t="shared" si="204"/>
        <v>232206.9863998002</v>
      </c>
      <c r="AT35" s="255">
        <f t="shared" si="204"/>
        <v>149701.48799265211</v>
      </c>
      <c r="AU35" s="255">
        <f t="shared" si="204"/>
        <v>63981.67593600769</v>
      </c>
      <c r="AV35" s="255">
        <f t="shared" si="204"/>
        <v>56131.256299554763</v>
      </c>
      <c r="AW35" s="255">
        <f t="shared" si="204"/>
        <v>57173.072833048078</v>
      </c>
      <c r="AX35" s="255">
        <f t="shared" ref="AX35:AY35" si="205">IF(AX18="","",AX18+(AX$19*(AX27/AX$28)))</f>
        <v>61251.937727286851</v>
      </c>
      <c r="AY35" s="255">
        <f t="shared" si="205"/>
        <v>54765.460012100484</v>
      </c>
      <c r="AZ35" s="255">
        <f t="shared" ref="AZ35:BA35" si="206">IF(AZ18="","",AZ18+(AZ$19*(AZ27/AZ$28)))</f>
        <v>55225.416517369085</v>
      </c>
      <c r="BA35" s="255">
        <f t="shared" si="206"/>
        <v>0</v>
      </c>
      <c r="BB35" s="255">
        <f t="shared" ref="BB35:BC35" si="207">IF(BB18="","",BB18+(BB$19*(BB27/BB$28)))</f>
        <v>-142.24679364857641</v>
      </c>
      <c r="BC35" s="255">
        <f t="shared" si="207"/>
        <v>0</v>
      </c>
      <c r="BD35" s="255">
        <f t="shared" ref="BD35:BE35" si="208">IF(BD18="","",BD18+(BD$19*(BD27/BD$28)))</f>
        <v>0</v>
      </c>
      <c r="BE35" s="255">
        <f t="shared" si="208"/>
        <v>0</v>
      </c>
      <c r="BF35" s="255">
        <f t="shared" ref="BF35:BG35" si="209">IF(BF18="","",BF18+(BF$19*(BF27/BF$28)))</f>
        <v>0</v>
      </c>
      <c r="BG35" s="255">
        <f t="shared" si="209"/>
        <v>0</v>
      </c>
      <c r="BH35" s="255">
        <f t="shared" ref="BH35:BI35" si="210">IF(BH18="","",BH18+(BH$19*(BH27/BH$28)))</f>
        <v>0</v>
      </c>
      <c r="BI35" s="255">
        <f t="shared" si="210"/>
        <v>0</v>
      </c>
      <c r="BJ35" s="255">
        <f t="shared" ref="BJ35:BK35" si="211">IF(BJ18="","",BJ18+(BJ$19*(BJ27/BJ$28)))</f>
        <v>0</v>
      </c>
      <c r="BK35" s="255">
        <f t="shared" si="211"/>
        <v>0</v>
      </c>
      <c r="BL35" s="255">
        <f t="shared" ref="BL35:BM35" si="212">IF(BL18="","",BL18+(BL$19*(BL27/BL$28)))</f>
        <v>0</v>
      </c>
      <c r="BM35" s="255">
        <f t="shared" si="212"/>
        <v>0</v>
      </c>
      <c r="BN35" s="255">
        <f t="shared" ref="BN35:BS35" si="213">IF(BN18="","",BN18+(BN$19*(BN27/BN$28)))</f>
        <v>0</v>
      </c>
      <c r="BO35" s="255">
        <f t="shared" si="213"/>
        <v>0</v>
      </c>
      <c r="BP35" s="255">
        <f t="shared" si="213"/>
        <v>0</v>
      </c>
      <c r="BQ35" s="255">
        <f t="shared" si="213"/>
        <v>-101.14999999990687</v>
      </c>
      <c r="BR35" s="255">
        <f t="shared" si="213"/>
        <v>-108.16000000014901</v>
      </c>
      <c r="BS35" s="255">
        <f t="shared" si="213"/>
        <v>-67.520000000018626</v>
      </c>
      <c r="BT35" s="255">
        <f t="shared" ref="BT35:BU35" si="214">IF(BT18="","",BT18+(BT$19*(BT27/BT$28)))</f>
        <v>-54.189999999944121</v>
      </c>
      <c r="BU35" s="255">
        <f t="shared" si="214"/>
        <v>-56.580000000074506</v>
      </c>
      <c r="BV35" s="255">
        <f t="shared" ref="BV35:BW35" si="215">IF(BV18="","",BV18+(BV$19*(BV27/BV$28)))</f>
        <v>-61.179999999701977</v>
      </c>
      <c r="BW35" s="255">
        <f t="shared" si="215"/>
        <v>-51.470000000204891</v>
      </c>
      <c r="BX35" s="255">
        <f t="shared" ref="BX35:BY35" si="216">IF(BX18="","",BX18+(BX$19*(BX27/BX$28)))</f>
        <v>0</v>
      </c>
      <c r="BY35" s="255">
        <f t="shared" si="216"/>
        <v>0</v>
      </c>
      <c r="BZ35" s="255">
        <f t="shared" ref="BZ35:CA35" si="217">IF(BZ18="","",BZ18+(BZ$19*(BZ27/BZ$28)))</f>
        <v>0</v>
      </c>
      <c r="CA35" s="255">
        <f t="shared" si="217"/>
        <v>0</v>
      </c>
      <c r="CB35" s="255">
        <f t="shared" ref="CB35:CC35" si="218">IF(CB18="","",CB18+(CB$19*(CB27/CB$28)))</f>
        <v>0</v>
      </c>
      <c r="CC35" s="255">
        <f t="shared" si="218"/>
        <v>0</v>
      </c>
      <c r="CD35" s="255">
        <f t="shared" ref="CD35:CE35" si="219">IF(CD18="","",CD18+(CD$19*(CD27/CD$28)))</f>
        <v>0</v>
      </c>
      <c r="CE35" s="255">
        <f t="shared" si="219"/>
        <v>0</v>
      </c>
      <c r="CF35" s="257">
        <f t="shared" ref="CF35:CG35" si="220">IF(CF18="","",CF18+(CF$19*(CF27/CF$28)))</f>
        <v>0</v>
      </c>
      <c r="CG35" s="257">
        <f t="shared" si="220"/>
        <v>0</v>
      </c>
      <c r="CH35" s="257">
        <f t="shared" ref="CH35:CI35" si="221">IF(CH18="","",CH18+(CH$19*(CH27/CH$28)))</f>
        <v>0</v>
      </c>
      <c r="CI35" s="258">
        <f t="shared" si="221"/>
        <v>0</v>
      </c>
      <c r="CJ35" s="258">
        <f t="shared" ref="CJ35:CK35" si="222">IF(CJ18="","",CJ18+(CJ$19*(CJ27/CJ$28)))</f>
        <v>0</v>
      </c>
      <c r="CK35" s="258">
        <f t="shared" si="222"/>
        <v>0</v>
      </c>
      <c r="CL35" s="258">
        <f t="shared" ref="CL35:CM35" si="223">IF(CL18="","",CL18+(CL$19*(CL27/CL$28)))</f>
        <v>0</v>
      </c>
      <c r="CM35" s="258">
        <f t="shared" si="223"/>
        <v>0</v>
      </c>
      <c r="CN35" s="258">
        <f t="shared" ref="CN35:CO35" si="224">IF(CN18="","",CN18+(CN$19*(CN27/CN$28)))</f>
        <v>0</v>
      </c>
      <c r="CO35" s="258">
        <f t="shared" si="224"/>
        <v>0</v>
      </c>
      <c r="CP35" s="258">
        <f t="shared" ref="CP35:CQ35" si="225">IF(CP18="","",CP18+(CP$19*(CP27/CP$28)))</f>
        <v>0</v>
      </c>
      <c r="CQ35" s="258">
        <f t="shared" si="225"/>
        <v>0</v>
      </c>
      <c r="CR35" s="258">
        <f t="shared" ref="CR35:CS35" si="226">IF(CR18="","",CR18+(CR$19*(CR27/CR$28)))</f>
        <v>0</v>
      </c>
      <c r="CS35" s="258">
        <f t="shared" si="226"/>
        <v>0</v>
      </c>
      <c r="CT35" s="258">
        <f t="shared" ref="CT35" si="227">IF(CT18="","",CT18+(CT$19*(CT27/CT$28)))</f>
        <v>0</v>
      </c>
    </row>
    <row r="36" spans="1:98" x14ac:dyDescent="0.35">
      <c r="A36" s="35" t="s">
        <v>31</v>
      </c>
      <c r="B36" s="33"/>
      <c r="C36" s="33"/>
      <c r="D36" s="48">
        <f>SUM(D31:D35)</f>
        <v>0</v>
      </c>
      <c r="E36" s="48">
        <f t="shared" ref="E36:AW36" si="228">SUM(E31:E35)</f>
        <v>1328.78</v>
      </c>
      <c r="F36" s="48">
        <f t="shared" si="228"/>
        <v>9526.5299999999988</v>
      </c>
      <c r="G36" s="48">
        <f t="shared" si="228"/>
        <v>131900.43000000002</v>
      </c>
      <c r="H36" s="48">
        <f t="shared" si="228"/>
        <v>295999.55</v>
      </c>
      <c r="I36" s="48">
        <f t="shared" si="228"/>
        <v>425553.79999999993</v>
      </c>
      <c r="J36" s="48">
        <f t="shared" si="228"/>
        <v>758519.65</v>
      </c>
      <c r="K36" s="48">
        <f t="shared" si="228"/>
        <v>199350.73000000016</v>
      </c>
      <c r="L36" s="48">
        <f t="shared" si="228"/>
        <v>279108.34999999986</v>
      </c>
      <c r="M36" s="48">
        <f t="shared" si="228"/>
        <v>438307.65000000008</v>
      </c>
      <c r="N36" s="48">
        <f t="shared" si="228"/>
        <v>509660.87999999995</v>
      </c>
      <c r="O36" s="48">
        <f t="shared" si="228"/>
        <v>486201.49000000022</v>
      </c>
      <c r="P36" s="48">
        <f t="shared" si="228"/>
        <v>514839.35999999993</v>
      </c>
      <c r="Q36" s="48">
        <f t="shared" si="228"/>
        <v>312695.84999999963</v>
      </c>
      <c r="R36" s="48">
        <f t="shared" si="228"/>
        <v>392474.24999999983</v>
      </c>
      <c r="S36" s="48">
        <f t="shared" si="228"/>
        <v>1348848.3600000006</v>
      </c>
      <c r="T36" s="48">
        <f t="shared" si="228"/>
        <v>1958770.0699999998</v>
      </c>
      <c r="U36" s="48">
        <f t="shared" si="228"/>
        <v>2119352.19</v>
      </c>
      <c r="V36" s="48">
        <f t="shared" si="228"/>
        <v>1653005.4399999997</v>
      </c>
      <c r="W36" s="48">
        <f t="shared" si="228"/>
        <v>750637.88000000047</v>
      </c>
      <c r="X36" s="48">
        <f t="shared" si="228"/>
        <v>825052.10999999894</v>
      </c>
      <c r="Y36" s="48">
        <f t="shared" si="228"/>
        <v>1097101.9800000007</v>
      </c>
      <c r="Z36" s="48">
        <f t="shared" si="228"/>
        <v>1233427.4099999992</v>
      </c>
      <c r="AA36" s="48">
        <f t="shared" si="228"/>
        <v>1062738.58</v>
      </c>
      <c r="AB36" s="48">
        <f t="shared" si="228"/>
        <v>1116457.6900000016</v>
      </c>
      <c r="AC36" s="48">
        <f t="shared" si="228"/>
        <v>959793.47999999963</v>
      </c>
      <c r="AD36" s="48">
        <f t="shared" si="228"/>
        <v>1424231.0999999996</v>
      </c>
      <c r="AE36" s="48">
        <f t="shared" si="228"/>
        <v>3804569.2400000021</v>
      </c>
      <c r="AF36" s="48">
        <f t="shared" si="228"/>
        <v>5112749.5900000017</v>
      </c>
      <c r="AG36" s="48">
        <f t="shared" si="228"/>
        <v>4713867.5500000026</v>
      </c>
      <c r="AH36" s="48">
        <f t="shared" si="228"/>
        <v>3598339.959999999</v>
      </c>
      <c r="AI36" s="48">
        <f t="shared" si="228"/>
        <v>1714525.5399999977</v>
      </c>
      <c r="AJ36" s="48">
        <f t="shared" si="228"/>
        <v>1571421.2499999981</v>
      </c>
      <c r="AK36" s="48">
        <f t="shared" si="228"/>
        <v>1919519.93</v>
      </c>
      <c r="AL36" s="48">
        <f t="shared" si="228"/>
        <v>2060434.7699999972</v>
      </c>
      <c r="AM36" s="48">
        <f t="shared" si="228"/>
        <v>1799627.3200000026</v>
      </c>
      <c r="AN36" s="48">
        <f t="shared" si="228"/>
        <v>2312591.7700000047</v>
      </c>
      <c r="AO36" s="48">
        <f t="shared" si="228"/>
        <v>2109913.9999999995</v>
      </c>
      <c r="AP36" s="48">
        <f t="shared" si="228"/>
        <v>1887985.9599999983</v>
      </c>
      <c r="AQ36" s="48">
        <f t="shared" si="228"/>
        <v>6123794.6400000006</v>
      </c>
      <c r="AR36" s="48">
        <f t="shared" si="228"/>
        <v>7375311.7899999972</v>
      </c>
      <c r="AS36" s="48">
        <f t="shared" si="228"/>
        <v>6969272.2200000025</v>
      </c>
      <c r="AT36" s="48">
        <f t="shared" si="228"/>
        <v>5125287.4899999984</v>
      </c>
      <c r="AU36" s="48">
        <f t="shared" si="228"/>
        <v>2223308.9999999986</v>
      </c>
      <c r="AV36" s="48">
        <f t="shared" si="228"/>
        <v>2078395.7300000025</v>
      </c>
      <c r="AW36" s="48">
        <f t="shared" si="228"/>
        <v>2228734.6799999992</v>
      </c>
      <c r="AX36" s="48">
        <f t="shared" ref="AX36:AY36" si="229">SUM(AX31:AX35)</f>
        <v>2369847.9500000002</v>
      </c>
      <c r="AY36" s="48">
        <f t="shared" si="229"/>
        <v>217555.38999999891</v>
      </c>
      <c r="AZ36" s="48">
        <f t="shared" ref="AZ36:BA36" si="230">SUM(AZ31:AZ35)</f>
        <v>1940172.8499999968</v>
      </c>
      <c r="BA36" s="48">
        <f t="shared" si="230"/>
        <v>2286.3100000023842</v>
      </c>
      <c r="BB36" s="48">
        <f t="shared" ref="BB36:BC36" si="231">SUM(BB31:BB35)</f>
        <v>33.38999999733656</v>
      </c>
      <c r="BC36" s="48">
        <f t="shared" si="231"/>
        <v>12223.310000002384</v>
      </c>
      <c r="BD36" s="48">
        <f t="shared" ref="BD36:BE36" si="232">SUM(BD31:BD35)</f>
        <v>22853.179999999702</v>
      </c>
      <c r="BE36" s="48">
        <f t="shared" si="232"/>
        <v>37353.849999999627</v>
      </c>
      <c r="BF36" s="48">
        <f t="shared" ref="BF36:BG36" si="233">SUM(BF31:BF35)</f>
        <v>34409.610000001267</v>
      </c>
      <c r="BG36" s="48">
        <f t="shared" si="233"/>
        <v>13496.160000000149</v>
      </c>
      <c r="BH36" s="48">
        <f t="shared" ref="BH36:BI36" si="234">SUM(BH31:BH35)</f>
        <v>12870.069999998435</v>
      </c>
      <c r="BI36" s="48">
        <f t="shared" si="234"/>
        <v>17714.029999999329</v>
      </c>
      <c r="BJ36" s="48">
        <f t="shared" ref="BJ36:BK36" si="235">SUM(BJ31:BJ35)</f>
        <v>20826.88000000082</v>
      </c>
      <c r="BK36" s="48">
        <f t="shared" si="235"/>
        <v>19099.220000000671</v>
      </c>
      <c r="BL36" s="48">
        <f t="shared" ref="BL36:BM36" si="236">SUM(BL31:BL35)</f>
        <v>21421.460000000894</v>
      </c>
      <c r="BM36" s="48">
        <f t="shared" si="236"/>
        <v>19168.38000000082</v>
      </c>
      <c r="BN36" s="48">
        <f t="shared" ref="BN36:BO36" si="237">SUM(BN31:BN35)</f>
        <v>25465.089999996126</v>
      </c>
      <c r="BO36" s="48">
        <f t="shared" si="237"/>
        <v>70360.550000002608</v>
      </c>
      <c r="BP36" s="48">
        <f t="shared" ref="BP36:BQ36" si="238">SUM(BP31:BP35)</f>
        <v>91202.140000000596</v>
      </c>
      <c r="BQ36" s="48">
        <f t="shared" si="238"/>
        <v>84499.239999998827</v>
      </c>
      <c r="BR36" s="48">
        <f t="shared" ref="BR36:BS36" si="239">SUM(BR31:BR35)</f>
        <v>53951.849999999627</v>
      </c>
      <c r="BS36" s="48">
        <f t="shared" si="239"/>
        <v>21911.110000000801</v>
      </c>
      <c r="BT36" s="48">
        <f t="shared" ref="BT36:BU36" si="240">SUM(BT31:BT35)</f>
        <v>20626.079999999609</v>
      </c>
      <c r="BU36" s="48">
        <f t="shared" si="240"/>
        <v>24775.299999998882</v>
      </c>
      <c r="BV36" s="48">
        <f t="shared" ref="BV36:BW36" si="241">SUM(BV31:BV35)</f>
        <v>25830.020000001416</v>
      </c>
      <c r="BW36" s="48">
        <f t="shared" si="241"/>
        <v>21223.889999997336</v>
      </c>
      <c r="BX36" s="48">
        <f t="shared" ref="BX36:BY36" si="242">SUM(BX31:BX35)</f>
        <v>0</v>
      </c>
      <c r="BY36" s="48">
        <f t="shared" si="242"/>
        <v>0</v>
      </c>
      <c r="BZ36" s="48">
        <f t="shared" ref="BZ36:CA36" si="243">SUM(BZ31:BZ35)</f>
        <v>0</v>
      </c>
      <c r="CA36" s="48">
        <f t="shared" si="243"/>
        <v>0</v>
      </c>
      <c r="CB36" s="48">
        <f t="shared" ref="CB36:CC36" si="244">SUM(CB31:CB35)</f>
        <v>0</v>
      </c>
      <c r="CC36" s="48">
        <f t="shared" si="244"/>
        <v>0</v>
      </c>
      <c r="CD36" s="48">
        <f t="shared" ref="CD36:CE36" si="245">SUM(CD31:CD35)</f>
        <v>0</v>
      </c>
      <c r="CE36" s="48">
        <f t="shared" si="245"/>
        <v>0</v>
      </c>
      <c r="CF36" s="48">
        <f>SUM(CF31:CF35)</f>
        <v>0</v>
      </c>
      <c r="CG36" s="48">
        <f t="shared" ref="CG36" si="246">SUM(CG31:CG35)</f>
        <v>0</v>
      </c>
      <c r="CH36" s="48">
        <f t="shared" ref="CH36" si="247">SUM(CH31:CH35)</f>
        <v>0</v>
      </c>
      <c r="CI36" s="48">
        <f>SUM(CI31:CI35)</f>
        <v>0</v>
      </c>
      <c r="CJ36" s="48">
        <f t="shared" ref="CJ36:CK36" si="248">SUM(CJ31:CJ35)</f>
        <v>0</v>
      </c>
      <c r="CK36" s="48">
        <f t="shared" si="248"/>
        <v>0</v>
      </c>
      <c r="CL36" s="48">
        <f t="shared" ref="CL36:CM36" si="249">SUM(CL31:CL35)</f>
        <v>0</v>
      </c>
      <c r="CM36" s="48">
        <f t="shared" si="249"/>
        <v>0</v>
      </c>
      <c r="CN36" s="48">
        <f t="shared" ref="CN36:CO36" si="250">SUM(CN31:CN35)</f>
        <v>0</v>
      </c>
      <c r="CO36" s="48">
        <f t="shared" si="250"/>
        <v>0</v>
      </c>
      <c r="CP36" s="48">
        <f t="shared" ref="CP36:CQ36" si="251">SUM(CP31:CP35)</f>
        <v>0</v>
      </c>
      <c r="CQ36" s="48">
        <f t="shared" si="251"/>
        <v>0</v>
      </c>
      <c r="CR36" s="48">
        <f t="shared" ref="CR36:CS36" si="252">SUM(CR31:CR35)</f>
        <v>0</v>
      </c>
      <c r="CS36" s="48">
        <f t="shared" si="252"/>
        <v>0</v>
      </c>
      <c r="CT36" s="48">
        <f>SUM(CT31:CT35)</f>
        <v>0</v>
      </c>
    </row>
    <row r="37" spans="1:98" x14ac:dyDescent="0.35">
      <c r="A37" s="35"/>
      <c r="B37" s="33"/>
      <c r="C37" s="33"/>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c r="BS37" s="86"/>
      <c r="BT37" s="86"/>
      <c r="BU37" s="86"/>
      <c r="BV37" s="86"/>
      <c r="BW37" s="86"/>
      <c r="BX37" s="86"/>
      <c r="BY37" s="86"/>
      <c r="BZ37" s="86"/>
      <c r="CA37" s="86"/>
      <c r="CB37" s="86"/>
      <c r="CC37" s="86"/>
      <c r="CD37" s="86"/>
      <c r="CE37" s="86"/>
      <c r="CF37" s="86"/>
      <c r="CG37" s="86"/>
      <c r="CH37" s="86"/>
      <c r="CI37" s="86"/>
      <c r="CJ37" s="86"/>
      <c r="CK37" s="86"/>
      <c r="CL37" s="86"/>
      <c r="CM37" s="86"/>
      <c r="CN37" s="86"/>
      <c r="CO37" s="86"/>
      <c r="CP37" s="86"/>
      <c r="CQ37" s="86"/>
      <c r="CR37" s="86"/>
      <c r="CS37" s="86"/>
      <c r="CT37" s="86"/>
    </row>
    <row r="38" spans="1:98" x14ac:dyDescent="0.35">
      <c r="A38" s="35"/>
      <c r="B38" s="33"/>
      <c r="C38" s="33"/>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6"/>
      <c r="BQ38" s="86"/>
      <c r="BR38" s="86"/>
      <c r="BS38" s="86"/>
      <c r="BT38" s="86"/>
      <c r="BU38" s="86"/>
      <c r="BV38" s="86"/>
      <c r="BW38" s="86"/>
      <c r="BX38" s="86"/>
      <c r="BY38" s="86"/>
      <c r="BZ38" s="86"/>
      <c r="CA38" s="86"/>
      <c r="CB38" s="86"/>
      <c r="CC38" s="86"/>
      <c r="CD38" s="86"/>
      <c r="CE38" s="261" t="s">
        <v>127</v>
      </c>
      <c r="CF38" s="86"/>
      <c r="CG38" s="86"/>
      <c r="CH38" s="38" t="s">
        <v>126</v>
      </c>
      <c r="CI38" s="86"/>
      <c r="CJ38" s="86"/>
      <c r="CK38" s="86"/>
      <c r="CL38" s="86"/>
      <c r="CM38" s="86"/>
      <c r="CN38" s="86"/>
      <c r="CO38" s="86"/>
      <c r="CP38" s="86"/>
      <c r="CQ38" s="86"/>
      <c r="CR38" s="86"/>
      <c r="CS38" s="86"/>
      <c r="CT38" s="38" t="s">
        <v>125</v>
      </c>
    </row>
    <row r="39" spans="1:98" x14ac:dyDescent="0.35">
      <c r="A39" s="35"/>
      <c r="B39" s="33"/>
      <c r="C39" s="33"/>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6"/>
      <c r="BQ39" s="86"/>
      <c r="BR39" s="86"/>
      <c r="BS39" s="86"/>
      <c r="BT39" s="86"/>
      <c r="BU39" s="86"/>
      <c r="BV39" s="86"/>
      <c r="BW39" s="86"/>
      <c r="BX39" s="86"/>
      <c r="BY39" s="86"/>
      <c r="BZ39" s="86"/>
      <c r="CA39" s="86"/>
      <c r="CB39" s="86"/>
      <c r="CC39" s="86"/>
      <c r="CD39" s="40" t="s">
        <v>33</v>
      </c>
      <c r="CE39" s="262">
        <f>SUM(D31:CE31)</f>
        <v>38189868.470668986</v>
      </c>
      <c r="CF39" s="86"/>
      <c r="CG39" s="40" t="s">
        <v>33</v>
      </c>
      <c r="CH39" s="260">
        <f>SUM(CF31:CH31)</f>
        <v>0</v>
      </c>
      <c r="CI39" s="86"/>
      <c r="CJ39" s="86"/>
      <c r="CK39" s="86"/>
      <c r="CL39" s="86"/>
      <c r="CM39" s="86"/>
      <c r="CN39" s="86"/>
      <c r="CO39" s="86"/>
      <c r="CP39" s="86"/>
      <c r="CQ39" s="86"/>
      <c r="CR39" s="86"/>
      <c r="CS39" s="40" t="s">
        <v>33</v>
      </c>
      <c r="CT39" s="259">
        <f t="shared" ref="CT39:CT44" si="253">SUM(CI31:CT31)</f>
        <v>0</v>
      </c>
    </row>
    <row r="40" spans="1:98" x14ac:dyDescent="0.35">
      <c r="A40" s="35"/>
      <c r="B40" s="33"/>
      <c r="C40" s="33"/>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6"/>
      <c r="BQ40" s="86"/>
      <c r="BR40" s="86"/>
      <c r="BS40" s="86"/>
      <c r="BT40" s="86"/>
      <c r="BU40" s="86"/>
      <c r="BV40" s="86"/>
      <c r="BW40" s="86"/>
      <c r="BX40" s="86"/>
      <c r="BY40" s="86"/>
      <c r="BZ40" s="86"/>
      <c r="CA40" s="86"/>
      <c r="CB40" s="86"/>
      <c r="CC40" s="86"/>
      <c r="CD40" s="40" t="s">
        <v>34</v>
      </c>
      <c r="CE40" s="262">
        <f t="shared" ref="CE40:CE44" si="254">SUM(D32:CE32)</f>
        <v>12625960.255642738</v>
      </c>
      <c r="CF40" s="86"/>
      <c r="CG40" s="40" t="s">
        <v>34</v>
      </c>
      <c r="CH40" s="260">
        <f t="shared" ref="CH40:CH43" si="255">SUM(CF32:CH32)</f>
        <v>0</v>
      </c>
      <c r="CI40" s="86"/>
      <c r="CJ40" s="86"/>
      <c r="CK40" s="86"/>
      <c r="CL40" s="86"/>
      <c r="CM40" s="86"/>
      <c r="CN40" s="86"/>
      <c r="CO40" s="86"/>
      <c r="CP40" s="86"/>
      <c r="CQ40" s="86"/>
      <c r="CR40" s="86"/>
      <c r="CS40" s="40" t="s">
        <v>34</v>
      </c>
      <c r="CT40" s="259">
        <f t="shared" si="253"/>
        <v>0</v>
      </c>
    </row>
    <row r="41" spans="1:98" x14ac:dyDescent="0.35">
      <c r="A41" s="35"/>
      <c r="B41" s="33"/>
      <c r="C41" s="33"/>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6"/>
      <c r="BQ41" s="86"/>
      <c r="BR41" s="86"/>
      <c r="BS41" s="86"/>
      <c r="BT41" s="86"/>
      <c r="BU41" s="86"/>
      <c r="BV41" s="86"/>
      <c r="BW41" s="86"/>
      <c r="BX41" s="86"/>
      <c r="BY41" s="86"/>
      <c r="BZ41" s="86"/>
      <c r="CA41" s="86"/>
      <c r="CB41" s="86"/>
      <c r="CC41" s="86"/>
      <c r="CD41" s="40" t="s">
        <v>35</v>
      </c>
      <c r="CE41" s="262">
        <f t="shared" si="254"/>
        <v>26046543.090823069</v>
      </c>
      <c r="CF41" s="86"/>
      <c r="CG41" s="40" t="s">
        <v>35</v>
      </c>
      <c r="CH41" s="260">
        <f t="shared" si="255"/>
        <v>0</v>
      </c>
      <c r="CI41" s="86"/>
      <c r="CJ41" s="86"/>
      <c r="CK41" s="86"/>
      <c r="CL41" s="86"/>
      <c r="CM41" s="86"/>
      <c r="CN41" s="86"/>
      <c r="CO41" s="86"/>
      <c r="CP41" s="86"/>
      <c r="CQ41" s="86"/>
      <c r="CR41" s="86"/>
      <c r="CS41" s="40" t="s">
        <v>35</v>
      </c>
      <c r="CT41" s="259">
        <f t="shared" si="253"/>
        <v>0</v>
      </c>
    </row>
    <row r="42" spans="1:98" x14ac:dyDescent="0.35">
      <c r="A42" s="35"/>
      <c r="B42" s="33"/>
      <c r="C42" s="33"/>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c r="BE42" s="86"/>
      <c r="BF42" s="86"/>
      <c r="BG42" s="86"/>
      <c r="BH42" s="86"/>
      <c r="BI42" s="86"/>
      <c r="BJ42" s="86"/>
      <c r="BK42" s="86"/>
      <c r="BL42" s="86"/>
      <c r="BM42" s="86"/>
      <c r="BN42" s="86"/>
      <c r="BO42" s="86"/>
      <c r="BP42" s="86"/>
      <c r="BQ42" s="86"/>
      <c r="BR42" s="86"/>
      <c r="BS42" s="86"/>
      <c r="BT42" s="86"/>
      <c r="BU42" s="86"/>
      <c r="BV42" s="86"/>
      <c r="BW42" s="86"/>
      <c r="BX42" s="86"/>
      <c r="BY42" s="86"/>
      <c r="BZ42" s="86"/>
      <c r="CA42" s="86"/>
      <c r="CB42" s="86"/>
      <c r="CC42" s="86"/>
      <c r="CD42" s="40" t="s">
        <v>36</v>
      </c>
      <c r="CE42" s="262">
        <f t="shared" si="254"/>
        <v>11112183.527346529</v>
      </c>
      <c r="CF42" s="86"/>
      <c r="CG42" s="40" t="s">
        <v>36</v>
      </c>
      <c r="CH42" s="260">
        <f t="shared" si="255"/>
        <v>0</v>
      </c>
      <c r="CI42" s="86"/>
      <c r="CJ42" s="86"/>
      <c r="CK42" s="86"/>
      <c r="CL42" s="86"/>
      <c r="CM42" s="86"/>
      <c r="CN42" s="86"/>
      <c r="CO42" s="86"/>
      <c r="CP42" s="86"/>
      <c r="CQ42" s="86"/>
      <c r="CR42" s="86"/>
      <c r="CS42" s="40" t="s">
        <v>36</v>
      </c>
      <c r="CT42" s="259">
        <f t="shared" si="253"/>
        <v>0</v>
      </c>
    </row>
    <row r="43" spans="1:98" x14ac:dyDescent="0.35">
      <c r="A43" s="35"/>
      <c r="B43" s="33"/>
      <c r="C43" s="33"/>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6"/>
      <c r="BM43" s="86"/>
      <c r="BN43" s="86"/>
      <c r="BO43" s="86"/>
      <c r="BP43" s="86"/>
      <c r="BQ43" s="86"/>
      <c r="BR43" s="86"/>
      <c r="BS43" s="86"/>
      <c r="BT43" s="86"/>
      <c r="BU43" s="86"/>
      <c r="BV43" s="86"/>
      <c r="BW43" s="86"/>
      <c r="BX43" s="86"/>
      <c r="BY43" s="86"/>
      <c r="BZ43" s="86"/>
      <c r="CA43" s="86"/>
      <c r="CB43" s="86"/>
      <c r="CC43" s="86"/>
      <c r="CD43" s="40" t="s">
        <v>37</v>
      </c>
      <c r="CE43" s="262">
        <f t="shared" si="254"/>
        <v>2261157.9855186804</v>
      </c>
      <c r="CF43" s="86"/>
      <c r="CG43" s="40" t="s">
        <v>37</v>
      </c>
      <c r="CH43" s="260">
        <f t="shared" si="255"/>
        <v>0</v>
      </c>
      <c r="CI43" s="86"/>
      <c r="CJ43" s="86"/>
      <c r="CK43" s="86"/>
      <c r="CL43" s="86"/>
      <c r="CM43" s="86"/>
      <c r="CN43" s="86"/>
      <c r="CO43" s="86"/>
      <c r="CP43" s="86"/>
      <c r="CQ43" s="86"/>
      <c r="CR43" s="86"/>
      <c r="CS43" s="40" t="s">
        <v>37</v>
      </c>
      <c r="CT43" s="259">
        <f t="shared" si="253"/>
        <v>0</v>
      </c>
    </row>
    <row r="44" spans="1:98" x14ac:dyDescent="0.35">
      <c r="A44" s="35"/>
      <c r="B44" s="33"/>
      <c r="C44" s="33"/>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c r="BK44" s="86"/>
      <c r="BL44" s="86"/>
      <c r="BM44" s="86"/>
      <c r="BN44" s="86"/>
      <c r="BO44" s="86"/>
      <c r="BP44" s="86"/>
      <c r="BQ44" s="86"/>
      <c r="BR44" s="86"/>
      <c r="BS44" s="86"/>
      <c r="BT44" s="86"/>
      <c r="BU44" s="86"/>
      <c r="BV44" s="86"/>
      <c r="BW44" s="86"/>
      <c r="BX44" s="86"/>
      <c r="BY44" s="86"/>
      <c r="BZ44" s="86"/>
      <c r="CA44" s="86"/>
      <c r="CB44" s="86"/>
      <c r="CC44" s="86"/>
      <c r="CD44" s="35" t="s">
        <v>31</v>
      </c>
      <c r="CE44" s="262">
        <f t="shared" si="254"/>
        <v>90235713.329999954</v>
      </c>
      <c r="CF44" s="86"/>
      <c r="CG44" s="35" t="s">
        <v>31</v>
      </c>
      <c r="CH44" s="260">
        <f>SUM(CF36:CH36)</f>
        <v>0</v>
      </c>
      <c r="CI44" s="86"/>
      <c r="CJ44" s="86"/>
      <c r="CK44" s="86"/>
      <c r="CL44" s="86"/>
      <c r="CM44" s="86"/>
      <c r="CN44" s="86"/>
      <c r="CO44" s="86"/>
      <c r="CP44" s="86"/>
      <c r="CQ44" s="86"/>
      <c r="CR44" s="86"/>
      <c r="CS44" s="35" t="s">
        <v>31</v>
      </c>
      <c r="CT44" s="259">
        <f t="shared" si="253"/>
        <v>0</v>
      </c>
    </row>
    <row r="45" spans="1:98" x14ac:dyDescent="0.35">
      <c r="A45" s="35"/>
      <c r="B45" s="33"/>
      <c r="C45" s="33"/>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BP45" s="86"/>
      <c r="BQ45" s="86"/>
      <c r="BR45" s="86"/>
      <c r="BS45" s="86"/>
      <c r="BT45" s="86"/>
      <c r="BU45" s="86"/>
      <c r="BV45" s="86"/>
      <c r="BW45" s="86"/>
      <c r="BX45" s="86"/>
      <c r="BY45" s="86"/>
      <c r="BZ45" s="86"/>
      <c r="CA45" s="86"/>
      <c r="CB45" s="86"/>
      <c r="CC45" s="86"/>
      <c r="CD45" s="86"/>
      <c r="CE45" s="86"/>
      <c r="CF45" s="86"/>
      <c r="CG45" s="86"/>
      <c r="CH45" s="86"/>
      <c r="CI45" s="86"/>
      <c r="CJ45" s="86"/>
      <c r="CK45" s="86"/>
      <c r="CL45" s="86"/>
      <c r="CM45" s="86"/>
      <c r="CN45" s="86"/>
      <c r="CO45" s="86"/>
      <c r="CP45" s="86"/>
      <c r="CQ45" s="86"/>
      <c r="CR45" s="86"/>
      <c r="CS45" s="86"/>
      <c r="CT45" s="86"/>
    </row>
    <row r="46" spans="1:98" ht="15.5" x14ac:dyDescent="0.35">
      <c r="A46" s="85" t="s">
        <v>59</v>
      </c>
    </row>
    <row r="48" spans="1:98" x14ac:dyDescent="0.35">
      <c r="B48" s="12">
        <v>42370</v>
      </c>
      <c r="C48" s="12">
        <v>42401</v>
      </c>
      <c r="D48" s="12">
        <v>42430</v>
      </c>
      <c r="E48" s="12">
        <v>42461</v>
      </c>
      <c r="F48" s="12">
        <v>42491</v>
      </c>
      <c r="G48" s="12">
        <v>42522</v>
      </c>
      <c r="H48" s="12">
        <v>42552</v>
      </c>
      <c r="I48" s="12">
        <v>42583</v>
      </c>
      <c r="J48" s="12">
        <v>42614</v>
      </c>
      <c r="K48" s="12">
        <v>42644</v>
      </c>
      <c r="L48" s="12">
        <v>42675</v>
      </c>
      <c r="M48" s="12">
        <v>42705</v>
      </c>
      <c r="N48" s="12">
        <v>42736</v>
      </c>
      <c r="O48" s="12">
        <v>42767</v>
      </c>
      <c r="P48" s="12">
        <v>42795</v>
      </c>
      <c r="Q48" s="12">
        <v>42826</v>
      </c>
      <c r="R48" s="12">
        <v>42856</v>
      </c>
      <c r="S48" s="12">
        <v>42887</v>
      </c>
      <c r="T48" s="12">
        <v>42917</v>
      </c>
      <c r="U48" s="12">
        <v>42948</v>
      </c>
      <c r="V48" s="12">
        <v>42979</v>
      </c>
      <c r="W48" s="12">
        <v>43009</v>
      </c>
      <c r="X48" s="12">
        <v>43040</v>
      </c>
      <c r="Y48" s="12">
        <v>43070</v>
      </c>
      <c r="Z48" s="12">
        <v>43101</v>
      </c>
      <c r="AA48" s="12">
        <v>43132</v>
      </c>
      <c r="AB48" s="12">
        <v>43160</v>
      </c>
      <c r="AC48" s="12">
        <v>43191</v>
      </c>
      <c r="AD48" s="12">
        <v>43221</v>
      </c>
      <c r="AE48" s="12">
        <v>43252</v>
      </c>
      <c r="AF48" s="12">
        <v>43282</v>
      </c>
      <c r="AG48" s="12">
        <v>43313</v>
      </c>
      <c r="AH48" s="12">
        <v>43344</v>
      </c>
      <c r="AI48" s="12">
        <v>43374</v>
      </c>
      <c r="AJ48" s="12">
        <v>43405</v>
      </c>
      <c r="AK48" s="12">
        <v>43435</v>
      </c>
      <c r="AL48" s="12">
        <v>43466</v>
      </c>
      <c r="AM48" s="12">
        <v>43497</v>
      </c>
      <c r="AN48" s="12">
        <v>43525</v>
      </c>
      <c r="AO48" s="12">
        <v>43556</v>
      </c>
      <c r="AP48" s="12">
        <v>43586</v>
      </c>
      <c r="AQ48" s="12">
        <v>43617</v>
      </c>
      <c r="AR48" s="12">
        <v>43647</v>
      </c>
      <c r="AS48" s="12">
        <v>43678</v>
      </c>
      <c r="AT48" s="12">
        <v>43709</v>
      </c>
      <c r="AU48" s="12">
        <v>43739</v>
      </c>
      <c r="AV48" s="12">
        <v>43770</v>
      </c>
      <c r="AW48" s="12">
        <v>43800</v>
      </c>
      <c r="AX48" s="12">
        <v>43831</v>
      </c>
      <c r="AY48" s="12">
        <v>43862</v>
      </c>
      <c r="AZ48" s="12">
        <v>43891</v>
      </c>
      <c r="BA48" s="12">
        <v>43922</v>
      </c>
      <c r="BB48" s="12">
        <v>43952</v>
      </c>
      <c r="BC48" s="12">
        <v>43983</v>
      </c>
      <c r="BD48" s="12">
        <v>44013</v>
      </c>
      <c r="BE48" s="12">
        <v>44044</v>
      </c>
      <c r="BF48" s="12">
        <v>44075</v>
      </c>
      <c r="BG48" s="12">
        <v>44105</v>
      </c>
      <c r="BH48" s="12">
        <v>44136</v>
      </c>
      <c r="BI48" s="12">
        <v>44166</v>
      </c>
      <c r="BJ48" s="12">
        <v>44197</v>
      </c>
      <c r="BK48" s="12">
        <v>44228</v>
      </c>
      <c r="BL48" s="12">
        <v>44256</v>
      </c>
      <c r="BM48" s="12">
        <v>44287</v>
      </c>
      <c r="BN48" s="12">
        <v>44317</v>
      </c>
      <c r="BO48" s="12">
        <v>44348</v>
      </c>
      <c r="BP48" s="12">
        <v>44378</v>
      </c>
      <c r="BQ48" s="12">
        <v>44409</v>
      </c>
      <c r="BR48" s="12">
        <v>44440</v>
      </c>
      <c r="BS48" s="12">
        <v>44470</v>
      </c>
      <c r="BT48" s="12">
        <v>44501</v>
      </c>
      <c r="BU48" s="12">
        <v>44531</v>
      </c>
      <c r="BV48" s="12">
        <v>44562</v>
      </c>
      <c r="BW48" s="12">
        <v>44593</v>
      </c>
      <c r="BX48" s="12">
        <v>44621</v>
      </c>
      <c r="BY48" s="12">
        <v>44652</v>
      </c>
      <c r="BZ48" s="12">
        <v>44682</v>
      </c>
      <c r="CA48" s="12">
        <v>44713</v>
      </c>
      <c r="CB48" s="12">
        <v>44743</v>
      </c>
      <c r="CC48" s="12">
        <v>44774</v>
      </c>
      <c r="CD48" s="12">
        <v>44805</v>
      </c>
      <c r="CE48" s="12">
        <v>44835</v>
      </c>
      <c r="CF48" s="12">
        <v>44866</v>
      </c>
      <c r="CG48" s="12">
        <v>44896</v>
      </c>
      <c r="CH48" s="12">
        <v>44927</v>
      </c>
      <c r="CI48" s="12">
        <v>44958</v>
      </c>
      <c r="CJ48" s="12">
        <v>44986</v>
      </c>
      <c r="CK48" s="12">
        <v>45017</v>
      </c>
      <c r="CL48" s="12">
        <v>45047</v>
      </c>
      <c r="CM48" s="12">
        <v>45078</v>
      </c>
      <c r="CN48" s="12">
        <v>45108</v>
      </c>
      <c r="CO48" s="12">
        <v>45139</v>
      </c>
      <c r="CP48" s="12">
        <v>45170</v>
      </c>
      <c r="CQ48" s="12">
        <v>45200</v>
      </c>
      <c r="CR48" s="12">
        <v>45231</v>
      </c>
      <c r="CS48" s="12">
        <v>45261</v>
      </c>
      <c r="CT48" s="12">
        <v>45292</v>
      </c>
    </row>
    <row r="49" spans="1:98" s="2" customFormat="1" x14ac:dyDescent="0.35">
      <c r="A49" s="39" t="s">
        <v>60</v>
      </c>
      <c r="B49" s="34"/>
      <c r="C49" s="34"/>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c r="BX49" s="31"/>
      <c r="BY49" s="31"/>
      <c r="BZ49" s="31"/>
      <c r="CA49" s="31"/>
      <c r="CB49" s="31"/>
      <c r="CC49" s="31"/>
      <c r="CD49" s="31"/>
      <c r="CE49" s="31"/>
      <c r="CF49" s="263" t="s">
        <v>128</v>
      </c>
      <c r="CG49" s="264"/>
      <c r="CH49" s="31"/>
      <c r="CI49" s="31"/>
      <c r="CJ49" s="31"/>
      <c r="CK49" s="31"/>
      <c r="CL49" s="31"/>
      <c r="CM49" s="31"/>
      <c r="CN49" s="31"/>
      <c r="CO49" s="31"/>
      <c r="CP49" s="31"/>
      <c r="CQ49" s="31"/>
      <c r="CR49" s="31"/>
      <c r="CS49" s="31"/>
      <c r="CT49" s="31"/>
    </row>
    <row r="50" spans="1:98" x14ac:dyDescent="0.35">
      <c r="A50" s="40" t="s">
        <v>33</v>
      </c>
      <c r="B50" s="41"/>
      <c r="C50" s="41"/>
      <c r="D50" s="45"/>
      <c r="E50" s="45"/>
      <c r="F50" s="45"/>
      <c r="G50" s="45"/>
      <c r="H50" s="56"/>
      <c r="I50" s="56"/>
      <c r="J50" s="56"/>
      <c r="K50" s="56"/>
      <c r="L50" s="56"/>
      <c r="M50" s="56"/>
      <c r="N50" s="56"/>
      <c r="O50" s="45"/>
      <c r="P50" s="46"/>
      <c r="Q50" s="45">
        <f>964303.03-72.29</f>
        <v>964230.74</v>
      </c>
      <c r="R50" s="46">
        <v>918986.9</v>
      </c>
      <c r="S50" s="46">
        <v>1235335.3500000001</v>
      </c>
      <c r="T50" s="46">
        <v>1643710.03</v>
      </c>
      <c r="U50" s="46">
        <v>1663991.32</v>
      </c>
      <c r="V50" s="46">
        <v>1315722.52</v>
      </c>
      <c r="W50" s="46">
        <v>1155142.76</v>
      </c>
      <c r="X50" s="46">
        <v>1008647.72</v>
      </c>
      <c r="Y50" s="46">
        <v>1300717.95</v>
      </c>
      <c r="Z50" s="46">
        <v>1995202.44</v>
      </c>
      <c r="AA50" s="46">
        <v>1361606.16</v>
      </c>
      <c r="AB50" s="46">
        <v>1097480.82</v>
      </c>
      <c r="AC50" s="46">
        <v>1059578.1200000001</v>
      </c>
      <c r="AD50" s="46">
        <v>862980.65</v>
      </c>
      <c r="AE50" s="46">
        <v>1281774.72</v>
      </c>
      <c r="AF50" s="46">
        <v>1502957.34</v>
      </c>
      <c r="AG50" s="46">
        <v>1346919.46</v>
      </c>
      <c r="AH50" s="46">
        <v>1295482.8999999999</v>
      </c>
      <c r="AI50" s="46">
        <v>1002485.52</v>
      </c>
      <c r="AJ50" s="46">
        <v>930228.6</v>
      </c>
      <c r="AK50" s="46">
        <v>1294357.3</v>
      </c>
      <c r="AL50" s="46">
        <v>1435395.83</v>
      </c>
      <c r="AM50" s="46">
        <v>1500360.52</v>
      </c>
      <c r="AN50" s="46">
        <v>1351205.92</v>
      </c>
      <c r="AO50" s="46">
        <v>930965.27</v>
      </c>
      <c r="AP50" s="46">
        <v>791487</v>
      </c>
      <c r="AQ50" s="46">
        <v>1054075.57</v>
      </c>
      <c r="AR50" s="46">
        <v>1341002.6200000001</v>
      </c>
      <c r="AS50" s="46">
        <v>1411567.5</v>
      </c>
      <c r="AT50" s="46">
        <v>1302183.99</v>
      </c>
      <c r="AU50" s="46">
        <v>1070055.19</v>
      </c>
      <c r="AV50" s="46">
        <v>960017.17</v>
      </c>
      <c r="AW50" s="46">
        <v>1291710.24</v>
      </c>
      <c r="AX50" s="46">
        <v>1426440.21</v>
      </c>
      <c r="AY50" s="46">
        <v>836821.82</v>
      </c>
      <c r="AZ50" s="46">
        <v>123502.6</v>
      </c>
      <c r="BA50" s="46">
        <v>92675.74</v>
      </c>
      <c r="BB50" s="46">
        <v>82719.98</v>
      </c>
      <c r="BC50" s="46">
        <v>109517.12</v>
      </c>
      <c r="BD50" s="46">
        <v>147043.66</v>
      </c>
      <c r="BE50" s="46">
        <v>137831</v>
      </c>
      <c r="BF50" s="46">
        <v>124319.87</v>
      </c>
      <c r="BG50" s="46">
        <v>84008.53</v>
      </c>
      <c r="BH50" s="46">
        <v>89633.18</v>
      </c>
      <c r="BI50" s="46">
        <v>118817.27</v>
      </c>
      <c r="BJ50" s="46">
        <v>154664.07999999999</v>
      </c>
      <c r="BK50" s="46">
        <v>-113458.01</v>
      </c>
      <c r="BL50" s="46">
        <v>-325175.89</v>
      </c>
      <c r="BM50" s="46">
        <v>-219552.89</v>
      </c>
      <c r="BN50" s="46">
        <v>-206267.22</v>
      </c>
      <c r="BO50" s="46">
        <v>-270595.87</v>
      </c>
      <c r="BP50" s="46">
        <v>-357386.66</v>
      </c>
      <c r="BQ50" s="46">
        <v>-364675.44</v>
      </c>
      <c r="BR50" s="46">
        <v>-358208.47</v>
      </c>
      <c r="BS50" s="46">
        <v>-248050.58</v>
      </c>
      <c r="BT50" s="46">
        <v>-232427.07</v>
      </c>
      <c r="BU50" s="46">
        <v>-290836.61</v>
      </c>
      <c r="BV50" s="46">
        <v>-375935.37</v>
      </c>
      <c r="BW50" s="46">
        <v>-242680.23</v>
      </c>
      <c r="BX50" s="46">
        <v>-13830.45</v>
      </c>
      <c r="BY50" s="46">
        <v>-7909.14</v>
      </c>
      <c r="BZ50" s="46">
        <v>-7927.25</v>
      </c>
      <c r="CA50" s="46">
        <v>-10364.700000000001</v>
      </c>
      <c r="CB50" s="46">
        <v>-14271.87</v>
      </c>
      <c r="CC50" s="46">
        <v>-13453.18</v>
      </c>
      <c r="CD50" s="46">
        <v>-11260.05</v>
      </c>
      <c r="CE50" s="46">
        <v>-8003.94</v>
      </c>
      <c r="CF50" s="265">
        <f>'[115]TDR (M2)'!CF22</f>
        <v>-7859.8815598755764</v>
      </c>
      <c r="CG50" s="265">
        <f>'[115]TDR (M2)'!CG22</f>
        <v>-11296.617394752953</v>
      </c>
      <c r="CH50" s="265">
        <f>'[115]TDR (M2)'!CH22</f>
        <v>-13965.1525740786</v>
      </c>
      <c r="CI50" s="133"/>
      <c r="CJ50" s="133"/>
      <c r="CK50" s="133"/>
      <c r="CL50" s="133"/>
      <c r="CM50" s="133"/>
      <c r="CN50" s="133"/>
      <c r="CO50" s="133"/>
      <c r="CP50" s="133"/>
      <c r="CQ50" s="133"/>
      <c r="CR50" s="133"/>
      <c r="CS50" s="133"/>
      <c r="CT50" s="133"/>
    </row>
    <row r="51" spans="1:98" x14ac:dyDescent="0.35">
      <c r="A51" s="40" t="s">
        <v>34</v>
      </c>
      <c r="B51" s="41"/>
      <c r="C51" s="41"/>
      <c r="D51" s="45"/>
      <c r="E51" s="45"/>
      <c r="F51" s="45"/>
      <c r="G51" s="45"/>
      <c r="H51" s="56"/>
      <c r="I51" s="56"/>
      <c r="J51" s="56"/>
      <c r="K51" s="56"/>
      <c r="L51" s="56"/>
      <c r="M51" s="56"/>
      <c r="N51" s="45"/>
      <c r="O51" s="45"/>
      <c r="P51" s="46"/>
      <c r="Q51" s="45">
        <f>121723.86-126.24</f>
        <v>121597.62</v>
      </c>
      <c r="R51" s="46">
        <v>120360.92</v>
      </c>
      <c r="S51" s="46">
        <v>143026.74</v>
      </c>
      <c r="T51" s="46">
        <v>165801.25</v>
      </c>
      <c r="U51" s="46">
        <v>167384.09</v>
      </c>
      <c r="V51" s="46">
        <v>149701.24</v>
      </c>
      <c r="W51" s="46">
        <v>141748.14000000001</v>
      </c>
      <c r="X51" s="46">
        <v>126699.78</v>
      </c>
      <c r="Y51" s="46">
        <v>139926.94</v>
      </c>
      <c r="Z51" s="46">
        <v>202221.15</v>
      </c>
      <c r="AA51" s="46">
        <v>343067.75</v>
      </c>
      <c r="AB51" s="46">
        <v>300632.48</v>
      </c>
      <c r="AC51" s="46">
        <v>296300.02</v>
      </c>
      <c r="AD51" s="46">
        <v>268199.42</v>
      </c>
      <c r="AE51" s="46">
        <v>337634.86</v>
      </c>
      <c r="AF51" s="46">
        <v>372521.79</v>
      </c>
      <c r="AG51" s="46">
        <v>348089.17</v>
      </c>
      <c r="AH51" s="46">
        <v>342034.51</v>
      </c>
      <c r="AI51" s="46">
        <v>301373.81</v>
      </c>
      <c r="AJ51" s="46">
        <v>271517.73</v>
      </c>
      <c r="AK51" s="46">
        <v>328156.33</v>
      </c>
      <c r="AL51" s="46">
        <v>377703.97</v>
      </c>
      <c r="AM51" s="46">
        <v>708077.88</v>
      </c>
      <c r="AN51" s="46">
        <v>666764.85</v>
      </c>
      <c r="AO51" s="46">
        <v>540522.54</v>
      </c>
      <c r="AP51" s="46">
        <v>509584.1</v>
      </c>
      <c r="AQ51" s="46">
        <v>594934.36</v>
      </c>
      <c r="AR51" s="46">
        <v>680484</v>
      </c>
      <c r="AS51" s="46">
        <v>699354.09</v>
      </c>
      <c r="AT51" s="46">
        <v>675136.56</v>
      </c>
      <c r="AU51" s="46">
        <v>608437.81999999995</v>
      </c>
      <c r="AV51" s="46">
        <v>545178.31000000006</v>
      </c>
      <c r="AW51" s="46">
        <v>640578.34</v>
      </c>
      <c r="AX51" s="46">
        <v>683111.72</v>
      </c>
      <c r="AY51" s="46">
        <v>419075.87</v>
      </c>
      <c r="AZ51" s="46">
        <v>88037.89</v>
      </c>
      <c r="BA51" s="46">
        <v>65160.17</v>
      </c>
      <c r="BB51" s="46">
        <v>59309.86</v>
      </c>
      <c r="BC51" s="46">
        <v>74165.440000000002</v>
      </c>
      <c r="BD51" s="46">
        <v>92442.4</v>
      </c>
      <c r="BE51" s="46">
        <v>90973.54</v>
      </c>
      <c r="BF51" s="46">
        <v>86398.8</v>
      </c>
      <c r="BG51" s="46">
        <v>70150.48</v>
      </c>
      <c r="BH51" s="46">
        <v>70037.789999999994</v>
      </c>
      <c r="BI51" s="46">
        <v>80808.38</v>
      </c>
      <c r="BJ51" s="46">
        <v>96369.71</v>
      </c>
      <c r="BK51" s="46">
        <v>-2328.37</v>
      </c>
      <c r="BL51" s="46">
        <v>-103760.54</v>
      </c>
      <c r="BM51" s="46">
        <v>-82575.289999999994</v>
      </c>
      <c r="BN51" s="46">
        <v>-81377.440000000002</v>
      </c>
      <c r="BO51" s="46">
        <v>-96431.96</v>
      </c>
      <c r="BP51" s="46">
        <v>-113596.04</v>
      </c>
      <c r="BQ51" s="46">
        <v>-114121.57</v>
      </c>
      <c r="BR51" s="46">
        <v>-115328.91</v>
      </c>
      <c r="BS51" s="46">
        <v>-96228.19</v>
      </c>
      <c r="BT51" s="46">
        <v>-85982.2</v>
      </c>
      <c r="BU51" s="46">
        <v>-98041.83</v>
      </c>
      <c r="BV51" s="46">
        <v>-115723.74</v>
      </c>
      <c r="BW51" s="46">
        <v>-71353.679999999993</v>
      </c>
      <c r="BX51" s="46">
        <v>-3857.43</v>
      </c>
      <c r="BY51" s="46">
        <v>-3467.37</v>
      </c>
      <c r="BZ51" s="46">
        <v>-3190.61</v>
      </c>
      <c r="CA51" s="46">
        <v>-3616.74</v>
      </c>
      <c r="CB51" s="46">
        <v>-4165.8599999999997</v>
      </c>
      <c r="CC51" s="46">
        <v>-4368.6099999999997</v>
      </c>
      <c r="CD51" s="46">
        <v>-3971.18</v>
      </c>
      <c r="CE51" s="46">
        <v>-3310.57</v>
      </c>
      <c r="CF51" s="265">
        <f>'[115]TDR (M2)'!CF23</f>
        <v>-2996.0922712585716</v>
      </c>
      <c r="CG51" s="265">
        <f>'[115]TDR (M2)'!CG23</f>
        <v>-3628.9175899277211</v>
      </c>
      <c r="CH51" s="265">
        <f>'[115]TDR (M2)'!CH23</f>
        <v>-4283.3480788264505</v>
      </c>
      <c r="CI51" s="133"/>
      <c r="CJ51" s="133"/>
      <c r="CK51" s="133"/>
      <c r="CL51" s="133"/>
      <c r="CM51" s="133"/>
      <c r="CN51" s="133"/>
      <c r="CO51" s="133"/>
      <c r="CP51" s="133"/>
      <c r="CQ51" s="133"/>
      <c r="CR51" s="133"/>
      <c r="CS51" s="133"/>
      <c r="CT51" s="133"/>
    </row>
    <row r="52" spans="1:98" x14ac:dyDescent="0.35">
      <c r="A52" s="40" t="s">
        <v>35</v>
      </c>
      <c r="B52" s="41"/>
      <c r="C52" s="41"/>
      <c r="D52" s="45"/>
      <c r="E52" s="45"/>
      <c r="F52" s="45"/>
      <c r="G52" s="45"/>
      <c r="H52" s="56"/>
      <c r="I52" s="56"/>
      <c r="J52" s="56"/>
      <c r="K52" s="56"/>
      <c r="L52" s="56"/>
      <c r="M52" s="56"/>
      <c r="N52" s="45"/>
      <c r="O52" s="45"/>
      <c r="P52" s="46"/>
      <c r="Q52" s="45">
        <f>306699.41-268.37</f>
        <v>306431.03999999998</v>
      </c>
      <c r="R52" s="46">
        <v>315079.21999999997</v>
      </c>
      <c r="S52" s="46">
        <v>357143.49</v>
      </c>
      <c r="T52" s="46">
        <v>388918.74</v>
      </c>
      <c r="U52" s="46">
        <v>396209.91</v>
      </c>
      <c r="V52" s="46">
        <v>373506.75</v>
      </c>
      <c r="W52" s="46">
        <v>358646.38</v>
      </c>
      <c r="X52" s="46">
        <v>321927.84000000003</v>
      </c>
      <c r="Y52" s="46">
        <v>337190.07</v>
      </c>
      <c r="Z52" s="46">
        <v>406112.33</v>
      </c>
      <c r="AA52" s="46">
        <v>569283.56999999995</v>
      </c>
      <c r="AB52" s="46">
        <v>530638.37</v>
      </c>
      <c r="AC52" s="46">
        <v>535419.43000000005</v>
      </c>
      <c r="AD52" s="46">
        <v>530865.09</v>
      </c>
      <c r="AE52" s="46">
        <v>632987.31999999995</v>
      </c>
      <c r="AF52" s="46">
        <v>672168.03</v>
      </c>
      <c r="AG52" s="46">
        <v>636130.80000000005</v>
      </c>
      <c r="AH52" s="46">
        <v>647286.31999999995</v>
      </c>
      <c r="AI52" s="46">
        <v>588134.43000000005</v>
      </c>
      <c r="AJ52" s="46">
        <v>523066.9</v>
      </c>
      <c r="AK52" s="46">
        <v>569652.57999999996</v>
      </c>
      <c r="AL52" s="46">
        <v>622149.86</v>
      </c>
      <c r="AM52" s="46">
        <v>1121084.3899999999</v>
      </c>
      <c r="AN52" s="46">
        <v>1064143.96</v>
      </c>
      <c r="AO52" s="46">
        <v>956310.33</v>
      </c>
      <c r="AP52" s="46">
        <v>988397.62</v>
      </c>
      <c r="AQ52" s="46">
        <v>1099738.51</v>
      </c>
      <c r="AR52" s="46">
        <v>1183208.1399999999</v>
      </c>
      <c r="AS52" s="46">
        <v>1210589.8</v>
      </c>
      <c r="AT52" s="46">
        <v>1222150.02</v>
      </c>
      <c r="AU52" s="46">
        <v>1122226.3600000001</v>
      </c>
      <c r="AV52" s="46">
        <v>990572.78</v>
      </c>
      <c r="AW52" s="46">
        <v>1074771.6100000001</v>
      </c>
      <c r="AX52" s="46">
        <v>1111703.5</v>
      </c>
      <c r="AY52" s="46">
        <v>772025.26</v>
      </c>
      <c r="AZ52" s="46">
        <v>319798.53000000003</v>
      </c>
      <c r="BA52" s="46">
        <v>269033.2</v>
      </c>
      <c r="BB52" s="46">
        <v>249777.14</v>
      </c>
      <c r="BC52" s="46">
        <v>297315.93</v>
      </c>
      <c r="BD52" s="46">
        <v>347144.51</v>
      </c>
      <c r="BE52" s="46">
        <v>345440.09</v>
      </c>
      <c r="BF52" s="46">
        <v>344230.11</v>
      </c>
      <c r="BG52" s="46">
        <v>293731.96999999997</v>
      </c>
      <c r="BH52" s="46">
        <v>286094.82</v>
      </c>
      <c r="BI52" s="46">
        <v>307534.57</v>
      </c>
      <c r="BJ52" s="46">
        <v>329595.59000000003</v>
      </c>
      <c r="BK52" s="46">
        <v>128230.92</v>
      </c>
      <c r="BL52" s="46">
        <v>-119113.36</v>
      </c>
      <c r="BM52" s="46">
        <v>-106709.26</v>
      </c>
      <c r="BN52" s="46">
        <v>-108656.28</v>
      </c>
      <c r="BO52" s="46">
        <v>-121205.96</v>
      </c>
      <c r="BP52" s="46">
        <v>-141073.82999999999</v>
      </c>
      <c r="BQ52" s="46">
        <v>-140301.07</v>
      </c>
      <c r="BR52" s="46">
        <v>-142985.78</v>
      </c>
      <c r="BS52" s="46">
        <v>-125672.79</v>
      </c>
      <c r="BT52" s="46">
        <v>-111672.41</v>
      </c>
      <c r="BU52" s="46">
        <v>-122048.8</v>
      </c>
      <c r="BV52" s="46">
        <v>-130402.9</v>
      </c>
      <c r="BW52" s="46">
        <v>-91979.27</v>
      </c>
      <c r="BX52" s="46">
        <v>-29965.9</v>
      </c>
      <c r="BY52" s="46">
        <v>-27757.9</v>
      </c>
      <c r="BZ52" s="46">
        <v>-28438.25</v>
      </c>
      <c r="CA52" s="46">
        <v>-31790.6</v>
      </c>
      <c r="CB52" s="46">
        <v>-36362.75</v>
      </c>
      <c r="CC52" s="46">
        <v>-35481.11</v>
      </c>
      <c r="CD52" s="46">
        <v>-33868.720000000001</v>
      </c>
      <c r="CE52" s="46">
        <v>-29154.44</v>
      </c>
      <c r="CF52" s="265">
        <f>'[115]TDR (M2)'!CF24</f>
        <v>-27766.866471993697</v>
      </c>
      <c r="CG52" s="265">
        <f>'[115]TDR (M2)'!CG24</f>
        <v>-30819.784877240669</v>
      </c>
      <c r="CH52" s="265">
        <f>'[115]TDR (M2)'!CH24</f>
        <v>-33735.600022934857</v>
      </c>
      <c r="CI52" s="133"/>
      <c r="CJ52" s="133"/>
      <c r="CK52" s="133"/>
      <c r="CL52" s="133"/>
      <c r="CM52" s="133"/>
      <c r="CN52" s="133"/>
      <c r="CO52" s="133"/>
      <c r="CP52" s="133"/>
      <c r="CQ52" s="133"/>
      <c r="CR52" s="133"/>
      <c r="CS52" s="133"/>
      <c r="CT52" s="133"/>
    </row>
    <row r="53" spans="1:98" x14ac:dyDescent="0.35">
      <c r="A53" s="40" t="s">
        <v>36</v>
      </c>
      <c r="B53" s="41"/>
      <c r="C53" s="41"/>
      <c r="D53" s="45"/>
      <c r="E53" s="45"/>
      <c r="F53" s="45"/>
      <c r="G53" s="45"/>
      <c r="H53" s="56"/>
      <c r="I53" s="56"/>
      <c r="J53" s="56"/>
      <c r="K53" s="56"/>
      <c r="L53" s="56"/>
      <c r="M53" s="56"/>
      <c r="N53" s="45"/>
      <c r="O53" s="45"/>
      <c r="P53" s="46"/>
      <c r="Q53" s="45">
        <v>287500.39</v>
      </c>
      <c r="R53" s="46">
        <v>291239.59000000003</v>
      </c>
      <c r="S53" s="46">
        <v>334700.84000000003</v>
      </c>
      <c r="T53" s="46">
        <v>327858.78000000003</v>
      </c>
      <c r="U53" s="46">
        <v>345877.98</v>
      </c>
      <c r="V53" s="46">
        <v>332796.82</v>
      </c>
      <c r="W53" s="46">
        <v>325738.77</v>
      </c>
      <c r="X53" s="46">
        <v>293261.37</v>
      </c>
      <c r="Y53" s="46">
        <v>307322.53000000003</v>
      </c>
      <c r="Z53" s="46">
        <v>339565.96</v>
      </c>
      <c r="AA53" s="46">
        <v>307869.25</v>
      </c>
      <c r="AB53" s="46">
        <v>306963.45</v>
      </c>
      <c r="AC53" s="46">
        <v>283370.14</v>
      </c>
      <c r="AD53" s="46">
        <v>326351.34000000003</v>
      </c>
      <c r="AE53" s="46">
        <v>353914.84</v>
      </c>
      <c r="AF53" s="46">
        <v>366503.78</v>
      </c>
      <c r="AG53" s="46">
        <v>360257.72</v>
      </c>
      <c r="AH53" s="46">
        <v>350605.05</v>
      </c>
      <c r="AI53" s="46">
        <v>328773.59000000003</v>
      </c>
      <c r="AJ53" s="46">
        <v>305971.46999999997</v>
      </c>
      <c r="AK53" s="46">
        <v>329009.21000000002</v>
      </c>
      <c r="AL53" s="46">
        <v>301972.13</v>
      </c>
      <c r="AM53" s="46">
        <v>361271.84</v>
      </c>
      <c r="AN53" s="46">
        <v>357649</v>
      </c>
      <c r="AO53" s="46">
        <v>342832.09</v>
      </c>
      <c r="AP53" s="46">
        <v>342002.7</v>
      </c>
      <c r="AQ53" s="46">
        <v>397393.17</v>
      </c>
      <c r="AR53" s="46">
        <v>399370.7</v>
      </c>
      <c r="AS53" s="46">
        <v>419257.53</v>
      </c>
      <c r="AT53" s="46">
        <v>416719</v>
      </c>
      <c r="AU53" s="46">
        <v>386141.21</v>
      </c>
      <c r="AV53" s="46">
        <v>357086.62</v>
      </c>
      <c r="AW53" s="46">
        <v>359534.39</v>
      </c>
      <c r="AX53" s="46">
        <v>369865.83</v>
      </c>
      <c r="AY53" s="46">
        <v>293791.12</v>
      </c>
      <c r="AZ53" s="46">
        <v>123483.39</v>
      </c>
      <c r="BA53" s="46">
        <v>118999.09</v>
      </c>
      <c r="BB53" s="46">
        <v>112027.34</v>
      </c>
      <c r="BC53" s="46">
        <v>130470.39999999999</v>
      </c>
      <c r="BD53" s="46">
        <v>137323.88</v>
      </c>
      <c r="BE53" s="46">
        <v>143937.82999999999</v>
      </c>
      <c r="BF53" s="46">
        <v>143974.57</v>
      </c>
      <c r="BG53" s="46">
        <v>127974.65</v>
      </c>
      <c r="BH53" s="46">
        <v>127068.08</v>
      </c>
      <c r="BI53" s="46">
        <v>132955.76999999999</v>
      </c>
      <c r="BJ53" s="46">
        <v>130544.63</v>
      </c>
      <c r="BK53" s="46">
        <v>73117.320000000007</v>
      </c>
      <c r="BL53" s="46">
        <v>-23752.07</v>
      </c>
      <c r="BM53" s="46">
        <v>-25347.52</v>
      </c>
      <c r="BN53" s="46">
        <v>-27081.25</v>
      </c>
      <c r="BO53" s="46">
        <v>-24437.95</v>
      </c>
      <c r="BP53" s="46">
        <v>-33816.269999999997</v>
      </c>
      <c r="BQ53" s="46">
        <v>-31047.43</v>
      </c>
      <c r="BR53" s="46">
        <v>-31441.61</v>
      </c>
      <c r="BS53" s="46">
        <v>-27149.439999999999</v>
      </c>
      <c r="BT53" s="46">
        <v>-23682.34</v>
      </c>
      <c r="BU53" s="46">
        <v>-31128.82</v>
      </c>
      <c r="BV53" s="46">
        <v>-30061.68</v>
      </c>
      <c r="BW53" s="46">
        <v>-21727.82</v>
      </c>
      <c r="BX53" s="46">
        <v>-9411.08</v>
      </c>
      <c r="BY53" s="46">
        <v>-9472.94</v>
      </c>
      <c r="BZ53" s="46">
        <v>-9265.9</v>
      </c>
      <c r="CA53" s="46">
        <v>-10540.89</v>
      </c>
      <c r="CB53" s="46">
        <v>-10967.71</v>
      </c>
      <c r="CC53" s="46">
        <v>-10879.65</v>
      </c>
      <c r="CD53" s="46">
        <v>-10597.96</v>
      </c>
      <c r="CE53" s="46">
        <v>-9396.31</v>
      </c>
      <c r="CF53" s="265">
        <f>'[115]TDR (M2)'!CF25</f>
        <v>-9148.6063466728483</v>
      </c>
      <c r="CG53" s="265">
        <f>'[115]TDR (M2)'!CG25</f>
        <v>-9533.9634449839014</v>
      </c>
      <c r="CH53" s="265">
        <f>'[115]TDR (M2)'!CH25</f>
        <v>-9903.8817614824802</v>
      </c>
      <c r="CI53" s="133"/>
      <c r="CJ53" s="133"/>
      <c r="CK53" s="133"/>
      <c r="CL53" s="133"/>
      <c r="CM53" s="133"/>
      <c r="CN53" s="133"/>
      <c r="CO53" s="133"/>
      <c r="CP53" s="133"/>
      <c r="CQ53" s="133"/>
      <c r="CR53" s="133"/>
      <c r="CS53" s="133"/>
      <c r="CT53" s="133"/>
    </row>
    <row r="54" spans="1:98" x14ac:dyDescent="0.35">
      <c r="A54" s="40" t="s">
        <v>37</v>
      </c>
      <c r="B54" s="41"/>
      <c r="C54" s="41"/>
      <c r="D54" s="45"/>
      <c r="E54" s="45"/>
      <c r="F54" s="45"/>
      <c r="G54" s="45"/>
      <c r="H54" s="56"/>
      <c r="I54" s="56"/>
      <c r="J54" s="56"/>
      <c r="K54" s="56"/>
      <c r="L54" s="56"/>
      <c r="M54" s="56"/>
      <c r="N54" s="45"/>
      <c r="O54" s="45"/>
      <c r="P54" s="46"/>
      <c r="Q54" s="45">
        <v>185826.61</v>
      </c>
      <c r="R54" s="46">
        <v>189002.31</v>
      </c>
      <c r="S54" s="46">
        <v>225674.13</v>
      </c>
      <c r="T54" s="46">
        <v>213450.91</v>
      </c>
      <c r="U54" s="46">
        <v>236566.37</v>
      </c>
      <c r="V54" s="46">
        <v>225419.26</v>
      </c>
      <c r="W54" s="46">
        <v>214922.7</v>
      </c>
      <c r="X54" s="46">
        <v>204773.48</v>
      </c>
      <c r="Y54" s="46">
        <v>187770.83</v>
      </c>
      <c r="Z54" s="46">
        <v>190411.74</v>
      </c>
      <c r="AA54" s="46">
        <v>104692.59</v>
      </c>
      <c r="AB54" s="46">
        <v>18094.560000000001</v>
      </c>
      <c r="AC54" s="46">
        <v>17212.91</v>
      </c>
      <c r="AD54" s="46">
        <v>19682.41</v>
      </c>
      <c r="AE54" s="46">
        <v>21781.17</v>
      </c>
      <c r="AF54" s="46">
        <v>13233.54</v>
      </c>
      <c r="AG54" s="46">
        <v>22431.52</v>
      </c>
      <c r="AH54" s="46">
        <v>21067.32</v>
      </c>
      <c r="AI54" s="46">
        <v>20801.22</v>
      </c>
      <c r="AJ54" s="46">
        <v>19547.939999999999</v>
      </c>
      <c r="AK54" s="46">
        <v>19036.14</v>
      </c>
      <c r="AL54" s="46">
        <v>21300.85</v>
      </c>
      <c r="AM54" s="46">
        <v>41051.660000000003</v>
      </c>
      <c r="AN54" s="46">
        <v>64352.88</v>
      </c>
      <c r="AO54" s="46">
        <v>64072.1</v>
      </c>
      <c r="AP54" s="46">
        <v>62519.33</v>
      </c>
      <c r="AQ54" s="46">
        <v>78748.960000000006</v>
      </c>
      <c r="AR54" s="46">
        <v>73304.259999999995</v>
      </c>
      <c r="AS54" s="46">
        <v>81170.33</v>
      </c>
      <c r="AT54" s="46">
        <v>82260.42</v>
      </c>
      <c r="AU54" s="46">
        <v>77599.5</v>
      </c>
      <c r="AV54" s="46">
        <v>68913.850000000006</v>
      </c>
      <c r="AW54" s="46">
        <v>64843.48</v>
      </c>
      <c r="AX54" s="46">
        <v>68622.929999999993</v>
      </c>
      <c r="AY54" s="46">
        <v>67842.5</v>
      </c>
      <c r="AZ54" s="46">
        <v>38688.33</v>
      </c>
      <c r="BA54" s="46">
        <v>44298.87</v>
      </c>
      <c r="BB54" s="46">
        <v>44976.56</v>
      </c>
      <c r="BC54" s="46">
        <v>11431.37</v>
      </c>
      <c r="BD54" s="46">
        <v>50558.239999999998</v>
      </c>
      <c r="BE54" s="46">
        <v>52075.91</v>
      </c>
      <c r="BF54" s="46">
        <v>52816.959999999999</v>
      </c>
      <c r="BG54" s="46">
        <v>46523.24</v>
      </c>
      <c r="BH54" s="46">
        <v>45630.69</v>
      </c>
      <c r="BI54" s="46">
        <v>46596.58</v>
      </c>
      <c r="BJ54" s="46">
        <v>42614.78</v>
      </c>
      <c r="BK54" s="46">
        <v>37690.370000000003</v>
      </c>
      <c r="BL54" s="46">
        <v>-999.06</v>
      </c>
      <c r="BM54" s="46">
        <v>1068.3499999999999</v>
      </c>
      <c r="BN54" s="46">
        <v>1085.3800000000001</v>
      </c>
      <c r="BO54" s="46">
        <v>1047.53</v>
      </c>
      <c r="BP54" s="46">
        <v>1336.85</v>
      </c>
      <c r="BQ54" s="46">
        <v>1272.6199999999999</v>
      </c>
      <c r="BR54" s="46">
        <v>1376.1</v>
      </c>
      <c r="BS54" s="46">
        <v>1261.3</v>
      </c>
      <c r="BT54" s="46">
        <v>837.34</v>
      </c>
      <c r="BU54" s="46">
        <v>1174.03</v>
      </c>
      <c r="BV54" s="46">
        <v>1093.94</v>
      </c>
      <c r="BW54" s="46">
        <v>596.12</v>
      </c>
      <c r="BX54" s="46">
        <v>-2115.3000000000002</v>
      </c>
      <c r="BY54" s="46">
        <v>-9955.1299999999992</v>
      </c>
      <c r="BZ54" s="46">
        <v>-1926.46</v>
      </c>
      <c r="CA54" s="46">
        <v>-2348.37</v>
      </c>
      <c r="CB54" s="46">
        <v>-2694.11</v>
      </c>
      <c r="CC54" s="46">
        <v>-2663.91</v>
      </c>
      <c r="CD54" s="46">
        <v>-2777.2</v>
      </c>
      <c r="CE54" s="46">
        <v>-2385.87</v>
      </c>
      <c r="CF54" s="265">
        <f>'[115]TDR (M2)'!CF26</f>
        <v>-2313.5820133384063</v>
      </c>
      <c r="CG54" s="265">
        <f>'[115]TDR (M2)'!CG26</f>
        <v>-2266.9716748860501</v>
      </c>
      <c r="CH54" s="265">
        <f>'[115]TDR (M2)'!CH26</f>
        <v>-2388.5053153889112</v>
      </c>
      <c r="CI54" s="133"/>
      <c r="CJ54" s="133"/>
      <c r="CK54" s="133"/>
      <c r="CL54" s="133"/>
      <c r="CM54" s="133"/>
      <c r="CN54" s="133"/>
      <c r="CO54" s="133"/>
      <c r="CP54" s="133"/>
      <c r="CQ54" s="133"/>
      <c r="CR54" s="133"/>
      <c r="CS54" s="133"/>
      <c r="CT54" s="133"/>
    </row>
    <row r="55" spans="1:98" x14ac:dyDescent="0.35">
      <c r="A55" s="35" t="s">
        <v>31</v>
      </c>
      <c r="B55" s="33"/>
      <c r="C55" s="33"/>
      <c r="D55" s="48">
        <f>SUM(D50:D54)</f>
        <v>0</v>
      </c>
      <c r="E55" s="48">
        <f t="shared" ref="E55:AW55" si="256">SUM(E50:E54)</f>
        <v>0</v>
      </c>
      <c r="F55" s="48">
        <f t="shared" si="256"/>
        <v>0</v>
      </c>
      <c r="G55" s="48">
        <f t="shared" si="256"/>
        <v>0</v>
      </c>
      <c r="H55" s="48">
        <f t="shared" si="256"/>
        <v>0</v>
      </c>
      <c r="I55" s="48">
        <f t="shared" si="256"/>
        <v>0</v>
      </c>
      <c r="J55" s="48">
        <f t="shared" si="256"/>
        <v>0</v>
      </c>
      <c r="K55" s="48">
        <f t="shared" si="256"/>
        <v>0</v>
      </c>
      <c r="L55" s="48">
        <f t="shared" si="256"/>
        <v>0</v>
      </c>
      <c r="M55" s="48">
        <f t="shared" si="256"/>
        <v>0</v>
      </c>
      <c r="N55" s="48">
        <f t="shared" si="256"/>
        <v>0</v>
      </c>
      <c r="O55" s="48">
        <f t="shared" si="256"/>
        <v>0</v>
      </c>
      <c r="P55" s="48">
        <f t="shared" si="256"/>
        <v>0</v>
      </c>
      <c r="Q55" s="48">
        <f t="shared" si="256"/>
        <v>1865586.4</v>
      </c>
      <c r="R55" s="48">
        <f t="shared" si="256"/>
        <v>1834668.9400000002</v>
      </c>
      <c r="S55" s="48">
        <f t="shared" si="256"/>
        <v>2295880.5500000003</v>
      </c>
      <c r="T55" s="48">
        <f t="shared" si="256"/>
        <v>2739739.71</v>
      </c>
      <c r="U55" s="48">
        <f t="shared" si="256"/>
        <v>2810029.6700000004</v>
      </c>
      <c r="V55" s="48">
        <f t="shared" si="256"/>
        <v>2397146.59</v>
      </c>
      <c r="W55" s="48">
        <f t="shared" si="256"/>
        <v>2196198.75</v>
      </c>
      <c r="X55" s="48">
        <f t="shared" si="256"/>
        <v>1955310.19</v>
      </c>
      <c r="Y55" s="48">
        <f t="shared" si="256"/>
        <v>2272928.3199999998</v>
      </c>
      <c r="Z55" s="48">
        <f t="shared" si="256"/>
        <v>3133513.62</v>
      </c>
      <c r="AA55" s="48">
        <f t="shared" si="256"/>
        <v>2686519.32</v>
      </c>
      <c r="AB55" s="48">
        <f t="shared" si="256"/>
        <v>2253809.6800000002</v>
      </c>
      <c r="AC55" s="48">
        <f t="shared" si="256"/>
        <v>2191880.6200000006</v>
      </c>
      <c r="AD55" s="48">
        <f t="shared" si="256"/>
        <v>2008078.9100000001</v>
      </c>
      <c r="AE55" s="48">
        <f t="shared" si="256"/>
        <v>2628092.9099999997</v>
      </c>
      <c r="AF55" s="48">
        <f t="shared" si="256"/>
        <v>2927384.4800000004</v>
      </c>
      <c r="AG55" s="48">
        <f t="shared" si="256"/>
        <v>2713828.6699999995</v>
      </c>
      <c r="AH55" s="48">
        <f t="shared" si="256"/>
        <v>2656476.0999999996</v>
      </c>
      <c r="AI55" s="48">
        <f t="shared" si="256"/>
        <v>2241568.5700000003</v>
      </c>
      <c r="AJ55" s="48">
        <f t="shared" si="256"/>
        <v>2050332.64</v>
      </c>
      <c r="AK55" s="48">
        <f t="shared" si="256"/>
        <v>2540211.56</v>
      </c>
      <c r="AL55" s="48">
        <f t="shared" si="256"/>
        <v>2758522.64</v>
      </c>
      <c r="AM55" s="48">
        <f t="shared" si="256"/>
        <v>3731846.29</v>
      </c>
      <c r="AN55" s="48">
        <f t="shared" si="256"/>
        <v>3504116.61</v>
      </c>
      <c r="AO55" s="48">
        <f t="shared" si="256"/>
        <v>2834702.33</v>
      </c>
      <c r="AP55" s="48">
        <f t="shared" si="256"/>
        <v>2693990.7500000005</v>
      </c>
      <c r="AQ55" s="48">
        <f t="shared" si="256"/>
        <v>3224890.5700000003</v>
      </c>
      <c r="AR55" s="48">
        <f t="shared" si="256"/>
        <v>3677369.7199999997</v>
      </c>
      <c r="AS55" s="48">
        <f t="shared" si="256"/>
        <v>3821939.25</v>
      </c>
      <c r="AT55" s="48">
        <f t="shared" si="256"/>
        <v>3698449.99</v>
      </c>
      <c r="AU55" s="48">
        <f t="shared" si="256"/>
        <v>3264460.08</v>
      </c>
      <c r="AV55" s="48">
        <f t="shared" si="256"/>
        <v>2921768.73</v>
      </c>
      <c r="AW55" s="48">
        <f t="shared" si="256"/>
        <v>3431438.0600000005</v>
      </c>
      <c r="AX55" s="48">
        <f t="shared" ref="AX55:AY55" si="257">SUM(AX50:AX54)</f>
        <v>3659744.19</v>
      </c>
      <c r="AY55" s="48">
        <f t="shared" si="257"/>
        <v>2389556.5699999998</v>
      </c>
      <c r="AZ55" s="48">
        <f t="shared" ref="AZ55:BA55" si="258">SUM(AZ50:AZ54)</f>
        <v>693510.74</v>
      </c>
      <c r="BA55" s="48">
        <f t="shared" si="258"/>
        <v>590167.06999999995</v>
      </c>
      <c r="BB55" s="48">
        <f t="shared" ref="BB55:BC55" si="259">SUM(BB50:BB54)</f>
        <v>548810.87999999989</v>
      </c>
      <c r="BC55" s="48">
        <f t="shared" si="259"/>
        <v>622900.26</v>
      </c>
      <c r="BD55" s="48">
        <f t="shared" ref="BD55:BE55" si="260">SUM(BD50:BD54)</f>
        <v>774512.69000000006</v>
      </c>
      <c r="BE55" s="48">
        <f t="shared" si="260"/>
        <v>770258.37</v>
      </c>
      <c r="BF55" s="48">
        <f t="shared" ref="BF55:BG55" si="261">SUM(BF50:BF54)</f>
        <v>751740.31</v>
      </c>
      <c r="BG55" s="48">
        <f t="shared" si="261"/>
        <v>622388.87</v>
      </c>
      <c r="BH55" s="48">
        <f t="shared" ref="BH55:BI55" si="262">SUM(BH50:BH54)</f>
        <v>618464.56000000006</v>
      </c>
      <c r="BI55" s="48">
        <f t="shared" si="262"/>
        <v>686712.57</v>
      </c>
      <c r="BJ55" s="48">
        <f t="shared" ref="BJ55:BK55" si="263">SUM(BJ50:BJ54)</f>
        <v>753788.79</v>
      </c>
      <c r="BK55" s="48">
        <f t="shared" si="263"/>
        <v>123252.23000000001</v>
      </c>
      <c r="BL55" s="48">
        <f t="shared" ref="BL55:BM55" si="264">SUM(BL50:BL54)</f>
        <v>-572800.92000000004</v>
      </c>
      <c r="BM55" s="48">
        <f t="shared" si="264"/>
        <v>-433116.61000000004</v>
      </c>
      <c r="BN55" s="48">
        <f t="shared" ref="BN55:BO55" si="265">SUM(BN50:BN54)</f>
        <v>-422296.81000000006</v>
      </c>
      <c r="BO55" s="48">
        <f t="shared" si="265"/>
        <v>-511624.21</v>
      </c>
      <c r="BP55" s="48">
        <f t="shared" ref="BP55:BQ55" si="266">SUM(BP50:BP54)</f>
        <v>-644535.94999999995</v>
      </c>
      <c r="BQ55" s="48">
        <f t="shared" si="266"/>
        <v>-648872.89000000013</v>
      </c>
      <c r="BR55" s="48">
        <f t="shared" ref="BR55:BS55" si="267">SUM(BR50:BR54)</f>
        <v>-646588.67000000004</v>
      </c>
      <c r="BS55" s="48">
        <f t="shared" si="267"/>
        <v>-495839.7</v>
      </c>
      <c r="BT55" s="48">
        <f t="shared" ref="BT55:BU55" si="268">SUM(BT50:BT54)</f>
        <v>-452926.68000000005</v>
      </c>
      <c r="BU55" s="48">
        <f t="shared" si="268"/>
        <v>-540882.02999999991</v>
      </c>
      <c r="BV55" s="48">
        <f t="shared" ref="BV55:BW55" si="269">SUM(BV50:BV54)</f>
        <v>-651029.75000000012</v>
      </c>
      <c r="BW55" s="48">
        <f t="shared" si="269"/>
        <v>-427144.88000000006</v>
      </c>
      <c r="BX55" s="48">
        <f t="shared" ref="BX55:BY55" si="270">SUM(BX50:BX54)</f>
        <v>-59180.160000000003</v>
      </c>
      <c r="BY55" s="48">
        <f t="shared" si="270"/>
        <v>-58562.48</v>
      </c>
      <c r="BZ55" s="48">
        <f t="shared" ref="BZ55:CA55" si="271">SUM(BZ50:BZ54)</f>
        <v>-50748.47</v>
      </c>
      <c r="CA55" s="48">
        <f t="shared" si="271"/>
        <v>-58661.3</v>
      </c>
      <c r="CB55" s="48">
        <f t="shared" ref="CB55:CC55" si="272">SUM(CB50:CB54)</f>
        <v>-68462.3</v>
      </c>
      <c r="CC55" s="48">
        <f t="shared" si="272"/>
        <v>-66846.460000000006</v>
      </c>
      <c r="CD55" s="48">
        <f t="shared" ref="CD55:CE55" si="273">SUM(CD50:CD54)</f>
        <v>-62475.109999999993</v>
      </c>
      <c r="CE55" s="48">
        <f t="shared" si="273"/>
        <v>-52251.13</v>
      </c>
      <c r="CF55" s="48">
        <f t="shared" ref="CF55" si="274">SUM(CF50:CF54)</f>
        <v>-50085.028663139099</v>
      </c>
      <c r="CG55" s="48">
        <f>SUM(CG50:CG54)</f>
        <v>-57546.254981791295</v>
      </c>
      <c r="CH55" s="48">
        <f t="shared" ref="CH55:CI55" si="275">SUM(CH50:CH54)</f>
        <v>-64276.487752711299</v>
      </c>
      <c r="CI55" s="48">
        <f t="shared" si="275"/>
        <v>0</v>
      </c>
      <c r="CJ55" s="48">
        <f t="shared" ref="CJ55:CK55" si="276">SUM(CJ50:CJ54)</f>
        <v>0</v>
      </c>
      <c r="CK55" s="48">
        <f t="shared" si="276"/>
        <v>0</v>
      </c>
      <c r="CL55" s="48">
        <f t="shared" ref="CL55:CM55" si="277">SUM(CL50:CL54)</f>
        <v>0</v>
      </c>
      <c r="CM55" s="48">
        <f t="shared" si="277"/>
        <v>0</v>
      </c>
      <c r="CN55" s="48">
        <f t="shared" ref="CN55:CO55" si="278">SUM(CN50:CN54)</f>
        <v>0</v>
      </c>
      <c r="CO55" s="48">
        <f t="shared" si="278"/>
        <v>0</v>
      </c>
      <c r="CP55" s="48">
        <f t="shared" ref="CP55:CQ55" si="279">SUM(CP50:CP54)</f>
        <v>0</v>
      </c>
      <c r="CQ55" s="48">
        <f t="shared" si="279"/>
        <v>0</v>
      </c>
      <c r="CR55" s="48">
        <f t="shared" ref="CR55:CS55" si="280">SUM(CR50:CR54)</f>
        <v>0</v>
      </c>
      <c r="CS55" s="48">
        <f t="shared" si="280"/>
        <v>0</v>
      </c>
      <c r="CT55" s="48">
        <f t="shared" ref="CT55" si="281">SUM(CT50:CT54)</f>
        <v>0</v>
      </c>
    </row>
    <row r="56" spans="1:98" x14ac:dyDescent="0.35">
      <c r="A56" s="35"/>
      <c r="B56" s="33"/>
      <c r="C56" s="33"/>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c r="AN56" s="86"/>
      <c r="AO56" s="86"/>
      <c r="AP56" s="86"/>
      <c r="AQ56" s="86"/>
      <c r="AR56" s="86"/>
      <c r="AS56" s="86"/>
      <c r="AT56" s="86"/>
      <c r="AU56" s="86"/>
      <c r="AV56" s="86"/>
      <c r="AW56" s="86"/>
      <c r="AX56" s="86"/>
      <c r="AY56" s="86"/>
      <c r="AZ56" s="86"/>
      <c r="BA56" s="86"/>
      <c r="BB56" s="86"/>
      <c r="BC56" s="86"/>
      <c r="BD56" s="86"/>
      <c r="BE56" s="86"/>
      <c r="BF56" s="86"/>
      <c r="BG56" s="86"/>
      <c r="BH56" s="86"/>
      <c r="BI56" s="86"/>
      <c r="BJ56" s="86"/>
      <c r="BK56" s="86"/>
      <c r="BL56" s="86"/>
      <c r="BM56" s="86"/>
      <c r="BN56" s="86"/>
      <c r="BO56" s="86"/>
      <c r="BP56" s="86"/>
      <c r="BQ56" s="86"/>
      <c r="BR56" s="86"/>
      <c r="BS56" s="86"/>
      <c r="BT56" s="86"/>
      <c r="BU56" s="86"/>
      <c r="BV56" s="86"/>
      <c r="BW56" s="86"/>
      <c r="BX56" s="86"/>
      <c r="BY56" s="86"/>
      <c r="BZ56" s="86"/>
      <c r="CA56" s="86"/>
      <c r="CB56" s="86"/>
      <c r="CC56" s="86"/>
      <c r="CD56" s="86"/>
      <c r="CE56" s="86"/>
      <c r="CF56" s="263" t="s">
        <v>129</v>
      </c>
      <c r="CG56" s="266"/>
      <c r="CH56" s="86"/>
      <c r="CI56" s="86"/>
      <c r="CJ56" s="86"/>
      <c r="CK56" s="86"/>
      <c r="CL56" s="86"/>
      <c r="CM56" s="86"/>
      <c r="CN56" s="86"/>
      <c r="CO56" s="86"/>
      <c r="CP56" s="86"/>
      <c r="CQ56" s="86"/>
      <c r="CR56" s="86"/>
      <c r="CS56" s="86"/>
      <c r="CT56" s="86"/>
    </row>
    <row r="57" spans="1:98" x14ac:dyDescent="0.35">
      <c r="A57" s="39" t="s">
        <v>61</v>
      </c>
      <c r="B57" s="41"/>
      <c r="C57" s="41"/>
      <c r="D57" s="45"/>
      <c r="E57" s="45"/>
      <c r="F57" s="45"/>
      <c r="G57" s="45"/>
      <c r="H57" s="45"/>
      <c r="I57" s="56"/>
      <c r="J57" s="56"/>
      <c r="K57" s="45"/>
      <c r="L57" s="56"/>
      <c r="M57" s="56"/>
      <c r="N57" s="45"/>
      <c r="O57" s="75"/>
      <c r="P57" s="46"/>
      <c r="Q57" s="46">
        <v>-32811.980000000003</v>
      </c>
      <c r="R57" s="46">
        <v>-27741.82</v>
      </c>
      <c r="S57" s="46">
        <v>-33591.72</v>
      </c>
      <c r="T57" s="46">
        <v>-43701.210000000006</v>
      </c>
      <c r="U57" s="46">
        <v>-44913.150000000016</v>
      </c>
      <c r="V57" s="46">
        <v>-37075.26</v>
      </c>
      <c r="W57" s="46">
        <v>-33337.619999999995</v>
      </c>
      <c r="X57" s="46">
        <v>-34636.379999999997</v>
      </c>
      <c r="Y57" s="46">
        <v>-46816.780000000006</v>
      </c>
      <c r="Z57" s="46">
        <v>-74379.199999999997</v>
      </c>
      <c r="AA57" s="46">
        <v>-53026.439999999981</v>
      </c>
      <c r="AB57" s="46">
        <v>-42925.730000000018</v>
      </c>
      <c r="AC57" s="46">
        <v>-42106.7</v>
      </c>
      <c r="AD57" s="46">
        <v>-28791.75</v>
      </c>
      <c r="AE57" s="46">
        <v>-35930.130000000005</v>
      </c>
      <c r="AF57" s="46">
        <v>-41963.429999999993</v>
      </c>
      <c r="AG57" s="46">
        <v>-36995.590000000011</v>
      </c>
      <c r="AH57" s="46">
        <v>-35204.390000000014</v>
      </c>
      <c r="AI57" s="46">
        <v>-30748.660000000003</v>
      </c>
      <c r="AJ57" s="46">
        <v>-34618.68</v>
      </c>
      <c r="AK57" s="46">
        <v>-50285.730000000018</v>
      </c>
      <c r="AL57" s="46">
        <v>-55873.150000000009</v>
      </c>
      <c r="AM57" s="46">
        <v>-60492.490000000013</v>
      </c>
      <c r="AN57" s="46">
        <v>-55114.330000000009</v>
      </c>
      <c r="AO57" s="46">
        <v>-36035.890000000007</v>
      </c>
      <c r="AP57" s="46">
        <v>-27170.160000000003</v>
      </c>
      <c r="AQ57" s="46">
        <v>-31591.290000000005</v>
      </c>
      <c r="AR57" s="46">
        <v>-38703.740000000013</v>
      </c>
      <c r="AS57" s="46">
        <v>-41224.720000000001</v>
      </c>
      <c r="AT57" s="46">
        <v>-37524.06</v>
      </c>
      <c r="AU57" s="46">
        <v>-31789.249999999996</v>
      </c>
      <c r="AV57" s="46">
        <v>-34917.82</v>
      </c>
      <c r="AW57" s="46">
        <v>-48130.950000000004</v>
      </c>
      <c r="AX57" s="46">
        <v>-53162.189999999995</v>
      </c>
      <c r="AY57" s="46">
        <v>-32508.630000000005</v>
      </c>
      <c r="AZ57" s="46">
        <v>-4700.05</v>
      </c>
      <c r="BA57" s="46">
        <v>-3259.1800000000003</v>
      </c>
      <c r="BB57" s="46">
        <v>-2682.7599999999998</v>
      </c>
      <c r="BC57" s="46">
        <v>-3058.82</v>
      </c>
      <c r="BD57" s="46">
        <v>-3921.83</v>
      </c>
      <c r="BE57" s="46">
        <v>-3613.12</v>
      </c>
      <c r="BF57" s="46">
        <v>-3328.0600000000004</v>
      </c>
      <c r="BG57" s="46">
        <v>-2482.1</v>
      </c>
      <c r="BH57" s="46">
        <v>-2937.02</v>
      </c>
      <c r="BI57" s="46">
        <v>-4062.2200000000003</v>
      </c>
      <c r="BJ57" s="46">
        <v>-5469.2800000000007</v>
      </c>
      <c r="BK57" s="46">
        <v>3825.8900000000003</v>
      </c>
      <c r="BL57" s="46">
        <v>11958.71</v>
      </c>
      <c r="BM57" s="46">
        <v>7797.5</v>
      </c>
      <c r="BN57" s="46">
        <v>6812.78</v>
      </c>
      <c r="BO57" s="46">
        <v>7728.46</v>
      </c>
      <c r="BP57" s="46">
        <v>10162.719999999999</v>
      </c>
      <c r="BQ57" s="46">
        <v>10354.620000000001</v>
      </c>
      <c r="BR57" s="46">
        <v>10275.1</v>
      </c>
      <c r="BS57" s="46">
        <v>7262</v>
      </c>
      <c r="BT57" s="46">
        <v>7844.09</v>
      </c>
      <c r="BU57" s="46">
        <v>10087.69</v>
      </c>
      <c r="BV57" s="46">
        <v>12406.73</v>
      </c>
      <c r="BW57" s="46">
        <v>8862.6500000000015</v>
      </c>
      <c r="BX57" s="46">
        <v>487.33999999999992</v>
      </c>
      <c r="BY57" s="46">
        <v>308.75</v>
      </c>
      <c r="BZ57" s="46">
        <v>257.05</v>
      </c>
      <c r="CA57" s="46">
        <v>302.51</v>
      </c>
      <c r="CB57" s="46">
        <v>412.95</v>
      </c>
      <c r="CC57" s="46">
        <v>413.28</v>
      </c>
      <c r="CD57" s="46">
        <v>356.38</v>
      </c>
      <c r="CE57" s="46">
        <v>279.54000000000002</v>
      </c>
      <c r="CF57" s="265">
        <f>'[115]TDR (M2)'!CF36</f>
        <v>378.21554911989864</v>
      </c>
      <c r="CG57" s="265">
        <f>'[115]TDR (M2)'!CG36</f>
        <v>543.5904241821072</v>
      </c>
      <c r="CH57" s="265">
        <f>'[115]TDR (M2)'!CH36</f>
        <v>671.99967443681385</v>
      </c>
      <c r="CI57" s="133"/>
      <c r="CJ57" s="133"/>
      <c r="CK57" s="133"/>
      <c r="CL57" s="133"/>
      <c r="CM57" s="133"/>
      <c r="CN57" s="133"/>
      <c r="CO57" s="133"/>
      <c r="CP57" s="133"/>
      <c r="CQ57" s="133"/>
      <c r="CR57" s="133"/>
      <c r="CS57" s="133"/>
      <c r="CT57" s="133"/>
    </row>
    <row r="58" spans="1:98" x14ac:dyDescent="0.35">
      <c r="B58" s="41"/>
      <c r="C58" s="41"/>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row>
    <row r="59" spans="1:98" x14ac:dyDescent="0.35">
      <c r="A59" s="29" t="s">
        <v>32</v>
      </c>
      <c r="B59" s="41"/>
      <c r="C59" s="41"/>
      <c r="S59" s="90"/>
    </row>
    <row r="60" spans="1:98" x14ac:dyDescent="0.35">
      <c r="A60" s="40" t="s">
        <v>33</v>
      </c>
      <c r="B60" s="41"/>
      <c r="C60" s="41"/>
      <c r="D60" s="87">
        <f t="shared" ref="D60:AI60" si="282">+D23</f>
        <v>993615280</v>
      </c>
      <c r="E60" s="87">
        <f t="shared" si="282"/>
        <v>799965556</v>
      </c>
      <c r="F60" s="87">
        <f t="shared" si="282"/>
        <v>694347365</v>
      </c>
      <c r="G60" s="87">
        <f t="shared" si="282"/>
        <v>1033880199</v>
      </c>
      <c r="H60" s="87">
        <f t="shared" si="282"/>
        <v>1389519683</v>
      </c>
      <c r="I60" s="87">
        <f t="shared" si="282"/>
        <v>1393717014</v>
      </c>
      <c r="J60" s="87">
        <f t="shared" si="282"/>
        <v>1260356462</v>
      </c>
      <c r="K60" s="87">
        <f t="shared" si="282"/>
        <v>898752689</v>
      </c>
      <c r="L60" s="87">
        <f t="shared" si="282"/>
        <v>737254549</v>
      </c>
      <c r="M60" s="87">
        <f t="shared" si="282"/>
        <v>1139687162</v>
      </c>
      <c r="N60" s="87">
        <f t="shared" si="282"/>
        <v>1486587515</v>
      </c>
      <c r="O60" s="87">
        <f t="shared" si="282"/>
        <v>1118519560</v>
      </c>
      <c r="P60" s="87">
        <f t="shared" si="282"/>
        <v>900425374</v>
      </c>
      <c r="Q60" s="87">
        <f t="shared" si="282"/>
        <v>785388980</v>
      </c>
      <c r="R60" s="87">
        <f t="shared" si="282"/>
        <v>745552820</v>
      </c>
      <c r="S60" s="87">
        <f t="shared" si="282"/>
        <v>999249366</v>
      </c>
      <c r="T60" s="87">
        <f t="shared" si="282"/>
        <v>1328710328</v>
      </c>
      <c r="U60" s="87">
        <f t="shared" si="282"/>
        <v>1345571317</v>
      </c>
      <c r="V60" s="87">
        <f t="shared" si="282"/>
        <v>1065182267</v>
      </c>
      <c r="W60" s="87">
        <f t="shared" si="282"/>
        <v>935823271</v>
      </c>
      <c r="X60" s="87">
        <f t="shared" si="282"/>
        <v>821487370</v>
      </c>
      <c r="Y60" s="87">
        <f t="shared" si="282"/>
        <v>1061048123</v>
      </c>
      <c r="Z60" s="87">
        <f t="shared" si="282"/>
        <v>1655009463</v>
      </c>
      <c r="AA60" s="87">
        <f t="shared" si="282"/>
        <v>1329247401</v>
      </c>
      <c r="AB60" s="87">
        <f t="shared" si="282"/>
        <v>1071720684</v>
      </c>
      <c r="AC60" s="87">
        <f t="shared" si="282"/>
        <v>1035354332</v>
      </c>
      <c r="AD60" s="87">
        <f t="shared" si="282"/>
        <v>838111932</v>
      </c>
      <c r="AE60" s="87">
        <f t="shared" si="282"/>
        <v>1238437606</v>
      </c>
      <c r="AF60" s="87">
        <f t="shared" si="282"/>
        <v>1451979984</v>
      </c>
      <c r="AG60" s="87">
        <f t="shared" si="282"/>
        <v>1300666274</v>
      </c>
      <c r="AH60" s="87">
        <f t="shared" si="282"/>
        <v>1250635703</v>
      </c>
      <c r="AI60" s="87">
        <f t="shared" si="282"/>
        <v>971081766</v>
      </c>
      <c r="AJ60" s="87">
        <f t="shared" ref="AJ60:BO60" si="283">+AJ23</f>
        <v>906818656</v>
      </c>
      <c r="AK60" s="87">
        <f t="shared" si="283"/>
        <v>1263779046</v>
      </c>
      <c r="AL60" s="87">
        <f t="shared" si="283"/>
        <v>1395672993</v>
      </c>
      <c r="AM60" s="87">
        <f t="shared" si="283"/>
        <v>1407530571</v>
      </c>
      <c r="AN60" s="87">
        <f t="shared" si="283"/>
        <v>1268128455</v>
      </c>
      <c r="AO60" s="87">
        <f t="shared" si="283"/>
        <v>872933544</v>
      </c>
      <c r="AP60" s="87">
        <f t="shared" si="283"/>
        <v>738196558</v>
      </c>
      <c r="AQ60" s="87">
        <f t="shared" si="283"/>
        <v>978975302</v>
      </c>
      <c r="AR60" s="87">
        <f t="shared" si="283"/>
        <v>1243909773</v>
      </c>
      <c r="AS60" s="87">
        <f t="shared" si="283"/>
        <v>1310015315</v>
      </c>
      <c r="AT60" s="87">
        <f t="shared" si="283"/>
        <v>1208033233</v>
      </c>
      <c r="AU60" s="87">
        <f t="shared" si="283"/>
        <v>993546162</v>
      </c>
      <c r="AV60" s="87">
        <f t="shared" si="283"/>
        <v>897156231</v>
      </c>
      <c r="AW60" s="87">
        <f t="shared" si="283"/>
        <v>1208147189</v>
      </c>
      <c r="AX60" s="87">
        <f t="shared" si="283"/>
        <v>1334184680</v>
      </c>
      <c r="AY60" s="87">
        <f t="shared" si="283"/>
        <v>1302694951</v>
      </c>
      <c r="AZ60" s="87">
        <f t="shared" si="283"/>
        <v>1123586700</v>
      </c>
      <c r="BA60" s="87">
        <f t="shared" si="283"/>
        <v>886578697</v>
      </c>
      <c r="BB60" s="87">
        <f t="shared" si="283"/>
        <v>790098101</v>
      </c>
      <c r="BC60" s="87">
        <f t="shared" si="283"/>
        <v>1041013964</v>
      </c>
      <c r="BD60" s="87">
        <f t="shared" si="283"/>
        <v>1397050553</v>
      </c>
      <c r="BE60" s="87">
        <f t="shared" si="283"/>
        <v>1310723723</v>
      </c>
      <c r="BF60" s="87">
        <f t="shared" si="283"/>
        <v>1275164339</v>
      </c>
      <c r="BG60" s="87">
        <f t="shared" si="283"/>
        <v>800796996</v>
      </c>
      <c r="BH60" s="87">
        <f t="shared" si="283"/>
        <v>856955103</v>
      </c>
      <c r="BI60" s="87">
        <f t="shared" si="283"/>
        <v>1137867523</v>
      </c>
      <c r="BJ60" s="87">
        <f t="shared" si="283"/>
        <v>1482496943</v>
      </c>
      <c r="BK60" s="87">
        <f t="shared" si="283"/>
        <v>1507047480</v>
      </c>
      <c r="BL60" s="87">
        <f t="shared" si="283"/>
        <v>1193201650</v>
      </c>
      <c r="BM60" s="87">
        <f t="shared" si="283"/>
        <v>803567941</v>
      </c>
      <c r="BN60" s="87">
        <f t="shared" si="283"/>
        <v>753161249</v>
      </c>
      <c r="BO60" s="87">
        <f t="shared" si="283"/>
        <v>1061485022</v>
      </c>
      <c r="BP60" s="87">
        <f t="shared" ref="BP60:CT60" si="284">+BP23</f>
        <v>1299384453</v>
      </c>
      <c r="BQ60" s="87">
        <f t="shared" si="284"/>
        <v>1325635096</v>
      </c>
      <c r="BR60" s="87">
        <f t="shared" si="284"/>
        <v>1302322503</v>
      </c>
      <c r="BS60" s="87">
        <f t="shared" si="284"/>
        <v>902367562</v>
      </c>
      <c r="BT60" s="87">
        <f t="shared" si="284"/>
        <v>849229853</v>
      </c>
      <c r="BU60" s="87">
        <f t="shared" si="284"/>
        <v>1063566547</v>
      </c>
      <c r="BV60" s="87">
        <f t="shared" si="284"/>
        <v>1372451320</v>
      </c>
      <c r="BW60" s="87">
        <f t="shared" si="284"/>
        <v>1445914846</v>
      </c>
      <c r="BX60" s="87">
        <f t="shared" si="284"/>
        <v>1156058653</v>
      </c>
      <c r="BY60" s="87">
        <f t="shared" si="284"/>
        <v>900363528</v>
      </c>
      <c r="BZ60" s="87">
        <f t="shared" si="284"/>
        <v>837159184</v>
      </c>
      <c r="CA60" s="87">
        <f t="shared" si="284"/>
        <v>1060197293</v>
      </c>
      <c r="CB60" s="87">
        <f t="shared" si="284"/>
        <v>1457350528</v>
      </c>
      <c r="CC60" s="87">
        <f t="shared" si="284"/>
        <v>1390553772</v>
      </c>
      <c r="CD60" s="87">
        <f t="shared" si="284"/>
        <v>1159635260</v>
      </c>
      <c r="CE60" s="87">
        <f t="shared" si="284"/>
        <v>837049627</v>
      </c>
      <c r="CF60" s="87">
        <f t="shared" si="284"/>
        <v>823809710.89954734</v>
      </c>
      <c r="CG60" s="87">
        <f t="shared" si="284"/>
        <v>1184020781.8935058</v>
      </c>
      <c r="CH60" s="87">
        <f t="shared" si="284"/>
        <v>1463715224.8515413</v>
      </c>
      <c r="CI60" s="87">
        <f t="shared" si="284"/>
        <v>1336664994.0460832</v>
      </c>
      <c r="CJ60" s="87">
        <f t="shared" si="284"/>
        <v>1119079665.4526877</v>
      </c>
      <c r="CK60" s="87">
        <f t="shared" si="284"/>
        <v>861310496.59871697</v>
      </c>
      <c r="CL60" s="87">
        <f t="shared" si="284"/>
        <v>719637418.50404811</v>
      </c>
      <c r="CM60" s="87">
        <f t="shared" si="284"/>
        <v>953087156.89234209</v>
      </c>
      <c r="CN60" s="87">
        <f t="shared" si="284"/>
        <v>1248214161.8172109</v>
      </c>
      <c r="CO60" s="87">
        <f t="shared" si="284"/>
        <v>1255176708.3970134</v>
      </c>
      <c r="CP60" s="87">
        <f t="shared" si="284"/>
        <v>1155438853.4211845</v>
      </c>
      <c r="CQ60" s="87">
        <f t="shared" si="284"/>
        <v>799316341.7253443</v>
      </c>
      <c r="CR60" s="87">
        <f t="shared" si="284"/>
        <v>823435842.64099085</v>
      </c>
      <c r="CS60" s="87">
        <f t="shared" si="284"/>
        <v>1182253404.6712387</v>
      </c>
      <c r="CT60" s="87">
        <f t="shared" si="284"/>
        <v>1463243391.1134698</v>
      </c>
    </row>
    <row r="61" spans="1:98" x14ac:dyDescent="0.35">
      <c r="A61" s="40" t="s">
        <v>34</v>
      </c>
      <c r="B61" s="41"/>
      <c r="C61" s="41"/>
      <c r="D61" s="87">
        <f t="shared" ref="D61:AI61" si="285">+D24</f>
        <v>260227273</v>
      </c>
      <c r="E61" s="87">
        <f t="shared" si="285"/>
        <v>236480663</v>
      </c>
      <c r="F61" s="87">
        <f t="shared" si="285"/>
        <v>226604577</v>
      </c>
      <c r="G61" s="87">
        <f t="shared" si="285"/>
        <v>276800633</v>
      </c>
      <c r="H61" s="87">
        <f t="shared" si="285"/>
        <v>328433342</v>
      </c>
      <c r="I61" s="87">
        <f t="shared" si="285"/>
        <v>327996744</v>
      </c>
      <c r="J61" s="87">
        <f t="shared" si="285"/>
        <v>315410170</v>
      </c>
      <c r="K61" s="87">
        <f t="shared" si="285"/>
        <v>268275261</v>
      </c>
      <c r="L61" s="87">
        <f t="shared" si="285"/>
        <v>238400191</v>
      </c>
      <c r="M61" s="87">
        <f t="shared" si="285"/>
        <v>276639061</v>
      </c>
      <c r="N61" s="87">
        <f t="shared" si="285"/>
        <v>331623730</v>
      </c>
      <c r="O61" s="87">
        <f t="shared" si="285"/>
        <v>274620464</v>
      </c>
      <c r="P61" s="87">
        <f t="shared" si="285"/>
        <v>244043467</v>
      </c>
      <c r="Q61" s="87">
        <f t="shared" si="285"/>
        <v>230986921</v>
      </c>
      <c r="R61" s="87">
        <f t="shared" si="285"/>
        <v>228484392</v>
      </c>
      <c r="S61" s="87">
        <f t="shared" si="285"/>
        <v>271547337</v>
      </c>
      <c r="T61" s="87">
        <f t="shared" si="285"/>
        <v>314773105</v>
      </c>
      <c r="U61" s="87">
        <f t="shared" si="285"/>
        <v>317794583</v>
      </c>
      <c r="V61" s="87">
        <f t="shared" si="285"/>
        <v>284270101</v>
      </c>
      <c r="W61" s="87">
        <f t="shared" si="285"/>
        <v>269129889</v>
      </c>
      <c r="X61" s="87">
        <f t="shared" si="285"/>
        <v>240618906</v>
      </c>
      <c r="Y61" s="87">
        <f t="shared" si="285"/>
        <v>265688240</v>
      </c>
      <c r="Z61" s="87">
        <f t="shared" si="285"/>
        <v>350848362</v>
      </c>
      <c r="AA61" s="87">
        <f t="shared" si="285"/>
        <v>304988610</v>
      </c>
      <c r="AB61" s="87">
        <f t="shared" si="285"/>
        <v>267166722</v>
      </c>
      <c r="AC61" s="87">
        <f t="shared" si="285"/>
        <v>263421812</v>
      </c>
      <c r="AD61" s="87">
        <f t="shared" si="285"/>
        <v>238338730</v>
      </c>
      <c r="AE61" s="87">
        <f t="shared" si="285"/>
        <v>299991891</v>
      </c>
      <c r="AF61" s="87">
        <f t="shared" si="285"/>
        <v>330814291</v>
      </c>
      <c r="AG61" s="87">
        <f t="shared" si="285"/>
        <v>309298324</v>
      </c>
      <c r="AH61" s="87">
        <f t="shared" si="285"/>
        <v>303923884</v>
      </c>
      <c r="AI61" s="87">
        <f t="shared" si="285"/>
        <v>267631865</v>
      </c>
      <c r="AJ61" s="87">
        <f t="shared" ref="AJ61:BO61" si="286">+AJ24</f>
        <v>241319654</v>
      </c>
      <c r="AK61" s="87">
        <f t="shared" si="286"/>
        <v>291652347</v>
      </c>
      <c r="AL61" s="87">
        <f t="shared" si="286"/>
        <v>307968093</v>
      </c>
      <c r="AM61" s="87">
        <f t="shared" si="286"/>
        <v>308068267</v>
      </c>
      <c r="AN61" s="87">
        <f t="shared" si="286"/>
        <v>290178959</v>
      </c>
      <c r="AO61" s="87">
        <f t="shared" si="286"/>
        <v>235096003</v>
      </c>
      <c r="AP61" s="87">
        <f t="shared" si="286"/>
        <v>221772499</v>
      </c>
      <c r="AQ61" s="87">
        <f t="shared" si="286"/>
        <v>258735845</v>
      </c>
      <c r="AR61" s="87">
        <f t="shared" si="286"/>
        <v>295975497</v>
      </c>
      <c r="AS61" s="87">
        <f t="shared" si="286"/>
        <v>304175879</v>
      </c>
      <c r="AT61" s="87">
        <f t="shared" si="286"/>
        <v>293549572</v>
      </c>
      <c r="AU61" s="87">
        <f t="shared" si="286"/>
        <v>264736629</v>
      </c>
      <c r="AV61" s="87">
        <f t="shared" si="286"/>
        <v>237145043</v>
      </c>
      <c r="AW61" s="87">
        <f t="shared" si="286"/>
        <v>278572550</v>
      </c>
      <c r="AX61" s="87">
        <f t="shared" si="286"/>
        <v>297050898</v>
      </c>
      <c r="AY61" s="87">
        <f t="shared" si="286"/>
        <v>290934660</v>
      </c>
      <c r="AZ61" s="87">
        <f t="shared" si="286"/>
        <v>265078600</v>
      </c>
      <c r="BA61" s="87">
        <f t="shared" si="286"/>
        <v>203506574</v>
      </c>
      <c r="BB61" s="87">
        <f t="shared" si="286"/>
        <v>184563246</v>
      </c>
      <c r="BC61" s="87">
        <f t="shared" si="286"/>
        <v>231230759</v>
      </c>
      <c r="BD61" s="87">
        <f t="shared" si="286"/>
        <v>288425422</v>
      </c>
      <c r="BE61" s="87">
        <f t="shared" si="286"/>
        <v>281389691</v>
      </c>
      <c r="BF61" s="87">
        <f t="shared" si="286"/>
        <v>269111017</v>
      </c>
      <c r="BG61" s="87">
        <f t="shared" si="286"/>
        <v>218212399</v>
      </c>
      <c r="BH61" s="87">
        <f t="shared" si="286"/>
        <v>218068919</v>
      </c>
      <c r="BI61" s="87">
        <f t="shared" si="286"/>
        <v>251883126</v>
      </c>
      <c r="BJ61" s="87">
        <f t="shared" si="286"/>
        <v>300425840</v>
      </c>
      <c r="BK61" s="87">
        <f t="shared" si="286"/>
        <v>303577891</v>
      </c>
      <c r="BL61" s="87">
        <f t="shared" si="286"/>
        <v>265359424</v>
      </c>
      <c r="BM61" s="87">
        <f t="shared" si="286"/>
        <v>211100441</v>
      </c>
      <c r="BN61" s="87">
        <f t="shared" si="286"/>
        <v>205986967</v>
      </c>
      <c r="BO61" s="87">
        <f t="shared" si="286"/>
        <v>264522271</v>
      </c>
      <c r="BP61" s="87">
        <f t="shared" ref="BP61:CT61" si="287">+BP24</f>
        <v>291815734</v>
      </c>
      <c r="BQ61" s="87">
        <f t="shared" si="287"/>
        <v>291413887</v>
      </c>
      <c r="BR61" s="87">
        <f t="shared" si="287"/>
        <v>294374400</v>
      </c>
      <c r="BS61" s="87">
        <f t="shared" si="287"/>
        <v>245524134</v>
      </c>
      <c r="BT61" s="87">
        <f t="shared" si="287"/>
        <v>219607166</v>
      </c>
      <c r="BU61" s="87">
        <f t="shared" si="287"/>
        <v>250466096</v>
      </c>
      <c r="BV61" s="87">
        <f t="shared" si="287"/>
        <v>295383726</v>
      </c>
      <c r="BW61" s="87">
        <f t="shared" si="287"/>
        <v>301077290</v>
      </c>
      <c r="BX61" s="87">
        <f t="shared" si="287"/>
        <v>261058604</v>
      </c>
      <c r="BY61" s="87">
        <f t="shared" si="287"/>
        <v>230949228</v>
      </c>
      <c r="BZ61" s="87">
        <f t="shared" si="287"/>
        <v>223998788</v>
      </c>
      <c r="CA61" s="87">
        <f t="shared" si="287"/>
        <v>260692423</v>
      </c>
      <c r="CB61" s="87">
        <f t="shared" si="287"/>
        <v>312328749</v>
      </c>
      <c r="CC61" s="87">
        <f t="shared" si="287"/>
        <v>305346654</v>
      </c>
      <c r="CD61" s="87">
        <f t="shared" si="287"/>
        <v>279929276</v>
      </c>
      <c r="CE61" s="87">
        <f t="shared" si="287"/>
        <v>230143220</v>
      </c>
      <c r="CF61" s="87">
        <f t="shared" si="287"/>
        <v>214006590.80418369</v>
      </c>
      <c r="CG61" s="87">
        <f t="shared" si="287"/>
        <v>259208399.28055152</v>
      </c>
      <c r="CH61" s="87">
        <f t="shared" si="287"/>
        <v>305953434.20188934</v>
      </c>
      <c r="CI61" s="87">
        <f t="shared" si="287"/>
        <v>280856418.68896633</v>
      </c>
      <c r="CJ61" s="87">
        <f t="shared" si="287"/>
        <v>244645940.36085454</v>
      </c>
      <c r="CK61" s="87">
        <f t="shared" si="287"/>
        <v>211287471.96717843</v>
      </c>
      <c r="CL61" s="87">
        <f t="shared" si="287"/>
        <v>203754783.1300754</v>
      </c>
      <c r="CM61" s="87">
        <f t="shared" si="287"/>
        <v>248296251.07174692</v>
      </c>
      <c r="CN61" s="87">
        <f t="shared" si="287"/>
        <v>276440786.4582572</v>
      </c>
      <c r="CO61" s="87">
        <f t="shared" si="287"/>
        <v>276703179.2840662</v>
      </c>
      <c r="CP61" s="87">
        <f t="shared" si="287"/>
        <v>268461515.94519675</v>
      </c>
      <c r="CQ61" s="87">
        <f t="shared" si="287"/>
        <v>222468642.64741558</v>
      </c>
      <c r="CR61" s="87">
        <f t="shared" si="287"/>
        <v>214037969.80153504</v>
      </c>
      <c r="CS61" s="87">
        <f t="shared" si="287"/>
        <v>259388443.35974792</v>
      </c>
      <c r="CT61" s="87">
        <f t="shared" si="287"/>
        <v>309078989.07965964</v>
      </c>
    </row>
    <row r="62" spans="1:98" x14ac:dyDescent="0.35">
      <c r="A62" s="40" t="s">
        <v>35</v>
      </c>
      <c r="B62" s="41"/>
      <c r="C62" s="41"/>
      <c r="D62" s="87">
        <f t="shared" ref="D62:AI62" si="288">+D25</f>
        <v>596370095</v>
      </c>
      <c r="E62" s="87">
        <f t="shared" si="288"/>
        <v>585567373</v>
      </c>
      <c r="F62" s="87">
        <f t="shared" si="288"/>
        <v>584363020</v>
      </c>
      <c r="G62" s="87">
        <f t="shared" si="288"/>
        <v>661650596</v>
      </c>
      <c r="H62" s="87">
        <f t="shared" si="288"/>
        <v>744450846</v>
      </c>
      <c r="I62" s="87">
        <f t="shared" si="288"/>
        <v>746230356</v>
      </c>
      <c r="J62" s="87">
        <f t="shared" si="288"/>
        <v>749176357</v>
      </c>
      <c r="K62" s="87">
        <f t="shared" si="288"/>
        <v>659221190</v>
      </c>
      <c r="L62" s="87">
        <f t="shared" si="288"/>
        <v>600231827</v>
      </c>
      <c r="M62" s="87">
        <f t="shared" si="288"/>
        <v>624953134</v>
      </c>
      <c r="N62" s="87">
        <f t="shared" si="288"/>
        <v>693030252</v>
      </c>
      <c r="O62" s="87">
        <f t="shared" si="288"/>
        <v>607344097</v>
      </c>
      <c r="P62" s="87">
        <f t="shared" si="288"/>
        <v>572358448</v>
      </c>
      <c r="Q62" s="87">
        <f t="shared" si="288"/>
        <v>562854773</v>
      </c>
      <c r="R62" s="87">
        <f t="shared" si="288"/>
        <v>578075204</v>
      </c>
      <c r="S62" s="87">
        <f t="shared" si="288"/>
        <v>655641906</v>
      </c>
      <c r="T62" s="87">
        <f t="shared" si="288"/>
        <v>714056556</v>
      </c>
      <c r="U62" s="87">
        <f t="shared" si="288"/>
        <v>727381902</v>
      </c>
      <c r="V62" s="87">
        <f t="shared" si="288"/>
        <v>685704779</v>
      </c>
      <c r="W62" s="87">
        <f t="shared" si="288"/>
        <v>658415575</v>
      </c>
      <c r="X62" s="87">
        <f t="shared" si="288"/>
        <v>591258230</v>
      </c>
      <c r="Y62" s="87">
        <f t="shared" si="288"/>
        <v>617045102</v>
      </c>
      <c r="Z62" s="87">
        <f t="shared" si="288"/>
        <v>713223360</v>
      </c>
      <c r="AA62" s="87">
        <f t="shared" si="288"/>
        <v>637748229</v>
      </c>
      <c r="AB62" s="87">
        <f t="shared" si="288"/>
        <v>591995322</v>
      </c>
      <c r="AC62" s="87">
        <f t="shared" si="288"/>
        <v>597309651</v>
      </c>
      <c r="AD62" s="87">
        <f t="shared" si="288"/>
        <v>591787732</v>
      </c>
      <c r="AE62" s="87">
        <f t="shared" si="288"/>
        <v>706111391</v>
      </c>
      <c r="AF62" s="87">
        <f t="shared" si="288"/>
        <v>750019857</v>
      </c>
      <c r="AG62" s="87">
        <f t="shared" si="288"/>
        <v>709167976</v>
      </c>
      <c r="AH62" s="87">
        <f t="shared" si="288"/>
        <v>721543630</v>
      </c>
      <c r="AI62" s="87">
        <f t="shared" si="288"/>
        <v>655717182</v>
      </c>
      <c r="AJ62" s="87">
        <f t="shared" ref="AJ62:BO62" si="289">+AJ25</f>
        <v>583325592</v>
      </c>
      <c r="AK62" s="87">
        <f t="shared" si="289"/>
        <v>635010680</v>
      </c>
      <c r="AL62" s="87">
        <f t="shared" si="289"/>
        <v>645753087</v>
      </c>
      <c r="AM62" s="87">
        <f t="shared" si="289"/>
        <v>624256369</v>
      </c>
      <c r="AN62" s="87">
        <f t="shared" si="289"/>
        <v>599641261</v>
      </c>
      <c r="AO62" s="87">
        <f t="shared" si="289"/>
        <v>546450417</v>
      </c>
      <c r="AP62" s="87">
        <f t="shared" si="289"/>
        <v>548775486</v>
      </c>
      <c r="AQ62" s="87">
        <f t="shared" si="289"/>
        <v>609609142</v>
      </c>
      <c r="AR62" s="87">
        <f t="shared" si="289"/>
        <v>656813642</v>
      </c>
      <c r="AS62" s="87">
        <f t="shared" si="289"/>
        <v>671886437</v>
      </c>
      <c r="AT62" s="87">
        <f t="shared" si="289"/>
        <v>678219627</v>
      </c>
      <c r="AU62" s="87">
        <f t="shared" si="289"/>
        <v>622550219</v>
      </c>
      <c r="AV62" s="87">
        <f t="shared" si="289"/>
        <v>549600433</v>
      </c>
      <c r="AW62" s="87">
        <f t="shared" si="289"/>
        <v>596432225</v>
      </c>
      <c r="AX62" s="87">
        <f t="shared" si="289"/>
        <v>616923082</v>
      </c>
      <c r="AY62" s="87">
        <f t="shared" si="289"/>
        <v>599527620</v>
      </c>
      <c r="AZ62" s="87">
        <f t="shared" si="289"/>
        <v>566693954</v>
      </c>
      <c r="BA62" s="87">
        <f t="shared" si="289"/>
        <v>483801855</v>
      </c>
      <c r="BB62" s="87">
        <f t="shared" si="289"/>
        <v>451939609</v>
      </c>
      <c r="BC62" s="87">
        <f t="shared" si="289"/>
        <v>534583835</v>
      </c>
      <c r="BD62" s="87">
        <f t="shared" si="289"/>
        <v>624356693</v>
      </c>
      <c r="BE62" s="87">
        <f t="shared" si="289"/>
        <v>621885740</v>
      </c>
      <c r="BF62" s="87">
        <f t="shared" si="289"/>
        <v>619148163</v>
      </c>
      <c r="BG62" s="87">
        <f t="shared" si="289"/>
        <v>528448107.69999999</v>
      </c>
      <c r="BH62" s="87">
        <f t="shared" si="289"/>
        <v>514648084</v>
      </c>
      <c r="BI62" s="87">
        <f t="shared" si="289"/>
        <v>553120787</v>
      </c>
      <c r="BJ62" s="87">
        <f t="shared" si="289"/>
        <v>592823385</v>
      </c>
      <c r="BK62" s="87">
        <f t="shared" si="289"/>
        <v>585712392</v>
      </c>
      <c r="BL62" s="87">
        <f t="shared" si="289"/>
        <v>543642088</v>
      </c>
      <c r="BM62" s="87">
        <f t="shared" si="289"/>
        <v>483262229</v>
      </c>
      <c r="BN62" s="87">
        <f t="shared" si="289"/>
        <v>492375125.19999999</v>
      </c>
      <c r="BO62" s="87">
        <f t="shared" si="289"/>
        <v>586671915</v>
      </c>
      <c r="BP62" s="87">
        <f t="shared" ref="BP62:CT62" si="290">+BP25</f>
        <v>641235470</v>
      </c>
      <c r="BQ62" s="87">
        <f t="shared" si="290"/>
        <v>634777638</v>
      </c>
      <c r="BR62" s="87">
        <f t="shared" si="290"/>
        <v>647017474</v>
      </c>
      <c r="BS62" s="87">
        <f t="shared" si="290"/>
        <v>568724491</v>
      </c>
      <c r="BT62" s="87">
        <f t="shared" si="290"/>
        <v>505304455</v>
      </c>
      <c r="BU62" s="87">
        <f t="shared" si="290"/>
        <v>555282313.60000002</v>
      </c>
      <c r="BV62" s="87">
        <f t="shared" si="290"/>
        <v>590675076</v>
      </c>
      <c r="BW62" s="87">
        <f t="shared" si="290"/>
        <v>582248455</v>
      </c>
      <c r="BX62" s="87">
        <f t="shared" si="290"/>
        <v>534070902</v>
      </c>
      <c r="BY62" s="87">
        <f t="shared" si="290"/>
        <v>506459043</v>
      </c>
      <c r="BZ62" s="87">
        <f t="shared" si="290"/>
        <v>516003997</v>
      </c>
      <c r="CA62" s="87">
        <f t="shared" si="290"/>
        <v>579943536</v>
      </c>
      <c r="CB62" s="87">
        <f t="shared" si="290"/>
        <v>650768443</v>
      </c>
      <c r="CC62" s="87">
        <f t="shared" si="290"/>
        <v>645110540</v>
      </c>
      <c r="CD62" s="87">
        <f t="shared" si="290"/>
        <v>617464584</v>
      </c>
      <c r="CE62" s="87">
        <f t="shared" si="290"/>
        <v>530232061</v>
      </c>
      <c r="CF62" s="87">
        <f t="shared" si="290"/>
        <v>504852117.67261267</v>
      </c>
      <c r="CG62" s="87">
        <f t="shared" si="290"/>
        <v>560359725.04073942</v>
      </c>
      <c r="CH62" s="87">
        <f t="shared" si="290"/>
        <v>613374545.87154281</v>
      </c>
      <c r="CI62" s="87">
        <f t="shared" si="290"/>
        <v>563003155.08682692</v>
      </c>
      <c r="CJ62" s="87">
        <f t="shared" si="290"/>
        <v>525777849.44958454</v>
      </c>
      <c r="CK62" s="87">
        <f t="shared" si="290"/>
        <v>500829507.5393312</v>
      </c>
      <c r="CL62" s="87">
        <f t="shared" si="290"/>
        <v>504013757.42662746</v>
      </c>
      <c r="CM62" s="87">
        <f t="shared" si="290"/>
        <v>561164365.77195811</v>
      </c>
      <c r="CN62" s="87">
        <f t="shared" si="290"/>
        <v>614242841.92436695</v>
      </c>
      <c r="CO62" s="87">
        <f t="shared" si="290"/>
        <v>612510395.20461011</v>
      </c>
      <c r="CP62" s="87">
        <f t="shared" si="290"/>
        <v>609064939.63719511</v>
      </c>
      <c r="CQ62" s="87">
        <f t="shared" si="290"/>
        <v>542930139.38885951</v>
      </c>
      <c r="CR62" s="87">
        <f t="shared" si="290"/>
        <v>505332973.16220433</v>
      </c>
      <c r="CS62" s="87">
        <f t="shared" si="290"/>
        <v>552569144.60818577</v>
      </c>
      <c r="CT62" s="87">
        <f t="shared" si="290"/>
        <v>619327366.38035524</v>
      </c>
    </row>
    <row r="63" spans="1:98" x14ac:dyDescent="0.35">
      <c r="A63" s="40" t="s">
        <v>36</v>
      </c>
      <c r="B63" s="41"/>
      <c r="C63" s="41"/>
      <c r="D63" s="87">
        <f t="shared" ref="D63:AI63" si="291">+D26</f>
        <v>247441789</v>
      </c>
      <c r="E63" s="87">
        <f t="shared" si="291"/>
        <v>263524459</v>
      </c>
      <c r="F63" s="87">
        <f t="shared" si="291"/>
        <v>273810149</v>
      </c>
      <c r="G63" s="87">
        <f t="shared" si="291"/>
        <v>281099842</v>
      </c>
      <c r="H63" s="87">
        <f t="shared" si="291"/>
        <v>312186695</v>
      </c>
      <c r="I63" s="87">
        <f t="shared" si="291"/>
        <v>304162315</v>
      </c>
      <c r="J63" s="87">
        <f t="shared" si="291"/>
        <v>330143172</v>
      </c>
      <c r="K63" s="87">
        <f t="shared" si="291"/>
        <v>280092260</v>
      </c>
      <c r="L63" s="87">
        <f t="shared" si="291"/>
        <v>268855946</v>
      </c>
      <c r="M63" s="87">
        <f t="shared" si="291"/>
        <v>269553572</v>
      </c>
      <c r="N63" s="87">
        <f t="shared" si="291"/>
        <v>287482958</v>
      </c>
      <c r="O63" s="87">
        <f t="shared" si="291"/>
        <v>284042474</v>
      </c>
      <c r="P63" s="87">
        <f t="shared" si="291"/>
        <v>243773343</v>
      </c>
      <c r="Q63" s="87">
        <f t="shared" si="291"/>
        <v>262317859</v>
      </c>
      <c r="R63" s="87">
        <f t="shared" si="291"/>
        <v>265729533</v>
      </c>
      <c r="S63" s="87">
        <f t="shared" si="291"/>
        <v>305383990</v>
      </c>
      <c r="T63" s="87">
        <f t="shared" si="291"/>
        <v>299141306</v>
      </c>
      <c r="U63" s="87">
        <f t="shared" si="291"/>
        <v>315582091</v>
      </c>
      <c r="V63" s="87">
        <f t="shared" si="291"/>
        <v>303646750</v>
      </c>
      <c r="W63" s="87">
        <f t="shared" si="291"/>
        <v>297206861</v>
      </c>
      <c r="X63" s="87">
        <f t="shared" si="291"/>
        <v>267769856</v>
      </c>
      <c r="Y63" s="87">
        <f t="shared" si="291"/>
        <v>280403761</v>
      </c>
      <c r="Z63" s="87">
        <f t="shared" si="291"/>
        <v>308993823</v>
      </c>
      <c r="AA63" s="87">
        <f t="shared" si="291"/>
        <v>274104685</v>
      </c>
      <c r="AB63" s="87">
        <f t="shared" si="291"/>
        <v>272372147</v>
      </c>
      <c r="AC63" s="87">
        <f t="shared" si="291"/>
        <v>251417733</v>
      </c>
      <c r="AD63" s="87">
        <f t="shared" si="291"/>
        <v>289575324</v>
      </c>
      <c r="AE63" s="87">
        <f t="shared" si="291"/>
        <v>314032531</v>
      </c>
      <c r="AF63" s="87">
        <f t="shared" si="291"/>
        <v>325203026</v>
      </c>
      <c r="AG63" s="87">
        <f t="shared" si="291"/>
        <v>319660753</v>
      </c>
      <c r="AH63" s="87">
        <f t="shared" si="291"/>
        <v>311095874</v>
      </c>
      <c r="AI63" s="87">
        <f t="shared" si="291"/>
        <v>289535965</v>
      </c>
      <c r="AJ63" s="87">
        <f t="shared" ref="AJ63:BO63" si="292">+AJ26</f>
        <v>271491896</v>
      </c>
      <c r="AK63" s="87">
        <f t="shared" si="292"/>
        <v>291933586</v>
      </c>
      <c r="AL63" s="87">
        <f t="shared" si="292"/>
        <v>252980562</v>
      </c>
      <c r="AM63" s="87">
        <f t="shared" si="292"/>
        <v>248710812</v>
      </c>
      <c r="AN63" s="87">
        <f t="shared" si="292"/>
        <v>242499726</v>
      </c>
      <c r="AO63" s="87">
        <f t="shared" si="292"/>
        <v>232539680</v>
      </c>
      <c r="AP63" s="87">
        <f t="shared" si="292"/>
        <v>229224298</v>
      </c>
      <c r="AQ63" s="87">
        <f t="shared" si="292"/>
        <v>266349220</v>
      </c>
      <c r="AR63" s="87">
        <f t="shared" si="292"/>
        <v>267674678</v>
      </c>
      <c r="AS63" s="87">
        <f t="shared" si="292"/>
        <v>281003685</v>
      </c>
      <c r="AT63" s="87">
        <f t="shared" si="292"/>
        <v>279302255</v>
      </c>
      <c r="AU63" s="87">
        <f t="shared" si="292"/>
        <v>258807768</v>
      </c>
      <c r="AV63" s="87">
        <f t="shared" si="292"/>
        <v>239334214</v>
      </c>
      <c r="AW63" s="87">
        <f t="shared" si="292"/>
        <v>241025466</v>
      </c>
      <c r="AX63" s="87">
        <f t="shared" si="292"/>
        <v>247898204</v>
      </c>
      <c r="AY63" s="87">
        <f t="shared" si="292"/>
        <v>255420215</v>
      </c>
      <c r="AZ63" s="87">
        <f t="shared" si="292"/>
        <v>225135566</v>
      </c>
      <c r="BA63" s="87">
        <f t="shared" si="292"/>
        <v>219961316</v>
      </c>
      <c r="BB63" s="87">
        <f t="shared" si="292"/>
        <v>207074154</v>
      </c>
      <c r="BC63" s="87">
        <f t="shared" si="292"/>
        <v>241165089</v>
      </c>
      <c r="BD63" s="87">
        <f t="shared" si="292"/>
        <v>253833450</v>
      </c>
      <c r="BE63" s="87">
        <f t="shared" si="292"/>
        <v>266058831</v>
      </c>
      <c r="BF63" s="87">
        <f t="shared" si="292"/>
        <v>266126792</v>
      </c>
      <c r="BG63" s="87">
        <f t="shared" si="292"/>
        <v>236673642.40000001</v>
      </c>
      <c r="BH63" s="87">
        <f t="shared" si="292"/>
        <v>234876378</v>
      </c>
      <c r="BI63" s="87">
        <f t="shared" si="292"/>
        <v>245759481</v>
      </c>
      <c r="BJ63" s="87">
        <f t="shared" si="292"/>
        <v>241302585</v>
      </c>
      <c r="BK63" s="87">
        <f t="shared" si="292"/>
        <v>254211213</v>
      </c>
      <c r="BL63" s="87">
        <f t="shared" si="292"/>
        <v>216207694</v>
      </c>
      <c r="BM63" s="87">
        <f t="shared" si="292"/>
        <v>214809052</v>
      </c>
      <c r="BN63" s="87">
        <f t="shared" si="292"/>
        <v>221576502.5</v>
      </c>
      <c r="BO63" s="87">
        <f t="shared" si="292"/>
        <v>232417188</v>
      </c>
      <c r="BP63" s="87">
        <f t="shared" ref="BP63:CT63" si="293">+BP26</f>
        <v>286577542</v>
      </c>
      <c r="BQ63" s="87">
        <f t="shared" si="293"/>
        <v>263115351</v>
      </c>
      <c r="BR63" s="87">
        <f t="shared" si="293"/>
        <v>266455046</v>
      </c>
      <c r="BS63" s="87">
        <f t="shared" si="293"/>
        <v>230080105</v>
      </c>
      <c r="BT63" s="87">
        <f t="shared" si="293"/>
        <v>200697530</v>
      </c>
      <c r="BU63" s="87">
        <f t="shared" si="293"/>
        <v>269908616.5</v>
      </c>
      <c r="BV63" s="87">
        <f t="shared" si="293"/>
        <v>254759231</v>
      </c>
      <c r="BW63" s="87">
        <f t="shared" si="293"/>
        <v>236605471</v>
      </c>
      <c r="BX63" s="87">
        <f t="shared" si="293"/>
        <v>220600472</v>
      </c>
      <c r="BY63" s="87">
        <f t="shared" si="293"/>
        <v>227017145</v>
      </c>
      <c r="BZ63" s="87">
        <f t="shared" si="293"/>
        <v>225997805</v>
      </c>
      <c r="CA63" s="87">
        <f t="shared" si="293"/>
        <v>251076328</v>
      </c>
      <c r="CB63" s="87">
        <f t="shared" si="293"/>
        <v>267504084</v>
      </c>
      <c r="CC63" s="87">
        <f t="shared" si="293"/>
        <v>272015339</v>
      </c>
      <c r="CD63" s="87">
        <f t="shared" si="293"/>
        <v>258297228</v>
      </c>
      <c r="CE63" s="87">
        <f t="shared" si="293"/>
        <v>229178636</v>
      </c>
      <c r="CF63" s="87">
        <f t="shared" si="293"/>
        <v>223136740.16275239</v>
      </c>
      <c r="CG63" s="87">
        <f t="shared" si="293"/>
        <v>232535693.78009516</v>
      </c>
      <c r="CH63" s="87">
        <f t="shared" si="293"/>
        <v>241558091.74347511</v>
      </c>
      <c r="CI63" s="87">
        <f t="shared" si="293"/>
        <v>223273876.06086823</v>
      </c>
      <c r="CJ63" s="87">
        <f t="shared" si="293"/>
        <v>219930504.46499082</v>
      </c>
      <c r="CK63" s="87">
        <f t="shared" si="293"/>
        <v>219972621.34758601</v>
      </c>
      <c r="CL63" s="87">
        <f t="shared" si="293"/>
        <v>222450916.65547773</v>
      </c>
      <c r="CM63" s="87">
        <f t="shared" si="293"/>
        <v>242282151.68348587</v>
      </c>
      <c r="CN63" s="87">
        <f t="shared" si="293"/>
        <v>250975463.49602565</v>
      </c>
      <c r="CO63" s="87">
        <f t="shared" si="293"/>
        <v>250580809.74395686</v>
      </c>
      <c r="CP63" s="87">
        <f t="shared" si="293"/>
        <v>252332508.81780612</v>
      </c>
      <c r="CQ63" s="87">
        <f t="shared" si="293"/>
        <v>232854682.76037392</v>
      </c>
      <c r="CR63" s="87">
        <f t="shared" si="293"/>
        <v>221336739.48931596</v>
      </c>
      <c r="CS63" s="87">
        <f t="shared" si="293"/>
        <v>230201207.14389151</v>
      </c>
      <c r="CT63" s="87">
        <f t="shared" si="293"/>
        <v>241935503.49668512</v>
      </c>
    </row>
    <row r="64" spans="1:98" x14ac:dyDescent="0.35">
      <c r="A64" s="40" t="s">
        <v>37</v>
      </c>
      <c r="B64" s="41"/>
      <c r="C64" s="41"/>
      <c r="D64" s="87">
        <f t="shared" ref="D64:AI64" si="294">+D27</f>
        <v>127273740</v>
      </c>
      <c r="E64" s="87">
        <f t="shared" si="294"/>
        <v>133415922</v>
      </c>
      <c r="F64" s="87">
        <f t="shared" si="294"/>
        <v>133920097</v>
      </c>
      <c r="G64" s="87">
        <f t="shared" si="294"/>
        <v>151320401</v>
      </c>
      <c r="H64" s="87">
        <f t="shared" si="294"/>
        <v>158812387</v>
      </c>
      <c r="I64" s="87">
        <f t="shared" si="294"/>
        <v>160367769</v>
      </c>
      <c r="J64" s="87">
        <f t="shared" si="294"/>
        <v>176194341</v>
      </c>
      <c r="K64" s="87">
        <f t="shared" si="294"/>
        <v>154604539</v>
      </c>
      <c r="L64" s="87">
        <f t="shared" si="294"/>
        <v>142536252</v>
      </c>
      <c r="M64" s="87">
        <f t="shared" si="294"/>
        <v>134004611</v>
      </c>
      <c r="N64" s="87">
        <f t="shared" si="294"/>
        <v>132646039</v>
      </c>
      <c r="O64" s="87">
        <f t="shared" si="294"/>
        <v>136324918</v>
      </c>
      <c r="P64" s="87">
        <f t="shared" si="294"/>
        <v>118000396</v>
      </c>
      <c r="Q64" s="87">
        <f t="shared" si="294"/>
        <v>130771713</v>
      </c>
      <c r="R64" s="87">
        <f t="shared" si="294"/>
        <v>133006544</v>
      </c>
      <c r="S64" s="87">
        <f t="shared" si="294"/>
        <v>158813593</v>
      </c>
      <c r="T64" s="87">
        <f t="shared" si="294"/>
        <v>150211763</v>
      </c>
      <c r="U64" s="87">
        <f t="shared" si="294"/>
        <v>166478792</v>
      </c>
      <c r="V64" s="87">
        <f t="shared" si="294"/>
        <v>158634223</v>
      </c>
      <c r="W64" s="87">
        <f t="shared" si="294"/>
        <v>151247524</v>
      </c>
      <c r="X64" s="87">
        <f t="shared" si="294"/>
        <v>147830606</v>
      </c>
      <c r="Y64" s="87">
        <f t="shared" si="294"/>
        <v>132139915</v>
      </c>
      <c r="Z64" s="87">
        <f t="shared" si="294"/>
        <v>134787267</v>
      </c>
      <c r="AA64" s="87">
        <f t="shared" si="294"/>
        <v>125603697</v>
      </c>
      <c r="AB64" s="87">
        <f t="shared" si="294"/>
        <v>125857767</v>
      </c>
      <c r="AC64" s="87">
        <f t="shared" si="294"/>
        <v>119174583</v>
      </c>
      <c r="AD64" s="87">
        <f t="shared" si="294"/>
        <v>136766539</v>
      </c>
      <c r="AE64" s="87">
        <f t="shared" si="294"/>
        <v>151258088</v>
      </c>
      <c r="AF64" s="87">
        <f t="shared" si="294"/>
        <v>155948179</v>
      </c>
      <c r="AG64" s="87">
        <f t="shared" si="294"/>
        <v>160224923</v>
      </c>
      <c r="AH64" s="87">
        <f t="shared" si="294"/>
        <v>150480926</v>
      </c>
      <c r="AI64" s="87">
        <f t="shared" si="294"/>
        <v>148580162</v>
      </c>
      <c r="AJ64" s="87">
        <f t="shared" ref="AJ64:BO64" si="295">+AJ27</f>
        <v>139627995</v>
      </c>
      <c r="AK64" s="87">
        <f t="shared" si="295"/>
        <v>135972391</v>
      </c>
      <c r="AL64" s="87">
        <f t="shared" si="295"/>
        <v>101960146</v>
      </c>
      <c r="AM64" s="87">
        <f t="shared" si="295"/>
        <v>96075286</v>
      </c>
      <c r="AN64" s="87">
        <f t="shared" si="295"/>
        <v>99309923</v>
      </c>
      <c r="AO64" s="87">
        <f t="shared" si="295"/>
        <v>98876748</v>
      </c>
      <c r="AP64" s="87">
        <f t="shared" si="295"/>
        <v>96480454</v>
      </c>
      <c r="AQ64" s="87">
        <f t="shared" si="295"/>
        <v>121526151</v>
      </c>
      <c r="AR64" s="87">
        <f t="shared" si="295"/>
        <v>113123855</v>
      </c>
      <c r="AS64" s="87">
        <f t="shared" si="295"/>
        <v>125262874</v>
      </c>
      <c r="AT64" s="87">
        <f t="shared" si="295"/>
        <v>126945040</v>
      </c>
      <c r="AU64" s="87">
        <f t="shared" si="295"/>
        <v>119752379</v>
      </c>
      <c r="AV64" s="87">
        <f t="shared" si="295"/>
        <v>106348532</v>
      </c>
      <c r="AW64" s="87">
        <f t="shared" si="295"/>
        <v>100067076</v>
      </c>
      <c r="AX64" s="87">
        <f t="shared" si="295"/>
        <v>105899561</v>
      </c>
      <c r="AY64" s="87">
        <f t="shared" si="295"/>
        <v>111203176</v>
      </c>
      <c r="AZ64" s="87">
        <f t="shared" si="295"/>
        <v>86704807</v>
      </c>
      <c r="BA64" s="87">
        <f t="shared" si="295"/>
        <v>92097434</v>
      </c>
      <c r="BB64" s="87">
        <f t="shared" si="295"/>
        <v>93506334</v>
      </c>
      <c r="BC64" s="87">
        <f t="shared" si="295"/>
        <v>92139707</v>
      </c>
      <c r="BD64" s="87">
        <f t="shared" si="295"/>
        <v>105110654</v>
      </c>
      <c r="BE64" s="87">
        <f t="shared" si="295"/>
        <v>108265948</v>
      </c>
      <c r="BF64" s="87">
        <f t="shared" si="295"/>
        <v>109806573</v>
      </c>
      <c r="BG64" s="87">
        <f t="shared" si="295"/>
        <v>96724322.099999994</v>
      </c>
      <c r="BH64" s="87">
        <f t="shared" si="295"/>
        <v>94866307</v>
      </c>
      <c r="BI64" s="87">
        <f t="shared" si="295"/>
        <v>96874394</v>
      </c>
      <c r="BJ64" s="87">
        <f t="shared" si="295"/>
        <v>84244327</v>
      </c>
      <c r="BK64" s="87">
        <f t="shared" si="295"/>
        <v>112346620</v>
      </c>
      <c r="BL64" s="87">
        <f t="shared" si="295"/>
        <v>50801494</v>
      </c>
      <c r="BM64" s="87">
        <f t="shared" si="295"/>
        <v>85186767</v>
      </c>
      <c r="BN64" s="87">
        <f t="shared" si="295"/>
        <v>94290468.700000003</v>
      </c>
      <c r="BO64" s="87">
        <f t="shared" si="295"/>
        <v>96665030</v>
      </c>
      <c r="BP64" s="87">
        <f t="shared" ref="BP64:CT64" si="296">+BP27</f>
        <v>111403127</v>
      </c>
      <c r="BQ64" s="87">
        <f t="shared" si="296"/>
        <v>106051211</v>
      </c>
      <c r="BR64" s="87">
        <f t="shared" si="296"/>
        <v>114673513</v>
      </c>
      <c r="BS64" s="87">
        <f t="shared" si="296"/>
        <v>105106440</v>
      </c>
      <c r="BT64" s="87">
        <f t="shared" si="296"/>
        <v>69778498</v>
      </c>
      <c r="BU64" s="87">
        <f t="shared" si="296"/>
        <v>120928612.40000001</v>
      </c>
      <c r="BV64" s="87">
        <f t="shared" si="296"/>
        <v>91160220</v>
      </c>
      <c r="BW64" s="87">
        <f t="shared" si="296"/>
        <v>84926008</v>
      </c>
      <c r="BX64" s="87">
        <f t="shared" si="296"/>
        <v>81012090</v>
      </c>
      <c r="BY64" s="87">
        <f t="shared" si="296"/>
        <v>85726323</v>
      </c>
      <c r="BZ64" s="87">
        <f t="shared" si="296"/>
        <v>71350428</v>
      </c>
      <c r="CA64" s="87">
        <f t="shared" si="296"/>
        <v>86976917</v>
      </c>
      <c r="CB64" s="87">
        <f t="shared" si="296"/>
        <v>99783323</v>
      </c>
      <c r="CC64" s="87">
        <f t="shared" si="296"/>
        <v>98663196</v>
      </c>
      <c r="CD64" s="87">
        <f t="shared" si="296"/>
        <v>102858299</v>
      </c>
      <c r="CE64" s="87">
        <f t="shared" si="296"/>
        <v>88364839</v>
      </c>
      <c r="CF64" s="87">
        <f t="shared" si="296"/>
        <v>85688222.716237277</v>
      </c>
      <c r="CG64" s="87">
        <f t="shared" si="296"/>
        <v>83961913.884668529</v>
      </c>
      <c r="CH64" s="87">
        <f t="shared" si="296"/>
        <v>88463159.829218939</v>
      </c>
      <c r="CI64" s="87">
        <f t="shared" si="296"/>
        <v>79423268.344595075</v>
      </c>
      <c r="CJ64" s="87">
        <f t="shared" si="296"/>
        <v>83175188.403440759</v>
      </c>
      <c r="CK64" s="87">
        <f t="shared" si="296"/>
        <v>86735284.633053958</v>
      </c>
      <c r="CL64" s="87">
        <f t="shared" si="296"/>
        <v>93247060.641321868</v>
      </c>
      <c r="CM64" s="87">
        <f t="shared" si="296"/>
        <v>97836095.436305955</v>
      </c>
      <c r="CN64" s="87">
        <f t="shared" si="296"/>
        <v>103752963.75649156</v>
      </c>
      <c r="CO64" s="87">
        <f t="shared" si="296"/>
        <v>102347189.25692093</v>
      </c>
      <c r="CP64" s="87">
        <f t="shared" si="296"/>
        <v>98368052.772272438</v>
      </c>
      <c r="CQ64" s="87">
        <f t="shared" si="296"/>
        <v>94567086.487890512</v>
      </c>
      <c r="CR64" s="87">
        <f t="shared" si="296"/>
        <v>88235436.372101769</v>
      </c>
      <c r="CS64" s="87">
        <f t="shared" si="296"/>
        <v>86463760.310069621</v>
      </c>
      <c r="CT64" s="87">
        <f t="shared" si="296"/>
        <v>89132027.692243785</v>
      </c>
    </row>
    <row r="65" spans="1:98" x14ac:dyDescent="0.35">
      <c r="A65" s="35" t="s">
        <v>31</v>
      </c>
      <c r="B65" s="33"/>
      <c r="C65" s="33"/>
      <c r="D65" s="37">
        <f>SUM(D60:D64)</f>
        <v>2224928177</v>
      </c>
      <c r="E65" s="37">
        <f t="shared" ref="E65:AW65" si="297">SUM(E60:E64)</f>
        <v>2018953973</v>
      </c>
      <c r="F65" s="37">
        <f t="shared" si="297"/>
        <v>1913045208</v>
      </c>
      <c r="G65" s="37">
        <f t="shared" si="297"/>
        <v>2404751671</v>
      </c>
      <c r="H65" s="37">
        <f t="shared" si="297"/>
        <v>2933402953</v>
      </c>
      <c r="I65" s="37">
        <f t="shared" si="297"/>
        <v>2932474198</v>
      </c>
      <c r="J65" s="37">
        <f t="shared" si="297"/>
        <v>2831280502</v>
      </c>
      <c r="K65" s="37">
        <f t="shared" si="297"/>
        <v>2260945939</v>
      </c>
      <c r="L65" s="37">
        <f t="shared" si="297"/>
        <v>1987278765</v>
      </c>
      <c r="M65" s="37">
        <f t="shared" si="297"/>
        <v>2444837540</v>
      </c>
      <c r="N65" s="37">
        <f t="shared" si="297"/>
        <v>2931370494</v>
      </c>
      <c r="O65" s="37">
        <f t="shared" si="297"/>
        <v>2420851513</v>
      </c>
      <c r="P65" s="37">
        <f t="shared" si="297"/>
        <v>2078601028</v>
      </c>
      <c r="Q65" s="37">
        <f t="shared" si="297"/>
        <v>1972320246</v>
      </c>
      <c r="R65" s="37">
        <f t="shared" si="297"/>
        <v>1950848493</v>
      </c>
      <c r="S65" s="37">
        <f t="shared" si="297"/>
        <v>2390636192</v>
      </c>
      <c r="T65" s="37">
        <f t="shared" si="297"/>
        <v>2806893058</v>
      </c>
      <c r="U65" s="37">
        <f t="shared" si="297"/>
        <v>2872808685</v>
      </c>
      <c r="V65" s="37">
        <f t="shared" si="297"/>
        <v>2497438120</v>
      </c>
      <c r="W65" s="37">
        <f t="shared" si="297"/>
        <v>2311823120</v>
      </c>
      <c r="X65" s="37">
        <f t="shared" si="297"/>
        <v>2068964968</v>
      </c>
      <c r="Y65" s="37">
        <f t="shared" si="297"/>
        <v>2356325141</v>
      </c>
      <c r="Z65" s="37">
        <f t="shared" si="297"/>
        <v>3162862275</v>
      </c>
      <c r="AA65" s="37">
        <f t="shared" si="297"/>
        <v>2671692622</v>
      </c>
      <c r="AB65" s="37">
        <f t="shared" si="297"/>
        <v>2329112642</v>
      </c>
      <c r="AC65" s="37">
        <f t="shared" si="297"/>
        <v>2266678111</v>
      </c>
      <c r="AD65" s="37">
        <f t="shared" si="297"/>
        <v>2094580257</v>
      </c>
      <c r="AE65" s="37">
        <f t="shared" si="297"/>
        <v>2709831507</v>
      </c>
      <c r="AF65" s="37">
        <f t="shared" si="297"/>
        <v>3013965337</v>
      </c>
      <c r="AG65" s="37">
        <f t="shared" si="297"/>
        <v>2799018250</v>
      </c>
      <c r="AH65" s="37">
        <f t="shared" si="297"/>
        <v>2737680017</v>
      </c>
      <c r="AI65" s="37">
        <f t="shared" si="297"/>
        <v>2332546940</v>
      </c>
      <c r="AJ65" s="37">
        <f t="shared" si="297"/>
        <v>2142583793</v>
      </c>
      <c r="AK65" s="37">
        <f t="shared" si="297"/>
        <v>2618348050</v>
      </c>
      <c r="AL65" s="37">
        <f t="shared" si="297"/>
        <v>2704334881</v>
      </c>
      <c r="AM65" s="37">
        <f t="shared" si="297"/>
        <v>2684641305</v>
      </c>
      <c r="AN65" s="37">
        <f t="shared" si="297"/>
        <v>2499758324</v>
      </c>
      <c r="AO65" s="37">
        <f t="shared" si="297"/>
        <v>1985896392</v>
      </c>
      <c r="AP65" s="37">
        <f t="shared" si="297"/>
        <v>1834449295</v>
      </c>
      <c r="AQ65" s="37">
        <f t="shared" si="297"/>
        <v>2235195660</v>
      </c>
      <c r="AR65" s="37">
        <f t="shared" si="297"/>
        <v>2577497445</v>
      </c>
      <c r="AS65" s="37">
        <f t="shared" si="297"/>
        <v>2692344190</v>
      </c>
      <c r="AT65" s="37">
        <f t="shared" si="297"/>
        <v>2586049727</v>
      </c>
      <c r="AU65" s="37">
        <f t="shared" si="297"/>
        <v>2259393157</v>
      </c>
      <c r="AV65" s="37">
        <f t="shared" si="297"/>
        <v>2029584453</v>
      </c>
      <c r="AW65" s="37">
        <f t="shared" si="297"/>
        <v>2424244506</v>
      </c>
      <c r="AX65" s="37">
        <f t="shared" ref="AX65:AY65" si="298">SUM(AX60:AX64)</f>
        <v>2601956425</v>
      </c>
      <c r="AY65" s="37">
        <f t="shared" si="298"/>
        <v>2559780622</v>
      </c>
      <c r="AZ65" s="37">
        <f t="shared" ref="AZ65:BA65" si="299">SUM(AZ60:AZ64)</f>
        <v>2267199627</v>
      </c>
      <c r="BA65" s="37">
        <f t="shared" si="299"/>
        <v>1885945876</v>
      </c>
      <c r="BB65" s="37">
        <f t="shared" ref="BB65:BC65" si="300">SUM(BB60:BB64)</f>
        <v>1727181444</v>
      </c>
      <c r="BC65" s="37">
        <f t="shared" si="300"/>
        <v>2140133354</v>
      </c>
      <c r="BD65" s="37">
        <f t="shared" ref="BD65:BE65" si="301">SUM(BD60:BD64)</f>
        <v>2668776772</v>
      </c>
      <c r="BE65" s="37">
        <f t="shared" si="301"/>
        <v>2588323933</v>
      </c>
      <c r="BF65" s="37">
        <f t="shared" ref="BF65:BG65" si="302">SUM(BF60:BF64)</f>
        <v>2539356884</v>
      </c>
      <c r="BG65" s="37">
        <f t="shared" si="302"/>
        <v>1880855467.2</v>
      </c>
      <c r="BH65" s="37">
        <f t="shared" ref="BH65:BI65" si="303">SUM(BH60:BH64)</f>
        <v>1919414791</v>
      </c>
      <c r="BI65" s="37">
        <f t="shared" si="303"/>
        <v>2285505311</v>
      </c>
      <c r="BJ65" s="37">
        <f t="shared" ref="BJ65:BK65" si="304">SUM(BJ60:BJ64)</f>
        <v>2701293080</v>
      </c>
      <c r="BK65" s="37">
        <f t="shared" si="304"/>
        <v>2762895596</v>
      </c>
      <c r="BL65" s="37">
        <f t="shared" ref="BL65:BM65" si="305">SUM(BL60:BL64)</f>
        <v>2269212350</v>
      </c>
      <c r="BM65" s="37">
        <f t="shared" si="305"/>
        <v>1797926430</v>
      </c>
      <c r="BN65" s="37">
        <f t="shared" ref="BN65:BO65" si="306">SUM(BN60:BN64)</f>
        <v>1767390312.4000001</v>
      </c>
      <c r="BO65" s="37">
        <f t="shared" si="306"/>
        <v>2241761426</v>
      </c>
      <c r="BP65" s="37">
        <f t="shared" ref="BP65:BQ65" si="307">SUM(BP60:BP64)</f>
        <v>2630416326</v>
      </c>
      <c r="BQ65" s="37">
        <f t="shared" si="307"/>
        <v>2620993183</v>
      </c>
      <c r="BR65" s="37">
        <f t="shared" ref="BR65:BS65" si="308">SUM(BR60:BR64)</f>
        <v>2624842936</v>
      </c>
      <c r="BS65" s="37">
        <f t="shared" si="308"/>
        <v>2051802732</v>
      </c>
      <c r="BT65" s="37">
        <f t="shared" ref="BT65:BU65" si="309">SUM(BT60:BT64)</f>
        <v>1844617502</v>
      </c>
      <c r="BU65" s="37">
        <f t="shared" si="309"/>
        <v>2260152185.5</v>
      </c>
      <c r="BV65" s="37">
        <f t="shared" ref="BV65:BW65" si="310">SUM(BV60:BV64)</f>
        <v>2604429573</v>
      </c>
      <c r="BW65" s="37">
        <f t="shared" si="310"/>
        <v>2650772070</v>
      </c>
      <c r="BX65" s="37">
        <f t="shared" ref="BX65:BY65" si="311">SUM(BX60:BX64)</f>
        <v>2252800721</v>
      </c>
      <c r="BY65" s="37">
        <f t="shared" si="311"/>
        <v>1950515267</v>
      </c>
      <c r="BZ65" s="37">
        <f t="shared" ref="BZ65:CA65" si="312">SUM(BZ60:BZ64)</f>
        <v>1874510202</v>
      </c>
      <c r="CA65" s="37">
        <f t="shared" si="312"/>
        <v>2238886497</v>
      </c>
      <c r="CB65" s="37">
        <f t="shared" ref="CB65:CC65" si="313">SUM(CB60:CB64)</f>
        <v>2787735127</v>
      </c>
      <c r="CC65" s="37">
        <f t="shared" si="313"/>
        <v>2711689501</v>
      </c>
      <c r="CD65" s="37">
        <f t="shared" ref="CD65:CE65" si="314">SUM(CD60:CD64)</f>
        <v>2418184647</v>
      </c>
      <c r="CE65" s="37">
        <f t="shared" si="314"/>
        <v>1914968383</v>
      </c>
      <c r="CF65" s="37">
        <f t="shared" ref="CF65:CG65" si="315">SUM(CF60:CF64)</f>
        <v>1851493382.2553334</v>
      </c>
      <c r="CG65" s="37">
        <f t="shared" si="315"/>
        <v>2320086513.87956</v>
      </c>
      <c r="CH65" s="37">
        <f t="shared" ref="CH65" si="316">SUM(CH60:CH64)</f>
        <v>2713064456.4976673</v>
      </c>
      <c r="CI65" s="37">
        <f>SUM(CI60:CI64)</f>
        <v>2483221712.2273397</v>
      </c>
      <c r="CJ65" s="37">
        <f t="shared" ref="CJ65:CK65" si="317">SUM(CJ60:CJ64)</f>
        <v>2192609148.1315584</v>
      </c>
      <c r="CK65" s="37">
        <f t="shared" si="317"/>
        <v>1880135382.0858665</v>
      </c>
      <c r="CL65" s="37">
        <f t="shared" ref="CL65:CM65" si="318">SUM(CL60:CL64)</f>
        <v>1743103936.3575506</v>
      </c>
      <c r="CM65" s="37">
        <f t="shared" si="318"/>
        <v>2102666020.8558388</v>
      </c>
      <c r="CN65" s="37">
        <f t="shared" ref="CN65:CO65" si="319">SUM(CN60:CN64)</f>
        <v>2493626217.4523525</v>
      </c>
      <c r="CO65" s="37">
        <f t="shared" si="319"/>
        <v>2497318281.8865676</v>
      </c>
      <c r="CP65" s="37">
        <f t="shared" ref="CP65:CQ65" si="320">SUM(CP60:CP64)</f>
        <v>2383665870.5936551</v>
      </c>
      <c r="CQ65" s="37">
        <f t="shared" si="320"/>
        <v>1892136893.0098836</v>
      </c>
      <c r="CR65" s="37">
        <f t="shared" ref="CR65:CS65" si="321">SUM(CR60:CR64)</f>
        <v>1852378961.4661479</v>
      </c>
      <c r="CS65" s="37">
        <f t="shared" si="321"/>
        <v>2310875960.0931334</v>
      </c>
      <c r="CT65" s="37">
        <f>SUM(CT60:CT64)</f>
        <v>2722717277.7624135</v>
      </c>
    </row>
    <row r="66" spans="1:98" x14ac:dyDescent="0.35">
      <c r="B66" s="41"/>
      <c r="C66" s="41"/>
      <c r="O66" s="88"/>
    </row>
    <row r="67" spans="1:98" x14ac:dyDescent="0.35">
      <c r="A67" s="136" t="s">
        <v>62</v>
      </c>
      <c r="B67" s="41"/>
      <c r="C67" s="41"/>
      <c r="D67" s="88"/>
    </row>
    <row r="68" spans="1:98" x14ac:dyDescent="0.35">
      <c r="A68" s="40" t="s">
        <v>33</v>
      </c>
      <c r="B68" s="41"/>
      <c r="C68" s="41"/>
      <c r="D68" s="49">
        <f>+(D50-D57)+(D57*D60/D65)</f>
        <v>0</v>
      </c>
      <c r="E68" s="49">
        <f t="shared" ref="E68:P68" si="322">+(E50-E57)+(E57*E60/E65)</f>
        <v>0</v>
      </c>
      <c r="F68" s="49">
        <f t="shared" si="322"/>
        <v>0</v>
      </c>
      <c r="G68" s="49">
        <f t="shared" si="322"/>
        <v>0</v>
      </c>
      <c r="H68" s="49">
        <f t="shared" si="322"/>
        <v>0</v>
      </c>
      <c r="I68" s="49">
        <f t="shared" si="322"/>
        <v>0</v>
      </c>
      <c r="J68" s="49">
        <f t="shared" si="322"/>
        <v>0</v>
      </c>
      <c r="K68" s="49">
        <f t="shared" si="322"/>
        <v>0</v>
      </c>
      <c r="L68" s="49">
        <f t="shared" si="322"/>
        <v>0</v>
      </c>
      <c r="M68" s="49">
        <f t="shared" si="322"/>
        <v>0</v>
      </c>
      <c r="N68" s="49">
        <f t="shared" si="322"/>
        <v>0</v>
      </c>
      <c r="O68" s="49">
        <f>+(O50-O57)+(O57*O60/O65)</f>
        <v>0</v>
      </c>
      <c r="P68" s="49">
        <f t="shared" si="322"/>
        <v>0</v>
      </c>
      <c r="Q68" s="49">
        <f>IF(Q50="","",+(Q50-Q57)+(Q57*Q60/Q65))</f>
        <v>983976.8055998187</v>
      </c>
      <c r="R68" s="49">
        <f>IF(R50="","",+(R50-R57)+(R57*R60/R65))</f>
        <v>936126.67058040295</v>
      </c>
      <c r="S68" s="49">
        <f>IF(S50="","",+(S50-S57)+(S57*S60/S65))</f>
        <v>1254886.244789884</v>
      </c>
      <c r="T68" s="49">
        <f t="shared" ref="T68:AW68" si="323">IF(T50="","",+(T50-T57)+(T57*T60/T65))</f>
        <v>1666724.2213379955</v>
      </c>
      <c r="U68" s="49">
        <f t="shared" si="323"/>
        <v>1687867.967739454</v>
      </c>
      <c r="V68" s="49">
        <f t="shared" si="323"/>
        <v>1336984.8118306769</v>
      </c>
      <c r="W68" s="49">
        <f t="shared" si="323"/>
        <v>1174985.3507627479</v>
      </c>
      <c r="X68" s="49">
        <f t="shared" si="323"/>
        <v>1029531.6444714632</v>
      </c>
      <c r="Y68" s="49">
        <f t="shared" si="323"/>
        <v>1326453.2350570641</v>
      </c>
      <c r="Z68" s="49">
        <f t="shared" si="323"/>
        <v>2030661.7411402338</v>
      </c>
      <c r="AA68" s="97">
        <f>ROUND(IF(AA50="","",+(AA50-AA57)+(AA57*AA60/AA65)),2)</f>
        <v>1388250.35</v>
      </c>
      <c r="AB68" s="49">
        <f t="shared" si="323"/>
        <v>1120654.6531242458</v>
      </c>
      <c r="AC68" s="49">
        <f>IF(AC50="","",+(AC50-AC57)+(AC57*AC60/AC65))</f>
        <v>1082451.6725849968</v>
      </c>
      <c r="AD68" s="49">
        <f t="shared" si="323"/>
        <v>880251.85351460415</v>
      </c>
      <c r="AE68" s="49">
        <f t="shared" si="323"/>
        <v>1301284.1891339927</v>
      </c>
      <c r="AF68" s="49">
        <f t="shared" si="323"/>
        <v>1524704.8572049867</v>
      </c>
      <c r="AG68" s="49">
        <f t="shared" si="323"/>
        <v>1366723.6950669868</v>
      </c>
      <c r="AH68" s="49">
        <f t="shared" si="323"/>
        <v>1314605.108458352</v>
      </c>
      <c r="AI68" s="49">
        <f t="shared" si="323"/>
        <v>1020432.9529194708</v>
      </c>
      <c r="AJ68" s="49">
        <f t="shared" si="323"/>
        <v>950195.40735321853</v>
      </c>
      <c r="AK68" s="49">
        <f t="shared" si="323"/>
        <v>1320371.9817385538</v>
      </c>
      <c r="AL68" s="49">
        <f t="shared" si="323"/>
        <v>1462433.5546846255</v>
      </c>
      <c r="AM68" s="49">
        <f t="shared" si="323"/>
        <v>1529137.4028414818</v>
      </c>
      <c r="AN68" s="49">
        <f t="shared" si="323"/>
        <v>1378360.7270812315</v>
      </c>
      <c r="AO68" s="49">
        <f t="shared" si="323"/>
        <v>951160.98963883938</v>
      </c>
      <c r="AP68" s="49">
        <f t="shared" si="323"/>
        <v>807723.67786616471</v>
      </c>
      <c r="AQ68" s="49">
        <f t="shared" si="323"/>
        <v>1071830.4459348798</v>
      </c>
      <c r="AR68" s="49">
        <f t="shared" si="323"/>
        <v>1361027.792333117</v>
      </c>
      <c r="AS68" s="49">
        <f t="shared" si="323"/>
        <v>1432733.48651519</v>
      </c>
      <c r="AT68" s="49">
        <f t="shared" si="323"/>
        <v>1322179.2642833882</v>
      </c>
      <c r="AU68" s="49">
        <f t="shared" si="323"/>
        <v>1087865.4265500808</v>
      </c>
      <c r="AV68" s="49">
        <f t="shared" si="323"/>
        <v>979499.93887924904</v>
      </c>
      <c r="AW68" s="49">
        <f t="shared" si="323"/>
        <v>1315854.6359199637</v>
      </c>
      <c r="AX68" s="49">
        <f t="shared" ref="AX68:AY68" si="324">IF(AX50="","",+(AX50-AX57)+(AX57*AX60/AX65))</f>
        <v>1452342.8430098211</v>
      </c>
      <c r="AY68" s="49">
        <f t="shared" si="324"/>
        <v>852786.52127385803</v>
      </c>
      <c r="AZ68" s="49">
        <f t="shared" ref="AZ68" si="325">IF(AZ50="","",+(AZ50-AZ57)+(AZ57*AZ60/AZ65))</f>
        <v>125873.38282544476</v>
      </c>
      <c r="BA68" s="49">
        <f t="shared" ref="BA68:BF68" si="326">IF(BA50="","",+(BA50-BA57)+(BA57*BA60/BA65))</f>
        <v>94402.787188311384</v>
      </c>
      <c r="BB68" s="49">
        <f t="shared" si="326"/>
        <v>84175.513069788271</v>
      </c>
      <c r="BC68" s="49">
        <f t="shared" si="326"/>
        <v>111088.05405709325</v>
      </c>
      <c r="BD68" s="49">
        <f t="shared" si="326"/>
        <v>148912.4914773225</v>
      </c>
      <c r="BE68" s="49">
        <f t="shared" si="326"/>
        <v>139614.44094102815</v>
      </c>
      <c r="BF68" s="49">
        <f t="shared" si="326"/>
        <v>125976.71022904465</v>
      </c>
      <c r="BG68" s="49">
        <f t="shared" ref="BG68:BH68" si="327">IF(BG50="","",+(BG50-BG57)+(BG57*BG60/BG65))</f>
        <v>85433.845861912778</v>
      </c>
      <c r="BH68" s="49">
        <f t="shared" si="327"/>
        <v>91258.917890257697</v>
      </c>
      <c r="BI68" s="49">
        <f t="shared" ref="BI68:BJ68" si="328">IF(BI50="","",+(BI50-BI57)+(BI57*BI60/BI65))</f>
        <v>120857.06275512144</v>
      </c>
      <c r="BJ68" s="49">
        <f t="shared" si="328"/>
        <v>157131.76386056477</v>
      </c>
      <c r="BK68" s="49">
        <f t="shared" ref="BK68:BL68" si="329">IF(BK50="","",+(BK50-BK57)+(BK57*BK60/BK65))</f>
        <v>-115197.03218943029</v>
      </c>
      <c r="BL68" s="49">
        <f t="shared" si="329"/>
        <v>-330846.44785598782</v>
      </c>
      <c r="BM68" s="49">
        <f t="shared" ref="BM68:BN68" si="330">IF(BM50="","",+(BM50-BM57)+(BM57*BM60/BM65))</f>
        <v>-223865.36362995688</v>
      </c>
      <c r="BN68" s="49">
        <f t="shared" si="330"/>
        <v>-210176.78057078717</v>
      </c>
      <c r="BO68" s="49">
        <f t="shared" ref="BO68:BP68" si="331">IF(BO50="","",+(BO50-BO57)+(BO57*BO60/BO65))</f>
        <v>-274664.86631310626</v>
      </c>
      <c r="BP68" s="49">
        <f t="shared" si="331"/>
        <v>-362529.15554440091</v>
      </c>
      <c r="BQ68" s="49">
        <f t="shared" ref="BQ68:BR68" si="332">IF(BQ50="","",+(BQ50-BQ57)+(BQ57*BQ60/BQ65))</f>
        <v>-369792.94310600177</v>
      </c>
      <c r="BR68" s="49">
        <f t="shared" si="332"/>
        <v>-363385.55298456381</v>
      </c>
      <c r="BS68" s="49">
        <f t="shared" ref="BS68:BT68" si="333">IF(BS50="","",+(BS50-BS57)+(BS57*BS60/BS65))</f>
        <v>-252118.8064792598</v>
      </c>
      <c r="BT68" s="49">
        <f t="shared" si="333"/>
        <v>-236659.87723249063</v>
      </c>
      <c r="BU68" s="49">
        <f t="shared" ref="BU68:BV68" si="334">IF(BU50="","",+(BU50-BU57)+(BU57*BU60/BU65))</f>
        <v>-296177.30566513271</v>
      </c>
      <c r="BV68" s="49">
        <f t="shared" si="334"/>
        <v>-381804.14898688439</v>
      </c>
      <c r="BW68" s="49">
        <f t="shared" ref="BW68:BX68" si="335">IF(BW50="","",+(BW50-BW57)+(BW57*BW60/BW65))</f>
        <v>-246708.5763060193</v>
      </c>
      <c r="BX68" s="49">
        <f t="shared" si="335"/>
        <v>-14067.704131906468</v>
      </c>
      <c r="BY68" s="49">
        <f t="shared" ref="BY68:BZ68" si="336">IF(BY50="","",+(BY50-BY57)+(BY57*BY60/BY65))</f>
        <v>-8075.3701007850805</v>
      </c>
      <c r="BZ68" s="49">
        <f t="shared" si="336"/>
        <v>-8069.5010685150701</v>
      </c>
      <c r="CA68" s="49">
        <f t="shared" ref="CA68:CB68" si="337">IF(CA50="","",+(CA50-CA57)+(CA57*CA60/CA65))</f>
        <v>-10523.960092720119</v>
      </c>
      <c r="CB68" s="49">
        <f t="shared" si="337"/>
        <v>-14468.941204805698</v>
      </c>
      <c r="CC68" s="49">
        <f t="shared" ref="CC68:CD68" si="338">IF(CC50="","",+(CC50-CC57)+(CC57*CC60/CC65))</f>
        <v>-13654.530108070918</v>
      </c>
      <c r="CD68" s="49">
        <f t="shared" si="338"/>
        <v>-11445.528735503302</v>
      </c>
      <c r="CE68" s="49">
        <f t="shared" ref="CE68:CF68" si="339">IF(CE50="","",+(CE50-CE57)+(CE57*CE60/CE65))</f>
        <v>-8161.2905921701886</v>
      </c>
      <c r="CF68" s="49">
        <f t="shared" si="339"/>
        <v>-8069.8126067853509</v>
      </c>
      <c r="CG68" s="49">
        <f t="shared" ref="CG68:CH68" si="340">IF(CG50="","",+(CG50-CG57)+(CG57*CG60/CG65))</f>
        <v>-11562.794733164532</v>
      </c>
      <c r="CH68" s="49">
        <f t="shared" si="340"/>
        <v>-14274.604225665193</v>
      </c>
      <c r="CI68" s="49" t="str">
        <f t="shared" ref="CI68:CJ68" si="341">IF(CI50="","",+(CI50-CI57)+(CI57*CI60/CI65))</f>
        <v/>
      </c>
      <c r="CJ68" s="49" t="str">
        <f t="shared" si="341"/>
        <v/>
      </c>
      <c r="CK68" s="49" t="str">
        <f t="shared" ref="CK68:CL68" si="342">IF(CK50="","",+(CK50-CK57)+(CK57*CK60/CK65))</f>
        <v/>
      </c>
      <c r="CL68" s="49" t="str">
        <f t="shared" si="342"/>
        <v/>
      </c>
      <c r="CM68" s="49" t="str">
        <f t="shared" ref="CM68:CN68" si="343">IF(CM50="","",+(CM50-CM57)+(CM57*CM60/CM65))</f>
        <v/>
      </c>
      <c r="CN68" s="49" t="str">
        <f t="shared" si="343"/>
        <v/>
      </c>
      <c r="CO68" s="49" t="str">
        <f t="shared" ref="CO68:CP68" si="344">IF(CO50="","",+(CO50-CO57)+(CO57*CO60/CO65))</f>
        <v/>
      </c>
      <c r="CP68" s="49" t="str">
        <f t="shared" si="344"/>
        <v/>
      </c>
      <c r="CQ68" s="49" t="str">
        <f t="shared" ref="CQ68:CR68" si="345">IF(CQ50="","",+(CQ50-CQ57)+(CQ57*CQ60/CQ65))</f>
        <v/>
      </c>
      <c r="CR68" s="49" t="str">
        <f t="shared" si="345"/>
        <v/>
      </c>
      <c r="CS68" s="49" t="str">
        <f t="shared" ref="CS68:CT68" si="346">IF(CS50="","",+(CS50-CS57)+(CS57*CS60/CS65))</f>
        <v/>
      </c>
      <c r="CT68" s="49" t="str">
        <f t="shared" si="346"/>
        <v/>
      </c>
    </row>
    <row r="69" spans="1:98" x14ac:dyDescent="0.35">
      <c r="A69" s="40" t="s">
        <v>34</v>
      </c>
      <c r="B69" s="41"/>
      <c r="C69" s="41"/>
      <c r="D69" s="49">
        <f>+D51+(D57*D61/D65)</f>
        <v>0</v>
      </c>
      <c r="E69" s="49">
        <f t="shared" ref="E69:P69" si="347">+E51+(E57*E61/E65)</f>
        <v>0</v>
      </c>
      <c r="F69" s="49">
        <f t="shared" si="347"/>
        <v>0</v>
      </c>
      <c r="G69" s="49">
        <f t="shared" si="347"/>
        <v>0</v>
      </c>
      <c r="H69" s="49">
        <f t="shared" si="347"/>
        <v>0</v>
      </c>
      <c r="I69" s="49">
        <f t="shared" si="347"/>
        <v>0</v>
      </c>
      <c r="J69" s="49">
        <f t="shared" si="347"/>
        <v>0</v>
      </c>
      <c r="K69" s="49">
        <f t="shared" si="347"/>
        <v>0</v>
      </c>
      <c r="L69" s="49">
        <f t="shared" si="347"/>
        <v>0</v>
      </c>
      <c r="M69" s="49">
        <f t="shared" si="347"/>
        <v>0</v>
      </c>
      <c r="N69" s="49">
        <f t="shared" si="347"/>
        <v>0</v>
      </c>
      <c r="O69" s="49">
        <f t="shared" si="347"/>
        <v>0</v>
      </c>
      <c r="P69" s="49">
        <f t="shared" si="347"/>
        <v>0</v>
      </c>
      <c r="Q69" s="49">
        <f>IF(Q51="","",+Q51+(Q57*Q61/Q65))</f>
        <v>117754.86766427531</v>
      </c>
      <c r="R69" s="49">
        <f t="shared" ref="R69:AW69" si="348">IF(R51="","",+R51+(R57*R61/R65))</f>
        <v>117111.78358657917</v>
      </c>
      <c r="S69" s="49">
        <f t="shared" si="348"/>
        <v>139211.1271761941</v>
      </c>
      <c r="T69" s="49">
        <f t="shared" si="348"/>
        <v>160900.46992761682</v>
      </c>
      <c r="U69" s="49">
        <f t="shared" si="348"/>
        <v>162415.72720926077</v>
      </c>
      <c r="V69" s="49">
        <f t="shared" si="348"/>
        <v>145481.1603029698</v>
      </c>
      <c r="W69" s="49">
        <f t="shared" si="348"/>
        <v>137867.15538119225</v>
      </c>
      <c r="X69" s="49">
        <f t="shared" si="348"/>
        <v>122671.59779667509</v>
      </c>
      <c r="Y69" s="49">
        <f t="shared" si="348"/>
        <v>134648.09810155624</v>
      </c>
      <c r="Z69" s="49">
        <f t="shared" si="348"/>
        <v>193970.45230344273</v>
      </c>
      <c r="AA69" s="52">
        <f>ROUND(IF(AA51="","",+AA51+(AA57*AA61/AA65)),2)</f>
        <v>337014.49</v>
      </c>
      <c r="AB69" s="49">
        <f t="shared" si="348"/>
        <v>295708.57620644657</v>
      </c>
      <c r="AC69" s="49">
        <f t="shared" si="348"/>
        <v>291406.59328999976</v>
      </c>
      <c r="AD69" s="49">
        <f t="shared" si="348"/>
        <v>264923.25566753082</v>
      </c>
      <c r="AE69" s="49">
        <f t="shared" si="348"/>
        <v>333657.21503767214</v>
      </c>
      <c r="AF69" s="49">
        <f t="shared" si="348"/>
        <v>367915.86365673423</v>
      </c>
      <c r="AG69" s="49">
        <f t="shared" si="348"/>
        <v>344001.06732957577</v>
      </c>
      <c r="AH69" s="49">
        <f>IF(AH51="","",+AH51+(AH57*AH61/AH65))</f>
        <v>338126.29031171976</v>
      </c>
      <c r="AI69" s="49">
        <f t="shared" si="348"/>
        <v>297845.76900715684</v>
      </c>
      <c r="AJ69" s="49">
        <f t="shared" si="348"/>
        <v>267618.62093979405</v>
      </c>
      <c r="AK69" s="49">
        <f t="shared" si="348"/>
        <v>322555.10705520917</v>
      </c>
      <c r="AL69" s="49">
        <f t="shared" si="348"/>
        <v>371341.16797562933</v>
      </c>
      <c r="AM69" s="49">
        <f t="shared" si="348"/>
        <v>701136.2388481237</v>
      </c>
      <c r="AN69" s="49">
        <f t="shared" si="348"/>
        <v>660367.02395744435</v>
      </c>
      <c r="AO69" s="49">
        <f t="shared" si="348"/>
        <v>536256.50994038768</v>
      </c>
      <c r="AP69" s="49">
        <f t="shared" si="348"/>
        <v>506299.41162084811</v>
      </c>
      <c r="AQ69" s="49">
        <f t="shared" si="348"/>
        <v>591277.49932374491</v>
      </c>
      <c r="AR69" s="49">
        <f t="shared" si="348"/>
        <v>676039.62753147213</v>
      </c>
      <c r="AS69" s="49">
        <f t="shared" si="348"/>
        <v>694696.60025960801</v>
      </c>
      <c r="AT69" s="49">
        <f t="shared" si="348"/>
        <v>670877.10139883822</v>
      </c>
      <c r="AU69" s="49">
        <f t="shared" si="348"/>
        <v>604713.02387172775</v>
      </c>
      <c r="AV69" s="49">
        <f t="shared" si="348"/>
        <v>541098.36747130833</v>
      </c>
      <c r="AW69" s="49">
        <f t="shared" si="348"/>
        <v>635047.56064080668</v>
      </c>
      <c r="AX69" s="49">
        <f t="shared" ref="AX69:AY69" si="349">IF(AX51="","",+AX51+(AX57*AX61/AX65))</f>
        <v>677042.48835283797</v>
      </c>
      <c r="AY69" s="49">
        <f t="shared" si="349"/>
        <v>415381.06618172349</v>
      </c>
      <c r="AZ69" s="49">
        <f t="shared" ref="AZ69:BA69" si="350">IF(AZ51="","",+AZ51+(AZ57*AZ61/AZ65))</f>
        <v>87488.365088698483</v>
      </c>
      <c r="BA69" s="49">
        <f t="shared" si="350"/>
        <v>64808.481988010986</v>
      </c>
      <c r="BB69" s="49">
        <f t="shared" ref="BB69:BC69" si="351">IF(BB51="","",+BB51+(BB57*BB61/BB65))</f>
        <v>59023.185490174175</v>
      </c>
      <c r="BC69" s="49">
        <f t="shared" si="351"/>
        <v>73834.949720540346</v>
      </c>
      <c r="BD69" s="49">
        <f t="shared" ref="BD69:BE69" si="352">IF(BD51="","",+BD51+(BD57*BD61/BD65))</f>
        <v>92018.552084119583</v>
      </c>
      <c r="BE69" s="49">
        <f t="shared" si="352"/>
        <v>90580.739582948823</v>
      </c>
      <c r="BF69" s="49">
        <f t="shared" ref="BF69:BG69" si="353">IF(BF51="","",+BF51+(BF57*BF61/BF65))</f>
        <v>86046.105340623792</v>
      </c>
      <c r="BG69" s="49">
        <f t="shared" si="353"/>
        <v>69862.512633552527</v>
      </c>
      <c r="BH69" s="49">
        <f t="shared" ref="BH69:BI69" si="354">IF(BH51="","",+BH51+(BH57*BH61/BH65))</f>
        <v>69704.10872407959</v>
      </c>
      <c r="BI69" s="49">
        <f t="shared" si="354"/>
        <v>80360.687024982573</v>
      </c>
      <c r="BJ69" s="49">
        <f t="shared" ref="BJ69:BK69" si="355">IF(BJ51="","",+BJ51+(BJ57*BJ61/BJ65))</f>
        <v>95761.440926806667</v>
      </c>
      <c r="BK69" s="49">
        <f t="shared" si="355"/>
        <v>-1907.9937762007746</v>
      </c>
      <c r="BL69" s="49">
        <f t="shared" ref="BL69:BM69" si="356">IF(BL51="","",+BL51+(BL57*BL61/BL65))</f>
        <v>-102362.10040602235</v>
      </c>
      <c r="BM69" s="49">
        <f t="shared" si="356"/>
        <v>-81659.759942022312</v>
      </c>
      <c r="BN69" s="49">
        <f t="shared" ref="BN69:BO69" si="357">IF(BN51="","",+BN51+(BN57*BN61/BN65))</f>
        <v>-80583.41964173934</v>
      </c>
      <c r="BO69" s="49">
        <f t="shared" si="357"/>
        <v>-95520.020947600293</v>
      </c>
      <c r="BP69" s="49">
        <f t="shared" ref="BP69:BQ69" si="358">IF(BP51="","",+BP51+(BP57*BP61/BP65))</f>
        <v>-112468.59809397052</v>
      </c>
      <c r="BQ69" s="49">
        <f t="shared" si="358"/>
        <v>-112970.29647430769</v>
      </c>
      <c r="BR69" s="49">
        <f t="shared" ref="BR69:BS69" si="359">IF(BR51="","",+BR51+(BR57*BR61/BR65))</f>
        <v>-114176.56432782451</v>
      </c>
      <c r="BS69" s="49">
        <f t="shared" si="359"/>
        <v>-95359.199900074542</v>
      </c>
      <c r="BT69" s="49">
        <f t="shared" ref="BT69:BU69" si="360">IF(BT51="","",+BT51+(BT57*BT61/BT65))</f>
        <v>-85048.337899656035</v>
      </c>
      <c r="BU69" s="49">
        <f t="shared" si="360"/>
        <v>-96923.929909834478</v>
      </c>
      <c r="BV69" s="49">
        <f t="shared" ref="BV69:BW69" si="361">IF(BV51="","",+BV51+(BV57*BV61/BV65))</f>
        <v>-114316.61954150567</v>
      </c>
      <c r="BW69" s="49">
        <f t="shared" si="361"/>
        <v>-70347.05152582172</v>
      </c>
      <c r="BX69" s="49">
        <f t="shared" ref="BX69:BY69" si="362">IF(BX51="","",+BX51+(BX57*BX61/BX65))</f>
        <v>-3800.9561632831483</v>
      </c>
      <c r="BY69" s="49">
        <f t="shared" si="362"/>
        <v>-3430.8126987825262</v>
      </c>
      <c r="BZ69" s="49">
        <f t="shared" ref="BZ69:CA69" si="363">IF(BZ51="","",+BZ51+(BZ57*BZ61/BZ65))</f>
        <v>-3159.8932354852132</v>
      </c>
      <c r="CA69" s="49">
        <f t="shared" si="363"/>
        <v>-3581.5162113053066</v>
      </c>
      <c r="CB69" s="49">
        <f t="shared" ref="CB69:CC69" si="364">IF(CB51="","",+CB51+(CB57*CB61/CB65))</f>
        <v>-4119.5944291965261</v>
      </c>
      <c r="CC69" s="49">
        <f t="shared" si="364"/>
        <v>-4322.0730845019007</v>
      </c>
      <c r="CD69" s="49">
        <f t="shared" ref="CD69:CE69" si="365">IF(CD51="","",+CD51+(CD57*CD61/CD65))</f>
        <v>-3929.9254185913205</v>
      </c>
      <c r="CE69" s="49">
        <f t="shared" si="365"/>
        <v>-3276.9745441742421</v>
      </c>
      <c r="CF69" s="49">
        <f t="shared" ref="CF69:CG69" si="366">IF(CF51="","",+CF51+(CF57*CF61/CF65))</f>
        <v>-2952.3758739805608</v>
      </c>
      <c r="CG69" s="49">
        <f t="shared" si="366"/>
        <v>-3568.1857151146278</v>
      </c>
      <c r="CH69" s="49">
        <f t="shared" ref="CH69:CI69" si="367">IF(CH51="","",+CH51+(CH57*CH61/CH65))</f>
        <v>-4207.566389348307</v>
      </c>
      <c r="CI69" s="49" t="str">
        <f t="shared" si="367"/>
        <v/>
      </c>
      <c r="CJ69" s="49" t="str">
        <f t="shared" ref="CJ69:CK69" si="368">IF(CJ51="","",+CJ51+(CJ57*CJ61/CJ65))</f>
        <v/>
      </c>
      <c r="CK69" s="49" t="str">
        <f t="shared" si="368"/>
        <v/>
      </c>
      <c r="CL69" s="49" t="str">
        <f t="shared" ref="CL69:CM69" si="369">IF(CL51="","",+CL51+(CL57*CL61/CL65))</f>
        <v/>
      </c>
      <c r="CM69" s="49" t="str">
        <f t="shared" si="369"/>
        <v/>
      </c>
      <c r="CN69" s="49" t="str">
        <f t="shared" ref="CN69:CO69" si="370">IF(CN51="","",+CN51+(CN57*CN61/CN65))</f>
        <v/>
      </c>
      <c r="CO69" s="49" t="str">
        <f t="shared" si="370"/>
        <v/>
      </c>
      <c r="CP69" s="49" t="str">
        <f t="shared" ref="CP69:CQ69" si="371">IF(CP51="","",+CP51+(CP57*CP61/CP65))</f>
        <v/>
      </c>
      <c r="CQ69" s="49" t="str">
        <f t="shared" si="371"/>
        <v/>
      </c>
      <c r="CR69" s="49" t="str">
        <f t="shared" ref="CR69:CS69" si="372">IF(CR51="","",+CR51+(CR57*CR61/CR65))</f>
        <v/>
      </c>
      <c r="CS69" s="49" t="str">
        <f t="shared" si="372"/>
        <v/>
      </c>
      <c r="CT69" s="49" t="str">
        <f t="shared" ref="CT69" si="373">IF(CT51="","",+CT51+(CT57*CT61/CT65))</f>
        <v/>
      </c>
    </row>
    <row r="70" spans="1:98" x14ac:dyDescent="0.35">
      <c r="A70" s="40" t="s">
        <v>35</v>
      </c>
      <c r="B70" s="41"/>
      <c r="C70" s="41"/>
      <c r="D70" s="49">
        <f>+D52+(D57*D62/D65)</f>
        <v>0</v>
      </c>
      <c r="E70" s="49">
        <f t="shared" ref="E70:P70" si="374">+E52+(E57*E62/E65)</f>
        <v>0</v>
      </c>
      <c r="F70" s="49">
        <f t="shared" si="374"/>
        <v>0</v>
      </c>
      <c r="G70" s="49">
        <f t="shared" si="374"/>
        <v>0</v>
      </c>
      <c r="H70" s="49">
        <f t="shared" si="374"/>
        <v>0</v>
      </c>
      <c r="I70" s="49">
        <f t="shared" si="374"/>
        <v>0</v>
      </c>
      <c r="J70" s="49">
        <f t="shared" si="374"/>
        <v>0</v>
      </c>
      <c r="K70" s="49">
        <f t="shared" si="374"/>
        <v>0</v>
      </c>
      <c r="L70" s="49">
        <f t="shared" si="374"/>
        <v>0</v>
      </c>
      <c r="M70" s="49">
        <f t="shared" si="374"/>
        <v>0</v>
      </c>
      <c r="N70" s="49">
        <f t="shared" si="374"/>
        <v>0</v>
      </c>
      <c r="O70" s="49">
        <f t="shared" si="374"/>
        <v>0</v>
      </c>
      <c r="P70" s="49">
        <f t="shared" si="374"/>
        <v>0</v>
      </c>
      <c r="Q70" s="49">
        <f>IF(Q52="","",+Q52+(Q57*Q62/Q65))</f>
        <v>297067.25661237026</v>
      </c>
      <c r="R70" s="49">
        <f t="shared" ref="R70:AW70" si="375">IF(R52="","",+R52+(R57*R62/R65))</f>
        <v>306858.76704664429</v>
      </c>
      <c r="S70" s="49">
        <f t="shared" si="375"/>
        <v>347930.82125503593</v>
      </c>
      <c r="T70" s="49">
        <f t="shared" si="375"/>
        <v>377801.41744412482</v>
      </c>
      <c r="U70" s="49">
        <f t="shared" si="375"/>
        <v>384838.10767902108</v>
      </c>
      <c r="V70" s="49">
        <f t="shared" si="375"/>
        <v>363327.24534638016</v>
      </c>
      <c r="W70" s="49">
        <f t="shared" si="375"/>
        <v>349151.70540680212</v>
      </c>
      <c r="X70" s="49">
        <f t="shared" si="375"/>
        <v>312029.63241835893</v>
      </c>
      <c r="Y70" s="49">
        <f t="shared" si="375"/>
        <v>324930.27431740938</v>
      </c>
      <c r="Z70" s="49">
        <f t="shared" si="375"/>
        <v>389339.8693849984</v>
      </c>
      <c r="AA70" s="52">
        <f>ROUND(IF(AA52="","",+AA52+(AA57*AA62/AA65)),2)</f>
        <v>556625.86</v>
      </c>
      <c r="AB70" s="49">
        <f t="shared" si="375"/>
        <v>519727.84944586566</v>
      </c>
      <c r="AC70" s="49">
        <f t="shared" si="375"/>
        <v>524323.57207482436</v>
      </c>
      <c r="AD70" s="49">
        <f t="shared" si="375"/>
        <v>522730.47478252684</v>
      </c>
      <c r="AE70" s="49">
        <f t="shared" si="375"/>
        <v>623624.8655420111</v>
      </c>
      <c r="AF70" s="49">
        <f t="shared" si="375"/>
        <v>661725.50586693978</v>
      </c>
      <c r="AG70" s="49">
        <f t="shared" si="375"/>
        <v>626757.48216571088</v>
      </c>
      <c r="AH70" s="49">
        <f t="shared" si="375"/>
        <v>638007.84216665139</v>
      </c>
      <c r="AI70" s="49">
        <f t="shared" si="375"/>
        <v>579490.47761485481</v>
      </c>
      <c r="AJ70" s="49">
        <f t="shared" si="375"/>
        <v>513641.84877388977</v>
      </c>
      <c r="AK70" s="49">
        <f t="shared" si="375"/>
        <v>557457.11362508603</v>
      </c>
      <c r="AL70" s="49">
        <f t="shared" si="375"/>
        <v>608808.22123092401</v>
      </c>
      <c r="AM70" s="49">
        <f t="shared" si="375"/>
        <v>1107018.1450648431</v>
      </c>
      <c r="AN70" s="49">
        <f t="shared" si="375"/>
        <v>1050923.1514029966</v>
      </c>
      <c r="AO70" s="49">
        <f t="shared" si="375"/>
        <v>946394.49189445085</v>
      </c>
      <c r="AP70" s="49">
        <f t="shared" si="375"/>
        <v>980269.66694109701</v>
      </c>
      <c r="AQ70" s="49">
        <f t="shared" si="375"/>
        <v>1091122.5576982794</v>
      </c>
      <c r="AR70" s="49">
        <f t="shared" si="375"/>
        <v>1173345.4165751</v>
      </c>
      <c r="AS70" s="49">
        <f t="shared" si="375"/>
        <v>1200301.9882335844</v>
      </c>
      <c r="AT70" s="49">
        <f t="shared" si="375"/>
        <v>1212308.9277305761</v>
      </c>
      <c r="AU70" s="49">
        <f t="shared" si="375"/>
        <v>1113467.1918631792</v>
      </c>
      <c r="AV70" s="49">
        <f t="shared" si="375"/>
        <v>981117.22422696999</v>
      </c>
      <c r="AW70" s="49">
        <f t="shared" si="375"/>
        <v>1062930.0447087046</v>
      </c>
      <c r="AX70" s="49">
        <f t="shared" ref="AX70:AY70" si="376">IF(AX52="","",+AX52+(AX57*AX62/AX65))</f>
        <v>1099098.7608177634</v>
      </c>
      <c r="AY70" s="49">
        <f t="shared" si="376"/>
        <v>764411.39598139795</v>
      </c>
      <c r="AZ70" s="49">
        <f t="shared" ref="AZ70:BA70" si="377">IF(AZ52="","",+AZ52+(AZ57*AZ62/AZ65))</f>
        <v>318623.73714683513</v>
      </c>
      <c r="BA70" s="49">
        <f t="shared" si="377"/>
        <v>268197.12227908301</v>
      </c>
      <c r="BB70" s="49">
        <f t="shared" ref="BB70:BC70" si="378">IF(BB52="","",+BB52+(BB57*BB62/BB65))</f>
        <v>249075.16076692482</v>
      </c>
      <c r="BC70" s="49">
        <f t="shared" si="378"/>
        <v>296551.86746010336</v>
      </c>
      <c r="BD70" s="49">
        <f t="shared" ref="BD70:BE70" si="379">IF(BD52="","",+BD52+(BD57*BD62/BD65))</f>
        <v>346227.00320999854</v>
      </c>
      <c r="BE70" s="49">
        <f t="shared" si="379"/>
        <v>344571.98080537363</v>
      </c>
      <c r="BF70" s="49">
        <f t="shared" ref="BF70:BG70" si="380">IF(BF52="","",+BF52+(BF57*BF62/BF65))</f>
        <v>343418.65957003599</v>
      </c>
      <c r="BG70" s="49">
        <f t="shared" si="380"/>
        <v>293034.59528354992</v>
      </c>
      <c r="BH70" s="49">
        <f t="shared" ref="BH70:BI70" si="381">IF(BH52="","",+BH52+(BH57*BH62/BH65))</f>
        <v>285307.32387214003</v>
      </c>
      <c r="BI70" s="49">
        <f t="shared" si="381"/>
        <v>306551.46210147406</v>
      </c>
      <c r="BJ70" s="49">
        <f t="shared" ref="BJ70:BK70" si="382">IF(BJ52="","",+BJ52+(BJ57*BJ62/BJ65))</f>
        <v>328395.30665898882</v>
      </c>
      <c r="BK70" s="49">
        <f t="shared" si="382"/>
        <v>129041.97894362173</v>
      </c>
      <c r="BL70" s="49">
        <f t="shared" ref="BL70:BM70" si="383">IF(BL52="","",+BL52+(BL57*BL62/BL65))</f>
        <v>-116248.37555983226</v>
      </c>
      <c r="BM70" s="49">
        <f t="shared" si="383"/>
        <v>-104613.38045356744</v>
      </c>
      <c r="BN70" s="49">
        <f t="shared" ref="BN70:BO70" si="384">IF(BN52="","",+BN52+(BN57*BN62/BN65))</f>
        <v>-106758.31587632833</v>
      </c>
      <c r="BO70" s="49">
        <f t="shared" si="384"/>
        <v>-119183.41184852651</v>
      </c>
      <c r="BP70" s="49">
        <f t="shared" ref="BP70:BQ70" si="385">IF(BP52="","",+BP52+(BP57*BP62/BP65))</f>
        <v>-138596.39079341319</v>
      </c>
      <c r="BQ70" s="49">
        <f t="shared" si="385"/>
        <v>-137793.28735156739</v>
      </c>
      <c r="BR70" s="49">
        <f t="shared" ref="BR70:BS70" si="386">IF(BR52="","",+BR52+(BR57*BR62/BR65))</f>
        <v>-140452.99254978076</v>
      </c>
      <c r="BS70" s="49">
        <f t="shared" si="386"/>
        <v>-123659.88827741763</v>
      </c>
      <c r="BT70" s="49">
        <f t="shared" ref="BT70:BU70" si="387">IF(BT52="","",+BT52+(BT57*BT62/BT65))</f>
        <v>-109523.64277962862</v>
      </c>
      <c r="BU70" s="49">
        <f t="shared" si="387"/>
        <v>-119570.42005814648</v>
      </c>
      <c r="BV70" s="49">
        <f t="shared" ref="BV70:BW70" si="388">IF(BV52="","",+BV52+(BV57*BV62/BV65))</f>
        <v>-127589.09913487616</v>
      </c>
      <c r="BW70" s="49">
        <f t="shared" si="388"/>
        <v>-90032.567630487814</v>
      </c>
      <c r="BX70" s="49">
        <f t="shared" ref="BX70:BY70" si="389">IF(BX52="","",+BX52+(BX57*BX62/BX65))</f>
        <v>-29850.366428408659</v>
      </c>
      <c r="BY70" s="49">
        <f t="shared" si="389"/>
        <v>-27677.731835119779</v>
      </c>
      <c r="BZ70" s="49">
        <f t="shared" ref="BZ70:CA70" si="390">IF(BZ52="","",+BZ52+(BZ57*BZ62/BZ65))</f>
        <v>-28367.49080792554</v>
      </c>
      <c r="CA70" s="49">
        <f t="shared" si="390"/>
        <v>-31712.240190643679</v>
      </c>
      <c r="CB70" s="49">
        <f t="shared" ref="CB70:CC70" si="391">IF(CB52="","",+CB52+(CB57*CB62/CB65))</f>
        <v>-36266.351017925241</v>
      </c>
      <c r="CC70" s="49">
        <f t="shared" si="391"/>
        <v>-35382.790747787352</v>
      </c>
      <c r="CD70" s="49">
        <f t="shared" ref="CD70:CE70" si="392">IF(CD52="","",+CD52+(CD57*CD62/CD65))</f>
        <v>-33777.721147319782</v>
      </c>
      <c r="CE70" s="49">
        <f t="shared" si="392"/>
        <v>-29077.038685363284</v>
      </c>
      <c r="CF70" s="49">
        <f t="shared" ref="CF70:CG70" si="393">IF(CF52="","",+CF52+(CF57*CF62/CF65))</f>
        <v>-27663.737331625234</v>
      </c>
      <c r="CG70" s="49">
        <f t="shared" si="393"/>
        <v>-30688.494005625664</v>
      </c>
      <c r="CH70" s="49">
        <f t="shared" ref="CH70:CI70" si="394">IF(CH52="","",+CH52+(CH57*CH62/CH65))</f>
        <v>-33583.673114546691</v>
      </c>
      <c r="CI70" s="49" t="str">
        <f t="shared" si="394"/>
        <v/>
      </c>
      <c r="CJ70" s="49" t="str">
        <f t="shared" ref="CJ70:CK70" si="395">IF(CJ52="","",+CJ52+(CJ57*CJ62/CJ65))</f>
        <v/>
      </c>
      <c r="CK70" s="49" t="str">
        <f t="shared" si="395"/>
        <v/>
      </c>
      <c r="CL70" s="49" t="str">
        <f t="shared" ref="CL70:CM70" si="396">IF(CL52="","",+CL52+(CL57*CL62/CL65))</f>
        <v/>
      </c>
      <c r="CM70" s="49" t="str">
        <f t="shared" si="396"/>
        <v/>
      </c>
      <c r="CN70" s="49" t="str">
        <f t="shared" ref="CN70:CO70" si="397">IF(CN52="","",+CN52+(CN57*CN62/CN65))</f>
        <v/>
      </c>
      <c r="CO70" s="49" t="str">
        <f t="shared" si="397"/>
        <v/>
      </c>
      <c r="CP70" s="49" t="str">
        <f t="shared" ref="CP70:CQ70" si="398">IF(CP52="","",+CP52+(CP57*CP62/CP65))</f>
        <v/>
      </c>
      <c r="CQ70" s="49" t="str">
        <f t="shared" si="398"/>
        <v/>
      </c>
      <c r="CR70" s="49" t="str">
        <f t="shared" ref="CR70:CS70" si="399">IF(CR52="","",+CR52+(CR57*CR62/CR65))</f>
        <v/>
      </c>
      <c r="CS70" s="49" t="str">
        <f t="shared" si="399"/>
        <v/>
      </c>
      <c r="CT70" s="49" t="str">
        <f t="shared" ref="CT70" si="400">IF(CT52="","",+CT52+(CT57*CT62/CT65))</f>
        <v/>
      </c>
    </row>
    <row r="71" spans="1:98" x14ac:dyDescent="0.35">
      <c r="A71" s="40" t="s">
        <v>36</v>
      </c>
      <c r="B71" s="41"/>
      <c r="C71" s="41"/>
      <c r="D71" s="49">
        <f>+D53+(D57*D63/D65)</f>
        <v>0</v>
      </c>
      <c r="E71" s="49">
        <f t="shared" ref="E71:P71" si="401">+E53+(E57*E63/E65)</f>
        <v>0</v>
      </c>
      <c r="F71" s="49">
        <f t="shared" si="401"/>
        <v>0</v>
      </c>
      <c r="G71" s="49">
        <f t="shared" si="401"/>
        <v>0</v>
      </c>
      <c r="H71" s="49">
        <f t="shared" si="401"/>
        <v>0</v>
      </c>
      <c r="I71" s="49">
        <f t="shared" si="401"/>
        <v>0</v>
      </c>
      <c r="J71" s="49">
        <f t="shared" si="401"/>
        <v>0</v>
      </c>
      <c r="K71" s="49">
        <f t="shared" si="401"/>
        <v>0</v>
      </c>
      <c r="L71" s="49">
        <f t="shared" si="401"/>
        <v>0</v>
      </c>
      <c r="M71" s="49">
        <f t="shared" si="401"/>
        <v>0</v>
      </c>
      <c r="N71" s="49">
        <f t="shared" si="401"/>
        <v>0</v>
      </c>
      <c r="O71" s="49">
        <f t="shared" si="401"/>
        <v>0</v>
      </c>
      <c r="P71" s="49">
        <f t="shared" si="401"/>
        <v>0</v>
      </c>
      <c r="Q71" s="49">
        <f>IF(Q53="","",+Q53+(Q57*Q63/Q65))</f>
        <v>283136.40886630391</v>
      </c>
      <c r="R71" s="49">
        <f t="shared" ref="R71:AW71" si="402">IF(R53="","",+R53+(R57*R63/R65))</f>
        <v>287460.81327816768</v>
      </c>
      <c r="S71" s="49">
        <f t="shared" si="402"/>
        <v>330409.77575572423</v>
      </c>
      <c r="T71" s="49">
        <f t="shared" si="402"/>
        <v>323201.37525993661</v>
      </c>
      <c r="U71" s="49">
        <f t="shared" si="402"/>
        <v>340944.20704658219</v>
      </c>
      <c r="V71" s="49">
        <f t="shared" si="402"/>
        <v>328289.08781066153</v>
      </c>
      <c r="W71" s="49">
        <f t="shared" si="402"/>
        <v>321452.90171375725</v>
      </c>
      <c r="X71" s="49">
        <f t="shared" si="402"/>
        <v>288778.65587559086</v>
      </c>
      <c r="Y71" s="49">
        <f t="shared" si="402"/>
        <v>301751.31193612184</v>
      </c>
      <c r="Z71" s="49">
        <f t="shared" si="402"/>
        <v>332299.53125242464</v>
      </c>
      <c r="AA71" s="98">
        <f>ROUND(IF(AA53="","",+AA53+(AA57*AA63/AA65)),2)-0.01</f>
        <v>302428.95</v>
      </c>
      <c r="AB71" s="49">
        <f t="shared" si="402"/>
        <v>301943.60981245001</v>
      </c>
      <c r="AC71" s="49">
        <f t="shared" si="402"/>
        <v>278699.7057611302</v>
      </c>
      <c r="AD71" s="49">
        <f t="shared" si="402"/>
        <v>322370.88601313852</v>
      </c>
      <c r="AE71" s="49">
        <f t="shared" si="402"/>
        <v>349751.02773569047</v>
      </c>
      <c r="AF71" s="49">
        <f t="shared" si="402"/>
        <v>361975.97928185289</v>
      </c>
      <c r="AG71" s="49">
        <f t="shared" si="402"/>
        <v>356032.65352996916</v>
      </c>
      <c r="AH71" s="49">
        <f t="shared" si="402"/>
        <v>346604.60421828728</v>
      </c>
      <c r="AI71" s="49">
        <f t="shared" si="402"/>
        <v>324956.79952393915</v>
      </c>
      <c r="AJ71" s="49">
        <f t="shared" si="402"/>
        <v>301584.85459624138</v>
      </c>
      <c r="AK71" s="49">
        <f t="shared" si="402"/>
        <v>323402.5858220082</v>
      </c>
      <c r="AL71" s="49">
        <f t="shared" si="402"/>
        <v>296745.40272335312</v>
      </c>
      <c r="AM71" s="49">
        <f t="shared" si="402"/>
        <v>355667.68860749144</v>
      </c>
      <c r="AN71" s="49">
        <f t="shared" si="402"/>
        <v>352302.39917248994</v>
      </c>
      <c r="AO71" s="49">
        <f t="shared" si="402"/>
        <v>338612.44673821039</v>
      </c>
      <c r="AP71" s="49">
        <f t="shared" si="402"/>
        <v>338607.64249172056</v>
      </c>
      <c r="AQ71" s="49">
        <f t="shared" si="402"/>
        <v>393628.70516997529</v>
      </c>
      <c r="AR71" s="49">
        <f t="shared" si="402"/>
        <v>395351.293050832</v>
      </c>
      <c r="AS71" s="49">
        <f t="shared" si="402"/>
        <v>414954.8489846529</v>
      </c>
      <c r="AT71" s="49">
        <f t="shared" si="402"/>
        <v>412666.27260449337</v>
      </c>
      <c r="AU71" s="49">
        <f t="shared" si="402"/>
        <v>382499.83186560834</v>
      </c>
      <c r="AV71" s="49">
        <f t="shared" si="402"/>
        <v>352969.01405759109</v>
      </c>
      <c r="AW71" s="49">
        <f t="shared" si="402"/>
        <v>354749.07044000481</v>
      </c>
      <c r="AX71" s="49">
        <f t="shared" ref="AX71:AY71" si="403">IF(AX53="","",+AX53+(AX57*AX63/AX65))</f>
        <v>364800.86761435715</v>
      </c>
      <c r="AY71" s="49">
        <f t="shared" si="403"/>
        <v>290547.34153219213</v>
      </c>
      <c r="AZ71" s="49">
        <f t="shared" ref="AZ71:BA71" si="404">IF(AZ53="","",+AZ53+(AZ57*AZ63/AZ65))</f>
        <v>123016.66955581112</v>
      </c>
      <c r="BA71" s="49">
        <f t="shared" si="404"/>
        <v>118618.96587713738</v>
      </c>
      <c r="BB71" s="49">
        <f t="shared" ref="BB71:BC71" si="405">IF(BB53="","",+BB53+(BB57*BB63/BB65))</f>
        <v>111705.70022132192</v>
      </c>
      <c r="BC71" s="49">
        <f t="shared" si="405"/>
        <v>130125.71091968814</v>
      </c>
      <c r="BD71" s="49">
        <f t="shared" ref="BD71:BE71" si="406">IF(BD53="","",+BD53+(BD57*BD63/BD65))</f>
        <v>136950.86579751672</v>
      </c>
      <c r="BE71" s="49">
        <f t="shared" si="406"/>
        <v>143566.43039610708</v>
      </c>
      <c r="BF71" s="49">
        <f t="shared" ref="BF71:BG71" si="407">IF(BF53="","",+BF53+(BF57*BF63/BF65))</f>
        <v>143625.78644107448</v>
      </c>
      <c r="BG71" s="49">
        <f t="shared" si="407"/>
        <v>127662.31996824293</v>
      </c>
      <c r="BH71" s="49">
        <f t="shared" ref="BH71:BI71" si="408">IF(BH53="","",+BH53+(BH57*BH63/BH65))</f>
        <v>126708.68055025722</v>
      </c>
      <c r="BI71" s="49">
        <f t="shared" si="408"/>
        <v>132518.9610920955</v>
      </c>
      <c r="BJ71" s="49">
        <f t="shared" ref="BJ71:BK71" si="409">IF(BJ53="","",+BJ53+(BJ57*BJ63/BJ65))</f>
        <v>130056.06716620013</v>
      </c>
      <c r="BK71" s="49">
        <f t="shared" si="409"/>
        <v>73469.336246691571</v>
      </c>
      <c r="BL71" s="49">
        <f t="shared" ref="BL71:BM71" si="410">IF(BL53="","",+BL53+(BL57*BL63/BL65))</f>
        <v>-22612.659176541922</v>
      </c>
      <c r="BM71" s="49">
        <f t="shared" si="410"/>
        <v>-24415.905916675132</v>
      </c>
      <c r="BN71" s="49">
        <f t="shared" ref="BN71:BO71" si="411">IF(BN53="","",+BN53+(BN57*BN63/BN65))</f>
        <v>-26227.136477870259</v>
      </c>
      <c r="BO71" s="49">
        <f t="shared" si="411"/>
        <v>-23636.693041994658</v>
      </c>
      <c r="BP71" s="49">
        <f t="shared" ref="BP71:BQ71" si="412">IF(BP53="","",+BP53+(BP57*BP63/BP65))</f>
        <v>-32709.066060894642</v>
      </c>
      <c r="BQ71" s="49">
        <f t="shared" si="412"/>
        <v>-30007.954013018152</v>
      </c>
      <c r="BR71" s="49">
        <f t="shared" ref="BR71:BS71" si="413">IF(BR53="","",+BR53+(BR57*BR63/BR65))</f>
        <v>-30398.556259296256</v>
      </c>
      <c r="BS71" s="49">
        <f t="shared" si="413"/>
        <v>-26335.111362820855</v>
      </c>
      <c r="BT71" s="49">
        <f t="shared" ref="BT71:BU71" si="414">IF(BT53="","",+BT53+(BT57*BT63/BT65))</f>
        <v>-22828.889630809208</v>
      </c>
      <c r="BU71" s="49">
        <f t="shared" si="414"/>
        <v>-29924.142514541847</v>
      </c>
      <c r="BV71" s="49">
        <f t="shared" ref="BV71:BW71" si="415">IF(BV53="","",+BV53+(BV57*BV63/BV65))</f>
        <v>-28848.082586273878</v>
      </c>
      <c r="BW71" s="49">
        <f t="shared" si="415"/>
        <v>-20936.748032217365</v>
      </c>
      <c r="BX71" s="49">
        <f t="shared" ref="BX71:BY71" si="416">IF(BX53="","",+BX53+(BX57*BX63/BX65))</f>
        <v>-9363.3583204824445</v>
      </c>
      <c r="BY71" s="49">
        <f t="shared" si="416"/>
        <v>-9437.0051141241493</v>
      </c>
      <c r="BZ71" s="49">
        <f t="shared" ref="BZ71:CA71" si="417">IF(BZ53="","",+BZ53+(BZ57*BZ63/BZ65))</f>
        <v>-9234.9091119732129</v>
      </c>
      <c r="CA71" s="49">
        <f t="shared" si="417"/>
        <v>-10506.965502226194</v>
      </c>
      <c r="CB71" s="49">
        <f t="shared" ref="CB71:CC71" si="418">IF(CB53="","",+CB53+(CB57*CB63/CB65))</f>
        <v>-10928.084351774703</v>
      </c>
      <c r="CC71" s="49">
        <f t="shared" si="418"/>
        <v>-10838.193004551051</v>
      </c>
      <c r="CD71" s="49">
        <f t="shared" ref="CD71:CE71" si="419">IF(CD53="","",+CD53+(CD57*CD63/CD65))</f>
        <v>-10559.893442002107</v>
      </c>
      <c r="CE71" s="49">
        <f t="shared" si="419"/>
        <v>-9362.8553505780201</v>
      </c>
      <c r="CF71" s="49">
        <f t="shared" ref="CF71:CG71" si="420">IF(CF53="","",+CF53+(CF57*CF63/CF65))</f>
        <v>-9103.0248795618627</v>
      </c>
      <c r="CG71" s="49">
        <f t="shared" si="420"/>
        <v>-9479.4809178612231</v>
      </c>
      <c r="CH71" s="49">
        <f t="shared" ref="CH71:CI71" si="421">IF(CH53="","",+CH53+(CH57*CH63/CH65))</f>
        <v>-9844.0501719231434</v>
      </c>
      <c r="CI71" s="49" t="str">
        <f t="shared" si="421"/>
        <v/>
      </c>
      <c r="CJ71" s="49" t="str">
        <f t="shared" ref="CJ71:CK71" si="422">IF(CJ53="","",+CJ53+(CJ57*CJ63/CJ65))</f>
        <v/>
      </c>
      <c r="CK71" s="49" t="str">
        <f t="shared" si="422"/>
        <v/>
      </c>
      <c r="CL71" s="49" t="str">
        <f t="shared" ref="CL71:CM71" si="423">IF(CL53="","",+CL53+(CL57*CL63/CL65))</f>
        <v/>
      </c>
      <c r="CM71" s="49" t="str">
        <f t="shared" si="423"/>
        <v/>
      </c>
      <c r="CN71" s="49" t="str">
        <f t="shared" ref="CN71:CO71" si="424">IF(CN53="","",+CN53+(CN57*CN63/CN65))</f>
        <v/>
      </c>
      <c r="CO71" s="49" t="str">
        <f t="shared" si="424"/>
        <v/>
      </c>
      <c r="CP71" s="49" t="str">
        <f t="shared" ref="CP71:CQ71" si="425">IF(CP53="","",+CP53+(CP57*CP63/CP65))</f>
        <v/>
      </c>
      <c r="CQ71" s="49" t="str">
        <f t="shared" si="425"/>
        <v/>
      </c>
      <c r="CR71" s="49" t="str">
        <f t="shared" ref="CR71:CS71" si="426">IF(CR53="","",+CR53+(CR57*CR63/CR65))</f>
        <v/>
      </c>
      <c r="CS71" s="49" t="str">
        <f t="shared" si="426"/>
        <v/>
      </c>
      <c r="CT71" s="49" t="str">
        <f t="shared" ref="CT71" si="427">IF(CT53="","",+CT53+(CT57*CT63/CT65))</f>
        <v/>
      </c>
    </row>
    <row r="72" spans="1:98" x14ac:dyDescent="0.35">
      <c r="A72" s="40" t="s">
        <v>37</v>
      </c>
      <c r="B72" s="41"/>
      <c r="C72" s="41"/>
      <c r="D72" s="49">
        <f>+D54+(D57*D64/D65)</f>
        <v>0</v>
      </c>
      <c r="E72" s="49">
        <f t="shared" ref="E72:P72" si="428">+E54+(E57*E64/E65)</f>
        <v>0</v>
      </c>
      <c r="F72" s="49">
        <f t="shared" si="428"/>
        <v>0</v>
      </c>
      <c r="G72" s="49">
        <f t="shared" si="428"/>
        <v>0</v>
      </c>
      <c r="H72" s="49">
        <f t="shared" si="428"/>
        <v>0</v>
      </c>
      <c r="I72" s="49">
        <f t="shared" si="428"/>
        <v>0</v>
      </c>
      <c r="J72" s="49">
        <f t="shared" si="428"/>
        <v>0</v>
      </c>
      <c r="K72" s="49">
        <f t="shared" si="428"/>
        <v>0</v>
      </c>
      <c r="L72" s="49">
        <f t="shared" si="428"/>
        <v>0</v>
      </c>
      <c r="M72" s="49">
        <f t="shared" si="428"/>
        <v>0</v>
      </c>
      <c r="N72" s="49">
        <f t="shared" si="428"/>
        <v>0</v>
      </c>
      <c r="O72" s="49">
        <f t="shared" si="428"/>
        <v>0</v>
      </c>
      <c r="P72" s="49">
        <f t="shared" si="428"/>
        <v>0</v>
      </c>
      <c r="Q72" s="49">
        <f>IF(Q54="","",+Q54+(Q57*Q64/Q65))</f>
        <v>183651.06125723169</v>
      </c>
      <c r="R72" s="49">
        <f t="shared" ref="R72:AW72" si="429">IF(R54="","",+R54+(R57*R64/R65))</f>
        <v>187110.90550820582</v>
      </c>
      <c r="S72" s="49">
        <f t="shared" si="429"/>
        <v>223442.58102316182</v>
      </c>
      <c r="T72" s="49">
        <f t="shared" si="429"/>
        <v>211112.22603032622</v>
      </c>
      <c r="U72" s="49">
        <f t="shared" si="429"/>
        <v>233963.66032568182</v>
      </c>
      <c r="V72" s="49">
        <f t="shared" si="429"/>
        <v>223064.28470931173</v>
      </c>
      <c r="W72" s="49">
        <f t="shared" si="429"/>
        <v>212741.63673550039</v>
      </c>
      <c r="X72" s="49">
        <f t="shared" si="429"/>
        <v>202298.65943791193</v>
      </c>
      <c r="Y72" s="49">
        <f t="shared" si="429"/>
        <v>185145.40058784836</v>
      </c>
      <c r="Z72" s="49">
        <f t="shared" si="429"/>
        <v>187242.02591890033</v>
      </c>
      <c r="AA72" s="52">
        <f>ROUND(IF(AA54="","",+AA54+(AA57*AA64/AA65)),2)</f>
        <v>102199.67</v>
      </c>
      <c r="AB72" s="49">
        <f t="shared" si="429"/>
        <v>15774.991410991883</v>
      </c>
      <c r="AC72" s="49">
        <f t="shared" si="429"/>
        <v>14999.076289049191</v>
      </c>
      <c r="AD72" s="49">
        <f t="shared" si="429"/>
        <v>17802.440022199695</v>
      </c>
      <c r="AE72" s="49">
        <f t="shared" si="429"/>
        <v>19775.612550633668</v>
      </c>
      <c r="AF72" s="49">
        <f t="shared" si="429"/>
        <v>11062.273989486501</v>
      </c>
      <c r="AG72" s="49">
        <f t="shared" si="429"/>
        <v>20313.771907757455</v>
      </c>
      <c r="AH72" s="49">
        <f t="shared" si="429"/>
        <v>19132.25484498954</v>
      </c>
      <c r="AI72" s="49">
        <f t="shared" si="429"/>
        <v>18842.570934578442</v>
      </c>
      <c r="AJ72" s="49">
        <f t="shared" si="429"/>
        <v>17291.908336856264</v>
      </c>
      <c r="AK72" s="49">
        <f t="shared" si="429"/>
        <v>16424.771759142779</v>
      </c>
      <c r="AL72" s="49">
        <f t="shared" si="429"/>
        <v>19194.293385468092</v>
      </c>
      <c r="AM72" s="49">
        <f t="shared" si="429"/>
        <v>38886.814638059877</v>
      </c>
      <c r="AN72" s="49">
        <f t="shared" si="429"/>
        <v>62163.30838583759</v>
      </c>
      <c r="AO72" s="49">
        <f t="shared" si="429"/>
        <v>62277.891788111709</v>
      </c>
      <c r="AP72" s="49">
        <f t="shared" si="429"/>
        <v>61090.351080169654</v>
      </c>
      <c r="AQ72" s="49">
        <f t="shared" si="429"/>
        <v>77031.361873120681</v>
      </c>
      <c r="AR72" s="49">
        <f t="shared" si="429"/>
        <v>71605.590509478847</v>
      </c>
      <c r="AS72" s="49">
        <f t="shared" si="429"/>
        <v>79252.326006964737</v>
      </c>
      <c r="AT72" s="49">
        <f t="shared" si="429"/>
        <v>80418.423982704393</v>
      </c>
      <c r="AU72" s="49">
        <f t="shared" si="429"/>
        <v>75914.605849404077</v>
      </c>
      <c r="AV72" s="49">
        <f t="shared" si="429"/>
        <v>67084.185364881603</v>
      </c>
      <c r="AW72" s="49">
        <f t="shared" si="429"/>
        <v>62856.748290520285</v>
      </c>
      <c r="AX72" s="49">
        <f t="shared" ref="AX72:AY72" si="430">IF(AX54="","",+AX54+(AX57*AX64/AX65))</f>
        <v>66459.230205220156</v>
      </c>
      <c r="AY72" s="49">
        <f t="shared" si="430"/>
        <v>66430.245030828315</v>
      </c>
      <c r="AZ72" s="49">
        <f t="shared" ref="AZ72:BA72" si="431">IF(AZ54="","",+AZ54+(AZ57*AZ64/AZ65))</f>
        <v>38508.585383210528</v>
      </c>
      <c r="BA72" s="49">
        <f t="shared" si="431"/>
        <v>44139.712667457272</v>
      </c>
      <c r="BB72" s="49">
        <f t="shared" ref="BB72:BC72" si="432">IF(BB54="","",+BB54+(BB57*BB64/BB65))</f>
        <v>44831.320451790816</v>
      </c>
      <c r="BC72" s="49">
        <f t="shared" si="432"/>
        <v>11299.677842574871</v>
      </c>
      <c r="BD72" s="49">
        <f t="shared" ref="BD72:BE72" si="433">IF(BD54="","",+BD54+(BD57*BD64/BD65))</f>
        <v>50403.777431042647</v>
      </c>
      <c r="BE72" s="49">
        <f t="shared" si="433"/>
        <v>51924.778274542303</v>
      </c>
      <c r="BF72" s="49">
        <f t="shared" ref="BF72:BG72" si="434">IF(BF54="","",+BF54+(BF57*BF64/BF65))</f>
        <v>52673.048419221035</v>
      </c>
      <c r="BG72" s="49">
        <f t="shared" si="434"/>
        <v>46395.596252741838</v>
      </c>
      <c r="BH72" s="49">
        <f t="shared" ref="BH72:BI72" si="435">IF(BH54="","",+BH54+(BH57*BH64/BH65))</f>
        <v>45485.528963265475</v>
      </c>
      <c r="BI72" s="49">
        <f t="shared" si="435"/>
        <v>46424.397026326449</v>
      </c>
      <c r="BJ72" s="49">
        <f t="shared" ref="BJ72:BK72" si="436">IF(BJ54="","",+BJ54+(BJ57*BJ64/BJ65))</f>
        <v>42444.211387439616</v>
      </c>
      <c r="BK72" s="49">
        <f t="shared" si="436"/>
        <v>37845.94077531778</v>
      </c>
      <c r="BL72" s="49">
        <f t="shared" ref="BL72:BM72" si="437">IF(BL54="","",+BL54+(BL57*BL64/BL65))</f>
        <v>-731.33700161567504</v>
      </c>
      <c r="BM72" s="49">
        <f t="shared" si="437"/>
        <v>1437.7999422217736</v>
      </c>
      <c r="BN72" s="49">
        <f t="shared" ref="BN72:BO72" si="438">IF(BN54="","",+BN54+(BN57*BN64/BN65))</f>
        <v>1448.8425667251033</v>
      </c>
      <c r="BO72" s="49">
        <f t="shared" si="438"/>
        <v>1380.7821512277105</v>
      </c>
      <c r="BP72" s="49">
        <f t="shared" ref="BP72:BQ72" si="439">IF(BP54="","",+BP54+(BP57*BP64/BP65))</f>
        <v>1767.2604926793401</v>
      </c>
      <c r="BQ72" s="49">
        <f t="shared" si="439"/>
        <v>1691.5909448949833</v>
      </c>
      <c r="BR72" s="49">
        <f t="shared" ref="BR72:BS72" si="440">IF(BR54="","",+BR54+(BR57*BR64/BR65))</f>
        <v>1824.9961214654177</v>
      </c>
      <c r="BS72" s="49">
        <f t="shared" si="440"/>
        <v>1633.3060195728406</v>
      </c>
      <c r="BT72" s="49">
        <f t="shared" ref="BT72:BU72" si="441">IF(BT54="","",+BT54+(BT57*BT64/BT65))</f>
        <v>1134.0675425845006</v>
      </c>
      <c r="BU72" s="49">
        <f t="shared" si="441"/>
        <v>1713.7681476555249</v>
      </c>
      <c r="BV72" s="49">
        <f t="shared" ref="BV72:BW72" si="442">IF(BV54="","",+BV54+(BV57*BV64/BV65))</f>
        <v>1528.2002495401016</v>
      </c>
      <c r="BW72" s="49">
        <f t="shared" si="442"/>
        <v>880.06349454617578</v>
      </c>
      <c r="BX72" s="49">
        <f t="shared" ref="BX72:BY72" si="443">IF(BX54="","",+BX54+(BX57*BX64/BX65))</f>
        <v>-2097.7749559192816</v>
      </c>
      <c r="BY72" s="49">
        <f t="shared" si="443"/>
        <v>-9941.5602511884663</v>
      </c>
      <c r="BZ72" s="49">
        <f t="shared" ref="BZ72:CA72" si="444">IF(BZ54="","",+BZ54+(BZ57*BZ64/BZ65))</f>
        <v>-1916.6757761009615</v>
      </c>
      <c r="CA72" s="49">
        <f t="shared" si="444"/>
        <v>-2336.6180031047011</v>
      </c>
      <c r="CB72" s="49">
        <f t="shared" ref="CB72:CC72" si="445">IF(CB54="","",+CB54+(CB57*CB64/CB65))</f>
        <v>-2679.3289962978324</v>
      </c>
      <c r="CC72" s="49">
        <f t="shared" si="445"/>
        <v>-2648.8730550887763</v>
      </c>
      <c r="CD72" s="49">
        <f t="shared" ref="CD72:CE72" si="446">IF(CD54="","",+CD54+(CD57*CD64/CD65))</f>
        <v>-2762.0412565834886</v>
      </c>
      <c r="CE72" s="49">
        <f t="shared" si="446"/>
        <v>-2372.9708277142608</v>
      </c>
      <c r="CF72" s="49">
        <f t="shared" ref="CF72:CG72" si="447">IF(CF54="","",+CF54+(CF57*CF64/CF65))</f>
        <v>-2296.0779711860914</v>
      </c>
      <c r="CG72" s="49">
        <f t="shared" si="447"/>
        <v>-2247.299610025249</v>
      </c>
      <c r="CH72" s="49">
        <f t="shared" ref="CH72:CI72" si="448">IF(CH54="","",+CH54+(CH57*CH64/CH65))</f>
        <v>-2366.5938512279645</v>
      </c>
      <c r="CI72" s="49" t="str">
        <f t="shared" si="448"/>
        <v/>
      </c>
      <c r="CJ72" s="49" t="str">
        <f t="shared" ref="CJ72:CK72" si="449">IF(CJ54="","",+CJ54+(CJ57*CJ64/CJ65))</f>
        <v/>
      </c>
      <c r="CK72" s="49" t="str">
        <f t="shared" si="449"/>
        <v/>
      </c>
      <c r="CL72" s="49" t="str">
        <f t="shared" ref="CL72:CM72" si="450">IF(CL54="","",+CL54+(CL57*CL64/CL65))</f>
        <v/>
      </c>
      <c r="CM72" s="49" t="str">
        <f t="shared" si="450"/>
        <v/>
      </c>
      <c r="CN72" s="49" t="str">
        <f t="shared" ref="CN72:CO72" si="451">IF(CN54="","",+CN54+(CN57*CN64/CN65))</f>
        <v/>
      </c>
      <c r="CO72" s="49" t="str">
        <f t="shared" si="451"/>
        <v/>
      </c>
      <c r="CP72" s="49" t="str">
        <f t="shared" ref="CP72:CQ72" si="452">IF(CP54="","",+CP54+(CP57*CP64/CP65))</f>
        <v/>
      </c>
      <c r="CQ72" s="49" t="str">
        <f t="shared" si="452"/>
        <v/>
      </c>
      <c r="CR72" s="49" t="str">
        <f t="shared" ref="CR72:CS72" si="453">IF(CR54="","",+CR54+(CR57*CR64/CR65))</f>
        <v/>
      </c>
      <c r="CS72" s="49" t="str">
        <f t="shared" si="453"/>
        <v/>
      </c>
      <c r="CT72" s="49" t="str">
        <f t="shared" ref="CT72" si="454">IF(CT54="","",+CT54+(CT57*CT64/CT65))</f>
        <v/>
      </c>
    </row>
    <row r="73" spans="1:98" x14ac:dyDescent="0.35">
      <c r="A73" s="35" t="s">
        <v>31</v>
      </c>
      <c r="B73" s="33"/>
      <c r="C73" s="33"/>
      <c r="D73" s="48">
        <f>SUM(D68:D72)</f>
        <v>0</v>
      </c>
      <c r="E73" s="48">
        <f t="shared" ref="E73:AW73" si="455">SUM(E68:E72)</f>
        <v>0</v>
      </c>
      <c r="F73" s="48">
        <f t="shared" si="455"/>
        <v>0</v>
      </c>
      <c r="G73" s="48">
        <f t="shared" si="455"/>
        <v>0</v>
      </c>
      <c r="H73" s="48">
        <f t="shared" si="455"/>
        <v>0</v>
      </c>
      <c r="I73" s="48">
        <f t="shared" si="455"/>
        <v>0</v>
      </c>
      <c r="J73" s="48">
        <f t="shared" si="455"/>
        <v>0</v>
      </c>
      <c r="K73" s="48">
        <f t="shared" si="455"/>
        <v>0</v>
      </c>
      <c r="L73" s="48">
        <f t="shared" si="455"/>
        <v>0</v>
      </c>
      <c r="M73" s="48">
        <f t="shared" si="455"/>
        <v>0</v>
      </c>
      <c r="N73" s="48">
        <f t="shared" si="455"/>
        <v>0</v>
      </c>
      <c r="O73" s="48">
        <f t="shared" si="455"/>
        <v>0</v>
      </c>
      <c r="P73" s="48">
        <f t="shared" si="455"/>
        <v>0</v>
      </c>
      <c r="Q73" s="48">
        <f t="shared" si="455"/>
        <v>1865586.4</v>
      </c>
      <c r="R73" s="48">
        <f t="shared" si="455"/>
        <v>1834668.94</v>
      </c>
      <c r="S73" s="48">
        <f t="shared" si="455"/>
        <v>2295880.5499999998</v>
      </c>
      <c r="T73" s="48">
        <f t="shared" si="455"/>
        <v>2739739.71</v>
      </c>
      <c r="U73" s="48">
        <f t="shared" si="455"/>
        <v>2810029.67</v>
      </c>
      <c r="V73" s="48">
        <f t="shared" si="455"/>
        <v>2397146.59</v>
      </c>
      <c r="W73" s="48">
        <f t="shared" si="455"/>
        <v>2196198.75</v>
      </c>
      <c r="X73" s="48">
        <f t="shared" si="455"/>
        <v>1955310.19</v>
      </c>
      <c r="Y73" s="48">
        <f t="shared" si="455"/>
        <v>2272928.3199999998</v>
      </c>
      <c r="Z73" s="48">
        <f t="shared" si="455"/>
        <v>3133513.62</v>
      </c>
      <c r="AA73" s="48">
        <f t="shared" si="455"/>
        <v>2686519.3200000003</v>
      </c>
      <c r="AB73" s="48">
        <f t="shared" si="455"/>
        <v>2253809.6800000002</v>
      </c>
      <c r="AC73" s="48">
        <f t="shared" si="455"/>
        <v>2191880.62</v>
      </c>
      <c r="AD73" s="48">
        <f t="shared" si="455"/>
        <v>2008078.91</v>
      </c>
      <c r="AE73" s="48">
        <f t="shared" si="455"/>
        <v>2628092.9099999997</v>
      </c>
      <c r="AF73" s="48">
        <f t="shared" si="455"/>
        <v>2927384.48</v>
      </c>
      <c r="AG73" s="48">
        <f t="shared" si="455"/>
        <v>2713828.67</v>
      </c>
      <c r="AH73" s="48">
        <f t="shared" si="455"/>
        <v>2656476.1</v>
      </c>
      <c r="AI73" s="48">
        <f t="shared" si="455"/>
        <v>2241568.5699999998</v>
      </c>
      <c r="AJ73" s="48">
        <f t="shared" si="455"/>
        <v>2050332.64</v>
      </c>
      <c r="AK73" s="48">
        <f t="shared" si="455"/>
        <v>2540211.5599999996</v>
      </c>
      <c r="AL73" s="48">
        <f t="shared" si="455"/>
        <v>2758522.64</v>
      </c>
      <c r="AM73" s="48">
        <f t="shared" si="455"/>
        <v>3731846.2900000005</v>
      </c>
      <c r="AN73" s="48">
        <f t="shared" si="455"/>
        <v>3504116.6100000003</v>
      </c>
      <c r="AO73" s="48">
        <f t="shared" si="455"/>
        <v>2834702.33</v>
      </c>
      <c r="AP73" s="48">
        <f t="shared" si="455"/>
        <v>2693990.75</v>
      </c>
      <c r="AQ73" s="48">
        <f t="shared" si="455"/>
        <v>3224890.5700000003</v>
      </c>
      <c r="AR73" s="48">
        <f t="shared" si="455"/>
        <v>3677369.72</v>
      </c>
      <c r="AS73" s="48">
        <f t="shared" si="455"/>
        <v>3821939.25</v>
      </c>
      <c r="AT73" s="48">
        <f t="shared" si="455"/>
        <v>3698449.9900000007</v>
      </c>
      <c r="AU73" s="48">
        <f t="shared" si="455"/>
        <v>3264460.0799999996</v>
      </c>
      <c r="AV73" s="48">
        <f t="shared" si="455"/>
        <v>2921768.73</v>
      </c>
      <c r="AW73" s="48">
        <f t="shared" si="455"/>
        <v>3431438.0599999996</v>
      </c>
      <c r="AX73" s="48">
        <f t="shared" ref="AX73:AY73" si="456">SUM(AX68:AX72)</f>
        <v>3659744.19</v>
      </c>
      <c r="AY73" s="48">
        <f t="shared" si="456"/>
        <v>2389556.5699999998</v>
      </c>
      <c r="AZ73" s="48">
        <f t="shared" ref="AZ73:BA73" si="457">SUM(AZ68:AZ72)</f>
        <v>693510.74000000011</v>
      </c>
      <c r="BA73" s="48">
        <f t="shared" si="457"/>
        <v>590167.07000000007</v>
      </c>
      <c r="BB73" s="48">
        <f t="shared" ref="BB73:BC73" si="458">SUM(BB68:BB72)</f>
        <v>548810.88</v>
      </c>
      <c r="BC73" s="48">
        <f t="shared" si="458"/>
        <v>622900.26</v>
      </c>
      <c r="BD73" s="48">
        <f t="shared" ref="BD73:BE73" si="459">SUM(BD68:BD72)</f>
        <v>774512.69</v>
      </c>
      <c r="BE73" s="48">
        <f t="shared" si="459"/>
        <v>770258.37</v>
      </c>
      <c r="BF73" s="48">
        <f t="shared" ref="BF73:BG73" si="460">SUM(BF68:BF72)</f>
        <v>751740.30999999994</v>
      </c>
      <c r="BG73" s="48">
        <f t="shared" si="460"/>
        <v>622388.87</v>
      </c>
      <c r="BH73" s="48">
        <f t="shared" ref="BH73:BI73" si="461">SUM(BH68:BH72)</f>
        <v>618464.56000000006</v>
      </c>
      <c r="BI73" s="48">
        <f t="shared" si="461"/>
        <v>686712.57000000007</v>
      </c>
      <c r="BJ73" s="48">
        <f t="shared" ref="BJ73:BK73" si="462">SUM(BJ68:BJ72)</f>
        <v>753788.79</v>
      </c>
      <c r="BK73" s="48">
        <f t="shared" si="462"/>
        <v>123252.23000000001</v>
      </c>
      <c r="BL73" s="48">
        <f t="shared" ref="BL73:BM73" si="463">SUM(BL68:BL72)</f>
        <v>-572800.92000000004</v>
      </c>
      <c r="BM73" s="48">
        <f t="shared" si="463"/>
        <v>-433116.60999999993</v>
      </c>
      <c r="BN73" s="48">
        <f t="shared" ref="BN73:BO73" si="464">SUM(BN68:BN72)</f>
        <v>-422296.81</v>
      </c>
      <c r="BO73" s="48">
        <f t="shared" si="464"/>
        <v>-511624.21</v>
      </c>
      <c r="BP73" s="48">
        <f t="shared" ref="BP73:BQ73" si="465">SUM(BP68:BP72)</f>
        <v>-644535.94999999995</v>
      </c>
      <c r="BQ73" s="48">
        <f t="shared" si="465"/>
        <v>-648872.89000000013</v>
      </c>
      <c r="BR73" s="48">
        <f t="shared" ref="BR73:BS73" si="466">SUM(BR68:BR72)</f>
        <v>-646588.66999999981</v>
      </c>
      <c r="BS73" s="48">
        <f t="shared" si="466"/>
        <v>-495839.7</v>
      </c>
      <c r="BT73" s="48">
        <f t="shared" ref="BT73:BU73" si="467">SUM(BT68:BT72)</f>
        <v>-452926.68</v>
      </c>
      <c r="BU73" s="48">
        <f t="shared" si="467"/>
        <v>-540882.02999999991</v>
      </c>
      <c r="BV73" s="48">
        <f t="shared" ref="BV73:BW73" si="468">SUM(BV68:BV72)</f>
        <v>-651029.75</v>
      </c>
      <c r="BW73" s="48">
        <f t="shared" si="468"/>
        <v>-427144.88000000006</v>
      </c>
      <c r="BX73" s="48">
        <f t="shared" ref="BX73:BY73" si="469">SUM(BX68:BX72)</f>
        <v>-59180.160000000003</v>
      </c>
      <c r="BY73" s="48">
        <f t="shared" si="469"/>
        <v>-58562.48</v>
      </c>
      <c r="BZ73" s="48">
        <f t="shared" ref="BZ73:CA73" si="470">SUM(BZ68:BZ72)</f>
        <v>-50748.47</v>
      </c>
      <c r="CA73" s="48">
        <f t="shared" si="470"/>
        <v>-58661.3</v>
      </c>
      <c r="CB73" s="48">
        <f t="shared" ref="CB73:CC73" si="471">SUM(CB68:CB72)</f>
        <v>-68462.3</v>
      </c>
      <c r="CC73" s="48">
        <f t="shared" si="471"/>
        <v>-66846.459999999992</v>
      </c>
      <c r="CD73" s="48">
        <f t="shared" ref="CD73:CE73" si="472">SUM(CD68:CD72)</f>
        <v>-62475.11</v>
      </c>
      <c r="CE73" s="48">
        <f t="shared" si="472"/>
        <v>-52251.13</v>
      </c>
      <c r="CF73" s="48">
        <f>SUM(CF68:CF72)</f>
        <v>-50085.028663139092</v>
      </c>
      <c r="CG73" s="48">
        <f>SUM(CG68:CG72)</f>
        <v>-57546.254981791295</v>
      </c>
      <c r="CH73" s="48">
        <f>SUM(CH68:CH72)</f>
        <v>-64276.487752711299</v>
      </c>
      <c r="CI73" s="48">
        <f t="shared" ref="CI73" si="473">SUM(CI68:CI72)</f>
        <v>0</v>
      </c>
      <c r="CJ73" s="48">
        <f t="shared" ref="CJ73:CK73" si="474">SUM(CJ68:CJ72)</f>
        <v>0</v>
      </c>
      <c r="CK73" s="48">
        <f t="shared" si="474"/>
        <v>0</v>
      </c>
      <c r="CL73" s="48">
        <f t="shared" ref="CL73:CM73" si="475">SUM(CL68:CL72)</f>
        <v>0</v>
      </c>
      <c r="CM73" s="48">
        <f t="shared" si="475"/>
        <v>0</v>
      </c>
      <c r="CN73" s="48">
        <f t="shared" ref="CN73:CO73" si="476">SUM(CN68:CN72)</f>
        <v>0</v>
      </c>
      <c r="CO73" s="48">
        <f t="shared" si="476"/>
        <v>0</v>
      </c>
      <c r="CP73" s="48">
        <f t="shared" ref="CP73:CQ73" si="477">SUM(CP68:CP72)</f>
        <v>0</v>
      </c>
      <c r="CQ73" s="48">
        <f t="shared" si="477"/>
        <v>0</v>
      </c>
      <c r="CR73" s="48">
        <f t="shared" ref="CR73:CS73" si="478">SUM(CR68:CR72)</f>
        <v>0</v>
      </c>
      <c r="CS73" s="48">
        <f t="shared" si="478"/>
        <v>0</v>
      </c>
      <c r="CT73" s="48">
        <f t="shared" ref="CT73" si="479">SUM(CT68:CT72)</f>
        <v>0</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2:CA44"/>
  <sheetViews>
    <sheetView workbookViewId="0">
      <pane xSplit="2" ySplit="2" topLeftCell="BH3" activePane="bottomRight" state="frozen"/>
      <selection pane="topRight" activeCell="C1" sqref="C1"/>
      <selection pane="bottomLeft" activeCell="A3" sqref="A3"/>
      <selection pane="bottomRight" activeCell="BK16" sqref="BK16"/>
    </sheetView>
  </sheetViews>
  <sheetFormatPr defaultRowHeight="14.5" x14ac:dyDescent="0.35"/>
  <cols>
    <col min="1" max="1" width="9.1796875" style="61"/>
    <col min="2" max="2" width="29.1796875" customWidth="1"/>
    <col min="3" max="3" width="11.54296875" bestFit="1" customWidth="1"/>
    <col min="4" max="5" width="13.26953125" bestFit="1" customWidth="1"/>
    <col min="6" max="6" width="12.1796875" bestFit="1" customWidth="1"/>
    <col min="7" max="7" width="11.54296875" bestFit="1" customWidth="1"/>
    <col min="8" max="14" width="13.26953125" bestFit="1" customWidth="1"/>
    <col min="15" max="15" width="13.81640625" bestFit="1" customWidth="1"/>
    <col min="16" max="18" width="13.26953125" bestFit="1" customWidth="1"/>
    <col min="19" max="19" width="11.54296875" bestFit="1" customWidth="1"/>
    <col min="20" max="24" width="13.26953125" bestFit="1" customWidth="1"/>
    <col min="25" max="25" width="11.54296875" bestFit="1" customWidth="1"/>
    <col min="26" max="29" width="13.26953125" bestFit="1" customWidth="1"/>
    <col min="30" max="31" width="12.81640625" bestFit="1" customWidth="1"/>
    <col min="32" max="36" width="13.26953125" bestFit="1" customWidth="1"/>
    <col min="37" max="37" width="12.81640625" bestFit="1" customWidth="1"/>
    <col min="38" max="39" width="13.26953125" bestFit="1" customWidth="1"/>
    <col min="40" max="75" width="13.26953125" style="61" bestFit="1" customWidth="1"/>
  </cols>
  <sheetData>
    <row r="2" spans="1:75" x14ac:dyDescent="0.35">
      <c r="C2" s="12">
        <v>42736</v>
      </c>
      <c r="D2" s="12">
        <v>42767</v>
      </c>
      <c r="E2" s="12">
        <v>42795</v>
      </c>
      <c r="F2" s="12">
        <v>42826</v>
      </c>
      <c r="G2" s="12">
        <v>42856</v>
      </c>
      <c r="H2" s="12">
        <v>42887</v>
      </c>
      <c r="I2" s="12">
        <v>42917</v>
      </c>
      <c r="J2" s="12">
        <v>42948</v>
      </c>
      <c r="K2" s="12">
        <v>42979</v>
      </c>
      <c r="L2" s="12">
        <v>43009</v>
      </c>
      <c r="M2" s="12">
        <v>43040</v>
      </c>
      <c r="N2" s="12">
        <v>43070</v>
      </c>
      <c r="O2" s="12">
        <v>43101</v>
      </c>
      <c r="P2" s="12">
        <v>43132</v>
      </c>
      <c r="Q2" s="12">
        <v>43160</v>
      </c>
      <c r="R2" s="12">
        <v>43191</v>
      </c>
      <c r="S2" s="12">
        <v>43221</v>
      </c>
      <c r="T2" s="12">
        <v>43252</v>
      </c>
      <c r="U2" s="12">
        <v>43282</v>
      </c>
      <c r="V2" s="12">
        <v>43313</v>
      </c>
      <c r="W2" s="12">
        <v>43344</v>
      </c>
      <c r="X2" s="12">
        <v>43374</v>
      </c>
      <c r="Y2" s="12">
        <v>43405</v>
      </c>
      <c r="Z2" s="12">
        <v>43435</v>
      </c>
      <c r="AA2" s="12">
        <v>43466</v>
      </c>
      <c r="AB2" s="12">
        <v>43497</v>
      </c>
      <c r="AC2" s="12">
        <v>43525</v>
      </c>
      <c r="AD2" s="12">
        <v>43556</v>
      </c>
      <c r="AE2" s="12">
        <v>43586</v>
      </c>
      <c r="AF2" s="12">
        <v>43617</v>
      </c>
      <c r="AG2" s="12">
        <v>43647</v>
      </c>
      <c r="AH2" s="12">
        <v>43678</v>
      </c>
      <c r="AI2" s="12">
        <v>43709</v>
      </c>
      <c r="AJ2" s="12">
        <v>43739</v>
      </c>
      <c r="AK2" s="12">
        <v>43770</v>
      </c>
      <c r="AL2" s="12">
        <v>43800</v>
      </c>
      <c r="AM2" s="12">
        <v>43831</v>
      </c>
      <c r="AN2" s="12">
        <v>43862</v>
      </c>
      <c r="AO2" s="12">
        <v>43891</v>
      </c>
      <c r="AP2" s="12">
        <v>43922</v>
      </c>
      <c r="AQ2" s="12">
        <v>43952</v>
      </c>
      <c r="AR2" s="12">
        <v>43983</v>
      </c>
      <c r="AS2" s="12">
        <v>44013</v>
      </c>
      <c r="AT2" s="12">
        <v>44044</v>
      </c>
      <c r="AU2" s="12">
        <v>44075</v>
      </c>
      <c r="AV2" s="12">
        <v>44105</v>
      </c>
      <c r="AW2" s="12">
        <v>44136</v>
      </c>
      <c r="AX2" s="12">
        <v>44166</v>
      </c>
      <c r="AY2" s="12">
        <v>44197</v>
      </c>
      <c r="AZ2" s="12">
        <v>44228</v>
      </c>
      <c r="BA2" s="12">
        <v>44256</v>
      </c>
      <c r="BB2" s="12">
        <v>44287</v>
      </c>
      <c r="BC2" s="12">
        <v>44317</v>
      </c>
      <c r="BD2" s="12">
        <v>44348</v>
      </c>
      <c r="BE2" s="12">
        <v>44378</v>
      </c>
      <c r="BF2" s="12">
        <v>44409</v>
      </c>
      <c r="BG2" s="12">
        <v>44440</v>
      </c>
      <c r="BH2" s="12">
        <v>44470</v>
      </c>
      <c r="BI2" s="12">
        <v>44501</v>
      </c>
      <c r="BJ2" s="12">
        <v>44531</v>
      </c>
      <c r="BK2" s="12">
        <v>44562</v>
      </c>
      <c r="BL2" s="12">
        <v>44593</v>
      </c>
      <c r="BM2" s="12">
        <v>44621</v>
      </c>
      <c r="BN2" s="12">
        <v>44652</v>
      </c>
      <c r="BO2" s="12">
        <v>44682</v>
      </c>
      <c r="BP2" s="12">
        <v>44713</v>
      </c>
      <c r="BQ2" s="12">
        <v>44743</v>
      </c>
      <c r="BR2" s="12">
        <v>44774</v>
      </c>
      <c r="BS2" s="12">
        <v>44805</v>
      </c>
      <c r="BT2" s="12">
        <v>44835</v>
      </c>
      <c r="BU2" s="12">
        <v>44866</v>
      </c>
      <c r="BV2" s="12">
        <v>44896</v>
      </c>
      <c r="BW2" s="12">
        <v>44927</v>
      </c>
    </row>
    <row r="3" spans="1:75" x14ac:dyDescent="0.35">
      <c r="A3" s="287" t="s">
        <v>33</v>
      </c>
      <c r="B3" s="78" t="s">
        <v>53</v>
      </c>
      <c r="C3" s="69">
        <f>+'MEEIA 2 calcs'!O28</f>
        <v>406285.42</v>
      </c>
      <c r="D3" s="69">
        <f>+'MEEIA 2 calcs'!P28</f>
        <v>1369889.78</v>
      </c>
      <c r="E3" s="69">
        <f>+'MEEIA 2 calcs'!Q28</f>
        <v>1103029.06</v>
      </c>
      <c r="F3" s="69">
        <f>+'M2 Allocations - TD'!Q50</f>
        <v>964230.74</v>
      </c>
      <c r="G3" s="69">
        <f>IF(+'M2 Allocations - TD'!R50="","",'M2 Allocations - TD'!R50)</f>
        <v>918986.9</v>
      </c>
      <c r="H3" s="69">
        <f>IF(+'M2 Allocations - TD'!S50="","",'M2 Allocations - TD'!S50)</f>
        <v>1235335.3500000001</v>
      </c>
      <c r="I3" s="69">
        <f>IF(+'M2 Allocations - TD'!T50="","",'M2 Allocations - TD'!T50)</f>
        <v>1643710.03</v>
      </c>
      <c r="J3" s="69">
        <f>IF(+'M2 Allocations - TD'!U50="","",'M2 Allocations - TD'!U50)</f>
        <v>1663991.32</v>
      </c>
      <c r="K3" s="69">
        <f>IF(+'M2 Allocations - TD'!V50="","",'M2 Allocations - TD'!V50)</f>
        <v>1315722.52</v>
      </c>
      <c r="L3" s="69">
        <f>IF(+'M2 Allocations - TD'!W50="","",'M2 Allocations - TD'!W50)</f>
        <v>1155142.76</v>
      </c>
      <c r="M3" s="69">
        <f>IF(+'M2 Allocations - TD'!X50="","",'M2 Allocations - TD'!X50)</f>
        <v>1008647.72</v>
      </c>
      <c r="N3" s="69">
        <f>IF(+'M2 Allocations - TD'!Y50="","",'M2 Allocations - TD'!Y50)</f>
        <v>1300717.95</v>
      </c>
      <c r="O3" s="69">
        <f>IF(+'M2 Allocations - TD'!Z50="","",'M2 Allocations - TD'!Z50)</f>
        <v>1995202.44</v>
      </c>
      <c r="P3" s="69">
        <f>IF(+'M2 Allocations - TD'!AA50="","",'M2 Allocations - TD'!AA50)</f>
        <v>1361606.16</v>
      </c>
      <c r="Q3" s="69">
        <f>IF(+'M2 Allocations - TD'!AB50="","",'M2 Allocations - TD'!AB50)</f>
        <v>1097480.82</v>
      </c>
      <c r="R3" s="69">
        <f>IF(+'M2 Allocations - TD'!AC50="","",'M2 Allocations - TD'!AC50)</f>
        <v>1059578.1200000001</v>
      </c>
      <c r="S3" s="69">
        <f>IF(+'M2 Allocations - TD'!AD50="","",'M2 Allocations - TD'!AD50)</f>
        <v>862980.65</v>
      </c>
      <c r="T3" s="69">
        <f>IF(+'M2 Allocations - TD'!AE50="","",'M2 Allocations - TD'!AE50)</f>
        <v>1281774.72</v>
      </c>
      <c r="U3" s="69">
        <f>IF(+'M2 Allocations - TD'!AF50="","",'M2 Allocations - TD'!AF50)</f>
        <v>1502957.34</v>
      </c>
      <c r="V3" s="69">
        <f>IF(+'M2 Allocations - TD'!AG50="","",'M2 Allocations - TD'!AG50)</f>
        <v>1346919.46</v>
      </c>
      <c r="W3" s="69">
        <f>IF(+'M2 Allocations - TD'!AH50="","",'M2 Allocations - TD'!AH50)</f>
        <v>1295482.8999999999</v>
      </c>
      <c r="X3" s="69">
        <f>IF(+'M2 Allocations - TD'!AI50="","",'M2 Allocations - TD'!AI50)</f>
        <v>1002485.52</v>
      </c>
      <c r="Y3" s="69">
        <f>IF(+'M2 Allocations - TD'!AJ50="","",'M2 Allocations - TD'!AJ50)</f>
        <v>930228.6</v>
      </c>
      <c r="Z3" s="69">
        <f>IF(+'M2 Allocations - TD'!AK50="","",'M2 Allocations - TD'!AK50)</f>
        <v>1294357.3</v>
      </c>
      <c r="AA3" s="69">
        <f>IF(+'M2 Allocations - TD'!AL50="","",'M2 Allocations - TD'!AL50)</f>
        <v>1435395.83</v>
      </c>
      <c r="AB3" s="69">
        <f>IF(+'M2 Allocations - TD'!AM50="","",'M2 Allocations - TD'!AM50)</f>
        <v>1500360.52</v>
      </c>
      <c r="AC3" s="69">
        <f>IF(+'M2 Allocations - TD'!AN50="","",'M2 Allocations - TD'!AN50)</f>
        <v>1351205.92</v>
      </c>
      <c r="AD3" s="69">
        <f>IF(+'M2 Allocations - TD'!AO50="","",'M2 Allocations - TD'!AO50)</f>
        <v>930965.27</v>
      </c>
      <c r="AE3" s="69">
        <f>IF(+'M2 Allocations - TD'!AP50="","",'M2 Allocations - TD'!AP50)</f>
        <v>791487</v>
      </c>
      <c r="AF3" s="69">
        <f>IF(+'M2 Allocations - TD'!AQ50="","",'M2 Allocations - TD'!AQ50)</f>
        <v>1054075.57</v>
      </c>
      <c r="AG3" s="69">
        <f>IF(+'M2 Allocations - TD'!AR50="","",'M2 Allocations - TD'!AR50)</f>
        <v>1341002.6200000001</v>
      </c>
      <c r="AH3" s="69">
        <f>IF(+'M2 Allocations - TD'!AS50="","",'M2 Allocations - TD'!AS50)</f>
        <v>1411567.5</v>
      </c>
      <c r="AI3" s="69">
        <f>IF(+'M2 Allocations - TD'!AT50="","",'M2 Allocations - TD'!AT50)</f>
        <v>1302183.99</v>
      </c>
      <c r="AJ3" s="69">
        <f>IF(+'M2 Allocations - TD'!AU50="","",'M2 Allocations - TD'!AU50)</f>
        <v>1070055.19</v>
      </c>
      <c r="AK3" s="69">
        <f>IF(+'M2 Allocations - TD'!AV50="","",'M2 Allocations - TD'!AV50)</f>
        <v>960017.17</v>
      </c>
      <c r="AL3" s="69">
        <f>IF(+'M2 Allocations - TD'!AW50="","",'M2 Allocations - TD'!AW50)</f>
        <v>1291710.24</v>
      </c>
      <c r="AM3" s="69">
        <f>IF(+'M2 Allocations - TD'!AX50="","",'M2 Allocations - TD'!AX50)</f>
        <v>1426440.21</v>
      </c>
      <c r="AN3" s="69">
        <f>IF(+'M2 Allocations - TD'!AY50="","",'M2 Allocations - TD'!AY50)</f>
        <v>836821.82</v>
      </c>
      <c r="AO3" s="69">
        <f>IF(+'M2 Allocations - TD'!AZ50="","",'M2 Allocations - TD'!AZ50)</f>
        <v>123502.6</v>
      </c>
      <c r="AP3" s="69">
        <f>IF(+'M2 Allocations - TD'!BA50="","",'M2 Allocations - TD'!BA50)</f>
        <v>92675.74</v>
      </c>
      <c r="AQ3" s="69">
        <f>IF(+'M2 Allocations - TD'!BB50="","",'M2 Allocations - TD'!BB50)</f>
        <v>82719.98</v>
      </c>
      <c r="AR3" s="69">
        <f>IF(+'M2 Allocations - TD'!BC50="","",'M2 Allocations - TD'!BC50)</f>
        <v>109517.12</v>
      </c>
      <c r="AS3" s="69">
        <f>IF(+'M2 Allocations - TD'!BD50="","",'M2 Allocations - TD'!BD50)</f>
        <v>147043.66</v>
      </c>
      <c r="AT3" s="69">
        <f>IF(+'M2 Allocations - TD'!BE50="","",'M2 Allocations - TD'!BE50)</f>
        <v>137831</v>
      </c>
      <c r="AU3" s="69">
        <f>IF(+'M2 Allocations - TD'!BF50="","",'M2 Allocations - TD'!BF50)</f>
        <v>124319.87</v>
      </c>
      <c r="AV3" s="69">
        <f>IF(+'M2 Allocations - TD'!BG50="","",'M2 Allocations - TD'!BG50)</f>
        <v>84008.53</v>
      </c>
      <c r="AW3" s="69">
        <f>IF(+'M2 Allocations - TD'!BH50="","",'M2 Allocations - TD'!BH50)</f>
        <v>89633.18</v>
      </c>
      <c r="AX3" s="69">
        <f>IF(+'M2 Allocations - TD'!BI50="","",'M2 Allocations - TD'!BI50)</f>
        <v>118817.27</v>
      </c>
      <c r="AY3" s="69">
        <f>IF(+'M2 Allocations - TD'!BJ50="","",'M2 Allocations - TD'!BJ50)</f>
        <v>154664.07999999999</v>
      </c>
      <c r="AZ3" s="69">
        <f>IF(+'M2 Allocations - TD'!BK50="","",'M2 Allocations - TD'!BK50)</f>
        <v>-113458.01</v>
      </c>
      <c r="BA3" s="69">
        <f>IF(+'M2 Allocations - TD'!BL50="","",'M2 Allocations - TD'!BL50)</f>
        <v>-325175.89</v>
      </c>
      <c r="BB3" s="69">
        <f>IF(+'M2 Allocations - TD'!BM50="","",'M2 Allocations - TD'!BM50)</f>
        <v>-219552.89</v>
      </c>
      <c r="BC3" s="69">
        <f>IF(+'M2 Allocations - TD'!BN50="","",'M2 Allocations - TD'!BN50)</f>
        <v>-206267.22</v>
      </c>
      <c r="BD3" s="69">
        <f>IF(+'M2 Allocations - TD'!BO50="","",'M2 Allocations - TD'!BO50)</f>
        <v>-270595.87</v>
      </c>
      <c r="BE3" s="69">
        <f>IF(+'M2 Allocations - TD'!BP50="","",'M2 Allocations - TD'!BP50)</f>
        <v>-357386.66</v>
      </c>
      <c r="BF3" s="69">
        <f>IF(+'M2 Allocations - TD'!BQ50="","",'M2 Allocations - TD'!BQ50)</f>
        <v>-364675.44</v>
      </c>
      <c r="BG3" s="69">
        <f>IF(+'M2 Allocations - TD'!BR50="","",'M2 Allocations - TD'!BR50)</f>
        <v>-358208.47</v>
      </c>
      <c r="BH3" s="69">
        <f>IF(+'M2 Allocations - TD'!BS50="","",'M2 Allocations - TD'!BS50)</f>
        <v>-248050.58</v>
      </c>
      <c r="BI3" s="69">
        <f>IF(+'M2 Allocations - TD'!BT50="","",'M2 Allocations - TD'!BT50)</f>
        <v>-232427.07</v>
      </c>
      <c r="BJ3" s="69">
        <f>IF(+'M2 Allocations - TD'!BU50="","",'M2 Allocations - TD'!BU50)</f>
        <v>-290836.61</v>
      </c>
      <c r="BK3" s="69">
        <f>IF(+'M2 Allocations - TD'!BV50="","",'M2 Allocations - TD'!BV50)</f>
        <v>-375935.37</v>
      </c>
      <c r="BL3" s="69">
        <f>IF(+'M2 Allocations - TD'!BW50="","",'M2 Allocations - TD'!BW50)</f>
        <v>-242680.23</v>
      </c>
      <c r="BM3" s="69">
        <f>IF(+'M2 Allocations - TD'!BX50="","",'M2 Allocations - TD'!BX50)</f>
        <v>-13830.45</v>
      </c>
      <c r="BN3" s="69">
        <f>IF(+'M2 Allocations - TD'!BY50="","",'M2 Allocations - TD'!BY50)</f>
        <v>-7909.14</v>
      </c>
      <c r="BO3" s="69">
        <f>IF(+'M2 Allocations - TD'!BZ50="","",'M2 Allocations - TD'!BZ50)</f>
        <v>-7927.25</v>
      </c>
      <c r="BP3" s="69">
        <f>IF(+'M2 Allocations - TD'!CA50="","",'M2 Allocations - TD'!CA50)</f>
        <v>-10364.700000000001</v>
      </c>
      <c r="BQ3" s="69">
        <f>IF(+'M2 Allocations - TD'!CB50="","",'M2 Allocations - TD'!CB50)</f>
        <v>-14271.87</v>
      </c>
      <c r="BR3" s="69">
        <f>IF(+'M2 Allocations - TD'!CC50="","",'M2 Allocations - TD'!CC50)</f>
        <v>-13453.18</v>
      </c>
      <c r="BS3" s="69">
        <f>IF(+'M2 Allocations - TD'!CD50="","",'M2 Allocations - TD'!CD50)</f>
        <v>-11260.05</v>
      </c>
      <c r="BT3" s="69">
        <f>IF(+'M2 Allocations - TD'!CE50="","",'M2 Allocations - TD'!CE50)</f>
        <v>-8003.94</v>
      </c>
      <c r="BU3" s="69">
        <f>IF(+'M2 Allocations - TD'!CF50="","",'M2 Allocations - TD'!CF50)</f>
        <v>-7859.8815598755764</v>
      </c>
      <c r="BV3" s="69">
        <f>IF(+'M2 Allocations - TD'!CG50="","",'M2 Allocations - TD'!CG50)</f>
        <v>-11296.617394752953</v>
      </c>
      <c r="BW3" s="69">
        <f>IF(+'M2 Allocations - TD'!CH50="","",'M2 Allocations - TD'!CH50)</f>
        <v>-13965.1525740786</v>
      </c>
    </row>
    <row r="4" spans="1:75" x14ac:dyDescent="0.35">
      <c r="A4" s="288"/>
      <c r="B4" s="79" t="s">
        <v>55</v>
      </c>
      <c r="C4" s="95">
        <v>1.9100000000000001E-4</v>
      </c>
      <c r="D4" s="95">
        <v>6.0999999999999997E-4</v>
      </c>
      <c r="E4" s="77">
        <f>+D4</f>
        <v>6.0999999999999997E-4</v>
      </c>
      <c r="F4" s="77">
        <f>IF(F3="","",E4)</f>
        <v>6.0999999999999997E-4</v>
      </c>
      <c r="G4" s="77">
        <f t="shared" ref="G4:Z4" si="0">IF(G3="","",F4)</f>
        <v>6.0999999999999997E-4</v>
      </c>
      <c r="H4" s="77">
        <f t="shared" si="0"/>
        <v>6.0999999999999997E-4</v>
      </c>
      <c r="I4" s="77">
        <f t="shared" si="0"/>
        <v>6.0999999999999997E-4</v>
      </c>
      <c r="J4" s="77">
        <f t="shared" si="0"/>
        <v>6.0999999999999997E-4</v>
      </c>
      <c r="K4" s="77">
        <f t="shared" si="0"/>
        <v>6.0999999999999997E-4</v>
      </c>
      <c r="L4" s="77">
        <f t="shared" si="0"/>
        <v>6.0999999999999997E-4</v>
      </c>
      <c r="M4" s="77">
        <f>IF(M3="","",L4)</f>
        <v>6.0999999999999997E-4</v>
      </c>
      <c r="N4" s="77">
        <f t="shared" si="0"/>
        <v>6.0999999999999997E-4</v>
      </c>
      <c r="O4" s="77">
        <f>IF(O3="","",N4)</f>
        <v>6.0999999999999997E-4</v>
      </c>
      <c r="P4" s="95">
        <v>1.1003580051866457E-3</v>
      </c>
      <c r="Q4" s="77">
        <f>IF(Q3="","",P4)</f>
        <v>1.1003580051866457E-3</v>
      </c>
      <c r="R4" s="99">
        <f t="shared" si="0"/>
        <v>1.1003580051866457E-3</v>
      </c>
      <c r="S4" s="99">
        <f t="shared" si="0"/>
        <v>1.1003580051866457E-3</v>
      </c>
      <c r="T4" s="99">
        <f t="shared" si="0"/>
        <v>1.1003580051866457E-3</v>
      </c>
      <c r="U4" s="99">
        <f t="shared" si="0"/>
        <v>1.1003580051866457E-3</v>
      </c>
      <c r="V4" s="99">
        <f t="shared" si="0"/>
        <v>1.1003580051866457E-3</v>
      </c>
      <c r="W4" s="99">
        <f t="shared" si="0"/>
        <v>1.1003580051866457E-3</v>
      </c>
      <c r="X4" s="99">
        <f t="shared" si="0"/>
        <v>1.1003580051866457E-3</v>
      </c>
      <c r="Y4" s="99">
        <f t="shared" si="0"/>
        <v>1.1003580051866457E-3</v>
      </c>
      <c r="Z4" s="99">
        <f t="shared" si="0"/>
        <v>1.1003580051866457E-3</v>
      </c>
      <c r="AA4" s="99">
        <f t="shared" ref="AA4" si="1">IF(AA3="","",Z4)</f>
        <v>1.1003580051866457E-3</v>
      </c>
      <c r="AB4" s="95">
        <v>1.2689610054905937E-3</v>
      </c>
      <c r="AC4" s="77">
        <f>IF(AC3="","",AB4)</f>
        <v>1.2689610054905937E-3</v>
      </c>
      <c r="AD4" s="77">
        <f t="shared" ref="AD4:AM4" si="2">IF(AD3="","",AC4)</f>
        <v>1.2689610054905937E-3</v>
      </c>
      <c r="AE4" s="77">
        <f t="shared" si="2"/>
        <v>1.2689610054905937E-3</v>
      </c>
      <c r="AF4" s="77">
        <f t="shared" si="2"/>
        <v>1.2689610054905937E-3</v>
      </c>
      <c r="AG4" s="77">
        <f t="shared" si="2"/>
        <v>1.2689610054905937E-3</v>
      </c>
      <c r="AH4" s="77">
        <f t="shared" si="2"/>
        <v>1.2689610054905937E-3</v>
      </c>
      <c r="AI4" s="77">
        <f t="shared" si="2"/>
        <v>1.2689610054905937E-3</v>
      </c>
      <c r="AJ4" s="77">
        <f t="shared" si="2"/>
        <v>1.2689610054905937E-3</v>
      </c>
      <c r="AK4" s="77">
        <f t="shared" si="2"/>
        <v>1.2689610054905937E-3</v>
      </c>
      <c r="AL4" s="77">
        <f t="shared" si="2"/>
        <v>1.2689610054905937E-3</v>
      </c>
      <c r="AM4" s="77">
        <f t="shared" si="2"/>
        <v>1.2689610054905937E-3</v>
      </c>
      <c r="AN4" s="130">
        <v>1.8414899018216353E-4</v>
      </c>
      <c r="AO4" s="77">
        <f t="shared" ref="AO4:BJ4" si="3">IF(AO3="","",AN4)</f>
        <v>1.8414899018216353E-4</v>
      </c>
      <c r="AP4" s="77">
        <f t="shared" si="3"/>
        <v>1.8414899018216353E-4</v>
      </c>
      <c r="AQ4" s="77">
        <f t="shared" si="3"/>
        <v>1.8414899018216353E-4</v>
      </c>
      <c r="AR4" s="77">
        <f t="shared" si="3"/>
        <v>1.8414899018216353E-4</v>
      </c>
      <c r="AS4" s="77">
        <f t="shared" si="3"/>
        <v>1.8414899018216353E-4</v>
      </c>
      <c r="AT4" s="77">
        <f t="shared" si="3"/>
        <v>1.8414899018216353E-4</v>
      </c>
      <c r="AU4" s="77">
        <f t="shared" si="3"/>
        <v>1.8414899018216353E-4</v>
      </c>
      <c r="AV4" s="77">
        <f t="shared" si="3"/>
        <v>1.8414899018216353E-4</v>
      </c>
      <c r="AW4" s="77">
        <f t="shared" si="3"/>
        <v>1.8414899018216353E-4</v>
      </c>
      <c r="AX4" s="77">
        <f t="shared" si="3"/>
        <v>1.8414899018216353E-4</v>
      </c>
      <c r="AY4" s="77">
        <f t="shared" si="3"/>
        <v>1.8414899018216353E-4</v>
      </c>
      <c r="AZ4" s="130">
        <v>0</v>
      </c>
      <c r="BA4" s="77">
        <f t="shared" si="3"/>
        <v>0</v>
      </c>
      <c r="BB4" s="77">
        <f t="shared" si="3"/>
        <v>0</v>
      </c>
      <c r="BC4" s="77">
        <f t="shared" si="3"/>
        <v>0</v>
      </c>
      <c r="BD4" s="77">
        <f t="shared" si="3"/>
        <v>0</v>
      </c>
      <c r="BE4" s="77">
        <f t="shared" si="3"/>
        <v>0</v>
      </c>
      <c r="BF4" s="77">
        <f t="shared" si="3"/>
        <v>0</v>
      </c>
      <c r="BG4" s="77">
        <f t="shared" si="3"/>
        <v>0</v>
      </c>
      <c r="BH4" s="77">
        <f t="shared" si="3"/>
        <v>0</v>
      </c>
      <c r="BI4" s="77">
        <f t="shared" si="3"/>
        <v>0</v>
      </c>
      <c r="BJ4" s="77">
        <f t="shared" si="3"/>
        <v>0</v>
      </c>
      <c r="BK4" s="77">
        <f>IF(BK3="","",BJ4)</f>
        <v>0</v>
      </c>
      <c r="BL4" s="130">
        <v>0</v>
      </c>
      <c r="BM4" s="77">
        <f t="shared" ref="BM4:BS4" si="4">IF(BM3="","",BL4)</f>
        <v>0</v>
      </c>
      <c r="BN4" s="77">
        <f t="shared" si="4"/>
        <v>0</v>
      </c>
      <c r="BO4" s="77">
        <f t="shared" si="4"/>
        <v>0</v>
      </c>
      <c r="BP4" s="77">
        <f t="shared" si="4"/>
        <v>0</v>
      </c>
      <c r="BQ4" s="77">
        <f t="shared" si="4"/>
        <v>0</v>
      </c>
      <c r="BR4" s="77">
        <f t="shared" si="4"/>
        <v>0</v>
      </c>
      <c r="BS4" s="77">
        <f t="shared" si="4"/>
        <v>0</v>
      </c>
      <c r="BT4" s="77">
        <f>IF(BT3="","",BS4)</f>
        <v>0</v>
      </c>
      <c r="BU4" s="77">
        <f>IF(BU3="","",BT4)</f>
        <v>0</v>
      </c>
      <c r="BV4" s="77">
        <f>IF(BV3="","",BU4)</f>
        <v>0</v>
      </c>
      <c r="BW4" s="77">
        <f>IF(BW3="","",BV4)</f>
        <v>0</v>
      </c>
    </row>
    <row r="5" spans="1:75" x14ac:dyDescent="0.35">
      <c r="A5" s="288"/>
      <c r="B5" s="79" t="s">
        <v>71</v>
      </c>
      <c r="C5" s="46">
        <v>0</v>
      </c>
      <c r="D5" s="95">
        <v>6.6E-4</v>
      </c>
      <c r="E5" s="77">
        <f>+D5</f>
        <v>6.6E-4</v>
      </c>
      <c r="F5" s="77">
        <f>IF(F3="","",E5)</f>
        <v>6.6E-4</v>
      </c>
      <c r="G5" s="77">
        <f t="shared" ref="G5:Z5" si="5">IF(G3="","",F5)</f>
        <v>6.6E-4</v>
      </c>
      <c r="H5" s="77">
        <f t="shared" si="5"/>
        <v>6.6E-4</v>
      </c>
      <c r="I5" s="77">
        <f t="shared" si="5"/>
        <v>6.6E-4</v>
      </c>
      <c r="J5" s="77">
        <f t="shared" si="5"/>
        <v>6.6E-4</v>
      </c>
      <c r="K5" s="77">
        <f t="shared" si="5"/>
        <v>6.6E-4</v>
      </c>
      <c r="L5" s="77">
        <f t="shared" si="5"/>
        <v>6.6E-4</v>
      </c>
      <c r="M5" s="77">
        <f t="shared" si="5"/>
        <v>6.6E-4</v>
      </c>
      <c r="N5" s="77">
        <f t="shared" si="5"/>
        <v>6.6E-4</v>
      </c>
      <c r="O5" s="77">
        <f t="shared" si="5"/>
        <v>6.6E-4</v>
      </c>
      <c r="P5" s="100">
        <v>-3.6489311277065175E-5</v>
      </c>
      <c r="Q5" s="99">
        <f t="shared" si="5"/>
        <v>-3.6489311277065175E-5</v>
      </c>
      <c r="R5" s="99">
        <f t="shared" si="5"/>
        <v>-3.6489311277065175E-5</v>
      </c>
      <c r="S5" s="99">
        <f t="shared" si="5"/>
        <v>-3.6489311277065175E-5</v>
      </c>
      <c r="T5" s="99">
        <f t="shared" si="5"/>
        <v>-3.6489311277065175E-5</v>
      </c>
      <c r="U5" s="99">
        <f t="shared" si="5"/>
        <v>-3.6489311277065175E-5</v>
      </c>
      <c r="V5" s="99">
        <f t="shared" si="5"/>
        <v>-3.6489311277065175E-5</v>
      </c>
      <c r="W5" s="99">
        <f t="shared" si="5"/>
        <v>-3.6489311277065175E-5</v>
      </c>
      <c r="X5" s="99">
        <f t="shared" si="5"/>
        <v>-3.6489311277065175E-5</v>
      </c>
      <c r="Y5" s="99">
        <f t="shared" si="5"/>
        <v>-3.6489311277065175E-5</v>
      </c>
      <c r="Z5" s="99">
        <f t="shared" si="5"/>
        <v>-3.6489311277065175E-5</v>
      </c>
      <c r="AA5" s="99">
        <f t="shared" ref="AA5" si="6">IF(AA3="","",Z5)</f>
        <v>-3.6489311277065175E-5</v>
      </c>
      <c r="AB5" s="100">
        <v>-1.5974223193033709E-4</v>
      </c>
      <c r="AC5" s="99">
        <f t="shared" ref="AC5" si="7">IF(AC3="","",AB5)</f>
        <v>-1.5974223193033709E-4</v>
      </c>
      <c r="AD5" s="99">
        <f t="shared" ref="AD5" si="8">IF(AD3="","",AC5)</f>
        <v>-1.5974223193033709E-4</v>
      </c>
      <c r="AE5" s="99">
        <f t="shared" ref="AE5" si="9">IF(AE3="","",AD5)</f>
        <v>-1.5974223193033709E-4</v>
      </c>
      <c r="AF5" s="99">
        <f t="shared" ref="AF5" si="10">IF(AF3="","",AE5)</f>
        <v>-1.5974223193033709E-4</v>
      </c>
      <c r="AG5" s="99">
        <f t="shared" ref="AG5" si="11">IF(AG3="","",AF5)</f>
        <v>-1.5974223193033709E-4</v>
      </c>
      <c r="AH5" s="99">
        <f t="shared" ref="AH5" si="12">IF(AH3="","",AG5)</f>
        <v>-1.5974223193033709E-4</v>
      </c>
      <c r="AI5" s="99">
        <f t="shared" ref="AI5" si="13">IF(AI3="","",AH5)</f>
        <v>-1.5974223193033709E-4</v>
      </c>
      <c r="AJ5" s="99">
        <f t="shared" ref="AJ5" si="14">IF(AJ3="","",AI5)</f>
        <v>-1.5974223193033709E-4</v>
      </c>
      <c r="AK5" s="99">
        <f t="shared" ref="AK5" si="15">IF(AK3="","",AJ5)</f>
        <v>-1.5974223193033709E-4</v>
      </c>
      <c r="AL5" s="99">
        <f t="shared" ref="AL5" si="16">IF(AL3="","",AK5)</f>
        <v>-1.5974223193033709E-4</v>
      </c>
      <c r="AM5" s="99">
        <f t="shared" ref="AM5" si="17">IF(AM3="","",AL5)</f>
        <v>-1.5974223193033709E-4</v>
      </c>
      <c r="AN5" s="131">
        <v>-7.6479563545008331E-5</v>
      </c>
      <c r="AO5" s="99">
        <f t="shared" ref="AO5:BJ5" si="18">IF(AO3="","",AN5)</f>
        <v>-7.6479563545008331E-5</v>
      </c>
      <c r="AP5" s="99">
        <f t="shared" si="18"/>
        <v>-7.6479563545008331E-5</v>
      </c>
      <c r="AQ5" s="99">
        <f t="shared" si="18"/>
        <v>-7.6479563545008331E-5</v>
      </c>
      <c r="AR5" s="99">
        <f t="shared" si="18"/>
        <v>-7.6479563545008331E-5</v>
      </c>
      <c r="AS5" s="99">
        <f t="shared" si="18"/>
        <v>-7.6479563545008331E-5</v>
      </c>
      <c r="AT5" s="99">
        <f t="shared" si="18"/>
        <v>-7.6479563545008331E-5</v>
      </c>
      <c r="AU5" s="99">
        <f t="shared" si="18"/>
        <v>-7.6479563545008331E-5</v>
      </c>
      <c r="AV5" s="99">
        <f t="shared" si="18"/>
        <v>-7.6479563545008331E-5</v>
      </c>
      <c r="AW5" s="99">
        <f t="shared" si="18"/>
        <v>-7.6479563545008331E-5</v>
      </c>
      <c r="AX5" s="99">
        <f t="shared" si="18"/>
        <v>-7.6479563545008331E-5</v>
      </c>
      <c r="AY5" s="99">
        <f t="shared" si="18"/>
        <v>-7.6479563545008331E-5</v>
      </c>
      <c r="AZ5" s="131">
        <v>-2.8339231336924818E-4</v>
      </c>
      <c r="BA5" s="99">
        <f t="shared" si="18"/>
        <v>-2.8339231336924818E-4</v>
      </c>
      <c r="BB5" s="99">
        <f t="shared" si="18"/>
        <v>-2.8339231336924818E-4</v>
      </c>
      <c r="BC5" s="99">
        <f t="shared" si="18"/>
        <v>-2.8339231336924818E-4</v>
      </c>
      <c r="BD5" s="99">
        <f t="shared" si="18"/>
        <v>-2.8339231336924818E-4</v>
      </c>
      <c r="BE5" s="99">
        <f t="shared" si="18"/>
        <v>-2.8339231336924818E-4</v>
      </c>
      <c r="BF5" s="99">
        <f t="shared" si="18"/>
        <v>-2.8339231336924818E-4</v>
      </c>
      <c r="BG5" s="99">
        <f t="shared" si="18"/>
        <v>-2.8339231336924818E-4</v>
      </c>
      <c r="BH5" s="99">
        <f t="shared" si="18"/>
        <v>-2.8339231336924818E-4</v>
      </c>
      <c r="BI5" s="99">
        <f t="shared" si="18"/>
        <v>-2.8339231336924818E-4</v>
      </c>
      <c r="BJ5" s="99">
        <f t="shared" si="18"/>
        <v>-2.8339231336924818E-4</v>
      </c>
      <c r="BK5" s="99">
        <f>IF(BK3="","",BJ5)</f>
        <v>-2.8339231336924818E-4</v>
      </c>
      <c r="BL5" s="131">
        <v>-9.9410400936806899E-6</v>
      </c>
      <c r="BM5" s="99">
        <f t="shared" ref="BM5:BW5" si="19">IF(BM3="","",BL5)</f>
        <v>-9.9410400936806899E-6</v>
      </c>
      <c r="BN5" s="99">
        <f t="shared" si="19"/>
        <v>-9.9410400936806899E-6</v>
      </c>
      <c r="BO5" s="99">
        <f t="shared" si="19"/>
        <v>-9.9410400936806899E-6</v>
      </c>
      <c r="BP5" s="99">
        <f t="shared" si="19"/>
        <v>-9.9410400936806899E-6</v>
      </c>
      <c r="BQ5" s="99">
        <f t="shared" si="19"/>
        <v>-9.9410400936806899E-6</v>
      </c>
      <c r="BR5" s="99">
        <f t="shared" si="19"/>
        <v>-9.9410400936806899E-6</v>
      </c>
      <c r="BS5" s="99">
        <f t="shared" si="19"/>
        <v>-9.9410400936806899E-6</v>
      </c>
      <c r="BT5" s="99">
        <f t="shared" si="19"/>
        <v>-9.9410400936806899E-6</v>
      </c>
      <c r="BU5" s="99">
        <f t="shared" si="19"/>
        <v>-9.9410400936806899E-6</v>
      </c>
      <c r="BV5" s="99">
        <f t="shared" si="19"/>
        <v>-9.9410400936806899E-6</v>
      </c>
      <c r="BW5" s="99">
        <f t="shared" si="19"/>
        <v>-9.9410400936806899E-6</v>
      </c>
    </row>
    <row r="6" spans="1:75" x14ac:dyDescent="0.35">
      <c r="A6" s="288"/>
      <c r="B6" s="79" t="s">
        <v>63</v>
      </c>
      <c r="C6" s="68">
        <f>SUM(C4:C5)</f>
        <v>1.9100000000000001E-4</v>
      </c>
      <c r="D6" s="68">
        <f>SUM(D4:D5)</f>
        <v>1.2699999999999999E-3</v>
      </c>
      <c r="E6" s="68">
        <f>SUM(E4:E5)</f>
        <v>1.2699999999999999E-3</v>
      </c>
      <c r="F6" s="68">
        <f>IF(F3="","",SUM(F4:F5))</f>
        <v>1.2699999999999999E-3</v>
      </c>
      <c r="G6" s="68">
        <f t="shared" ref="G6:Z6" si="20">IF(G3="","",SUM(G4:G5))</f>
        <v>1.2699999999999999E-3</v>
      </c>
      <c r="H6" s="68">
        <f t="shared" si="20"/>
        <v>1.2699999999999999E-3</v>
      </c>
      <c r="I6" s="68">
        <f t="shared" si="20"/>
        <v>1.2699999999999999E-3</v>
      </c>
      <c r="J6" s="68">
        <f t="shared" si="20"/>
        <v>1.2699999999999999E-3</v>
      </c>
      <c r="K6" s="68">
        <f t="shared" si="20"/>
        <v>1.2699999999999999E-3</v>
      </c>
      <c r="L6" s="68">
        <f t="shared" si="20"/>
        <v>1.2699999999999999E-3</v>
      </c>
      <c r="M6" s="68">
        <f t="shared" si="20"/>
        <v>1.2699999999999999E-3</v>
      </c>
      <c r="N6" s="68">
        <f t="shared" si="20"/>
        <v>1.2699999999999999E-3</v>
      </c>
      <c r="O6" s="68">
        <f t="shared" si="20"/>
        <v>1.2699999999999999E-3</v>
      </c>
      <c r="P6" s="68">
        <f t="shared" si="20"/>
        <v>1.0638686939095806E-3</v>
      </c>
      <c r="Q6" s="68">
        <f t="shared" si="20"/>
        <v>1.0638686939095806E-3</v>
      </c>
      <c r="R6" s="68">
        <f t="shared" si="20"/>
        <v>1.0638686939095806E-3</v>
      </c>
      <c r="S6" s="68">
        <f t="shared" si="20"/>
        <v>1.0638686939095806E-3</v>
      </c>
      <c r="T6" s="68">
        <f t="shared" si="20"/>
        <v>1.0638686939095806E-3</v>
      </c>
      <c r="U6" s="68">
        <f t="shared" si="20"/>
        <v>1.0638686939095806E-3</v>
      </c>
      <c r="V6" s="68">
        <f t="shared" si="20"/>
        <v>1.0638686939095806E-3</v>
      </c>
      <c r="W6" s="68">
        <f t="shared" si="20"/>
        <v>1.0638686939095806E-3</v>
      </c>
      <c r="X6" s="68">
        <f t="shared" si="20"/>
        <v>1.0638686939095806E-3</v>
      </c>
      <c r="Y6" s="68">
        <f t="shared" si="20"/>
        <v>1.0638686939095806E-3</v>
      </c>
      <c r="Z6" s="68">
        <f t="shared" si="20"/>
        <v>1.0638686939095806E-3</v>
      </c>
      <c r="AA6" s="68">
        <f t="shared" ref="AA6:AC6" si="21">IF(AA3="","",SUM(AA4:AA5))</f>
        <v>1.0638686939095806E-3</v>
      </c>
      <c r="AB6" s="68">
        <f t="shared" si="21"/>
        <v>1.1092187735602566E-3</v>
      </c>
      <c r="AC6" s="68">
        <f t="shared" si="21"/>
        <v>1.1092187735602566E-3</v>
      </c>
      <c r="AD6" s="68">
        <f t="shared" ref="AD6:AM6" si="22">IF(AD3="","",SUM(AD4:AD5))</f>
        <v>1.1092187735602566E-3</v>
      </c>
      <c r="AE6" s="68">
        <f t="shared" si="22"/>
        <v>1.1092187735602566E-3</v>
      </c>
      <c r="AF6" s="68">
        <f t="shared" si="22"/>
        <v>1.1092187735602566E-3</v>
      </c>
      <c r="AG6" s="68">
        <f t="shared" si="22"/>
        <v>1.1092187735602566E-3</v>
      </c>
      <c r="AH6" s="68">
        <f t="shared" si="22"/>
        <v>1.1092187735602566E-3</v>
      </c>
      <c r="AI6" s="68">
        <f t="shared" si="22"/>
        <v>1.1092187735602566E-3</v>
      </c>
      <c r="AJ6" s="68">
        <f t="shared" si="22"/>
        <v>1.1092187735602566E-3</v>
      </c>
      <c r="AK6" s="68">
        <f t="shared" si="22"/>
        <v>1.1092187735602566E-3</v>
      </c>
      <c r="AL6" s="68">
        <f t="shared" si="22"/>
        <v>1.1092187735602566E-3</v>
      </c>
      <c r="AM6" s="68">
        <f t="shared" si="22"/>
        <v>1.1092187735602566E-3</v>
      </c>
      <c r="AN6" s="68">
        <f t="shared" ref="AN6:AO6" si="23">IF(AN3="","",SUM(AN4:AN5))</f>
        <v>1.076694266371552E-4</v>
      </c>
      <c r="AO6" s="68">
        <f t="shared" si="23"/>
        <v>1.076694266371552E-4</v>
      </c>
      <c r="AP6" s="68">
        <f t="shared" ref="AP6:AU6" si="24">IF(AP3="","",SUM(AP4:AP5))</f>
        <v>1.076694266371552E-4</v>
      </c>
      <c r="AQ6" s="68">
        <f t="shared" si="24"/>
        <v>1.076694266371552E-4</v>
      </c>
      <c r="AR6" s="68">
        <f t="shared" si="24"/>
        <v>1.076694266371552E-4</v>
      </c>
      <c r="AS6" s="68">
        <f t="shared" si="24"/>
        <v>1.076694266371552E-4</v>
      </c>
      <c r="AT6" s="68">
        <f t="shared" si="24"/>
        <v>1.076694266371552E-4</v>
      </c>
      <c r="AU6" s="68">
        <f t="shared" si="24"/>
        <v>1.076694266371552E-4</v>
      </c>
      <c r="AV6" s="68">
        <f t="shared" ref="AV6:AW6" si="25">IF(AV3="","",SUM(AV4:AV5))</f>
        <v>1.076694266371552E-4</v>
      </c>
      <c r="AW6" s="68">
        <f t="shared" si="25"/>
        <v>1.076694266371552E-4</v>
      </c>
      <c r="AX6" s="68">
        <f t="shared" ref="AX6:AY6" si="26">IF(AX3="","",SUM(AX4:AX5))</f>
        <v>1.076694266371552E-4</v>
      </c>
      <c r="AY6" s="68">
        <f t="shared" si="26"/>
        <v>1.076694266371552E-4</v>
      </c>
      <c r="AZ6" s="68">
        <f t="shared" ref="AZ6:BA6" si="27">IF(AZ3="","",SUM(AZ4:AZ5))</f>
        <v>-2.8339231336924818E-4</v>
      </c>
      <c r="BA6" s="68">
        <f t="shared" si="27"/>
        <v>-2.8339231336924818E-4</v>
      </c>
      <c r="BB6" s="68">
        <f t="shared" ref="BB6:BC6" si="28">IF(BB3="","",SUM(BB4:BB5))</f>
        <v>-2.8339231336924818E-4</v>
      </c>
      <c r="BC6" s="68">
        <f t="shared" si="28"/>
        <v>-2.8339231336924818E-4</v>
      </c>
      <c r="BD6" s="68">
        <f t="shared" ref="BD6:BE6" si="29">IF(BD3="","",SUM(BD4:BD5))</f>
        <v>-2.8339231336924818E-4</v>
      </c>
      <c r="BE6" s="68">
        <f t="shared" si="29"/>
        <v>-2.8339231336924818E-4</v>
      </c>
      <c r="BF6" s="68">
        <f t="shared" ref="BF6:BG6" si="30">IF(BF3="","",SUM(BF4:BF5))</f>
        <v>-2.8339231336924818E-4</v>
      </c>
      <c r="BG6" s="68">
        <f t="shared" si="30"/>
        <v>-2.8339231336924818E-4</v>
      </c>
      <c r="BH6" s="68">
        <f t="shared" ref="BH6:BI6" si="31">IF(BH3="","",SUM(BH4:BH5))</f>
        <v>-2.8339231336924818E-4</v>
      </c>
      <c r="BI6" s="68">
        <f t="shared" si="31"/>
        <v>-2.8339231336924818E-4</v>
      </c>
      <c r="BJ6" s="68">
        <f t="shared" ref="BJ6:BK6" si="32">IF(BJ3="","",SUM(BJ4:BJ5))</f>
        <v>-2.8339231336924818E-4</v>
      </c>
      <c r="BK6" s="68">
        <f t="shared" si="32"/>
        <v>-2.8339231336924818E-4</v>
      </c>
      <c r="BL6" s="68">
        <f t="shared" ref="BL6:BM6" si="33">IF(BL3="","",SUM(BL4:BL5))</f>
        <v>-9.9410400936806899E-6</v>
      </c>
      <c r="BM6" s="68">
        <f t="shared" si="33"/>
        <v>-9.9410400936806899E-6</v>
      </c>
      <c r="BN6" s="68">
        <f t="shared" ref="BN6:BO6" si="34">IF(BN3="","",SUM(BN4:BN5))</f>
        <v>-9.9410400936806899E-6</v>
      </c>
      <c r="BO6" s="68">
        <f t="shared" si="34"/>
        <v>-9.9410400936806899E-6</v>
      </c>
      <c r="BP6" s="68">
        <f t="shared" ref="BP6:BQ6" si="35">IF(BP3="","",SUM(BP4:BP5))</f>
        <v>-9.9410400936806899E-6</v>
      </c>
      <c r="BQ6" s="68">
        <f t="shared" si="35"/>
        <v>-9.9410400936806899E-6</v>
      </c>
      <c r="BR6" s="68">
        <f t="shared" ref="BR6:BS6" si="36">IF(BR3="","",SUM(BR4:BR5))</f>
        <v>-9.9410400936806899E-6</v>
      </c>
      <c r="BS6" s="68">
        <f t="shared" si="36"/>
        <v>-9.9410400936806899E-6</v>
      </c>
      <c r="BT6" s="68">
        <f t="shared" ref="BT6:BU6" si="37">IF(BT3="","",SUM(BT4:BT5))</f>
        <v>-9.9410400936806899E-6</v>
      </c>
      <c r="BU6" s="68">
        <f t="shared" si="37"/>
        <v>-9.9410400936806899E-6</v>
      </c>
      <c r="BV6" s="68">
        <f t="shared" ref="BV6:BW6" si="38">IF(BV3="","",SUM(BV4:BV5))</f>
        <v>-9.9410400936806899E-6</v>
      </c>
      <c r="BW6" s="68">
        <f t="shared" si="38"/>
        <v>-9.9410400936806899E-6</v>
      </c>
    </row>
    <row r="7" spans="1:75" x14ac:dyDescent="0.35">
      <c r="A7" s="288"/>
      <c r="B7" s="79" t="s">
        <v>56</v>
      </c>
      <c r="C7" s="72">
        <f>+C5/C6</f>
        <v>0</v>
      </c>
      <c r="D7" s="72">
        <f>+IFERROR(D5/D6,"")</f>
        <v>0.51968503937007882</v>
      </c>
      <c r="E7" s="72">
        <f>+IFERROR(E5/E6,"")</f>
        <v>0.51968503937007882</v>
      </c>
      <c r="F7" s="72">
        <f>IF(F3="","",IFERROR(F5/F6,""))</f>
        <v>0.51968503937007882</v>
      </c>
      <c r="G7" s="72">
        <f t="shared" ref="G7:Z7" si="39">IF(G3="","",IFERROR(G5/G6,""))</f>
        <v>0.51968503937007882</v>
      </c>
      <c r="H7" s="72">
        <f t="shared" si="39"/>
        <v>0.51968503937007882</v>
      </c>
      <c r="I7" s="72">
        <f t="shared" si="39"/>
        <v>0.51968503937007882</v>
      </c>
      <c r="J7" s="72">
        <f t="shared" si="39"/>
        <v>0.51968503937007882</v>
      </c>
      <c r="K7" s="72">
        <f t="shared" si="39"/>
        <v>0.51968503937007882</v>
      </c>
      <c r="L7" s="72">
        <f t="shared" si="39"/>
        <v>0.51968503937007882</v>
      </c>
      <c r="M7" s="72">
        <f t="shared" si="39"/>
        <v>0.51968503937007882</v>
      </c>
      <c r="N7" s="72">
        <f t="shared" si="39"/>
        <v>0.51968503937007882</v>
      </c>
      <c r="O7" s="72">
        <f t="shared" si="39"/>
        <v>0.51968503937007882</v>
      </c>
      <c r="P7" s="72">
        <f t="shared" si="39"/>
        <v>-3.4298698219017661E-2</v>
      </c>
      <c r="Q7" s="72">
        <f t="shared" si="39"/>
        <v>-3.4298698219017661E-2</v>
      </c>
      <c r="R7" s="72">
        <f t="shared" si="39"/>
        <v>-3.4298698219017661E-2</v>
      </c>
      <c r="S7" s="72">
        <f t="shared" si="39"/>
        <v>-3.4298698219017661E-2</v>
      </c>
      <c r="T7" s="72">
        <f t="shared" si="39"/>
        <v>-3.4298698219017661E-2</v>
      </c>
      <c r="U7" s="72">
        <f t="shared" si="39"/>
        <v>-3.4298698219017661E-2</v>
      </c>
      <c r="V7" s="72">
        <f t="shared" si="39"/>
        <v>-3.4298698219017661E-2</v>
      </c>
      <c r="W7" s="72">
        <f t="shared" si="39"/>
        <v>-3.4298698219017661E-2</v>
      </c>
      <c r="X7" s="72">
        <f t="shared" si="39"/>
        <v>-3.4298698219017661E-2</v>
      </c>
      <c r="Y7" s="72">
        <f t="shared" si="39"/>
        <v>-3.4298698219017661E-2</v>
      </c>
      <c r="Z7" s="72">
        <f t="shared" si="39"/>
        <v>-3.4298698219017661E-2</v>
      </c>
      <c r="AA7" s="72">
        <f t="shared" ref="AA7:AC7" si="40">IF(AA3="","",IFERROR(AA5/AA6,""))</f>
        <v>-3.4298698219017661E-2</v>
      </c>
      <c r="AB7" s="72">
        <f t="shared" si="40"/>
        <v>-0.14401327829821423</v>
      </c>
      <c r="AC7" s="72">
        <f t="shared" si="40"/>
        <v>-0.14401327829821423</v>
      </c>
      <c r="AD7" s="72">
        <f t="shared" ref="AD7:AM7" si="41">IF(AD3="","",IFERROR(AD5/AD6,""))</f>
        <v>-0.14401327829821423</v>
      </c>
      <c r="AE7" s="72">
        <f t="shared" si="41"/>
        <v>-0.14401327829821423</v>
      </c>
      <c r="AF7" s="72">
        <f t="shared" si="41"/>
        <v>-0.14401327829821423</v>
      </c>
      <c r="AG7" s="72">
        <f t="shared" si="41"/>
        <v>-0.14401327829821423</v>
      </c>
      <c r="AH7" s="72">
        <f t="shared" si="41"/>
        <v>-0.14401327829821423</v>
      </c>
      <c r="AI7" s="72">
        <f t="shared" si="41"/>
        <v>-0.14401327829821423</v>
      </c>
      <c r="AJ7" s="72">
        <f t="shared" si="41"/>
        <v>-0.14401327829821423</v>
      </c>
      <c r="AK7" s="72">
        <f t="shared" si="41"/>
        <v>-0.14401327829821423</v>
      </c>
      <c r="AL7" s="72">
        <f t="shared" si="41"/>
        <v>-0.14401327829821423</v>
      </c>
      <c r="AM7" s="72">
        <f t="shared" si="41"/>
        <v>-0.14401327829821423</v>
      </c>
      <c r="AN7" s="72">
        <f t="shared" ref="AN7:AO7" si="42">IF(AN3="","",IFERROR(AN5/AN6,""))</f>
        <v>-0.71031829493012566</v>
      </c>
      <c r="AO7" s="72">
        <f t="shared" si="42"/>
        <v>-0.71031829493012566</v>
      </c>
      <c r="AP7" s="72">
        <f t="shared" ref="AP7:AQ7" si="43">IF(AP3="","",IFERROR(AP5/AP6,""))</f>
        <v>-0.71031829493012566</v>
      </c>
      <c r="AQ7" s="72">
        <f t="shared" si="43"/>
        <v>-0.71031829493012566</v>
      </c>
      <c r="AR7" s="72">
        <f t="shared" ref="AR7:AS7" si="44">IF(AR3="","",IFERROR(AR5/AR6,""))</f>
        <v>-0.71031829493012566</v>
      </c>
      <c r="AS7" s="72">
        <f t="shared" si="44"/>
        <v>-0.71031829493012566</v>
      </c>
      <c r="AT7" s="72">
        <f t="shared" ref="AT7:AU7" si="45">IF(AT3="","",IFERROR(AT5/AT6,""))</f>
        <v>-0.71031829493012566</v>
      </c>
      <c r="AU7" s="72">
        <f t="shared" si="45"/>
        <v>-0.71031829493012566</v>
      </c>
      <c r="AV7" s="72">
        <f t="shared" ref="AV7:AW7" si="46">IF(AV3="","",IFERROR(AV5/AV6,""))</f>
        <v>-0.71031829493012566</v>
      </c>
      <c r="AW7" s="72">
        <f t="shared" si="46"/>
        <v>-0.71031829493012566</v>
      </c>
      <c r="AX7" s="72">
        <f t="shared" ref="AX7:AY7" si="47">IF(AX3="","",IFERROR(AX5/AX6,""))</f>
        <v>-0.71031829493012566</v>
      </c>
      <c r="AY7" s="72">
        <f t="shared" si="47"/>
        <v>-0.71031829493012566</v>
      </c>
      <c r="AZ7" s="72">
        <f t="shared" ref="AZ7:BA7" si="48">IF(AZ3="","",IFERROR(AZ5/AZ6,""))</f>
        <v>1</v>
      </c>
      <c r="BA7" s="72">
        <f t="shared" si="48"/>
        <v>1</v>
      </c>
      <c r="BB7" s="72">
        <f t="shared" ref="BB7:BC7" si="49">IF(BB3="","",IFERROR(BB5/BB6,""))</f>
        <v>1</v>
      </c>
      <c r="BC7" s="72">
        <f t="shared" si="49"/>
        <v>1</v>
      </c>
      <c r="BD7" s="72">
        <f t="shared" ref="BD7:BE7" si="50">IF(BD3="","",IFERROR(BD5/BD6,""))</f>
        <v>1</v>
      </c>
      <c r="BE7" s="72">
        <f t="shared" si="50"/>
        <v>1</v>
      </c>
      <c r="BF7" s="72">
        <f t="shared" ref="BF7:BG7" si="51">IF(BF3="","",IFERROR(BF5/BF6,""))</f>
        <v>1</v>
      </c>
      <c r="BG7" s="72">
        <f t="shared" si="51"/>
        <v>1</v>
      </c>
      <c r="BH7" s="72">
        <f t="shared" ref="BH7:BI7" si="52">IF(BH3="","",IFERROR(BH5/BH6,""))</f>
        <v>1</v>
      </c>
      <c r="BI7" s="72">
        <f t="shared" si="52"/>
        <v>1</v>
      </c>
      <c r="BJ7" s="72">
        <f t="shared" ref="BJ7:BK7" si="53">IF(BJ3="","",IFERROR(BJ5/BJ6,""))</f>
        <v>1</v>
      </c>
      <c r="BK7" s="72">
        <f t="shared" si="53"/>
        <v>1</v>
      </c>
      <c r="BL7" s="72">
        <f t="shared" ref="BL7:BM7" si="54">IF(BL3="","",IFERROR(BL5/BL6,""))</f>
        <v>1</v>
      </c>
      <c r="BM7" s="72">
        <f t="shared" si="54"/>
        <v>1</v>
      </c>
      <c r="BN7" s="72">
        <f t="shared" ref="BN7:BO7" si="55">IF(BN3="","",IFERROR(BN5/BN6,""))</f>
        <v>1</v>
      </c>
      <c r="BO7" s="72">
        <f t="shared" si="55"/>
        <v>1</v>
      </c>
      <c r="BP7" s="72">
        <f t="shared" ref="BP7:BQ7" si="56">IF(BP3="","",IFERROR(BP5/BP6,""))</f>
        <v>1</v>
      </c>
      <c r="BQ7" s="72">
        <f t="shared" si="56"/>
        <v>1</v>
      </c>
      <c r="BR7" s="72">
        <f t="shared" ref="BR7:BS7" si="57">IF(BR3="","",IFERROR(BR5/BR6,""))</f>
        <v>1</v>
      </c>
      <c r="BS7" s="72">
        <f t="shared" si="57"/>
        <v>1</v>
      </c>
      <c r="BT7" s="72">
        <f t="shared" ref="BT7:BU7" si="58">IF(BT3="","",IFERROR(BT5/BT6,""))</f>
        <v>1</v>
      </c>
      <c r="BU7" s="72">
        <f t="shared" si="58"/>
        <v>1</v>
      </c>
      <c r="BV7" s="72">
        <f t="shared" ref="BV7:BW7" si="59">IF(BV3="","",IFERROR(BV5/BV6,""))</f>
        <v>1</v>
      </c>
      <c r="BW7" s="72">
        <f t="shared" si="59"/>
        <v>1</v>
      </c>
    </row>
    <row r="8" spans="1:75" s="53" customFormat="1" x14ac:dyDescent="0.35">
      <c r="A8" s="288"/>
      <c r="B8" s="80" t="s">
        <v>57</v>
      </c>
      <c r="C8" s="70">
        <f>+C7*C3</f>
        <v>0</v>
      </c>
      <c r="D8" s="70">
        <f>+ROUND(D7*D3,2)</f>
        <v>711911.22</v>
      </c>
      <c r="E8" s="70">
        <f>+ROUND(E7*E3,2)</f>
        <v>573227.69999999995</v>
      </c>
      <c r="F8" s="70">
        <f>IF(F3="","",ROUND(F7*F3,2))</f>
        <v>501096.29</v>
      </c>
      <c r="G8" s="70">
        <f t="shared" ref="G8:Z8" si="60">IF(G3="","",ROUND(G7*G3,2))</f>
        <v>477583.74</v>
      </c>
      <c r="H8" s="70">
        <f t="shared" si="60"/>
        <v>641985.30000000005</v>
      </c>
      <c r="I8" s="70">
        <f t="shared" si="60"/>
        <v>854211.51</v>
      </c>
      <c r="J8" s="70">
        <f t="shared" si="60"/>
        <v>864751.39</v>
      </c>
      <c r="K8" s="70">
        <f t="shared" si="60"/>
        <v>683761.31</v>
      </c>
      <c r="L8" s="70">
        <f t="shared" si="60"/>
        <v>600310.41</v>
      </c>
      <c r="M8" s="70">
        <f t="shared" si="60"/>
        <v>524179.13</v>
      </c>
      <c r="N8" s="70">
        <f t="shared" si="60"/>
        <v>675963.66</v>
      </c>
      <c r="O8" s="70">
        <f t="shared" si="60"/>
        <v>1036876.86</v>
      </c>
      <c r="P8" s="70">
        <f t="shared" si="60"/>
        <v>-46701.32</v>
      </c>
      <c r="Q8" s="70">
        <f t="shared" si="60"/>
        <v>-37642.160000000003</v>
      </c>
      <c r="R8" s="70">
        <f t="shared" si="60"/>
        <v>-36342.15</v>
      </c>
      <c r="S8" s="70">
        <f t="shared" si="60"/>
        <v>-29599.11</v>
      </c>
      <c r="T8" s="70">
        <f t="shared" si="60"/>
        <v>-43963.199999999997</v>
      </c>
      <c r="U8" s="70">
        <f t="shared" si="60"/>
        <v>-51549.48</v>
      </c>
      <c r="V8" s="70">
        <f t="shared" si="60"/>
        <v>-46197.58</v>
      </c>
      <c r="W8" s="70">
        <f t="shared" si="60"/>
        <v>-44433.38</v>
      </c>
      <c r="X8" s="70">
        <f t="shared" si="60"/>
        <v>-34383.949999999997</v>
      </c>
      <c r="Y8" s="70">
        <f t="shared" si="60"/>
        <v>-31905.63</v>
      </c>
      <c r="Z8" s="70">
        <f t="shared" si="60"/>
        <v>-44394.77</v>
      </c>
      <c r="AA8" s="70">
        <f t="shared" ref="AA8:AC8" si="61">IF(AA3="","",ROUND(AA7*AA3,2))</f>
        <v>-49232.21</v>
      </c>
      <c r="AB8" s="70">
        <f t="shared" si="61"/>
        <v>-216071.84</v>
      </c>
      <c r="AC8" s="70">
        <f t="shared" si="61"/>
        <v>-194591.59</v>
      </c>
      <c r="AD8" s="70">
        <f t="shared" ref="AD8:AM8" si="62">IF(AD3="","",ROUND(AD7*AD3,2))</f>
        <v>-134071.35999999999</v>
      </c>
      <c r="AE8" s="70">
        <f t="shared" si="62"/>
        <v>-113984.64</v>
      </c>
      <c r="AF8" s="70">
        <f t="shared" si="62"/>
        <v>-151800.88</v>
      </c>
      <c r="AG8" s="70">
        <f t="shared" si="62"/>
        <v>-193122.18</v>
      </c>
      <c r="AH8" s="70">
        <f t="shared" si="62"/>
        <v>-203284.46</v>
      </c>
      <c r="AI8" s="70">
        <f t="shared" si="62"/>
        <v>-187531.79</v>
      </c>
      <c r="AJ8" s="70">
        <f t="shared" si="62"/>
        <v>-154102.16</v>
      </c>
      <c r="AK8" s="70">
        <f t="shared" si="62"/>
        <v>-138255.22</v>
      </c>
      <c r="AL8" s="70">
        <f t="shared" si="62"/>
        <v>-186023.43</v>
      </c>
      <c r="AM8" s="70">
        <f t="shared" si="62"/>
        <v>-205426.33</v>
      </c>
      <c r="AN8" s="70">
        <f t="shared" ref="AN8:AO8" si="63">IF(AN3="","",ROUND(AN7*AN3,2))</f>
        <v>-594409.85</v>
      </c>
      <c r="AO8" s="70">
        <f t="shared" si="63"/>
        <v>-87726.16</v>
      </c>
      <c r="AP8" s="70">
        <f t="shared" ref="AP8:AU8" si="64">IF(AP3="","",ROUND(AP7*AP3,2))</f>
        <v>-65829.27</v>
      </c>
      <c r="AQ8" s="70">
        <f t="shared" si="64"/>
        <v>-58757.52</v>
      </c>
      <c r="AR8" s="70">
        <f t="shared" si="64"/>
        <v>-77792.009999999995</v>
      </c>
      <c r="AS8" s="70">
        <f t="shared" si="64"/>
        <v>-104447.8</v>
      </c>
      <c r="AT8" s="70">
        <f t="shared" si="64"/>
        <v>-97903.88</v>
      </c>
      <c r="AU8" s="70">
        <f t="shared" si="64"/>
        <v>-88306.68</v>
      </c>
      <c r="AV8" s="70">
        <f t="shared" ref="AV8:AW8" si="65">IF(AV3="","",ROUND(AV7*AV3,2))</f>
        <v>-59672.800000000003</v>
      </c>
      <c r="AW8" s="70">
        <f t="shared" si="65"/>
        <v>-63668.09</v>
      </c>
      <c r="AX8" s="70">
        <f t="shared" ref="AX8:AY8" si="66">IF(AX3="","",ROUND(AX7*AX3,2))</f>
        <v>-84398.080000000002</v>
      </c>
      <c r="AY8" s="70">
        <f t="shared" si="66"/>
        <v>-109860.73</v>
      </c>
      <c r="AZ8" s="70">
        <f t="shared" ref="AZ8:BA8" si="67">IF(AZ3="","",ROUND(AZ7*AZ3,2))</f>
        <v>-113458.01</v>
      </c>
      <c r="BA8" s="70">
        <f t="shared" si="67"/>
        <v>-325175.89</v>
      </c>
      <c r="BB8" s="70">
        <f t="shared" ref="BB8:BC8" si="68">IF(BB3="","",ROUND(BB7*BB3,2))</f>
        <v>-219552.89</v>
      </c>
      <c r="BC8" s="70">
        <f t="shared" si="68"/>
        <v>-206267.22</v>
      </c>
      <c r="BD8" s="70">
        <f t="shared" ref="BD8:BE8" si="69">IF(BD3="","",ROUND(BD7*BD3,2))</f>
        <v>-270595.87</v>
      </c>
      <c r="BE8" s="70">
        <f t="shared" si="69"/>
        <v>-357386.66</v>
      </c>
      <c r="BF8" s="70">
        <f t="shared" ref="BF8:BG8" si="70">IF(BF3="","",ROUND(BF7*BF3,2))</f>
        <v>-364675.44</v>
      </c>
      <c r="BG8" s="70">
        <f t="shared" si="70"/>
        <v>-358208.47</v>
      </c>
      <c r="BH8" s="70">
        <f t="shared" ref="BH8:BI8" si="71">IF(BH3="","",ROUND(BH7*BH3,2))</f>
        <v>-248050.58</v>
      </c>
      <c r="BI8" s="70">
        <f t="shared" si="71"/>
        <v>-232427.07</v>
      </c>
      <c r="BJ8" s="70">
        <f t="shared" ref="BJ8:BK8" si="72">IF(BJ3="","",ROUND(BJ7*BJ3,2))</f>
        <v>-290836.61</v>
      </c>
      <c r="BK8" s="70">
        <f t="shared" si="72"/>
        <v>-375935.37</v>
      </c>
      <c r="BL8" s="70">
        <f t="shared" ref="BL8:BM8" si="73">IF(BL3="","",ROUND(BL7*BL3,2))</f>
        <v>-242680.23</v>
      </c>
      <c r="BM8" s="70">
        <f t="shared" si="73"/>
        <v>-13830.45</v>
      </c>
      <c r="BN8" s="70">
        <f t="shared" ref="BN8:BO8" si="74">IF(BN3="","",ROUND(BN7*BN3,2))</f>
        <v>-7909.14</v>
      </c>
      <c r="BO8" s="70">
        <f t="shared" si="74"/>
        <v>-7927.25</v>
      </c>
      <c r="BP8" s="70">
        <f t="shared" ref="BP8:BQ8" si="75">IF(BP3="","",ROUND(BP7*BP3,2))</f>
        <v>-10364.700000000001</v>
      </c>
      <c r="BQ8" s="70">
        <f t="shared" si="75"/>
        <v>-14271.87</v>
      </c>
      <c r="BR8" s="70">
        <f t="shared" ref="BR8:BS8" si="76">IF(BR3="","",ROUND(BR7*BR3,2))</f>
        <v>-13453.18</v>
      </c>
      <c r="BS8" s="70">
        <f t="shared" si="76"/>
        <v>-11260.05</v>
      </c>
      <c r="BT8" s="70">
        <f t="shared" ref="BT8:BU8" si="77">IF(BT3="","",ROUND(BT7*BT3,2))</f>
        <v>-8003.94</v>
      </c>
      <c r="BU8" s="70">
        <f t="shared" si="77"/>
        <v>-7859.88</v>
      </c>
      <c r="BV8" s="70">
        <f t="shared" ref="BV8:BW8" si="78">IF(BV3="","",ROUND(BV7*BV3,2))</f>
        <v>-11296.62</v>
      </c>
      <c r="BW8" s="70">
        <f t="shared" si="78"/>
        <v>-13965.15</v>
      </c>
    </row>
    <row r="9" spans="1:75" s="53" customFormat="1" ht="8.25" customHeight="1" x14ac:dyDescent="0.35">
      <c r="A9" s="83"/>
      <c r="B9" s="81"/>
      <c r="C9" s="71"/>
      <c r="D9" s="71"/>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row>
    <row r="10" spans="1:75" x14ac:dyDescent="0.35">
      <c r="A10" s="288" t="s">
        <v>34</v>
      </c>
      <c r="B10" s="79" t="s">
        <v>53</v>
      </c>
      <c r="C10" s="69">
        <f>+'MEEIA 2 calcs'!O38</f>
        <v>27338.89</v>
      </c>
      <c r="D10" s="69">
        <f>+'MEEIA 2 calcs'!P38</f>
        <v>144726.28</v>
      </c>
      <c r="E10" s="69">
        <f>+'MEEIA 2 calcs'!Q38</f>
        <v>128485.97</v>
      </c>
      <c r="F10" s="69">
        <f>+'M2 Allocations - TD'!Q51</f>
        <v>121597.62</v>
      </c>
      <c r="G10" s="69">
        <f>IF(+'M2 Allocations - TD'!R51="","",'M2 Allocations - TD'!R51)</f>
        <v>120360.92</v>
      </c>
      <c r="H10" s="69">
        <f>IF(+'M2 Allocations - TD'!S51="","",'M2 Allocations - TD'!S51)</f>
        <v>143026.74</v>
      </c>
      <c r="I10" s="69">
        <f>IF(+'M2 Allocations - TD'!T51="","",'M2 Allocations - TD'!T51)</f>
        <v>165801.25</v>
      </c>
      <c r="J10" s="69">
        <f>IF(+'M2 Allocations - TD'!U51="","",'M2 Allocations - TD'!U51)</f>
        <v>167384.09</v>
      </c>
      <c r="K10" s="69">
        <f>IF(+'M2 Allocations - TD'!V51="","",'M2 Allocations - TD'!V51)</f>
        <v>149701.24</v>
      </c>
      <c r="L10" s="69">
        <f>IF(+'M2 Allocations - TD'!W51="","",'M2 Allocations - TD'!W51)</f>
        <v>141748.14000000001</v>
      </c>
      <c r="M10" s="69">
        <f>IF(+'M2 Allocations - TD'!X51="","",'M2 Allocations - TD'!X51)</f>
        <v>126699.78</v>
      </c>
      <c r="N10" s="69">
        <f>IF(+'M2 Allocations - TD'!Y51="","",'M2 Allocations - TD'!Y51)</f>
        <v>139926.94</v>
      </c>
      <c r="O10" s="69">
        <f>IF(+'M2 Allocations - TD'!Z51="","",'M2 Allocations - TD'!Z51)</f>
        <v>202221.15</v>
      </c>
      <c r="P10" s="69">
        <f>IF(+'M2 Allocations - TD'!AA51="","",'M2 Allocations - TD'!AA51)</f>
        <v>343067.75</v>
      </c>
      <c r="Q10" s="69">
        <f>IF(+'M2 Allocations - TD'!AB51="","",'M2 Allocations - TD'!AB51)</f>
        <v>300632.48</v>
      </c>
      <c r="R10" s="69">
        <f>IF(+'M2 Allocations - TD'!AC51="","",'M2 Allocations - TD'!AC51)</f>
        <v>296300.02</v>
      </c>
      <c r="S10" s="69">
        <f>IF(+'M2 Allocations - TD'!AD51="","",'M2 Allocations - TD'!AD51)</f>
        <v>268199.42</v>
      </c>
      <c r="T10" s="69">
        <f>IF(+'M2 Allocations - TD'!AE51="","",'M2 Allocations - TD'!AE51)</f>
        <v>337634.86</v>
      </c>
      <c r="U10" s="69">
        <f>IF(+'M2 Allocations - TD'!AF51="","",'M2 Allocations - TD'!AF51)</f>
        <v>372521.79</v>
      </c>
      <c r="V10" s="69">
        <f>IF(+'M2 Allocations - TD'!AG51="","",'M2 Allocations - TD'!AG51)</f>
        <v>348089.17</v>
      </c>
      <c r="W10" s="69">
        <f>IF(+'M2 Allocations - TD'!AH51="","",'M2 Allocations - TD'!AH51)</f>
        <v>342034.51</v>
      </c>
      <c r="X10" s="69">
        <f>IF(+'M2 Allocations - TD'!AI51="","",'M2 Allocations - TD'!AI51)</f>
        <v>301373.81</v>
      </c>
      <c r="Y10" s="69">
        <f>IF(+'M2 Allocations - TD'!AJ51="","",'M2 Allocations - TD'!AJ51)</f>
        <v>271517.73</v>
      </c>
      <c r="Z10" s="69">
        <f>IF(+'M2 Allocations - TD'!AK51="","",'M2 Allocations - TD'!AK51)</f>
        <v>328156.33</v>
      </c>
      <c r="AA10" s="69">
        <f>IF(+'M2 Allocations - TD'!AL51="","",'M2 Allocations - TD'!AL51)</f>
        <v>377703.97</v>
      </c>
      <c r="AB10" s="69">
        <f>IF(+'M2 Allocations - TD'!AM51="","",'M2 Allocations - TD'!AM51)</f>
        <v>708077.88</v>
      </c>
      <c r="AC10" s="69">
        <f>IF(+'M2 Allocations - TD'!AN51="","",'M2 Allocations - TD'!AN51)</f>
        <v>666764.85</v>
      </c>
      <c r="AD10" s="69">
        <f>IF(+'M2 Allocations - TD'!AO51="","",'M2 Allocations - TD'!AO51)</f>
        <v>540522.54</v>
      </c>
      <c r="AE10" s="69">
        <f>IF(+'M2 Allocations - TD'!AP51="","",'M2 Allocations - TD'!AP51)</f>
        <v>509584.1</v>
      </c>
      <c r="AF10" s="69">
        <f>IF(+'M2 Allocations - TD'!AQ51="","",'M2 Allocations - TD'!AQ51)</f>
        <v>594934.36</v>
      </c>
      <c r="AG10" s="69">
        <f>IF(+'M2 Allocations - TD'!AR51="","",'M2 Allocations - TD'!AR51)</f>
        <v>680484</v>
      </c>
      <c r="AH10" s="69">
        <f>IF(+'M2 Allocations - TD'!AS51="","",'M2 Allocations - TD'!AS51)</f>
        <v>699354.09</v>
      </c>
      <c r="AI10" s="69">
        <f>IF(+'M2 Allocations - TD'!AT51="","",'M2 Allocations - TD'!AT51)</f>
        <v>675136.56</v>
      </c>
      <c r="AJ10" s="69">
        <f>IF(+'M2 Allocations - TD'!AU51="","",'M2 Allocations - TD'!AU51)</f>
        <v>608437.81999999995</v>
      </c>
      <c r="AK10" s="69">
        <f>IF(+'M2 Allocations - TD'!AV51="","",'M2 Allocations - TD'!AV51)</f>
        <v>545178.31000000006</v>
      </c>
      <c r="AL10" s="69">
        <f>IF(+'M2 Allocations - TD'!AW51="","",'M2 Allocations - TD'!AW51)</f>
        <v>640578.34</v>
      </c>
      <c r="AM10" s="69">
        <f>IF(+'M2 Allocations - TD'!AX51="","",'M2 Allocations - TD'!AX51)</f>
        <v>683111.72</v>
      </c>
      <c r="AN10" s="69">
        <f>IF(+'M2 Allocations - TD'!AY51="","",'M2 Allocations - TD'!AY51)</f>
        <v>419075.87</v>
      </c>
      <c r="AO10" s="69">
        <f>IF(+'M2 Allocations - TD'!AZ51="","",'M2 Allocations - TD'!AZ51)</f>
        <v>88037.89</v>
      </c>
      <c r="AP10" s="69">
        <f>IF(+'M2 Allocations - TD'!BA51="","",'M2 Allocations - TD'!BA51)</f>
        <v>65160.17</v>
      </c>
      <c r="AQ10" s="69">
        <f>IF(+'M2 Allocations - TD'!BB51="","",'M2 Allocations - TD'!BB51)</f>
        <v>59309.86</v>
      </c>
      <c r="AR10" s="69">
        <f>IF(+'M2 Allocations - TD'!BC51="","",'M2 Allocations - TD'!BC51)</f>
        <v>74165.440000000002</v>
      </c>
      <c r="AS10" s="69">
        <f>IF(+'M2 Allocations - TD'!BD51="","",'M2 Allocations - TD'!BD51)</f>
        <v>92442.4</v>
      </c>
      <c r="AT10" s="69">
        <f>IF(+'M2 Allocations - TD'!BE51="","",'M2 Allocations - TD'!BE51)</f>
        <v>90973.54</v>
      </c>
      <c r="AU10" s="69">
        <f>IF(+'M2 Allocations - TD'!BF51="","",'M2 Allocations - TD'!BF51)</f>
        <v>86398.8</v>
      </c>
      <c r="AV10" s="69">
        <f>IF(+'M2 Allocations - TD'!BG51="","",'M2 Allocations - TD'!BG51)</f>
        <v>70150.48</v>
      </c>
      <c r="AW10" s="69">
        <f>IF(+'M2 Allocations - TD'!BH51="","",'M2 Allocations - TD'!BH51)</f>
        <v>70037.789999999994</v>
      </c>
      <c r="AX10" s="69">
        <f>IF(+'M2 Allocations - TD'!BI51="","",'M2 Allocations - TD'!BI51)</f>
        <v>80808.38</v>
      </c>
      <c r="AY10" s="69">
        <f>IF(+'M2 Allocations - TD'!BJ51="","",'M2 Allocations - TD'!BJ51)</f>
        <v>96369.71</v>
      </c>
      <c r="AZ10" s="69">
        <f>IF(+'M2 Allocations - TD'!BK51="","",'M2 Allocations - TD'!BK51)</f>
        <v>-2328.37</v>
      </c>
      <c r="BA10" s="69">
        <f>IF(+'M2 Allocations - TD'!BL51="","",'M2 Allocations - TD'!BL51)</f>
        <v>-103760.54</v>
      </c>
      <c r="BB10" s="69">
        <f>IF(+'M2 Allocations - TD'!BM51="","",'M2 Allocations - TD'!BM51)</f>
        <v>-82575.289999999994</v>
      </c>
      <c r="BC10" s="69">
        <f>IF(+'M2 Allocations - TD'!BN51="","",'M2 Allocations - TD'!BN51)</f>
        <v>-81377.440000000002</v>
      </c>
      <c r="BD10" s="69">
        <f>IF(+'M2 Allocations - TD'!BO51="","",'M2 Allocations - TD'!BO51)</f>
        <v>-96431.96</v>
      </c>
      <c r="BE10" s="69">
        <f>IF(+'M2 Allocations - TD'!BP51="","",'M2 Allocations - TD'!BP51)</f>
        <v>-113596.04</v>
      </c>
      <c r="BF10" s="69">
        <f>IF(+'M2 Allocations - TD'!BQ51="","",'M2 Allocations - TD'!BQ51)</f>
        <v>-114121.57</v>
      </c>
      <c r="BG10" s="69">
        <f>IF(+'M2 Allocations - TD'!BR51="","",'M2 Allocations - TD'!BR51)</f>
        <v>-115328.91</v>
      </c>
      <c r="BH10" s="69">
        <f>IF(+'M2 Allocations - TD'!BS51="","",'M2 Allocations - TD'!BS51)</f>
        <v>-96228.19</v>
      </c>
      <c r="BI10" s="69">
        <f>IF(+'M2 Allocations - TD'!BT51="","",'M2 Allocations - TD'!BT51)</f>
        <v>-85982.2</v>
      </c>
      <c r="BJ10" s="69">
        <f>IF(+'M2 Allocations - TD'!BU51="","",'M2 Allocations - TD'!BU51)</f>
        <v>-98041.83</v>
      </c>
      <c r="BK10" s="69">
        <f>IF(+'M2 Allocations - TD'!BV51="","",'M2 Allocations - TD'!BV51)</f>
        <v>-115723.74</v>
      </c>
      <c r="BL10" s="69">
        <f>IF(+'M2 Allocations - TD'!BW51="","",'M2 Allocations - TD'!BW51)</f>
        <v>-71353.679999999993</v>
      </c>
      <c r="BM10" s="69">
        <f>IF(+'M2 Allocations - TD'!BX51="","",'M2 Allocations - TD'!BX51)</f>
        <v>-3857.43</v>
      </c>
      <c r="BN10" s="69">
        <f>IF(+'M2 Allocations - TD'!BY51="","",'M2 Allocations - TD'!BY51)</f>
        <v>-3467.37</v>
      </c>
      <c r="BO10" s="69">
        <f>IF(+'M2 Allocations - TD'!BZ51="","",'M2 Allocations - TD'!BZ51)</f>
        <v>-3190.61</v>
      </c>
      <c r="BP10" s="69">
        <f>IF(+'M2 Allocations - TD'!CA51="","",'M2 Allocations - TD'!CA51)</f>
        <v>-3616.74</v>
      </c>
      <c r="BQ10" s="69">
        <f>IF(+'M2 Allocations - TD'!CB51="","",'M2 Allocations - TD'!CB51)</f>
        <v>-4165.8599999999997</v>
      </c>
      <c r="BR10" s="69">
        <f>IF(+'M2 Allocations - TD'!CC51="","",'M2 Allocations - TD'!CC51)</f>
        <v>-4368.6099999999997</v>
      </c>
      <c r="BS10" s="69">
        <f>IF(+'M2 Allocations - TD'!CD51="","",'M2 Allocations - TD'!CD51)</f>
        <v>-3971.18</v>
      </c>
      <c r="BT10" s="69">
        <f>IF(+'M2 Allocations - TD'!CE51="","",'M2 Allocations - TD'!CE51)</f>
        <v>-3310.57</v>
      </c>
      <c r="BU10" s="69">
        <f>IF(+'M2 Allocations - TD'!CF51="","",'M2 Allocations - TD'!CF51)</f>
        <v>-2996.0922712585716</v>
      </c>
      <c r="BV10" s="69">
        <f>IF(+'M2 Allocations - TD'!CG51="","",'M2 Allocations - TD'!CG51)</f>
        <v>-3628.9175899277211</v>
      </c>
      <c r="BW10" s="69">
        <f>IF(+'M2 Allocations - TD'!CH51="","",'M2 Allocations - TD'!CH51)</f>
        <v>-4283.3480788264505</v>
      </c>
    </row>
    <row r="11" spans="1:75" x14ac:dyDescent="0.35">
      <c r="A11" s="288"/>
      <c r="B11" s="79" t="s">
        <v>55</v>
      </c>
      <c r="C11" s="95">
        <v>4.5000000000000003E-5</v>
      </c>
      <c r="D11" s="95">
        <v>3.1700000000000001E-4</v>
      </c>
      <c r="E11" s="77">
        <f>+D11</f>
        <v>3.1700000000000001E-4</v>
      </c>
      <c r="F11" s="77">
        <f>IF(F10="","",E11)</f>
        <v>3.1700000000000001E-4</v>
      </c>
      <c r="G11" s="77">
        <f t="shared" ref="G11:Z11" si="79">IF(G10="","",F11)</f>
        <v>3.1700000000000001E-4</v>
      </c>
      <c r="H11" s="77">
        <f t="shared" si="79"/>
        <v>3.1700000000000001E-4</v>
      </c>
      <c r="I11" s="77">
        <f t="shared" si="79"/>
        <v>3.1700000000000001E-4</v>
      </c>
      <c r="J11" s="77">
        <f t="shared" si="79"/>
        <v>3.1700000000000001E-4</v>
      </c>
      <c r="K11" s="77">
        <f t="shared" si="79"/>
        <v>3.1700000000000001E-4</v>
      </c>
      <c r="L11" s="77">
        <f t="shared" si="79"/>
        <v>3.1700000000000001E-4</v>
      </c>
      <c r="M11" s="77">
        <f t="shared" si="79"/>
        <v>3.1700000000000001E-4</v>
      </c>
      <c r="N11" s="77">
        <f t="shared" si="79"/>
        <v>3.1700000000000001E-4</v>
      </c>
      <c r="O11" s="77">
        <f t="shared" si="79"/>
        <v>3.1700000000000001E-4</v>
      </c>
      <c r="P11" s="95">
        <v>1.0508215292806483E-3</v>
      </c>
      <c r="Q11" s="77">
        <f t="shared" si="79"/>
        <v>1.0508215292806483E-3</v>
      </c>
      <c r="R11" s="99">
        <f t="shared" si="79"/>
        <v>1.0508215292806483E-3</v>
      </c>
      <c r="S11" s="99">
        <f t="shared" si="79"/>
        <v>1.0508215292806483E-3</v>
      </c>
      <c r="T11" s="99">
        <f t="shared" si="79"/>
        <v>1.0508215292806483E-3</v>
      </c>
      <c r="U11" s="99">
        <f t="shared" si="79"/>
        <v>1.0508215292806483E-3</v>
      </c>
      <c r="V11" s="99">
        <f t="shared" si="79"/>
        <v>1.0508215292806483E-3</v>
      </c>
      <c r="W11" s="99">
        <f t="shared" si="79"/>
        <v>1.0508215292806483E-3</v>
      </c>
      <c r="X11" s="99">
        <f t="shared" si="79"/>
        <v>1.0508215292806483E-3</v>
      </c>
      <c r="Y11" s="99">
        <f t="shared" si="79"/>
        <v>1.0508215292806483E-3</v>
      </c>
      <c r="Z11" s="99">
        <f t="shared" si="79"/>
        <v>1.0508215292806483E-3</v>
      </c>
      <c r="AA11" s="99">
        <f t="shared" ref="AA11" si="80">IF(AA10="","",Z11)</f>
        <v>1.0508215292806483E-3</v>
      </c>
      <c r="AB11" s="95">
        <v>2.1669417868992557E-3</v>
      </c>
      <c r="AC11" s="77">
        <f t="shared" ref="AC11" si="81">IF(AC10="","",AB11)</f>
        <v>2.1669417868992557E-3</v>
      </c>
      <c r="AD11" s="77">
        <f t="shared" ref="AD11" si="82">IF(AD10="","",AC11)</f>
        <v>2.1669417868992557E-3</v>
      </c>
      <c r="AE11" s="77">
        <f t="shared" ref="AE11" si="83">IF(AE10="","",AD11)</f>
        <v>2.1669417868992557E-3</v>
      </c>
      <c r="AF11" s="77">
        <f t="shared" ref="AF11" si="84">IF(AF10="","",AE11)</f>
        <v>2.1669417868992557E-3</v>
      </c>
      <c r="AG11" s="77">
        <f t="shared" ref="AG11" si="85">IF(AG10="","",AF11)</f>
        <v>2.1669417868992557E-3</v>
      </c>
      <c r="AH11" s="77">
        <f t="shared" ref="AH11" si="86">IF(AH10="","",AG11)</f>
        <v>2.1669417868992557E-3</v>
      </c>
      <c r="AI11" s="77">
        <f t="shared" ref="AI11" si="87">IF(AI10="","",AH11)</f>
        <v>2.1669417868992557E-3</v>
      </c>
      <c r="AJ11" s="77">
        <f t="shared" ref="AJ11" si="88">IF(AJ10="","",AI11)</f>
        <v>2.1669417868992557E-3</v>
      </c>
      <c r="AK11" s="77">
        <f t="shared" ref="AK11" si="89">IF(AK10="","",AJ11)</f>
        <v>2.1669417868992557E-3</v>
      </c>
      <c r="AL11" s="77">
        <f t="shared" ref="AL11" si="90">IF(AL10="","",AK11)</f>
        <v>2.1669417868992557E-3</v>
      </c>
      <c r="AM11" s="77">
        <f t="shared" ref="AM11" si="91">IF(AM10="","",AL11)</f>
        <v>2.1669417868992557E-3</v>
      </c>
      <c r="AN11" s="130">
        <v>5.1937633003567641E-4</v>
      </c>
      <c r="AO11" s="77">
        <f t="shared" ref="AO11:BK11" si="92">IF(AO10="","",AN11)</f>
        <v>5.1937633003567641E-4</v>
      </c>
      <c r="AP11" s="77">
        <f t="shared" si="92"/>
        <v>5.1937633003567641E-4</v>
      </c>
      <c r="AQ11" s="77">
        <f t="shared" si="92"/>
        <v>5.1937633003567641E-4</v>
      </c>
      <c r="AR11" s="77">
        <f t="shared" si="92"/>
        <v>5.1937633003567641E-4</v>
      </c>
      <c r="AS11" s="77">
        <f t="shared" si="92"/>
        <v>5.1937633003567641E-4</v>
      </c>
      <c r="AT11" s="77">
        <f t="shared" si="92"/>
        <v>5.1937633003567641E-4</v>
      </c>
      <c r="AU11" s="77">
        <f t="shared" si="92"/>
        <v>5.1937633003567641E-4</v>
      </c>
      <c r="AV11" s="77">
        <f t="shared" si="92"/>
        <v>5.1937633003567641E-4</v>
      </c>
      <c r="AW11" s="77">
        <f t="shared" si="92"/>
        <v>5.1937633003567641E-4</v>
      </c>
      <c r="AX11" s="77">
        <f t="shared" si="92"/>
        <v>5.1937633003567641E-4</v>
      </c>
      <c r="AY11" s="77">
        <f t="shared" si="92"/>
        <v>5.1937633003567641E-4</v>
      </c>
      <c r="AZ11" s="130">
        <v>1.2203236433645677E-6</v>
      </c>
      <c r="BA11" s="77">
        <f t="shared" si="92"/>
        <v>1.2203236433645677E-6</v>
      </c>
      <c r="BB11" s="77">
        <f t="shared" si="92"/>
        <v>1.2203236433645677E-6</v>
      </c>
      <c r="BC11" s="77">
        <f t="shared" si="92"/>
        <v>1.2203236433645677E-6</v>
      </c>
      <c r="BD11" s="77">
        <f t="shared" si="92"/>
        <v>1.2203236433645677E-6</v>
      </c>
      <c r="BE11" s="77">
        <f t="shared" si="92"/>
        <v>1.2203236433645677E-6</v>
      </c>
      <c r="BF11" s="77">
        <f t="shared" si="92"/>
        <v>1.2203236433645677E-6</v>
      </c>
      <c r="BG11" s="77">
        <f t="shared" si="92"/>
        <v>1.2203236433645677E-6</v>
      </c>
      <c r="BH11" s="77">
        <f t="shared" si="92"/>
        <v>1.2203236433645677E-6</v>
      </c>
      <c r="BI11" s="77">
        <f t="shared" si="92"/>
        <v>1.2203236433645677E-6</v>
      </c>
      <c r="BJ11" s="77">
        <f t="shared" si="92"/>
        <v>1.2203236433645677E-6</v>
      </c>
      <c r="BK11" s="77">
        <f t="shared" si="92"/>
        <v>1.2203236433645677E-6</v>
      </c>
      <c r="BL11" s="130">
        <v>2.6703147907348487E-7</v>
      </c>
      <c r="BM11" s="77">
        <f t="shared" ref="BM11:BW11" si="93">IF(BM10="","",BL11)</f>
        <v>2.6703147907348487E-7</v>
      </c>
      <c r="BN11" s="77">
        <f t="shared" si="93"/>
        <v>2.6703147907348487E-7</v>
      </c>
      <c r="BO11" s="77">
        <f t="shared" si="93"/>
        <v>2.6703147907348487E-7</v>
      </c>
      <c r="BP11" s="77">
        <f t="shared" si="93"/>
        <v>2.6703147907348487E-7</v>
      </c>
      <c r="BQ11" s="77">
        <f t="shared" si="93"/>
        <v>2.6703147907348487E-7</v>
      </c>
      <c r="BR11" s="77">
        <f t="shared" si="93"/>
        <v>2.6703147907348487E-7</v>
      </c>
      <c r="BS11" s="77">
        <f t="shared" si="93"/>
        <v>2.6703147907348487E-7</v>
      </c>
      <c r="BT11" s="77">
        <f t="shared" si="93"/>
        <v>2.6703147907348487E-7</v>
      </c>
      <c r="BU11" s="77">
        <f t="shared" si="93"/>
        <v>2.6703147907348487E-7</v>
      </c>
      <c r="BV11" s="77">
        <f t="shared" si="93"/>
        <v>2.6703147907348487E-7</v>
      </c>
      <c r="BW11" s="77">
        <f t="shared" si="93"/>
        <v>2.6703147907348487E-7</v>
      </c>
    </row>
    <row r="12" spans="1:75" x14ac:dyDescent="0.35">
      <c r="A12" s="288"/>
      <c r="B12" s="79" t="s">
        <v>54</v>
      </c>
      <c r="C12" s="46">
        <v>0</v>
      </c>
      <c r="D12" s="95">
        <v>2.1000000000000001E-4</v>
      </c>
      <c r="E12" s="77">
        <f>+D12</f>
        <v>2.1000000000000001E-4</v>
      </c>
      <c r="F12" s="77">
        <f>IF(F10="","",E12)</f>
        <v>2.1000000000000001E-4</v>
      </c>
      <c r="G12" s="77">
        <f t="shared" ref="G12:Z12" si="94">IF(G10="","",F12)</f>
        <v>2.1000000000000001E-4</v>
      </c>
      <c r="H12" s="77">
        <f t="shared" si="94"/>
        <v>2.1000000000000001E-4</v>
      </c>
      <c r="I12" s="77">
        <f t="shared" si="94"/>
        <v>2.1000000000000001E-4</v>
      </c>
      <c r="J12" s="77">
        <f t="shared" si="94"/>
        <v>2.1000000000000001E-4</v>
      </c>
      <c r="K12" s="77">
        <f t="shared" si="94"/>
        <v>2.1000000000000001E-4</v>
      </c>
      <c r="L12" s="77">
        <f t="shared" si="94"/>
        <v>2.1000000000000001E-4</v>
      </c>
      <c r="M12" s="77">
        <f t="shared" si="94"/>
        <v>2.1000000000000001E-4</v>
      </c>
      <c r="N12" s="77">
        <f t="shared" si="94"/>
        <v>2.1000000000000001E-4</v>
      </c>
      <c r="O12" s="77">
        <f t="shared" si="94"/>
        <v>2.1000000000000001E-4</v>
      </c>
      <c r="P12" s="95">
        <v>7.5215423260867955E-5</v>
      </c>
      <c r="Q12" s="77">
        <f t="shared" si="94"/>
        <v>7.5215423260867955E-5</v>
      </c>
      <c r="R12" s="99">
        <f t="shared" si="94"/>
        <v>7.5215423260867955E-5</v>
      </c>
      <c r="S12" s="99">
        <f t="shared" si="94"/>
        <v>7.5215423260867955E-5</v>
      </c>
      <c r="T12" s="99">
        <f t="shared" si="94"/>
        <v>7.5215423260867955E-5</v>
      </c>
      <c r="U12" s="99">
        <f t="shared" si="94"/>
        <v>7.5215423260867955E-5</v>
      </c>
      <c r="V12" s="99">
        <f t="shared" si="94"/>
        <v>7.5215423260867955E-5</v>
      </c>
      <c r="W12" s="99">
        <f t="shared" si="94"/>
        <v>7.5215423260867955E-5</v>
      </c>
      <c r="X12" s="99">
        <f t="shared" si="94"/>
        <v>7.5215423260867955E-5</v>
      </c>
      <c r="Y12" s="99">
        <f t="shared" si="94"/>
        <v>7.5215423260867955E-5</v>
      </c>
      <c r="Z12" s="99">
        <f t="shared" si="94"/>
        <v>7.5215423260867955E-5</v>
      </c>
      <c r="AA12" s="99">
        <f t="shared" ref="AA12" si="95">IF(AA10="","",Z12)</f>
        <v>7.5215423260867955E-5</v>
      </c>
      <c r="AB12" s="95">
        <v>1.3384341861062831E-4</v>
      </c>
      <c r="AC12" s="77">
        <f t="shared" ref="AC12" si="96">IF(AC10="","",AB12)</f>
        <v>1.3384341861062831E-4</v>
      </c>
      <c r="AD12" s="77">
        <f t="shared" ref="AD12" si="97">IF(AD10="","",AC12)</f>
        <v>1.3384341861062831E-4</v>
      </c>
      <c r="AE12" s="77">
        <f t="shared" ref="AE12" si="98">IF(AE10="","",AD12)</f>
        <v>1.3384341861062831E-4</v>
      </c>
      <c r="AF12" s="77">
        <f t="shared" ref="AF12" si="99">IF(AF10="","",AE12)</f>
        <v>1.3384341861062831E-4</v>
      </c>
      <c r="AG12" s="77">
        <f t="shared" ref="AG12" si="100">IF(AG10="","",AF12)</f>
        <v>1.3384341861062831E-4</v>
      </c>
      <c r="AH12" s="77">
        <f t="shared" ref="AH12" si="101">IF(AH10="","",AG12)</f>
        <v>1.3384341861062831E-4</v>
      </c>
      <c r="AI12" s="77">
        <f t="shared" ref="AI12" si="102">IF(AI10="","",AH12)</f>
        <v>1.3384341861062831E-4</v>
      </c>
      <c r="AJ12" s="77">
        <f t="shared" ref="AJ12" si="103">IF(AJ10="","",AI12)</f>
        <v>1.3384341861062831E-4</v>
      </c>
      <c r="AK12" s="77">
        <f t="shared" ref="AK12" si="104">IF(AK10="","",AJ12)</f>
        <v>1.3384341861062831E-4</v>
      </c>
      <c r="AL12" s="77">
        <f t="shared" ref="AL12" si="105">IF(AL10="","",AK12)</f>
        <v>1.3384341861062831E-4</v>
      </c>
      <c r="AM12" s="77">
        <f t="shared" ref="AM12" si="106">IF(AM10="","",AL12)</f>
        <v>1.3384341861062831E-4</v>
      </c>
      <c r="AN12" s="131">
        <v>-1.9849823091581313E-4</v>
      </c>
      <c r="AO12" s="134">
        <f t="shared" ref="AO12:BK12" si="107">IF(AO10="","",AN12)</f>
        <v>-1.9849823091581313E-4</v>
      </c>
      <c r="AP12" s="134">
        <f t="shared" si="107"/>
        <v>-1.9849823091581313E-4</v>
      </c>
      <c r="AQ12" s="134">
        <f t="shared" si="107"/>
        <v>-1.9849823091581313E-4</v>
      </c>
      <c r="AR12" s="134">
        <f t="shared" si="107"/>
        <v>-1.9849823091581313E-4</v>
      </c>
      <c r="AS12" s="134">
        <f t="shared" si="107"/>
        <v>-1.9849823091581313E-4</v>
      </c>
      <c r="AT12" s="134">
        <f t="shared" si="107"/>
        <v>-1.9849823091581313E-4</v>
      </c>
      <c r="AU12" s="134">
        <f t="shared" si="107"/>
        <v>-1.9849823091581313E-4</v>
      </c>
      <c r="AV12" s="134">
        <f t="shared" si="107"/>
        <v>-1.9849823091581313E-4</v>
      </c>
      <c r="AW12" s="134">
        <f t="shared" si="107"/>
        <v>-1.9849823091581313E-4</v>
      </c>
      <c r="AX12" s="134">
        <f t="shared" si="107"/>
        <v>-1.9849823091581313E-4</v>
      </c>
      <c r="AY12" s="134">
        <f t="shared" si="107"/>
        <v>-1.9849823091581313E-4</v>
      </c>
      <c r="AZ12" s="131">
        <v>-3.9303848795509551E-4</v>
      </c>
      <c r="BA12" s="134">
        <f t="shared" si="107"/>
        <v>-3.9303848795509551E-4</v>
      </c>
      <c r="BB12" s="134">
        <f t="shared" si="107"/>
        <v>-3.9303848795509551E-4</v>
      </c>
      <c r="BC12" s="134">
        <f t="shared" si="107"/>
        <v>-3.9303848795509551E-4</v>
      </c>
      <c r="BD12" s="134">
        <f t="shared" si="107"/>
        <v>-3.9303848795509551E-4</v>
      </c>
      <c r="BE12" s="134">
        <f t="shared" si="107"/>
        <v>-3.9303848795509551E-4</v>
      </c>
      <c r="BF12" s="134">
        <f t="shared" si="107"/>
        <v>-3.9303848795509551E-4</v>
      </c>
      <c r="BG12" s="134">
        <f t="shared" si="107"/>
        <v>-3.9303848795509551E-4</v>
      </c>
      <c r="BH12" s="134">
        <f t="shared" si="107"/>
        <v>-3.9303848795509551E-4</v>
      </c>
      <c r="BI12" s="134">
        <f t="shared" si="107"/>
        <v>-3.9303848795509551E-4</v>
      </c>
      <c r="BJ12" s="134">
        <f t="shared" si="107"/>
        <v>-3.9303848795509551E-4</v>
      </c>
      <c r="BK12" s="134">
        <f t="shared" si="107"/>
        <v>-3.9303848795509551E-4</v>
      </c>
      <c r="BL12" s="131">
        <v>-1.4458392345821352E-5</v>
      </c>
      <c r="BM12" s="134">
        <f t="shared" ref="BM12:BW12" si="108">IF(BM10="","",BL12)</f>
        <v>-1.4458392345821352E-5</v>
      </c>
      <c r="BN12" s="134">
        <f t="shared" si="108"/>
        <v>-1.4458392345821352E-5</v>
      </c>
      <c r="BO12" s="134">
        <f t="shared" si="108"/>
        <v>-1.4458392345821352E-5</v>
      </c>
      <c r="BP12" s="134">
        <f t="shared" si="108"/>
        <v>-1.4458392345821352E-5</v>
      </c>
      <c r="BQ12" s="134">
        <f t="shared" si="108"/>
        <v>-1.4458392345821352E-5</v>
      </c>
      <c r="BR12" s="134">
        <f t="shared" si="108"/>
        <v>-1.4458392345821352E-5</v>
      </c>
      <c r="BS12" s="134">
        <f t="shared" si="108"/>
        <v>-1.4458392345821352E-5</v>
      </c>
      <c r="BT12" s="134">
        <f t="shared" si="108"/>
        <v>-1.4458392345821352E-5</v>
      </c>
      <c r="BU12" s="134">
        <f t="shared" si="108"/>
        <v>-1.4458392345821352E-5</v>
      </c>
      <c r="BV12" s="134">
        <f t="shared" si="108"/>
        <v>-1.4458392345821352E-5</v>
      </c>
      <c r="BW12" s="134">
        <f t="shared" si="108"/>
        <v>-1.4458392345821352E-5</v>
      </c>
    </row>
    <row r="13" spans="1:75" x14ac:dyDescent="0.35">
      <c r="A13" s="288"/>
      <c r="B13" s="79" t="s">
        <v>63</v>
      </c>
      <c r="C13" s="68">
        <f>SUM(C11:C12)</f>
        <v>4.5000000000000003E-5</v>
      </c>
      <c r="D13" s="68">
        <f t="shared" ref="D13:E13" si="109">SUM(D11:D12)</f>
        <v>5.2700000000000002E-4</v>
      </c>
      <c r="E13" s="68">
        <f t="shared" si="109"/>
        <v>5.2700000000000002E-4</v>
      </c>
      <c r="F13" s="68">
        <f>IF(F10="","",SUM(F11:F12))</f>
        <v>5.2700000000000002E-4</v>
      </c>
      <c r="G13" s="68">
        <f t="shared" ref="G13:Z13" si="110">IF(G10="","",SUM(G11:G12))</f>
        <v>5.2700000000000002E-4</v>
      </c>
      <c r="H13" s="68">
        <f t="shared" si="110"/>
        <v>5.2700000000000002E-4</v>
      </c>
      <c r="I13" s="68">
        <f t="shared" si="110"/>
        <v>5.2700000000000002E-4</v>
      </c>
      <c r="J13" s="68">
        <f t="shared" si="110"/>
        <v>5.2700000000000002E-4</v>
      </c>
      <c r="K13" s="68">
        <f t="shared" si="110"/>
        <v>5.2700000000000002E-4</v>
      </c>
      <c r="L13" s="68">
        <f t="shared" si="110"/>
        <v>5.2700000000000002E-4</v>
      </c>
      <c r="M13" s="68">
        <f t="shared" si="110"/>
        <v>5.2700000000000002E-4</v>
      </c>
      <c r="N13" s="68">
        <f t="shared" si="110"/>
        <v>5.2700000000000002E-4</v>
      </c>
      <c r="O13" s="68">
        <f t="shared" si="110"/>
        <v>5.2700000000000002E-4</v>
      </c>
      <c r="P13" s="68">
        <f t="shared" si="110"/>
        <v>1.1260369525415163E-3</v>
      </c>
      <c r="Q13" s="68">
        <f t="shared" si="110"/>
        <v>1.1260369525415163E-3</v>
      </c>
      <c r="R13" s="68">
        <f t="shared" si="110"/>
        <v>1.1260369525415163E-3</v>
      </c>
      <c r="S13" s="68">
        <f t="shared" si="110"/>
        <v>1.1260369525415163E-3</v>
      </c>
      <c r="T13" s="68">
        <f t="shared" si="110"/>
        <v>1.1260369525415163E-3</v>
      </c>
      <c r="U13" s="68">
        <f t="shared" si="110"/>
        <v>1.1260369525415163E-3</v>
      </c>
      <c r="V13" s="68">
        <f t="shared" si="110"/>
        <v>1.1260369525415163E-3</v>
      </c>
      <c r="W13" s="68">
        <f t="shared" si="110"/>
        <v>1.1260369525415163E-3</v>
      </c>
      <c r="X13" s="68">
        <f t="shared" si="110"/>
        <v>1.1260369525415163E-3</v>
      </c>
      <c r="Y13" s="68">
        <f t="shared" si="110"/>
        <v>1.1260369525415163E-3</v>
      </c>
      <c r="Z13" s="68">
        <f t="shared" si="110"/>
        <v>1.1260369525415163E-3</v>
      </c>
      <c r="AA13" s="68">
        <f t="shared" ref="AA13:AC13" si="111">IF(AA10="","",SUM(AA11:AA12))</f>
        <v>1.1260369525415163E-3</v>
      </c>
      <c r="AB13" s="68">
        <f t="shared" si="111"/>
        <v>2.3007852055098839E-3</v>
      </c>
      <c r="AC13" s="68">
        <f t="shared" si="111"/>
        <v>2.3007852055098839E-3</v>
      </c>
      <c r="AD13" s="68">
        <f t="shared" ref="AD13:AM13" si="112">IF(AD10="","",SUM(AD11:AD12))</f>
        <v>2.3007852055098839E-3</v>
      </c>
      <c r="AE13" s="68">
        <f t="shared" si="112"/>
        <v>2.3007852055098839E-3</v>
      </c>
      <c r="AF13" s="68">
        <f t="shared" si="112"/>
        <v>2.3007852055098839E-3</v>
      </c>
      <c r="AG13" s="68">
        <f t="shared" si="112"/>
        <v>2.3007852055098839E-3</v>
      </c>
      <c r="AH13" s="68">
        <f t="shared" si="112"/>
        <v>2.3007852055098839E-3</v>
      </c>
      <c r="AI13" s="68">
        <f t="shared" si="112"/>
        <v>2.3007852055098839E-3</v>
      </c>
      <c r="AJ13" s="68">
        <f t="shared" si="112"/>
        <v>2.3007852055098839E-3</v>
      </c>
      <c r="AK13" s="68">
        <f t="shared" si="112"/>
        <v>2.3007852055098839E-3</v>
      </c>
      <c r="AL13" s="68">
        <f t="shared" si="112"/>
        <v>2.3007852055098839E-3</v>
      </c>
      <c r="AM13" s="68">
        <f t="shared" si="112"/>
        <v>2.3007852055098839E-3</v>
      </c>
      <c r="AN13" s="68">
        <f t="shared" ref="AN13:AO13" si="113">IF(AN10="","",SUM(AN11:AN12))</f>
        <v>3.2087809911986328E-4</v>
      </c>
      <c r="AO13" s="68">
        <f t="shared" si="113"/>
        <v>3.2087809911986328E-4</v>
      </c>
      <c r="AP13" s="68">
        <f t="shared" ref="AP13:AQ13" si="114">IF(AP10="","",SUM(AP11:AP12))</f>
        <v>3.2087809911986328E-4</v>
      </c>
      <c r="AQ13" s="68">
        <f t="shared" si="114"/>
        <v>3.2087809911986328E-4</v>
      </c>
      <c r="AR13" s="68">
        <f t="shared" ref="AR13:AS13" si="115">IF(AR10="","",SUM(AR11:AR12))</f>
        <v>3.2087809911986328E-4</v>
      </c>
      <c r="AS13" s="68">
        <f t="shared" si="115"/>
        <v>3.2087809911986328E-4</v>
      </c>
      <c r="AT13" s="68">
        <f t="shared" ref="AT13:AU13" si="116">IF(AT10="","",SUM(AT11:AT12))</f>
        <v>3.2087809911986328E-4</v>
      </c>
      <c r="AU13" s="68">
        <f t="shared" si="116"/>
        <v>3.2087809911986328E-4</v>
      </c>
      <c r="AV13" s="68">
        <f t="shared" ref="AV13:AW13" si="117">IF(AV10="","",SUM(AV11:AV12))</f>
        <v>3.2087809911986328E-4</v>
      </c>
      <c r="AW13" s="68">
        <f t="shared" si="117"/>
        <v>3.2087809911986328E-4</v>
      </c>
      <c r="AX13" s="68">
        <f t="shared" ref="AX13:AY13" si="118">IF(AX10="","",SUM(AX11:AX12))</f>
        <v>3.2087809911986328E-4</v>
      </c>
      <c r="AY13" s="68">
        <f t="shared" si="118"/>
        <v>3.2087809911986328E-4</v>
      </c>
      <c r="AZ13" s="68">
        <f t="shared" ref="AZ13:BA13" si="119">IF(AZ10="","",SUM(AZ11:AZ12))</f>
        <v>-3.9181816431173094E-4</v>
      </c>
      <c r="BA13" s="68">
        <f t="shared" si="119"/>
        <v>-3.9181816431173094E-4</v>
      </c>
      <c r="BB13" s="68">
        <f t="shared" ref="BB13:BC13" si="120">IF(BB10="","",SUM(BB11:BB12))</f>
        <v>-3.9181816431173094E-4</v>
      </c>
      <c r="BC13" s="68">
        <f t="shared" si="120"/>
        <v>-3.9181816431173094E-4</v>
      </c>
      <c r="BD13" s="68">
        <f t="shared" ref="BD13:BE13" si="121">IF(BD10="","",SUM(BD11:BD12))</f>
        <v>-3.9181816431173094E-4</v>
      </c>
      <c r="BE13" s="68">
        <f t="shared" si="121"/>
        <v>-3.9181816431173094E-4</v>
      </c>
      <c r="BF13" s="68">
        <f t="shared" ref="BF13:BG13" si="122">IF(BF10="","",SUM(BF11:BF12))</f>
        <v>-3.9181816431173094E-4</v>
      </c>
      <c r="BG13" s="68">
        <f t="shared" si="122"/>
        <v>-3.9181816431173094E-4</v>
      </c>
      <c r="BH13" s="68">
        <f t="shared" ref="BH13:BI13" si="123">IF(BH10="","",SUM(BH11:BH12))</f>
        <v>-3.9181816431173094E-4</v>
      </c>
      <c r="BI13" s="68">
        <f t="shared" si="123"/>
        <v>-3.9181816431173094E-4</v>
      </c>
      <c r="BJ13" s="68">
        <f t="shared" ref="BJ13:BK13" si="124">IF(BJ10="","",SUM(BJ11:BJ12))</f>
        <v>-3.9181816431173094E-4</v>
      </c>
      <c r="BK13" s="68">
        <f t="shared" si="124"/>
        <v>-3.9181816431173094E-4</v>
      </c>
      <c r="BL13" s="68">
        <f t="shared" ref="BL13:BM13" si="125">IF(BL10="","",SUM(BL11:BL12))</f>
        <v>-1.4191360866747868E-5</v>
      </c>
      <c r="BM13" s="68">
        <f t="shared" si="125"/>
        <v>-1.4191360866747868E-5</v>
      </c>
      <c r="BN13" s="68">
        <f t="shared" ref="BN13:BO13" si="126">IF(BN10="","",SUM(BN11:BN12))</f>
        <v>-1.4191360866747868E-5</v>
      </c>
      <c r="BO13" s="68">
        <f t="shared" si="126"/>
        <v>-1.4191360866747868E-5</v>
      </c>
      <c r="BP13" s="68">
        <f t="shared" ref="BP13:BQ13" si="127">IF(BP10="","",SUM(BP11:BP12))</f>
        <v>-1.4191360866747868E-5</v>
      </c>
      <c r="BQ13" s="68">
        <f t="shared" si="127"/>
        <v>-1.4191360866747868E-5</v>
      </c>
      <c r="BR13" s="68">
        <f t="shared" ref="BR13:BS13" si="128">IF(BR10="","",SUM(BR11:BR12))</f>
        <v>-1.4191360866747868E-5</v>
      </c>
      <c r="BS13" s="68">
        <f t="shared" si="128"/>
        <v>-1.4191360866747868E-5</v>
      </c>
      <c r="BT13" s="68">
        <f t="shared" ref="BT13:BU13" si="129">IF(BT10="","",SUM(BT11:BT12))</f>
        <v>-1.4191360866747868E-5</v>
      </c>
      <c r="BU13" s="68">
        <f t="shared" si="129"/>
        <v>-1.4191360866747868E-5</v>
      </c>
      <c r="BV13" s="68">
        <f t="shared" ref="BV13:BW13" si="130">IF(BV10="","",SUM(BV11:BV12))</f>
        <v>-1.4191360866747868E-5</v>
      </c>
      <c r="BW13" s="68">
        <f t="shared" si="130"/>
        <v>-1.4191360866747868E-5</v>
      </c>
    </row>
    <row r="14" spans="1:75" x14ac:dyDescent="0.35">
      <c r="A14" s="288"/>
      <c r="B14" s="79" t="s">
        <v>56</v>
      </c>
      <c r="C14" s="72">
        <f>+C12/C13</f>
        <v>0</v>
      </c>
      <c r="D14" s="72">
        <f>+IFERROR(D12/D13,"")</f>
        <v>0.39848197343453512</v>
      </c>
      <c r="E14" s="72">
        <f>+IFERROR(E12/E13,"")</f>
        <v>0.39848197343453512</v>
      </c>
      <c r="F14" s="72">
        <f>IF(F10="","",IFERROR(F12/F13,""))</f>
        <v>0.39848197343453512</v>
      </c>
      <c r="G14" s="72">
        <f t="shared" ref="G14:Z14" si="131">IF(G10="","",IFERROR(G12/G13,""))</f>
        <v>0.39848197343453512</v>
      </c>
      <c r="H14" s="72">
        <f t="shared" si="131"/>
        <v>0.39848197343453512</v>
      </c>
      <c r="I14" s="72">
        <f t="shared" si="131"/>
        <v>0.39848197343453512</v>
      </c>
      <c r="J14" s="72">
        <f t="shared" si="131"/>
        <v>0.39848197343453512</v>
      </c>
      <c r="K14" s="72">
        <f t="shared" si="131"/>
        <v>0.39848197343453512</v>
      </c>
      <c r="L14" s="72">
        <f t="shared" si="131"/>
        <v>0.39848197343453512</v>
      </c>
      <c r="M14" s="72">
        <f t="shared" si="131"/>
        <v>0.39848197343453512</v>
      </c>
      <c r="N14" s="72">
        <f t="shared" si="131"/>
        <v>0.39848197343453512</v>
      </c>
      <c r="O14" s="72">
        <f t="shared" si="131"/>
        <v>0.39848197343453512</v>
      </c>
      <c r="P14" s="72">
        <f t="shared" si="131"/>
        <v>6.6796585219608767E-2</v>
      </c>
      <c r="Q14" s="72">
        <f t="shared" si="131"/>
        <v>6.6796585219608767E-2</v>
      </c>
      <c r="R14" s="72">
        <f t="shared" si="131"/>
        <v>6.6796585219608767E-2</v>
      </c>
      <c r="S14" s="72">
        <f t="shared" si="131"/>
        <v>6.6796585219608767E-2</v>
      </c>
      <c r="T14" s="72">
        <f t="shared" si="131"/>
        <v>6.6796585219608767E-2</v>
      </c>
      <c r="U14" s="72">
        <f t="shared" si="131"/>
        <v>6.6796585219608767E-2</v>
      </c>
      <c r="V14" s="72">
        <f t="shared" si="131"/>
        <v>6.6796585219608767E-2</v>
      </c>
      <c r="W14" s="72">
        <f t="shared" si="131"/>
        <v>6.6796585219608767E-2</v>
      </c>
      <c r="X14" s="72">
        <f t="shared" si="131"/>
        <v>6.6796585219608767E-2</v>
      </c>
      <c r="Y14" s="72">
        <f t="shared" si="131"/>
        <v>6.6796585219608767E-2</v>
      </c>
      <c r="Z14" s="72">
        <f t="shared" si="131"/>
        <v>6.6796585219608767E-2</v>
      </c>
      <c r="AA14" s="72">
        <f t="shared" ref="AA14:AC14" si="132">IF(AA10="","",IFERROR(AA12/AA13,""))</f>
        <v>6.6796585219608767E-2</v>
      </c>
      <c r="AB14" s="72">
        <f t="shared" si="132"/>
        <v>5.8172930828180841E-2</v>
      </c>
      <c r="AC14" s="72">
        <f t="shared" si="132"/>
        <v>5.8172930828180841E-2</v>
      </c>
      <c r="AD14" s="72">
        <f t="shared" ref="AD14:AM14" si="133">IF(AD10="","",IFERROR(AD12/AD13,""))</f>
        <v>5.8172930828180841E-2</v>
      </c>
      <c r="AE14" s="72">
        <f t="shared" si="133"/>
        <v>5.8172930828180841E-2</v>
      </c>
      <c r="AF14" s="72">
        <f t="shared" si="133"/>
        <v>5.8172930828180841E-2</v>
      </c>
      <c r="AG14" s="72">
        <f t="shared" si="133"/>
        <v>5.8172930828180841E-2</v>
      </c>
      <c r="AH14" s="72">
        <f t="shared" si="133"/>
        <v>5.8172930828180841E-2</v>
      </c>
      <c r="AI14" s="72">
        <f t="shared" si="133"/>
        <v>5.8172930828180841E-2</v>
      </c>
      <c r="AJ14" s="72">
        <f t="shared" si="133"/>
        <v>5.8172930828180841E-2</v>
      </c>
      <c r="AK14" s="72">
        <f t="shared" si="133"/>
        <v>5.8172930828180841E-2</v>
      </c>
      <c r="AL14" s="72">
        <f t="shared" si="133"/>
        <v>5.8172930828180841E-2</v>
      </c>
      <c r="AM14" s="72">
        <f t="shared" si="133"/>
        <v>5.8172930828180841E-2</v>
      </c>
      <c r="AN14" s="72">
        <f t="shared" ref="AN14:AO14" si="134">IF(AN10="","",IFERROR(AN12/AN13,""))</f>
        <v>-0.61860947026386048</v>
      </c>
      <c r="AO14" s="72">
        <f t="shared" si="134"/>
        <v>-0.61860947026386048</v>
      </c>
      <c r="AP14" s="72">
        <f t="shared" ref="AP14:AQ14" si="135">IF(AP10="","",IFERROR(AP12/AP13,""))</f>
        <v>-0.61860947026386048</v>
      </c>
      <c r="AQ14" s="72">
        <f t="shared" si="135"/>
        <v>-0.61860947026386048</v>
      </c>
      <c r="AR14" s="72">
        <f t="shared" ref="AR14:AS14" si="136">IF(AR10="","",IFERROR(AR12/AR13,""))</f>
        <v>-0.61860947026386048</v>
      </c>
      <c r="AS14" s="72">
        <f t="shared" si="136"/>
        <v>-0.61860947026386048</v>
      </c>
      <c r="AT14" s="72">
        <f t="shared" ref="AT14:AU14" si="137">IF(AT10="","",IFERROR(AT12/AT13,""))</f>
        <v>-0.61860947026386048</v>
      </c>
      <c r="AU14" s="72">
        <f t="shared" si="137"/>
        <v>-0.61860947026386048</v>
      </c>
      <c r="AV14" s="72">
        <f t="shared" ref="AV14:AW14" si="138">IF(AV10="","",IFERROR(AV12/AV13,""))</f>
        <v>-0.61860947026386048</v>
      </c>
      <c r="AW14" s="72">
        <f t="shared" si="138"/>
        <v>-0.61860947026386048</v>
      </c>
      <c r="AX14" s="72">
        <f t="shared" ref="AX14:AY14" si="139">IF(AX10="","",IFERROR(AX12/AX13,""))</f>
        <v>-0.61860947026386048</v>
      </c>
      <c r="AY14" s="72">
        <f t="shared" si="139"/>
        <v>-0.61860947026386048</v>
      </c>
      <c r="AZ14" s="72">
        <f t="shared" ref="AZ14:BA14" si="140">IF(AZ10="","",IFERROR(AZ12/AZ13,""))</f>
        <v>1.003114515238231</v>
      </c>
      <c r="BA14" s="72">
        <f t="shared" si="140"/>
        <v>1.003114515238231</v>
      </c>
      <c r="BB14" s="72">
        <f t="shared" ref="BB14:BC14" si="141">IF(BB10="","",IFERROR(BB12/BB13,""))</f>
        <v>1.003114515238231</v>
      </c>
      <c r="BC14" s="72">
        <f t="shared" si="141"/>
        <v>1.003114515238231</v>
      </c>
      <c r="BD14" s="72">
        <f t="shared" ref="BD14:BE14" si="142">IF(BD10="","",IFERROR(BD12/BD13,""))</f>
        <v>1.003114515238231</v>
      </c>
      <c r="BE14" s="72">
        <f t="shared" si="142"/>
        <v>1.003114515238231</v>
      </c>
      <c r="BF14" s="72">
        <f t="shared" ref="BF14:BG14" si="143">IF(BF10="","",IFERROR(BF12/BF13,""))</f>
        <v>1.003114515238231</v>
      </c>
      <c r="BG14" s="72">
        <f t="shared" si="143"/>
        <v>1.003114515238231</v>
      </c>
      <c r="BH14" s="72">
        <f t="shared" ref="BH14:BI14" si="144">IF(BH10="","",IFERROR(BH12/BH13,""))</f>
        <v>1.003114515238231</v>
      </c>
      <c r="BI14" s="72">
        <f t="shared" si="144"/>
        <v>1.003114515238231</v>
      </c>
      <c r="BJ14" s="72">
        <f t="shared" ref="BJ14:BK14" si="145">IF(BJ10="","",IFERROR(BJ12/BJ13,""))</f>
        <v>1.003114515238231</v>
      </c>
      <c r="BK14" s="72">
        <f t="shared" si="145"/>
        <v>1.003114515238231</v>
      </c>
      <c r="BL14" s="72">
        <f t="shared" ref="BL14:BM14" si="146">IF(BL10="","",IFERROR(BL12/BL13,""))</f>
        <v>1.0188164814904519</v>
      </c>
      <c r="BM14" s="72">
        <f t="shared" si="146"/>
        <v>1.0188164814904519</v>
      </c>
      <c r="BN14" s="72">
        <f t="shared" ref="BN14:BO14" si="147">IF(BN10="","",IFERROR(BN12/BN13,""))</f>
        <v>1.0188164814904519</v>
      </c>
      <c r="BO14" s="72">
        <f t="shared" si="147"/>
        <v>1.0188164814904519</v>
      </c>
      <c r="BP14" s="72">
        <f t="shared" ref="BP14:BQ14" si="148">IF(BP10="","",IFERROR(BP12/BP13,""))</f>
        <v>1.0188164814904519</v>
      </c>
      <c r="BQ14" s="72">
        <f t="shared" si="148"/>
        <v>1.0188164814904519</v>
      </c>
      <c r="BR14" s="72">
        <f t="shared" ref="BR14:BS14" si="149">IF(BR10="","",IFERROR(BR12/BR13,""))</f>
        <v>1.0188164814904519</v>
      </c>
      <c r="BS14" s="72">
        <f t="shared" si="149"/>
        <v>1.0188164814904519</v>
      </c>
      <c r="BT14" s="72">
        <f t="shared" ref="BT14:BU14" si="150">IF(BT10="","",IFERROR(BT12/BT13,""))</f>
        <v>1.0188164814904519</v>
      </c>
      <c r="BU14" s="72">
        <f t="shared" si="150"/>
        <v>1.0188164814904519</v>
      </c>
      <c r="BV14" s="72">
        <f t="shared" ref="BV14:BW14" si="151">IF(BV10="","",IFERROR(BV12/BV13,""))</f>
        <v>1.0188164814904519</v>
      </c>
      <c r="BW14" s="72">
        <f t="shared" si="151"/>
        <v>1.0188164814904519</v>
      </c>
    </row>
    <row r="15" spans="1:75" s="53" customFormat="1" x14ac:dyDescent="0.35">
      <c r="A15" s="288"/>
      <c r="B15" s="80" t="s">
        <v>57</v>
      </c>
      <c r="C15" s="70">
        <f>+C14*C10</f>
        <v>0</v>
      </c>
      <c r="D15" s="70">
        <f>+ROUND(D14*D10,2)</f>
        <v>57670.81</v>
      </c>
      <c r="E15" s="70">
        <f>+ROUND(E14*E10,2)</f>
        <v>51199.34</v>
      </c>
      <c r="F15" s="70">
        <f>IF(F10="","",ROUND(F14*F10,2))</f>
        <v>48454.46</v>
      </c>
      <c r="G15" s="70">
        <f t="shared" ref="G15:Z15" si="152">IF(G10="","",ROUND(G14*G10,2))</f>
        <v>47961.66</v>
      </c>
      <c r="H15" s="70">
        <f t="shared" si="152"/>
        <v>56993.58</v>
      </c>
      <c r="I15" s="70">
        <f t="shared" si="152"/>
        <v>66068.81</v>
      </c>
      <c r="J15" s="70">
        <f t="shared" si="152"/>
        <v>66699.539999999994</v>
      </c>
      <c r="K15" s="70">
        <f t="shared" si="152"/>
        <v>59653.25</v>
      </c>
      <c r="L15" s="70">
        <f t="shared" si="152"/>
        <v>56484.08</v>
      </c>
      <c r="M15" s="70">
        <f t="shared" si="152"/>
        <v>50487.58</v>
      </c>
      <c r="N15" s="70">
        <f t="shared" si="152"/>
        <v>55758.36</v>
      </c>
      <c r="O15" s="70">
        <f t="shared" si="152"/>
        <v>80581.48</v>
      </c>
      <c r="P15" s="70">
        <f t="shared" si="152"/>
        <v>22915.75</v>
      </c>
      <c r="Q15" s="70">
        <f t="shared" si="152"/>
        <v>20081.22</v>
      </c>
      <c r="R15" s="70">
        <f t="shared" si="152"/>
        <v>19791.830000000002</v>
      </c>
      <c r="S15" s="70">
        <f t="shared" si="152"/>
        <v>17914.810000000001</v>
      </c>
      <c r="T15" s="70">
        <f t="shared" si="152"/>
        <v>22552.86</v>
      </c>
      <c r="U15" s="70">
        <f t="shared" si="152"/>
        <v>24883.18</v>
      </c>
      <c r="V15" s="70">
        <f t="shared" si="152"/>
        <v>23251.17</v>
      </c>
      <c r="W15" s="70">
        <f t="shared" si="152"/>
        <v>22846.74</v>
      </c>
      <c r="X15" s="70">
        <f t="shared" si="152"/>
        <v>20130.740000000002</v>
      </c>
      <c r="Y15" s="70">
        <f t="shared" si="152"/>
        <v>18136.46</v>
      </c>
      <c r="Z15" s="70">
        <f t="shared" si="152"/>
        <v>21919.72</v>
      </c>
      <c r="AA15" s="70">
        <f t="shared" ref="AA15:AC15" si="153">IF(AA10="","",ROUND(AA14*AA10,2))</f>
        <v>25229.34</v>
      </c>
      <c r="AB15" s="70">
        <f t="shared" si="153"/>
        <v>41190.97</v>
      </c>
      <c r="AC15" s="70">
        <f t="shared" si="153"/>
        <v>38787.67</v>
      </c>
      <c r="AD15" s="70">
        <f t="shared" ref="AD15:AM15" si="154">IF(AD10="","",ROUND(AD14*AD10,2))</f>
        <v>31443.78</v>
      </c>
      <c r="AE15" s="70">
        <f t="shared" si="154"/>
        <v>29644</v>
      </c>
      <c r="AF15" s="70">
        <f t="shared" si="154"/>
        <v>34609.08</v>
      </c>
      <c r="AG15" s="70">
        <f t="shared" si="154"/>
        <v>39585.75</v>
      </c>
      <c r="AH15" s="70">
        <f t="shared" si="154"/>
        <v>40683.480000000003</v>
      </c>
      <c r="AI15" s="70">
        <f t="shared" si="154"/>
        <v>39274.67</v>
      </c>
      <c r="AJ15" s="70">
        <f t="shared" si="154"/>
        <v>35394.61</v>
      </c>
      <c r="AK15" s="70">
        <f t="shared" si="154"/>
        <v>31714.62</v>
      </c>
      <c r="AL15" s="70">
        <f t="shared" si="154"/>
        <v>37264.32</v>
      </c>
      <c r="AM15" s="70">
        <f t="shared" si="154"/>
        <v>39738.61</v>
      </c>
      <c r="AN15" s="70">
        <f t="shared" ref="AN15:AO15" si="155">IF(AN10="","",ROUND(AN14*AN10,2))</f>
        <v>-259244.3</v>
      </c>
      <c r="AO15" s="70">
        <f t="shared" si="155"/>
        <v>-54461.07</v>
      </c>
      <c r="AP15" s="70">
        <f t="shared" ref="AP15:AQ15" si="156">IF(AP10="","",ROUND(AP14*AP10,2))</f>
        <v>-40308.699999999997</v>
      </c>
      <c r="AQ15" s="70">
        <f t="shared" si="156"/>
        <v>-36689.64</v>
      </c>
      <c r="AR15" s="70">
        <f t="shared" ref="AR15:AS15" si="157">IF(AR10="","",ROUND(AR14*AR10,2))</f>
        <v>-45879.44</v>
      </c>
      <c r="AS15" s="70">
        <f t="shared" si="157"/>
        <v>-57185.74</v>
      </c>
      <c r="AT15" s="70">
        <f t="shared" ref="AT15:AU15" si="158">IF(AT10="","",ROUND(AT14*AT10,2))</f>
        <v>-56277.09</v>
      </c>
      <c r="AU15" s="70">
        <f t="shared" si="158"/>
        <v>-53447.12</v>
      </c>
      <c r="AV15" s="70">
        <f t="shared" ref="AV15:AW15" si="159">IF(AV10="","",ROUND(AV14*AV10,2))</f>
        <v>-43395.75</v>
      </c>
      <c r="AW15" s="70">
        <f t="shared" si="159"/>
        <v>-43326.04</v>
      </c>
      <c r="AX15" s="70">
        <f t="shared" ref="AX15:AY15" si="160">IF(AX10="","",ROUND(AX14*AX10,2))</f>
        <v>-49988.83</v>
      </c>
      <c r="AY15" s="70">
        <f t="shared" si="160"/>
        <v>-59615.22</v>
      </c>
      <c r="AZ15" s="70">
        <f t="shared" ref="AZ15:BA15" si="161">IF(AZ10="","",ROUND(AZ14*AZ10,2))</f>
        <v>-2335.62</v>
      </c>
      <c r="BA15" s="70">
        <f t="shared" si="161"/>
        <v>-104083.7</v>
      </c>
      <c r="BB15" s="70">
        <f t="shared" ref="BB15:BC15" si="162">IF(BB10="","",ROUND(BB14*BB10,2))</f>
        <v>-82832.47</v>
      </c>
      <c r="BC15" s="70">
        <f t="shared" si="162"/>
        <v>-81630.89</v>
      </c>
      <c r="BD15" s="70">
        <f t="shared" ref="BD15:BE15" si="163">IF(BD10="","",ROUND(BD14*BD10,2))</f>
        <v>-96732.3</v>
      </c>
      <c r="BE15" s="70">
        <f t="shared" si="163"/>
        <v>-113949.84</v>
      </c>
      <c r="BF15" s="70">
        <f t="shared" ref="BF15:BG15" si="164">IF(BF10="","",ROUND(BF14*BF10,2))</f>
        <v>-114477</v>
      </c>
      <c r="BG15" s="70">
        <f t="shared" si="164"/>
        <v>-115688.1</v>
      </c>
      <c r="BH15" s="70">
        <f t="shared" ref="BH15:BI15" si="165">IF(BH10="","",ROUND(BH14*BH10,2))</f>
        <v>-96527.89</v>
      </c>
      <c r="BI15" s="70">
        <f t="shared" si="165"/>
        <v>-86249.99</v>
      </c>
      <c r="BJ15" s="70">
        <f t="shared" ref="BJ15:BK15" si="166">IF(BJ10="","",ROUND(BJ14*BJ10,2))</f>
        <v>-98347.18</v>
      </c>
      <c r="BK15" s="70">
        <f t="shared" si="166"/>
        <v>-116084.16</v>
      </c>
      <c r="BL15" s="70">
        <f t="shared" ref="BL15:BM15" si="167">IF(BL10="","",ROUND(BL14*BL10,2))</f>
        <v>-72696.31</v>
      </c>
      <c r="BM15" s="70">
        <f t="shared" si="167"/>
        <v>-3930.01</v>
      </c>
      <c r="BN15" s="70">
        <f t="shared" ref="BN15:BO15" si="168">IF(BN10="","",ROUND(BN14*BN10,2))</f>
        <v>-3532.61</v>
      </c>
      <c r="BO15" s="70">
        <f t="shared" si="168"/>
        <v>-3250.65</v>
      </c>
      <c r="BP15" s="70">
        <f t="shared" ref="BP15:BQ15" si="169">IF(BP10="","",ROUND(BP14*BP10,2))</f>
        <v>-3684.79</v>
      </c>
      <c r="BQ15" s="70">
        <f t="shared" si="169"/>
        <v>-4244.25</v>
      </c>
      <c r="BR15" s="70">
        <f t="shared" ref="BR15:BS15" si="170">IF(BR10="","",ROUND(BR14*BR10,2))</f>
        <v>-4450.8100000000004</v>
      </c>
      <c r="BS15" s="70">
        <f t="shared" si="170"/>
        <v>-4045.9</v>
      </c>
      <c r="BT15" s="70">
        <f t="shared" ref="BT15:BU15" si="171">IF(BT10="","",ROUND(BT14*BT10,2))</f>
        <v>-3372.86</v>
      </c>
      <c r="BU15" s="70">
        <f t="shared" si="171"/>
        <v>-3052.47</v>
      </c>
      <c r="BV15" s="70">
        <f t="shared" ref="BV15:BW15" si="172">IF(BV10="","",ROUND(BV14*BV10,2))</f>
        <v>-3697.2</v>
      </c>
      <c r="BW15" s="70">
        <f t="shared" si="172"/>
        <v>-4363.95</v>
      </c>
    </row>
    <row r="16" spans="1:75" s="53" customFormat="1" ht="9" customHeight="1" x14ac:dyDescent="0.35">
      <c r="A16" s="83"/>
      <c r="B16" s="81"/>
      <c r="C16" s="71"/>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row>
    <row r="17" spans="1:79" x14ac:dyDescent="0.35">
      <c r="A17" s="288" t="s">
        <v>35</v>
      </c>
      <c r="B17" s="79" t="s">
        <v>53</v>
      </c>
      <c r="C17" s="69">
        <f>+'MEEIA 2 calcs'!O48</f>
        <v>63808.639999999999</v>
      </c>
      <c r="D17" s="69">
        <f>+'MEEIA 2 calcs'!P48</f>
        <v>334912.75</v>
      </c>
      <c r="E17" s="69">
        <f>+'MEEIA 2 calcs'!Q48</f>
        <v>311859.65000000002</v>
      </c>
      <c r="F17" s="69">
        <f>+'M2 Allocations - TD'!Q52</f>
        <v>306431.03999999998</v>
      </c>
      <c r="G17" s="69">
        <f>IF(+'M2 Allocations - TD'!R52="","",'M2 Allocations - TD'!R52)</f>
        <v>315079.21999999997</v>
      </c>
      <c r="H17" s="69">
        <f>IF(+'M2 Allocations - TD'!S52="","",'M2 Allocations - TD'!S52)</f>
        <v>357143.49</v>
      </c>
      <c r="I17" s="69">
        <f>IF(+'M2 Allocations - TD'!T52="","",'M2 Allocations - TD'!T52)</f>
        <v>388918.74</v>
      </c>
      <c r="J17" s="69">
        <f>IF(+'M2 Allocations - TD'!U52="","",'M2 Allocations - TD'!U52)</f>
        <v>396209.91</v>
      </c>
      <c r="K17" s="69">
        <f>IF(+'M2 Allocations - TD'!V52="","",'M2 Allocations - TD'!V52)</f>
        <v>373506.75</v>
      </c>
      <c r="L17" s="69">
        <f>IF(+'M2 Allocations - TD'!W52="","",'M2 Allocations - TD'!W52)</f>
        <v>358646.38</v>
      </c>
      <c r="M17" s="69">
        <f>IF(+'M2 Allocations - TD'!X52="","",'M2 Allocations - TD'!X52)</f>
        <v>321927.84000000003</v>
      </c>
      <c r="N17" s="69">
        <f>IF(+'M2 Allocations - TD'!Y52="","",'M2 Allocations - TD'!Y52)</f>
        <v>337190.07</v>
      </c>
      <c r="O17" s="69">
        <f>IF(+'M2 Allocations - TD'!Z52="","",'M2 Allocations - TD'!Z52)</f>
        <v>406112.33</v>
      </c>
      <c r="P17" s="69">
        <f>IF(+'M2 Allocations - TD'!AA52="","",'M2 Allocations - TD'!AA52)</f>
        <v>569283.56999999995</v>
      </c>
      <c r="Q17" s="69">
        <f>IF(+'M2 Allocations - TD'!AB52="","",'M2 Allocations - TD'!AB52)</f>
        <v>530638.37</v>
      </c>
      <c r="R17" s="69">
        <f>IF(+'M2 Allocations - TD'!AC52="","",'M2 Allocations - TD'!AC52)</f>
        <v>535419.43000000005</v>
      </c>
      <c r="S17" s="69">
        <f>IF(+'M2 Allocations - TD'!AD52="","",'M2 Allocations - TD'!AD52)</f>
        <v>530865.09</v>
      </c>
      <c r="T17" s="69">
        <f>IF(+'M2 Allocations - TD'!AE52="","",'M2 Allocations - TD'!AE52)</f>
        <v>632987.31999999995</v>
      </c>
      <c r="U17" s="69">
        <f>IF(+'M2 Allocations - TD'!AF52="","",'M2 Allocations - TD'!AF52)</f>
        <v>672168.03</v>
      </c>
      <c r="V17" s="69">
        <f>IF(+'M2 Allocations - TD'!AG52="","",'M2 Allocations - TD'!AG52)</f>
        <v>636130.80000000005</v>
      </c>
      <c r="W17" s="69">
        <f>IF(+'M2 Allocations - TD'!AH52="","",'M2 Allocations - TD'!AH52)</f>
        <v>647286.31999999995</v>
      </c>
      <c r="X17" s="69">
        <f>IF(+'M2 Allocations - TD'!AI52="","",'M2 Allocations - TD'!AI52)</f>
        <v>588134.43000000005</v>
      </c>
      <c r="Y17" s="69">
        <f>IF(+'M2 Allocations - TD'!AJ52="","",'M2 Allocations - TD'!AJ52)</f>
        <v>523066.9</v>
      </c>
      <c r="Z17" s="69">
        <f>IF(+'M2 Allocations - TD'!AK52="","",'M2 Allocations - TD'!AK52)</f>
        <v>569652.57999999996</v>
      </c>
      <c r="AA17" s="69">
        <f>IF(+'M2 Allocations - TD'!AL52="","",'M2 Allocations - TD'!AL52)</f>
        <v>622149.86</v>
      </c>
      <c r="AB17" s="69">
        <f>IF(+'M2 Allocations - TD'!AM52="","",'M2 Allocations - TD'!AM52)</f>
        <v>1121084.3899999999</v>
      </c>
      <c r="AC17" s="69">
        <f>IF(+'M2 Allocations - TD'!AN52="","",'M2 Allocations - TD'!AN52)</f>
        <v>1064143.96</v>
      </c>
      <c r="AD17" s="69">
        <f>IF(+'M2 Allocations - TD'!AO52="","",'M2 Allocations - TD'!AO52)</f>
        <v>956310.33</v>
      </c>
      <c r="AE17" s="69">
        <f>IF(+'M2 Allocations - TD'!AP52="","",'M2 Allocations - TD'!AP52)</f>
        <v>988397.62</v>
      </c>
      <c r="AF17" s="69">
        <f>IF(+'M2 Allocations - TD'!AQ52="","",'M2 Allocations - TD'!AQ52)</f>
        <v>1099738.51</v>
      </c>
      <c r="AG17" s="69">
        <f>IF(+'M2 Allocations - TD'!AR52="","",'M2 Allocations - TD'!AR52)</f>
        <v>1183208.1399999999</v>
      </c>
      <c r="AH17" s="69">
        <f>IF(+'M2 Allocations - TD'!AS52="","",'M2 Allocations - TD'!AS52)</f>
        <v>1210589.8</v>
      </c>
      <c r="AI17" s="69">
        <f>IF(+'M2 Allocations - TD'!AT52="","",'M2 Allocations - TD'!AT52)</f>
        <v>1222150.02</v>
      </c>
      <c r="AJ17" s="69">
        <f>IF(+'M2 Allocations - TD'!AU52="","",'M2 Allocations - TD'!AU52)</f>
        <v>1122226.3600000001</v>
      </c>
      <c r="AK17" s="69">
        <f>IF(+'M2 Allocations - TD'!AV52="","",'M2 Allocations - TD'!AV52)</f>
        <v>990572.78</v>
      </c>
      <c r="AL17" s="69">
        <f>IF(+'M2 Allocations - TD'!AW52="","",'M2 Allocations - TD'!AW52)</f>
        <v>1074771.6100000001</v>
      </c>
      <c r="AM17" s="69">
        <f>IF(+'M2 Allocations - TD'!AX52="","",'M2 Allocations - TD'!AX52)</f>
        <v>1111703.5</v>
      </c>
      <c r="AN17" s="69">
        <f>IF(+'M2 Allocations - TD'!AY52="","",'M2 Allocations - TD'!AY52)</f>
        <v>772025.26</v>
      </c>
      <c r="AO17" s="69">
        <f>IF(+'M2 Allocations - TD'!AZ52="","",'M2 Allocations - TD'!AZ52)</f>
        <v>319798.53000000003</v>
      </c>
      <c r="AP17" s="69">
        <f>IF(+'M2 Allocations - TD'!BA52="","",'M2 Allocations - TD'!BA52)</f>
        <v>269033.2</v>
      </c>
      <c r="AQ17" s="69">
        <f>IF(+'M2 Allocations - TD'!BB52="","",'M2 Allocations - TD'!BB52)</f>
        <v>249777.14</v>
      </c>
      <c r="AR17" s="69">
        <f>IF(+'M2 Allocations - TD'!BC52="","",'M2 Allocations - TD'!BC52)</f>
        <v>297315.93</v>
      </c>
      <c r="AS17" s="69">
        <f>IF(+'M2 Allocations - TD'!BD52="","",'M2 Allocations - TD'!BD52)</f>
        <v>347144.51</v>
      </c>
      <c r="AT17" s="69">
        <f>IF(+'M2 Allocations - TD'!BE52="","",'M2 Allocations - TD'!BE52)</f>
        <v>345440.09</v>
      </c>
      <c r="AU17" s="69">
        <f>IF(+'M2 Allocations - TD'!BF52="","",'M2 Allocations - TD'!BF52)</f>
        <v>344230.11</v>
      </c>
      <c r="AV17" s="69">
        <f>IF(+'M2 Allocations - TD'!BG52="","",'M2 Allocations - TD'!BG52)</f>
        <v>293731.96999999997</v>
      </c>
      <c r="AW17" s="69">
        <f>IF(+'M2 Allocations - TD'!BH52="","",'M2 Allocations - TD'!BH52)</f>
        <v>286094.82</v>
      </c>
      <c r="AX17" s="69">
        <f>IF(+'M2 Allocations - TD'!BI52="","",'M2 Allocations - TD'!BI52)</f>
        <v>307534.57</v>
      </c>
      <c r="AY17" s="69">
        <f>IF(+'M2 Allocations - TD'!BJ52="","",'M2 Allocations - TD'!BJ52)</f>
        <v>329595.59000000003</v>
      </c>
      <c r="AZ17" s="69">
        <f>IF(+'M2 Allocations - TD'!BK52="","",'M2 Allocations - TD'!BK52)</f>
        <v>128230.92</v>
      </c>
      <c r="BA17" s="69">
        <f>IF(+'M2 Allocations - TD'!BL52="","",'M2 Allocations - TD'!BL52)</f>
        <v>-119113.36</v>
      </c>
      <c r="BB17" s="69">
        <f>IF(+'M2 Allocations - TD'!BM52="","",'M2 Allocations - TD'!BM52)</f>
        <v>-106709.26</v>
      </c>
      <c r="BC17" s="69">
        <f>IF(+'M2 Allocations - TD'!BN52="","",'M2 Allocations - TD'!BN52)</f>
        <v>-108656.28</v>
      </c>
      <c r="BD17" s="69">
        <f>IF(+'M2 Allocations - TD'!BO52="","",'M2 Allocations - TD'!BO52)</f>
        <v>-121205.96</v>
      </c>
      <c r="BE17" s="69">
        <f>IF(+'M2 Allocations - TD'!BP52="","",'M2 Allocations - TD'!BP52)</f>
        <v>-141073.82999999999</v>
      </c>
      <c r="BF17" s="69">
        <f>IF(+'M2 Allocations - TD'!BQ52="","",'M2 Allocations - TD'!BQ52)</f>
        <v>-140301.07</v>
      </c>
      <c r="BG17" s="69">
        <f>IF(+'M2 Allocations - TD'!BR52="","",'M2 Allocations - TD'!BR52)</f>
        <v>-142985.78</v>
      </c>
      <c r="BH17" s="69">
        <f>IF(+'M2 Allocations - TD'!BS52="","",'M2 Allocations - TD'!BS52)</f>
        <v>-125672.79</v>
      </c>
      <c r="BI17" s="69">
        <f>IF(+'M2 Allocations - TD'!BT52="","",'M2 Allocations - TD'!BT52)</f>
        <v>-111672.41</v>
      </c>
      <c r="BJ17" s="69">
        <f>IF(+'M2 Allocations - TD'!BU52="","",'M2 Allocations - TD'!BU52)</f>
        <v>-122048.8</v>
      </c>
      <c r="BK17" s="69">
        <f>IF(+'M2 Allocations - TD'!BV52="","",'M2 Allocations - TD'!BV52)</f>
        <v>-130402.9</v>
      </c>
      <c r="BL17" s="69">
        <f>IF(+'M2 Allocations - TD'!BW52="","",'M2 Allocations - TD'!BW52)</f>
        <v>-91979.27</v>
      </c>
      <c r="BM17" s="69">
        <f>IF(+'M2 Allocations - TD'!BX52="","",'M2 Allocations - TD'!BX52)</f>
        <v>-29965.9</v>
      </c>
      <c r="BN17" s="69">
        <f>IF(+'M2 Allocations - TD'!BY52="","",'M2 Allocations - TD'!BY52)</f>
        <v>-27757.9</v>
      </c>
      <c r="BO17" s="69">
        <f>IF(+'M2 Allocations - TD'!BZ52="","",'M2 Allocations - TD'!BZ52)</f>
        <v>-28438.25</v>
      </c>
      <c r="BP17" s="69">
        <f>IF(+'M2 Allocations - TD'!CA52="","",'M2 Allocations - TD'!CA52)</f>
        <v>-31790.6</v>
      </c>
      <c r="BQ17" s="69">
        <f>IF(+'M2 Allocations - TD'!CB52="","",'M2 Allocations - TD'!CB52)</f>
        <v>-36362.75</v>
      </c>
      <c r="BR17" s="69">
        <f>IF(+'M2 Allocations - TD'!CC52="","",'M2 Allocations - TD'!CC52)</f>
        <v>-35481.11</v>
      </c>
      <c r="BS17" s="69">
        <f>IF(+'M2 Allocations - TD'!CD52="","",'M2 Allocations - TD'!CD52)</f>
        <v>-33868.720000000001</v>
      </c>
      <c r="BT17" s="69">
        <f>IF(+'M2 Allocations - TD'!CE52="","",'M2 Allocations - TD'!CE52)</f>
        <v>-29154.44</v>
      </c>
      <c r="BU17" s="69">
        <f>IF(+'M2 Allocations - TD'!CF52="","",'M2 Allocations - TD'!CF52)</f>
        <v>-27766.866471993697</v>
      </c>
      <c r="BV17" s="69">
        <f>IF(+'M2 Allocations - TD'!CG52="","",'M2 Allocations - TD'!CG52)</f>
        <v>-30819.784877240669</v>
      </c>
      <c r="BW17" s="69">
        <f>IF(+'M2 Allocations - TD'!CH52="","",'M2 Allocations - TD'!CH52)</f>
        <v>-33735.600022934857</v>
      </c>
    </row>
    <row r="18" spans="1:79" x14ac:dyDescent="0.35">
      <c r="A18" s="288"/>
      <c r="B18" s="79" t="s">
        <v>55</v>
      </c>
      <c r="C18" s="95">
        <v>6.2000000000000003E-5</v>
      </c>
      <c r="D18" s="95">
        <v>4.28E-4</v>
      </c>
      <c r="E18" s="77">
        <f>+D18</f>
        <v>4.28E-4</v>
      </c>
      <c r="F18" s="77">
        <f>IF(F17="","",E18)</f>
        <v>4.28E-4</v>
      </c>
      <c r="G18" s="77">
        <f t="shared" ref="G18:Z18" si="173">IF(G17="","",F18)</f>
        <v>4.28E-4</v>
      </c>
      <c r="H18" s="77">
        <f t="shared" si="173"/>
        <v>4.28E-4</v>
      </c>
      <c r="I18" s="77">
        <f t="shared" si="173"/>
        <v>4.28E-4</v>
      </c>
      <c r="J18" s="77">
        <f t="shared" si="173"/>
        <v>4.28E-4</v>
      </c>
      <c r="K18" s="77">
        <f t="shared" si="173"/>
        <v>4.28E-4</v>
      </c>
      <c r="L18" s="77">
        <f t="shared" si="173"/>
        <v>4.28E-4</v>
      </c>
      <c r="M18" s="77">
        <f t="shared" si="173"/>
        <v>4.28E-4</v>
      </c>
      <c r="N18" s="77">
        <f t="shared" si="173"/>
        <v>4.28E-4</v>
      </c>
      <c r="O18" s="77">
        <f t="shared" si="173"/>
        <v>4.28E-4</v>
      </c>
      <c r="P18" s="95">
        <v>9.6322685443095489E-4</v>
      </c>
      <c r="Q18" s="77">
        <f t="shared" si="173"/>
        <v>9.6322685443095489E-4</v>
      </c>
      <c r="R18" s="99">
        <f t="shared" si="173"/>
        <v>9.6322685443095489E-4</v>
      </c>
      <c r="S18" s="99">
        <f t="shared" si="173"/>
        <v>9.6322685443095489E-4</v>
      </c>
      <c r="T18" s="99">
        <f t="shared" si="173"/>
        <v>9.6322685443095489E-4</v>
      </c>
      <c r="U18" s="99">
        <f t="shared" si="173"/>
        <v>9.6322685443095489E-4</v>
      </c>
      <c r="V18" s="99">
        <f t="shared" si="173"/>
        <v>9.6322685443095489E-4</v>
      </c>
      <c r="W18" s="99">
        <f t="shared" si="173"/>
        <v>9.6322685443095489E-4</v>
      </c>
      <c r="X18" s="99">
        <f t="shared" si="173"/>
        <v>9.6322685443095489E-4</v>
      </c>
      <c r="Y18" s="99">
        <f t="shared" si="173"/>
        <v>9.6322685443095489E-4</v>
      </c>
      <c r="Z18" s="99">
        <f t="shared" si="173"/>
        <v>9.6322685443095489E-4</v>
      </c>
      <c r="AA18" s="99">
        <f t="shared" ref="AA18" si="174">IF(AA17="","",Z18)</f>
        <v>9.6322685443095489E-4</v>
      </c>
      <c r="AB18" s="95">
        <v>1.7376912608362781E-3</v>
      </c>
      <c r="AC18" s="77">
        <f t="shared" ref="AC18" si="175">IF(AC17="","",AB18)</f>
        <v>1.7376912608362781E-3</v>
      </c>
      <c r="AD18" s="77">
        <f t="shared" ref="AD18" si="176">IF(AD17="","",AC18)</f>
        <v>1.7376912608362781E-3</v>
      </c>
      <c r="AE18" s="77">
        <f t="shared" ref="AE18" si="177">IF(AE17="","",AD18)</f>
        <v>1.7376912608362781E-3</v>
      </c>
      <c r="AF18" s="77">
        <f t="shared" ref="AF18" si="178">IF(AF17="","",AE18)</f>
        <v>1.7376912608362781E-3</v>
      </c>
      <c r="AG18" s="77">
        <f t="shared" ref="AG18" si="179">IF(AG17="","",AF18)</f>
        <v>1.7376912608362781E-3</v>
      </c>
      <c r="AH18" s="77">
        <f t="shared" ref="AH18" si="180">IF(AH17="","",AG18)</f>
        <v>1.7376912608362781E-3</v>
      </c>
      <c r="AI18" s="77">
        <f t="shared" ref="AI18" si="181">IF(AI17="","",AH18)</f>
        <v>1.7376912608362781E-3</v>
      </c>
      <c r="AJ18" s="77">
        <f t="shared" ref="AJ18" si="182">IF(AJ17="","",AI18)</f>
        <v>1.7376912608362781E-3</v>
      </c>
      <c r="AK18" s="77">
        <f t="shared" ref="AK18" si="183">IF(AK17="","",AJ18)</f>
        <v>1.7376912608362781E-3</v>
      </c>
      <c r="AL18" s="77">
        <f t="shared" ref="AL18" si="184">IF(AL17="","",AK18)</f>
        <v>1.7376912608362781E-3</v>
      </c>
      <c r="AM18" s="77">
        <f t="shared" ref="AM18" si="185">IF(AM17="","",AL18)</f>
        <v>1.7376912608362781E-3</v>
      </c>
      <c r="AN18" s="130">
        <v>4.5805746473138027E-4</v>
      </c>
      <c r="AO18" s="77">
        <f t="shared" ref="AO18:BK18" si="186">IF(AO17="","",AN18)</f>
        <v>4.5805746473138027E-4</v>
      </c>
      <c r="AP18" s="77">
        <f t="shared" si="186"/>
        <v>4.5805746473138027E-4</v>
      </c>
      <c r="AQ18" s="77">
        <f t="shared" si="186"/>
        <v>4.5805746473138027E-4</v>
      </c>
      <c r="AR18" s="77">
        <f t="shared" si="186"/>
        <v>4.5805746473138027E-4</v>
      </c>
      <c r="AS18" s="77">
        <f t="shared" si="186"/>
        <v>4.5805746473138027E-4</v>
      </c>
      <c r="AT18" s="77">
        <f t="shared" si="186"/>
        <v>4.5805746473138027E-4</v>
      </c>
      <c r="AU18" s="77">
        <f t="shared" si="186"/>
        <v>4.5805746473138027E-4</v>
      </c>
      <c r="AV18" s="77">
        <f t="shared" si="186"/>
        <v>4.5805746473138027E-4</v>
      </c>
      <c r="AW18" s="77">
        <f t="shared" si="186"/>
        <v>4.5805746473138027E-4</v>
      </c>
      <c r="AX18" s="77">
        <f t="shared" si="186"/>
        <v>4.5805746473138027E-4</v>
      </c>
      <c r="AY18" s="77">
        <f t="shared" si="186"/>
        <v>4.5805746473138027E-4</v>
      </c>
      <c r="AZ18" s="130">
        <v>4.6536199470864085E-5</v>
      </c>
      <c r="BA18" s="77">
        <f t="shared" si="186"/>
        <v>4.6536199470864085E-5</v>
      </c>
      <c r="BB18" s="77">
        <f t="shared" si="186"/>
        <v>4.6536199470864085E-5</v>
      </c>
      <c r="BC18" s="77">
        <f t="shared" si="186"/>
        <v>4.6536199470864085E-5</v>
      </c>
      <c r="BD18" s="77">
        <f t="shared" si="186"/>
        <v>4.6536199470864085E-5</v>
      </c>
      <c r="BE18" s="77">
        <f t="shared" si="186"/>
        <v>4.6536199470864085E-5</v>
      </c>
      <c r="BF18" s="77">
        <f t="shared" si="186"/>
        <v>4.6536199470864085E-5</v>
      </c>
      <c r="BG18" s="77">
        <f t="shared" si="186"/>
        <v>4.6536199470864085E-5</v>
      </c>
      <c r="BH18" s="77">
        <f t="shared" si="186"/>
        <v>4.6536199470864085E-5</v>
      </c>
      <c r="BI18" s="77">
        <f t="shared" si="186"/>
        <v>4.6536199470864085E-5</v>
      </c>
      <c r="BJ18" s="77">
        <f t="shared" si="186"/>
        <v>4.6536199470864085E-5</v>
      </c>
      <c r="BK18" s="77">
        <f t="shared" si="186"/>
        <v>4.6536199470864085E-5</v>
      </c>
      <c r="BL18" s="130">
        <v>1.4822440071275399E-6</v>
      </c>
      <c r="BM18" s="77">
        <f t="shared" ref="BM18:BW18" si="187">IF(BM17="","",BL18)</f>
        <v>1.4822440071275399E-6</v>
      </c>
      <c r="BN18" s="77">
        <f t="shared" si="187"/>
        <v>1.4822440071275399E-6</v>
      </c>
      <c r="BO18" s="77">
        <f t="shared" si="187"/>
        <v>1.4822440071275399E-6</v>
      </c>
      <c r="BP18" s="77">
        <f t="shared" si="187"/>
        <v>1.4822440071275399E-6</v>
      </c>
      <c r="BQ18" s="77">
        <f t="shared" si="187"/>
        <v>1.4822440071275399E-6</v>
      </c>
      <c r="BR18" s="77">
        <f t="shared" si="187"/>
        <v>1.4822440071275399E-6</v>
      </c>
      <c r="BS18" s="77">
        <f t="shared" si="187"/>
        <v>1.4822440071275399E-6</v>
      </c>
      <c r="BT18" s="77">
        <f t="shared" si="187"/>
        <v>1.4822440071275399E-6</v>
      </c>
      <c r="BU18" s="77">
        <f t="shared" si="187"/>
        <v>1.4822440071275399E-6</v>
      </c>
      <c r="BV18" s="77">
        <f t="shared" si="187"/>
        <v>1.4822440071275399E-6</v>
      </c>
      <c r="BW18" s="77">
        <f t="shared" si="187"/>
        <v>1.4822440071275399E-6</v>
      </c>
    </row>
    <row r="19" spans="1:79" x14ac:dyDescent="0.35">
      <c r="A19" s="288"/>
      <c r="B19" s="79" t="s">
        <v>54</v>
      </c>
      <c r="C19" s="46">
        <v>0</v>
      </c>
      <c r="D19" s="95">
        <v>1.17E-4</v>
      </c>
      <c r="E19" s="77">
        <f>+D19</f>
        <v>1.17E-4</v>
      </c>
      <c r="F19" s="77">
        <f>IF(F17="","",E19)</f>
        <v>1.17E-4</v>
      </c>
      <c r="G19" s="77">
        <f t="shared" ref="G19:Z19" si="188">IF(G17="","",F19)</f>
        <v>1.17E-4</v>
      </c>
      <c r="H19" s="77">
        <f t="shared" si="188"/>
        <v>1.17E-4</v>
      </c>
      <c r="I19" s="77">
        <f t="shared" si="188"/>
        <v>1.17E-4</v>
      </c>
      <c r="J19" s="77">
        <f t="shared" si="188"/>
        <v>1.17E-4</v>
      </c>
      <c r="K19" s="77">
        <f t="shared" si="188"/>
        <v>1.17E-4</v>
      </c>
      <c r="L19" s="77">
        <f t="shared" si="188"/>
        <v>1.17E-4</v>
      </c>
      <c r="M19" s="77">
        <f t="shared" si="188"/>
        <v>1.17E-4</v>
      </c>
      <c r="N19" s="77">
        <f t="shared" si="188"/>
        <v>1.17E-4</v>
      </c>
      <c r="O19" s="77">
        <f t="shared" si="188"/>
        <v>1.17E-4</v>
      </c>
      <c r="P19" s="100">
        <v>-6.5977518462868702E-5</v>
      </c>
      <c r="Q19" s="99">
        <f t="shared" si="188"/>
        <v>-6.5977518462868702E-5</v>
      </c>
      <c r="R19" s="99">
        <f t="shared" si="188"/>
        <v>-6.5977518462868702E-5</v>
      </c>
      <c r="S19" s="99">
        <f t="shared" si="188"/>
        <v>-6.5977518462868702E-5</v>
      </c>
      <c r="T19" s="99">
        <f t="shared" si="188"/>
        <v>-6.5977518462868702E-5</v>
      </c>
      <c r="U19" s="99">
        <f t="shared" si="188"/>
        <v>-6.5977518462868702E-5</v>
      </c>
      <c r="V19" s="99">
        <f t="shared" si="188"/>
        <v>-6.5977518462868702E-5</v>
      </c>
      <c r="W19" s="99">
        <f t="shared" si="188"/>
        <v>-6.5977518462868702E-5</v>
      </c>
      <c r="X19" s="99">
        <f t="shared" si="188"/>
        <v>-6.5977518462868702E-5</v>
      </c>
      <c r="Y19" s="99">
        <f t="shared" si="188"/>
        <v>-6.5977518462868702E-5</v>
      </c>
      <c r="Z19" s="99">
        <f t="shared" si="188"/>
        <v>-6.5977518462868702E-5</v>
      </c>
      <c r="AA19" s="99">
        <f t="shared" ref="AA19" si="189">IF(AA17="","",Z19)</f>
        <v>-6.5977518462868702E-5</v>
      </c>
      <c r="AB19" s="100">
        <v>6.4203213386111483E-5</v>
      </c>
      <c r="AC19" s="99">
        <f t="shared" ref="AC19" si="190">IF(AC17="","",AB19)</f>
        <v>6.4203213386111483E-5</v>
      </c>
      <c r="AD19" s="99">
        <f t="shared" ref="AD19" si="191">IF(AD17="","",AC19)</f>
        <v>6.4203213386111483E-5</v>
      </c>
      <c r="AE19" s="99">
        <f t="shared" ref="AE19" si="192">IF(AE17="","",AD19)</f>
        <v>6.4203213386111483E-5</v>
      </c>
      <c r="AF19" s="99">
        <f t="shared" ref="AF19" si="193">IF(AF17="","",AE19)</f>
        <v>6.4203213386111483E-5</v>
      </c>
      <c r="AG19" s="99">
        <f t="shared" ref="AG19" si="194">IF(AG17="","",AF19)</f>
        <v>6.4203213386111483E-5</v>
      </c>
      <c r="AH19" s="99">
        <f t="shared" ref="AH19" si="195">IF(AH17="","",AG19)</f>
        <v>6.4203213386111483E-5</v>
      </c>
      <c r="AI19" s="99">
        <f t="shared" ref="AI19" si="196">IF(AI17="","",AH19)</f>
        <v>6.4203213386111483E-5</v>
      </c>
      <c r="AJ19" s="99">
        <f t="shared" ref="AJ19" si="197">IF(AJ17="","",AI19)</f>
        <v>6.4203213386111483E-5</v>
      </c>
      <c r="AK19" s="99">
        <f t="shared" ref="AK19" si="198">IF(AK17="","",AJ19)</f>
        <v>6.4203213386111483E-5</v>
      </c>
      <c r="AL19" s="99">
        <f t="shared" ref="AL19" si="199">IF(AL17="","",AK19)</f>
        <v>6.4203213386111483E-5</v>
      </c>
      <c r="AM19" s="99">
        <f t="shared" ref="AM19" si="200">IF(AM17="","",AL19)</f>
        <v>6.4203213386111483E-5</v>
      </c>
      <c r="AN19" s="131">
        <v>9.7754935298837687E-5</v>
      </c>
      <c r="AO19" s="99">
        <f t="shared" ref="AO19:BK19" si="201">IF(AO17="","",AN19)</f>
        <v>9.7754935298837687E-5</v>
      </c>
      <c r="AP19" s="99">
        <f t="shared" si="201"/>
        <v>9.7754935298837687E-5</v>
      </c>
      <c r="AQ19" s="99">
        <f t="shared" si="201"/>
        <v>9.7754935298837687E-5</v>
      </c>
      <c r="AR19" s="99">
        <f t="shared" si="201"/>
        <v>9.7754935298837687E-5</v>
      </c>
      <c r="AS19" s="99">
        <f t="shared" si="201"/>
        <v>9.7754935298837687E-5</v>
      </c>
      <c r="AT19" s="99">
        <f t="shared" si="201"/>
        <v>9.7754935298837687E-5</v>
      </c>
      <c r="AU19" s="99">
        <f t="shared" si="201"/>
        <v>9.7754935298837687E-5</v>
      </c>
      <c r="AV19" s="99">
        <f t="shared" si="201"/>
        <v>9.7754935298837687E-5</v>
      </c>
      <c r="AW19" s="99">
        <f t="shared" si="201"/>
        <v>9.7754935298837687E-5</v>
      </c>
      <c r="AX19" s="99">
        <f t="shared" si="201"/>
        <v>9.7754935298837687E-5</v>
      </c>
      <c r="AY19" s="99">
        <f t="shared" si="201"/>
        <v>9.7754935298837687E-5</v>
      </c>
      <c r="AZ19" s="131">
        <v>-2.6792444489892511E-4</v>
      </c>
      <c r="BA19" s="99">
        <f t="shared" si="201"/>
        <v>-2.6792444489892511E-4</v>
      </c>
      <c r="BB19" s="99">
        <f>IF(BB17="","",BA19)</f>
        <v>-2.6792444489892511E-4</v>
      </c>
      <c r="BC19" s="99">
        <f t="shared" si="201"/>
        <v>-2.6792444489892511E-4</v>
      </c>
      <c r="BD19" s="99">
        <f t="shared" si="201"/>
        <v>-2.6792444489892511E-4</v>
      </c>
      <c r="BE19" s="99">
        <f t="shared" si="201"/>
        <v>-2.6792444489892511E-4</v>
      </c>
      <c r="BF19" s="99">
        <f t="shared" si="201"/>
        <v>-2.6792444489892511E-4</v>
      </c>
      <c r="BG19" s="99">
        <f t="shared" si="201"/>
        <v>-2.6792444489892511E-4</v>
      </c>
      <c r="BH19" s="99">
        <f t="shared" si="201"/>
        <v>-2.6792444489892511E-4</v>
      </c>
      <c r="BI19" s="99">
        <f t="shared" si="201"/>
        <v>-2.6792444489892511E-4</v>
      </c>
      <c r="BJ19" s="99">
        <f t="shared" si="201"/>
        <v>-2.6792444489892511E-4</v>
      </c>
      <c r="BK19" s="99">
        <f t="shared" si="201"/>
        <v>-2.6792444489892511E-4</v>
      </c>
      <c r="BL19" s="131">
        <v>-5.6490430642213007E-5</v>
      </c>
      <c r="BM19" s="99">
        <f t="shared" ref="BM19:BW19" si="202">IF(BM17="","",BL19)</f>
        <v>-5.6490430642213007E-5</v>
      </c>
      <c r="BN19" s="99">
        <f t="shared" si="202"/>
        <v>-5.6490430642213007E-5</v>
      </c>
      <c r="BO19" s="99">
        <f t="shared" si="202"/>
        <v>-5.6490430642213007E-5</v>
      </c>
      <c r="BP19" s="99">
        <f t="shared" si="202"/>
        <v>-5.6490430642213007E-5</v>
      </c>
      <c r="BQ19" s="99">
        <f t="shared" si="202"/>
        <v>-5.6490430642213007E-5</v>
      </c>
      <c r="BR19" s="99">
        <f t="shared" si="202"/>
        <v>-5.6490430642213007E-5</v>
      </c>
      <c r="BS19" s="99">
        <f t="shared" si="202"/>
        <v>-5.6490430642213007E-5</v>
      </c>
      <c r="BT19" s="99">
        <f t="shared" si="202"/>
        <v>-5.6490430642213007E-5</v>
      </c>
      <c r="BU19" s="99">
        <f t="shared" si="202"/>
        <v>-5.6490430642213007E-5</v>
      </c>
      <c r="BV19" s="99">
        <f t="shared" si="202"/>
        <v>-5.6490430642213007E-5</v>
      </c>
      <c r="BW19" s="99">
        <f t="shared" si="202"/>
        <v>-5.6490430642213007E-5</v>
      </c>
    </row>
    <row r="20" spans="1:79" x14ac:dyDescent="0.35">
      <c r="A20" s="288"/>
      <c r="B20" s="79" t="s">
        <v>63</v>
      </c>
      <c r="C20" s="68">
        <f>SUM(C18:C19)</f>
        <v>6.2000000000000003E-5</v>
      </c>
      <c r="D20" s="68">
        <f t="shared" ref="D20:E20" si="203">SUM(D18:D19)</f>
        <v>5.4500000000000002E-4</v>
      </c>
      <c r="E20" s="68">
        <f t="shared" si="203"/>
        <v>5.4500000000000002E-4</v>
      </c>
      <c r="F20" s="68">
        <f>IF(F17="","",SUM(F18:F19))</f>
        <v>5.4500000000000002E-4</v>
      </c>
      <c r="G20" s="68">
        <f t="shared" ref="G20:Z20" si="204">IF(G17="","",SUM(G18:G19))</f>
        <v>5.4500000000000002E-4</v>
      </c>
      <c r="H20" s="68">
        <f t="shared" si="204"/>
        <v>5.4500000000000002E-4</v>
      </c>
      <c r="I20" s="68">
        <f t="shared" si="204"/>
        <v>5.4500000000000002E-4</v>
      </c>
      <c r="J20" s="68">
        <f t="shared" si="204"/>
        <v>5.4500000000000002E-4</v>
      </c>
      <c r="K20" s="68">
        <f t="shared" si="204"/>
        <v>5.4500000000000002E-4</v>
      </c>
      <c r="L20" s="68">
        <f t="shared" si="204"/>
        <v>5.4500000000000002E-4</v>
      </c>
      <c r="M20" s="68">
        <f t="shared" si="204"/>
        <v>5.4500000000000002E-4</v>
      </c>
      <c r="N20" s="68">
        <f t="shared" si="204"/>
        <v>5.4500000000000002E-4</v>
      </c>
      <c r="O20" s="68">
        <f t="shared" si="204"/>
        <v>5.4500000000000002E-4</v>
      </c>
      <c r="P20" s="68">
        <f t="shared" si="204"/>
        <v>8.9724933596808617E-4</v>
      </c>
      <c r="Q20" s="68">
        <f t="shared" si="204"/>
        <v>8.9724933596808617E-4</v>
      </c>
      <c r="R20" s="68">
        <f t="shared" si="204"/>
        <v>8.9724933596808617E-4</v>
      </c>
      <c r="S20" s="68">
        <f t="shared" si="204"/>
        <v>8.9724933596808617E-4</v>
      </c>
      <c r="T20" s="68">
        <f t="shared" si="204"/>
        <v>8.9724933596808617E-4</v>
      </c>
      <c r="U20" s="68">
        <f t="shared" si="204"/>
        <v>8.9724933596808617E-4</v>
      </c>
      <c r="V20" s="68">
        <f t="shared" si="204"/>
        <v>8.9724933596808617E-4</v>
      </c>
      <c r="W20" s="68">
        <f t="shared" si="204"/>
        <v>8.9724933596808617E-4</v>
      </c>
      <c r="X20" s="68">
        <f t="shared" si="204"/>
        <v>8.9724933596808617E-4</v>
      </c>
      <c r="Y20" s="68">
        <f t="shared" si="204"/>
        <v>8.9724933596808617E-4</v>
      </c>
      <c r="Z20" s="68">
        <f t="shared" si="204"/>
        <v>8.9724933596808617E-4</v>
      </c>
      <c r="AA20" s="68">
        <f t="shared" ref="AA20:AC20" si="205">IF(AA17="","",SUM(AA18:AA19))</f>
        <v>8.9724933596808617E-4</v>
      </c>
      <c r="AB20" s="68">
        <f t="shared" si="205"/>
        <v>1.8018944742223895E-3</v>
      </c>
      <c r="AC20" s="68">
        <f t="shared" si="205"/>
        <v>1.8018944742223895E-3</v>
      </c>
      <c r="AD20" s="68">
        <f t="shared" ref="AD20:AM20" si="206">IF(AD17="","",SUM(AD18:AD19))</f>
        <v>1.8018944742223895E-3</v>
      </c>
      <c r="AE20" s="68">
        <f t="shared" si="206"/>
        <v>1.8018944742223895E-3</v>
      </c>
      <c r="AF20" s="68">
        <f t="shared" si="206"/>
        <v>1.8018944742223895E-3</v>
      </c>
      <c r="AG20" s="68">
        <f t="shared" si="206"/>
        <v>1.8018944742223895E-3</v>
      </c>
      <c r="AH20" s="68">
        <f t="shared" si="206"/>
        <v>1.8018944742223895E-3</v>
      </c>
      <c r="AI20" s="68">
        <f t="shared" si="206"/>
        <v>1.8018944742223895E-3</v>
      </c>
      <c r="AJ20" s="68">
        <f t="shared" si="206"/>
        <v>1.8018944742223895E-3</v>
      </c>
      <c r="AK20" s="68">
        <f t="shared" si="206"/>
        <v>1.8018944742223895E-3</v>
      </c>
      <c r="AL20" s="68">
        <f t="shared" si="206"/>
        <v>1.8018944742223895E-3</v>
      </c>
      <c r="AM20" s="68">
        <f t="shared" si="206"/>
        <v>1.8018944742223895E-3</v>
      </c>
      <c r="AN20" s="68">
        <f t="shared" ref="AN20:AO20" si="207">IF(AN17="","",SUM(AN18:AN19))</f>
        <v>5.5581240003021797E-4</v>
      </c>
      <c r="AO20" s="68">
        <f t="shared" si="207"/>
        <v>5.5581240003021797E-4</v>
      </c>
      <c r="AP20" s="68">
        <f t="shared" ref="AP20:AQ20" si="208">IF(AP17="","",SUM(AP18:AP19))</f>
        <v>5.5581240003021797E-4</v>
      </c>
      <c r="AQ20" s="68">
        <f t="shared" si="208"/>
        <v>5.5581240003021797E-4</v>
      </c>
      <c r="AR20" s="68">
        <f t="shared" ref="AR20:AS20" si="209">IF(AR17="","",SUM(AR18:AR19))</f>
        <v>5.5581240003021797E-4</v>
      </c>
      <c r="AS20" s="68">
        <f t="shared" si="209"/>
        <v>5.5581240003021797E-4</v>
      </c>
      <c r="AT20" s="68">
        <f t="shared" ref="AT20:AU20" si="210">IF(AT17="","",SUM(AT18:AT19))</f>
        <v>5.5581240003021797E-4</v>
      </c>
      <c r="AU20" s="68">
        <f t="shared" si="210"/>
        <v>5.5581240003021797E-4</v>
      </c>
      <c r="AV20" s="68">
        <f t="shared" ref="AV20:AW20" si="211">IF(AV17="","",SUM(AV18:AV19))</f>
        <v>5.5581240003021797E-4</v>
      </c>
      <c r="AW20" s="68">
        <f t="shared" si="211"/>
        <v>5.5581240003021797E-4</v>
      </c>
      <c r="AX20" s="68">
        <f t="shared" ref="AX20:AY20" si="212">IF(AX17="","",SUM(AX18:AX19))</f>
        <v>5.5581240003021797E-4</v>
      </c>
      <c r="AY20" s="68">
        <f t="shared" si="212"/>
        <v>5.5581240003021797E-4</v>
      </c>
      <c r="AZ20" s="68">
        <f t="shared" ref="AZ20:BA20" si="213">IF(AZ17="","",SUM(AZ18:AZ19))</f>
        <v>-2.2138824542806103E-4</v>
      </c>
      <c r="BA20" s="68">
        <f t="shared" si="213"/>
        <v>-2.2138824542806103E-4</v>
      </c>
      <c r="BB20" s="68">
        <f t="shared" ref="BB20:BC20" si="214">IF(BB17="","",SUM(BB18:BB19))</f>
        <v>-2.2138824542806103E-4</v>
      </c>
      <c r="BC20" s="68">
        <f t="shared" si="214"/>
        <v>-2.2138824542806103E-4</v>
      </c>
      <c r="BD20" s="68">
        <f t="shared" ref="BD20:BE20" si="215">IF(BD17="","",SUM(BD18:BD19))</f>
        <v>-2.2138824542806103E-4</v>
      </c>
      <c r="BE20" s="68">
        <f t="shared" si="215"/>
        <v>-2.2138824542806103E-4</v>
      </c>
      <c r="BF20" s="68">
        <f t="shared" ref="BF20:BG20" si="216">IF(BF17="","",SUM(BF18:BF19))</f>
        <v>-2.2138824542806103E-4</v>
      </c>
      <c r="BG20" s="68">
        <f t="shared" si="216"/>
        <v>-2.2138824542806103E-4</v>
      </c>
      <c r="BH20" s="68">
        <f t="shared" ref="BH20:BI20" si="217">IF(BH17="","",SUM(BH18:BH19))</f>
        <v>-2.2138824542806103E-4</v>
      </c>
      <c r="BI20" s="68">
        <f t="shared" si="217"/>
        <v>-2.2138824542806103E-4</v>
      </c>
      <c r="BJ20" s="68">
        <f t="shared" ref="BJ20:BK20" si="218">IF(BJ17="","",SUM(BJ18:BJ19))</f>
        <v>-2.2138824542806103E-4</v>
      </c>
      <c r="BK20" s="68">
        <f t="shared" si="218"/>
        <v>-2.2138824542806103E-4</v>
      </c>
      <c r="BL20" s="68">
        <f t="shared" ref="BL20:BM20" si="219">IF(BL17="","",SUM(BL18:BL19))</f>
        <v>-5.5008186635085464E-5</v>
      </c>
      <c r="BM20" s="68">
        <f t="shared" si="219"/>
        <v>-5.5008186635085464E-5</v>
      </c>
      <c r="BN20" s="68">
        <f t="shared" ref="BN20:BO20" si="220">IF(BN17="","",SUM(BN18:BN19))</f>
        <v>-5.5008186635085464E-5</v>
      </c>
      <c r="BO20" s="68">
        <f t="shared" si="220"/>
        <v>-5.5008186635085464E-5</v>
      </c>
      <c r="BP20" s="68">
        <f t="shared" ref="BP20:BQ20" si="221">IF(BP17="","",SUM(BP18:BP19))</f>
        <v>-5.5008186635085464E-5</v>
      </c>
      <c r="BQ20" s="68">
        <f t="shared" si="221"/>
        <v>-5.5008186635085464E-5</v>
      </c>
      <c r="BR20" s="68">
        <f t="shared" ref="BR20:BS20" si="222">IF(BR17="","",SUM(BR18:BR19))</f>
        <v>-5.5008186635085464E-5</v>
      </c>
      <c r="BS20" s="68">
        <f t="shared" si="222"/>
        <v>-5.5008186635085464E-5</v>
      </c>
      <c r="BT20" s="68">
        <f t="shared" ref="BT20:BU20" si="223">IF(BT17="","",SUM(BT18:BT19))</f>
        <v>-5.5008186635085464E-5</v>
      </c>
      <c r="BU20" s="68">
        <f t="shared" si="223"/>
        <v>-5.5008186635085464E-5</v>
      </c>
      <c r="BV20" s="68">
        <f t="shared" ref="BV20:BW20" si="224">IF(BV17="","",SUM(BV18:BV19))</f>
        <v>-5.5008186635085464E-5</v>
      </c>
      <c r="BW20" s="68">
        <f t="shared" si="224"/>
        <v>-5.5008186635085464E-5</v>
      </c>
    </row>
    <row r="21" spans="1:79" x14ac:dyDescent="0.35">
      <c r="A21" s="288"/>
      <c r="B21" s="79" t="s">
        <v>56</v>
      </c>
      <c r="C21" s="72">
        <f>+C19/C20</f>
        <v>0</v>
      </c>
      <c r="D21" s="72">
        <f>+IFERROR(D19/D20,"")</f>
        <v>0.21467889908256879</v>
      </c>
      <c r="E21" s="72">
        <f>+IFERROR(E19/E20,"")</f>
        <v>0.21467889908256879</v>
      </c>
      <c r="F21" s="72">
        <f>IF(F17="","",IFERROR(F19/F20,""))</f>
        <v>0.21467889908256879</v>
      </c>
      <c r="G21" s="72">
        <f t="shared" ref="G21:Z21" si="225">IF(G17="","",IFERROR(G19/G20,""))</f>
        <v>0.21467889908256879</v>
      </c>
      <c r="H21" s="72">
        <f t="shared" si="225"/>
        <v>0.21467889908256879</v>
      </c>
      <c r="I21" s="72">
        <f t="shared" si="225"/>
        <v>0.21467889908256879</v>
      </c>
      <c r="J21" s="72">
        <f t="shared" si="225"/>
        <v>0.21467889908256879</v>
      </c>
      <c r="K21" s="72">
        <f t="shared" si="225"/>
        <v>0.21467889908256879</v>
      </c>
      <c r="L21" s="72">
        <f t="shared" si="225"/>
        <v>0.21467889908256879</v>
      </c>
      <c r="M21" s="72">
        <f t="shared" si="225"/>
        <v>0.21467889908256879</v>
      </c>
      <c r="N21" s="72">
        <f t="shared" si="225"/>
        <v>0.21467889908256879</v>
      </c>
      <c r="O21" s="72">
        <f t="shared" si="225"/>
        <v>0.21467889908256879</v>
      </c>
      <c r="P21" s="72">
        <f t="shared" si="225"/>
        <v>-7.3533092550781692E-2</v>
      </c>
      <c r="Q21" s="72">
        <f t="shared" si="225"/>
        <v>-7.3533092550781692E-2</v>
      </c>
      <c r="R21" s="72">
        <f t="shared" si="225"/>
        <v>-7.3533092550781692E-2</v>
      </c>
      <c r="S21" s="72">
        <f t="shared" si="225"/>
        <v>-7.3533092550781692E-2</v>
      </c>
      <c r="T21" s="72">
        <f t="shared" si="225"/>
        <v>-7.3533092550781692E-2</v>
      </c>
      <c r="U21" s="72">
        <f t="shared" si="225"/>
        <v>-7.3533092550781692E-2</v>
      </c>
      <c r="V21" s="72">
        <f t="shared" si="225"/>
        <v>-7.3533092550781692E-2</v>
      </c>
      <c r="W21" s="72">
        <f t="shared" si="225"/>
        <v>-7.3533092550781692E-2</v>
      </c>
      <c r="X21" s="72">
        <f t="shared" si="225"/>
        <v>-7.3533092550781692E-2</v>
      </c>
      <c r="Y21" s="72">
        <f t="shared" si="225"/>
        <v>-7.3533092550781692E-2</v>
      </c>
      <c r="Z21" s="72">
        <f t="shared" si="225"/>
        <v>-7.3533092550781692E-2</v>
      </c>
      <c r="AA21" s="72">
        <f t="shared" ref="AA21:AC21" si="226">IF(AA17="","",IFERROR(AA19/AA20,""))</f>
        <v>-7.3533092550781692E-2</v>
      </c>
      <c r="AB21" s="72">
        <f t="shared" si="226"/>
        <v>3.5630950815706608E-2</v>
      </c>
      <c r="AC21" s="72">
        <f t="shared" si="226"/>
        <v>3.5630950815706608E-2</v>
      </c>
      <c r="AD21" s="72">
        <f t="shared" ref="AD21:AM21" si="227">IF(AD17="","",IFERROR(AD19/AD20,""))</f>
        <v>3.5630950815706608E-2</v>
      </c>
      <c r="AE21" s="72">
        <f t="shared" si="227"/>
        <v>3.5630950815706608E-2</v>
      </c>
      <c r="AF21" s="72">
        <f t="shared" si="227"/>
        <v>3.5630950815706608E-2</v>
      </c>
      <c r="AG21" s="72">
        <f t="shared" si="227"/>
        <v>3.5630950815706608E-2</v>
      </c>
      <c r="AH21" s="72">
        <f t="shared" si="227"/>
        <v>3.5630950815706608E-2</v>
      </c>
      <c r="AI21" s="72">
        <f t="shared" si="227"/>
        <v>3.5630950815706608E-2</v>
      </c>
      <c r="AJ21" s="72">
        <f t="shared" si="227"/>
        <v>3.5630950815706608E-2</v>
      </c>
      <c r="AK21" s="72">
        <f t="shared" si="227"/>
        <v>3.5630950815706608E-2</v>
      </c>
      <c r="AL21" s="72">
        <f t="shared" si="227"/>
        <v>3.5630950815706608E-2</v>
      </c>
      <c r="AM21" s="72">
        <f t="shared" si="227"/>
        <v>3.5630950815706608E-2</v>
      </c>
      <c r="AN21" s="72">
        <f t="shared" ref="AN21:AO21" si="228">IF(AN17="","",IFERROR(AN19/AN20,""))</f>
        <v>0.17587757180934255</v>
      </c>
      <c r="AO21" s="72">
        <f t="shared" si="228"/>
        <v>0.17587757180934255</v>
      </c>
      <c r="AP21" s="72">
        <f t="shared" ref="AP21:AQ21" si="229">IF(AP17="","",IFERROR(AP19/AP20,""))</f>
        <v>0.17587757180934255</v>
      </c>
      <c r="AQ21" s="72">
        <f t="shared" si="229"/>
        <v>0.17587757180934255</v>
      </c>
      <c r="AR21" s="72">
        <f t="shared" ref="AR21:AS21" si="230">IF(AR17="","",IFERROR(AR19/AR20,""))</f>
        <v>0.17587757180934255</v>
      </c>
      <c r="AS21" s="72">
        <f t="shared" si="230"/>
        <v>0.17587757180934255</v>
      </c>
      <c r="AT21" s="72">
        <f t="shared" ref="AT21:AU21" si="231">IF(AT17="","",IFERROR(AT19/AT20,""))</f>
        <v>0.17587757180934255</v>
      </c>
      <c r="AU21" s="72">
        <f t="shared" si="231"/>
        <v>0.17587757180934255</v>
      </c>
      <c r="AV21" s="72">
        <f t="shared" ref="AV21:AW21" si="232">IF(AV17="","",IFERROR(AV19/AV20,""))</f>
        <v>0.17587757180934255</v>
      </c>
      <c r="AW21" s="72">
        <f t="shared" si="232"/>
        <v>0.17587757180934255</v>
      </c>
      <c r="AX21" s="72">
        <f t="shared" ref="AX21:AY21" si="233">IF(AX17="","",IFERROR(AX19/AX20,""))</f>
        <v>0.17587757180934255</v>
      </c>
      <c r="AY21" s="72">
        <f t="shared" si="233"/>
        <v>0.17587757180934255</v>
      </c>
      <c r="AZ21" s="72">
        <f t="shared" ref="AZ21:BA21" si="234">IF(AZ17="","",IFERROR(AZ19/AZ20,""))</f>
        <v>1.2102017628844066</v>
      </c>
      <c r="BA21" s="72">
        <f t="shared" si="234"/>
        <v>1.2102017628844066</v>
      </c>
      <c r="BB21" s="72">
        <f t="shared" ref="BB21:BC21" si="235">IF(BB17="","",IFERROR(BB19/BB20,""))</f>
        <v>1.2102017628844066</v>
      </c>
      <c r="BC21" s="72">
        <f t="shared" si="235"/>
        <v>1.2102017628844066</v>
      </c>
      <c r="BD21" s="72">
        <f t="shared" ref="BD21:BE21" si="236">IF(BD17="","",IFERROR(BD19/BD20,""))</f>
        <v>1.2102017628844066</v>
      </c>
      <c r="BE21" s="72">
        <f t="shared" si="236"/>
        <v>1.2102017628844066</v>
      </c>
      <c r="BF21" s="72">
        <f t="shared" ref="BF21:BG21" si="237">IF(BF17="","",IFERROR(BF19/BF20,""))</f>
        <v>1.2102017628844066</v>
      </c>
      <c r="BG21" s="72">
        <f t="shared" si="237"/>
        <v>1.2102017628844066</v>
      </c>
      <c r="BH21" s="72">
        <f t="shared" ref="BH21:BI21" si="238">IF(BH17="","",IFERROR(BH19/BH20,""))</f>
        <v>1.2102017628844066</v>
      </c>
      <c r="BI21" s="72">
        <f t="shared" si="238"/>
        <v>1.2102017628844066</v>
      </c>
      <c r="BJ21" s="72">
        <f t="shared" ref="BJ21:BK21" si="239">IF(BJ17="","",IFERROR(BJ19/BJ20,""))</f>
        <v>1.2102017628844066</v>
      </c>
      <c r="BK21" s="72">
        <f t="shared" si="239"/>
        <v>1.2102017628844066</v>
      </c>
      <c r="BL21" s="72">
        <f t="shared" ref="BL21:BM21" si="240">IF(BL17="","",IFERROR(BL19/BL20,""))</f>
        <v>1.0269458802007143</v>
      </c>
      <c r="BM21" s="72">
        <f t="shared" si="240"/>
        <v>1.0269458802007143</v>
      </c>
      <c r="BN21" s="72">
        <f t="shared" ref="BN21:BO21" si="241">IF(BN17="","",IFERROR(BN19/BN20,""))</f>
        <v>1.0269458802007143</v>
      </c>
      <c r="BO21" s="72">
        <f t="shared" si="241"/>
        <v>1.0269458802007143</v>
      </c>
      <c r="BP21" s="72">
        <f t="shared" ref="BP21:BQ21" si="242">IF(BP17="","",IFERROR(BP19/BP20,""))</f>
        <v>1.0269458802007143</v>
      </c>
      <c r="BQ21" s="72">
        <f t="shared" si="242"/>
        <v>1.0269458802007143</v>
      </c>
      <c r="BR21" s="72">
        <f t="shared" ref="BR21:BS21" si="243">IF(BR17="","",IFERROR(BR19/BR20,""))</f>
        <v>1.0269458802007143</v>
      </c>
      <c r="BS21" s="72">
        <f t="shared" si="243"/>
        <v>1.0269458802007143</v>
      </c>
      <c r="BT21" s="72">
        <f t="shared" ref="BT21:BU21" si="244">IF(BT17="","",IFERROR(BT19/BT20,""))</f>
        <v>1.0269458802007143</v>
      </c>
      <c r="BU21" s="72">
        <f t="shared" si="244"/>
        <v>1.0269458802007143</v>
      </c>
      <c r="BV21" s="72">
        <f t="shared" ref="BV21:BW21" si="245">IF(BV17="","",IFERROR(BV19/BV20,""))</f>
        <v>1.0269458802007143</v>
      </c>
      <c r="BW21" s="72">
        <f t="shared" si="245"/>
        <v>1.0269458802007143</v>
      </c>
    </row>
    <row r="22" spans="1:79" s="53" customFormat="1" x14ac:dyDescent="0.35">
      <c r="A22" s="288"/>
      <c r="B22" s="80" t="s">
        <v>57</v>
      </c>
      <c r="C22" s="70">
        <f>+C21*C17</f>
        <v>0</v>
      </c>
      <c r="D22" s="70">
        <f>+ROUND(D21*D17,2)</f>
        <v>71898.7</v>
      </c>
      <c r="E22" s="70">
        <f>+ROUND(E21*E17,2)</f>
        <v>66949.69</v>
      </c>
      <c r="F22" s="70">
        <f>IF(F17="","",ROUND(F21*F17,2))</f>
        <v>65784.28</v>
      </c>
      <c r="G22" s="70">
        <f t="shared" ref="G22:Z22" si="246">IF(G17="","",ROUND(G21*G17,2))</f>
        <v>67640.86</v>
      </c>
      <c r="H22" s="70">
        <f t="shared" si="246"/>
        <v>76671.17</v>
      </c>
      <c r="I22" s="70">
        <f t="shared" si="246"/>
        <v>83492.649999999994</v>
      </c>
      <c r="J22" s="70">
        <f t="shared" si="246"/>
        <v>85057.91</v>
      </c>
      <c r="K22" s="70">
        <f t="shared" si="246"/>
        <v>80184.02</v>
      </c>
      <c r="L22" s="70">
        <f t="shared" si="246"/>
        <v>76993.81</v>
      </c>
      <c r="M22" s="70">
        <f t="shared" si="246"/>
        <v>69111.11</v>
      </c>
      <c r="N22" s="70">
        <f t="shared" si="246"/>
        <v>72387.59</v>
      </c>
      <c r="O22" s="70">
        <f t="shared" si="246"/>
        <v>87183.75</v>
      </c>
      <c r="P22" s="70">
        <f t="shared" si="246"/>
        <v>-41861.18</v>
      </c>
      <c r="Q22" s="70">
        <f t="shared" si="246"/>
        <v>-39019.480000000003</v>
      </c>
      <c r="R22" s="70">
        <f t="shared" si="246"/>
        <v>-39371.050000000003</v>
      </c>
      <c r="S22" s="70">
        <f t="shared" si="246"/>
        <v>-39036.15</v>
      </c>
      <c r="T22" s="70">
        <f t="shared" si="246"/>
        <v>-46545.52</v>
      </c>
      <c r="U22" s="70">
        <f t="shared" si="246"/>
        <v>-49426.59</v>
      </c>
      <c r="V22" s="70">
        <f t="shared" si="246"/>
        <v>-46776.66</v>
      </c>
      <c r="W22" s="70">
        <f t="shared" si="246"/>
        <v>-47596.959999999999</v>
      </c>
      <c r="X22" s="70">
        <f t="shared" si="246"/>
        <v>-43247.34</v>
      </c>
      <c r="Y22" s="70">
        <f t="shared" si="246"/>
        <v>-38462.730000000003</v>
      </c>
      <c r="Z22" s="70">
        <f t="shared" si="246"/>
        <v>-41888.32</v>
      </c>
      <c r="AA22" s="70">
        <f t="shared" ref="AA22:AC22" si="247">IF(AA17="","",ROUND(AA21*AA17,2))</f>
        <v>-45748.6</v>
      </c>
      <c r="AB22" s="70">
        <f t="shared" si="247"/>
        <v>39945.300000000003</v>
      </c>
      <c r="AC22" s="70">
        <f t="shared" si="247"/>
        <v>37916.46</v>
      </c>
      <c r="AD22" s="70">
        <f t="shared" ref="AD22:AM22" si="248">IF(AD17="","",ROUND(AD21*AD17,2))</f>
        <v>34074.25</v>
      </c>
      <c r="AE22" s="70">
        <f t="shared" si="248"/>
        <v>35217.550000000003</v>
      </c>
      <c r="AF22" s="70">
        <f t="shared" si="248"/>
        <v>39184.730000000003</v>
      </c>
      <c r="AG22" s="70">
        <f t="shared" si="248"/>
        <v>42158.83</v>
      </c>
      <c r="AH22" s="119">
        <f t="shared" si="248"/>
        <v>43134.47</v>
      </c>
      <c r="AI22" s="70">
        <f t="shared" si="248"/>
        <v>43546.37</v>
      </c>
      <c r="AJ22" s="70">
        <f t="shared" si="248"/>
        <v>39985.99</v>
      </c>
      <c r="AK22" s="70">
        <f t="shared" si="248"/>
        <v>35295.050000000003</v>
      </c>
      <c r="AL22" s="70">
        <f t="shared" si="248"/>
        <v>38295.129999999997</v>
      </c>
      <c r="AM22" s="70">
        <f t="shared" si="248"/>
        <v>39611.050000000003</v>
      </c>
      <c r="AN22" s="70">
        <f t="shared" ref="AN22:AO22" si="249">IF(AN17="","",ROUND(AN21*AN17,2))</f>
        <v>135781.93</v>
      </c>
      <c r="AO22" s="70">
        <f t="shared" si="249"/>
        <v>56245.39</v>
      </c>
      <c r="AP22" s="70">
        <f t="shared" ref="AP22:AQ22" si="250">IF(AP17="","",ROUND(AP21*AP17,2))</f>
        <v>47316.91</v>
      </c>
      <c r="AQ22" s="70">
        <f t="shared" si="250"/>
        <v>43930.2</v>
      </c>
      <c r="AR22" s="70">
        <f t="shared" ref="AR22:AS22" si="251">IF(AR17="","",ROUND(AR21*AR17,2))</f>
        <v>52291.199999999997</v>
      </c>
      <c r="AS22" s="70">
        <f t="shared" si="251"/>
        <v>61054.93</v>
      </c>
      <c r="AT22" s="70">
        <f t="shared" ref="AT22:AU22" si="252">IF(AT17="","",ROUND(AT21*AT17,2))</f>
        <v>60755.16</v>
      </c>
      <c r="AU22" s="70">
        <f t="shared" si="252"/>
        <v>60542.36</v>
      </c>
      <c r="AV22" s="70">
        <f t="shared" ref="AV22:AW22" si="253">IF(AV17="","",ROUND(AV21*AV17,2))</f>
        <v>51660.87</v>
      </c>
      <c r="AW22" s="70">
        <f t="shared" si="253"/>
        <v>50317.66</v>
      </c>
      <c r="AX22" s="70">
        <f t="shared" ref="AX22:AY22" si="254">IF(AX17="","",ROUND(AX21*AX17,2))</f>
        <v>54088.43</v>
      </c>
      <c r="AY22" s="70">
        <f t="shared" si="254"/>
        <v>57968.47</v>
      </c>
      <c r="AZ22" s="70">
        <f t="shared" ref="AZ22:BA22" si="255">IF(AZ17="","",ROUND(AZ21*AZ17,2))</f>
        <v>155185.29</v>
      </c>
      <c r="BA22" s="70">
        <f t="shared" si="255"/>
        <v>-144151.20000000001</v>
      </c>
      <c r="BB22" s="70">
        <f t="shared" ref="BB22:BC22" si="256">IF(BB17="","",ROUND(BB21*BB17,2))</f>
        <v>-129139.73</v>
      </c>
      <c r="BC22" s="70">
        <f t="shared" si="256"/>
        <v>-131496.01999999999</v>
      </c>
      <c r="BD22" s="70">
        <f t="shared" ref="BD22:BE22" si="257">IF(BD17="","",ROUND(BD21*BD17,2))</f>
        <v>-146683.67000000001</v>
      </c>
      <c r="BE22" s="70">
        <f t="shared" si="257"/>
        <v>-170727.8</v>
      </c>
      <c r="BF22" s="70">
        <f t="shared" ref="BF22:BG22" si="258">IF(BF17="","",ROUND(BF21*BF17,2))</f>
        <v>-169792.6</v>
      </c>
      <c r="BG22" s="70">
        <f t="shared" si="258"/>
        <v>-173041.64</v>
      </c>
      <c r="BH22" s="70">
        <f t="shared" ref="BH22:BI22" si="259">IF(BH17="","",ROUND(BH21*BH17,2))</f>
        <v>-152089.43</v>
      </c>
      <c r="BI22" s="70">
        <f t="shared" si="259"/>
        <v>-135146.15</v>
      </c>
      <c r="BJ22" s="70">
        <f t="shared" ref="BJ22:BK22" si="260">IF(BJ17="","",ROUND(BJ21*BJ17,2))</f>
        <v>-147703.67000000001</v>
      </c>
      <c r="BK22" s="70">
        <f t="shared" si="260"/>
        <v>-157813.82</v>
      </c>
      <c r="BL22" s="70">
        <f t="shared" ref="BL22:BM22" si="261">IF(BL17="","",ROUND(BL21*BL17,2))</f>
        <v>-94457.73</v>
      </c>
      <c r="BM22" s="70">
        <f t="shared" si="261"/>
        <v>-30773.360000000001</v>
      </c>
      <c r="BN22" s="70">
        <f t="shared" ref="BN22:BO22" si="262">IF(BN17="","",ROUND(BN21*BN17,2))</f>
        <v>-28505.86</v>
      </c>
      <c r="BO22" s="70">
        <f t="shared" si="262"/>
        <v>-29204.54</v>
      </c>
      <c r="BP22" s="70">
        <f t="shared" ref="BP22:BQ22" si="263">IF(BP17="","",ROUND(BP21*BP17,2))</f>
        <v>-32647.23</v>
      </c>
      <c r="BQ22" s="70">
        <f t="shared" si="263"/>
        <v>-37342.58</v>
      </c>
      <c r="BR22" s="70">
        <f t="shared" ref="BR22:BS22" si="264">IF(BR17="","",ROUND(BR21*BR17,2))</f>
        <v>-36437.18</v>
      </c>
      <c r="BS22" s="70">
        <f t="shared" si="264"/>
        <v>-34781.339999999997</v>
      </c>
      <c r="BT22" s="70">
        <f t="shared" ref="BT22:BU22" si="265">IF(BT17="","",ROUND(BT21*BT17,2))</f>
        <v>-29940.03</v>
      </c>
      <c r="BU22" s="70">
        <f t="shared" si="265"/>
        <v>-28515.07</v>
      </c>
      <c r="BV22" s="70">
        <f t="shared" ref="BV22:BW22" si="266">IF(BV17="","",ROUND(BV21*BV17,2))</f>
        <v>-31650.25</v>
      </c>
      <c r="BW22" s="70">
        <f t="shared" si="266"/>
        <v>-34644.639999999999</v>
      </c>
    </row>
    <row r="23" spans="1:79" s="53" customFormat="1" ht="9" customHeight="1" x14ac:dyDescent="0.35">
      <c r="A23" s="83"/>
      <c r="B23" s="8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row>
    <row r="24" spans="1:79" x14ac:dyDescent="0.35">
      <c r="A24" s="288" t="s">
        <v>36</v>
      </c>
      <c r="B24" s="79" t="s">
        <v>53</v>
      </c>
      <c r="C24" s="69">
        <f>+'MEEIA 2 calcs'!O58</f>
        <v>31958.9</v>
      </c>
      <c r="D24" s="69">
        <f>+'MEEIA 2 calcs'!P58</f>
        <v>328456.91000000003</v>
      </c>
      <c r="E24" s="69">
        <f>+'MEEIA 2 calcs'!Q58</f>
        <v>267175.5</v>
      </c>
      <c r="F24" s="69">
        <f>+'M2 Allocations - TD'!Q53</f>
        <v>287500.39</v>
      </c>
      <c r="G24" s="69">
        <f>IF(+'M2 Allocations - TD'!R53="","",'M2 Allocations - TD'!R53)</f>
        <v>291239.59000000003</v>
      </c>
      <c r="H24" s="69">
        <f>IF(+'M2 Allocations - TD'!S53="","",'M2 Allocations - TD'!S53)</f>
        <v>334700.84000000003</v>
      </c>
      <c r="I24" s="69">
        <f>IF(+'M2 Allocations - TD'!T53="","",'M2 Allocations - TD'!T53)</f>
        <v>327858.78000000003</v>
      </c>
      <c r="J24" s="69">
        <f>IF(+'M2 Allocations - TD'!U53="","",'M2 Allocations - TD'!U53)</f>
        <v>345877.98</v>
      </c>
      <c r="K24" s="69">
        <f>IF(+'M2 Allocations - TD'!V53="","",'M2 Allocations - TD'!V53)</f>
        <v>332796.82</v>
      </c>
      <c r="L24" s="69">
        <f>IF(+'M2 Allocations - TD'!W53="","",'M2 Allocations - TD'!W53)</f>
        <v>325738.77</v>
      </c>
      <c r="M24" s="69">
        <f>IF(+'M2 Allocations - TD'!X53="","",'M2 Allocations - TD'!X53)</f>
        <v>293261.37</v>
      </c>
      <c r="N24" s="69">
        <f>IF(+'M2 Allocations - TD'!Y53="","",'M2 Allocations - TD'!Y53)</f>
        <v>307322.53000000003</v>
      </c>
      <c r="O24" s="69">
        <f>IF(+'M2 Allocations - TD'!Z53="","",'M2 Allocations - TD'!Z53)</f>
        <v>339565.96</v>
      </c>
      <c r="P24" s="69">
        <f>IF(+'M2 Allocations - TD'!AA53="","",'M2 Allocations - TD'!AA53)</f>
        <v>307869.25</v>
      </c>
      <c r="Q24" s="69">
        <f>IF(+'M2 Allocations - TD'!AB53="","",'M2 Allocations - TD'!AB53)</f>
        <v>306963.45</v>
      </c>
      <c r="R24" s="69">
        <f>IF(+'M2 Allocations - TD'!AC53="","",'M2 Allocations - TD'!AC53)</f>
        <v>283370.14</v>
      </c>
      <c r="S24" s="69">
        <f>IF(+'M2 Allocations - TD'!AD53="","",'M2 Allocations - TD'!AD53)</f>
        <v>326351.34000000003</v>
      </c>
      <c r="T24" s="69">
        <f>IF(+'M2 Allocations - TD'!AE53="","",'M2 Allocations - TD'!AE53)</f>
        <v>353914.84</v>
      </c>
      <c r="U24" s="69">
        <f>IF(+'M2 Allocations - TD'!AF53="","",'M2 Allocations - TD'!AF53)</f>
        <v>366503.78</v>
      </c>
      <c r="V24" s="69">
        <f>IF(+'M2 Allocations - TD'!AG53="","",'M2 Allocations - TD'!AG53)</f>
        <v>360257.72</v>
      </c>
      <c r="W24" s="69">
        <f>IF(+'M2 Allocations - TD'!AH53="","",'M2 Allocations - TD'!AH53)</f>
        <v>350605.05</v>
      </c>
      <c r="X24" s="69">
        <f>IF(+'M2 Allocations - TD'!AI53="","",'M2 Allocations - TD'!AI53)</f>
        <v>328773.59000000003</v>
      </c>
      <c r="Y24" s="69">
        <f>IF(+'M2 Allocations - TD'!AJ53="","",'M2 Allocations - TD'!AJ53)</f>
        <v>305971.46999999997</v>
      </c>
      <c r="Z24" s="69">
        <f>IF(+'M2 Allocations - TD'!AK53="","",'M2 Allocations - TD'!AK53)</f>
        <v>329009.21000000002</v>
      </c>
      <c r="AA24" s="69">
        <f>IF(+'M2 Allocations - TD'!AL53="","",'M2 Allocations - TD'!AL53)</f>
        <v>301972.13</v>
      </c>
      <c r="AB24" s="69">
        <f>IF(+'M2 Allocations - TD'!AM53="","",'M2 Allocations - TD'!AM53)</f>
        <v>361271.84</v>
      </c>
      <c r="AC24" s="69">
        <f>IF(+'M2 Allocations - TD'!AN53="","",'M2 Allocations - TD'!AN53)</f>
        <v>357649</v>
      </c>
      <c r="AD24" s="69">
        <f>IF(+'M2 Allocations - TD'!AO53="","",'M2 Allocations - TD'!AO53)</f>
        <v>342832.09</v>
      </c>
      <c r="AE24" s="69">
        <f>IF(+'M2 Allocations - TD'!AP53="","",'M2 Allocations - TD'!AP53)</f>
        <v>342002.7</v>
      </c>
      <c r="AF24" s="69">
        <f>IF(+'M2 Allocations - TD'!AQ53="","",'M2 Allocations - TD'!AQ53)</f>
        <v>397393.17</v>
      </c>
      <c r="AG24" s="69">
        <f>IF(+'M2 Allocations - TD'!AR53="","",'M2 Allocations - TD'!AR53)</f>
        <v>399370.7</v>
      </c>
      <c r="AH24" s="69">
        <f>IF(+'M2 Allocations - TD'!AS53="","",'M2 Allocations - TD'!AS53)</f>
        <v>419257.53</v>
      </c>
      <c r="AI24" s="69">
        <f>IF(+'M2 Allocations - TD'!AT53="","",'M2 Allocations - TD'!AT53)</f>
        <v>416719</v>
      </c>
      <c r="AJ24" s="69">
        <f>IF(+'M2 Allocations - TD'!AU53="","",'M2 Allocations - TD'!AU53)</f>
        <v>386141.21</v>
      </c>
      <c r="AK24" s="69">
        <f>IF(+'M2 Allocations - TD'!AV53="","",'M2 Allocations - TD'!AV53)</f>
        <v>357086.62</v>
      </c>
      <c r="AL24" s="69">
        <f>IF(+'M2 Allocations - TD'!AW53="","",'M2 Allocations - TD'!AW53)</f>
        <v>359534.39</v>
      </c>
      <c r="AM24" s="69">
        <f>IF(+'M2 Allocations - TD'!AX53="","",'M2 Allocations - TD'!AX53)</f>
        <v>369865.83</v>
      </c>
      <c r="AN24" s="69">
        <f>IF(+'M2 Allocations - TD'!AY53="","",'M2 Allocations - TD'!AY53)</f>
        <v>293791.12</v>
      </c>
      <c r="AO24" s="69">
        <f>IF(+'M2 Allocations - TD'!AZ53="","",'M2 Allocations - TD'!AZ53)</f>
        <v>123483.39</v>
      </c>
      <c r="AP24" s="69">
        <f>IF(+'M2 Allocations - TD'!BA53="","",'M2 Allocations - TD'!BA53)</f>
        <v>118999.09</v>
      </c>
      <c r="AQ24" s="69">
        <f>IF(+'M2 Allocations - TD'!BB53="","",'M2 Allocations - TD'!BB53)</f>
        <v>112027.34</v>
      </c>
      <c r="AR24" s="69">
        <f>IF(+'M2 Allocations - TD'!BC53="","",'M2 Allocations - TD'!BC53)</f>
        <v>130470.39999999999</v>
      </c>
      <c r="AS24" s="69">
        <f>IF(+'M2 Allocations - TD'!BD53="","",'M2 Allocations - TD'!BD53)</f>
        <v>137323.88</v>
      </c>
      <c r="AT24" s="69">
        <f>IF(+'M2 Allocations - TD'!BE53="","",'M2 Allocations - TD'!BE53)</f>
        <v>143937.82999999999</v>
      </c>
      <c r="AU24" s="69">
        <f>IF(+'M2 Allocations - TD'!BF53="","",'M2 Allocations - TD'!BF53)</f>
        <v>143974.57</v>
      </c>
      <c r="AV24" s="69">
        <f>IF(+'M2 Allocations - TD'!BG53="","",'M2 Allocations - TD'!BG53)</f>
        <v>127974.65</v>
      </c>
      <c r="AW24" s="69">
        <f>IF(+'M2 Allocations - TD'!BH53="","",'M2 Allocations - TD'!BH53)</f>
        <v>127068.08</v>
      </c>
      <c r="AX24" s="69">
        <f>IF(+'M2 Allocations - TD'!BI53="","",'M2 Allocations - TD'!BI53)</f>
        <v>132955.76999999999</v>
      </c>
      <c r="AY24" s="69">
        <f>IF(+'M2 Allocations - TD'!BJ53="","",'M2 Allocations - TD'!BJ53)</f>
        <v>130544.63</v>
      </c>
      <c r="AZ24" s="69">
        <f>IF(+'M2 Allocations - TD'!BK53="","",'M2 Allocations - TD'!BK53)</f>
        <v>73117.320000000007</v>
      </c>
      <c r="BA24" s="69">
        <f>IF(+'M2 Allocations - TD'!BL53="","",'M2 Allocations - TD'!BL53)</f>
        <v>-23752.07</v>
      </c>
      <c r="BB24" s="69">
        <f>IF(+'M2 Allocations - TD'!BM53="","",'M2 Allocations - TD'!BM53)</f>
        <v>-25347.52</v>
      </c>
      <c r="BC24" s="69">
        <f>IF(+'M2 Allocations - TD'!BN53="","",'M2 Allocations - TD'!BN53)</f>
        <v>-27081.25</v>
      </c>
      <c r="BD24" s="69">
        <f>IF(+'M2 Allocations - TD'!BO53="","",'M2 Allocations - TD'!BO53)</f>
        <v>-24437.95</v>
      </c>
      <c r="BE24" s="69">
        <f>IF(+'M2 Allocations - TD'!BP53="","",'M2 Allocations - TD'!BP53)</f>
        <v>-33816.269999999997</v>
      </c>
      <c r="BF24" s="69">
        <f>IF(+'M2 Allocations - TD'!BQ53="","",'M2 Allocations - TD'!BQ53)</f>
        <v>-31047.43</v>
      </c>
      <c r="BG24" s="69">
        <f>IF(+'M2 Allocations - TD'!BR53="","",'M2 Allocations - TD'!BR53)</f>
        <v>-31441.61</v>
      </c>
      <c r="BH24" s="69">
        <f>IF(+'M2 Allocations - TD'!BS53="","",'M2 Allocations - TD'!BS53)</f>
        <v>-27149.439999999999</v>
      </c>
      <c r="BI24" s="69">
        <f>IF(+'M2 Allocations - TD'!BT53="","",'M2 Allocations - TD'!BT53)</f>
        <v>-23682.34</v>
      </c>
      <c r="BJ24" s="69">
        <f>IF(+'M2 Allocations - TD'!BU53="","",'M2 Allocations - TD'!BU53)</f>
        <v>-31128.82</v>
      </c>
      <c r="BK24" s="69">
        <f>IF(+'M2 Allocations - TD'!BV53="","",'M2 Allocations - TD'!BV53)</f>
        <v>-30061.68</v>
      </c>
      <c r="BL24" s="69">
        <f>IF(+'M2 Allocations - TD'!BW53="","",'M2 Allocations - TD'!BW53)</f>
        <v>-21727.82</v>
      </c>
      <c r="BM24" s="69">
        <f>IF(+'M2 Allocations - TD'!BX53="","",'M2 Allocations - TD'!BX53)</f>
        <v>-9411.08</v>
      </c>
      <c r="BN24" s="69">
        <f>IF(+'M2 Allocations - TD'!BY53="","",'M2 Allocations - TD'!BY53)</f>
        <v>-9472.94</v>
      </c>
      <c r="BO24" s="69">
        <f>IF(+'M2 Allocations - TD'!BZ53="","",'M2 Allocations - TD'!BZ53)</f>
        <v>-9265.9</v>
      </c>
      <c r="BP24" s="69">
        <f>IF(+'M2 Allocations - TD'!CA53="","",'M2 Allocations - TD'!CA53)</f>
        <v>-10540.89</v>
      </c>
      <c r="BQ24" s="69">
        <f>IF(+'M2 Allocations - TD'!CB53="","",'M2 Allocations - TD'!CB53)</f>
        <v>-10967.71</v>
      </c>
      <c r="BR24" s="69">
        <f>IF(+'M2 Allocations - TD'!CC53="","",'M2 Allocations - TD'!CC53)</f>
        <v>-10879.65</v>
      </c>
      <c r="BS24" s="69">
        <f>IF(+'M2 Allocations - TD'!CD53="","",'M2 Allocations - TD'!CD53)</f>
        <v>-10597.96</v>
      </c>
      <c r="BT24" s="69">
        <f>IF(+'M2 Allocations - TD'!CE53="","",'M2 Allocations - TD'!CE53)</f>
        <v>-9396.31</v>
      </c>
      <c r="BU24" s="69">
        <f>IF(+'M2 Allocations - TD'!CF53="","",'M2 Allocations - TD'!CF53)</f>
        <v>-9148.6063466728483</v>
      </c>
      <c r="BV24" s="69">
        <f>IF(+'M2 Allocations - TD'!CG53="","",'M2 Allocations - TD'!CG53)</f>
        <v>-9533.9634449839014</v>
      </c>
      <c r="BW24" s="69">
        <f>IF(+'M2 Allocations - TD'!CH53="","",'M2 Allocations - TD'!CH53)</f>
        <v>-9903.8817614824802</v>
      </c>
    </row>
    <row r="25" spans="1:79" x14ac:dyDescent="0.35">
      <c r="A25" s="288"/>
      <c r="B25" s="79" t="s">
        <v>55</v>
      </c>
      <c r="C25" s="95">
        <v>6.2000000000000003E-5</v>
      </c>
      <c r="D25" s="95">
        <v>3.6699999999999998E-4</v>
      </c>
      <c r="E25" s="77">
        <f>+D25</f>
        <v>3.6699999999999998E-4</v>
      </c>
      <c r="F25" s="77">
        <f>IF(F24="","",E25)</f>
        <v>3.6699999999999998E-4</v>
      </c>
      <c r="G25" s="77">
        <f t="shared" ref="G25:Z25" si="267">IF(G24="","",F25)</f>
        <v>3.6699999999999998E-4</v>
      </c>
      <c r="H25" s="77">
        <f t="shared" si="267"/>
        <v>3.6699999999999998E-4</v>
      </c>
      <c r="I25" s="77">
        <f t="shared" si="267"/>
        <v>3.6699999999999998E-4</v>
      </c>
      <c r="J25" s="77">
        <f t="shared" si="267"/>
        <v>3.6699999999999998E-4</v>
      </c>
      <c r="K25" s="77">
        <f t="shared" si="267"/>
        <v>3.6699999999999998E-4</v>
      </c>
      <c r="L25" s="77">
        <f t="shared" si="267"/>
        <v>3.6699999999999998E-4</v>
      </c>
      <c r="M25" s="77">
        <f t="shared" si="267"/>
        <v>3.6699999999999998E-4</v>
      </c>
      <c r="N25" s="77">
        <f t="shared" si="267"/>
        <v>3.6699999999999998E-4</v>
      </c>
      <c r="O25" s="77">
        <f t="shared" si="267"/>
        <v>3.6699999999999998E-4</v>
      </c>
      <c r="P25" s="95">
        <v>1.1375575439833872E-3</v>
      </c>
      <c r="Q25" s="77">
        <f t="shared" si="267"/>
        <v>1.1375575439833872E-3</v>
      </c>
      <c r="R25" s="99">
        <f t="shared" si="267"/>
        <v>1.1375575439833872E-3</v>
      </c>
      <c r="S25" s="99">
        <f t="shared" si="267"/>
        <v>1.1375575439833872E-3</v>
      </c>
      <c r="T25" s="99">
        <f t="shared" si="267"/>
        <v>1.1375575439833872E-3</v>
      </c>
      <c r="U25" s="99">
        <f t="shared" si="267"/>
        <v>1.1375575439833872E-3</v>
      </c>
      <c r="V25" s="99">
        <f t="shared" si="267"/>
        <v>1.1375575439833872E-3</v>
      </c>
      <c r="W25" s="99">
        <f t="shared" si="267"/>
        <v>1.1375575439833872E-3</v>
      </c>
      <c r="X25" s="99">
        <f t="shared" si="267"/>
        <v>1.1375575439833872E-3</v>
      </c>
      <c r="Y25" s="99">
        <f t="shared" si="267"/>
        <v>1.1375575439833872E-3</v>
      </c>
      <c r="Z25" s="99">
        <f t="shared" si="267"/>
        <v>1.1375575439833872E-3</v>
      </c>
      <c r="AA25" s="99">
        <f t="shared" ref="AA25" si="268">IF(AA24="","",Z25)</f>
        <v>1.1375575439833872E-3</v>
      </c>
      <c r="AB25" s="95">
        <v>1.6772626739548866E-3</v>
      </c>
      <c r="AC25" s="77">
        <f t="shared" ref="AC25" si="269">IF(AC24="","",AB25)</f>
        <v>1.6772626739548866E-3</v>
      </c>
      <c r="AD25" s="77">
        <f t="shared" ref="AD25" si="270">IF(AD24="","",AC25)</f>
        <v>1.6772626739548866E-3</v>
      </c>
      <c r="AE25" s="77">
        <f t="shared" ref="AE25" si="271">IF(AE24="","",AD25)</f>
        <v>1.6772626739548866E-3</v>
      </c>
      <c r="AF25" s="77">
        <f t="shared" ref="AF25" si="272">IF(AF24="","",AE25)</f>
        <v>1.6772626739548866E-3</v>
      </c>
      <c r="AG25" s="77">
        <f t="shared" ref="AG25" si="273">IF(AG24="","",AF25)</f>
        <v>1.6772626739548866E-3</v>
      </c>
      <c r="AH25" s="77">
        <f t="shared" ref="AH25" si="274">IF(AH24="","",AG25)</f>
        <v>1.6772626739548866E-3</v>
      </c>
      <c r="AI25" s="77">
        <f t="shared" ref="AI25" si="275">IF(AI24="","",AH25)</f>
        <v>1.6772626739548866E-3</v>
      </c>
      <c r="AJ25" s="77">
        <f t="shared" ref="AJ25" si="276">IF(AJ24="","",AI25)</f>
        <v>1.6772626739548866E-3</v>
      </c>
      <c r="AK25" s="77">
        <f t="shared" ref="AK25" si="277">IF(AK24="","",AJ25)</f>
        <v>1.6772626739548866E-3</v>
      </c>
      <c r="AL25" s="77">
        <f t="shared" ref="AL25" si="278">IF(AL24="","",AK25)</f>
        <v>1.6772626739548866E-3</v>
      </c>
      <c r="AM25" s="77">
        <f t="shared" ref="AM25" si="279">IF(AM24="","",AL25)</f>
        <v>1.6772626739548866E-3</v>
      </c>
      <c r="AN25" s="130">
        <v>3.8823682673368192E-4</v>
      </c>
      <c r="AO25" s="77">
        <f t="shared" ref="AO25:BK25" si="280">IF(AO24="","",AN25)</f>
        <v>3.8823682673368192E-4</v>
      </c>
      <c r="AP25" s="77">
        <f t="shared" si="280"/>
        <v>3.8823682673368192E-4</v>
      </c>
      <c r="AQ25" s="77">
        <f t="shared" si="280"/>
        <v>3.8823682673368192E-4</v>
      </c>
      <c r="AR25" s="77">
        <f t="shared" si="280"/>
        <v>3.8823682673368192E-4</v>
      </c>
      <c r="AS25" s="77">
        <f t="shared" si="280"/>
        <v>3.8823682673368192E-4</v>
      </c>
      <c r="AT25" s="77">
        <f t="shared" si="280"/>
        <v>3.8823682673368192E-4</v>
      </c>
      <c r="AU25" s="77">
        <f t="shared" si="280"/>
        <v>3.8823682673368192E-4</v>
      </c>
      <c r="AV25" s="77">
        <f t="shared" si="280"/>
        <v>3.8823682673368192E-4</v>
      </c>
      <c r="AW25" s="77">
        <f t="shared" si="280"/>
        <v>3.8823682673368192E-4</v>
      </c>
      <c r="AX25" s="77">
        <f t="shared" si="280"/>
        <v>3.8823682673368192E-4</v>
      </c>
      <c r="AY25" s="77">
        <f t="shared" si="280"/>
        <v>3.8823682673368192E-4</v>
      </c>
      <c r="AZ25" s="130">
        <v>8.085325899005284E-5</v>
      </c>
      <c r="BA25" s="77">
        <f t="shared" si="280"/>
        <v>8.085325899005284E-5</v>
      </c>
      <c r="BB25" s="77">
        <f t="shared" si="280"/>
        <v>8.085325899005284E-5</v>
      </c>
      <c r="BC25" s="77">
        <f t="shared" si="280"/>
        <v>8.085325899005284E-5</v>
      </c>
      <c r="BD25" s="77">
        <f t="shared" si="280"/>
        <v>8.085325899005284E-5</v>
      </c>
      <c r="BE25" s="77">
        <f t="shared" si="280"/>
        <v>8.085325899005284E-5</v>
      </c>
      <c r="BF25" s="77">
        <f t="shared" si="280"/>
        <v>8.085325899005284E-5</v>
      </c>
      <c r="BG25" s="77">
        <f t="shared" si="280"/>
        <v>8.085325899005284E-5</v>
      </c>
      <c r="BH25" s="77">
        <f t="shared" si="280"/>
        <v>8.085325899005284E-5</v>
      </c>
      <c r="BI25" s="77">
        <f t="shared" si="280"/>
        <v>8.085325899005284E-5</v>
      </c>
      <c r="BJ25" s="77">
        <f t="shared" si="280"/>
        <v>8.085325899005284E-5</v>
      </c>
      <c r="BK25" s="77">
        <f t="shared" si="280"/>
        <v>8.085325899005284E-5</v>
      </c>
      <c r="BL25" s="130">
        <v>3.5509283656928357E-6</v>
      </c>
      <c r="BM25" s="77">
        <f t="shared" ref="BM25:BW25" si="281">IF(BM24="","",BL25)</f>
        <v>3.5509283656928357E-6</v>
      </c>
      <c r="BN25" s="77">
        <f t="shared" si="281"/>
        <v>3.5509283656928357E-6</v>
      </c>
      <c r="BO25" s="77">
        <f t="shared" si="281"/>
        <v>3.5509283656928357E-6</v>
      </c>
      <c r="BP25" s="77">
        <f t="shared" si="281"/>
        <v>3.5509283656928357E-6</v>
      </c>
      <c r="BQ25" s="77">
        <f t="shared" si="281"/>
        <v>3.5509283656928357E-6</v>
      </c>
      <c r="BR25" s="77">
        <f t="shared" si="281"/>
        <v>3.5509283656928357E-6</v>
      </c>
      <c r="BS25" s="77">
        <f t="shared" si="281"/>
        <v>3.5509283656928357E-6</v>
      </c>
      <c r="BT25" s="77">
        <f t="shared" si="281"/>
        <v>3.5509283656928357E-6</v>
      </c>
      <c r="BU25" s="77">
        <f t="shared" si="281"/>
        <v>3.5509283656928357E-6</v>
      </c>
      <c r="BV25" s="77">
        <f t="shared" si="281"/>
        <v>3.5509283656928357E-6</v>
      </c>
      <c r="BW25" s="77">
        <f t="shared" si="281"/>
        <v>3.5509283656928357E-6</v>
      </c>
    </row>
    <row r="26" spans="1:79" x14ac:dyDescent="0.35">
      <c r="A26" s="288"/>
      <c r="B26" s="79" t="s">
        <v>54</v>
      </c>
      <c r="C26" s="46">
        <v>0</v>
      </c>
      <c r="D26" s="95">
        <v>7.2900000000000005E-4</v>
      </c>
      <c r="E26" s="77">
        <f>+D26</f>
        <v>7.2900000000000005E-4</v>
      </c>
      <c r="F26" s="77">
        <f>IF(F24="","",E26)</f>
        <v>7.2900000000000005E-4</v>
      </c>
      <c r="G26" s="77">
        <f t="shared" ref="G26:Z26" si="282">IF(G24="","",F26)</f>
        <v>7.2900000000000005E-4</v>
      </c>
      <c r="H26" s="77">
        <f t="shared" si="282"/>
        <v>7.2900000000000005E-4</v>
      </c>
      <c r="I26" s="77">
        <f t="shared" si="282"/>
        <v>7.2900000000000005E-4</v>
      </c>
      <c r="J26" s="77">
        <f t="shared" si="282"/>
        <v>7.2900000000000005E-4</v>
      </c>
      <c r="K26" s="77">
        <f t="shared" si="282"/>
        <v>7.2900000000000005E-4</v>
      </c>
      <c r="L26" s="77">
        <f t="shared" si="282"/>
        <v>7.2900000000000005E-4</v>
      </c>
      <c r="M26" s="77">
        <f t="shared" si="282"/>
        <v>7.2900000000000005E-4</v>
      </c>
      <c r="N26" s="77">
        <f t="shared" si="282"/>
        <v>7.2900000000000005E-4</v>
      </c>
      <c r="O26" s="77">
        <f t="shared" si="282"/>
        <v>7.2900000000000005E-4</v>
      </c>
      <c r="P26" s="100">
        <v>-1.0652584799076657E-5</v>
      </c>
      <c r="Q26" s="99">
        <f t="shared" si="282"/>
        <v>-1.0652584799076657E-5</v>
      </c>
      <c r="R26" s="99">
        <f t="shared" si="282"/>
        <v>-1.0652584799076657E-5</v>
      </c>
      <c r="S26" s="99">
        <f t="shared" si="282"/>
        <v>-1.0652584799076657E-5</v>
      </c>
      <c r="T26" s="99">
        <f t="shared" si="282"/>
        <v>-1.0652584799076657E-5</v>
      </c>
      <c r="U26" s="99">
        <f t="shared" si="282"/>
        <v>-1.0652584799076657E-5</v>
      </c>
      <c r="V26" s="99">
        <f t="shared" si="282"/>
        <v>-1.0652584799076657E-5</v>
      </c>
      <c r="W26" s="99">
        <f t="shared" si="282"/>
        <v>-1.0652584799076657E-5</v>
      </c>
      <c r="X26" s="99">
        <f t="shared" si="282"/>
        <v>-1.0652584799076657E-5</v>
      </c>
      <c r="Y26" s="99">
        <f t="shared" si="282"/>
        <v>-1.0652584799076657E-5</v>
      </c>
      <c r="Z26" s="99">
        <f t="shared" si="282"/>
        <v>-1.0652584799076657E-5</v>
      </c>
      <c r="AA26" s="99">
        <f t="shared" ref="AA26" si="283">IF(AA24="","",Z26)</f>
        <v>-1.0652584799076657E-5</v>
      </c>
      <c r="AB26" s="100">
        <v>-1.8549729178825712E-4</v>
      </c>
      <c r="AC26" s="99">
        <f t="shared" ref="AC26" si="284">IF(AC24="","",AB26)</f>
        <v>-1.8549729178825712E-4</v>
      </c>
      <c r="AD26" s="99">
        <f t="shared" ref="AD26" si="285">IF(AD24="","",AC26)</f>
        <v>-1.8549729178825712E-4</v>
      </c>
      <c r="AE26" s="99">
        <f t="shared" ref="AE26" si="286">IF(AE24="","",AD26)</f>
        <v>-1.8549729178825712E-4</v>
      </c>
      <c r="AF26" s="99">
        <f t="shared" ref="AF26" si="287">IF(AF24="","",AE26)</f>
        <v>-1.8549729178825712E-4</v>
      </c>
      <c r="AG26" s="99">
        <f t="shared" ref="AG26" si="288">IF(AG24="","",AF26)</f>
        <v>-1.8549729178825712E-4</v>
      </c>
      <c r="AH26" s="99">
        <f t="shared" ref="AH26" si="289">IF(AH24="","",AG26)</f>
        <v>-1.8549729178825712E-4</v>
      </c>
      <c r="AI26" s="99">
        <f t="shared" ref="AI26" si="290">IF(AI24="","",AH26)</f>
        <v>-1.8549729178825712E-4</v>
      </c>
      <c r="AJ26" s="99">
        <f t="shared" ref="AJ26" si="291">IF(AJ24="","",AI26)</f>
        <v>-1.8549729178825712E-4</v>
      </c>
      <c r="AK26" s="99">
        <f t="shared" ref="AK26" si="292">IF(AK24="","",AJ26)</f>
        <v>-1.8549729178825712E-4</v>
      </c>
      <c r="AL26" s="99">
        <f t="shared" ref="AL26" si="293">IF(AL24="","",AK26)</f>
        <v>-1.8549729178825712E-4</v>
      </c>
      <c r="AM26" s="99">
        <f t="shared" ref="AM26" si="294">IF(AM24="","",AL26)</f>
        <v>-1.8549729178825712E-4</v>
      </c>
      <c r="AN26" s="131">
        <v>1.5247620220748583E-4</v>
      </c>
      <c r="AO26" s="99">
        <f t="shared" ref="AO26:BK26" si="295">IF(AO24="","",AN26)</f>
        <v>1.5247620220748583E-4</v>
      </c>
      <c r="AP26" s="99">
        <f t="shared" si="295"/>
        <v>1.5247620220748583E-4</v>
      </c>
      <c r="AQ26" s="99">
        <f t="shared" si="295"/>
        <v>1.5247620220748583E-4</v>
      </c>
      <c r="AR26" s="99">
        <f t="shared" si="295"/>
        <v>1.5247620220748583E-4</v>
      </c>
      <c r="AS26" s="99">
        <f t="shared" si="295"/>
        <v>1.5247620220748583E-4</v>
      </c>
      <c r="AT26" s="99">
        <f t="shared" si="295"/>
        <v>1.5247620220748583E-4</v>
      </c>
      <c r="AU26" s="99">
        <f t="shared" si="295"/>
        <v>1.5247620220748583E-4</v>
      </c>
      <c r="AV26" s="99">
        <f t="shared" si="295"/>
        <v>1.5247620220748583E-4</v>
      </c>
      <c r="AW26" s="99">
        <f t="shared" si="295"/>
        <v>1.5247620220748583E-4</v>
      </c>
      <c r="AX26" s="99">
        <f t="shared" si="295"/>
        <v>1.5247620220748583E-4</v>
      </c>
      <c r="AY26" s="99">
        <f t="shared" si="295"/>
        <v>1.5247620220748583E-4</v>
      </c>
      <c r="AZ26" s="131">
        <v>-1.9899392382553466E-4</v>
      </c>
      <c r="BA26" s="99">
        <f t="shared" si="295"/>
        <v>-1.9899392382553466E-4</v>
      </c>
      <c r="BB26" s="99">
        <f t="shared" si="295"/>
        <v>-1.9899392382553466E-4</v>
      </c>
      <c r="BC26" s="99">
        <f t="shared" si="295"/>
        <v>-1.9899392382553466E-4</v>
      </c>
      <c r="BD26" s="99">
        <f t="shared" si="295"/>
        <v>-1.9899392382553466E-4</v>
      </c>
      <c r="BE26" s="99">
        <f t="shared" si="295"/>
        <v>-1.9899392382553466E-4</v>
      </c>
      <c r="BF26" s="99">
        <f t="shared" si="295"/>
        <v>-1.9899392382553466E-4</v>
      </c>
      <c r="BG26" s="99">
        <f t="shared" si="295"/>
        <v>-1.9899392382553466E-4</v>
      </c>
      <c r="BH26" s="99">
        <f t="shared" si="295"/>
        <v>-1.9899392382553466E-4</v>
      </c>
      <c r="BI26" s="99">
        <f t="shared" si="295"/>
        <v>-1.9899392382553466E-4</v>
      </c>
      <c r="BJ26" s="99">
        <f t="shared" si="295"/>
        <v>-1.9899392382553466E-4</v>
      </c>
      <c r="BK26" s="99">
        <f t="shared" si="295"/>
        <v>-1.9899392382553466E-4</v>
      </c>
      <c r="BL26" s="131">
        <v>-4.4098973354007227E-5</v>
      </c>
      <c r="BM26" s="99">
        <f t="shared" ref="BM26:BW26" si="296">IF(BM24="","",BL26)</f>
        <v>-4.4098973354007227E-5</v>
      </c>
      <c r="BN26" s="99">
        <f t="shared" si="296"/>
        <v>-4.4098973354007227E-5</v>
      </c>
      <c r="BO26" s="99">
        <f t="shared" si="296"/>
        <v>-4.4098973354007227E-5</v>
      </c>
      <c r="BP26" s="99">
        <f t="shared" si="296"/>
        <v>-4.4098973354007227E-5</v>
      </c>
      <c r="BQ26" s="99">
        <f t="shared" si="296"/>
        <v>-4.4098973354007227E-5</v>
      </c>
      <c r="BR26" s="99">
        <f t="shared" si="296"/>
        <v>-4.4098973354007227E-5</v>
      </c>
      <c r="BS26" s="99">
        <f t="shared" si="296"/>
        <v>-4.4098973354007227E-5</v>
      </c>
      <c r="BT26" s="99">
        <f t="shared" si="296"/>
        <v>-4.4098973354007227E-5</v>
      </c>
      <c r="BU26" s="99">
        <f t="shared" si="296"/>
        <v>-4.4098973354007227E-5</v>
      </c>
      <c r="BV26" s="99">
        <f t="shared" si="296"/>
        <v>-4.4098973354007227E-5</v>
      </c>
      <c r="BW26" s="99">
        <f t="shared" si="296"/>
        <v>-4.4098973354007227E-5</v>
      </c>
      <c r="BX26" s="63"/>
      <c r="BY26" s="63"/>
      <c r="BZ26" s="63"/>
      <c r="CA26" s="63"/>
    </row>
    <row r="27" spans="1:79" x14ac:dyDescent="0.35">
      <c r="A27" s="288"/>
      <c r="B27" s="79" t="s">
        <v>63</v>
      </c>
      <c r="C27" s="68">
        <f>SUM(C25:C26)</f>
        <v>6.2000000000000003E-5</v>
      </c>
      <c r="D27" s="68">
        <f t="shared" ref="D27:E27" si="297">SUM(D25:D26)</f>
        <v>1.096E-3</v>
      </c>
      <c r="E27" s="68">
        <f t="shared" si="297"/>
        <v>1.096E-3</v>
      </c>
      <c r="F27" s="68">
        <f>IF(F24="","",SUM(F25:F26))</f>
        <v>1.096E-3</v>
      </c>
      <c r="G27" s="68">
        <f t="shared" ref="G27:Z27" si="298">IF(G24="","",SUM(G25:G26))</f>
        <v>1.096E-3</v>
      </c>
      <c r="H27" s="68">
        <f t="shared" si="298"/>
        <v>1.096E-3</v>
      </c>
      <c r="I27" s="68">
        <f t="shared" si="298"/>
        <v>1.096E-3</v>
      </c>
      <c r="J27" s="68">
        <f t="shared" si="298"/>
        <v>1.096E-3</v>
      </c>
      <c r="K27" s="68">
        <f t="shared" si="298"/>
        <v>1.096E-3</v>
      </c>
      <c r="L27" s="68">
        <f t="shared" si="298"/>
        <v>1.096E-3</v>
      </c>
      <c r="M27" s="68">
        <f t="shared" si="298"/>
        <v>1.096E-3</v>
      </c>
      <c r="N27" s="68">
        <f t="shared" si="298"/>
        <v>1.096E-3</v>
      </c>
      <c r="O27" s="68">
        <f t="shared" si="298"/>
        <v>1.096E-3</v>
      </c>
      <c r="P27" s="68">
        <f t="shared" si="298"/>
        <v>1.1269049591843105E-3</v>
      </c>
      <c r="Q27" s="68">
        <f t="shared" si="298"/>
        <v>1.1269049591843105E-3</v>
      </c>
      <c r="R27" s="68">
        <f t="shared" si="298"/>
        <v>1.1269049591843105E-3</v>
      </c>
      <c r="S27" s="68">
        <f t="shared" si="298"/>
        <v>1.1269049591843105E-3</v>
      </c>
      <c r="T27" s="68">
        <f t="shared" si="298"/>
        <v>1.1269049591843105E-3</v>
      </c>
      <c r="U27" s="68">
        <f t="shared" si="298"/>
        <v>1.1269049591843105E-3</v>
      </c>
      <c r="V27" s="68">
        <f t="shared" si="298"/>
        <v>1.1269049591843105E-3</v>
      </c>
      <c r="W27" s="68">
        <f t="shared" si="298"/>
        <v>1.1269049591843105E-3</v>
      </c>
      <c r="X27" s="68">
        <f t="shared" si="298"/>
        <v>1.1269049591843105E-3</v>
      </c>
      <c r="Y27" s="68">
        <f t="shared" si="298"/>
        <v>1.1269049591843105E-3</v>
      </c>
      <c r="Z27" s="68">
        <f t="shared" si="298"/>
        <v>1.1269049591843105E-3</v>
      </c>
      <c r="AA27" s="68">
        <f t="shared" ref="AA27:AC27" si="299">IF(AA24="","",SUM(AA25:AA26))</f>
        <v>1.1269049591843105E-3</v>
      </c>
      <c r="AB27" s="68">
        <f t="shared" si="299"/>
        <v>1.4917653821666294E-3</v>
      </c>
      <c r="AC27" s="68">
        <f t="shared" si="299"/>
        <v>1.4917653821666294E-3</v>
      </c>
      <c r="AD27" s="68">
        <f t="shared" ref="AD27:AM27" si="300">IF(AD24="","",SUM(AD25:AD26))</f>
        <v>1.4917653821666294E-3</v>
      </c>
      <c r="AE27" s="68">
        <f t="shared" si="300"/>
        <v>1.4917653821666294E-3</v>
      </c>
      <c r="AF27" s="68">
        <f t="shared" si="300"/>
        <v>1.4917653821666294E-3</v>
      </c>
      <c r="AG27" s="68">
        <f t="shared" si="300"/>
        <v>1.4917653821666294E-3</v>
      </c>
      <c r="AH27" s="68">
        <f t="shared" si="300"/>
        <v>1.4917653821666294E-3</v>
      </c>
      <c r="AI27" s="68">
        <f t="shared" si="300"/>
        <v>1.4917653821666294E-3</v>
      </c>
      <c r="AJ27" s="68">
        <f t="shared" si="300"/>
        <v>1.4917653821666294E-3</v>
      </c>
      <c r="AK27" s="68">
        <f t="shared" si="300"/>
        <v>1.4917653821666294E-3</v>
      </c>
      <c r="AL27" s="68">
        <f t="shared" si="300"/>
        <v>1.4917653821666294E-3</v>
      </c>
      <c r="AM27" s="68">
        <f t="shared" si="300"/>
        <v>1.4917653821666294E-3</v>
      </c>
      <c r="AN27" s="68">
        <f t="shared" ref="AN27:AO27" si="301">IF(AN24="","",SUM(AN25:AN26))</f>
        <v>5.4071302894116778E-4</v>
      </c>
      <c r="AO27" s="68">
        <f t="shared" si="301"/>
        <v>5.4071302894116778E-4</v>
      </c>
      <c r="AP27" s="68">
        <f t="shared" ref="AP27:AQ27" si="302">IF(AP24="","",SUM(AP25:AP26))</f>
        <v>5.4071302894116778E-4</v>
      </c>
      <c r="AQ27" s="68">
        <f t="shared" si="302"/>
        <v>5.4071302894116778E-4</v>
      </c>
      <c r="AR27" s="68">
        <f t="shared" ref="AR27:AS27" si="303">IF(AR24="","",SUM(AR25:AR26))</f>
        <v>5.4071302894116778E-4</v>
      </c>
      <c r="AS27" s="68">
        <f t="shared" si="303"/>
        <v>5.4071302894116778E-4</v>
      </c>
      <c r="AT27" s="68">
        <f t="shared" ref="AT27:AU27" si="304">IF(AT24="","",SUM(AT25:AT26))</f>
        <v>5.4071302894116778E-4</v>
      </c>
      <c r="AU27" s="68">
        <f t="shared" si="304"/>
        <v>5.4071302894116778E-4</v>
      </c>
      <c r="AV27" s="68">
        <f t="shared" ref="AV27:AW27" si="305">IF(AV24="","",SUM(AV25:AV26))</f>
        <v>5.4071302894116778E-4</v>
      </c>
      <c r="AW27" s="68">
        <f t="shared" si="305"/>
        <v>5.4071302894116778E-4</v>
      </c>
      <c r="AX27" s="68">
        <f t="shared" ref="AX27:AY27" si="306">IF(AX24="","",SUM(AX25:AX26))</f>
        <v>5.4071302894116778E-4</v>
      </c>
      <c r="AY27" s="68">
        <f t="shared" si="306"/>
        <v>5.4071302894116778E-4</v>
      </c>
      <c r="AZ27" s="68">
        <f t="shared" ref="AZ27:BA27" si="307">IF(AZ24="","",SUM(AZ25:AZ26))</f>
        <v>-1.1814066483548182E-4</v>
      </c>
      <c r="BA27" s="68">
        <f t="shared" si="307"/>
        <v>-1.1814066483548182E-4</v>
      </c>
      <c r="BB27" s="68">
        <f t="shared" ref="BB27:BC27" si="308">IF(BB24="","",SUM(BB25:BB26))</f>
        <v>-1.1814066483548182E-4</v>
      </c>
      <c r="BC27" s="68">
        <f t="shared" si="308"/>
        <v>-1.1814066483548182E-4</v>
      </c>
      <c r="BD27" s="68">
        <f t="shared" ref="BD27:BE27" si="309">IF(BD24="","",SUM(BD25:BD26))</f>
        <v>-1.1814066483548182E-4</v>
      </c>
      <c r="BE27" s="68">
        <f t="shared" si="309"/>
        <v>-1.1814066483548182E-4</v>
      </c>
      <c r="BF27" s="68">
        <f t="shared" ref="BF27:BG27" si="310">IF(BF24="","",SUM(BF25:BF26))</f>
        <v>-1.1814066483548182E-4</v>
      </c>
      <c r="BG27" s="68">
        <f t="shared" si="310"/>
        <v>-1.1814066483548182E-4</v>
      </c>
      <c r="BH27" s="68">
        <f t="shared" ref="BH27:BI27" si="311">IF(BH24="","",SUM(BH25:BH26))</f>
        <v>-1.1814066483548182E-4</v>
      </c>
      <c r="BI27" s="68">
        <f t="shared" si="311"/>
        <v>-1.1814066483548182E-4</v>
      </c>
      <c r="BJ27" s="68">
        <f t="shared" ref="BJ27:BK27" si="312">IF(BJ24="","",SUM(BJ25:BJ26))</f>
        <v>-1.1814066483548182E-4</v>
      </c>
      <c r="BK27" s="68">
        <f t="shared" si="312"/>
        <v>-1.1814066483548182E-4</v>
      </c>
      <c r="BL27" s="68">
        <f t="shared" ref="BL27:BM27" si="313">IF(BL24="","",SUM(BL25:BL26))</f>
        <v>-4.054804498831439E-5</v>
      </c>
      <c r="BM27" s="68">
        <f t="shared" si="313"/>
        <v>-4.054804498831439E-5</v>
      </c>
      <c r="BN27" s="68">
        <f t="shared" ref="BN27:BO27" si="314">IF(BN24="","",SUM(BN25:BN26))</f>
        <v>-4.054804498831439E-5</v>
      </c>
      <c r="BO27" s="68">
        <f t="shared" si="314"/>
        <v>-4.054804498831439E-5</v>
      </c>
      <c r="BP27" s="68">
        <f t="shared" ref="BP27:BQ27" si="315">IF(BP24="","",SUM(BP25:BP26))</f>
        <v>-4.054804498831439E-5</v>
      </c>
      <c r="BQ27" s="68">
        <f t="shared" si="315"/>
        <v>-4.054804498831439E-5</v>
      </c>
      <c r="BR27" s="68">
        <f t="shared" ref="BR27:BS27" si="316">IF(BR24="","",SUM(BR25:BR26))</f>
        <v>-4.054804498831439E-5</v>
      </c>
      <c r="BS27" s="68">
        <f t="shared" si="316"/>
        <v>-4.054804498831439E-5</v>
      </c>
      <c r="BT27" s="68">
        <f t="shared" ref="BT27:BU27" si="317">IF(BT24="","",SUM(BT25:BT26))</f>
        <v>-4.054804498831439E-5</v>
      </c>
      <c r="BU27" s="68">
        <f t="shared" si="317"/>
        <v>-4.054804498831439E-5</v>
      </c>
      <c r="BV27" s="68">
        <f t="shared" ref="BV27:BW27" si="318">IF(BV24="","",SUM(BV25:BV26))</f>
        <v>-4.054804498831439E-5</v>
      </c>
      <c r="BW27" s="68">
        <f t="shared" si="318"/>
        <v>-4.054804498831439E-5</v>
      </c>
      <c r="BX27" s="63"/>
      <c r="BY27" s="63"/>
      <c r="BZ27" s="63"/>
      <c r="CA27" s="63"/>
    </row>
    <row r="28" spans="1:79" x14ac:dyDescent="0.35">
      <c r="A28" s="288"/>
      <c r="B28" s="79" t="s">
        <v>56</v>
      </c>
      <c r="C28" s="72">
        <f>+C26/C27</f>
        <v>0</v>
      </c>
      <c r="D28" s="72">
        <f>+IFERROR(D26/D27,"")</f>
        <v>0.66514598540145986</v>
      </c>
      <c r="E28" s="72">
        <f>+IFERROR(E26/E27,"")</f>
        <v>0.66514598540145986</v>
      </c>
      <c r="F28" s="72">
        <f>IF(F24="","",IFERROR(F26/F27,""))</f>
        <v>0.66514598540145986</v>
      </c>
      <c r="G28" s="72">
        <f t="shared" ref="G28:Z28" si="319">IF(G24="","",IFERROR(G26/G27,""))</f>
        <v>0.66514598540145986</v>
      </c>
      <c r="H28" s="72">
        <f t="shared" si="319"/>
        <v>0.66514598540145986</v>
      </c>
      <c r="I28" s="72">
        <f t="shared" si="319"/>
        <v>0.66514598540145986</v>
      </c>
      <c r="J28" s="72">
        <f t="shared" si="319"/>
        <v>0.66514598540145986</v>
      </c>
      <c r="K28" s="72">
        <f t="shared" si="319"/>
        <v>0.66514598540145986</v>
      </c>
      <c r="L28" s="72">
        <f t="shared" si="319"/>
        <v>0.66514598540145986</v>
      </c>
      <c r="M28" s="72">
        <f t="shared" si="319"/>
        <v>0.66514598540145986</v>
      </c>
      <c r="N28" s="72">
        <f t="shared" si="319"/>
        <v>0.66514598540145986</v>
      </c>
      <c r="O28" s="72">
        <f t="shared" si="319"/>
        <v>0.66514598540145986</v>
      </c>
      <c r="P28" s="72">
        <f t="shared" si="319"/>
        <v>-9.4529576006013288E-3</v>
      </c>
      <c r="Q28" s="72">
        <f t="shared" si="319"/>
        <v>-9.4529576006013288E-3</v>
      </c>
      <c r="R28" s="72">
        <f t="shared" si="319"/>
        <v>-9.4529576006013288E-3</v>
      </c>
      <c r="S28" s="72">
        <f t="shared" si="319"/>
        <v>-9.4529576006013288E-3</v>
      </c>
      <c r="T28" s="72">
        <f t="shared" si="319"/>
        <v>-9.4529576006013288E-3</v>
      </c>
      <c r="U28" s="72">
        <f t="shared" si="319"/>
        <v>-9.4529576006013288E-3</v>
      </c>
      <c r="V28" s="72">
        <f t="shared" si="319"/>
        <v>-9.4529576006013288E-3</v>
      </c>
      <c r="W28" s="72">
        <f t="shared" si="319"/>
        <v>-9.4529576006013288E-3</v>
      </c>
      <c r="X28" s="72">
        <f t="shared" si="319"/>
        <v>-9.4529576006013288E-3</v>
      </c>
      <c r="Y28" s="72">
        <f t="shared" si="319"/>
        <v>-9.4529576006013288E-3</v>
      </c>
      <c r="Z28" s="72">
        <f t="shared" si="319"/>
        <v>-9.4529576006013288E-3</v>
      </c>
      <c r="AA28" s="72">
        <f t="shared" ref="AA28:AC28" si="320">IF(AA24="","",IFERROR(AA26/AA27,""))</f>
        <v>-9.4529576006013288E-3</v>
      </c>
      <c r="AB28" s="72">
        <f t="shared" si="320"/>
        <v>-0.12434749727121444</v>
      </c>
      <c r="AC28" s="72">
        <f t="shared" si="320"/>
        <v>-0.12434749727121444</v>
      </c>
      <c r="AD28" s="72">
        <f t="shared" ref="AD28:AM28" si="321">IF(AD24="","",IFERROR(AD26/AD27,""))</f>
        <v>-0.12434749727121444</v>
      </c>
      <c r="AE28" s="72">
        <f t="shared" si="321"/>
        <v>-0.12434749727121444</v>
      </c>
      <c r="AF28" s="72">
        <f t="shared" si="321"/>
        <v>-0.12434749727121444</v>
      </c>
      <c r="AG28" s="72">
        <f t="shared" si="321"/>
        <v>-0.12434749727121444</v>
      </c>
      <c r="AH28" s="72">
        <f t="shared" si="321"/>
        <v>-0.12434749727121444</v>
      </c>
      <c r="AI28" s="72">
        <f t="shared" si="321"/>
        <v>-0.12434749727121444</v>
      </c>
      <c r="AJ28" s="72">
        <f t="shared" si="321"/>
        <v>-0.12434749727121444</v>
      </c>
      <c r="AK28" s="72">
        <f t="shared" si="321"/>
        <v>-0.12434749727121444</v>
      </c>
      <c r="AL28" s="72">
        <f t="shared" si="321"/>
        <v>-0.12434749727121444</v>
      </c>
      <c r="AM28" s="72">
        <f t="shared" si="321"/>
        <v>-0.12434749727121444</v>
      </c>
      <c r="AN28" s="72">
        <f t="shared" ref="AN28:AO28" si="322">IF(AN24="","",IFERROR(AN26/AN27,""))</f>
        <v>0.2819909897604409</v>
      </c>
      <c r="AO28" s="72">
        <f t="shared" si="322"/>
        <v>0.2819909897604409</v>
      </c>
      <c r="AP28" s="72">
        <f t="shared" ref="AP28:AQ28" si="323">IF(AP24="","",IFERROR(AP26/AP27,""))</f>
        <v>0.2819909897604409</v>
      </c>
      <c r="AQ28" s="72">
        <f t="shared" si="323"/>
        <v>0.2819909897604409</v>
      </c>
      <c r="AR28" s="72">
        <f t="shared" ref="AR28:AS28" si="324">IF(AR24="","",IFERROR(AR26/AR27,""))</f>
        <v>0.2819909897604409</v>
      </c>
      <c r="AS28" s="72">
        <f t="shared" si="324"/>
        <v>0.2819909897604409</v>
      </c>
      <c r="AT28" s="72">
        <f t="shared" ref="AT28:AU28" si="325">IF(AT24="","",IFERROR(AT26/AT27,""))</f>
        <v>0.2819909897604409</v>
      </c>
      <c r="AU28" s="72">
        <f t="shared" si="325"/>
        <v>0.2819909897604409</v>
      </c>
      <c r="AV28" s="72">
        <f t="shared" ref="AV28:AW28" si="326">IF(AV24="","",IFERROR(AV26/AV27,""))</f>
        <v>0.2819909897604409</v>
      </c>
      <c r="AW28" s="72">
        <f t="shared" si="326"/>
        <v>0.2819909897604409</v>
      </c>
      <c r="AX28" s="72">
        <f t="shared" ref="AX28:AY28" si="327">IF(AX24="","",IFERROR(AX26/AX27,""))</f>
        <v>0.2819909897604409</v>
      </c>
      <c r="AY28" s="72">
        <f t="shared" si="327"/>
        <v>0.2819909897604409</v>
      </c>
      <c r="AZ28" s="72">
        <f t="shared" ref="AZ28:BA28" si="328">IF(AZ24="","",IFERROR(AZ26/AZ27,""))</f>
        <v>1.6843812763593806</v>
      </c>
      <c r="BA28" s="72">
        <f t="shared" si="328"/>
        <v>1.6843812763593806</v>
      </c>
      <c r="BB28" s="72">
        <f t="shared" ref="BB28:BC28" si="329">IF(BB24="","",IFERROR(BB26/BB27,""))</f>
        <v>1.6843812763593806</v>
      </c>
      <c r="BC28" s="72">
        <f t="shared" si="329"/>
        <v>1.6843812763593806</v>
      </c>
      <c r="BD28" s="72">
        <f t="shared" ref="BD28:BE28" si="330">IF(BD24="","",IFERROR(BD26/BD27,""))</f>
        <v>1.6843812763593806</v>
      </c>
      <c r="BE28" s="72">
        <f t="shared" si="330"/>
        <v>1.6843812763593806</v>
      </c>
      <c r="BF28" s="72">
        <f t="shared" ref="BF28:BG28" si="331">IF(BF24="","",IFERROR(BF26/BF27,""))</f>
        <v>1.6843812763593806</v>
      </c>
      <c r="BG28" s="72">
        <f t="shared" si="331"/>
        <v>1.6843812763593806</v>
      </c>
      <c r="BH28" s="72">
        <f t="shared" ref="BH28:BI28" si="332">IF(BH24="","",IFERROR(BH26/BH27,""))</f>
        <v>1.6843812763593806</v>
      </c>
      <c r="BI28" s="72">
        <f t="shared" si="332"/>
        <v>1.6843812763593806</v>
      </c>
      <c r="BJ28" s="72">
        <f t="shared" ref="BJ28:BK28" si="333">IF(BJ24="","",IFERROR(BJ26/BJ27,""))</f>
        <v>1.6843812763593806</v>
      </c>
      <c r="BK28" s="72">
        <f t="shared" si="333"/>
        <v>1.6843812763593806</v>
      </c>
      <c r="BL28" s="72">
        <f t="shared" ref="BL28:BM28" si="334">IF(BL24="","",IFERROR(BL26/BL27,""))</f>
        <v>1.0875733556751301</v>
      </c>
      <c r="BM28" s="72">
        <f t="shared" si="334"/>
        <v>1.0875733556751301</v>
      </c>
      <c r="BN28" s="72">
        <f t="shared" ref="BN28:BO28" si="335">IF(BN24="","",IFERROR(BN26/BN27,""))</f>
        <v>1.0875733556751301</v>
      </c>
      <c r="BO28" s="72">
        <f t="shared" si="335"/>
        <v>1.0875733556751301</v>
      </c>
      <c r="BP28" s="72">
        <f t="shared" ref="BP28:BQ28" si="336">IF(BP24="","",IFERROR(BP26/BP27,""))</f>
        <v>1.0875733556751301</v>
      </c>
      <c r="BQ28" s="72">
        <f t="shared" si="336"/>
        <v>1.0875733556751301</v>
      </c>
      <c r="BR28" s="72">
        <f t="shared" ref="BR28:BS28" si="337">IF(BR24="","",IFERROR(BR26/BR27,""))</f>
        <v>1.0875733556751301</v>
      </c>
      <c r="BS28" s="72">
        <f t="shared" si="337"/>
        <v>1.0875733556751301</v>
      </c>
      <c r="BT28" s="72">
        <f t="shared" ref="BT28:BU28" si="338">IF(BT24="","",IFERROR(BT26/BT27,""))</f>
        <v>1.0875733556751301</v>
      </c>
      <c r="BU28" s="72">
        <f t="shared" si="338"/>
        <v>1.0875733556751301</v>
      </c>
      <c r="BV28" s="72">
        <f t="shared" ref="BV28:BW28" si="339">IF(BV24="","",IFERROR(BV26/BV27,""))</f>
        <v>1.0875733556751301</v>
      </c>
      <c r="BW28" s="72">
        <f t="shared" si="339"/>
        <v>1.0875733556751301</v>
      </c>
      <c r="BX28" s="63"/>
      <c r="BY28" s="63"/>
      <c r="BZ28" s="63"/>
      <c r="CA28" s="63"/>
    </row>
    <row r="29" spans="1:79" s="53" customFormat="1" x14ac:dyDescent="0.35">
      <c r="A29" s="288"/>
      <c r="B29" s="80" t="s">
        <v>57</v>
      </c>
      <c r="C29" s="70">
        <f>+C28*C24</f>
        <v>0</v>
      </c>
      <c r="D29" s="70">
        <f>+ROUND(D28*D24,2)</f>
        <v>218471.8</v>
      </c>
      <c r="E29" s="70">
        <f>+ROUND(E28*E24,2)</f>
        <v>177710.71</v>
      </c>
      <c r="F29" s="70">
        <f>IF(F24="","",ROUND(F28*F24,2))</f>
        <v>191229.73</v>
      </c>
      <c r="G29" s="70">
        <f t="shared" ref="G29:Z29" si="340">IF(G24="","",ROUND(G28*G24,2))</f>
        <v>193716.84</v>
      </c>
      <c r="H29" s="70">
        <f t="shared" si="340"/>
        <v>222624.92</v>
      </c>
      <c r="I29" s="70">
        <f t="shared" si="340"/>
        <v>218073.95</v>
      </c>
      <c r="J29" s="70">
        <f t="shared" si="340"/>
        <v>230059.35</v>
      </c>
      <c r="K29" s="70">
        <f t="shared" si="340"/>
        <v>221358.47</v>
      </c>
      <c r="L29" s="70">
        <f t="shared" si="340"/>
        <v>216663.84</v>
      </c>
      <c r="M29" s="70">
        <f t="shared" si="340"/>
        <v>195061.62</v>
      </c>
      <c r="N29" s="70">
        <f t="shared" si="340"/>
        <v>204414.35</v>
      </c>
      <c r="O29" s="70">
        <f t="shared" si="340"/>
        <v>225860.94</v>
      </c>
      <c r="P29" s="70">
        <f t="shared" si="340"/>
        <v>-2910.27</v>
      </c>
      <c r="Q29" s="70">
        <f t="shared" si="340"/>
        <v>-2901.71</v>
      </c>
      <c r="R29" s="70">
        <f t="shared" si="340"/>
        <v>-2678.69</v>
      </c>
      <c r="S29" s="70">
        <f t="shared" si="340"/>
        <v>-3084.99</v>
      </c>
      <c r="T29" s="70">
        <f t="shared" si="340"/>
        <v>-3345.54</v>
      </c>
      <c r="U29" s="70">
        <f t="shared" si="340"/>
        <v>-3464.54</v>
      </c>
      <c r="V29" s="70">
        <f t="shared" si="340"/>
        <v>-3405.5</v>
      </c>
      <c r="W29" s="70">
        <f t="shared" si="340"/>
        <v>-3314.25</v>
      </c>
      <c r="X29" s="70">
        <f t="shared" si="340"/>
        <v>-3107.88</v>
      </c>
      <c r="Y29" s="70">
        <f t="shared" si="340"/>
        <v>-2892.34</v>
      </c>
      <c r="Z29" s="70">
        <f t="shared" si="340"/>
        <v>-3110.11</v>
      </c>
      <c r="AA29" s="70">
        <f t="shared" ref="AA29:AC29" si="341">IF(AA24="","",ROUND(AA28*AA24,2))</f>
        <v>-2854.53</v>
      </c>
      <c r="AB29" s="70">
        <f t="shared" si="341"/>
        <v>-44923.25</v>
      </c>
      <c r="AC29" s="70">
        <f t="shared" si="341"/>
        <v>-44472.76</v>
      </c>
      <c r="AD29" s="70">
        <f t="shared" ref="AD29:AM29" si="342">IF(AD24="","",ROUND(AD28*AD24,2))</f>
        <v>-42630.31</v>
      </c>
      <c r="AE29" s="70">
        <f t="shared" si="342"/>
        <v>-42527.18</v>
      </c>
      <c r="AF29" s="70">
        <f t="shared" si="342"/>
        <v>-49414.85</v>
      </c>
      <c r="AG29" s="70">
        <f t="shared" si="342"/>
        <v>-49660.75</v>
      </c>
      <c r="AH29" s="70">
        <f t="shared" si="342"/>
        <v>-52133.62</v>
      </c>
      <c r="AI29" s="70">
        <f t="shared" si="342"/>
        <v>-51817.96</v>
      </c>
      <c r="AJ29" s="70">
        <f t="shared" si="342"/>
        <v>-48015.69</v>
      </c>
      <c r="AK29" s="70">
        <f t="shared" si="342"/>
        <v>-44402.83</v>
      </c>
      <c r="AL29" s="70">
        <f t="shared" si="342"/>
        <v>-44707.199999999997</v>
      </c>
      <c r="AM29" s="70">
        <f t="shared" si="342"/>
        <v>-45991.89</v>
      </c>
      <c r="AN29" s="70">
        <f t="shared" ref="AN29:AO29" si="343">IF(AN24="","",ROUND(AN28*AN24,2))</f>
        <v>82846.45</v>
      </c>
      <c r="AO29" s="70">
        <f t="shared" si="343"/>
        <v>34821.199999999997</v>
      </c>
      <c r="AP29" s="70">
        <f t="shared" ref="AP29:AQ29" si="344">IF(AP24="","",ROUND(AP28*AP24,2))</f>
        <v>33556.67</v>
      </c>
      <c r="AQ29" s="70">
        <f t="shared" si="344"/>
        <v>31590.7</v>
      </c>
      <c r="AR29" s="70">
        <f t="shared" ref="AR29:AS29" si="345">IF(AR24="","",ROUND(AR28*AR24,2))</f>
        <v>36791.480000000003</v>
      </c>
      <c r="AS29" s="70">
        <f t="shared" si="345"/>
        <v>38724.1</v>
      </c>
      <c r="AT29" s="70">
        <f t="shared" ref="AT29:AU29" si="346">IF(AT24="","",ROUND(AT28*AT24,2))</f>
        <v>40589.17</v>
      </c>
      <c r="AU29" s="70">
        <f t="shared" si="346"/>
        <v>40599.53</v>
      </c>
      <c r="AV29" s="70">
        <f t="shared" ref="AV29:AW29" si="347">IF(AV24="","",ROUND(AV28*AV24,2))</f>
        <v>36087.699999999997</v>
      </c>
      <c r="AW29" s="70">
        <f t="shared" si="347"/>
        <v>35832.050000000003</v>
      </c>
      <c r="AX29" s="70">
        <f t="shared" ref="AX29:AY29" si="348">IF(AX24="","",ROUND(AX28*AX24,2))</f>
        <v>37492.33</v>
      </c>
      <c r="AY29" s="70">
        <f t="shared" si="348"/>
        <v>36812.410000000003</v>
      </c>
      <c r="AZ29" s="70">
        <f t="shared" ref="AZ29:BA29" si="349">IF(AZ24="","",ROUND(AZ28*AZ24,2))</f>
        <v>123157.44</v>
      </c>
      <c r="BA29" s="70">
        <f t="shared" si="349"/>
        <v>-40007.54</v>
      </c>
      <c r="BB29" s="70">
        <f t="shared" ref="BB29:BC29" si="350">IF(BB24="","",ROUND(BB28*BB24,2))</f>
        <v>-42694.89</v>
      </c>
      <c r="BC29" s="70">
        <f t="shared" si="350"/>
        <v>-45615.15</v>
      </c>
      <c r="BD29" s="70">
        <f t="shared" ref="BD29:BE29" si="351">IF(BD24="","",ROUND(BD28*BD24,2))</f>
        <v>-41162.83</v>
      </c>
      <c r="BE29" s="70">
        <f t="shared" si="351"/>
        <v>-56959.49</v>
      </c>
      <c r="BF29" s="70">
        <f t="shared" ref="BF29:BG29" si="352">IF(BF24="","",ROUND(BF28*BF24,2))</f>
        <v>-52295.71</v>
      </c>
      <c r="BG29" s="70">
        <f t="shared" si="352"/>
        <v>-52959.66</v>
      </c>
      <c r="BH29" s="70">
        <f t="shared" ref="BH29:BI29" si="353">IF(BH24="","",ROUND(BH28*BH24,2))</f>
        <v>-45730.01</v>
      </c>
      <c r="BI29" s="70">
        <f t="shared" si="353"/>
        <v>-39890.089999999997</v>
      </c>
      <c r="BJ29" s="70">
        <f t="shared" ref="BJ29:BK29" si="354">IF(BJ24="","",ROUND(BJ28*BJ24,2))</f>
        <v>-52432.800000000003</v>
      </c>
      <c r="BK29" s="70">
        <f t="shared" si="354"/>
        <v>-50635.33</v>
      </c>
      <c r="BL29" s="70">
        <f t="shared" ref="BL29:BM29" si="355">IF(BL24="","",ROUND(BL28*BL24,2))</f>
        <v>-23630.6</v>
      </c>
      <c r="BM29" s="70">
        <f t="shared" si="355"/>
        <v>-10235.24</v>
      </c>
      <c r="BN29" s="70">
        <f t="shared" ref="BN29:BO29" si="356">IF(BN24="","",ROUND(BN28*BN24,2))</f>
        <v>-10302.52</v>
      </c>
      <c r="BO29" s="70">
        <f t="shared" si="356"/>
        <v>-10077.35</v>
      </c>
      <c r="BP29" s="70">
        <f t="shared" ref="BP29:BQ29" si="357">IF(BP24="","",ROUND(BP28*BP24,2))</f>
        <v>-11463.99</v>
      </c>
      <c r="BQ29" s="70">
        <f t="shared" si="357"/>
        <v>-11928.19</v>
      </c>
      <c r="BR29" s="70">
        <f t="shared" ref="BR29:BS29" si="358">IF(BR24="","",ROUND(BR28*BR24,2))</f>
        <v>-11832.42</v>
      </c>
      <c r="BS29" s="70">
        <f t="shared" si="358"/>
        <v>-11526.06</v>
      </c>
      <c r="BT29" s="70">
        <f t="shared" ref="BT29:BU29" si="359">IF(BT24="","",ROUND(BT28*BT24,2))</f>
        <v>-10219.18</v>
      </c>
      <c r="BU29" s="70">
        <f t="shared" si="359"/>
        <v>-9949.7800000000007</v>
      </c>
      <c r="BV29" s="70">
        <f t="shared" ref="BV29:BW29" si="360">IF(BV24="","",ROUND(BV28*BV24,2))</f>
        <v>-10368.879999999999</v>
      </c>
      <c r="BW29" s="70">
        <f t="shared" si="360"/>
        <v>-10771.2</v>
      </c>
      <c r="BX29" s="213"/>
      <c r="BY29" s="213"/>
      <c r="BZ29" s="213"/>
      <c r="CA29" s="213"/>
    </row>
    <row r="30" spans="1:79" s="53" customFormat="1" ht="9" customHeight="1" x14ac:dyDescent="0.35">
      <c r="A30" s="83"/>
      <c r="B30" s="8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213"/>
      <c r="BY30" s="213"/>
      <c r="BZ30" s="213"/>
      <c r="CA30" s="213"/>
    </row>
    <row r="31" spans="1:79" x14ac:dyDescent="0.35">
      <c r="A31" s="288" t="s">
        <v>37</v>
      </c>
      <c r="B31" s="79" t="s">
        <v>53</v>
      </c>
      <c r="C31" s="69">
        <f>+'MEEIA 2 calcs'!O68</f>
        <v>7958.8</v>
      </c>
      <c r="D31" s="69">
        <f>+'MEEIA 2 calcs'!P68</f>
        <v>202699.47</v>
      </c>
      <c r="E31" s="69">
        <f>+'MEEIA 2 calcs'!Q68</f>
        <v>167678.56</v>
      </c>
      <c r="F31" s="69">
        <f>+'M2 Allocations - TD'!Q54</f>
        <v>185826.61</v>
      </c>
      <c r="G31" s="69">
        <f>IF(+'M2 Allocations - TD'!R54="","",'M2 Allocations - TD'!R54)</f>
        <v>189002.31</v>
      </c>
      <c r="H31" s="69">
        <f>IF(+'M2 Allocations - TD'!S54="","",'M2 Allocations - TD'!S54)</f>
        <v>225674.13</v>
      </c>
      <c r="I31" s="69">
        <f>IF(+'M2 Allocations - TD'!T54="","",'M2 Allocations - TD'!T54)</f>
        <v>213450.91</v>
      </c>
      <c r="J31" s="69">
        <f>IF(+'M2 Allocations - TD'!U54="","",'M2 Allocations - TD'!U54)</f>
        <v>236566.37</v>
      </c>
      <c r="K31" s="69">
        <f>IF(+'M2 Allocations - TD'!V54="","",'M2 Allocations - TD'!V54)</f>
        <v>225419.26</v>
      </c>
      <c r="L31" s="69">
        <f>IF(+'M2 Allocations - TD'!W54="","",'M2 Allocations - TD'!W54)</f>
        <v>214922.7</v>
      </c>
      <c r="M31" s="69">
        <f>IF(+'M2 Allocations - TD'!X54="","",'M2 Allocations - TD'!X54)</f>
        <v>204773.48</v>
      </c>
      <c r="N31" s="69">
        <f>IF(+'M2 Allocations - TD'!Y54="","",'M2 Allocations - TD'!Y54)</f>
        <v>187770.83</v>
      </c>
      <c r="O31" s="69">
        <f>IF(+'M2 Allocations - TD'!Z54="","",'M2 Allocations - TD'!Z54)</f>
        <v>190411.74</v>
      </c>
      <c r="P31" s="69">
        <f>IF(+'M2 Allocations - TD'!AA54="","",'M2 Allocations - TD'!AA54)</f>
        <v>104692.59</v>
      </c>
      <c r="Q31" s="69">
        <f>IF(+'M2 Allocations - TD'!AB54="","",'M2 Allocations - TD'!AB54)</f>
        <v>18094.560000000001</v>
      </c>
      <c r="R31" s="69">
        <f>IF(+'M2 Allocations - TD'!AC54="","",'M2 Allocations - TD'!AC54)</f>
        <v>17212.91</v>
      </c>
      <c r="S31" s="69">
        <f>IF(+'M2 Allocations - TD'!AD54="","",'M2 Allocations - TD'!AD54)</f>
        <v>19682.41</v>
      </c>
      <c r="T31" s="69">
        <f>IF(+'M2 Allocations - TD'!AE54="","",'M2 Allocations - TD'!AE54)</f>
        <v>21781.17</v>
      </c>
      <c r="U31" s="69">
        <f>IF(+'M2 Allocations - TD'!AF54="","",'M2 Allocations - TD'!AF54)</f>
        <v>13233.54</v>
      </c>
      <c r="V31" s="69">
        <f>IF(+'M2 Allocations - TD'!AG54="","",'M2 Allocations - TD'!AG54)</f>
        <v>22431.52</v>
      </c>
      <c r="W31" s="69">
        <f>IF(+'M2 Allocations - TD'!AH54="","",'M2 Allocations - TD'!AH54)</f>
        <v>21067.32</v>
      </c>
      <c r="X31" s="69">
        <f>IF(+'M2 Allocations - TD'!AI54="","",'M2 Allocations - TD'!AI54)</f>
        <v>20801.22</v>
      </c>
      <c r="Y31" s="69">
        <f>IF(+'M2 Allocations - TD'!AJ54="","",'M2 Allocations - TD'!AJ54)</f>
        <v>19547.939999999999</v>
      </c>
      <c r="Z31" s="69">
        <f>IF(+'M2 Allocations - TD'!AK54="","",'M2 Allocations - TD'!AK54)</f>
        <v>19036.14</v>
      </c>
      <c r="AA31" s="69">
        <f>IF(+'M2 Allocations - TD'!AL54="","",'M2 Allocations - TD'!AL54)</f>
        <v>21300.85</v>
      </c>
      <c r="AB31" s="69">
        <f>IF(+'M2 Allocations - TD'!AM54="","",'M2 Allocations - TD'!AM54)</f>
        <v>41051.660000000003</v>
      </c>
      <c r="AC31" s="69">
        <f>IF(+'M2 Allocations - TD'!AN54="","",'M2 Allocations - TD'!AN54)</f>
        <v>64352.88</v>
      </c>
      <c r="AD31" s="69">
        <f>IF(+'M2 Allocations - TD'!AO54="","",'M2 Allocations - TD'!AO54)</f>
        <v>64072.1</v>
      </c>
      <c r="AE31" s="69">
        <f>IF(+'M2 Allocations - TD'!AP54="","",'M2 Allocations - TD'!AP54)</f>
        <v>62519.33</v>
      </c>
      <c r="AF31" s="69">
        <f>IF(+'M2 Allocations - TD'!AQ54="","",'M2 Allocations - TD'!AQ54)</f>
        <v>78748.960000000006</v>
      </c>
      <c r="AG31" s="69">
        <f>IF(+'M2 Allocations - TD'!AR54="","",'M2 Allocations - TD'!AR54)</f>
        <v>73304.259999999995</v>
      </c>
      <c r="AH31" s="69">
        <f>IF(+'M2 Allocations - TD'!AS54="","",'M2 Allocations - TD'!AS54)</f>
        <v>81170.33</v>
      </c>
      <c r="AI31" s="69">
        <f>IF(+'M2 Allocations - TD'!AT54="","",'M2 Allocations - TD'!AT54)</f>
        <v>82260.42</v>
      </c>
      <c r="AJ31" s="69">
        <f>IF(+'M2 Allocations - TD'!AU54="","",'M2 Allocations - TD'!AU54)</f>
        <v>77599.5</v>
      </c>
      <c r="AK31" s="69">
        <f>IF(+'M2 Allocations - TD'!AV54="","",'M2 Allocations - TD'!AV54)</f>
        <v>68913.850000000006</v>
      </c>
      <c r="AL31" s="69">
        <f>IF(+'M2 Allocations - TD'!AW54="","",'M2 Allocations - TD'!AW54)</f>
        <v>64843.48</v>
      </c>
      <c r="AM31" s="69">
        <f>IF(+'M2 Allocations - TD'!AX54="","",'M2 Allocations - TD'!AX54)</f>
        <v>68622.929999999993</v>
      </c>
      <c r="AN31" s="69">
        <f>IF(+'M2 Allocations - TD'!AY54="","",'M2 Allocations - TD'!AY54)</f>
        <v>67842.5</v>
      </c>
      <c r="AO31" s="69">
        <f>IF(+'M2 Allocations - TD'!AZ54="","",'M2 Allocations - TD'!AZ54)</f>
        <v>38688.33</v>
      </c>
      <c r="AP31" s="69">
        <f>IF(+'M2 Allocations - TD'!BA54="","",'M2 Allocations - TD'!BA54)</f>
        <v>44298.87</v>
      </c>
      <c r="AQ31" s="69">
        <f>IF(+'M2 Allocations - TD'!BB54="","",'M2 Allocations - TD'!BB54)</f>
        <v>44976.56</v>
      </c>
      <c r="AR31" s="69">
        <f>IF(+'M2 Allocations - TD'!BC54="","",'M2 Allocations - TD'!BC54)</f>
        <v>11431.37</v>
      </c>
      <c r="AS31" s="69">
        <f>IF(+'M2 Allocations - TD'!BD54="","",'M2 Allocations - TD'!BD54)</f>
        <v>50558.239999999998</v>
      </c>
      <c r="AT31" s="69">
        <f>IF(+'M2 Allocations - TD'!BE54="","",'M2 Allocations - TD'!BE54)</f>
        <v>52075.91</v>
      </c>
      <c r="AU31" s="69">
        <f>IF(+'M2 Allocations - TD'!BF54="","",'M2 Allocations - TD'!BF54)</f>
        <v>52816.959999999999</v>
      </c>
      <c r="AV31" s="69">
        <f>IF(+'M2 Allocations - TD'!BG54="","",'M2 Allocations - TD'!BG54)</f>
        <v>46523.24</v>
      </c>
      <c r="AW31" s="69">
        <f>IF(+'M2 Allocations - TD'!BH54="","",'M2 Allocations - TD'!BH54)</f>
        <v>45630.69</v>
      </c>
      <c r="AX31" s="69">
        <f>IF(+'M2 Allocations - TD'!BI54="","",'M2 Allocations - TD'!BI54)</f>
        <v>46596.58</v>
      </c>
      <c r="AY31" s="69">
        <f>IF(+'M2 Allocations - TD'!BJ54="","",'M2 Allocations - TD'!BJ54)</f>
        <v>42614.78</v>
      </c>
      <c r="AZ31" s="69">
        <f>IF(+'M2 Allocations - TD'!BK54="","",'M2 Allocations - TD'!BK54)</f>
        <v>37690.370000000003</v>
      </c>
      <c r="BA31" s="69">
        <f>IF(+'M2 Allocations - TD'!BL54="","",'M2 Allocations - TD'!BL54)</f>
        <v>-999.06</v>
      </c>
      <c r="BB31" s="69">
        <f>IF(+'M2 Allocations - TD'!BM54="","",'M2 Allocations - TD'!BM54)</f>
        <v>1068.3499999999999</v>
      </c>
      <c r="BC31" s="69">
        <f>IF(+'M2 Allocations - TD'!BN54="","",'M2 Allocations - TD'!BN54)</f>
        <v>1085.3800000000001</v>
      </c>
      <c r="BD31" s="69">
        <f>IF(+'M2 Allocations - TD'!BO54="","",'M2 Allocations - TD'!BO54)</f>
        <v>1047.53</v>
      </c>
      <c r="BE31" s="69">
        <f>IF(+'M2 Allocations - TD'!BP54="","",'M2 Allocations - TD'!BP54)</f>
        <v>1336.85</v>
      </c>
      <c r="BF31" s="69">
        <f>IF(+'M2 Allocations - TD'!BQ54="","",'M2 Allocations - TD'!BQ54)</f>
        <v>1272.6199999999999</v>
      </c>
      <c r="BG31" s="69">
        <f>IF(+'M2 Allocations - TD'!BR54="","",'M2 Allocations - TD'!BR54)</f>
        <v>1376.1</v>
      </c>
      <c r="BH31" s="69">
        <f>IF(+'M2 Allocations - TD'!BS54="","",'M2 Allocations - TD'!BS54)</f>
        <v>1261.3</v>
      </c>
      <c r="BI31" s="69">
        <f>IF(+'M2 Allocations - TD'!BT54="","",'M2 Allocations - TD'!BT54)</f>
        <v>837.34</v>
      </c>
      <c r="BJ31" s="69">
        <f>IF(+'M2 Allocations - TD'!BU54="","",'M2 Allocations - TD'!BU54)</f>
        <v>1174.03</v>
      </c>
      <c r="BK31" s="69">
        <f>IF(+'M2 Allocations - TD'!BV54="","",'M2 Allocations - TD'!BV54)</f>
        <v>1093.94</v>
      </c>
      <c r="BL31" s="69">
        <f>IF(+'M2 Allocations - TD'!BW54="","",'M2 Allocations - TD'!BW54)</f>
        <v>596.12</v>
      </c>
      <c r="BM31" s="69">
        <f>IF(+'M2 Allocations - TD'!BX54="","",'M2 Allocations - TD'!BX54)</f>
        <v>-2115.3000000000002</v>
      </c>
      <c r="BN31" s="69">
        <f>IF(+'M2 Allocations - TD'!BY54="","",'M2 Allocations - TD'!BY54)</f>
        <v>-9955.1299999999992</v>
      </c>
      <c r="BO31" s="69">
        <f>IF(+'M2 Allocations - TD'!BZ54="","",'M2 Allocations - TD'!BZ54)</f>
        <v>-1926.46</v>
      </c>
      <c r="BP31" s="69">
        <f>IF(+'M2 Allocations - TD'!CA54="","",'M2 Allocations - TD'!CA54)</f>
        <v>-2348.37</v>
      </c>
      <c r="BQ31" s="69">
        <f>IF(+'M2 Allocations - TD'!CB54="","",'M2 Allocations - TD'!CB54)</f>
        <v>-2694.11</v>
      </c>
      <c r="BR31" s="69">
        <f>IF(+'M2 Allocations - TD'!CC54="","",'M2 Allocations - TD'!CC54)</f>
        <v>-2663.91</v>
      </c>
      <c r="BS31" s="69">
        <f>IF(+'M2 Allocations - TD'!CD54="","",'M2 Allocations - TD'!CD54)</f>
        <v>-2777.2</v>
      </c>
      <c r="BT31" s="69">
        <f>IF(+'M2 Allocations - TD'!CE54="","",'M2 Allocations - TD'!CE54)</f>
        <v>-2385.87</v>
      </c>
      <c r="BU31" s="69">
        <f>IF(+'M2 Allocations - TD'!CF54="","",'M2 Allocations - TD'!CF54)</f>
        <v>-2313.5820133384063</v>
      </c>
      <c r="BV31" s="69">
        <f>IF(+'M2 Allocations - TD'!CG54="","",'M2 Allocations - TD'!CG54)</f>
        <v>-2266.9716748860501</v>
      </c>
      <c r="BW31" s="69">
        <f>IF(+'M2 Allocations - TD'!CH54="","",'M2 Allocations - TD'!CH54)</f>
        <v>-2388.5053153889112</v>
      </c>
      <c r="BX31" s="63"/>
      <c r="BY31" s="63"/>
      <c r="BZ31" s="63"/>
      <c r="CA31" s="63"/>
    </row>
    <row r="32" spans="1:79" x14ac:dyDescent="0.35">
      <c r="A32" s="288"/>
      <c r="B32" s="79" t="s">
        <v>55</v>
      </c>
      <c r="C32" s="95">
        <v>6.0000000000000002E-5</v>
      </c>
      <c r="D32" s="95">
        <v>3.8400000000000001E-4</v>
      </c>
      <c r="E32" s="77">
        <f>+D32</f>
        <v>3.8400000000000001E-4</v>
      </c>
      <c r="F32" s="77">
        <f>IF(F31="","",E32)</f>
        <v>3.8400000000000001E-4</v>
      </c>
      <c r="G32" s="77">
        <f t="shared" ref="G32:Z32" si="361">IF(G31="","",F32)</f>
        <v>3.8400000000000001E-4</v>
      </c>
      <c r="H32" s="77">
        <f t="shared" si="361"/>
        <v>3.8400000000000001E-4</v>
      </c>
      <c r="I32" s="77">
        <f t="shared" si="361"/>
        <v>3.8400000000000001E-4</v>
      </c>
      <c r="J32" s="77">
        <f t="shared" si="361"/>
        <v>3.8400000000000001E-4</v>
      </c>
      <c r="K32" s="77">
        <f t="shared" si="361"/>
        <v>3.8400000000000001E-4</v>
      </c>
      <c r="L32" s="77">
        <f t="shared" si="361"/>
        <v>3.8400000000000001E-4</v>
      </c>
      <c r="M32" s="77">
        <f t="shared" si="361"/>
        <v>3.8400000000000001E-4</v>
      </c>
      <c r="N32" s="77">
        <f t="shared" si="361"/>
        <v>3.8400000000000001E-4</v>
      </c>
      <c r="O32" s="77">
        <f t="shared" si="361"/>
        <v>3.8400000000000001E-4</v>
      </c>
      <c r="P32" s="95">
        <v>3.5731019249486359E-4</v>
      </c>
      <c r="Q32" s="77">
        <f t="shared" si="361"/>
        <v>3.5731019249486359E-4</v>
      </c>
      <c r="R32" s="99">
        <f t="shared" si="361"/>
        <v>3.5731019249486359E-4</v>
      </c>
      <c r="S32" s="99">
        <f t="shared" si="361"/>
        <v>3.5731019249486359E-4</v>
      </c>
      <c r="T32" s="99">
        <f t="shared" si="361"/>
        <v>3.5731019249486359E-4</v>
      </c>
      <c r="U32" s="99">
        <f t="shared" si="361"/>
        <v>3.5731019249486359E-4</v>
      </c>
      <c r="V32" s="99">
        <f t="shared" si="361"/>
        <v>3.5731019249486359E-4</v>
      </c>
      <c r="W32" s="99">
        <f t="shared" si="361"/>
        <v>3.5731019249486359E-4</v>
      </c>
      <c r="X32" s="99">
        <f t="shared" si="361"/>
        <v>3.5731019249486359E-4</v>
      </c>
      <c r="Y32" s="99">
        <f t="shared" si="361"/>
        <v>3.5731019249486359E-4</v>
      </c>
      <c r="Z32" s="99">
        <f t="shared" si="361"/>
        <v>3.5731019249486359E-4</v>
      </c>
      <c r="AA32" s="99">
        <f t="shared" ref="AA32" si="362">IF(AA31="","",Z32)</f>
        <v>3.5731019249486359E-4</v>
      </c>
      <c r="AB32" s="95">
        <v>6.7202311992673749E-4</v>
      </c>
      <c r="AC32" s="77">
        <f t="shared" ref="AC32" si="363">IF(AC31="","",AB32)</f>
        <v>6.7202311992673749E-4</v>
      </c>
      <c r="AD32" s="77">
        <f t="shared" ref="AD32" si="364">IF(AD31="","",AC32)</f>
        <v>6.7202311992673749E-4</v>
      </c>
      <c r="AE32" s="77">
        <f t="shared" ref="AE32" si="365">IF(AE31="","",AD32)</f>
        <v>6.7202311992673749E-4</v>
      </c>
      <c r="AF32" s="77">
        <f t="shared" ref="AF32" si="366">IF(AF31="","",AE32)</f>
        <v>6.7202311992673749E-4</v>
      </c>
      <c r="AG32" s="77">
        <f t="shared" ref="AG32" si="367">IF(AG31="","",AF32)</f>
        <v>6.7202311992673749E-4</v>
      </c>
      <c r="AH32" s="77">
        <f t="shared" ref="AH32" si="368">IF(AH31="","",AG32)</f>
        <v>6.7202311992673749E-4</v>
      </c>
      <c r="AI32" s="77">
        <f t="shared" ref="AI32" si="369">IF(AI31="","",AH32)</f>
        <v>6.7202311992673749E-4</v>
      </c>
      <c r="AJ32" s="77">
        <f t="shared" ref="AJ32" si="370">IF(AJ31="","",AI32)</f>
        <v>6.7202311992673749E-4</v>
      </c>
      <c r="AK32" s="77">
        <f t="shared" ref="AK32" si="371">IF(AK31="","",AJ32)</f>
        <v>6.7202311992673749E-4</v>
      </c>
      <c r="AL32" s="77">
        <f t="shared" ref="AL32" si="372">IF(AL31="","",AK32)</f>
        <v>6.7202311992673749E-4</v>
      </c>
      <c r="AM32" s="77">
        <f t="shared" ref="AM32" si="373">IF(AM31="","",AL32)</f>
        <v>6.7202311992673749E-4</v>
      </c>
      <c r="AN32" s="130">
        <v>1.712590854401589E-4</v>
      </c>
      <c r="AO32" s="77">
        <f t="shared" ref="AO32:AS32" si="374">IF(AO31="","",AN32)</f>
        <v>1.712590854401589E-4</v>
      </c>
      <c r="AP32" s="77">
        <f t="shared" si="374"/>
        <v>1.712590854401589E-4</v>
      </c>
      <c r="AQ32" s="77">
        <f t="shared" si="374"/>
        <v>1.712590854401589E-4</v>
      </c>
      <c r="AR32" s="77">
        <f t="shared" si="374"/>
        <v>1.712590854401589E-4</v>
      </c>
      <c r="AS32" s="77">
        <f t="shared" si="374"/>
        <v>1.712590854401589E-4</v>
      </c>
      <c r="AT32" s="77">
        <f t="shared" ref="AT32:BK32" si="375">IF(AT31="","",AS32)</f>
        <v>1.712590854401589E-4</v>
      </c>
      <c r="AU32" s="77">
        <f t="shared" si="375"/>
        <v>1.712590854401589E-4</v>
      </c>
      <c r="AV32" s="77">
        <f t="shared" si="375"/>
        <v>1.712590854401589E-4</v>
      </c>
      <c r="AW32" s="77">
        <f t="shared" si="375"/>
        <v>1.712590854401589E-4</v>
      </c>
      <c r="AX32" s="77">
        <f t="shared" si="375"/>
        <v>1.712590854401589E-4</v>
      </c>
      <c r="AY32" s="77">
        <f t="shared" si="375"/>
        <v>1.712590854401589E-4</v>
      </c>
      <c r="AZ32" s="130">
        <v>0</v>
      </c>
      <c r="BA32" s="77">
        <f t="shared" si="375"/>
        <v>0</v>
      </c>
      <c r="BB32" s="77">
        <f t="shared" si="375"/>
        <v>0</v>
      </c>
      <c r="BC32" s="77">
        <f t="shared" si="375"/>
        <v>0</v>
      </c>
      <c r="BD32" s="77">
        <f t="shared" si="375"/>
        <v>0</v>
      </c>
      <c r="BE32" s="77">
        <f t="shared" si="375"/>
        <v>0</v>
      </c>
      <c r="BF32" s="77">
        <f t="shared" si="375"/>
        <v>0</v>
      </c>
      <c r="BG32" s="77">
        <f t="shared" si="375"/>
        <v>0</v>
      </c>
      <c r="BH32" s="77">
        <f t="shared" si="375"/>
        <v>0</v>
      </c>
      <c r="BI32" s="77">
        <f t="shared" si="375"/>
        <v>0</v>
      </c>
      <c r="BJ32" s="77">
        <f t="shared" si="375"/>
        <v>0</v>
      </c>
      <c r="BK32" s="77">
        <f t="shared" si="375"/>
        <v>0</v>
      </c>
      <c r="BL32" s="131">
        <v>-4.1979797794062399E-8</v>
      </c>
      <c r="BM32" s="77">
        <f t="shared" ref="BM32:BW32" si="376">IF(BM31="","",BL32)</f>
        <v>-4.1979797794062399E-8</v>
      </c>
      <c r="BN32" s="77">
        <f t="shared" si="376"/>
        <v>-4.1979797794062399E-8</v>
      </c>
      <c r="BO32" s="77">
        <f t="shared" si="376"/>
        <v>-4.1979797794062399E-8</v>
      </c>
      <c r="BP32" s="77">
        <f t="shared" si="376"/>
        <v>-4.1979797794062399E-8</v>
      </c>
      <c r="BQ32" s="77">
        <f t="shared" si="376"/>
        <v>-4.1979797794062399E-8</v>
      </c>
      <c r="BR32" s="77">
        <f t="shared" si="376"/>
        <v>-4.1979797794062399E-8</v>
      </c>
      <c r="BS32" s="77">
        <f t="shared" si="376"/>
        <v>-4.1979797794062399E-8</v>
      </c>
      <c r="BT32" s="77">
        <f t="shared" si="376"/>
        <v>-4.1979797794062399E-8</v>
      </c>
      <c r="BU32" s="77">
        <f t="shared" si="376"/>
        <v>-4.1979797794062399E-8</v>
      </c>
      <c r="BV32" s="77">
        <f t="shared" si="376"/>
        <v>-4.1979797794062399E-8</v>
      </c>
      <c r="BW32" s="77">
        <f t="shared" si="376"/>
        <v>-4.1979797794062399E-8</v>
      </c>
      <c r="BX32" s="63"/>
      <c r="BY32" s="63"/>
      <c r="BZ32" s="63"/>
      <c r="CA32" s="63"/>
    </row>
    <row r="33" spans="1:79" x14ac:dyDescent="0.35">
      <c r="A33" s="288"/>
      <c r="B33" s="79" t="s">
        <v>54</v>
      </c>
      <c r="C33" s="46">
        <v>0</v>
      </c>
      <c r="D33" s="95">
        <v>1.0369999999999999E-3</v>
      </c>
      <c r="E33" s="77">
        <f>+D33</f>
        <v>1.0369999999999999E-3</v>
      </c>
      <c r="F33" s="77">
        <f>IF(F31="","",E33)</f>
        <v>1.0369999999999999E-3</v>
      </c>
      <c r="G33" s="77">
        <f t="shared" ref="G33:Z33" si="377">IF(G31="","",F33)</f>
        <v>1.0369999999999999E-3</v>
      </c>
      <c r="H33" s="77">
        <f t="shared" si="377"/>
        <v>1.0369999999999999E-3</v>
      </c>
      <c r="I33" s="77">
        <f t="shared" si="377"/>
        <v>1.0369999999999999E-3</v>
      </c>
      <c r="J33" s="77">
        <f t="shared" si="377"/>
        <v>1.0369999999999999E-3</v>
      </c>
      <c r="K33" s="77">
        <f t="shared" si="377"/>
        <v>1.0369999999999999E-3</v>
      </c>
      <c r="L33" s="77">
        <f t="shared" si="377"/>
        <v>1.0369999999999999E-3</v>
      </c>
      <c r="M33" s="77">
        <f t="shared" si="377"/>
        <v>1.0369999999999999E-3</v>
      </c>
      <c r="N33" s="77">
        <f t="shared" si="377"/>
        <v>1.0369999999999999E-3</v>
      </c>
      <c r="O33" s="77">
        <f t="shared" si="377"/>
        <v>1.0369999999999999E-3</v>
      </c>
      <c r="P33" s="100">
        <v>-2.1760723836864655E-4</v>
      </c>
      <c r="Q33" s="99">
        <f t="shared" si="377"/>
        <v>-2.1760723836864655E-4</v>
      </c>
      <c r="R33" s="99">
        <f t="shared" si="377"/>
        <v>-2.1760723836864655E-4</v>
      </c>
      <c r="S33" s="99">
        <f t="shared" si="377"/>
        <v>-2.1760723836864655E-4</v>
      </c>
      <c r="T33" s="99">
        <f t="shared" si="377"/>
        <v>-2.1760723836864655E-4</v>
      </c>
      <c r="U33" s="99">
        <f t="shared" si="377"/>
        <v>-2.1760723836864655E-4</v>
      </c>
      <c r="V33" s="99">
        <f t="shared" si="377"/>
        <v>-2.1760723836864655E-4</v>
      </c>
      <c r="W33" s="99">
        <f t="shared" si="377"/>
        <v>-2.1760723836864655E-4</v>
      </c>
      <c r="X33" s="99">
        <f t="shared" si="377"/>
        <v>-2.1760723836864655E-4</v>
      </c>
      <c r="Y33" s="99">
        <f t="shared" si="377"/>
        <v>-2.1760723836864655E-4</v>
      </c>
      <c r="Z33" s="99">
        <f t="shared" si="377"/>
        <v>-2.1760723836864655E-4</v>
      </c>
      <c r="AA33" s="99">
        <f t="shared" ref="AA33" si="378">IF(AA31="","",Z33)</f>
        <v>-2.1760723836864655E-4</v>
      </c>
      <c r="AB33" s="100">
        <v>-2.3696165881846651E-5</v>
      </c>
      <c r="AC33" s="99">
        <f t="shared" ref="AC33" si="379">IF(AC31="","",AB33)</f>
        <v>-2.3696165881846651E-5</v>
      </c>
      <c r="AD33" s="99">
        <f t="shared" ref="AD33" si="380">IF(AD31="","",AC33)</f>
        <v>-2.3696165881846651E-5</v>
      </c>
      <c r="AE33" s="99">
        <f t="shared" ref="AE33" si="381">IF(AE31="","",AD33)</f>
        <v>-2.3696165881846651E-5</v>
      </c>
      <c r="AF33" s="99">
        <f t="shared" ref="AF33" si="382">IF(AF31="","",AE33)</f>
        <v>-2.3696165881846651E-5</v>
      </c>
      <c r="AG33" s="99">
        <f t="shared" ref="AG33" si="383">IF(AG31="","",AF33)</f>
        <v>-2.3696165881846651E-5</v>
      </c>
      <c r="AH33" s="99">
        <f t="shared" ref="AH33" si="384">IF(AH31="","",AG33)</f>
        <v>-2.3696165881846651E-5</v>
      </c>
      <c r="AI33" s="99">
        <f t="shared" ref="AI33" si="385">IF(AI31="","",AH33)</f>
        <v>-2.3696165881846651E-5</v>
      </c>
      <c r="AJ33" s="99">
        <f t="shared" ref="AJ33" si="386">IF(AJ31="","",AI33)</f>
        <v>-2.3696165881846651E-5</v>
      </c>
      <c r="AK33" s="99">
        <f t="shared" ref="AK33" si="387">IF(AK31="","",AJ33)</f>
        <v>-2.3696165881846651E-5</v>
      </c>
      <c r="AL33" s="99">
        <f t="shared" ref="AL33" si="388">IF(AL31="","",AK33)</f>
        <v>-2.3696165881846651E-5</v>
      </c>
      <c r="AM33" s="99">
        <f t="shared" ref="AM33" si="389">IF(AM31="","",AL33)</f>
        <v>-2.3696165881846651E-5</v>
      </c>
      <c r="AN33" s="131">
        <v>3.0940916964556395E-4</v>
      </c>
      <c r="AO33" s="99">
        <f t="shared" ref="AO33:AS33" si="390">IF(AO31="","",AN33)</f>
        <v>3.0940916964556395E-4</v>
      </c>
      <c r="AP33" s="99">
        <f t="shared" si="390"/>
        <v>3.0940916964556395E-4</v>
      </c>
      <c r="AQ33" s="99">
        <f t="shared" si="390"/>
        <v>3.0940916964556395E-4</v>
      </c>
      <c r="AR33" s="99">
        <f t="shared" si="390"/>
        <v>3.0940916964556395E-4</v>
      </c>
      <c r="AS33" s="99">
        <f t="shared" si="390"/>
        <v>3.0940916964556395E-4</v>
      </c>
      <c r="AT33" s="99">
        <f t="shared" ref="AT33:BA33" si="391">IF(AT31="","",AS33)</f>
        <v>3.0940916964556395E-4</v>
      </c>
      <c r="AU33" s="99">
        <f t="shared" si="391"/>
        <v>3.0940916964556395E-4</v>
      </c>
      <c r="AV33" s="99">
        <f t="shared" si="391"/>
        <v>3.0940916964556395E-4</v>
      </c>
      <c r="AW33" s="99">
        <f t="shared" si="391"/>
        <v>3.0940916964556395E-4</v>
      </c>
      <c r="AX33" s="99">
        <f t="shared" si="391"/>
        <v>3.0940916964556395E-4</v>
      </c>
      <c r="AY33" s="99">
        <f t="shared" si="391"/>
        <v>3.0940916964556395E-4</v>
      </c>
      <c r="AZ33" s="131">
        <v>1.2474670529833156E-5</v>
      </c>
      <c r="BA33" s="99">
        <f t="shared" si="391"/>
        <v>1.2474670529833156E-5</v>
      </c>
      <c r="BB33" s="99">
        <f t="shared" ref="BB33:BK33" si="392">IF(BB31="","",BA33)</f>
        <v>1.2474670529833156E-5</v>
      </c>
      <c r="BC33" s="99">
        <f t="shared" si="392"/>
        <v>1.2474670529833156E-5</v>
      </c>
      <c r="BD33" s="99">
        <f t="shared" si="392"/>
        <v>1.2474670529833156E-5</v>
      </c>
      <c r="BE33" s="99">
        <f t="shared" si="392"/>
        <v>1.2474670529833156E-5</v>
      </c>
      <c r="BF33" s="99">
        <f t="shared" si="392"/>
        <v>1.2474670529833156E-5</v>
      </c>
      <c r="BG33" s="99">
        <f t="shared" si="392"/>
        <v>1.2474670529833156E-5</v>
      </c>
      <c r="BH33" s="99">
        <f t="shared" si="392"/>
        <v>1.2474670529833156E-5</v>
      </c>
      <c r="BI33" s="99">
        <f t="shared" si="392"/>
        <v>1.2474670529833156E-5</v>
      </c>
      <c r="BJ33" s="99">
        <f t="shared" si="392"/>
        <v>1.2474670529833156E-5</v>
      </c>
      <c r="BK33" s="99">
        <f t="shared" si="392"/>
        <v>1.2474670529833156E-5</v>
      </c>
      <c r="BL33" s="131">
        <v>-2.6627233071059429E-5</v>
      </c>
      <c r="BM33" s="99">
        <f t="shared" ref="BM33:BW33" si="393">IF(BM31="","",BL33)</f>
        <v>-2.6627233071059429E-5</v>
      </c>
      <c r="BN33" s="99">
        <f t="shared" si="393"/>
        <v>-2.6627233071059429E-5</v>
      </c>
      <c r="BO33" s="99">
        <f t="shared" si="393"/>
        <v>-2.6627233071059429E-5</v>
      </c>
      <c r="BP33" s="99">
        <f t="shared" si="393"/>
        <v>-2.6627233071059429E-5</v>
      </c>
      <c r="BQ33" s="99">
        <f t="shared" si="393"/>
        <v>-2.6627233071059429E-5</v>
      </c>
      <c r="BR33" s="99">
        <f t="shared" si="393"/>
        <v>-2.6627233071059429E-5</v>
      </c>
      <c r="BS33" s="99">
        <f t="shared" si="393"/>
        <v>-2.6627233071059429E-5</v>
      </c>
      <c r="BT33" s="99">
        <f t="shared" si="393"/>
        <v>-2.6627233071059429E-5</v>
      </c>
      <c r="BU33" s="99">
        <f t="shared" si="393"/>
        <v>-2.6627233071059429E-5</v>
      </c>
      <c r="BV33" s="99">
        <f t="shared" si="393"/>
        <v>-2.6627233071059429E-5</v>
      </c>
      <c r="BW33" s="99">
        <f t="shared" si="393"/>
        <v>-2.6627233071059429E-5</v>
      </c>
      <c r="BX33" s="63"/>
      <c r="BY33" s="63"/>
      <c r="BZ33" s="63"/>
      <c r="CA33" s="63"/>
    </row>
    <row r="34" spans="1:79" x14ac:dyDescent="0.35">
      <c r="A34" s="288"/>
      <c r="B34" s="79" t="s">
        <v>63</v>
      </c>
      <c r="C34" s="68">
        <f>SUM(C32:C33)</f>
        <v>6.0000000000000002E-5</v>
      </c>
      <c r="D34" s="68">
        <f t="shared" ref="D34:E34" si="394">SUM(D32:D33)</f>
        <v>1.421E-3</v>
      </c>
      <c r="E34" s="68">
        <f t="shared" si="394"/>
        <v>1.421E-3</v>
      </c>
      <c r="F34" s="68">
        <f>IF(F31="","",SUM(F32:F33))</f>
        <v>1.421E-3</v>
      </c>
      <c r="G34" s="68">
        <f t="shared" ref="G34:Z34" si="395">IF(G31="","",SUM(G32:G33))</f>
        <v>1.421E-3</v>
      </c>
      <c r="H34" s="68">
        <f t="shared" si="395"/>
        <v>1.421E-3</v>
      </c>
      <c r="I34" s="68">
        <f t="shared" si="395"/>
        <v>1.421E-3</v>
      </c>
      <c r="J34" s="68">
        <f t="shared" si="395"/>
        <v>1.421E-3</v>
      </c>
      <c r="K34" s="68">
        <f t="shared" si="395"/>
        <v>1.421E-3</v>
      </c>
      <c r="L34" s="68">
        <f t="shared" si="395"/>
        <v>1.421E-3</v>
      </c>
      <c r="M34" s="68">
        <f t="shared" si="395"/>
        <v>1.421E-3</v>
      </c>
      <c r="N34" s="68">
        <f t="shared" si="395"/>
        <v>1.421E-3</v>
      </c>
      <c r="O34" s="68">
        <f t="shared" si="395"/>
        <v>1.421E-3</v>
      </c>
      <c r="P34" s="68">
        <f t="shared" si="395"/>
        <v>1.3970295412621704E-4</v>
      </c>
      <c r="Q34" s="68">
        <f t="shared" si="395"/>
        <v>1.3970295412621704E-4</v>
      </c>
      <c r="R34" s="68">
        <f t="shared" si="395"/>
        <v>1.3970295412621704E-4</v>
      </c>
      <c r="S34" s="68">
        <f t="shared" si="395"/>
        <v>1.3970295412621704E-4</v>
      </c>
      <c r="T34" s="68">
        <f t="shared" si="395"/>
        <v>1.3970295412621704E-4</v>
      </c>
      <c r="U34" s="68">
        <f t="shared" si="395"/>
        <v>1.3970295412621704E-4</v>
      </c>
      <c r="V34" s="68">
        <f t="shared" si="395"/>
        <v>1.3970295412621704E-4</v>
      </c>
      <c r="W34" s="68">
        <f t="shared" si="395"/>
        <v>1.3970295412621704E-4</v>
      </c>
      <c r="X34" s="68">
        <f t="shared" si="395"/>
        <v>1.3970295412621704E-4</v>
      </c>
      <c r="Y34" s="68">
        <f t="shared" si="395"/>
        <v>1.3970295412621704E-4</v>
      </c>
      <c r="Z34" s="68">
        <f t="shared" si="395"/>
        <v>1.3970295412621704E-4</v>
      </c>
      <c r="AA34" s="68">
        <f t="shared" ref="AA34:AC34" si="396">IF(AA31="","",SUM(AA32:AA33))</f>
        <v>1.3970295412621704E-4</v>
      </c>
      <c r="AB34" s="68">
        <f t="shared" si="396"/>
        <v>6.4832695404489079E-4</v>
      </c>
      <c r="AC34" s="68">
        <f t="shared" si="396"/>
        <v>6.4832695404489079E-4</v>
      </c>
      <c r="AD34" s="68">
        <f t="shared" ref="AD34:AM34" si="397">IF(AD31="","",SUM(AD32:AD33))</f>
        <v>6.4832695404489079E-4</v>
      </c>
      <c r="AE34" s="68">
        <f t="shared" si="397"/>
        <v>6.4832695404489079E-4</v>
      </c>
      <c r="AF34" s="68">
        <f t="shared" si="397"/>
        <v>6.4832695404489079E-4</v>
      </c>
      <c r="AG34" s="68">
        <f t="shared" si="397"/>
        <v>6.4832695404489079E-4</v>
      </c>
      <c r="AH34" s="68">
        <f t="shared" si="397"/>
        <v>6.4832695404489079E-4</v>
      </c>
      <c r="AI34" s="68">
        <f t="shared" si="397"/>
        <v>6.4832695404489079E-4</v>
      </c>
      <c r="AJ34" s="68">
        <f t="shared" si="397"/>
        <v>6.4832695404489079E-4</v>
      </c>
      <c r="AK34" s="68">
        <f t="shared" si="397"/>
        <v>6.4832695404489079E-4</v>
      </c>
      <c r="AL34" s="68">
        <f t="shared" si="397"/>
        <v>6.4832695404489079E-4</v>
      </c>
      <c r="AM34" s="68">
        <f t="shared" si="397"/>
        <v>6.4832695404489079E-4</v>
      </c>
      <c r="AN34" s="68">
        <f t="shared" ref="AN34:AO34" si="398">IF(AN31="","",SUM(AN32:AN33))</f>
        <v>4.8066825508572285E-4</v>
      </c>
      <c r="AO34" s="68">
        <f t="shared" si="398"/>
        <v>4.8066825508572285E-4</v>
      </c>
      <c r="AP34" s="68">
        <f t="shared" ref="AP34:AQ34" si="399">IF(AP31="","",SUM(AP32:AP33))</f>
        <v>4.8066825508572285E-4</v>
      </c>
      <c r="AQ34" s="68">
        <f t="shared" si="399"/>
        <v>4.8066825508572285E-4</v>
      </c>
      <c r="AR34" s="68">
        <f t="shared" ref="AR34:AS34" si="400">IF(AR31="","",SUM(AR32:AR33))</f>
        <v>4.8066825508572285E-4</v>
      </c>
      <c r="AS34" s="68">
        <f t="shared" si="400"/>
        <v>4.8066825508572285E-4</v>
      </c>
      <c r="AT34" s="68">
        <f t="shared" ref="AT34:AU34" si="401">IF(AT31="","",SUM(AT32:AT33))</f>
        <v>4.8066825508572285E-4</v>
      </c>
      <c r="AU34" s="68">
        <f t="shared" si="401"/>
        <v>4.8066825508572285E-4</v>
      </c>
      <c r="AV34" s="68">
        <f t="shared" ref="AV34:AW34" si="402">IF(AV31="","",SUM(AV32:AV33))</f>
        <v>4.8066825508572285E-4</v>
      </c>
      <c r="AW34" s="68">
        <f t="shared" si="402"/>
        <v>4.8066825508572285E-4</v>
      </c>
      <c r="AX34" s="68">
        <f t="shared" ref="AX34:AY34" si="403">IF(AX31="","",SUM(AX32:AX33))</f>
        <v>4.8066825508572285E-4</v>
      </c>
      <c r="AY34" s="68">
        <f t="shared" si="403"/>
        <v>4.8066825508572285E-4</v>
      </c>
      <c r="AZ34" s="68">
        <f t="shared" ref="AZ34:BA34" si="404">IF(AZ31="","",SUM(AZ32:AZ33))</f>
        <v>1.2474670529833156E-5</v>
      </c>
      <c r="BA34" s="68">
        <f t="shared" si="404"/>
        <v>1.2474670529833156E-5</v>
      </c>
      <c r="BB34" s="68">
        <f t="shared" ref="BB34:BC34" si="405">IF(BB31="","",SUM(BB32:BB33))</f>
        <v>1.2474670529833156E-5</v>
      </c>
      <c r="BC34" s="68">
        <f t="shared" si="405"/>
        <v>1.2474670529833156E-5</v>
      </c>
      <c r="BD34" s="68">
        <f t="shared" ref="BD34:BE34" si="406">IF(BD31="","",SUM(BD32:BD33))</f>
        <v>1.2474670529833156E-5</v>
      </c>
      <c r="BE34" s="68">
        <f t="shared" si="406"/>
        <v>1.2474670529833156E-5</v>
      </c>
      <c r="BF34" s="68">
        <f t="shared" ref="BF34:BG34" si="407">IF(BF31="","",SUM(BF32:BF33))</f>
        <v>1.2474670529833156E-5</v>
      </c>
      <c r="BG34" s="68">
        <f t="shared" si="407"/>
        <v>1.2474670529833156E-5</v>
      </c>
      <c r="BH34" s="68">
        <f t="shared" ref="BH34:BI34" si="408">IF(BH31="","",SUM(BH32:BH33))</f>
        <v>1.2474670529833156E-5</v>
      </c>
      <c r="BI34" s="68">
        <f t="shared" si="408"/>
        <v>1.2474670529833156E-5</v>
      </c>
      <c r="BJ34" s="68">
        <f t="shared" ref="BJ34:BK34" si="409">IF(BJ31="","",SUM(BJ32:BJ33))</f>
        <v>1.2474670529833156E-5</v>
      </c>
      <c r="BK34" s="68">
        <f t="shared" si="409"/>
        <v>1.2474670529833156E-5</v>
      </c>
      <c r="BL34" s="68">
        <f t="shared" ref="BL34:BM34" si="410">IF(BL31="","",SUM(BL32:BL33))</f>
        <v>-2.666921286885349E-5</v>
      </c>
      <c r="BM34" s="68">
        <f t="shared" si="410"/>
        <v>-2.666921286885349E-5</v>
      </c>
      <c r="BN34" s="68">
        <f t="shared" ref="BN34:BO34" si="411">IF(BN31="","",SUM(BN32:BN33))</f>
        <v>-2.666921286885349E-5</v>
      </c>
      <c r="BO34" s="68">
        <f t="shared" si="411"/>
        <v>-2.666921286885349E-5</v>
      </c>
      <c r="BP34" s="68">
        <f t="shared" ref="BP34:BQ34" si="412">IF(BP31="","",SUM(BP32:BP33))</f>
        <v>-2.666921286885349E-5</v>
      </c>
      <c r="BQ34" s="68">
        <f t="shared" si="412"/>
        <v>-2.666921286885349E-5</v>
      </c>
      <c r="BR34" s="68">
        <f t="shared" ref="BR34:BS34" si="413">IF(BR31="","",SUM(BR32:BR33))</f>
        <v>-2.666921286885349E-5</v>
      </c>
      <c r="BS34" s="68">
        <f t="shared" si="413"/>
        <v>-2.666921286885349E-5</v>
      </c>
      <c r="BT34" s="68">
        <f t="shared" ref="BT34:BU34" si="414">IF(BT31="","",SUM(BT32:BT33))</f>
        <v>-2.666921286885349E-5</v>
      </c>
      <c r="BU34" s="68">
        <f t="shared" si="414"/>
        <v>-2.666921286885349E-5</v>
      </c>
      <c r="BV34" s="68">
        <f t="shared" ref="BV34:BW34" si="415">IF(BV31="","",SUM(BV32:BV33))</f>
        <v>-2.666921286885349E-5</v>
      </c>
      <c r="BW34" s="68">
        <f t="shared" si="415"/>
        <v>-2.666921286885349E-5</v>
      </c>
      <c r="BX34" s="63"/>
      <c r="BY34" s="63"/>
      <c r="BZ34" s="63"/>
      <c r="CA34" s="63"/>
    </row>
    <row r="35" spans="1:79" x14ac:dyDescent="0.35">
      <c r="A35" s="288"/>
      <c r="B35" s="79" t="s">
        <v>56</v>
      </c>
      <c r="C35" s="72">
        <f>+C33/C34</f>
        <v>0</v>
      </c>
      <c r="D35" s="72">
        <f>+IFERROR(D33/D34,"")</f>
        <v>0.72976776917663611</v>
      </c>
      <c r="E35" s="72">
        <f>+IFERROR(E33/E34,"")</f>
        <v>0.72976776917663611</v>
      </c>
      <c r="F35" s="72">
        <f>IF(F31="","",IFERROR(F33/F34,""))</f>
        <v>0.72976776917663611</v>
      </c>
      <c r="G35" s="72">
        <f t="shared" ref="G35:Z35" si="416">IF(G31="","",IFERROR(G33/G34,""))</f>
        <v>0.72976776917663611</v>
      </c>
      <c r="H35" s="72">
        <f t="shared" si="416"/>
        <v>0.72976776917663611</v>
      </c>
      <c r="I35" s="72">
        <f t="shared" si="416"/>
        <v>0.72976776917663611</v>
      </c>
      <c r="J35" s="72">
        <f t="shared" si="416"/>
        <v>0.72976776917663611</v>
      </c>
      <c r="K35" s="72">
        <f t="shared" si="416"/>
        <v>0.72976776917663611</v>
      </c>
      <c r="L35" s="72">
        <f t="shared" si="416"/>
        <v>0.72976776917663611</v>
      </c>
      <c r="M35" s="72">
        <f t="shared" si="416"/>
        <v>0.72976776917663611</v>
      </c>
      <c r="N35" s="72">
        <f t="shared" si="416"/>
        <v>0.72976776917663611</v>
      </c>
      <c r="O35" s="72">
        <f t="shared" si="416"/>
        <v>0.72976776917663611</v>
      </c>
      <c r="P35" s="72">
        <f>IF(P31="","",IFERROR(P33/P34,""))</f>
        <v>-1.5576423543058764</v>
      </c>
      <c r="Q35" s="72">
        <f t="shared" si="416"/>
        <v>-1.5576423543058764</v>
      </c>
      <c r="R35" s="72">
        <f t="shared" si="416"/>
        <v>-1.5576423543058764</v>
      </c>
      <c r="S35" s="72">
        <f t="shared" si="416"/>
        <v>-1.5576423543058764</v>
      </c>
      <c r="T35" s="72">
        <f t="shared" si="416"/>
        <v>-1.5576423543058764</v>
      </c>
      <c r="U35" s="72">
        <f t="shared" si="416"/>
        <v>-1.5576423543058764</v>
      </c>
      <c r="V35" s="72">
        <f t="shared" si="416"/>
        <v>-1.5576423543058764</v>
      </c>
      <c r="W35" s="72">
        <f t="shared" si="416"/>
        <v>-1.5576423543058764</v>
      </c>
      <c r="X35" s="72">
        <f t="shared" si="416"/>
        <v>-1.5576423543058764</v>
      </c>
      <c r="Y35" s="72">
        <f t="shared" si="416"/>
        <v>-1.5576423543058764</v>
      </c>
      <c r="Z35" s="72">
        <f t="shared" si="416"/>
        <v>-1.5576423543058764</v>
      </c>
      <c r="AA35" s="72">
        <f t="shared" ref="AA35:AC35" si="417">IF(AA31="","",IFERROR(AA33/AA34,""))</f>
        <v>-1.5576423543058764</v>
      </c>
      <c r="AB35" s="72">
        <f t="shared" si="417"/>
        <v>-3.6549715747597786E-2</v>
      </c>
      <c r="AC35" s="72">
        <f t="shared" si="417"/>
        <v>-3.6549715747597786E-2</v>
      </c>
      <c r="AD35" s="72">
        <f t="shared" ref="AD35:AM35" si="418">IF(AD31="","",IFERROR(AD33/AD34,""))</f>
        <v>-3.6549715747597786E-2</v>
      </c>
      <c r="AE35" s="72">
        <f t="shared" si="418"/>
        <v>-3.6549715747597786E-2</v>
      </c>
      <c r="AF35" s="72">
        <f t="shared" si="418"/>
        <v>-3.6549715747597786E-2</v>
      </c>
      <c r="AG35" s="72">
        <f t="shared" si="418"/>
        <v>-3.6549715747597786E-2</v>
      </c>
      <c r="AH35" s="72">
        <f t="shared" si="418"/>
        <v>-3.6549715747597786E-2</v>
      </c>
      <c r="AI35" s="72">
        <f t="shared" si="418"/>
        <v>-3.6549715747597786E-2</v>
      </c>
      <c r="AJ35" s="72">
        <f t="shared" si="418"/>
        <v>-3.6549715747597786E-2</v>
      </c>
      <c r="AK35" s="72">
        <f t="shared" si="418"/>
        <v>-3.6549715747597786E-2</v>
      </c>
      <c r="AL35" s="72">
        <f t="shared" si="418"/>
        <v>-3.6549715747597786E-2</v>
      </c>
      <c r="AM35" s="72">
        <f t="shared" si="418"/>
        <v>-3.6549715747597786E-2</v>
      </c>
      <c r="AN35" s="72">
        <f t="shared" ref="AN35:AO35" si="419">IF(AN31="","",IFERROR(AN33/AN34,""))</f>
        <v>0.6437062701184284</v>
      </c>
      <c r="AO35" s="72">
        <f t="shared" si="419"/>
        <v>0.6437062701184284</v>
      </c>
      <c r="AP35" s="72">
        <f t="shared" ref="AP35:AQ35" si="420">IF(AP31="","",IFERROR(AP33/AP34,""))</f>
        <v>0.6437062701184284</v>
      </c>
      <c r="AQ35" s="72">
        <f t="shared" si="420"/>
        <v>0.6437062701184284</v>
      </c>
      <c r="AR35" s="72">
        <f t="shared" ref="AR35:AS35" si="421">IF(AR31="","",IFERROR(AR33/AR34,""))</f>
        <v>0.6437062701184284</v>
      </c>
      <c r="AS35" s="72">
        <f t="shared" si="421"/>
        <v>0.6437062701184284</v>
      </c>
      <c r="AT35" s="72">
        <f t="shared" ref="AT35:AY35" si="422">IF(AT31="","",IFERROR(AT33/AT34,""))</f>
        <v>0.6437062701184284</v>
      </c>
      <c r="AU35" s="72">
        <f t="shared" si="422"/>
        <v>0.6437062701184284</v>
      </c>
      <c r="AV35" s="72">
        <f t="shared" si="422"/>
        <v>0.6437062701184284</v>
      </c>
      <c r="AW35" s="72">
        <f t="shared" si="422"/>
        <v>0.6437062701184284</v>
      </c>
      <c r="AX35" s="72">
        <f t="shared" si="422"/>
        <v>0.6437062701184284</v>
      </c>
      <c r="AY35" s="72">
        <f t="shared" si="422"/>
        <v>0.6437062701184284</v>
      </c>
      <c r="AZ35" s="72">
        <f t="shared" ref="AZ35:BA35" si="423">IF(AZ31="","",IFERROR(AZ33/AZ34,""))</f>
        <v>1</v>
      </c>
      <c r="BA35" s="72">
        <f t="shared" si="423"/>
        <v>1</v>
      </c>
      <c r="BB35" s="72">
        <f t="shared" ref="BB35:BC35" si="424">IF(BB31="","",IFERROR(BB33/BB34,""))</f>
        <v>1</v>
      </c>
      <c r="BC35" s="72">
        <f t="shared" si="424"/>
        <v>1</v>
      </c>
      <c r="BD35" s="72">
        <f t="shared" ref="BD35:BE35" si="425">IF(BD31="","",IFERROR(BD33/BD34,""))</f>
        <v>1</v>
      </c>
      <c r="BE35" s="72">
        <f t="shared" si="425"/>
        <v>1</v>
      </c>
      <c r="BF35" s="72">
        <f t="shared" ref="BF35:BG35" si="426">IF(BF31="","",IFERROR(BF33/BF34,""))</f>
        <v>1</v>
      </c>
      <c r="BG35" s="72">
        <f t="shared" si="426"/>
        <v>1</v>
      </c>
      <c r="BH35" s="72">
        <f t="shared" ref="BH35:BI35" si="427">IF(BH31="","",IFERROR(BH33/BH34,""))</f>
        <v>1</v>
      </c>
      <c r="BI35" s="72">
        <f t="shared" si="427"/>
        <v>1</v>
      </c>
      <c r="BJ35" s="72">
        <f t="shared" ref="BJ35:BK35" si="428">IF(BJ31="","",IFERROR(BJ33/BJ34,""))</f>
        <v>1</v>
      </c>
      <c r="BK35" s="72">
        <f t="shared" si="428"/>
        <v>1</v>
      </c>
      <c r="BL35" s="72">
        <f t="shared" ref="BL35:BM35" si="429">IF(BL31="","",IFERROR(BL33/BL34,""))</f>
        <v>0.99842590788110253</v>
      </c>
      <c r="BM35" s="72">
        <f t="shared" si="429"/>
        <v>0.99842590788110253</v>
      </c>
      <c r="BN35" s="72">
        <f t="shared" ref="BN35:BO35" si="430">IF(BN31="","",IFERROR(BN33/BN34,""))</f>
        <v>0.99842590788110253</v>
      </c>
      <c r="BO35" s="72">
        <f t="shared" si="430"/>
        <v>0.99842590788110253</v>
      </c>
      <c r="BP35" s="72">
        <f t="shared" ref="BP35:BQ35" si="431">IF(BP31="","",IFERROR(BP33/BP34,""))</f>
        <v>0.99842590788110253</v>
      </c>
      <c r="BQ35" s="72">
        <f t="shared" si="431"/>
        <v>0.99842590788110253</v>
      </c>
      <c r="BR35" s="72">
        <f t="shared" ref="BR35:BS35" si="432">IF(BR31="","",IFERROR(BR33/BR34,""))</f>
        <v>0.99842590788110253</v>
      </c>
      <c r="BS35" s="72">
        <f t="shared" si="432"/>
        <v>0.99842590788110253</v>
      </c>
      <c r="BT35" s="72">
        <f t="shared" ref="BT35:BU35" si="433">IF(BT31="","",IFERROR(BT33/BT34,""))</f>
        <v>0.99842590788110253</v>
      </c>
      <c r="BU35" s="72">
        <f t="shared" si="433"/>
        <v>0.99842590788110253</v>
      </c>
      <c r="BV35" s="72">
        <f t="shared" ref="BV35:BW35" si="434">IF(BV31="","",IFERROR(BV33/BV34,""))</f>
        <v>0.99842590788110253</v>
      </c>
      <c r="BW35" s="72">
        <f t="shared" si="434"/>
        <v>0.99842590788110253</v>
      </c>
      <c r="BX35" s="63"/>
      <c r="BY35" s="63"/>
      <c r="BZ35" s="63"/>
      <c r="CA35" s="63"/>
    </row>
    <row r="36" spans="1:79" s="53" customFormat="1" x14ac:dyDescent="0.35">
      <c r="A36" s="288"/>
      <c r="B36" s="80" t="s">
        <v>57</v>
      </c>
      <c r="C36" s="70">
        <f>+C35*C31</f>
        <v>0</v>
      </c>
      <c r="D36" s="70">
        <f>+ROUND(D35*D31,2)</f>
        <v>147923.54</v>
      </c>
      <c r="E36" s="70">
        <f>+ROUND(E35*E31,2)</f>
        <v>122366.41</v>
      </c>
      <c r="F36" s="70">
        <f>IF(F31="","",ROUND(F35*F31,2))</f>
        <v>135610.26999999999</v>
      </c>
      <c r="G36" s="70">
        <f t="shared" ref="G36:Z36" si="435">IF(G31="","",ROUND(G35*G31,2))</f>
        <v>137927.79</v>
      </c>
      <c r="H36" s="70">
        <f t="shared" si="435"/>
        <v>164689.71</v>
      </c>
      <c r="I36" s="70">
        <f t="shared" si="435"/>
        <v>155769.59</v>
      </c>
      <c r="J36" s="70">
        <f t="shared" si="435"/>
        <v>172638.51</v>
      </c>
      <c r="K36" s="70">
        <f t="shared" si="435"/>
        <v>164503.71</v>
      </c>
      <c r="L36" s="70">
        <f t="shared" si="435"/>
        <v>156843.66</v>
      </c>
      <c r="M36" s="70">
        <f t="shared" si="435"/>
        <v>149437.09</v>
      </c>
      <c r="N36" s="70">
        <f t="shared" si="435"/>
        <v>137029.1</v>
      </c>
      <c r="O36" s="70">
        <f t="shared" si="435"/>
        <v>138956.35</v>
      </c>
      <c r="P36" s="70">
        <f t="shared" si="435"/>
        <v>-163073.60999999999</v>
      </c>
      <c r="Q36" s="70">
        <f t="shared" si="435"/>
        <v>-28184.85</v>
      </c>
      <c r="R36" s="70">
        <f t="shared" si="435"/>
        <v>-26811.56</v>
      </c>
      <c r="S36" s="70">
        <f t="shared" si="435"/>
        <v>-30658.16</v>
      </c>
      <c r="T36" s="70">
        <f t="shared" si="435"/>
        <v>-33927.269999999997</v>
      </c>
      <c r="U36" s="70">
        <f t="shared" si="435"/>
        <v>-20613.12</v>
      </c>
      <c r="V36" s="70">
        <f t="shared" si="435"/>
        <v>-34940.29</v>
      </c>
      <c r="W36" s="70">
        <f t="shared" si="435"/>
        <v>-32815.35</v>
      </c>
      <c r="X36" s="70">
        <f t="shared" si="435"/>
        <v>-32400.86</v>
      </c>
      <c r="Y36" s="70">
        <f t="shared" si="435"/>
        <v>-30448.7</v>
      </c>
      <c r="Z36" s="70">
        <f t="shared" si="435"/>
        <v>-29651.5</v>
      </c>
      <c r="AA36" s="70">
        <f t="shared" ref="AA36:AC36" si="436">IF(AA31="","",ROUND(AA35*AA31,2))</f>
        <v>-33179.11</v>
      </c>
      <c r="AB36" s="70">
        <f t="shared" si="436"/>
        <v>-1500.43</v>
      </c>
      <c r="AC36" s="70">
        <f t="shared" si="436"/>
        <v>-2352.08</v>
      </c>
      <c r="AD36" s="70">
        <f t="shared" ref="AD36:AM36" si="437">IF(AD31="","",ROUND(AD35*AD31,2))</f>
        <v>-2341.8200000000002</v>
      </c>
      <c r="AE36" s="70">
        <f t="shared" si="437"/>
        <v>-2285.06</v>
      </c>
      <c r="AF36" s="70">
        <f t="shared" si="437"/>
        <v>-2878.25</v>
      </c>
      <c r="AG36" s="70">
        <f t="shared" si="437"/>
        <v>-2679.25</v>
      </c>
      <c r="AH36" s="70">
        <f t="shared" si="437"/>
        <v>-2966.75</v>
      </c>
      <c r="AI36" s="70">
        <f t="shared" si="437"/>
        <v>-3006.59</v>
      </c>
      <c r="AJ36" s="70">
        <f t="shared" si="437"/>
        <v>-2836.24</v>
      </c>
      <c r="AK36" s="70">
        <f t="shared" si="437"/>
        <v>-2518.7800000000002</v>
      </c>
      <c r="AL36" s="70">
        <f t="shared" si="437"/>
        <v>-2370.0100000000002</v>
      </c>
      <c r="AM36" s="70">
        <f t="shared" si="437"/>
        <v>-2508.15</v>
      </c>
      <c r="AN36" s="70">
        <f t="shared" ref="AN36:AO36" si="438">IF(AN31="","",ROUND(AN35*AN31,2))</f>
        <v>43670.64</v>
      </c>
      <c r="AO36" s="70">
        <f t="shared" si="438"/>
        <v>24903.919999999998</v>
      </c>
      <c r="AP36" s="70">
        <f t="shared" ref="AP36:AQ36" si="439">IF(AP31="","",ROUND(AP35*AP31,2))</f>
        <v>28515.46</v>
      </c>
      <c r="AQ36" s="70">
        <f t="shared" si="439"/>
        <v>28951.69</v>
      </c>
      <c r="AR36" s="70">
        <f t="shared" ref="AR36:AS36" si="440">IF(AR31="","",ROUND(AR35*AR31,2))</f>
        <v>7358.44</v>
      </c>
      <c r="AS36" s="70">
        <f t="shared" si="440"/>
        <v>32544.66</v>
      </c>
      <c r="AT36" s="70">
        <f t="shared" ref="AT36:AY36" si="441">IF(AT31="","",ROUND(AT35*AT31,2))</f>
        <v>33521.589999999997</v>
      </c>
      <c r="AU36" s="70">
        <f t="shared" si="441"/>
        <v>33998.61</v>
      </c>
      <c r="AV36" s="70">
        <f t="shared" si="441"/>
        <v>29947.3</v>
      </c>
      <c r="AW36" s="70">
        <f t="shared" si="441"/>
        <v>29372.76</v>
      </c>
      <c r="AX36" s="70">
        <f t="shared" si="441"/>
        <v>29994.51</v>
      </c>
      <c r="AY36" s="70">
        <f t="shared" si="441"/>
        <v>27431.4</v>
      </c>
      <c r="AZ36" s="70">
        <f t="shared" ref="AZ36:BA36" si="442">IF(AZ31="","",ROUND(AZ35*AZ31,2))</f>
        <v>37690.370000000003</v>
      </c>
      <c r="BA36" s="70">
        <f t="shared" si="442"/>
        <v>-999.06</v>
      </c>
      <c r="BB36" s="70">
        <f t="shared" ref="BB36:BC36" si="443">IF(BB31="","",ROUND(BB35*BB31,2))</f>
        <v>1068.3499999999999</v>
      </c>
      <c r="BC36" s="70">
        <f t="shared" si="443"/>
        <v>1085.3800000000001</v>
      </c>
      <c r="BD36" s="70">
        <f t="shared" ref="BD36:BE36" si="444">IF(BD31="","",ROUND(BD35*BD31,2))</f>
        <v>1047.53</v>
      </c>
      <c r="BE36" s="70">
        <f t="shared" si="444"/>
        <v>1336.85</v>
      </c>
      <c r="BF36" s="70">
        <f t="shared" ref="BF36:BG36" si="445">IF(BF31="","",ROUND(BF35*BF31,2))</f>
        <v>1272.6199999999999</v>
      </c>
      <c r="BG36" s="70">
        <f t="shared" si="445"/>
        <v>1376.1</v>
      </c>
      <c r="BH36" s="70">
        <f t="shared" ref="BH36:BI36" si="446">IF(BH31="","",ROUND(BH35*BH31,2))</f>
        <v>1261.3</v>
      </c>
      <c r="BI36" s="70">
        <f t="shared" si="446"/>
        <v>837.34</v>
      </c>
      <c r="BJ36" s="70">
        <f t="shared" ref="BJ36:BK36" si="447">IF(BJ31="","",ROUND(BJ35*BJ31,2))</f>
        <v>1174.03</v>
      </c>
      <c r="BK36" s="70">
        <f t="shared" si="447"/>
        <v>1093.94</v>
      </c>
      <c r="BL36" s="70">
        <f t="shared" ref="BL36:BM36" si="448">IF(BL31="","",ROUND(BL35*BL31,2))</f>
        <v>595.17999999999995</v>
      </c>
      <c r="BM36" s="70">
        <f t="shared" si="448"/>
        <v>-2111.9699999999998</v>
      </c>
      <c r="BN36" s="70">
        <f t="shared" ref="BN36:BO36" si="449">IF(BN31="","",ROUND(BN35*BN31,2))</f>
        <v>-9939.4599999999991</v>
      </c>
      <c r="BO36" s="70">
        <f t="shared" si="449"/>
        <v>-1923.43</v>
      </c>
      <c r="BP36" s="70">
        <f t="shared" ref="BP36:BQ36" si="450">IF(BP31="","",ROUND(BP35*BP31,2))</f>
        <v>-2344.67</v>
      </c>
      <c r="BQ36" s="70">
        <f t="shared" si="450"/>
        <v>-2689.87</v>
      </c>
      <c r="BR36" s="70">
        <f t="shared" ref="BR36:BS36" si="451">IF(BR31="","",ROUND(BR35*BR31,2))</f>
        <v>-2659.72</v>
      </c>
      <c r="BS36" s="70">
        <f t="shared" si="451"/>
        <v>-2772.83</v>
      </c>
      <c r="BT36" s="70">
        <f t="shared" ref="BT36:BU36" si="452">IF(BT31="","",ROUND(BT35*BT31,2))</f>
        <v>-2382.11</v>
      </c>
      <c r="BU36" s="70">
        <f t="shared" si="452"/>
        <v>-2309.94</v>
      </c>
      <c r="BV36" s="70">
        <f t="shared" ref="BV36:BW36" si="453">IF(BV31="","",ROUND(BV35*BV31,2))</f>
        <v>-2263.4</v>
      </c>
      <c r="BW36" s="70">
        <f t="shared" si="453"/>
        <v>-2384.75</v>
      </c>
      <c r="BX36" s="213"/>
      <c r="BY36" s="213"/>
      <c r="BZ36" s="213"/>
      <c r="CA36" s="213"/>
    </row>
    <row r="37" spans="1:79" s="53" customFormat="1" ht="9" customHeight="1" x14ac:dyDescent="0.35">
      <c r="A37" s="84"/>
      <c r="B37" s="82"/>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213"/>
      <c r="BY37" s="213"/>
      <c r="BZ37" s="213"/>
      <c r="CA37" s="213"/>
    </row>
    <row r="38" spans="1:79" x14ac:dyDescent="0.35">
      <c r="P38" s="96"/>
      <c r="BX38" s="63"/>
      <c r="BY38" s="63"/>
      <c r="BZ38" s="63"/>
      <c r="CA38" s="63"/>
    </row>
    <row r="39" spans="1:79" x14ac:dyDescent="0.35">
      <c r="BX39" s="63"/>
      <c r="BY39" s="63"/>
      <c r="BZ39" s="63"/>
      <c r="CA39" s="63"/>
    </row>
    <row r="40" spans="1:79" x14ac:dyDescent="0.35">
      <c r="BX40" s="63"/>
      <c r="BY40" s="63"/>
      <c r="BZ40" s="63"/>
      <c r="CA40" s="63"/>
    </row>
    <row r="41" spans="1:79" x14ac:dyDescent="0.35">
      <c r="BX41" s="63"/>
      <c r="BY41" s="63"/>
      <c r="BZ41" s="63"/>
      <c r="CA41" s="63"/>
    </row>
    <row r="42" spans="1:79" x14ac:dyDescent="0.35">
      <c r="BX42" s="63"/>
      <c r="BY42" s="63"/>
      <c r="BZ42" s="63"/>
      <c r="CA42" s="63"/>
    </row>
    <row r="43" spans="1:79" x14ac:dyDescent="0.35">
      <c r="BX43" s="63"/>
      <c r="BY43" s="63"/>
      <c r="BZ43" s="63"/>
      <c r="CA43" s="63"/>
    </row>
    <row r="44" spans="1:79" x14ac:dyDescent="0.35">
      <c r="BX44" s="63"/>
      <c r="BY44" s="63"/>
      <c r="BZ44" s="63"/>
      <c r="CA44" s="63"/>
    </row>
  </sheetData>
  <mergeCells count="5">
    <mergeCell ref="A3:A8"/>
    <mergeCell ref="A10:A15"/>
    <mergeCell ref="A17:A22"/>
    <mergeCell ref="A24:A29"/>
    <mergeCell ref="A31:A3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Comments xmlns="$ListId:Library;"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F07B67-19EB-4B96-A323-3D485BBA4FF9}">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ListId:Library;"/>
  </ds:schemaRefs>
</ds:datastoreItem>
</file>

<file path=customXml/itemProps2.xml><?xml version="1.0" encoding="utf-8"?>
<ds:datastoreItem xmlns:ds="http://schemas.openxmlformats.org/officeDocument/2006/customXml" ds:itemID="{00F8E456-CDE6-41F7-A8AB-E16F4CF16C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B4CCAA-8671-4113-8547-D2C9334702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MEEIA 3 calcs</vt:lpstr>
      <vt:lpstr>PAYS interest calculation</vt:lpstr>
      <vt:lpstr>MEEIA 3 adjs</vt:lpstr>
      <vt:lpstr>M3 Allocations - TD</vt:lpstr>
      <vt:lpstr>M3 TD amort</vt:lpstr>
      <vt:lpstr>MEEIA 2 calcs</vt:lpstr>
      <vt:lpstr>MEEIA 2 adjs</vt:lpstr>
      <vt:lpstr>M2 Allocations - TD</vt:lpstr>
      <vt:lpstr>M2 TD amort</vt:lpstr>
      <vt:lpstr>'MEEIA 2 adjs'!Print_Area</vt:lpstr>
      <vt:lpstr>'MEEIA 2 calcs'!Print_Area</vt:lpstr>
      <vt:lpstr>'MEEIA 3 adjs'!Print_Area</vt:lpstr>
      <vt:lpstr>'MEEIA 3 calcs'!Print_Area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e21586</dc:creator>
  <cp:lastModifiedBy>Kettmann, Keith</cp:lastModifiedBy>
  <cp:lastPrinted>2022-12-01T15:51:09Z</cp:lastPrinted>
  <dcterms:created xsi:type="dcterms:W3CDTF">2013-01-09T19:50:07Z</dcterms:created>
  <dcterms:modified xsi:type="dcterms:W3CDTF">2022-12-01T15:51:15Z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